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reed\Documents\1Ana Job Search\AI and Certificates\Excel\ExcelCopilot\"/>
    </mc:Choice>
  </mc:AlternateContent>
  <xr:revisionPtr revIDLastSave="1398" documentId="13_ncr:1_{5DAF720D-2F90-466B-B012-A27ADF843784}" xr6:coauthVersionLast="47" xr6:coauthVersionMax="47" xr10:uidLastSave="{F11690A8-B762-4566-A8F1-74919F2872EC}"/>
  <bookViews>
    <workbookView xWindow="1200" yWindow="0" windowWidth="19740" windowHeight="12240" firstSheet="8" activeTab="11" xr2:uid="{00000000-000D-0000-FFFF-FFFF00000000}"/>
  </bookViews>
  <sheets>
    <sheet name="Executive Summary" sheetId="10" r:id="rId1"/>
    <sheet name="Total Revenue Variance" sheetId="2" r:id="rId2"/>
    <sheet name="reconciliation_base" sheetId="1" r:id="rId3"/>
    <sheet name="Variance Analysis (2)" sheetId="4" r:id="rId4"/>
    <sheet name="Variance Analysis" sheetId="3" r:id="rId5"/>
    <sheet name="Top Customer Variance" sheetId="5" r:id="rId6"/>
    <sheet name="Risk Level Analysis" sheetId="6" r:id="rId7"/>
    <sheet name="Late Return Analysis" sheetId="7" r:id="rId8"/>
    <sheet name="Monthly Variance Trends" sheetId="8" r:id="rId9"/>
    <sheet name="Flag Relationship Analysis" sheetId="9" r:id="rId10"/>
    <sheet name="Customer Variance Chart" sheetId="11" r:id="rId11"/>
    <sheet name="Monthly Trend Chart" sheetId="12" r:id="rId12"/>
    <sheet name="Risk Distribution Chart" sheetId="13" r:id="rId13"/>
    <sheet name="Variance Calculations" sheetId="14" r:id="rId14"/>
  </sheets>
  <definedNames>
    <definedName name="reconciliation_base">reconciliation_base!$A$1:$O$4001</definedName>
  </definedNames>
  <calcPr calcId="191028"/>
  <pivotCaches>
    <pivotCache cacheId="153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4" l="1"/>
  <c r="B5" i="14"/>
  <c r="B6" i="14"/>
  <c r="B9" i="14"/>
  <c r="B10" i="14"/>
  <c r="B11" i="14"/>
  <c r="B12" i="14"/>
  <c r="B13" i="14"/>
  <c r="B24" i="13"/>
  <c r="B23" i="13"/>
  <c r="B22" i="13"/>
  <c r="B21" i="13"/>
  <c r="B17" i="13"/>
  <c r="B15" i="13"/>
  <c r="B14" i="13"/>
  <c r="B13" i="13"/>
  <c r="H24" i="13"/>
  <c r="H23" i="13"/>
  <c r="H22" i="13"/>
  <c r="E7" i="13"/>
  <c r="D7" i="13"/>
  <c r="C7" i="13"/>
  <c r="B7" i="13"/>
  <c r="E6" i="13"/>
  <c r="D6" i="13"/>
  <c r="C6" i="13"/>
  <c r="B6" i="13"/>
  <c r="E5" i="13"/>
  <c r="D5" i="13"/>
  <c r="C5" i="13"/>
  <c r="B5" i="13"/>
  <c r="E4" i="13"/>
  <c r="D4" i="13"/>
  <c r="C4" i="13"/>
  <c r="B4" i="13"/>
  <c r="B32" i="12"/>
  <c r="B33" i="12"/>
  <c r="B34" i="12"/>
  <c r="B35" i="12"/>
  <c r="B36" i="12"/>
  <c r="B37" i="12"/>
  <c r="B38" i="12"/>
  <c r="B36" i="11"/>
  <c r="B37" i="11"/>
  <c r="B38" i="11"/>
  <c r="B39" i="11"/>
  <c r="B5" i="6"/>
  <c r="I21" i="10"/>
  <c r="I14" i="10"/>
  <c r="J14" i="10"/>
  <c r="K14" i="10"/>
  <c r="I15" i="10"/>
  <c r="J15" i="10"/>
  <c r="K15" i="10"/>
  <c r="I16" i="10"/>
  <c r="J16" i="10"/>
  <c r="K16" i="10"/>
  <c r="I17" i="10"/>
  <c r="K17" i="10"/>
  <c r="I5" i="10"/>
  <c r="J5" i="10"/>
  <c r="K5" i="10"/>
  <c r="I6" i="10"/>
  <c r="J6" i="10"/>
  <c r="K6" i="10"/>
  <c r="I7" i="10"/>
  <c r="J7" i="10"/>
  <c r="K7" i="10"/>
  <c r="I8" i="10"/>
  <c r="J8" i="10"/>
  <c r="K8" i="10"/>
  <c r="I9" i="10"/>
  <c r="J9" i="10"/>
  <c r="K9" i="10"/>
  <c r="I10" i="10"/>
  <c r="J10" i="10"/>
  <c r="K10" i="10"/>
  <c r="B24" i="10"/>
  <c r="C24" i="10"/>
  <c r="D24" i="10"/>
  <c r="E24" i="10"/>
  <c r="B25" i="10"/>
  <c r="C25" i="10"/>
  <c r="D25" i="10"/>
  <c r="E25" i="10"/>
  <c r="B26" i="10"/>
  <c r="C26" i="10"/>
  <c r="D26" i="10"/>
  <c r="E26" i="10"/>
  <c r="B27" i="10"/>
  <c r="C27" i="10"/>
  <c r="D27" i="10"/>
  <c r="E27" i="10"/>
  <c r="B15" i="10"/>
  <c r="B16" i="10"/>
  <c r="C15" i="10" s="1"/>
  <c r="C16" i="10"/>
  <c r="B17" i="10"/>
  <c r="C17" i="10"/>
  <c r="B18" i="10"/>
  <c r="B19" i="10"/>
  <c r="B20" i="10"/>
  <c r="B5" i="10"/>
  <c r="B6" i="10"/>
  <c r="B7" i="10"/>
  <c r="B8" i="10"/>
  <c r="B9" i="10"/>
  <c r="B10" i="10"/>
  <c r="B11" i="10"/>
  <c r="J5" i="9"/>
  <c r="J6" i="9"/>
  <c r="J7" i="9"/>
  <c r="J8" i="9"/>
  <c r="J9" i="9"/>
  <c r="J10" i="9"/>
  <c r="J11" i="9"/>
  <c r="J12" i="9"/>
  <c r="J13" i="9"/>
  <c r="B25" i="9"/>
  <c r="C25" i="9"/>
  <c r="D25" i="9"/>
  <c r="E25" i="9"/>
  <c r="F25" i="9"/>
  <c r="G25" i="9"/>
  <c r="B26" i="9"/>
  <c r="C26" i="9"/>
  <c r="D26" i="9"/>
  <c r="E26" i="9"/>
  <c r="F26" i="9"/>
  <c r="G26" i="9"/>
  <c r="B27" i="9"/>
  <c r="C27" i="9"/>
  <c r="D27" i="9"/>
  <c r="E27" i="9"/>
  <c r="F27" i="9"/>
  <c r="G27" i="9"/>
  <c r="B28" i="9"/>
  <c r="C28" i="9"/>
  <c r="D28" i="9"/>
  <c r="E28" i="9"/>
  <c r="F28" i="9"/>
  <c r="G28" i="9"/>
  <c r="B29" i="9"/>
  <c r="C29" i="9"/>
  <c r="D29" i="9"/>
  <c r="E29" i="9"/>
  <c r="F29" i="9"/>
  <c r="G29" i="9"/>
  <c r="B30" i="9"/>
  <c r="C30" i="9"/>
  <c r="D30" i="9"/>
  <c r="E30" i="9"/>
  <c r="F30" i="9"/>
  <c r="G30" i="9"/>
  <c r="B16" i="9"/>
  <c r="C16" i="9"/>
  <c r="D16" i="9"/>
  <c r="E16" i="9"/>
  <c r="F16" i="9"/>
  <c r="G16" i="9"/>
  <c r="B17" i="9"/>
  <c r="C17" i="9"/>
  <c r="D17" i="9"/>
  <c r="E17" i="9"/>
  <c r="F17" i="9"/>
  <c r="G17" i="9"/>
  <c r="B18" i="9"/>
  <c r="C18" i="9"/>
  <c r="D18" i="9"/>
  <c r="E18" i="9"/>
  <c r="F18" i="9"/>
  <c r="G18" i="9"/>
  <c r="B19" i="9"/>
  <c r="C19" i="9"/>
  <c r="D19" i="9"/>
  <c r="E19" i="9"/>
  <c r="F19" i="9"/>
  <c r="G19" i="9"/>
  <c r="B20" i="9"/>
  <c r="C20" i="9"/>
  <c r="D20" i="9"/>
  <c r="E20" i="9"/>
  <c r="F20" i="9"/>
  <c r="G20" i="9"/>
  <c r="B21" i="9"/>
  <c r="C21" i="9"/>
  <c r="D21" i="9"/>
  <c r="E21" i="9"/>
  <c r="F21" i="9"/>
  <c r="G21" i="9"/>
  <c r="E12" i="9"/>
  <c r="D12" i="9"/>
  <c r="C12" i="9"/>
  <c r="B12" i="9"/>
  <c r="B5" i="9"/>
  <c r="C5" i="9"/>
  <c r="D5" i="9"/>
  <c r="E5" i="9"/>
  <c r="F5" i="9"/>
  <c r="G5" i="9"/>
  <c r="H5" i="9"/>
  <c r="B6" i="9"/>
  <c r="C6" i="9"/>
  <c r="D6" i="9"/>
  <c r="E6" i="9"/>
  <c r="F6" i="9"/>
  <c r="G6" i="9"/>
  <c r="H6" i="9"/>
  <c r="B7" i="9"/>
  <c r="C7" i="9"/>
  <c r="D7" i="9"/>
  <c r="E7" i="9"/>
  <c r="F7" i="9"/>
  <c r="G7" i="9"/>
  <c r="H7" i="9"/>
  <c r="B8" i="9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D10" i="9"/>
  <c r="E10" i="9"/>
  <c r="F10" i="9"/>
  <c r="G10" i="9"/>
  <c r="H10" i="9"/>
  <c r="B11" i="9"/>
  <c r="C11" i="9"/>
  <c r="D11" i="9"/>
  <c r="E11" i="9"/>
  <c r="F11" i="9"/>
  <c r="G11" i="9"/>
  <c r="H11" i="9"/>
  <c r="E77" i="8"/>
  <c r="D77" i="8"/>
  <c r="C77" i="8"/>
  <c r="B77" i="8"/>
  <c r="F76" i="8"/>
  <c r="E76" i="8"/>
  <c r="D76" i="8"/>
  <c r="C76" i="8"/>
  <c r="B76" i="8"/>
  <c r="F75" i="8"/>
  <c r="E75" i="8"/>
  <c r="D75" i="8"/>
  <c r="C75" i="8"/>
  <c r="B75" i="8"/>
  <c r="F70" i="8"/>
  <c r="E70" i="8"/>
  <c r="D70" i="8"/>
  <c r="C70" i="8"/>
  <c r="B70" i="8"/>
  <c r="A70" i="8"/>
  <c r="F69" i="8"/>
  <c r="E69" i="8"/>
  <c r="D69" i="8"/>
  <c r="C69" i="8"/>
  <c r="B69" i="8"/>
  <c r="A69" i="8"/>
  <c r="F68" i="8"/>
  <c r="E68" i="8"/>
  <c r="D68" i="8"/>
  <c r="C68" i="8"/>
  <c r="B68" i="8"/>
  <c r="A68" i="8"/>
  <c r="F67" i="8"/>
  <c r="E67" i="8"/>
  <c r="D67" i="8"/>
  <c r="C67" i="8"/>
  <c r="B67" i="8"/>
  <c r="A67" i="8"/>
  <c r="F66" i="8"/>
  <c r="E66" i="8"/>
  <c r="D66" i="8"/>
  <c r="C66" i="8"/>
  <c r="B66" i="8"/>
  <c r="A66" i="8"/>
  <c r="F65" i="8"/>
  <c r="E65" i="8"/>
  <c r="D65" i="8"/>
  <c r="C65" i="8"/>
  <c r="B65" i="8"/>
  <c r="A65" i="8"/>
  <c r="F64" i="8"/>
  <c r="E64" i="8"/>
  <c r="D64" i="8"/>
  <c r="C64" i="8"/>
  <c r="B64" i="8"/>
  <c r="A64" i="8"/>
  <c r="F63" i="8"/>
  <c r="E63" i="8"/>
  <c r="D63" i="8"/>
  <c r="C63" i="8"/>
  <c r="B63" i="8"/>
  <c r="A63" i="8"/>
  <c r="F62" i="8"/>
  <c r="E62" i="8"/>
  <c r="D62" i="8"/>
  <c r="C62" i="8"/>
  <c r="B62" i="8"/>
  <c r="A62" i="8"/>
  <c r="F61" i="8"/>
  <c r="E61" i="8"/>
  <c r="D61" i="8"/>
  <c r="C61" i="8"/>
  <c r="B61" i="8"/>
  <c r="A61" i="8"/>
  <c r="F60" i="8"/>
  <c r="E60" i="8"/>
  <c r="D60" i="8"/>
  <c r="C60" i="8"/>
  <c r="B60" i="8"/>
  <c r="A60" i="8"/>
  <c r="F59" i="8"/>
  <c r="E59" i="8"/>
  <c r="D59" i="8"/>
  <c r="C59" i="8"/>
  <c r="B59" i="8"/>
  <c r="A59" i="8"/>
  <c r="F58" i="8"/>
  <c r="E58" i="8"/>
  <c r="D58" i="8"/>
  <c r="C58" i="8"/>
  <c r="B58" i="8"/>
  <c r="A58" i="8"/>
  <c r="F57" i="8"/>
  <c r="E57" i="8"/>
  <c r="D57" i="8"/>
  <c r="C57" i="8"/>
  <c r="B57" i="8"/>
  <c r="A57" i="8"/>
  <c r="F56" i="8"/>
  <c r="E56" i="8"/>
  <c r="D56" i="8"/>
  <c r="C56" i="8"/>
  <c r="B56" i="8"/>
  <c r="A56" i="8"/>
  <c r="F55" i="8"/>
  <c r="E55" i="8"/>
  <c r="D55" i="8"/>
  <c r="C55" i="8"/>
  <c r="B55" i="8"/>
  <c r="A55" i="8"/>
  <c r="F54" i="8"/>
  <c r="E54" i="8"/>
  <c r="D54" i="8"/>
  <c r="C54" i="8"/>
  <c r="B54" i="8"/>
  <c r="A54" i="8"/>
  <c r="F53" i="8"/>
  <c r="E53" i="8"/>
  <c r="D53" i="8"/>
  <c r="C53" i="8"/>
  <c r="B53" i="8"/>
  <c r="A53" i="8"/>
  <c r="F52" i="8"/>
  <c r="E52" i="8"/>
  <c r="D52" i="8"/>
  <c r="C52" i="8"/>
  <c r="B52" i="8"/>
  <c r="A52" i="8"/>
  <c r="F51" i="8"/>
  <c r="E51" i="8"/>
  <c r="D51" i="8"/>
  <c r="C51" i="8"/>
  <c r="B51" i="8"/>
  <c r="A51" i="8"/>
  <c r="F50" i="8"/>
  <c r="E50" i="8"/>
  <c r="D50" i="8"/>
  <c r="C50" i="8"/>
  <c r="B50" i="8"/>
  <c r="A50" i="8"/>
  <c r="F49" i="8"/>
  <c r="E49" i="8"/>
  <c r="D49" i="8"/>
  <c r="C49" i="8"/>
  <c r="B49" i="8"/>
  <c r="A49" i="8"/>
  <c r="F48" i="8"/>
  <c r="E48" i="8"/>
  <c r="D48" i="8"/>
  <c r="C48" i="8"/>
  <c r="B48" i="8"/>
  <c r="A48" i="8"/>
  <c r="F47" i="8"/>
  <c r="E47" i="8"/>
  <c r="D47" i="8"/>
  <c r="C47" i="8"/>
  <c r="B47" i="8"/>
  <c r="A47" i="8"/>
  <c r="B42" i="8"/>
  <c r="B41" i="8"/>
  <c r="B40" i="8"/>
  <c r="B39" i="8"/>
  <c r="B38" i="8"/>
  <c r="B37" i="8"/>
  <c r="B36" i="8"/>
  <c r="B35" i="8"/>
  <c r="B34" i="8"/>
  <c r="H29" i="8"/>
  <c r="G29" i="8"/>
  <c r="F29" i="8"/>
  <c r="E29" i="8"/>
  <c r="D29" i="8"/>
  <c r="C29" i="8"/>
  <c r="B29" i="8"/>
  <c r="I28" i="8"/>
  <c r="H28" i="8"/>
  <c r="G28" i="8"/>
  <c r="F28" i="8"/>
  <c r="E28" i="8"/>
  <c r="D28" i="8"/>
  <c r="C28" i="8"/>
  <c r="B28" i="8"/>
  <c r="I27" i="8"/>
  <c r="H27" i="8"/>
  <c r="G27" i="8"/>
  <c r="F27" i="8"/>
  <c r="E27" i="8"/>
  <c r="D27" i="8"/>
  <c r="C27" i="8"/>
  <c r="B27" i="8"/>
  <c r="I26" i="8"/>
  <c r="H26" i="8"/>
  <c r="G26" i="8"/>
  <c r="F26" i="8"/>
  <c r="E26" i="8"/>
  <c r="D26" i="8"/>
  <c r="C26" i="8"/>
  <c r="B26" i="8"/>
  <c r="I25" i="8"/>
  <c r="H25" i="8"/>
  <c r="G25" i="8"/>
  <c r="F25" i="8"/>
  <c r="E25" i="8"/>
  <c r="D25" i="8"/>
  <c r="C25" i="8"/>
  <c r="B25" i="8"/>
  <c r="I24" i="8"/>
  <c r="H24" i="8"/>
  <c r="G24" i="8"/>
  <c r="F24" i="8"/>
  <c r="E24" i="8"/>
  <c r="D24" i="8"/>
  <c r="C24" i="8"/>
  <c r="B24" i="8"/>
  <c r="I23" i="8"/>
  <c r="H23" i="8"/>
  <c r="G23" i="8"/>
  <c r="F23" i="8"/>
  <c r="E23" i="8"/>
  <c r="D23" i="8"/>
  <c r="C23" i="8"/>
  <c r="B23" i="8"/>
  <c r="I22" i="8"/>
  <c r="H22" i="8"/>
  <c r="G22" i="8"/>
  <c r="F22" i="8"/>
  <c r="E22" i="8"/>
  <c r="D22" i="8"/>
  <c r="C22" i="8"/>
  <c r="B22" i="8"/>
  <c r="I21" i="8"/>
  <c r="H21" i="8"/>
  <c r="G21" i="8"/>
  <c r="F21" i="8"/>
  <c r="E21" i="8"/>
  <c r="D21" i="8"/>
  <c r="C21" i="8"/>
  <c r="B21" i="8"/>
  <c r="I20" i="8"/>
  <c r="H20" i="8"/>
  <c r="G20" i="8"/>
  <c r="F20" i="8"/>
  <c r="E20" i="8"/>
  <c r="D20" i="8"/>
  <c r="C20" i="8"/>
  <c r="B20" i="8"/>
  <c r="I19" i="8"/>
  <c r="H19" i="8"/>
  <c r="G19" i="8"/>
  <c r="F19" i="8"/>
  <c r="E19" i="8"/>
  <c r="D19" i="8"/>
  <c r="C19" i="8"/>
  <c r="B19" i="8"/>
  <c r="I18" i="8"/>
  <c r="H18" i="8"/>
  <c r="G18" i="8"/>
  <c r="F18" i="8"/>
  <c r="E18" i="8"/>
  <c r="D18" i="8"/>
  <c r="C18" i="8"/>
  <c r="B18" i="8"/>
  <c r="I17" i="8"/>
  <c r="H17" i="8"/>
  <c r="G17" i="8"/>
  <c r="F17" i="8"/>
  <c r="E17" i="8"/>
  <c r="D17" i="8"/>
  <c r="C17" i="8"/>
  <c r="B17" i="8"/>
  <c r="I16" i="8"/>
  <c r="H16" i="8"/>
  <c r="G16" i="8"/>
  <c r="F16" i="8"/>
  <c r="E16" i="8"/>
  <c r="D16" i="8"/>
  <c r="C16" i="8"/>
  <c r="B16" i="8"/>
  <c r="I15" i="8"/>
  <c r="H15" i="8"/>
  <c r="G15" i="8"/>
  <c r="F15" i="8"/>
  <c r="E15" i="8"/>
  <c r="D15" i="8"/>
  <c r="C15" i="8"/>
  <c r="B15" i="8"/>
  <c r="I14" i="8"/>
  <c r="H14" i="8"/>
  <c r="G14" i="8"/>
  <c r="F14" i="8"/>
  <c r="E14" i="8"/>
  <c r="D14" i="8"/>
  <c r="C14" i="8"/>
  <c r="B14" i="8"/>
  <c r="I13" i="8"/>
  <c r="H13" i="8"/>
  <c r="G13" i="8"/>
  <c r="F13" i="8"/>
  <c r="E13" i="8"/>
  <c r="D13" i="8"/>
  <c r="C13" i="8"/>
  <c r="B13" i="8"/>
  <c r="I12" i="8"/>
  <c r="H12" i="8"/>
  <c r="G12" i="8"/>
  <c r="F12" i="8"/>
  <c r="E12" i="8"/>
  <c r="D12" i="8"/>
  <c r="C12" i="8"/>
  <c r="B12" i="8"/>
  <c r="I11" i="8"/>
  <c r="H11" i="8"/>
  <c r="G11" i="8"/>
  <c r="F11" i="8"/>
  <c r="E11" i="8"/>
  <c r="D11" i="8"/>
  <c r="C11" i="8"/>
  <c r="B11" i="8"/>
  <c r="I10" i="8"/>
  <c r="H10" i="8"/>
  <c r="G10" i="8"/>
  <c r="F10" i="8"/>
  <c r="E10" i="8"/>
  <c r="D10" i="8"/>
  <c r="C10" i="8"/>
  <c r="B10" i="8"/>
  <c r="I9" i="8"/>
  <c r="H9" i="8"/>
  <c r="G9" i="8"/>
  <c r="F9" i="8"/>
  <c r="E9" i="8"/>
  <c r="D9" i="8"/>
  <c r="C9" i="8"/>
  <c r="B9" i="8"/>
  <c r="I8" i="8"/>
  <c r="H8" i="8"/>
  <c r="G8" i="8"/>
  <c r="F8" i="8"/>
  <c r="E8" i="8"/>
  <c r="D8" i="8"/>
  <c r="C8" i="8"/>
  <c r="B8" i="8"/>
  <c r="I7" i="8"/>
  <c r="H7" i="8"/>
  <c r="G7" i="8"/>
  <c r="F7" i="8"/>
  <c r="E7" i="8"/>
  <c r="D7" i="8"/>
  <c r="C7" i="8"/>
  <c r="B7" i="8"/>
  <c r="I6" i="8"/>
  <c r="H6" i="8"/>
  <c r="G6" i="8"/>
  <c r="F6" i="8"/>
  <c r="E6" i="8"/>
  <c r="D6" i="8"/>
  <c r="C6" i="8"/>
  <c r="B6" i="8"/>
  <c r="I5" i="8"/>
  <c r="H5" i="8"/>
  <c r="G5" i="8"/>
  <c r="F5" i="8"/>
  <c r="E5" i="8"/>
  <c r="D5" i="8"/>
  <c r="C5" i="8"/>
  <c r="B5" i="8"/>
  <c r="B6" i="7"/>
  <c r="B64" i="7"/>
  <c r="B65" i="7"/>
  <c r="B66" i="7"/>
  <c r="B57" i="7" a="1"/>
  <c r="B57" i="7"/>
  <c r="B58" i="7" a="1"/>
  <c r="B58" i="7"/>
  <c r="B59" i="7" a="1"/>
  <c r="B59" i="7"/>
  <c r="B60" i="7"/>
  <c r="B52" i="7" a="1"/>
  <c r="B52" i="7"/>
  <c r="B53" i="7" a="1"/>
  <c r="B53" i="7"/>
  <c r="B54" i="7"/>
  <c r="B46" i="7"/>
  <c r="B47" i="7"/>
  <c r="B48" i="7"/>
  <c r="B49" i="7"/>
  <c r="B50" i="7"/>
  <c r="H53" i="7" a="1"/>
  <c r="H53" i="7"/>
  <c r="I53" i="7"/>
  <c r="J53" i="7" a="1"/>
  <c r="J53" i="7"/>
  <c r="H54" i="7" a="1"/>
  <c r="H54" i="7"/>
  <c r="I54" i="7"/>
  <c r="J54" i="7" a="1"/>
  <c r="J54" i="7"/>
  <c r="H55" i="7" a="1"/>
  <c r="H55" i="7"/>
  <c r="I55" i="7"/>
  <c r="J55" i="7" a="1"/>
  <c r="J55" i="7"/>
  <c r="H44" i="7" a="1"/>
  <c r="H44" i="7"/>
  <c r="I44" i="7"/>
  <c r="J44" i="7" a="1"/>
  <c r="J44" i="7"/>
  <c r="H45" i="7" a="1"/>
  <c r="H45" i="7"/>
  <c r="I45" i="7"/>
  <c r="J45" i="7" a="1"/>
  <c r="J45" i="7"/>
  <c r="H46" i="7" a="1"/>
  <c r="H46" i="7"/>
  <c r="I46" i="7"/>
  <c r="J46" i="7" a="1"/>
  <c r="J46" i="7"/>
  <c r="H47" i="7" a="1"/>
  <c r="H47" i="7"/>
  <c r="I47" i="7"/>
  <c r="J47" i="7" a="1"/>
  <c r="J47" i="7"/>
  <c r="H48" i="7" a="1"/>
  <c r="H48" i="7"/>
  <c r="I48" i="7"/>
  <c r="J48" i="7" a="1"/>
  <c r="J48" i="7"/>
  <c r="B40" i="7"/>
  <c r="C40" i="7"/>
  <c r="D40" i="7"/>
  <c r="E40" i="7"/>
  <c r="B15" i="7" a="1"/>
  <c r="B15" i="7"/>
  <c r="C15" i="7"/>
  <c r="D15" i="7"/>
  <c r="E15" i="7" a="1"/>
  <c r="E15" i="7"/>
  <c r="B16" i="7" a="1"/>
  <c r="B16" i="7"/>
  <c r="C16" i="7"/>
  <c r="D16" i="7"/>
  <c r="E16" i="7" a="1"/>
  <c r="E16" i="7"/>
  <c r="B17" i="7" a="1"/>
  <c r="B17" i="7"/>
  <c r="C17" i="7"/>
  <c r="D17" i="7"/>
  <c r="E17" i="7" a="1"/>
  <c r="E17" i="7"/>
  <c r="B18" i="7" a="1"/>
  <c r="B18" i="7"/>
  <c r="C18" i="7"/>
  <c r="D18" i="7"/>
  <c r="E18" i="7" a="1"/>
  <c r="E18" i="7"/>
  <c r="B19" i="7" a="1"/>
  <c r="B19" i="7"/>
  <c r="C19" i="7"/>
  <c r="D19" i="7"/>
  <c r="E19" i="7" a="1"/>
  <c r="E19" i="7"/>
  <c r="B20" i="7" a="1"/>
  <c r="B20" i="7"/>
  <c r="C20" i="7"/>
  <c r="D20" i="7"/>
  <c r="E20" i="7" a="1"/>
  <c r="E20" i="7"/>
  <c r="B21" i="7" a="1"/>
  <c r="B21" i="7"/>
  <c r="C21" i="7"/>
  <c r="D21" i="7"/>
  <c r="E21" i="7" a="1"/>
  <c r="E21" i="7"/>
  <c r="B22" i="7" a="1"/>
  <c r="B22" i="7"/>
  <c r="C22" i="7"/>
  <c r="D22" i="7"/>
  <c r="E22" i="7" a="1"/>
  <c r="E22" i="7"/>
  <c r="B23" i="7" a="1"/>
  <c r="B23" i="7"/>
  <c r="C23" i="7"/>
  <c r="D23" i="7"/>
  <c r="E23" i="7" a="1"/>
  <c r="E23" i="7"/>
  <c r="B24" i="7" a="1"/>
  <c r="B24" i="7"/>
  <c r="C24" i="7"/>
  <c r="D24" i="7"/>
  <c r="E24" i="7" a="1"/>
  <c r="E24" i="7"/>
  <c r="B25" i="7" a="1"/>
  <c r="B25" i="7"/>
  <c r="C25" i="7"/>
  <c r="D25" i="7"/>
  <c r="E25" i="7" a="1"/>
  <c r="E25" i="7"/>
  <c r="B26" i="7" a="1"/>
  <c r="B26" i="7"/>
  <c r="C26" i="7"/>
  <c r="D26" i="7"/>
  <c r="E26" i="7" a="1"/>
  <c r="E26" i="7"/>
  <c r="B27" i="7" a="1"/>
  <c r="B27" i="7"/>
  <c r="C27" i="7"/>
  <c r="D27" i="7"/>
  <c r="E27" i="7" a="1"/>
  <c r="E27" i="7"/>
  <c r="B28" i="7" a="1"/>
  <c r="B28" i="7"/>
  <c r="C28" i="7"/>
  <c r="D28" i="7"/>
  <c r="E28" i="7" a="1"/>
  <c r="E28" i="7"/>
  <c r="B29" i="7" a="1"/>
  <c r="B29" i="7"/>
  <c r="C29" i="7"/>
  <c r="D29" i="7"/>
  <c r="E29" i="7" a="1"/>
  <c r="E29" i="7"/>
  <c r="B30" i="7" a="1"/>
  <c r="B30" i="7"/>
  <c r="C30" i="7"/>
  <c r="D30" i="7"/>
  <c r="E30" i="7" a="1"/>
  <c r="E30" i="7"/>
  <c r="B31" i="7" a="1"/>
  <c r="B31" i="7"/>
  <c r="C31" i="7"/>
  <c r="D31" i="7"/>
  <c r="E31" i="7" a="1"/>
  <c r="E31" i="7"/>
  <c r="B32" i="7" a="1"/>
  <c r="B32" i="7"/>
  <c r="C32" i="7"/>
  <c r="D32" i="7"/>
  <c r="E32" i="7" a="1"/>
  <c r="E32" i="7"/>
  <c r="B33" i="7" a="1"/>
  <c r="B33" i="7"/>
  <c r="C33" i="7"/>
  <c r="D33" i="7"/>
  <c r="E33" i="7" a="1"/>
  <c r="E33" i="7"/>
  <c r="B34" i="7" a="1"/>
  <c r="B34" i="7"/>
  <c r="C34" i="7"/>
  <c r="D34" i="7"/>
  <c r="E34" i="7" a="1"/>
  <c r="E34" i="7"/>
  <c r="B35" i="7" a="1"/>
  <c r="B35" i="7"/>
  <c r="C35" i="7"/>
  <c r="D35" i="7"/>
  <c r="E35" i="7" a="1"/>
  <c r="E35" i="7"/>
  <c r="B36" i="7" a="1"/>
  <c r="B36" i="7"/>
  <c r="C36" i="7"/>
  <c r="D36" i="7"/>
  <c r="E36" i="7" a="1"/>
  <c r="E36" i="7"/>
  <c r="B37" i="7" a="1"/>
  <c r="B37" i="7"/>
  <c r="C37" i="7"/>
  <c r="D37" i="7"/>
  <c r="E37" i="7" a="1"/>
  <c r="E37" i="7"/>
  <c r="B38" i="7" a="1"/>
  <c r="B38" i="7"/>
  <c r="C38" i="7"/>
  <c r="D38" i="7"/>
  <c r="E38" i="7" a="1"/>
  <c r="E38" i="7"/>
  <c r="B5" i="7"/>
  <c r="B7" i="7"/>
  <c r="B8" i="7"/>
  <c r="B9" i="7" a="1"/>
  <c r="B9" i="7"/>
  <c r="B10" i="7" a="1"/>
  <c r="B10" i="7"/>
  <c r="B11" i="7" a="1"/>
  <c r="B11" i="7"/>
  <c r="I18" i="6"/>
  <c r="J18" i="6"/>
  <c r="K18" i="6"/>
  <c r="I17" i="6"/>
  <c r="J17" i="6"/>
  <c r="K17" i="6"/>
  <c r="I16" i="6"/>
  <c r="J16" i="6"/>
  <c r="K16" i="6"/>
  <c r="I11" i="6"/>
  <c r="J11" i="6"/>
  <c r="K11" i="6"/>
  <c r="I10" i="6"/>
  <c r="J10" i="6"/>
  <c r="K10" i="6"/>
  <c r="I9" i="6"/>
  <c r="J9" i="6"/>
  <c r="K9" i="6"/>
  <c r="I8" i="6"/>
  <c r="J8" i="6"/>
  <c r="K8" i="6"/>
  <c r="I7" i="6"/>
  <c r="J7" i="6"/>
  <c r="K7" i="6"/>
  <c r="I6" i="6"/>
  <c r="J6" i="6"/>
  <c r="K6" i="6"/>
  <c r="I5" i="6"/>
  <c r="J5" i="6"/>
  <c r="K5" i="6"/>
  <c r="B32" i="6"/>
  <c r="C32" i="6"/>
  <c r="D32" i="6"/>
  <c r="E32" i="6"/>
  <c r="F32" i="6"/>
  <c r="B31" i="6"/>
  <c r="C31" i="6"/>
  <c r="D31" i="6"/>
  <c r="E31" i="6"/>
  <c r="F31" i="6"/>
  <c r="B30" i="6"/>
  <c r="C30" i="6"/>
  <c r="D30" i="6"/>
  <c r="E30" i="6"/>
  <c r="F30" i="6"/>
  <c r="B29" i="6"/>
  <c r="C29" i="6"/>
  <c r="D29" i="6"/>
  <c r="E29" i="6"/>
  <c r="F29" i="6"/>
  <c r="B28" i="6"/>
  <c r="C28" i="6"/>
  <c r="D28" i="6"/>
  <c r="E28" i="6"/>
  <c r="F28" i="6"/>
  <c r="B27" i="6"/>
  <c r="C27" i="6"/>
  <c r="D27" i="6"/>
  <c r="E27" i="6"/>
  <c r="F27" i="6"/>
  <c r="B26" i="6"/>
  <c r="C26" i="6"/>
  <c r="D26" i="6"/>
  <c r="E26" i="6"/>
  <c r="F26" i="6"/>
  <c r="B25" i="6"/>
  <c r="C25" i="6"/>
  <c r="D25" i="6"/>
  <c r="E25" i="6"/>
  <c r="F25" i="6"/>
  <c r="B24" i="6"/>
  <c r="C24" i="6"/>
  <c r="D24" i="6"/>
  <c r="E24" i="6"/>
  <c r="F24" i="6"/>
  <c r="B19" i="6"/>
  <c r="D19" i="6"/>
  <c r="C19" i="6" s="1"/>
  <c r="E19" i="6"/>
  <c r="F19" i="6"/>
  <c r="B18" i="6"/>
  <c r="D18" i="6"/>
  <c r="C18" i="6" s="1"/>
  <c r="E18" i="6"/>
  <c r="F18" i="6"/>
  <c r="B17" i="6"/>
  <c r="D17" i="6"/>
  <c r="C17" i="6" s="1"/>
  <c r="E17" i="6"/>
  <c r="F17" i="6"/>
  <c r="B16" i="6"/>
  <c r="D16" i="6"/>
  <c r="C16" i="6" s="1"/>
  <c r="E16" i="6"/>
  <c r="F16" i="6"/>
  <c r="B15" i="6"/>
  <c r="D15" i="6"/>
  <c r="C15" i="6" s="1"/>
  <c r="E15" i="6"/>
  <c r="F15" i="6"/>
  <c r="B14" i="6"/>
  <c r="D14" i="6"/>
  <c r="C14" i="6" s="1"/>
  <c r="E14" i="6"/>
  <c r="F14" i="6"/>
  <c r="B13" i="6"/>
  <c r="D13" i="6"/>
  <c r="C13" i="6" s="1"/>
  <c r="E13" i="6"/>
  <c r="F13" i="6"/>
  <c r="B8" i="6"/>
  <c r="D8" i="6"/>
  <c r="E8" i="6"/>
  <c r="F8" i="6"/>
  <c r="G8" i="6"/>
  <c r="B7" i="6"/>
  <c r="C7" i="6"/>
  <c r="D7" i="6"/>
  <c r="E7" i="6"/>
  <c r="F7" i="6"/>
  <c r="G7" i="6"/>
  <c r="B6" i="6"/>
  <c r="C6" i="6"/>
  <c r="D6" i="6"/>
  <c r="E6" i="6"/>
  <c r="F6" i="6"/>
  <c r="G6" i="6"/>
  <c r="C5" i="6"/>
  <c r="C8" i="6" s="1"/>
  <c r="D5" i="6"/>
  <c r="E5" i="6"/>
  <c r="F5" i="6"/>
  <c r="G5" i="6"/>
  <c r="B37" i="5"/>
  <c r="B36" i="5"/>
  <c r="B35" i="5" a="1"/>
  <c r="B35" i="5"/>
  <c r="B34" i="5"/>
  <c r="B33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 a="1"/>
  <c r="C20" i="5"/>
  <c r="B20" i="5" a="1"/>
  <c r="B20" i="5"/>
  <c r="C19" i="5"/>
  <c r="B19" i="5"/>
  <c r="O13" i="5"/>
  <c r="O12" i="5"/>
  <c r="O11" i="5"/>
  <c r="O10" i="5"/>
  <c r="O9" i="5"/>
  <c r="O8" i="5"/>
  <c r="O7" i="5"/>
  <c r="O6" i="5"/>
  <c r="O5" i="5"/>
  <c r="O4" i="5"/>
  <c r="D39" i="4"/>
  <c r="C39" i="4"/>
  <c r="B39" i="4"/>
  <c r="C38" i="4"/>
  <c r="B38" i="4"/>
  <c r="D38" i="4" s="1"/>
  <c r="C37" i="4"/>
  <c r="B37" i="4"/>
  <c r="D37" i="4" s="1"/>
  <c r="C32" i="4"/>
  <c r="B32" i="4"/>
  <c r="C31" i="4"/>
  <c r="B31" i="4"/>
  <c r="C30" i="4"/>
  <c r="B30" i="4"/>
  <c r="H28" i="4"/>
  <c r="H25" i="4"/>
  <c r="H27" i="4" s="1"/>
  <c r="C25" i="4"/>
  <c r="B25" i="4"/>
  <c r="D25" i="4" s="1"/>
  <c r="H24" i="4"/>
  <c r="H26" i="4" s="1"/>
  <c r="C24" i="4"/>
  <c r="B24" i="4"/>
  <c r="D24" i="4" s="1"/>
  <c r="C23" i="4"/>
  <c r="B23" i="4"/>
  <c r="D23" i="4" s="1"/>
  <c r="C22" i="4"/>
  <c r="B22" i="4"/>
  <c r="D22" i="4" s="1"/>
  <c r="C21" i="4"/>
  <c r="B21" i="4"/>
  <c r="D21" i="4" s="1"/>
  <c r="C20" i="4"/>
  <c r="B20" i="4"/>
  <c r="D20" i="4" s="1"/>
  <c r="H19" i="4"/>
  <c r="C19" i="4"/>
  <c r="B19" i="4"/>
  <c r="D19" i="4" s="1"/>
  <c r="H18" i="4"/>
  <c r="H15" i="4"/>
  <c r="H17" i="4" s="1"/>
  <c r="H14" i="4"/>
  <c r="H16" i="4" s="1"/>
  <c r="B14" i="4"/>
  <c r="B13" i="4"/>
  <c r="B12" i="4"/>
  <c r="B11" i="4"/>
  <c r="B10" i="4"/>
  <c r="I9" i="4"/>
  <c r="H9" i="4"/>
  <c r="J9" i="4" s="1"/>
  <c r="B9" i="4"/>
  <c r="I8" i="4"/>
  <c r="H8" i="4"/>
  <c r="J8" i="4" s="1"/>
  <c r="B8" i="4"/>
  <c r="I7" i="4"/>
  <c r="H7" i="4"/>
  <c r="J7" i="4" s="1"/>
  <c r="B7" i="4"/>
  <c r="I6" i="4"/>
  <c r="H6" i="4"/>
  <c r="J6" i="4" s="1"/>
  <c r="B6" i="4"/>
  <c r="I5" i="4"/>
  <c r="H5" i="4"/>
  <c r="J5" i="4" s="1"/>
  <c r="B5" i="4"/>
  <c r="H24" i="3"/>
  <c r="H25" i="3"/>
  <c r="H26" i="3"/>
  <c r="H27" i="3"/>
  <c r="H28" i="3"/>
  <c r="H14" i="3"/>
  <c r="H15" i="3"/>
  <c r="H16" i="3"/>
  <c r="H17" i="3"/>
  <c r="H18" i="3"/>
  <c r="H19" i="3"/>
  <c r="H5" i="3"/>
  <c r="I5" i="3"/>
  <c r="J5" i="3"/>
  <c r="H6" i="3"/>
  <c r="I6" i="3"/>
  <c r="J6" i="3"/>
  <c r="H7" i="3"/>
  <c r="I7" i="3"/>
  <c r="J7" i="3"/>
  <c r="H8" i="3"/>
  <c r="I8" i="3"/>
  <c r="J8" i="3"/>
  <c r="H9" i="3"/>
  <c r="I9" i="3"/>
  <c r="J9" i="3"/>
  <c r="B37" i="3"/>
  <c r="C37" i="3"/>
  <c r="D37" i="3"/>
  <c r="B38" i="3"/>
  <c r="C38" i="3"/>
  <c r="D38" i="3"/>
  <c r="B39" i="3"/>
  <c r="C39" i="3"/>
  <c r="D39" i="3"/>
  <c r="B30" i="3"/>
  <c r="C30" i="3"/>
  <c r="D30" i="3"/>
  <c r="E30" i="3"/>
  <c r="B31" i="3"/>
  <c r="C31" i="3"/>
  <c r="D31" i="3"/>
  <c r="E31" i="3"/>
  <c r="B32" i="3"/>
  <c r="C32" i="3"/>
  <c r="D32" i="3"/>
  <c r="E32" i="3"/>
  <c r="B19" i="3"/>
  <c r="C19" i="3"/>
  <c r="D19" i="3"/>
  <c r="E19" i="3"/>
  <c r="B20" i="3"/>
  <c r="C20" i="3"/>
  <c r="D20" i="3"/>
  <c r="E20" i="3"/>
  <c r="B21" i="3"/>
  <c r="C21" i="3"/>
  <c r="D21" i="3"/>
  <c r="E21" i="3"/>
  <c r="B22" i="3"/>
  <c r="C22" i="3"/>
  <c r="D22" i="3"/>
  <c r="E22" i="3"/>
  <c r="B23" i="3"/>
  <c r="C23" i="3"/>
  <c r="D23" i="3"/>
  <c r="E23" i="3"/>
  <c r="B24" i="3"/>
  <c r="C24" i="3"/>
  <c r="D24" i="3"/>
  <c r="E24" i="3"/>
  <c r="B25" i="3"/>
  <c r="C25" i="3"/>
  <c r="D25" i="3"/>
  <c r="E25" i="3"/>
  <c r="B5" i="3"/>
  <c r="B6" i="3"/>
  <c r="B7" i="3"/>
  <c r="B8" i="3"/>
  <c r="B9" i="3"/>
  <c r="B10" i="3"/>
  <c r="B11" i="3"/>
  <c r="B12" i="3"/>
  <c r="B13" i="3"/>
  <c r="B14" i="3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X2" i="1"/>
  <c r="Z2" i="1" s="1"/>
  <c r="X3" i="1"/>
  <c r="Z3" i="1" s="1"/>
  <c r="X4" i="1"/>
  <c r="Z4" i="1" s="1"/>
  <c r="X5" i="1"/>
  <c r="Z5" i="1" s="1"/>
  <c r="X6" i="1"/>
  <c r="Z6" i="1" s="1"/>
  <c r="X7" i="1"/>
  <c r="Z7" i="1" s="1"/>
  <c r="X8" i="1"/>
  <c r="Z8" i="1" s="1"/>
  <c r="X9" i="1"/>
  <c r="Z9" i="1" s="1"/>
  <c r="X10" i="1"/>
  <c r="Z10" i="1" s="1"/>
  <c r="X11" i="1"/>
  <c r="Z11" i="1" s="1"/>
  <c r="X12" i="1"/>
  <c r="Z12" i="1" s="1"/>
  <c r="X13" i="1"/>
  <c r="Z13" i="1" s="1"/>
  <c r="X14" i="1"/>
  <c r="Z14" i="1" s="1"/>
  <c r="X15" i="1"/>
  <c r="Z15" i="1" s="1"/>
  <c r="X16" i="1"/>
  <c r="Z16" i="1" s="1"/>
  <c r="X17" i="1"/>
  <c r="Z17" i="1" s="1"/>
  <c r="X18" i="1"/>
  <c r="Z18" i="1" s="1"/>
  <c r="X19" i="1"/>
  <c r="Z19" i="1" s="1"/>
  <c r="X20" i="1"/>
  <c r="Z20" i="1" s="1"/>
  <c r="X21" i="1"/>
  <c r="Z21" i="1" s="1"/>
  <c r="X22" i="1"/>
  <c r="Z22" i="1" s="1"/>
  <c r="X23" i="1"/>
  <c r="Z23" i="1" s="1"/>
  <c r="X24" i="1"/>
  <c r="Z24" i="1" s="1"/>
  <c r="X25" i="1"/>
  <c r="Z25" i="1" s="1"/>
  <c r="X26" i="1"/>
  <c r="Z26" i="1" s="1"/>
  <c r="X27" i="1"/>
  <c r="Z27" i="1" s="1"/>
  <c r="X28" i="1"/>
  <c r="Z28" i="1" s="1"/>
  <c r="X29" i="1"/>
  <c r="Z29" i="1" s="1"/>
  <c r="X30" i="1"/>
  <c r="Z30" i="1" s="1"/>
  <c r="X31" i="1"/>
  <c r="Z31" i="1" s="1"/>
  <c r="X32" i="1"/>
  <c r="Z32" i="1" s="1"/>
  <c r="X33" i="1"/>
  <c r="Z33" i="1" s="1"/>
  <c r="X34" i="1"/>
  <c r="Z34" i="1" s="1"/>
  <c r="X35" i="1"/>
  <c r="Z35" i="1" s="1"/>
  <c r="X36" i="1"/>
  <c r="Z36" i="1" s="1"/>
  <c r="X37" i="1"/>
  <c r="Z37" i="1" s="1"/>
  <c r="X38" i="1"/>
  <c r="Z38" i="1" s="1"/>
  <c r="X39" i="1"/>
  <c r="Z39" i="1" s="1"/>
  <c r="X40" i="1"/>
  <c r="Z40" i="1" s="1"/>
  <c r="X41" i="1"/>
  <c r="Z41" i="1" s="1"/>
  <c r="X42" i="1"/>
  <c r="Z42" i="1" s="1"/>
  <c r="X43" i="1"/>
  <c r="Z43" i="1" s="1"/>
  <c r="X44" i="1"/>
  <c r="Z44" i="1" s="1"/>
  <c r="X45" i="1"/>
  <c r="Z45" i="1" s="1"/>
  <c r="X46" i="1"/>
  <c r="Z46" i="1" s="1"/>
  <c r="X47" i="1"/>
  <c r="Z47" i="1" s="1"/>
  <c r="X48" i="1"/>
  <c r="Z48" i="1" s="1"/>
  <c r="X49" i="1"/>
  <c r="Z49" i="1" s="1"/>
  <c r="X50" i="1"/>
  <c r="Z50" i="1" s="1"/>
  <c r="X51" i="1"/>
  <c r="Z51" i="1" s="1"/>
  <c r="X52" i="1"/>
  <c r="Z52" i="1" s="1"/>
  <c r="X53" i="1"/>
  <c r="Z53" i="1" s="1"/>
  <c r="X54" i="1"/>
  <c r="Z54" i="1" s="1"/>
  <c r="X55" i="1"/>
  <c r="Z55" i="1" s="1"/>
  <c r="X56" i="1"/>
  <c r="Z56" i="1" s="1"/>
  <c r="X57" i="1"/>
  <c r="Z57" i="1" s="1"/>
  <c r="X58" i="1"/>
  <c r="Z58" i="1" s="1"/>
  <c r="X59" i="1"/>
  <c r="Z59" i="1" s="1"/>
  <c r="X60" i="1"/>
  <c r="Z60" i="1" s="1"/>
  <c r="X61" i="1"/>
  <c r="Z61" i="1" s="1"/>
  <c r="X62" i="1"/>
  <c r="Z62" i="1" s="1"/>
  <c r="X63" i="1"/>
  <c r="Z63" i="1" s="1"/>
  <c r="X64" i="1"/>
  <c r="Z64" i="1" s="1"/>
  <c r="X65" i="1"/>
  <c r="Z65" i="1" s="1"/>
  <c r="X66" i="1"/>
  <c r="Z66" i="1" s="1"/>
  <c r="X67" i="1"/>
  <c r="Z67" i="1" s="1"/>
  <c r="X68" i="1"/>
  <c r="Z68" i="1" s="1"/>
  <c r="X69" i="1"/>
  <c r="Z69" i="1" s="1"/>
  <c r="X70" i="1"/>
  <c r="Z70" i="1" s="1"/>
  <c r="X71" i="1"/>
  <c r="Z71" i="1" s="1"/>
  <c r="X72" i="1"/>
  <c r="Z72" i="1" s="1"/>
  <c r="X73" i="1"/>
  <c r="Z73" i="1" s="1"/>
  <c r="X74" i="1"/>
  <c r="Z74" i="1" s="1"/>
  <c r="X75" i="1"/>
  <c r="Z75" i="1" s="1"/>
  <c r="X76" i="1"/>
  <c r="Z76" i="1" s="1"/>
  <c r="X77" i="1"/>
  <c r="Z77" i="1" s="1"/>
  <c r="X78" i="1"/>
  <c r="Z78" i="1" s="1"/>
  <c r="X79" i="1"/>
  <c r="Z79" i="1" s="1"/>
  <c r="X80" i="1"/>
  <c r="Z80" i="1" s="1"/>
  <c r="X81" i="1"/>
  <c r="Z81" i="1" s="1"/>
  <c r="X82" i="1"/>
  <c r="Z82" i="1" s="1"/>
  <c r="X83" i="1"/>
  <c r="Z83" i="1" s="1"/>
  <c r="X84" i="1"/>
  <c r="Z84" i="1" s="1"/>
  <c r="X85" i="1"/>
  <c r="Z85" i="1" s="1"/>
  <c r="X86" i="1"/>
  <c r="Z86" i="1" s="1"/>
  <c r="X87" i="1"/>
  <c r="Z87" i="1" s="1"/>
  <c r="X88" i="1"/>
  <c r="Z88" i="1" s="1"/>
  <c r="X89" i="1"/>
  <c r="Z89" i="1" s="1"/>
  <c r="X90" i="1"/>
  <c r="Z90" i="1" s="1"/>
  <c r="X91" i="1"/>
  <c r="Z91" i="1" s="1"/>
  <c r="X92" i="1"/>
  <c r="Z92" i="1" s="1"/>
  <c r="X93" i="1"/>
  <c r="Z93" i="1" s="1"/>
  <c r="X94" i="1"/>
  <c r="Z94" i="1" s="1"/>
  <c r="X95" i="1"/>
  <c r="Z95" i="1" s="1"/>
  <c r="X96" i="1"/>
  <c r="Z96" i="1" s="1"/>
  <c r="X97" i="1"/>
  <c r="Z97" i="1" s="1"/>
  <c r="X98" i="1"/>
  <c r="Z98" i="1" s="1"/>
  <c r="X99" i="1"/>
  <c r="Z99" i="1" s="1"/>
  <c r="X100" i="1"/>
  <c r="Z100" i="1" s="1"/>
  <c r="X101" i="1"/>
  <c r="Z101" i="1" s="1"/>
  <c r="X102" i="1"/>
  <c r="Z102" i="1" s="1"/>
  <c r="X103" i="1"/>
  <c r="Z103" i="1" s="1"/>
  <c r="X104" i="1"/>
  <c r="Z104" i="1" s="1"/>
  <c r="X105" i="1"/>
  <c r="Z105" i="1" s="1"/>
  <c r="X106" i="1"/>
  <c r="Z106" i="1" s="1"/>
  <c r="X107" i="1"/>
  <c r="Z107" i="1" s="1"/>
  <c r="X108" i="1"/>
  <c r="Z108" i="1" s="1"/>
  <c r="X109" i="1"/>
  <c r="Z109" i="1" s="1"/>
  <c r="X110" i="1"/>
  <c r="Z110" i="1" s="1"/>
  <c r="X111" i="1"/>
  <c r="Z111" i="1" s="1"/>
  <c r="X112" i="1"/>
  <c r="Z112" i="1" s="1"/>
  <c r="X113" i="1"/>
  <c r="Z113" i="1" s="1"/>
  <c r="X114" i="1"/>
  <c r="Z114" i="1" s="1"/>
  <c r="X115" i="1"/>
  <c r="Z115" i="1" s="1"/>
  <c r="X116" i="1"/>
  <c r="Z116" i="1" s="1"/>
  <c r="X117" i="1"/>
  <c r="Z117" i="1" s="1"/>
  <c r="X118" i="1"/>
  <c r="Z118" i="1" s="1"/>
  <c r="X119" i="1"/>
  <c r="Z119" i="1" s="1"/>
  <c r="X120" i="1"/>
  <c r="Z120" i="1" s="1"/>
  <c r="X121" i="1"/>
  <c r="Z121" i="1" s="1"/>
  <c r="X122" i="1"/>
  <c r="Z122" i="1" s="1"/>
  <c r="X123" i="1"/>
  <c r="Z123" i="1" s="1"/>
  <c r="X124" i="1"/>
  <c r="Z124" i="1" s="1"/>
  <c r="X125" i="1"/>
  <c r="Z125" i="1" s="1"/>
  <c r="X126" i="1"/>
  <c r="Z126" i="1" s="1"/>
  <c r="X127" i="1"/>
  <c r="Z127" i="1" s="1"/>
  <c r="X128" i="1"/>
  <c r="Z128" i="1" s="1"/>
  <c r="X129" i="1"/>
  <c r="Z129" i="1" s="1"/>
  <c r="X130" i="1"/>
  <c r="Z130" i="1" s="1"/>
  <c r="X131" i="1"/>
  <c r="Z131" i="1" s="1"/>
  <c r="X132" i="1"/>
  <c r="Z132" i="1" s="1"/>
  <c r="X133" i="1"/>
  <c r="Z133" i="1" s="1"/>
  <c r="X134" i="1"/>
  <c r="Z134" i="1" s="1"/>
  <c r="X135" i="1"/>
  <c r="Z135" i="1" s="1"/>
  <c r="X136" i="1"/>
  <c r="Z136" i="1" s="1"/>
  <c r="X137" i="1"/>
  <c r="Z137" i="1" s="1"/>
  <c r="X138" i="1"/>
  <c r="Z138" i="1" s="1"/>
  <c r="X139" i="1"/>
  <c r="Z139" i="1" s="1"/>
  <c r="X140" i="1"/>
  <c r="Z140" i="1" s="1"/>
  <c r="X141" i="1"/>
  <c r="Z141" i="1" s="1"/>
  <c r="X142" i="1"/>
  <c r="Z142" i="1" s="1"/>
  <c r="X143" i="1"/>
  <c r="Z143" i="1" s="1"/>
  <c r="X144" i="1"/>
  <c r="Z144" i="1" s="1"/>
  <c r="X145" i="1"/>
  <c r="Z145" i="1" s="1"/>
  <c r="X146" i="1"/>
  <c r="Z146" i="1" s="1"/>
  <c r="X147" i="1"/>
  <c r="Z147" i="1" s="1"/>
  <c r="X148" i="1"/>
  <c r="Z148" i="1" s="1"/>
  <c r="X149" i="1"/>
  <c r="Z149" i="1" s="1"/>
  <c r="X150" i="1"/>
  <c r="Z150" i="1" s="1"/>
  <c r="X151" i="1"/>
  <c r="Z151" i="1" s="1"/>
  <c r="X152" i="1"/>
  <c r="Z152" i="1" s="1"/>
  <c r="X153" i="1"/>
  <c r="Z153" i="1" s="1"/>
  <c r="X154" i="1"/>
  <c r="Z154" i="1" s="1"/>
  <c r="X155" i="1"/>
  <c r="Z155" i="1" s="1"/>
  <c r="X156" i="1"/>
  <c r="Z156" i="1" s="1"/>
  <c r="X157" i="1"/>
  <c r="Z157" i="1" s="1"/>
  <c r="X158" i="1"/>
  <c r="Z158" i="1" s="1"/>
  <c r="X159" i="1"/>
  <c r="Z159" i="1" s="1"/>
  <c r="X160" i="1"/>
  <c r="Z160" i="1" s="1"/>
  <c r="X161" i="1"/>
  <c r="Z161" i="1" s="1"/>
  <c r="X162" i="1"/>
  <c r="Z162" i="1" s="1"/>
  <c r="X163" i="1"/>
  <c r="Z163" i="1" s="1"/>
  <c r="X164" i="1"/>
  <c r="Z164" i="1" s="1"/>
  <c r="X165" i="1"/>
  <c r="Z165" i="1" s="1"/>
  <c r="X166" i="1"/>
  <c r="Z166" i="1" s="1"/>
  <c r="X167" i="1"/>
  <c r="Z167" i="1" s="1"/>
  <c r="X168" i="1"/>
  <c r="Z168" i="1" s="1"/>
  <c r="X169" i="1"/>
  <c r="Z169" i="1" s="1"/>
  <c r="X170" i="1"/>
  <c r="Z170" i="1" s="1"/>
  <c r="X171" i="1"/>
  <c r="Z171" i="1" s="1"/>
  <c r="X172" i="1"/>
  <c r="Z172" i="1" s="1"/>
  <c r="X173" i="1"/>
  <c r="Z173" i="1" s="1"/>
  <c r="X174" i="1"/>
  <c r="Z174" i="1" s="1"/>
  <c r="X175" i="1"/>
  <c r="Z175" i="1" s="1"/>
  <c r="X176" i="1"/>
  <c r="Z176" i="1" s="1"/>
  <c r="X177" i="1"/>
  <c r="Z177" i="1" s="1"/>
  <c r="X178" i="1"/>
  <c r="Z178" i="1" s="1"/>
  <c r="X179" i="1"/>
  <c r="Z179" i="1" s="1"/>
  <c r="X180" i="1"/>
  <c r="Z180" i="1" s="1"/>
  <c r="X181" i="1"/>
  <c r="Z181" i="1" s="1"/>
  <c r="X182" i="1"/>
  <c r="Z182" i="1" s="1"/>
  <c r="X183" i="1"/>
  <c r="Z183" i="1" s="1"/>
  <c r="X184" i="1"/>
  <c r="Z184" i="1" s="1"/>
  <c r="X185" i="1"/>
  <c r="Z185" i="1" s="1"/>
  <c r="X186" i="1"/>
  <c r="Z186" i="1" s="1"/>
  <c r="X187" i="1"/>
  <c r="Z187" i="1" s="1"/>
  <c r="X188" i="1"/>
  <c r="Z188" i="1" s="1"/>
  <c r="X189" i="1"/>
  <c r="Z189" i="1" s="1"/>
  <c r="X190" i="1"/>
  <c r="Z190" i="1" s="1"/>
  <c r="X191" i="1"/>
  <c r="Z191" i="1" s="1"/>
  <c r="X192" i="1"/>
  <c r="Z192" i="1" s="1"/>
  <c r="X193" i="1"/>
  <c r="Z193" i="1" s="1"/>
  <c r="X194" i="1"/>
  <c r="Z194" i="1" s="1"/>
  <c r="X195" i="1"/>
  <c r="Z195" i="1" s="1"/>
  <c r="X196" i="1"/>
  <c r="Z196" i="1" s="1"/>
  <c r="X197" i="1"/>
  <c r="Z197" i="1" s="1"/>
  <c r="X198" i="1"/>
  <c r="Z198" i="1" s="1"/>
  <c r="X199" i="1"/>
  <c r="Z199" i="1" s="1"/>
  <c r="X200" i="1"/>
  <c r="Z200" i="1" s="1"/>
  <c r="X201" i="1"/>
  <c r="Z201" i="1" s="1"/>
  <c r="X202" i="1"/>
  <c r="Z202" i="1" s="1"/>
  <c r="X203" i="1"/>
  <c r="Z203" i="1" s="1"/>
  <c r="X204" i="1"/>
  <c r="Z204" i="1" s="1"/>
  <c r="X205" i="1"/>
  <c r="Z205" i="1" s="1"/>
  <c r="X206" i="1"/>
  <c r="Z206" i="1" s="1"/>
  <c r="X207" i="1"/>
  <c r="Z207" i="1" s="1"/>
  <c r="X208" i="1"/>
  <c r="Z208" i="1" s="1"/>
  <c r="X209" i="1"/>
  <c r="Z209" i="1" s="1"/>
  <c r="X210" i="1"/>
  <c r="Z210" i="1" s="1"/>
  <c r="X211" i="1"/>
  <c r="Z211" i="1" s="1"/>
  <c r="X212" i="1"/>
  <c r="Z212" i="1" s="1"/>
  <c r="X213" i="1"/>
  <c r="Z213" i="1" s="1"/>
  <c r="X214" i="1"/>
  <c r="Z214" i="1" s="1"/>
  <c r="X215" i="1"/>
  <c r="Z215" i="1" s="1"/>
  <c r="X216" i="1"/>
  <c r="Z216" i="1" s="1"/>
  <c r="X217" i="1"/>
  <c r="Z217" i="1" s="1"/>
  <c r="X218" i="1"/>
  <c r="Z218" i="1" s="1"/>
  <c r="X219" i="1"/>
  <c r="Z219" i="1" s="1"/>
  <c r="X220" i="1"/>
  <c r="Z220" i="1" s="1"/>
  <c r="X221" i="1"/>
  <c r="Z221" i="1" s="1"/>
  <c r="X222" i="1"/>
  <c r="Z222" i="1" s="1"/>
  <c r="X223" i="1"/>
  <c r="Z223" i="1" s="1"/>
  <c r="X224" i="1"/>
  <c r="Z224" i="1" s="1"/>
  <c r="X225" i="1"/>
  <c r="Z225" i="1" s="1"/>
  <c r="X226" i="1"/>
  <c r="Z226" i="1" s="1"/>
  <c r="X227" i="1"/>
  <c r="Z227" i="1" s="1"/>
  <c r="X228" i="1"/>
  <c r="Z228" i="1" s="1"/>
  <c r="X229" i="1"/>
  <c r="Z229" i="1" s="1"/>
  <c r="X230" i="1"/>
  <c r="Z230" i="1" s="1"/>
  <c r="X231" i="1"/>
  <c r="Z231" i="1" s="1"/>
  <c r="X232" i="1"/>
  <c r="Z232" i="1" s="1"/>
  <c r="X233" i="1"/>
  <c r="Z233" i="1" s="1"/>
  <c r="X234" i="1"/>
  <c r="Z234" i="1" s="1"/>
  <c r="X235" i="1"/>
  <c r="Z235" i="1" s="1"/>
  <c r="X236" i="1"/>
  <c r="Z236" i="1" s="1"/>
  <c r="X237" i="1"/>
  <c r="Z237" i="1" s="1"/>
  <c r="X238" i="1"/>
  <c r="Z238" i="1" s="1"/>
  <c r="X239" i="1"/>
  <c r="Z239" i="1" s="1"/>
  <c r="X240" i="1"/>
  <c r="Z240" i="1" s="1"/>
  <c r="X241" i="1"/>
  <c r="Z241" i="1" s="1"/>
  <c r="X242" i="1"/>
  <c r="Z242" i="1" s="1"/>
  <c r="X243" i="1"/>
  <c r="Z243" i="1" s="1"/>
  <c r="X244" i="1"/>
  <c r="Z244" i="1" s="1"/>
  <c r="X245" i="1"/>
  <c r="Z245" i="1" s="1"/>
  <c r="X246" i="1"/>
  <c r="Z246" i="1" s="1"/>
  <c r="X247" i="1"/>
  <c r="Z247" i="1" s="1"/>
  <c r="X248" i="1"/>
  <c r="Z248" i="1" s="1"/>
  <c r="X249" i="1"/>
  <c r="Z249" i="1" s="1"/>
  <c r="X250" i="1"/>
  <c r="Z250" i="1" s="1"/>
  <c r="X251" i="1"/>
  <c r="Z251" i="1" s="1"/>
  <c r="X252" i="1"/>
  <c r="Z252" i="1" s="1"/>
  <c r="X253" i="1"/>
  <c r="Z253" i="1" s="1"/>
  <c r="X254" i="1"/>
  <c r="Z254" i="1" s="1"/>
  <c r="X255" i="1"/>
  <c r="Z255" i="1" s="1"/>
  <c r="X256" i="1"/>
  <c r="Z256" i="1" s="1"/>
  <c r="X257" i="1"/>
  <c r="Z257" i="1" s="1"/>
  <c r="X258" i="1"/>
  <c r="Z258" i="1" s="1"/>
  <c r="X259" i="1"/>
  <c r="Z259" i="1" s="1"/>
  <c r="X260" i="1"/>
  <c r="Z260" i="1" s="1"/>
  <c r="X261" i="1"/>
  <c r="Z261" i="1" s="1"/>
  <c r="X262" i="1"/>
  <c r="Z262" i="1" s="1"/>
  <c r="X263" i="1"/>
  <c r="Z263" i="1" s="1"/>
  <c r="X264" i="1"/>
  <c r="Z264" i="1" s="1"/>
  <c r="X265" i="1"/>
  <c r="Z265" i="1" s="1"/>
  <c r="X266" i="1"/>
  <c r="Z266" i="1" s="1"/>
  <c r="X267" i="1"/>
  <c r="Z267" i="1" s="1"/>
  <c r="X268" i="1"/>
  <c r="Z268" i="1" s="1"/>
  <c r="X269" i="1"/>
  <c r="Z269" i="1" s="1"/>
  <c r="X270" i="1"/>
  <c r="Z270" i="1" s="1"/>
  <c r="X271" i="1"/>
  <c r="Z271" i="1" s="1"/>
  <c r="X272" i="1"/>
  <c r="Z272" i="1" s="1"/>
  <c r="X273" i="1"/>
  <c r="Z273" i="1" s="1"/>
  <c r="X274" i="1"/>
  <c r="Z274" i="1" s="1"/>
  <c r="X275" i="1"/>
  <c r="Z275" i="1" s="1"/>
  <c r="X276" i="1"/>
  <c r="Z276" i="1" s="1"/>
  <c r="X277" i="1"/>
  <c r="Z277" i="1" s="1"/>
  <c r="X278" i="1"/>
  <c r="Z278" i="1" s="1"/>
  <c r="X279" i="1"/>
  <c r="Z279" i="1" s="1"/>
  <c r="X280" i="1"/>
  <c r="Z280" i="1" s="1"/>
  <c r="X281" i="1"/>
  <c r="Z281" i="1" s="1"/>
  <c r="X282" i="1"/>
  <c r="Z282" i="1" s="1"/>
  <c r="X283" i="1"/>
  <c r="Z283" i="1" s="1"/>
  <c r="X284" i="1"/>
  <c r="Z284" i="1" s="1"/>
  <c r="X285" i="1"/>
  <c r="Z285" i="1" s="1"/>
  <c r="X286" i="1"/>
  <c r="Z286" i="1" s="1"/>
  <c r="X287" i="1"/>
  <c r="Z287" i="1" s="1"/>
  <c r="X288" i="1"/>
  <c r="Z288" i="1" s="1"/>
  <c r="X289" i="1"/>
  <c r="Z289" i="1" s="1"/>
  <c r="X290" i="1"/>
  <c r="Z290" i="1" s="1"/>
  <c r="X291" i="1"/>
  <c r="Z291" i="1" s="1"/>
  <c r="X292" i="1"/>
  <c r="Z292" i="1" s="1"/>
  <c r="X293" i="1"/>
  <c r="Z293" i="1" s="1"/>
  <c r="X294" i="1"/>
  <c r="Z294" i="1" s="1"/>
  <c r="X295" i="1"/>
  <c r="Z295" i="1" s="1"/>
  <c r="X296" i="1"/>
  <c r="Z296" i="1" s="1"/>
  <c r="X297" i="1"/>
  <c r="Z297" i="1" s="1"/>
  <c r="X298" i="1"/>
  <c r="Z298" i="1" s="1"/>
  <c r="X299" i="1"/>
  <c r="Z299" i="1" s="1"/>
  <c r="X300" i="1"/>
  <c r="Z300" i="1" s="1"/>
  <c r="X301" i="1"/>
  <c r="Z301" i="1" s="1"/>
  <c r="X302" i="1"/>
  <c r="Z302" i="1" s="1"/>
  <c r="X303" i="1"/>
  <c r="Z303" i="1" s="1"/>
  <c r="X304" i="1"/>
  <c r="Z304" i="1" s="1"/>
  <c r="X305" i="1"/>
  <c r="Z305" i="1" s="1"/>
  <c r="X306" i="1"/>
  <c r="Z306" i="1" s="1"/>
  <c r="X307" i="1"/>
  <c r="Z307" i="1" s="1"/>
  <c r="X308" i="1"/>
  <c r="Z308" i="1" s="1"/>
  <c r="X309" i="1"/>
  <c r="Z309" i="1" s="1"/>
  <c r="X310" i="1"/>
  <c r="Z310" i="1" s="1"/>
  <c r="X311" i="1"/>
  <c r="Z311" i="1" s="1"/>
  <c r="X312" i="1"/>
  <c r="Z312" i="1" s="1"/>
  <c r="X313" i="1"/>
  <c r="Z313" i="1" s="1"/>
  <c r="X314" i="1"/>
  <c r="Z314" i="1" s="1"/>
  <c r="X315" i="1"/>
  <c r="Z315" i="1" s="1"/>
  <c r="X316" i="1"/>
  <c r="Z316" i="1" s="1"/>
  <c r="X317" i="1"/>
  <c r="Z317" i="1" s="1"/>
  <c r="X318" i="1"/>
  <c r="Z318" i="1" s="1"/>
  <c r="X319" i="1"/>
  <c r="Z319" i="1" s="1"/>
  <c r="X320" i="1"/>
  <c r="Z320" i="1" s="1"/>
  <c r="X321" i="1"/>
  <c r="Z321" i="1" s="1"/>
  <c r="X322" i="1"/>
  <c r="Z322" i="1" s="1"/>
  <c r="X323" i="1"/>
  <c r="Z323" i="1" s="1"/>
  <c r="X324" i="1"/>
  <c r="Z324" i="1" s="1"/>
  <c r="X325" i="1"/>
  <c r="Z325" i="1" s="1"/>
  <c r="X326" i="1"/>
  <c r="Z326" i="1" s="1"/>
  <c r="X327" i="1"/>
  <c r="Z327" i="1" s="1"/>
  <c r="X328" i="1"/>
  <c r="Z328" i="1" s="1"/>
  <c r="X329" i="1"/>
  <c r="Z329" i="1" s="1"/>
  <c r="X330" i="1"/>
  <c r="Z330" i="1" s="1"/>
  <c r="X331" i="1"/>
  <c r="Z331" i="1" s="1"/>
  <c r="X332" i="1"/>
  <c r="Z332" i="1" s="1"/>
  <c r="X333" i="1"/>
  <c r="Z333" i="1" s="1"/>
  <c r="X334" i="1"/>
  <c r="Z334" i="1" s="1"/>
  <c r="X335" i="1"/>
  <c r="Z335" i="1" s="1"/>
  <c r="X336" i="1"/>
  <c r="Z336" i="1" s="1"/>
  <c r="X337" i="1"/>
  <c r="Z337" i="1" s="1"/>
  <c r="X338" i="1"/>
  <c r="Z338" i="1" s="1"/>
  <c r="X339" i="1"/>
  <c r="Z339" i="1" s="1"/>
  <c r="X340" i="1"/>
  <c r="Z340" i="1" s="1"/>
  <c r="X341" i="1"/>
  <c r="Z341" i="1" s="1"/>
  <c r="X342" i="1"/>
  <c r="Z342" i="1" s="1"/>
  <c r="X343" i="1"/>
  <c r="Z343" i="1" s="1"/>
  <c r="X344" i="1"/>
  <c r="Z344" i="1" s="1"/>
  <c r="X345" i="1"/>
  <c r="Z345" i="1" s="1"/>
  <c r="X346" i="1"/>
  <c r="Z346" i="1" s="1"/>
  <c r="X347" i="1"/>
  <c r="Z347" i="1" s="1"/>
  <c r="X348" i="1"/>
  <c r="Z348" i="1" s="1"/>
  <c r="X349" i="1"/>
  <c r="Z349" i="1" s="1"/>
  <c r="X350" i="1"/>
  <c r="Z350" i="1" s="1"/>
  <c r="X351" i="1"/>
  <c r="Z351" i="1" s="1"/>
  <c r="X352" i="1"/>
  <c r="Z352" i="1" s="1"/>
  <c r="X353" i="1"/>
  <c r="Z353" i="1" s="1"/>
  <c r="X354" i="1"/>
  <c r="Z354" i="1" s="1"/>
  <c r="X355" i="1"/>
  <c r="Z355" i="1" s="1"/>
  <c r="X356" i="1"/>
  <c r="Z356" i="1" s="1"/>
  <c r="X357" i="1"/>
  <c r="Z357" i="1" s="1"/>
  <c r="X358" i="1"/>
  <c r="Z358" i="1" s="1"/>
  <c r="X359" i="1"/>
  <c r="Z359" i="1" s="1"/>
  <c r="X360" i="1"/>
  <c r="Z360" i="1" s="1"/>
  <c r="X361" i="1"/>
  <c r="Z361" i="1" s="1"/>
  <c r="X362" i="1"/>
  <c r="Z362" i="1" s="1"/>
  <c r="X363" i="1"/>
  <c r="Z363" i="1" s="1"/>
  <c r="X364" i="1"/>
  <c r="Z364" i="1" s="1"/>
  <c r="X365" i="1"/>
  <c r="Z365" i="1" s="1"/>
  <c r="X366" i="1"/>
  <c r="Z366" i="1" s="1"/>
  <c r="X367" i="1"/>
  <c r="Z367" i="1" s="1"/>
  <c r="X368" i="1"/>
  <c r="Z368" i="1" s="1"/>
  <c r="X369" i="1"/>
  <c r="Z369" i="1" s="1"/>
  <c r="X370" i="1"/>
  <c r="Z370" i="1" s="1"/>
  <c r="X371" i="1"/>
  <c r="Z371" i="1" s="1"/>
  <c r="X372" i="1"/>
  <c r="Z372" i="1" s="1"/>
  <c r="X373" i="1"/>
  <c r="Z373" i="1" s="1"/>
  <c r="X374" i="1"/>
  <c r="Z374" i="1" s="1"/>
  <c r="X375" i="1"/>
  <c r="Z375" i="1" s="1"/>
  <c r="X376" i="1"/>
  <c r="Z376" i="1" s="1"/>
  <c r="X377" i="1"/>
  <c r="Z377" i="1" s="1"/>
  <c r="X378" i="1"/>
  <c r="Z378" i="1" s="1"/>
  <c r="X379" i="1"/>
  <c r="Z379" i="1" s="1"/>
  <c r="X380" i="1"/>
  <c r="Z380" i="1" s="1"/>
  <c r="X381" i="1"/>
  <c r="Z381" i="1" s="1"/>
  <c r="X382" i="1"/>
  <c r="Z382" i="1" s="1"/>
  <c r="X383" i="1"/>
  <c r="Z383" i="1" s="1"/>
  <c r="X384" i="1"/>
  <c r="Z384" i="1" s="1"/>
  <c r="X385" i="1"/>
  <c r="Z385" i="1" s="1"/>
  <c r="X386" i="1"/>
  <c r="Z386" i="1" s="1"/>
  <c r="X387" i="1"/>
  <c r="Z387" i="1" s="1"/>
  <c r="X388" i="1"/>
  <c r="Z388" i="1" s="1"/>
  <c r="X389" i="1"/>
  <c r="Z389" i="1" s="1"/>
  <c r="X390" i="1"/>
  <c r="Z390" i="1" s="1"/>
  <c r="X391" i="1"/>
  <c r="Z391" i="1" s="1"/>
  <c r="X392" i="1"/>
  <c r="Z392" i="1" s="1"/>
  <c r="X393" i="1"/>
  <c r="Z393" i="1" s="1"/>
  <c r="X394" i="1"/>
  <c r="Z394" i="1" s="1"/>
  <c r="X395" i="1"/>
  <c r="Z395" i="1" s="1"/>
  <c r="X396" i="1"/>
  <c r="Z396" i="1" s="1"/>
  <c r="X397" i="1"/>
  <c r="Z397" i="1" s="1"/>
  <c r="X398" i="1"/>
  <c r="Z398" i="1" s="1"/>
  <c r="X399" i="1"/>
  <c r="Z399" i="1" s="1"/>
  <c r="X400" i="1"/>
  <c r="Z400" i="1" s="1"/>
  <c r="X401" i="1"/>
  <c r="Z401" i="1" s="1"/>
  <c r="X402" i="1"/>
  <c r="Z402" i="1" s="1"/>
  <c r="X403" i="1"/>
  <c r="Z403" i="1" s="1"/>
  <c r="X404" i="1"/>
  <c r="Z404" i="1" s="1"/>
  <c r="X405" i="1"/>
  <c r="Z405" i="1" s="1"/>
  <c r="X406" i="1"/>
  <c r="Z406" i="1" s="1"/>
  <c r="X407" i="1"/>
  <c r="Z407" i="1" s="1"/>
  <c r="X408" i="1"/>
  <c r="Z408" i="1" s="1"/>
  <c r="X409" i="1"/>
  <c r="Z409" i="1" s="1"/>
  <c r="X410" i="1"/>
  <c r="Z410" i="1" s="1"/>
  <c r="X411" i="1"/>
  <c r="Z411" i="1" s="1"/>
  <c r="X412" i="1"/>
  <c r="Z412" i="1" s="1"/>
  <c r="X413" i="1"/>
  <c r="Z413" i="1" s="1"/>
  <c r="X414" i="1"/>
  <c r="Z414" i="1" s="1"/>
  <c r="X415" i="1"/>
  <c r="Z415" i="1" s="1"/>
  <c r="X416" i="1"/>
  <c r="Z416" i="1" s="1"/>
  <c r="X417" i="1"/>
  <c r="Z417" i="1" s="1"/>
  <c r="X418" i="1"/>
  <c r="Z418" i="1" s="1"/>
  <c r="X419" i="1"/>
  <c r="Z419" i="1" s="1"/>
  <c r="X420" i="1"/>
  <c r="Z420" i="1" s="1"/>
  <c r="X421" i="1"/>
  <c r="Z421" i="1" s="1"/>
  <c r="X422" i="1"/>
  <c r="Z422" i="1" s="1"/>
  <c r="X423" i="1"/>
  <c r="Z423" i="1" s="1"/>
  <c r="X424" i="1"/>
  <c r="Z424" i="1" s="1"/>
  <c r="X425" i="1"/>
  <c r="Z425" i="1" s="1"/>
  <c r="X426" i="1"/>
  <c r="Z426" i="1" s="1"/>
  <c r="X427" i="1"/>
  <c r="Z427" i="1" s="1"/>
  <c r="X428" i="1"/>
  <c r="Z428" i="1" s="1"/>
  <c r="X429" i="1"/>
  <c r="Z429" i="1" s="1"/>
  <c r="X430" i="1"/>
  <c r="Z430" i="1" s="1"/>
  <c r="X431" i="1"/>
  <c r="Z431" i="1" s="1"/>
  <c r="X432" i="1"/>
  <c r="Z432" i="1" s="1"/>
  <c r="X433" i="1"/>
  <c r="Z433" i="1" s="1"/>
  <c r="X434" i="1"/>
  <c r="Z434" i="1" s="1"/>
  <c r="X435" i="1"/>
  <c r="Z435" i="1" s="1"/>
  <c r="X436" i="1"/>
  <c r="Z436" i="1" s="1"/>
  <c r="X437" i="1"/>
  <c r="Z437" i="1" s="1"/>
  <c r="X438" i="1"/>
  <c r="Z438" i="1" s="1"/>
  <c r="X439" i="1"/>
  <c r="Z439" i="1" s="1"/>
  <c r="X440" i="1"/>
  <c r="Z440" i="1" s="1"/>
  <c r="X441" i="1"/>
  <c r="Z441" i="1" s="1"/>
  <c r="X442" i="1"/>
  <c r="Z442" i="1" s="1"/>
  <c r="X443" i="1"/>
  <c r="Z443" i="1" s="1"/>
  <c r="X444" i="1"/>
  <c r="Z444" i="1" s="1"/>
  <c r="X445" i="1"/>
  <c r="Z445" i="1" s="1"/>
  <c r="X446" i="1"/>
  <c r="Z446" i="1" s="1"/>
  <c r="X447" i="1"/>
  <c r="Z447" i="1" s="1"/>
  <c r="X448" i="1"/>
  <c r="Z448" i="1" s="1"/>
  <c r="X449" i="1"/>
  <c r="Z449" i="1" s="1"/>
  <c r="X450" i="1"/>
  <c r="Z450" i="1" s="1"/>
  <c r="X451" i="1"/>
  <c r="Z451" i="1" s="1"/>
  <c r="X452" i="1"/>
  <c r="Z452" i="1" s="1"/>
  <c r="X453" i="1"/>
  <c r="Z453" i="1" s="1"/>
  <c r="X454" i="1"/>
  <c r="Z454" i="1" s="1"/>
  <c r="X455" i="1"/>
  <c r="Z455" i="1" s="1"/>
  <c r="X456" i="1"/>
  <c r="Z456" i="1" s="1"/>
  <c r="X457" i="1"/>
  <c r="Z457" i="1" s="1"/>
  <c r="X458" i="1"/>
  <c r="Z458" i="1" s="1"/>
  <c r="X459" i="1"/>
  <c r="Z459" i="1" s="1"/>
  <c r="X460" i="1"/>
  <c r="Z460" i="1" s="1"/>
  <c r="X461" i="1"/>
  <c r="Z461" i="1" s="1"/>
  <c r="X462" i="1"/>
  <c r="Z462" i="1" s="1"/>
  <c r="X463" i="1"/>
  <c r="Z463" i="1" s="1"/>
  <c r="X464" i="1"/>
  <c r="Z464" i="1" s="1"/>
  <c r="X465" i="1"/>
  <c r="Z465" i="1" s="1"/>
  <c r="X466" i="1"/>
  <c r="Z466" i="1" s="1"/>
  <c r="X467" i="1"/>
  <c r="Z467" i="1" s="1"/>
  <c r="X468" i="1"/>
  <c r="Z468" i="1" s="1"/>
  <c r="X469" i="1"/>
  <c r="Z469" i="1" s="1"/>
  <c r="X470" i="1"/>
  <c r="Z470" i="1" s="1"/>
  <c r="X471" i="1"/>
  <c r="Z471" i="1" s="1"/>
  <c r="X472" i="1"/>
  <c r="Z472" i="1" s="1"/>
  <c r="X473" i="1"/>
  <c r="Z473" i="1" s="1"/>
  <c r="X474" i="1"/>
  <c r="Z474" i="1" s="1"/>
  <c r="X475" i="1"/>
  <c r="Z475" i="1" s="1"/>
  <c r="X476" i="1"/>
  <c r="Z476" i="1" s="1"/>
  <c r="X477" i="1"/>
  <c r="Z477" i="1" s="1"/>
  <c r="X478" i="1"/>
  <c r="Z478" i="1" s="1"/>
  <c r="X479" i="1"/>
  <c r="Z479" i="1" s="1"/>
  <c r="X480" i="1"/>
  <c r="Z480" i="1" s="1"/>
  <c r="X481" i="1"/>
  <c r="Z481" i="1" s="1"/>
  <c r="X482" i="1"/>
  <c r="Z482" i="1" s="1"/>
  <c r="X483" i="1"/>
  <c r="Z483" i="1" s="1"/>
  <c r="X484" i="1"/>
  <c r="Z484" i="1" s="1"/>
  <c r="X485" i="1"/>
  <c r="Z485" i="1" s="1"/>
  <c r="X486" i="1"/>
  <c r="Z486" i="1" s="1"/>
  <c r="X487" i="1"/>
  <c r="Z487" i="1" s="1"/>
  <c r="X488" i="1"/>
  <c r="Z488" i="1" s="1"/>
  <c r="X489" i="1"/>
  <c r="Z489" i="1" s="1"/>
  <c r="X490" i="1"/>
  <c r="Z490" i="1" s="1"/>
  <c r="X491" i="1"/>
  <c r="Z491" i="1" s="1"/>
  <c r="X492" i="1"/>
  <c r="Z492" i="1" s="1"/>
  <c r="X493" i="1"/>
  <c r="Z493" i="1" s="1"/>
  <c r="X494" i="1"/>
  <c r="Z494" i="1" s="1"/>
  <c r="X495" i="1"/>
  <c r="Z495" i="1" s="1"/>
  <c r="X496" i="1"/>
  <c r="Z496" i="1" s="1"/>
  <c r="X497" i="1"/>
  <c r="Z497" i="1" s="1"/>
  <c r="X498" i="1"/>
  <c r="Z498" i="1" s="1"/>
  <c r="X499" i="1"/>
  <c r="Z499" i="1" s="1"/>
  <c r="X500" i="1"/>
  <c r="Z500" i="1" s="1"/>
  <c r="X501" i="1"/>
  <c r="Z501" i="1" s="1"/>
  <c r="X502" i="1"/>
  <c r="Z502" i="1" s="1"/>
  <c r="X503" i="1"/>
  <c r="Z503" i="1" s="1"/>
  <c r="X504" i="1"/>
  <c r="Z504" i="1" s="1"/>
  <c r="X505" i="1"/>
  <c r="Z505" i="1" s="1"/>
  <c r="X506" i="1"/>
  <c r="Z506" i="1" s="1"/>
  <c r="X507" i="1"/>
  <c r="Z507" i="1" s="1"/>
  <c r="X508" i="1"/>
  <c r="Z508" i="1" s="1"/>
  <c r="X509" i="1"/>
  <c r="Z509" i="1" s="1"/>
  <c r="X510" i="1"/>
  <c r="Z510" i="1" s="1"/>
  <c r="X511" i="1"/>
  <c r="Z511" i="1" s="1"/>
  <c r="X512" i="1"/>
  <c r="Z512" i="1" s="1"/>
  <c r="X513" i="1"/>
  <c r="Z513" i="1" s="1"/>
  <c r="X514" i="1"/>
  <c r="Z514" i="1" s="1"/>
  <c r="X515" i="1"/>
  <c r="Z515" i="1" s="1"/>
  <c r="X516" i="1"/>
  <c r="Z516" i="1" s="1"/>
  <c r="X517" i="1"/>
  <c r="Z517" i="1" s="1"/>
  <c r="X518" i="1"/>
  <c r="Z518" i="1" s="1"/>
  <c r="X519" i="1"/>
  <c r="Z519" i="1" s="1"/>
  <c r="X520" i="1"/>
  <c r="Z520" i="1" s="1"/>
  <c r="X521" i="1"/>
  <c r="Z521" i="1" s="1"/>
  <c r="X522" i="1"/>
  <c r="Z522" i="1" s="1"/>
  <c r="X523" i="1"/>
  <c r="Z523" i="1" s="1"/>
  <c r="X524" i="1"/>
  <c r="Z524" i="1" s="1"/>
  <c r="X525" i="1"/>
  <c r="Z525" i="1" s="1"/>
  <c r="X526" i="1"/>
  <c r="Z526" i="1" s="1"/>
  <c r="X527" i="1"/>
  <c r="Z527" i="1" s="1"/>
  <c r="X528" i="1"/>
  <c r="Z528" i="1" s="1"/>
  <c r="X529" i="1"/>
  <c r="Z529" i="1" s="1"/>
  <c r="X530" i="1"/>
  <c r="Z530" i="1" s="1"/>
  <c r="X531" i="1"/>
  <c r="Z531" i="1" s="1"/>
  <c r="X532" i="1"/>
  <c r="Z532" i="1" s="1"/>
  <c r="X533" i="1"/>
  <c r="Z533" i="1" s="1"/>
  <c r="X534" i="1"/>
  <c r="Z534" i="1" s="1"/>
  <c r="X535" i="1"/>
  <c r="Z535" i="1" s="1"/>
  <c r="X536" i="1"/>
  <c r="Z536" i="1" s="1"/>
  <c r="X537" i="1"/>
  <c r="Z537" i="1" s="1"/>
  <c r="X538" i="1"/>
  <c r="Z538" i="1" s="1"/>
  <c r="X539" i="1"/>
  <c r="Z539" i="1" s="1"/>
  <c r="X540" i="1"/>
  <c r="Z540" i="1" s="1"/>
  <c r="X541" i="1"/>
  <c r="Z541" i="1" s="1"/>
  <c r="X542" i="1"/>
  <c r="Z542" i="1" s="1"/>
  <c r="X543" i="1"/>
  <c r="Z543" i="1" s="1"/>
  <c r="X544" i="1"/>
  <c r="Z544" i="1" s="1"/>
  <c r="X545" i="1"/>
  <c r="Z545" i="1" s="1"/>
  <c r="X546" i="1"/>
  <c r="Z546" i="1" s="1"/>
  <c r="X547" i="1"/>
  <c r="Z547" i="1" s="1"/>
  <c r="X548" i="1"/>
  <c r="Z548" i="1" s="1"/>
  <c r="X549" i="1"/>
  <c r="Z549" i="1" s="1"/>
  <c r="X550" i="1"/>
  <c r="Z550" i="1" s="1"/>
  <c r="X551" i="1"/>
  <c r="Z551" i="1" s="1"/>
  <c r="X552" i="1"/>
  <c r="Z552" i="1" s="1"/>
  <c r="X553" i="1"/>
  <c r="Z553" i="1" s="1"/>
  <c r="X554" i="1"/>
  <c r="Z554" i="1" s="1"/>
  <c r="X555" i="1"/>
  <c r="Z555" i="1" s="1"/>
  <c r="X556" i="1"/>
  <c r="Z556" i="1" s="1"/>
  <c r="X557" i="1"/>
  <c r="Z557" i="1" s="1"/>
  <c r="X558" i="1"/>
  <c r="Z558" i="1" s="1"/>
  <c r="X559" i="1"/>
  <c r="Z559" i="1" s="1"/>
  <c r="X560" i="1"/>
  <c r="Z560" i="1" s="1"/>
  <c r="X561" i="1"/>
  <c r="Z561" i="1" s="1"/>
  <c r="X562" i="1"/>
  <c r="Z562" i="1" s="1"/>
  <c r="X563" i="1"/>
  <c r="Z563" i="1" s="1"/>
  <c r="X564" i="1"/>
  <c r="Z564" i="1" s="1"/>
  <c r="X565" i="1"/>
  <c r="Z565" i="1" s="1"/>
  <c r="X566" i="1"/>
  <c r="Z566" i="1" s="1"/>
  <c r="X567" i="1"/>
  <c r="Z567" i="1" s="1"/>
  <c r="X568" i="1"/>
  <c r="Z568" i="1" s="1"/>
  <c r="X569" i="1"/>
  <c r="Z569" i="1" s="1"/>
  <c r="X570" i="1"/>
  <c r="Z570" i="1" s="1"/>
  <c r="X571" i="1"/>
  <c r="Z571" i="1" s="1"/>
  <c r="X572" i="1"/>
  <c r="Z572" i="1" s="1"/>
  <c r="X573" i="1"/>
  <c r="Z573" i="1" s="1"/>
  <c r="X574" i="1"/>
  <c r="Z574" i="1" s="1"/>
  <c r="X575" i="1"/>
  <c r="Z575" i="1" s="1"/>
  <c r="X576" i="1"/>
  <c r="Z576" i="1" s="1"/>
  <c r="X577" i="1"/>
  <c r="Z577" i="1" s="1"/>
  <c r="X578" i="1"/>
  <c r="Z578" i="1" s="1"/>
  <c r="X579" i="1"/>
  <c r="Z579" i="1" s="1"/>
  <c r="X580" i="1"/>
  <c r="Z580" i="1" s="1"/>
  <c r="X581" i="1"/>
  <c r="Z581" i="1" s="1"/>
  <c r="X582" i="1"/>
  <c r="Z582" i="1" s="1"/>
  <c r="X583" i="1"/>
  <c r="Z583" i="1" s="1"/>
  <c r="X584" i="1"/>
  <c r="Z584" i="1" s="1"/>
  <c r="X585" i="1"/>
  <c r="Z585" i="1" s="1"/>
  <c r="X586" i="1"/>
  <c r="Z586" i="1" s="1"/>
  <c r="X587" i="1"/>
  <c r="Z587" i="1" s="1"/>
  <c r="X588" i="1"/>
  <c r="Z588" i="1" s="1"/>
  <c r="X589" i="1"/>
  <c r="Z589" i="1" s="1"/>
  <c r="X590" i="1"/>
  <c r="Z590" i="1" s="1"/>
  <c r="X591" i="1"/>
  <c r="Z591" i="1" s="1"/>
  <c r="X592" i="1"/>
  <c r="Z592" i="1" s="1"/>
  <c r="X593" i="1"/>
  <c r="Z593" i="1" s="1"/>
  <c r="X594" i="1"/>
  <c r="Z594" i="1" s="1"/>
  <c r="X595" i="1"/>
  <c r="Z595" i="1" s="1"/>
  <c r="X596" i="1"/>
  <c r="Z596" i="1" s="1"/>
  <c r="X597" i="1"/>
  <c r="Z597" i="1" s="1"/>
  <c r="X598" i="1"/>
  <c r="Z598" i="1" s="1"/>
  <c r="X599" i="1"/>
  <c r="Z599" i="1" s="1"/>
  <c r="X600" i="1"/>
  <c r="Z600" i="1" s="1"/>
  <c r="X601" i="1"/>
  <c r="Z601" i="1" s="1"/>
  <c r="X602" i="1"/>
  <c r="Z602" i="1" s="1"/>
  <c r="X603" i="1"/>
  <c r="Z603" i="1" s="1"/>
  <c r="X604" i="1"/>
  <c r="Z604" i="1" s="1"/>
  <c r="X605" i="1"/>
  <c r="Z605" i="1" s="1"/>
  <c r="X606" i="1"/>
  <c r="Z606" i="1" s="1"/>
  <c r="X607" i="1"/>
  <c r="Z607" i="1" s="1"/>
  <c r="X608" i="1"/>
  <c r="Z608" i="1" s="1"/>
  <c r="X609" i="1"/>
  <c r="Z609" i="1" s="1"/>
  <c r="X610" i="1"/>
  <c r="Z610" i="1" s="1"/>
  <c r="X611" i="1"/>
  <c r="Z611" i="1" s="1"/>
  <c r="X612" i="1"/>
  <c r="Z612" i="1" s="1"/>
  <c r="X613" i="1"/>
  <c r="Z613" i="1" s="1"/>
  <c r="X614" i="1"/>
  <c r="Z614" i="1" s="1"/>
  <c r="X615" i="1"/>
  <c r="Z615" i="1" s="1"/>
  <c r="X616" i="1"/>
  <c r="Z616" i="1" s="1"/>
  <c r="X617" i="1"/>
  <c r="Z617" i="1" s="1"/>
  <c r="X618" i="1"/>
  <c r="Z618" i="1" s="1"/>
  <c r="X619" i="1"/>
  <c r="Z619" i="1" s="1"/>
  <c r="X620" i="1"/>
  <c r="Z620" i="1" s="1"/>
  <c r="X621" i="1"/>
  <c r="Z621" i="1" s="1"/>
  <c r="X622" i="1"/>
  <c r="Z622" i="1" s="1"/>
  <c r="X623" i="1"/>
  <c r="Z623" i="1" s="1"/>
  <c r="X624" i="1"/>
  <c r="Z624" i="1" s="1"/>
  <c r="X625" i="1"/>
  <c r="Z625" i="1" s="1"/>
  <c r="X626" i="1"/>
  <c r="Z626" i="1" s="1"/>
  <c r="X627" i="1"/>
  <c r="Z627" i="1" s="1"/>
  <c r="X628" i="1"/>
  <c r="Z628" i="1" s="1"/>
  <c r="X629" i="1"/>
  <c r="Z629" i="1" s="1"/>
  <c r="X630" i="1"/>
  <c r="Z630" i="1" s="1"/>
  <c r="X631" i="1"/>
  <c r="Z631" i="1" s="1"/>
  <c r="X632" i="1"/>
  <c r="Z632" i="1" s="1"/>
  <c r="X633" i="1"/>
  <c r="Z633" i="1" s="1"/>
  <c r="X634" i="1"/>
  <c r="Z634" i="1" s="1"/>
  <c r="X635" i="1"/>
  <c r="Z635" i="1" s="1"/>
  <c r="X636" i="1"/>
  <c r="Z636" i="1" s="1"/>
  <c r="X637" i="1"/>
  <c r="Z637" i="1" s="1"/>
  <c r="X638" i="1"/>
  <c r="Z638" i="1" s="1"/>
  <c r="X639" i="1"/>
  <c r="Z639" i="1" s="1"/>
  <c r="X640" i="1"/>
  <c r="Z640" i="1" s="1"/>
  <c r="X641" i="1"/>
  <c r="Z641" i="1" s="1"/>
  <c r="X642" i="1"/>
  <c r="Z642" i="1" s="1"/>
  <c r="X643" i="1"/>
  <c r="Z643" i="1" s="1"/>
  <c r="X644" i="1"/>
  <c r="Z644" i="1" s="1"/>
  <c r="X645" i="1"/>
  <c r="Z645" i="1" s="1"/>
  <c r="X646" i="1"/>
  <c r="Z646" i="1" s="1"/>
  <c r="X647" i="1"/>
  <c r="Z647" i="1" s="1"/>
  <c r="X648" i="1"/>
  <c r="Z648" i="1" s="1"/>
  <c r="X649" i="1"/>
  <c r="Z649" i="1" s="1"/>
  <c r="X650" i="1"/>
  <c r="Z650" i="1" s="1"/>
  <c r="X651" i="1"/>
  <c r="Z651" i="1" s="1"/>
  <c r="X652" i="1"/>
  <c r="Z652" i="1" s="1"/>
  <c r="X653" i="1"/>
  <c r="Z653" i="1" s="1"/>
  <c r="X654" i="1"/>
  <c r="Z654" i="1" s="1"/>
  <c r="X655" i="1"/>
  <c r="Z655" i="1" s="1"/>
  <c r="X656" i="1"/>
  <c r="Z656" i="1" s="1"/>
  <c r="X657" i="1"/>
  <c r="Z657" i="1" s="1"/>
  <c r="X658" i="1"/>
  <c r="Z658" i="1" s="1"/>
  <c r="X659" i="1"/>
  <c r="Z659" i="1" s="1"/>
  <c r="X660" i="1"/>
  <c r="Z660" i="1" s="1"/>
  <c r="X661" i="1"/>
  <c r="Z661" i="1" s="1"/>
  <c r="X662" i="1"/>
  <c r="Z662" i="1" s="1"/>
  <c r="X663" i="1"/>
  <c r="Z663" i="1" s="1"/>
  <c r="X664" i="1"/>
  <c r="Z664" i="1" s="1"/>
  <c r="X665" i="1"/>
  <c r="Z665" i="1" s="1"/>
  <c r="X666" i="1"/>
  <c r="Z666" i="1" s="1"/>
  <c r="X667" i="1"/>
  <c r="Z667" i="1" s="1"/>
  <c r="X668" i="1"/>
  <c r="Z668" i="1" s="1"/>
  <c r="X669" i="1"/>
  <c r="Z669" i="1" s="1"/>
  <c r="X670" i="1"/>
  <c r="Z670" i="1" s="1"/>
  <c r="X671" i="1"/>
  <c r="Z671" i="1" s="1"/>
  <c r="X672" i="1"/>
  <c r="Z672" i="1" s="1"/>
  <c r="X673" i="1"/>
  <c r="Z673" i="1" s="1"/>
  <c r="X674" i="1"/>
  <c r="Z674" i="1" s="1"/>
  <c r="X675" i="1"/>
  <c r="Z675" i="1" s="1"/>
  <c r="X676" i="1"/>
  <c r="Z676" i="1" s="1"/>
  <c r="X677" i="1"/>
  <c r="Z677" i="1" s="1"/>
  <c r="X678" i="1"/>
  <c r="Z678" i="1" s="1"/>
  <c r="X679" i="1"/>
  <c r="Z679" i="1" s="1"/>
  <c r="X680" i="1"/>
  <c r="Z680" i="1" s="1"/>
  <c r="X681" i="1"/>
  <c r="Z681" i="1" s="1"/>
  <c r="X682" i="1"/>
  <c r="Z682" i="1" s="1"/>
  <c r="X683" i="1"/>
  <c r="Z683" i="1" s="1"/>
  <c r="X684" i="1"/>
  <c r="Z684" i="1" s="1"/>
  <c r="X685" i="1"/>
  <c r="Z685" i="1" s="1"/>
  <c r="X686" i="1"/>
  <c r="Z686" i="1" s="1"/>
  <c r="X687" i="1"/>
  <c r="Z687" i="1" s="1"/>
  <c r="X688" i="1"/>
  <c r="Z688" i="1" s="1"/>
  <c r="X689" i="1"/>
  <c r="Z689" i="1" s="1"/>
  <c r="X690" i="1"/>
  <c r="Z690" i="1" s="1"/>
  <c r="X691" i="1"/>
  <c r="Z691" i="1" s="1"/>
  <c r="X692" i="1"/>
  <c r="Z692" i="1" s="1"/>
  <c r="X693" i="1"/>
  <c r="Z693" i="1" s="1"/>
  <c r="X694" i="1"/>
  <c r="Z694" i="1" s="1"/>
  <c r="X695" i="1"/>
  <c r="Z695" i="1" s="1"/>
  <c r="X696" i="1"/>
  <c r="Z696" i="1" s="1"/>
  <c r="X697" i="1"/>
  <c r="Z697" i="1" s="1"/>
  <c r="X698" i="1"/>
  <c r="Z698" i="1" s="1"/>
  <c r="X699" i="1"/>
  <c r="Z699" i="1" s="1"/>
  <c r="X700" i="1"/>
  <c r="Z700" i="1" s="1"/>
  <c r="X701" i="1"/>
  <c r="Z701" i="1" s="1"/>
  <c r="X702" i="1"/>
  <c r="Z702" i="1" s="1"/>
  <c r="X703" i="1"/>
  <c r="Z703" i="1" s="1"/>
  <c r="X704" i="1"/>
  <c r="Z704" i="1" s="1"/>
  <c r="X705" i="1"/>
  <c r="Z705" i="1" s="1"/>
  <c r="X706" i="1"/>
  <c r="Z706" i="1" s="1"/>
  <c r="X707" i="1"/>
  <c r="Z707" i="1" s="1"/>
  <c r="X708" i="1"/>
  <c r="Z708" i="1" s="1"/>
  <c r="X709" i="1"/>
  <c r="Z709" i="1" s="1"/>
  <c r="X710" i="1"/>
  <c r="Z710" i="1" s="1"/>
  <c r="X711" i="1"/>
  <c r="Z711" i="1" s="1"/>
  <c r="X712" i="1"/>
  <c r="Z712" i="1" s="1"/>
  <c r="X713" i="1"/>
  <c r="Z713" i="1" s="1"/>
  <c r="X714" i="1"/>
  <c r="Z714" i="1" s="1"/>
  <c r="X715" i="1"/>
  <c r="Z715" i="1" s="1"/>
  <c r="X716" i="1"/>
  <c r="Z716" i="1" s="1"/>
  <c r="X717" i="1"/>
  <c r="Z717" i="1" s="1"/>
  <c r="X718" i="1"/>
  <c r="Z718" i="1" s="1"/>
  <c r="X719" i="1"/>
  <c r="Z719" i="1" s="1"/>
  <c r="X720" i="1"/>
  <c r="Z720" i="1" s="1"/>
  <c r="X721" i="1"/>
  <c r="Z721" i="1" s="1"/>
  <c r="X722" i="1"/>
  <c r="Z722" i="1" s="1"/>
  <c r="X723" i="1"/>
  <c r="Z723" i="1" s="1"/>
  <c r="X724" i="1"/>
  <c r="Z724" i="1" s="1"/>
  <c r="X725" i="1"/>
  <c r="Z725" i="1" s="1"/>
  <c r="X726" i="1"/>
  <c r="Z726" i="1" s="1"/>
  <c r="X727" i="1"/>
  <c r="Z727" i="1" s="1"/>
  <c r="X728" i="1"/>
  <c r="Z728" i="1" s="1"/>
  <c r="X729" i="1"/>
  <c r="Z729" i="1" s="1"/>
  <c r="X730" i="1"/>
  <c r="Z730" i="1" s="1"/>
  <c r="X731" i="1"/>
  <c r="Z731" i="1" s="1"/>
  <c r="X732" i="1"/>
  <c r="Z732" i="1" s="1"/>
  <c r="X733" i="1"/>
  <c r="Z733" i="1" s="1"/>
  <c r="X734" i="1"/>
  <c r="Z734" i="1" s="1"/>
  <c r="X735" i="1"/>
  <c r="Z735" i="1" s="1"/>
  <c r="X736" i="1"/>
  <c r="Z736" i="1" s="1"/>
  <c r="X737" i="1"/>
  <c r="Z737" i="1" s="1"/>
  <c r="X738" i="1"/>
  <c r="Z738" i="1" s="1"/>
  <c r="X739" i="1"/>
  <c r="Z739" i="1" s="1"/>
  <c r="X740" i="1"/>
  <c r="Z740" i="1" s="1"/>
  <c r="X741" i="1"/>
  <c r="Z741" i="1" s="1"/>
  <c r="X742" i="1"/>
  <c r="Z742" i="1" s="1"/>
  <c r="X743" i="1"/>
  <c r="Z743" i="1" s="1"/>
  <c r="X744" i="1"/>
  <c r="Z744" i="1" s="1"/>
  <c r="X745" i="1"/>
  <c r="Z745" i="1" s="1"/>
  <c r="X746" i="1"/>
  <c r="Z746" i="1" s="1"/>
  <c r="X747" i="1"/>
  <c r="Z747" i="1" s="1"/>
  <c r="X748" i="1"/>
  <c r="Z748" i="1" s="1"/>
  <c r="X749" i="1"/>
  <c r="Z749" i="1" s="1"/>
  <c r="X750" i="1"/>
  <c r="Z750" i="1" s="1"/>
  <c r="X751" i="1"/>
  <c r="Z751" i="1" s="1"/>
  <c r="X752" i="1"/>
  <c r="Z752" i="1" s="1"/>
  <c r="X753" i="1"/>
  <c r="Z753" i="1" s="1"/>
  <c r="X754" i="1"/>
  <c r="Z754" i="1" s="1"/>
  <c r="X755" i="1"/>
  <c r="Z755" i="1" s="1"/>
  <c r="X756" i="1"/>
  <c r="Z756" i="1" s="1"/>
  <c r="X757" i="1"/>
  <c r="Z757" i="1" s="1"/>
  <c r="X758" i="1"/>
  <c r="Z758" i="1" s="1"/>
  <c r="X759" i="1"/>
  <c r="Z759" i="1" s="1"/>
  <c r="X760" i="1"/>
  <c r="Z760" i="1" s="1"/>
  <c r="X761" i="1"/>
  <c r="Z761" i="1" s="1"/>
  <c r="X762" i="1"/>
  <c r="Z762" i="1" s="1"/>
  <c r="X763" i="1"/>
  <c r="Z763" i="1" s="1"/>
  <c r="X764" i="1"/>
  <c r="Z764" i="1" s="1"/>
  <c r="X765" i="1"/>
  <c r="Z765" i="1" s="1"/>
  <c r="X766" i="1"/>
  <c r="Z766" i="1" s="1"/>
  <c r="X767" i="1"/>
  <c r="Z767" i="1" s="1"/>
  <c r="X768" i="1"/>
  <c r="Z768" i="1" s="1"/>
  <c r="X769" i="1"/>
  <c r="Z769" i="1" s="1"/>
  <c r="X770" i="1"/>
  <c r="Z770" i="1" s="1"/>
  <c r="X771" i="1"/>
  <c r="Z771" i="1" s="1"/>
  <c r="X772" i="1"/>
  <c r="Z772" i="1" s="1"/>
  <c r="X773" i="1"/>
  <c r="Z773" i="1" s="1"/>
  <c r="X774" i="1"/>
  <c r="Z774" i="1" s="1"/>
  <c r="X775" i="1"/>
  <c r="Z775" i="1" s="1"/>
  <c r="X776" i="1"/>
  <c r="Z776" i="1" s="1"/>
  <c r="X777" i="1"/>
  <c r="Z777" i="1" s="1"/>
  <c r="X778" i="1"/>
  <c r="Z778" i="1" s="1"/>
  <c r="X779" i="1"/>
  <c r="Z779" i="1" s="1"/>
  <c r="X780" i="1"/>
  <c r="Z780" i="1" s="1"/>
  <c r="X781" i="1"/>
  <c r="Z781" i="1" s="1"/>
  <c r="X782" i="1"/>
  <c r="Z782" i="1" s="1"/>
  <c r="X783" i="1"/>
  <c r="Z783" i="1" s="1"/>
  <c r="X784" i="1"/>
  <c r="Z784" i="1" s="1"/>
  <c r="X785" i="1"/>
  <c r="Z785" i="1" s="1"/>
  <c r="X786" i="1"/>
  <c r="Z786" i="1" s="1"/>
  <c r="X787" i="1"/>
  <c r="Z787" i="1" s="1"/>
  <c r="X788" i="1"/>
  <c r="Z788" i="1" s="1"/>
  <c r="X789" i="1"/>
  <c r="Z789" i="1" s="1"/>
  <c r="X790" i="1"/>
  <c r="Z790" i="1" s="1"/>
  <c r="X791" i="1"/>
  <c r="Z791" i="1" s="1"/>
  <c r="X792" i="1"/>
  <c r="Z792" i="1" s="1"/>
  <c r="X793" i="1"/>
  <c r="Z793" i="1" s="1"/>
  <c r="X794" i="1"/>
  <c r="Z794" i="1" s="1"/>
  <c r="X795" i="1"/>
  <c r="Z795" i="1" s="1"/>
  <c r="X796" i="1"/>
  <c r="Z796" i="1" s="1"/>
  <c r="X797" i="1"/>
  <c r="Z797" i="1" s="1"/>
  <c r="X798" i="1"/>
  <c r="Z798" i="1" s="1"/>
  <c r="X799" i="1"/>
  <c r="Z799" i="1" s="1"/>
  <c r="X800" i="1"/>
  <c r="Z800" i="1" s="1"/>
  <c r="X801" i="1"/>
  <c r="Z801" i="1" s="1"/>
  <c r="X802" i="1"/>
  <c r="Z802" i="1" s="1"/>
  <c r="X803" i="1"/>
  <c r="Z803" i="1" s="1"/>
  <c r="X804" i="1"/>
  <c r="Z804" i="1" s="1"/>
  <c r="X805" i="1"/>
  <c r="Z805" i="1" s="1"/>
  <c r="X806" i="1"/>
  <c r="Z806" i="1" s="1"/>
  <c r="X807" i="1"/>
  <c r="Z807" i="1" s="1"/>
  <c r="X808" i="1"/>
  <c r="Z808" i="1" s="1"/>
  <c r="X809" i="1"/>
  <c r="Z809" i="1" s="1"/>
  <c r="X810" i="1"/>
  <c r="Z810" i="1" s="1"/>
  <c r="X811" i="1"/>
  <c r="Z811" i="1" s="1"/>
  <c r="X812" i="1"/>
  <c r="Z812" i="1" s="1"/>
  <c r="X813" i="1"/>
  <c r="Z813" i="1" s="1"/>
  <c r="X814" i="1"/>
  <c r="Z814" i="1" s="1"/>
  <c r="X815" i="1"/>
  <c r="Z815" i="1" s="1"/>
  <c r="X816" i="1"/>
  <c r="Z816" i="1" s="1"/>
  <c r="X817" i="1"/>
  <c r="Z817" i="1" s="1"/>
  <c r="X818" i="1"/>
  <c r="Z818" i="1" s="1"/>
  <c r="X819" i="1"/>
  <c r="Z819" i="1" s="1"/>
  <c r="X820" i="1"/>
  <c r="Z820" i="1" s="1"/>
  <c r="X821" i="1"/>
  <c r="Z821" i="1" s="1"/>
  <c r="X822" i="1"/>
  <c r="Z822" i="1" s="1"/>
  <c r="X823" i="1"/>
  <c r="Z823" i="1" s="1"/>
  <c r="X824" i="1"/>
  <c r="Z824" i="1" s="1"/>
  <c r="X825" i="1"/>
  <c r="Z825" i="1" s="1"/>
  <c r="X826" i="1"/>
  <c r="Z826" i="1" s="1"/>
  <c r="X827" i="1"/>
  <c r="Z827" i="1" s="1"/>
  <c r="X828" i="1"/>
  <c r="Z828" i="1" s="1"/>
  <c r="X829" i="1"/>
  <c r="Z829" i="1" s="1"/>
  <c r="X830" i="1"/>
  <c r="Z830" i="1" s="1"/>
  <c r="X831" i="1"/>
  <c r="Z831" i="1" s="1"/>
  <c r="X832" i="1"/>
  <c r="Z832" i="1" s="1"/>
  <c r="X833" i="1"/>
  <c r="Z833" i="1" s="1"/>
  <c r="X834" i="1"/>
  <c r="Z834" i="1" s="1"/>
  <c r="X835" i="1"/>
  <c r="Z835" i="1" s="1"/>
  <c r="X836" i="1"/>
  <c r="Z836" i="1" s="1"/>
  <c r="X837" i="1"/>
  <c r="Z837" i="1" s="1"/>
  <c r="X838" i="1"/>
  <c r="Z838" i="1" s="1"/>
  <c r="X839" i="1"/>
  <c r="Z839" i="1" s="1"/>
  <c r="X840" i="1"/>
  <c r="Z840" i="1" s="1"/>
  <c r="X841" i="1"/>
  <c r="Z841" i="1" s="1"/>
  <c r="X842" i="1"/>
  <c r="Z842" i="1" s="1"/>
  <c r="X843" i="1"/>
  <c r="Z843" i="1" s="1"/>
  <c r="X844" i="1"/>
  <c r="Z844" i="1" s="1"/>
  <c r="X845" i="1"/>
  <c r="Z845" i="1" s="1"/>
  <c r="X846" i="1"/>
  <c r="Z846" i="1" s="1"/>
  <c r="X847" i="1"/>
  <c r="Z847" i="1" s="1"/>
  <c r="X848" i="1"/>
  <c r="Z848" i="1" s="1"/>
  <c r="X849" i="1"/>
  <c r="Z849" i="1" s="1"/>
  <c r="X850" i="1"/>
  <c r="Z850" i="1" s="1"/>
  <c r="X851" i="1"/>
  <c r="Z851" i="1" s="1"/>
  <c r="X852" i="1"/>
  <c r="Z852" i="1" s="1"/>
  <c r="X853" i="1"/>
  <c r="Z853" i="1" s="1"/>
  <c r="X854" i="1"/>
  <c r="Z854" i="1" s="1"/>
  <c r="X855" i="1"/>
  <c r="Z855" i="1" s="1"/>
  <c r="X856" i="1"/>
  <c r="Z856" i="1" s="1"/>
  <c r="X857" i="1"/>
  <c r="Z857" i="1" s="1"/>
  <c r="X858" i="1"/>
  <c r="Z858" i="1" s="1"/>
  <c r="X859" i="1"/>
  <c r="Z859" i="1" s="1"/>
  <c r="X860" i="1"/>
  <c r="Z860" i="1" s="1"/>
  <c r="X861" i="1"/>
  <c r="Z861" i="1" s="1"/>
  <c r="X862" i="1"/>
  <c r="Z862" i="1" s="1"/>
  <c r="X863" i="1"/>
  <c r="Z863" i="1" s="1"/>
  <c r="X864" i="1"/>
  <c r="Z864" i="1" s="1"/>
  <c r="X865" i="1"/>
  <c r="Z865" i="1" s="1"/>
  <c r="X866" i="1"/>
  <c r="Z866" i="1" s="1"/>
  <c r="X867" i="1"/>
  <c r="Z867" i="1" s="1"/>
  <c r="X868" i="1"/>
  <c r="Z868" i="1" s="1"/>
  <c r="X869" i="1"/>
  <c r="Z869" i="1" s="1"/>
  <c r="X870" i="1"/>
  <c r="Z870" i="1" s="1"/>
  <c r="X871" i="1"/>
  <c r="Z871" i="1" s="1"/>
  <c r="X872" i="1"/>
  <c r="Z872" i="1" s="1"/>
  <c r="X873" i="1"/>
  <c r="Z873" i="1" s="1"/>
  <c r="X874" i="1"/>
  <c r="Z874" i="1" s="1"/>
  <c r="X875" i="1"/>
  <c r="Z875" i="1" s="1"/>
  <c r="X876" i="1"/>
  <c r="Z876" i="1" s="1"/>
  <c r="X877" i="1"/>
  <c r="Z877" i="1" s="1"/>
  <c r="X878" i="1"/>
  <c r="Z878" i="1" s="1"/>
  <c r="X879" i="1"/>
  <c r="Z879" i="1" s="1"/>
  <c r="X880" i="1"/>
  <c r="Z880" i="1" s="1"/>
  <c r="X881" i="1"/>
  <c r="Z881" i="1" s="1"/>
  <c r="X882" i="1"/>
  <c r="Z882" i="1" s="1"/>
  <c r="X883" i="1"/>
  <c r="Z883" i="1" s="1"/>
  <c r="X884" i="1"/>
  <c r="Z884" i="1" s="1"/>
  <c r="X885" i="1"/>
  <c r="Z885" i="1" s="1"/>
  <c r="X886" i="1"/>
  <c r="Z886" i="1" s="1"/>
  <c r="X887" i="1"/>
  <c r="Z887" i="1" s="1"/>
  <c r="X888" i="1"/>
  <c r="Z888" i="1" s="1"/>
  <c r="X889" i="1"/>
  <c r="Z889" i="1" s="1"/>
  <c r="X890" i="1"/>
  <c r="Z890" i="1" s="1"/>
  <c r="X891" i="1"/>
  <c r="Z891" i="1" s="1"/>
  <c r="X892" i="1"/>
  <c r="Z892" i="1" s="1"/>
  <c r="X893" i="1"/>
  <c r="Z893" i="1" s="1"/>
  <c r="X894" i="1"/>
  <c r="Z894" i="1" s="1"/>
  <c r="X895" i="1"/>
  <c r="Z895" i="1" s="1"/>
  <c r="X896" i="1"/>
  <c r="Z896" i="1" s="1"/>
  <c r="X897" i="1"/>
  <c r="Z897" i="1" s="1"/>
  <c r="X898" i="1"/>
  <c r="Z898" i="1" s="1"/>
  <c r="X899" i="1"/>
  <c r="Z899" i="1" s="1"/>
  <c r="X900" i="1"/>
  <c r="Z900" i="1" s="1"/>
  <c r="X901" i="1"/>
  <c r="Z901" i="1" s="1"/>
  <c r="X902" i="1"/>
  <c r="Z902" i="1" s="1"/>
  <c r="X903" i="1"/>
  <c r="Z903" i="1" s="1"/>
  <c r="X904" i="1"/>
  <c r="Z904" i="1" s="1"/>
  <c r="X905" i="1"/>
  <c r="Z905" i="1" s="1"/>
  <c r="X906" i="1"/>
  <c r="Z906" i="1" s="1"/>
  <c r="X907" i="1"/>
  <c r="Z907" i="1" s="1"/>
  <c r="X908" i="1"/>
  <c r="Z908" i="1" s="1"/>
  <c r="X909" i="1"/>
  <c r="Z909" i="1" s="1"/>
  <c r="X910" i="1"/>
  <c r="Z910" i="1" s="1"/>
  <c r="X911" i="1"/>
  <c r="Z911" i="1" s="1"/>
  <c r="X912" i="1"/>
  <c r="Z912" i="1" s="1"/>
  <c r="X913" i="1"/>
  <c r="Z913" i="1" s="1"/>
  <c r="X914" i="1"/>
  <c r="Z914" i="1" s="1"/>
  <c r="X915" i="1"/>
  <c r="Z915" i="1" s="1"/>
  <c r="X916" i="1"/>
  <c r="Z916" i="1" s="1"/>
  <c r="X917" i="1"/>
  <c r="Z917" i="1" s="1"/>
  <c r="X918" i="1"/>
  <c r="Z918" i="1" s="1"/>
  <c r="X919" i="1"/>
  <c r="Z919" i="1" s="1"/>
  <c r="X920" i="1"/>
  <c r="Z920" i="1" s="1"/>
  <c r="X921" i="1"/>
  <c r="Z921" i="1" s="1"/>
  <c r="X922" i="1"/>
  <c r="Z922" i="1" s="1"/>
  <c r="X923" i="1"/>
  <c r="Z923" i="1" s="1"/>
  <c r="X924" i="1"/>
  <c r="Z924" i="1" s="1"/>
  <c r="X925" i="1"/>
  <c r="Z925" i="1" s="1"/>
  <c r="X926" i="1"/>
  <c r="Z926" i="1" s="1"/>
  <c r="X927" i="1"/>
  <c r="Z927" i="1" s="1"/>
  <c r="X928" i="1"/>
  <c r="Z928" i="1" s="1"/>
  <c r="X929" i="1"/>
  <c r="Z929" i="1" s="1"/>
  <c r="X930" i="1"/>
  <c r="Z930" i="1" s="1"/>
  <c r="X931" i="1"/>
  <c r="Z931" i="1" s="1"/>
  <c r="X932" i="1"/>
  <c r="Z932" i="1" s="1"/>
  <c r="X933" i="1"/>
  <c r="Z933" i="1" s="1"/>
  <c r="X934" i="1"/>
  <c r="Z934" i="1" s="1"/>
  <c r="X935" i="1"/>
  <c r="Z935" i="1" s="1"/>
  <c r="X936" i="1"/>
  <c r="Z936" i="1" s="1"/>
  <c r="X937" i="1"/>
  <c r="Z937" i="1" s="1"/>
  <c r="X938" i="1"/>
  <c r="Z938" i="1" s="1"/>
  <c r="X939" i="1"/>
  <c r="Z939" i="1" s="1"/>
  <c r="X940" i="1"/>
  <c r="Z940" i="1" s="1"/>
  <c r="X941" i="1"/>
  <c r="Z941" i="1" s="1"/>
  <c r="X942" i="1"/>
  <c r="Z942" i="1" s="1"/>
  <c r="X943" i="1"/>
  <c r="Z943" i="1" s="1"/>
  <c r="X944" i="1"/>
  <c r="Z944" i="1" s="1"/>
  <c r="X945" i="1"/>
  <c r="Z945" i="1" s="1"/>
  <c r="X946" i="1"/>
  <c r="Z946" i="1" s="1"/>
  <c r="X947" i="1"/>
  <c r="Z947" i="1" s="1"/>
  <c r="X948" i="1"/>
  <c r="Z948" i="1" s="1"/>
  <c r="X949" i="1"/>
  <c r="Z949" i="1" s="1"/>
  <c r="X950" i="1"/>
  <c r="Z950" i="1" s="1"/>
  <c r="X951" i="1"/>
  <c r="Z951" i="1" s="1"/>
  <c r="X952" i="1"/>
  <c r="Z952" i="1" s="1"/>
  <c r="X953" i="1"/>
  <c r="Z953" i="1" s="1"/>
  <c r="X954" i="1"/>
  <c r="Z954" i="1" s="1"/>
  <c r="X955" i="1"/>
  <c r="Z955" i="1" s="1"/>
  <c r="X956" i="1"/>
  <c r="Z956" i="1" s="1"/>
  <c r="X957" i="1"/>
  <c r="Z957" i="1" s="1"/>
  <c r="X958" i="1"/>
  <c r="Z958" i="1" s="1"/>
  <c r="X959" i="1"/>
  <c r="Z959" i="1" s="1"/>
  <c r="X960" i="1"/>
  <c r="Z960" i="1" s="1"/>
  <c r="X961" i="1"/>
  <c r="Z961" i="1" s="1"/>
  <c r="X962" i="1"/>
  <c r="Z962" i="1" s="1"/>
  <c r="X963" i="1"/>
  <c r="Z963" i="1" s="1"/>
  <c r="X964" i="1"/>
  <c r="Z964" i="1" s="1"/>
  <c r="X965" i="1"/>
  <c r="Z965" i="1" s="1"/>
  <c r="X966" i="1"/>
  <c r="Z966" i="1" s="1"/>
  <c r="X967" i="1"/>
  <c r="Z967" i="1" s="1"/>
  <c r="X968" i="1"/>
  <c r="Z968" i="1" s="1"/>
  <c r="X969" i="1"/>
  <c r="Z969" i="1" s="1"/>
  <c r="X970" i="1"/>
  <c r="Z970" i="1" s="1"/>
  <c r="X971" i="1"/>
  <c r="Z971" i="1" s="1"/>
  <c r="X972" i="1"/>
  <c r="Z972" i="1" s="1"/>
  <c r="X973" i="1"/>
  <c r="Z973" i="1" s="1"/>
  <c r="X974" i="1"/>
  <c r="Z974" i="1" s="1"/>
  <c r="X975" i="1"/>
  <c r="Z975" i="1" s="1"/>
  <c r="X976" i="1"/>
  <c r="Z976" i="1" s="1"/>
  <c r="X977" i="1"/>
  <c r="Z977" i="1" s="1"/>
  <c r="X978" i="1"/>
  <c r="Z978" i="1" s="1"/>
  <c r="X979" i="1"/>
  <c r="Z979" i="1" s="1"/>
  <c r="X980" i="1"/>
  <c r="Z980" i="1" s="1"/>
  <c r="X981" i="1"/>
  <c r="Z981" i="1" s="1"/>
  <c r="X982" i="1"/>
  <c r="Z982" i="1" s="1"/>
  <c r="X983" i="1"/>
  <c r="Z983" i="1" s="1"/>
  <c r="X984" i="1"/>
  <c r="Z984" i="1" s="1"/>
  <c r="X985" i="1"/>
  <c r="Z985" i="1" s="1"/>
  <c r="X986" i="1"/>
  <c r="Z986" i="1" s="1"/>
  <c r="X987" i="1"/>
  <c r="Z987" i="1" s="1"/>
  <c r="X988" i="1"/>
  <c r="Z988" i="1" s="1"/>
  <c r="X989" i="1"/>
  <c r="Z989" i="1" s="1"/>
  <c r="X990" i="1"/>
  <c r="Z990" i="1" s="1"/>
  <c r="X991" i="1"/>
  <c r="Z991" i="1" s="1"/>
  <c r="X992" i="1"/>
  <c r="Z992" i="1" s="1"/>
  <c r="X993" i="1"/>
  <c r="Z993" i="1" s="1"/>
  <c r="X994" i="1"/>
  <c r="Z994" i="1" s="1"/>
  <c r="X995" i="1"/>
  <c r="Z995" i="1" s="1"/>
  <c r="X996" i="1"/>
  <c r="Z996" i="1" s="1"/>
  <c r="X997" i="1"/>
  <c r="Z997" i="1" s="1"/>
  <c r="X998" i="1"/>
  <c r="Z998" i="1" s="1"/>
  <c r="X999" i="1"/>
  <c r="Z999" i="1" s="1"/>
  <c r="X1000" i="1"/>
  <c r="Z1000" i="1" s="1"/>
  <c r="X1001" i="1"/>
  <c r="Z1001" i="1" s="1"/>
  <c r="X1002" i="1"/>
  <c r="Z1002" i="1" s="1"/>
  <c r="X1003" i="1"/>
  <c r="Z1003" i="1" s="1"/>
  <c r="X1004" i="1"/>
  <c r="Z1004" i="1" s="1"/>
  <c r="X1005" i="1"/>
  <c r="Z1005" i="1" s="1"/>
  <c r="X1006" i="1"/>
  <c r="Z1006" i="1" s="1"/>
  <c r="X1007" i="1"/>
  <c r="Z1007" i="1" s="1"/>
  <c r="X1008" i="1"/>
  <c r="Z1008" i="1" s="1"/>
  <c r="X1009" i="1"/>
  <c r="Z1009" i="1" s="1"/>
  <c r="X1010" i="1"/>
  <c r="Z1010" i="1" s="1"/>
  <c r="X1011" i="1"/>
  <c r="Z1011" i="1" s="1"/>
  <c r="X1012" i="1"/>
  <c r="Z1012" i="1" s="1"/>
  <c r="X1013" i="1"/>
  <c r="Z1013" i="1" s="1"/>
  <c r="X1014" i="1"/>
  <c r="Z1014" i="1" s="1"/>
  <c r="X1015" i="1"/>
  <c r="Z1015" i="1" s="1"/>
  <c r="X1016" i="1"/>
  <c r="Z1016" i="1" s="1"/>
  <c r="X1017" i="1"/>
  <c r="Z1017" i="1" s="1"/>
  <c r="X1018" i="1"/>
  <c r="Z1018" i="1" s="1"/>
  <c r="X1019" i="1"/>
  <c r="Z1019" i="1" s="1"/>
  <c r="X1020" i="1"/>
  <c r="Z1020" i="1" s="1"/>
  <c r="X1021" i="1"/>
  <c r="Z1021" i="1" s="1"/>
  <c r="X1022" i="1"/>
  <c r="Z1022" i="1" s="1"/>
  <c r="X1023" i="1"/>
  <c r="Z1023" i="1" s="1"/>
  <c r="X1024" i="1"/>
  <c r="Z1024" i="1" s="1"/>
  <c r="X1025" i="1"/>
  <c r="Z1025" i="1" s="1"/>
  <c r="X1026" i="1"/>
  <c r="Z1026" i="1" s="1"/>
  <c r="X1027" i="1"/>
  <c r="Z1027" i="1" s="1"/>
  <c r="X1028" i="1"/>
  <c r="Z1028" i="1" s="1"/>
  <c r="X1029" i="1"/>
  <c r="Z1029" i="1" s="1"/>
  <c r="X1030" i="1"/>
  <c r="Z1030" i="1" s="1"/>
  <c r="X1031" i="1"/>
  <c r="Z1031" i="1" s="1"/>
  <c r="X1032" i="1"/>
  <c r="Z1032" i="1" s="1"/>
  <c r="X1033" i="1"/>
  <c r="Z1033" i="1" s="1"/>
  <c r="X1034" i="1"/>
  <c r="Z1034" i="1" s="1"/>
  <c r="X1035" i="1"/>
  <c r="Z1035" i="1" s="1"/>
  <c r="X1036" i="1"/>
  <c r="Z1036" i="1" s="1"/>
  <c r="X1037" i="1"/>
  <c r="Z1037" i="1" s="1"/>
  <c r="X1038" i="1"/>
  <c r="Z1038" i="1" s="1"/>
  <c r="X1039" i="1"/>
  <c r="Z1039" i="1" s="1"/>
  <c r="X1040" i="1"/>
  <c r="Z1040" i="1" s="1"/>
  <c r="X1041" i="1"/>
  <c r="Z1041" i="1" s="1"/>
  <c r="X1042" i="1"/>
  <c r="Z1042" i="1" s="1"/>
  <c r="X1043" i="1"/>
  <c r="Z1043" i="1" s="1"/>
  <c r="X1044" i="1"/>
  <c r="Z1044" i="1" s="1"/>
  <c r="X1045" i="1"/>
  <c r="Z1045" i="1" s="1"/>
  <c r="X1046" i="1"/>
  <c r="Z1046" i="1" s="1"/>
  <c r="X1047" i="1"/>
  <c r="Z1047" i="1" s="1"/>
  <c r="X1048" i="1"/>
  <c r="Z1048" i="1" s="1"/>
  <c r="X1049" i="1"/>
  <c r="Z1049" i="1" s="1"/>
  <c r="X1050" i="1"/>
  <c r="Z1050" i="1" s="1"/>
  <c r="X1051" i="1"/>
  <c r="Z1051" i="1" s="1"/>
  <c r="X1052" i="1"/>
  <c r="Z1052" i="1" s="1"/>
  <c r="X1053" i="1"/>
  <c r="Z1053" i="1" s="1"/>
  <c r="X1054" i="1"/>
  <c r="Z1054" i="1" s="1"/>
  <c r="X1055" i="1"/>
  <c r="Z1055" i="1" s="1"/>
  <c r="X1056" i="1"/>
  <c r="Z1056" i="1" s="1"/>
  <c r="X1057" i="1"/>
  <c r="Z1057" i="1" s="1"/>
  <c r="X1058" i="1"/>
  <c r="Z1058" i="1" s="1"/>
  <c r="X1059" i="1"/>
  <c r="Z1059" i="1" s="1"/>
  <c r="X1060" i="1"/>
  <c r="Z1060" i="1" s="1"/>
  <c r="X1061" i="1"/>
  <c r="Z1061" i="1" s="1"/>
  <c r="X1062" i="1"/>
  <c r="Z1062" i="1" s="1"/>
  <c r="X1063" i="1"/>
  <c r="Z1063" i="1" s="1"/>
  <c r="X1064" i="1"/>
  <c r="Z1064" i="1" s="1"/>
  <c r="X1065" i="1"/>
  <c r="Z1065" i="1" s="1"/>
  <c r="X1066" i="1"/>
  <c r="Z1066" i="1" s="1"/>
  <c r="X1067" i="1"/>
  <c r="Z1067" i="1" s="1"/>
  <c r="X1068" i="1"/>
  <c r="Z1068" i="1" s="1"/>
  <c r="X1069" i="1"/>
  <c r="Z1069" i="1" s="1"/>
  <c r="X1070" i="1"/>
  <c r="Z1070" i="1" s="1"/>
  <c r="X1071" i="1"/>
  <c r="Z1071" i="1" s="1"/>
  <c r="X1072" i="1"/>
  <c r="Z1072" i="1" s="1"/>
  <c r="X1073" i="1"/>
  <c r="Z1073" i="1" s="1"/>
  <c r="X1074" i="1"/>
  <c r="Z1074" i="1" s="1"/>
  <c r="X1075" i="1"/>
  <c r="Z1075" i="1" s="1"/>
  <c r="X1076" i="1"/>
  <c r="Z1076" i="1" s="1"/>
  <c r="X1077" i="1"/>
  <c r="Z1077" i="1" s="1"/>
  <c r="X1078" i="1"/>
  <c r="Z1078" i="1" s="1"/>
  <c r="X1079" i="1"/>
  <c r="Z1079" i="1" s="1"/>
  <c r="X1080" i="1"/>
  <c r="Z1080" i="1" s="1"/>
  <c r="X1081" i="1"/>
  <c r="Z1081" i="1" s="1"/>
  <c r="X1082" i="1"/>
  <c r="Z1082" i="1" s="1"/>
  <c r="X1083" i="1"/>
  <c r="Z1083" i="1" s="1"/>
  <c r="X1084" i="1"/>
  <c r="Z1084" i="1" s="1"/>
  <c r="X1085" i="1"/>
  <c r="Z1085" i="1" s="1"/>
  <c r="X1086" i="1"/>
  <c r="Z1086" i="1" s="1"/>
  <c r="X1087" i="1"/>
  <c r="Z1087" i="1" s="1"/>
  <c r="X1088" i="1"/>
  <c r="Z1088" i="1" s="1"/>
  <c r="X1089" i="1"/>
  <c r="Z1089" i="1" s="1"/>
  <c r="X1090" i="1"/>
  <c r="Z1090" i="1" s="1"/>
  <c r="X1091" i="1"/>
  <c r="Z1091" i="1" s="1"/>
  <c r="X1092" i="1"/>
  <c r="Z1092" i="1" s="1"/>
  <c r="X1093" i="1"/>
  <c r="Z1093" i="1" s="1"/>
  <c r="X1094" i="1"/>
  <c r="Z1094" i="1" s="1"/>
  <c r="X1095" i="1"/>
  <c r="Z1095" i="1" s="1"/>
  <c r="X1096" i="1"/>
  <c r="Z1096" i="1" s="1"/>
  <c r="X1097" i="1"/>
  <c r="Z1097" i="1" s="1"/>
  <c r="X1098" i="1"/>
  <c r="Z1098" i="1" s="1"/>
  <c r="X1099" i="1"/>
  <c r="Z1099" i="1" s="1"/>
  <c r="X1100" i="1"/>
  <c r="Z1100" i="1" s="1"/>
  <c r="X1101" i="1"/>
  <c r="Z1101" i="1" s="1"/>
  <c r="X1102" i="1"/>
  <c r="Z1102" i="1" s="1"/>
  <c r="X1103" i="1"/>
  <c r="Z1103" i="1" s="1"/>
  <c r="X1104" i="1"/>
  <c r="Z1104" i="1" s="1"/>
  <c r="X1105" i="1"/>
  <c r="Z1105" i="1" s="1"/>
  <c r="X1106" i="1"/>
  <c r="Z1106" i="1" s="1"/>
  <c r="X1107" i="1"/>
  <c r="Z1107" i="1" s="1"/>
  <c r="X1108" i="1"/>
  <c r="Z1108" i="1" s="1"/>
  <c r="X1109" i="1"/>
  <c r="Z1109" i="1" s="1"/>
  <c r="X1110" i="1"/>
  <c r="Z1110" i="1" s="1"/>
  <c r="X1111" i="1"/>
  <c r="Z1111" i="1" s="1"/>
  <c r="X1112" i="1"/>
  <c r="Z1112" i="1" s="1"/>
  <c r="X1113" i="1"/>
  <c r="Z1113" i="1" s="1"/>
  <c r="X1114" i="1"/>
  <c r="Z1114" i="1" s="1"/>
  <c r="X1115" i="1"/>
  <c r="Z1115" i="1" s="1"/>
  <c r="X1116" i="1"/>
  <c r="Z1116" i="1" s="1"/>
  <c r="X1117" i="1"/>
  <c r="Z1117" i="1" s="1"/>
  <c r="X1118" i="1"/>
  <c r="Z1118" i="1" s="1"/>
  <c r="X1119" i="1"/>
  <c r="Z1119" i="1" s="1"/>
  <c r="X1120" i="1"/>
  <c r="Z1120" i="1" s="1"/>
  <c r="X1121" i="1"/>
  <c r="Z1121" i="1" s="1"/>
  <c r="X1122" i="1"/>
  <c r="Z1122" i="1" s="1"/>
  <c r="X1123" i="1"/>
  <c r="Z1123" i="1" s="1"/>
  <c r="X1124" i="1"/>
  <c r="Z1124" i="1" s="1"/>
  <c r="X1125" i="1"/>
  <c r="Z1125" i="1" s="1"/>
  <c r="X1126" i="1"/>
  <c r="Z1126" i="1" s="1"/>
  <c r="X1127" i="1"/>
  <c r="Z1127" i="1" s="1"/>
  <c r="X1128" i="1"/>
  <c r="Z1128" i="1" s="1"/>
  <c r="X1129" i="1"/>
  <c r="Z1129" i="1" s="1"/>
  <c r="X1130" i="1"/>
  <c r="Z1130" i="1" s="1"/>
  <c r="X1131" i="1"/>
  <c r="Z1131" i="1" s="1"/>
  <c r="X1132" i="1"/>
  <c r="Z1132" i="1" s="1"/>
  <c r="X1133" i="1"/>
  <c r="Z1133" i="1" s="1"/>
  <c r="X1134" i="1"/>
  <c r="Z1134" i="1" s="1"/>
  <c r="X1135" i="1"/>
  <c r="Z1135" i="1" s="1"/>
  <c r="X1136" i="1"/>
  <c r="Z1136" i="1" s="1"/>
  <c r="X1137" i="1"/>
  <c r="Z1137" i="1" s="1"/>
  <c r="X1138" i="1"/>
  <c r="Z1138" i="1" s="1"/>
  <c r="X1139" i="1"/>
  <c r="Z1139" i="1" s="1"/>
  <c r="X1140" i="1"/>
  <c r="Z1140" i="1" s="1"/>
  <c r="X1141" i="1"/>
  <c r="Z1141" i="1" s="1"/>
  <c r="X1142" i="1"/>
  <c r="Z1142" i="1" s="1"/>
  <c r="X1143" i="1"/>
  <c r="Z1143" i="1" s="1"/>
  <c r="X1144" i="1"/>
  <c r="Z1144" i="1" s="1"/>
  <c r="X1145" i="1"/>
  <c r="Z1145" i="1" s="1"/>
  <c r="X1146" i="1"/>
  <c r="Z1146" i="1" s="1"/>
  <c r="X1147" i="1"/>
  <c r="Z1147" i="1" s="1"/>
  <c r="X1148" i="1"/>
  <c r="Z1148" i="1" s="1"/>
  <c r="X1149" i="1"/>
  <c r="Z1149" i="1" s="1"/>
  <c r="X1150" i="1"/>
  <c r="Z1150" i="1" s="1"/>
  <c r="X1151" i="1"/>
  <c r="Z1151" i="1" s="1"/>
  <c r="X1152" i="1"/>
  <c r="Z1152" i="1" s="1"/>
  <c r="X1153" i="1"/>
  <c r="Z1153" i="1" s="1"/>
  <c r="X1154" i="1"/>
  <c r="Z1154" i="1" s="1"/>
  <c r="X1155" i="1"/>
  <c r="Z1155" i="1" s="1"/>
  <c r="X1156" i="1"/>
  <c r="Z1156" i="1" s="1"/>
  <c r="X1157" i="1"/>
  <c r="Z1157" i="1" s="1"/>
  <c r="X1158" i="1"/>
  <c r="Z1158" i="1" s="1"/>
  <c r="X1159" i="1"/>
  <c r="Z1159" i="1" s="1"/>
  <c r="X1160" i="1"/>
  <c r="Z1160" i="1" s="1"/>
  <c r="X1161" i="1"/>
  <c r="Z1161" i="1" s="1"/>
  <c r="X1162" i="1"/>
  <c r="Z1162" i="1" s="1"/>
  <c r="X1163" i="1"/>
  <c r="Z1163" i="1" s="1"/>
  <c r="X1164" i="1"/>
  <c r="Z1164" i="1" s="1"/>
  <c r="X1165" i="1"/>
  <c r="Z1165" i="1" s="1"/>
  <c r="X1166" i="1"/>
  <c r="Z1166" i="1" s="1"/>
  <c r="X1167" i="1"/>
  <c r="Z1167" i="1" s="1"/>
  <c r="X1168" i="1"/>
  <c r="Z1168" i="1" s="1"/>
  <c r="X1169" i="1"/>
  <c r="Z1169" i="1" s="1"/>
  <c r="X1170" i="1"/>
  <c r="Z1170" i="1" s="1"/>
  <c r="X1171" i="1"/>
  <c r="Z1171" i="1" s="1"/>
  <c r="X1172" i="1"/>
  <c r="Z1172" i="1" s="1"/>
  <c r="X1173" i="1"/>
  <c r="Z1173" i="1" s="1"/>
  <c r="X1174" i="1"/>
  <c r="Z1174" i="1" s="1"/>
  <c r="X1175" i="1"/>
  <c r="Z1175" i="1" s="1"/>
  <c r="X1176" i="1"/>
  <c r="Z1176" i="1" s="1"/>
  <c r="X1177" i="1"/>
  <c r="Z1177" i="1" s="1"/>
  <c r="X1178" i="1"/>
  <c r="Z1178" i="1" s="1"/>
  <c r="X1179" i="1"/>
  <c r="Z1179" i="1" s="1"/>
  <c r="X1180" i="1"/>
  <c r="Z1180" i="1" s="1"/>
  <c r="X1181" i="1"/>
  <c r="Z1181" i="1" s="1"/>
  <c r="X1182" i="1"/>
  <c r="Z1182" i="1" s="1"/>
  <c r="X1183" i="1"/>
  <c r="Z1183" i="1" s="1"/>
  <c r="X1184" i="1"/>
  <c r="Z1184" i="1" s="1"/>
  <c r="X1185" i="1"/>
  <c r="Z1185" i="1" s="1"/>
  <c r="X1186" i="1"/>
  <c r="Z1186" i="1" s="1"/>
  <c r="X1187" i="1"/>
  <c r="Z1187" i="1" s="1"/>
  <c r="X1188" i="1"/>
  <c r="Z1188" i="1" s="1"/>
  <c r="X1189" i="1"/>
  <c r="Z1189" i="1" s="1"/>
  <c r="X1190" i="1"/>
  <c r="Z1190" i="1" s="1"/>
  <c r="X1191" i="1"/>
  <c r="Z1191" i="1" s="1"/>
  <c r="X1192" i="1"/>
  <c r="Z1192" i="1" s="1"/>
  <c r="X1193" i="1"/>
  <c r="Z1193" i="1" s="1"/>
  <c r="X1194" i="1"/>
  <c r="Z1194" i="1" s="1"/>
  <c r="X1195" i="1"/>
  <c r="Z1195" i="1" s="1"/>
  <c r="X1196" i="1"/>
  <c r="Z1196" i="1" s="1"/>
  <c r="X1197" i="1"/>
  <c r="Z1197" i="1" s="1"/>
  <c r="X1198" i="1"/>
  <c r="Z1198" i="1" s="1"/>
  <c r="X1199" i="1"/>
  <c r="Z1199" i="1" s="1"/>
  <c r="X1200" i="1"/>
  <c r="Z1200" i="1" s="1"/>
  <c r="X1201" i="1"/>
  <c r="Z1201" i="1" s="1"/>
  <c r="X1202" i="1"/>
  <c r="Z1202" i="1" s="1"/>
  <c r="X1203" i="1"/>
  <c r="Z1203" i="1" s="1"/>
  <c r="X1204" i="1"/>
  <c r="Z1204" i="1" s="1"/>
  <c r="X1205" i="1"/>
  <c r="Z1205" i="1" s="1"/>
  <c r="X1206" i="1"/>
  <c r="Z1206" i="1" s="1"/>
  <c r="X1207" i="1"/>
  <c r="Z1207" i="1" s="1"/>
  <c r="X1208" i="1"/>
  <c r="Z1208" i="1" s="1"/>
  <c r="X1209" i="1"/>
  <c r="Z1209" i="1" s="1"/>
  <c r="X1210" i="1"/>
  <c r="Z1210" i="1" s="1"/>
  <c r="X1211" i="1"/>
  <c r="Z1211" i="1" s="1"/>
  <c r="X1212" i="1"/>
  <c r="Z1212" i="1" s="1"/>
  <c r="X1213" i="1"/>
  <c r="Z1213" i="1" s="1"/>
  <c r="X1214" i="1"/>
  <c r="Z1214" i="1" s="1"/>
  <c r="X1215" i="1"/>
  <c r="Z1215" i="1" s="1"/>
  <c r="X1216" i="1"/>
  <c r="Z1216" i="1" s="1"/>
  <c r="X1217" i="1"/>
  <c r="Z1217" i="1" s="1"/>
  <c r="X1218" i="1"/>
  <c r="Z1218" i="1" s="1"/>
  <c r="X1219" i="1"/>
  <c r="Z1219" i="1" s="1"/>
  <c r="X1220" i="1"/>
  <c r="Z1220" i="1" s="1"/>
  <c r="X1221" i="1"/>
  <c r="Z1221" i="1" s="1"/>
  <c r="X1222" i="1"/>
  <c r="Z1222" i="1" s="1"/>
  <c r="X1223" i="1"/>
  <c r="Z1223" i="1" s="1"/>
  <c r="X1224" i="1"/>
  <c r="Z1224" i="1" s="1"/>
  <c r="X1225" i="1"/>
  <c r="Z1225" i="1" s="1"/>
  <c r="X1226" i="1"/>
  <c r="Z1226" i="1" s="1"/>
  <c r="X1227" i="1"/>
  <c r="Z1227" i="1" s="1"/>
  <c r="X1228" i="1"/>
  <c r="Z1228" i="1" s="1"/>
  <c r="X1229" i="1"/>
  <c r="Z1229" i="1" s="1"/>
  <c r="X1230" i="1"/>
  <c r="Z1230" i="1" s="1"/>
  <c r="X1231" i="1"/>
  <c r="Z1231" i="1" s="1"/>
  <c r="X1232" i="1"/>
  <c r="Z1232" i="1" s="1"/>
  <c r="X1233" i="1"/>
  <c r="Z1233" i="1" s="1"/>
  <c r="X1234" i="1"/>
  <c r="Z1234" i="1" s="1"/>
  <c r="X1235" i="1"/>
  <c r="Z1235" i="1" s="1"/>
  <c r="X1236" i="1"/>
  <c r="Z1236" i="1" s="1"/>
  <c r="X1237" i="1"/>
  <c r="Z1237" i="1" s="1"/>
  <c r="X1238" i="1"/>
  <c r="Z1238" i="1" s="1"/>
  <c r="X1239" i="1"/>
  <c r="Z1239" i="1" s="1"/>
  <c r="X1240" i="1"/>
  <c r="Z1240" i="1" s="1"/>
  <c r="X1241" i="1"/>
  <c r="Z1241" i="1" s="1"/>
  <c r="X1242" i="1"/>
  <c r="Z1242" i="1" s="1"/>
  <c r="X1243" i="1"/>
  <c r="Z1243" i="1" s="1"/>
  <c r="X1244" i="1"/>
  <c r="Z1244" i="1" s="1"/>
  <c r="X1245" i="1"/>
  <c r="Z1245" i="1" s="1"/>
  <c r="X1246" i="1"/>
  <c r="Z1246" i="1" s="1"/>
  <c r="X1247" i="1"/>
  <c r="Z1247" i="1" s="1"/>
  <c r="X1248" i="1"/>
  <c r="Z1248" i="1" s="1"/>
  <c r="X1249" i="1"/>
  <c r="Z1249" i="1" s="1"/>
  <c r="X1250" i="1"/>
  <c r="Z1250" i="1" s="1"/>
  <c r="X1251" i="1"/>
  <c r="Z1251" i="1" s="1"/>
  <c r="X1252" i="1"/>
  <c r="Z1252" i="1" s="1"/>
  <c r="X1253" i="1"/>
  <c r="Z1253" i="1" s="1"/>
  <c r="X1254" i="1"/>
  <c r="Z1254" i="1" s="1"/>
  <c r="X1255" i="1"/>
  <c r="Z1255" i="1" s="1"/>
  <c r="X1256" i="1"/>
  <c r="Z1256" i="1" s="1"/>
  <c r="X1257" i="1"/>
  <c r="Z1257" i="1" s="1"/>
  <c r="X1258" i="1"/>
  <c r="Z1258" i="1" s="1"/>
  <c r="X1259" i="1"/>
  <c r="Z1259" i="1" s="1"/>
  <c r="X1260" i="1"/>
  <c r="Z1260" i="1" s="1"/>
  <c r="X1261" i="1"/>
  <c r="Z1261" i="1" s="1"/>
  <c r="X1262" i="1"/>
  <c r="Z1262" i="1" s="1"/>
  <c r="X1263" i="1"/>
  <c r="Z1263" i="1" s="1"/>
  <c r="X1264" i="1"/>
  <c r="Z1264" i="1" s="1"/>
  <c r="X1265" i="1"/>
  <c r="Z1265" i="1" s="1"/>
  <c r="X1266" i="1"/>
  <c r="Z1266" i="1" s="1"/>
  <c r="X1267" i="1"/>
  <c r="Z1267" i="1" s="1"/>
  <c r="X1268" i="1"/>
  <c r="Z1268" i="1" s="1"/>
  <c r="X1269" i="1"/>
  <c r="Z1269" i="1" s="1"/>
  <c r="X1270" i="1"/>
  <c r="Z1270" i="1" s="1"/>
  <c r="X1271" i="1"/>
  <c r="Z1271" i="1" s="1"/>
  <c r="X1272" i="1"/>
  <c r="Z1272" i="1" s="1"/>
  <c r="X1273" i="1"/>
  <c r="Z1273" i="1" s="1"/>
  <c r="X1274" i="1"/>
  <c r="Z1274" i="1" s="1"/>
  <c r="X1275" i="1"/>
  <c r="Z1275" i="1" s="1"/>
  <c r="X1276" i="1"/>
  <c r="Z1276" i="1" s="1"/>
  <c r="X1277" i="1"/>
  <c r="Z1277" i="1" s="1"/>
  <c r="X1278" i="1"/>
  <c r="Z1278" i="1" s="1"/>
  <c r="X1279" i="1"/>
  <c r="Z1279" i="1" s="1"/>
  <c r="X1280" i="1"/>
  <c r="Z1280" i="1" s="1"/>
  <c r="X1281" i="1"/>
  <c r="Z1281" i="1" s="1"/>
  <c r="X1282" i="1"/>
  <c r="Z1282" i="1" s="1"/>
  <c r="X1283" i="1"/>
  <c r="Z1283" i="1" s="1"/>
  <c r="X1284" i="1"/>
  <c r="Z1284" i="1" s="1"/>
  <c r="X1285" i="1"/>
  <c r="Z1285" i="1" s="1"/>
  <c r="X1286" i="1"/>
  <c r="Z1286" i="1" s="1"/>
  <c r="X1287" i="1"/>
  <c r="Z1287" i="1" s="1"/>
  <c r="X1288" i="1"/>
  <c r="Z1288" i="1" s="1"/>
  <c r="X1289" i="1"/>
  <c r="Z1289" i="1" s="1"/>
  <c r="X1290" i="1"/>
  <c r="Z1290" i="1" s="1"/>
  <c r="X1291" i="1"/>
  <c r="Z1291" i="1" s="1"/>
  <c r="X1292" i="1"/>
  <c r="Z1292" i="1" s="1"/>
  <c r="X1293" i="1"/>
  <c r="Z1293" i="1" s="1"/>
  <c r="X1294" i="1"/>
  <c r="Z1294" i="1" s="1"/>
  <c r="X1295" i="1"/>
  <c r="Z1295" i="1" s="1"/>
  <c r="X1296" i="1"/>
  <c r="Z1296" i="1" s="1"/>
  <c r="X1297" i="1"/>
  <c r="Z1297" i="1" s="1"/>
  <c r="X1298" i="1"/>
  <c r="Z1298" i="1" s="1"/>
  <c r="X1299" i="1"/>
  <c r="Z1299" i="1" s="1"/>
  <c r="X1300" i="1"/>
  <c r="Z1300" i="1" s="1"/>
  <c r="X1301" i="1"/>
  <c r="Z1301" i="1" s="1"/>
  <c r="X1302" i="1"/>
  <c r="Z1302" i="1" s="1"/>
  <c r="X1303" i="1"/>
  <c r="Z1303" i="1" s="1"/>
  <c r="X1304" i="1"/>
  <c r="Z1304" i="1" s="1"/>
  <c r="X1305" i="1"/>
  <c r="Z1305" i="1" s="1"/>
  <c r="X1306" i="1"/>
  <c r="Z1306" i="1" s="1"/>
  <c r="X1307" i="1"/>
  <c r="Z1307" i="1" s="1"/>
  <c r="X1308" i="1"/>
  <c r="Z1308" i="1" s="1"/>
  <c r="X1309" i="1"/>
  <c r="Z1309" i="1" s="1"/>
  <c r="X1310" i="1"/>
  <c r="Z1310" i="1" s="1"/>
  <c r="X1311" i="1"/>
  <c r="Z1311" i="1" s="1"/>
  <c r="X1312" i="1"/>
  <c r="Z1312" i="1" s="1"/>
  <c r="X1313" i="1"/>
  <c r="Z1313" i="1" s="1"/>
  <c r="X1314" i="1"/>
  <c r="Z1314" i="1" s="1"/>
  <c r="X1315" i="1"/>
  <c r="Z1315" i="1" s="1"/>
  <c r="X1316" i="1"/>
  <c r="Z1316" i="1" s="1"/>
  <c r="X1317" i="1"/>
  <c r="Z1317" i="1" s="1"/>
  <c r="X1318" i="1"/>
  <c r="Z1318" i="1" s="1"/>
  <c r="X1319" i="1"/>
  <c r="Z1319" i="1" s="1"/>
  <c r="X1320" i="1"/>
  <c r="Z1320" i="1" s="1"/>
  <c r="X1321" i="1"/>
  <c r="Z1321" i="1" s="1"/>
  <c r="X1322" i="1"/>
  <c r="Z1322" i="1" s="1"/>
  <c r="X1323" i="1"/>
  <c r="Z1323" i="1" s="1"/>
  <c r="X1324" i="1"/>
  <c r="Z1324" i="1" s="1"/>
  <c r="X1325" i="1"/>
  <c r="Z1325" i="1" s="1"/>
  <c r="X1326" i="1"/>
  <c r="Z1326" i="1" s="1"/>
  <c r="X1327" i="1"/>
  <c r="Z1327" i="1" s="1"/>
  <c r="X1328" i="1"/>
  <c r="Z1328" i="1" s="1"/>
  <c r="X1329" i="1"/>
  <c r="Z1329" i="1" s="1"/>
  <c r="X1330" i="1"/>
  <c r="Z1330" i="1" s="1"/>
  <c r="X1331" i="1"/>
  <c r="Z1331" i="1" s="1"/>
  <c r="X1332" i="1"/>
  <c r="Z1332" i="1" s="1"/>
  <c r="X1333" i="1"/>
  <c r="Z1333" i="1" s="1"/>
  <c r="X1334" i="1"/>
  <c r="Z1334" i="1" s="1"/>
  <c r="X1335" i="1"/>
  <c r="Z1335" i="1" s="1"/>
  <c r="X1336" i="1"/>
  <c r="Z1336" i="1" s="1"/>
  <c r="X1337" i="1"/>
  <c r="Z1337" i="1" s="1"/>
  <c r="X1338" i="1"/>
  <c r="Z1338" i="1" s="1"/>
  <c r="X1339" i="1"/>
  <c r="Z1339" i="1" s="1"/>
  <c r="X1340" i="1"/>
  <c r="Z1340" i="1" s="1"/>
  <c r="X1341" i="1"/>
  <c r="Z1341" i="1" s="1"/>
  <c r="X1342" i="1"/>
  <c r="Z1342" i="1" s="1"/>
  <c r="X1343" i="1"/>
  <c r="Z1343" i="1" s="1"/>
  <c r="X1344" i="1"/>
  <c r="Z1344" i="1" s="1"/>
  <c r="X1345" i="1"/>
  <c r="Z1345" i="1" s="1"/>
  <c r="X1346" i="1"/>
  <c r="Z1346" i="1" s="1"/>
  <c r="X1347" i="1"/>
  <c r="Z1347" i="1" s="1"/>
  <c r="X1348" i="1"/>
  <c r="Z1348" i="1" s="1"/>
  <c r="X1349" i="1"/>
  <c r="Z1349" i="1" s="1"/>
  <c r="X1350" i="1"/>
  <c r="Z1350" i="1" s="1"/>
  <c r="X1351" i="1"/>
  <c r="Z1351" i="1" s="1"/>
  <c r="X1352" i="1"/>
  <c r="Z1352" i="1" s="1"/>
  <c r="X1353" i="1"/>
  <c r="Z1353" i="1" s="1"/>
  <c r="X1354" i="1"/>
  <c r="Z1354" i="1" s="1"/>
  <c r="X1355" i="1"/>
  <c r="Z1355" i="1" s="1"/>
  <c r="X1356" i="1"/>
  <c r="Z1356" i="1" s="1"/>
  <c r="X1357" i="1"/>
  <c r="Z1357" i="1" s="1"/>
  <c r="X1358" i="1"/>
  <c r="Z1358" i="1" s="1"/>
  <c r="X1359" i="1"/>
  <c r="Z1359" i="1" s="1"/>
  <c r="X1360" i="1"/>
  <c r="Z1360" i="1" s="1"/>
  <c r="X1361" i="1"/>
  <c r="Z1361" i="1" s="1"/>
  <c r="X1362" i="1"/>
  <c r="Z1362" i="1" s="1"/>
  <c r="X1363" i="1"/>
  <c r="Z1363" i="1" s="1"/>
  <c r="X1364" i="1"/>
  <c r="Z1364" i="1" s="1"/>
  <c r="X1365" i="1"/>
  <c r="Z1365" i="1" s="1"/>
  <c r="X1366" i="1"/>
  <c r="Z1366" i="1" s="1"/>
  <c r="X1367" i="1"/>
  <c r="Z1367" i="1" s="1"/>
  <c r="X1368" i="1"/>
  <c r="Z1368" i="1" s="1"/>
  <c r="X1369" i="1"/>
  <c r="Z1369" i="1" s="1"/>
  <c r="X1370" i="1"/>
  <c r="Z1370" i="1" s="1"/>
  <c r="X1371" i="1"/>
  <c r="Z1371" i="1" s="1"/>
  <c r="X1372" i="1"/>
  <c r="Z1372" i="1" s="1"/>
  <c r="X1373" i="1"/>
  <c r="Z1373" i="1" s="1"/>
  <c r="X1374" i="1"/>
  <c r="Z1374" i="1" s="1"/>
  <c r="X1375" i="1"/>
  <c r="Z1375" i="1" s="1"/>
  <c r="X1376" i="1"/>
  <c r="Z1376" i="1" s="1"/>
  <c r="X1377" i="1"/>
  <c r="Z1377" i="1" s="1"/>
  <c r="X1378" i="1"/>
  <c r="Z1378" i="1" s="1"/>
  <c r="X1379" i="1"/>
  <c r="Z1379" i="1" s="1"/>
  <c r="X1380" i="1"/>
  <c r="Z1380" i="1" s="1"/>
  <c r="X1381" i="1"/>
  <c r="Z1381" i="1" s="1"/>
  <c r="X1382" i="1"/>
  <c r="Z1382" i="1" s="1"/>
  <c r="X1383" i="1"/>
  <c r="Z1383" i="1" s="1"/>
  <c r="X1384" i="1"/>
  <c r="Z1384" i="1" s="1"/>
  <c r="X1385" i="1"/>
  <c r="Z1385" i="1" s="1"/>
  <c r="X1386" i="1"/>
  <c r="Z1386" i="1" s="1"/>
  <c r="X1387" i="1"/>
  <c r="Z1387" i="1" s="1"/>
  <c r="X1388" i="1"/>
  <c r="Z1388" i="1" s="1"/>
  <c r="X1389" i="1"/>
  <c r="Z1389" i="1" s="1"/>
  <c r="X1390" i="1"/>
  <c r="Z1390" i="1" s="1"/>
  <c r="X1391" i="1"/>
  <c r="Z1391" i="1" s="1"/>
  <c r="X1392" i="1"/>
  <c r="Z1392" i="1" s="1"/>
  <c r="X1393" i="1"/>
  <c r="Z1393" i="1" s="1"/>
  <c r="X1394" i="1"/>
  <c r="Z1394" i="1" s="1"/>
  <c r="X1395" i="1"/>
  <c r="Z1395" i="1" s="1"/>
  <c r="X1396" i="1"/>
  <c r="Z1396" i="1" s="1"/>
  <c r="X1397" i="1"/>
  <c r="Z1397" i="1" s="1"/>
  <c r="X1398" i="1"/>
  <c r="Z1398" i="1" s="1"/>
  <c r="X1399" i="1"/>
  <c r="Z1399" i="1" s="1"/>
  <c r="X1400" i="1"/>
  <c r="Z1400" i="1" s="1"/>
  <c r="X1401" i="1"/>
  <c r="Z1401" i="1" s="1"/>
  <c r="X1402" i="1"/>
  <c r="Z1402" i="1" s="1"/>
  <c r="X1403" i="1"/>
  <c r="Z1403" i="1" s="1"/>
  <c r="X1404" i="1"/>
  <c r="Z1404" i="1" s="1"/>
  <c r="X1405" i="1"/>
  <c r="Z1405" i="1" s="1"/>
  <c r="X1406" i="1"/>
  <c r="Z1406" i="1" s="1"/>
  <c r="X1407" i="1"/>
  <c r="Z1407" i="1" s="1"/>
  <c r="X1408" i="1"/>
  <c r="Z1408" i="1" s="1"/>
  <c r="X1409" i="1"/>
  <c r="Z1409" i="1" s="1"/>
  <c r="X1410" i="1"/>
  <c r="Z1410" i="1" s="1"/>
  <c r="X1411" i="1"/>
  <c r="Z1411" i="1" s="1"/>
  <c r="X1412" i="1"/>
  <c r="Z1412" i="1" s="1"/>
  <c r="X1413" i="1"/>
  <c r="Z1413" i="1" s="1"/>
  <c r="X1414" i="1"/>
  <c r="Z1414" i="1" s="1"/>
  <c r="X1415" i="1"/>
  <c r="Z1415" i="1" s="1"/>
  <c r="X1416" i="1"/>
  <c r="Z1416" i="1" s="1"/>
  <c r="X1417" i="1"/>
  <c r="Z1417" i="1" s="1"/>
  <c r="X1418" i="1"/>
  <c r="Z1418" i="1" s="1"/>
  <c r="X1419" i="1"/>
  <c r="Z1419" i="1" s="1"/>
  <c r="X1420" i="1"/>
  <c r="Z1420" i="1" s="1"/>
  <c r="X1421" i="1"/>
  <c r="Z1421" i="1" s="1"/>
  <c r="X1422" i="1"/>
  <c r="Z1422" i="1" s="1"/>
  <c r="X1423" i="1"/>
  <c r="Z1423" i="1" s="1"/>
  <c r="X1424" i="1"/>
  <c r="Z1424" i="1" s="1"/>
  <c r="X1425" i="1"/>
  <c r="Z1425" i="1" s="1"/>
  <c r="X1426" i="1"/>
  <c r="Z1426" i="1" s="1"/>
  <c r="X1427" i="1"/>
  <c r="Z1427" i="1" s="1"/>
  <c r="X1428" i="1"/>
  <c r="Z1428" i="1" s="1"/>
  <c r="X1429" i="1"/>
  <c r="Z1429" i="1" s="1"/>
  <c r="X1430" i="1"/>
  <c r="Z1430" i="1" s="1"/>
  <c r="X1431" i="1"/>
  <c r="Z1431" i="1" s="1"/>
  <c r="X1432" i="1"/>
  <c r="Z1432" i="1" s="1"/>
  <c r="X1433" i="1"/>
  <c r="Z1433" i="1" s="1"/>
  <c r="X1434" i="1"/>
  <c r="Z1434" i="1" s="1"/>
  <c r="X1435" i="1"/>
  <c r="Z1435" i="1" s="1"/>
  <c r="X1436" i="1"/>
  <c r="Z1436" i="1" s="1"/>
  <c r="X1437" i="1"/>
  <c r="Z1437" i="1" s="1"/>
  <c r="X1438" i="1"/>
  <c r="Z1438" i="1" s="1"/>
  <c r="X1439" i="1"/>
  <c r="Z1439" i="1" s="1"/>
  <c r="X1440" i="1"/>
  <c r="Z1440" i="1" s="1"/>
  <c r="X1441" i="1"/>
  <c r="Z1441" i="1" s="1"/>
  <c r="X1442" i="1"/>
  <c r="Z1442" i="1" s="1"/>
  <c r="X1443" i="1"/>
  <c r="Z1443" i="1" s="1"/>
  <c r="X1444" i="1"/>
  <c r="Z1444" i="1" s="1"/>
  <c r="X1445" i="1"/>
  <c r="Z1445" i="1" s="1"/>
  <c r="X1446" i="1"/>
  <c r="Z1446" i="1" s="1"/>
  <c r="X1447" i="1"/>
  <c r="Z1447" i="1" s="1"/>
  <c r="X1448" i="1"/>
  <c r="Z1448" i="1" s="1"/>
  <c r="X1449" i="1"/>
  <c r="Z1449" i="1" s="1"/>
  <c r="X1450" i="1"/>
  <c r="Z1450" i="1" s="1"/>
  <c r="X1451" i="1"/>
  <c r="Z1451" i="1" s="1"/>
  <c r="X1452" i="1"/>
  <c r="Z1452" i="1" s="1"/>
  <c r="X1453" i="1"/>
  <c r="Z1453" i="1" s="1"/>
  <c r="X1454" i="1"/>
  <c r="Z1454" i="1" s="1"/>
  <c r="X1455" i="1"/>
  <c r="Z1455" i="1" s="1"/>
  <c r="X1456" i="1"/>
  <c r="Z1456" i="1" s="1"/>
  <c r="X1457" i="1"/>
  <c r="Z1457" i="1" s="1"/>
  <c r="X1458" i="1"/>
  <c r="Z1458" i="1" s="1"/>
  <c r="X1459" i="1"/>
  <c r="Z1459" i="1" s="1"/>
  <c r="X1460" i="1"/>
  <c r="Z1460" i="1" s="1"/>
  <c r="X1461" i="1"/>
  <c r="Z1461" i="1" s="1"/>
  <c r="X1462" i="1"/>
  <c r="Z1462" i="1" s="1"/>
  <c r="X1463" i="1"/>
  <c r="Z1463" i="1" s="1"/>
  <c r="X1464" i="1"/>
  <c r="Z1464" i="1" s="1"/>
  <c r="X1465" i="1"/>
  <c r="Z1465" i="1" s="1"/>
  <c r="X1466" i="1"/>
  <c r="Z1466" i="1" s="1"/>
  <c r="X1467" i="1"/>
  <c r="Z1467" i="1" s="1"/>
  <c r="X1468" i="1"/>
  <c r="Z1468" i="1" s="1"/>
  <c r="X1469" i="1"/>
  <c r="Z1469" i="1" s="1"/>
  <c r="X1470" i="1"/>
  <c r="Z1470" i="1" s="1"/>
  <c r="X1471" i="1"/>
  <c r="Z1471" i="1" s="1"/>
  <c r="X1472" i="1"/>
  <c r="Z1472" i="1" s="1"/>
  <c r="X1473" i="1"/>
  <c r="Z1473" i="1" s="1"/>
  <c r="X1474" i="1"/>
  <c r="Z1474" i="1" s="1"/>
  <c r="X1475" i="1"/>
  <c r="Z1475" i="1" s="1"/>
  <c r="X1476" i="1"/>
  <c r="Z1476" i="1" s="1"/>
  <c r="X1477" i="1"/>
  <c r="Z1477" i="1" s="1"/>
  <c r="X1478" i="1"/>
  <c r="Z1478" i="1" s="1"/>
  <c r="X1479" i="1"/>
  <c r="Z1479" i="1" s="1"/>
  <c r="X1480" i="1"/>
  <c r="Z1480" i="1" s="1"/>
  <c r="X1481" i="1"/>
  <c r="Z1481" i="1" s="1"/>
  <c r="X1482" i="1"/>
  <c r="Z1482" i="1" s="1"/>
  <c r="X1483" i="1"/>
  <c r="Z1483" i="1" s="1"/>
  <c r="X1484" i="1"/>
  <c r="Z1484" i="1" s="1"/>
  <c r="X1485" i="1"/>
  <c r="Z1485" i="1" s="1"/>
  <c r="X1486" i="1"/>
  <c r="Z1486" i="1" s="1"/>
  <c r="X1487" i="1"/>
  <c r="Z1487" i="1" s="1"/>
  <c r="X1488" i="1"/>
  <c r="Z1488" i="1" s="1"/>
  <c r="X1489" i="1"/>
  <c r="Z1489" i="1" s="1"/>
  <c r="X1490" i="1"/>
  <c r="Z1490" i="1" s="1"/>
  <c r="X1491" i="1"/>
  <c r="Z1491" i="1" s="1"/>
  <c r="X1492" i="1"/>
  <c r="Z1492" i="1" s="1"/>
  <c r="X1493" i="1"/>
  <c r="Z1493" i="1" s="1"/>
  <c r="X1494" i="1"/>
  <c r="Z1494" i="1" s="1"/>
  <c r="X1495" i="1"/>
  <c r="Z1495" i="1" s="1"/>
  <c r="X1496" i="1"/>
  <c r="Z1496" i="1" s="1"/>
  <c r="X1497" i="1"/>
  <c r="Z1497" i="1" s="1"/>
  <c r="X1498" i="1"/>
  <c r="Z1498" i="1" s="1"/>
  <c r="X1499" i="1"/>
  <c r="Z1499" i="1" s="1"/>
  <c r="X1500" i="1"/>
  <c r="Z1500" i="1" s="1"/>
  <c r="X1501" i="1"/>
  <c r="Z1501" i="1" s="1"/>
  <c r="X1502" i="1"/>
  <c r="Z1502" i="1" s="1"/>
  <c r="X1503" i="1"/>
  <c r="Z1503" i="1" s="1"/>
  <c r="X1504" i="1"/>
  <c r="Z1504" i="1" s="1"/>
  <c r="X1505" i="1"/>
  <c r="Z1505" i="1" s="1"/>
  <c r="X1506" i="1"/>
  <c r="Z1506" i="1" s="1"/>
  <c r="X1507" i="1"/>
  <c r="Z1507" i="1" s="1"/>
  <c r="X1508" i="1"/>
  <c r="Z1508" i="1" s="1"/>
  <c r="X1509" i="1"/>
  <c r="Z1509" i="1" s="1"/>
  <c r="X1510" i="1"/>
  <c r="Z1510" i="1" s="1"/>
  <c r="X1511" i="1"/>
  <c r="Z1511" i="1" s="1"/>
  <c r="X1512" i="1"/>
  <c r="Z1512" i="1" s="1"/>
  <c r="X1513" i="1"/>
  <c r="Z1513" i="1" s="1"/>
  <c r="X1514" i="1"/>
  <c r="Z1514" i="1" s="1"/>
  <c r="X1515" i="1"/>
  <c r="Z1515" i="1" s="1"/>
  <c r="X1516" i="1"/>
  <c r="Z1516" i="1" s="1"/>
  <c r="X1517" i="1"/>
  <c r="Z1517" i="1" s="1"/>
  <c r="X1518" i="1"/>
  <c r="Z1518" i="1" s="1"/>
  <c r="X1519" i="1"/>
  <c r="Z1519" i="1" s="1"/>
  <c r="X1520" i="1"/>
  <c r="Z1520" i="1" s="1"/>
  <c r="X1521" i="1"/>
  <c r="Z1521" i="1" s="1"/>
  <c r="X1522" i="1"/>
  <c r="Z1522" i="1" s="1"/>
  <c r="X1523" i="1"/>
  <c r="Z1523" i="1" s="1"/>
  <c r="X1524" i="1"/>
  <c r="Z1524" i="1" s="1"/>
  <c r="X1525" i="1"/>
  <c r="Z1525" i="1" s="1"/>
  <c r="X1526" i="1"/>
  <c r="Z1526" i="1" s="1"/>
  <c r="X1527" i="1"/>
  <c r="Z1527" i="1" s="1"/>
  <c r="X1528" i="1"/>
  <c r="Z1528" i="1" s="1"/>
  <c r="X1529" i="1"/>
  <c r="Z1529" i="1" s="1"/>
  <c r="X1530" i="1"/>
  <c r="Z1530" i="1" s="1"/>
  <c r="X1531" i="1"/>
  <c r="Z1531" i="1" s="1"/>
  <c r="X1532" i="1"/>
  <c r="Z1532" i="1" s="1"/>
  <c r="X1533" i="1"/>
  <c r="Z1533" i="1" s="1"/>
  <c r="X1534" i="1"/>
  <c r="Z1534" i="1" s="1"/>
  <c r="X1535" i="1"/>
  <c r="Z1535" i="1" s="1"/>
  <c r="X1536" i="1"/>
  <c r="Z1536" i="1" s="1"/>
  <c r="X1537" i="1"/>
  <c r="Z1537" i="1" s="1"/>
  <c r="X1538" i="1"/>
  <c r="Z1538" i="1" s="1"/>
  <c r="X1539" i="1"/>
  <c r="Z1539" i="1" s="1"/>
  <c r="X1540" i="1"/>
  <c r="Z1540" i="1" s="1"/>
  <c r="X1541" i="1"/>
  <c r="Z1541" i="1" s="1"/>
  <c r="X1542" i="1"/>
  <c r="Z1542" i="1" s="1"/>
  <c r="X1543" i="1"/>
  <c r="Z1543" i="1" s="1"/>
  <c r="X1544" i="1"/>
  <c r="Z1544" i="1" s="1"/>
  <c r="X1545" i="1"/>
  <c r="Z1545" i="1" s="1"/>
  <c r="X1546" i="1"/>
  <c r="Z1546" i="1" s="1"/>
  <c r="X1547" i="1"/>
  <c r="Z1547" i="1" s="1"/>
  <c r="X1548" i="1"/>
  <c r="Z1548" i="1" s="1"/>
  <c r="X1549" i="1"/>
  <c r="Z1549" i="1" s="1"/>
  <c r="X1550" i="1"/>
  <c r="Z1550" i="1" s="1"/>
  <c r="X1551" i="1"/>
  <c r="Z1551" i="1" s="1"/>
  <c r="X1552" i="1"/>
  <c r="Z1552" i="1" s="1"/>
  <c r="X1553" i="1"/>
  <c r="Z1553" i="1" s="1"/>
  <c r="X1554" i="1"/>
  <c r="Z1554" i="1" s="1"/>
  <c r="X1555" i="1"/>
  <c r="Z1555" i="1" s="1"/>
  <c r="X1556" i="1"/>
  <c r="Z1556" i="1" s="1"/>
  <c r="X1557" i="1"/>
  <c r="Z1557" i="1" s="1"/>
  <c r="X1558" i="1"/>
  <c r="Z1558" i="1" s="1"/>
  <c r="X1559" i="1"/>
  <c r="Z1559" i="1" s="1"/>
  <c r="X1560" i="1"/>
  <c r="Z1560" i="1" s="1"/>
  <c r="X1561" i="1"/>
  <c r="Z1561" i="1" s="1"/>
  <c r="X1562" i="1"/>
  <c r="Z1562" i="1" s="1"/>
  <c r="X1563" i="1"/>
  <c r="Z1563" i="1" s="1"/>
  <c r="X1564" i="1"/>
  <c r="Z1564" i="1" s="1"/>
  <c r="X1565" i="1"/>
  <c r="Z1565" i="1" s="1"/>
  <c r="X1566" i="1"/>
  <c r="Z1566" i="1" s="1"/>
  <c r="X1567" i="1"/>
  <c r="Z1567" i="1" s="1"/>
  <c r="X1568" i="1"/>
  <c r="Z1568" i="1" s="1"/>
  <c r="X1569" i="1"/>
  <c r="Z1569" i="1" s="1"/>
  <c r="X1570" i="1"/>
  <c r="Z1570" i="1" s="1"/>
  <c r="X1571" i="1"/>
  <c r="Z1571" i="1" s="1"/>
  <c r="X1572" i="1"/>
  <c r="Z1572" i="1" s="1"/>
  <c r="X1573" i="1"/>
  <c r="Z1573" i="1" s="1"/>
  <c r="X1574" i="1"/>
  <c r="Z1574" i="1" s="1"/>
  <c r="X1575" i="1"/>
  <c r="Z1575" i="1" s="1"/>
  <c r="X1576" i="1"/>
  <c r="Z1576" i="1" s="1"/>
  <c r="X1577" i="1"/>
  <c r="Z1577" i="1" s="1"/>
  <c r="X1578" i="1"/>
  <c r="Z1578" i="1" s="1"/>
  <c r="X1579" i="1"/>
  <c r="Z1579" i="1" s="1"/>
  <c r="X1580" i="1"/>
  <c r="Z1580" i="1" s="1"/>
  <c r="X1581" i="1"/>
  <c r="Z1581" i="1" s="1"/>
  <c r="X1582" i="1"/>
  <c r="Z1582" i="1" s="1"/>
  <c r="X1583" i="1"/>
  <c r="Z1583" i="1" s="1"/>
  <c r="X1584" i="1"/>
  <c r="Z1584" i="1" s="1"/>
  <c r="X1585" i="1"/>
  <c r="Z1585" i="1" s="1"/>
  <c r="X1586" i="1"/>
  <c r="Z1586" i="1" s="1"/>
  <c r="X1587" i="1"/>
  <c r="Z1587" i="1" s="1"/>
  <c r="X1588" i="1"/>
  <c r="Z1588" i="1" s="1"/>
  <c r="X1589" i="1"/>
  <c r="Z1589" i="1" s="1"/>
  <c r="X1590" i="1"/>
  <c r="Z1590" i="1" s="1"/>
  <c r="X1591" i="1"/>
  <c r="Z1591" i="1" s="1"/>
  <c r="X1592" i="1"/>
  <c r="Z1592" i="1" s="1"/>
  <c r="X1593" i="1"/>
  <c r="Z1593" i="1" s="1"/>
  <c r="X1594" i="1"/>
  <c r="Z1594" i="1" s="1"/>
  <c r="X1595" i="1"/>
  <c r="Z1595" i="1" s="1"/>
  <c r="X1596" i="1"/>
  <c r="Z1596" i="1" s="1"/>
  <c r="X1597" i="1"/>
  <c r="Z1597" i="1" s="1"/>
  <c r="X1598" i="1"/>
  <c r="Z1598" i="1" s="1"/>
  <c r="X1599" i="1"/>
  <c r="Z1599" i="1" s="1"/>
  <c r="X1600" i="1"/>
  <c r="Z1600" i="1" s="1"/>
  <c r="X1601" i="1"/>
  <c r="Z1601" i="1" s="1"/>
  <c r="X1602" i="1"/>
  <c r="Z1602" i="1" s="1"/>
  <c r="X1603" i="1"/>
  <c r="Z1603" i="1" s="1"/>
  <c r="X1604" i="1"/>
  <c r="Z1604" i="1" s="1"/>
  <c r="X1605" i="1"/>
  <c r="Z1605" i="1" s="1"/>
  <c r="X1606" i="1"/>
  <c r="Z1606" i="1" s="1"/>
  <c r="X1607" i="1"/>
  <c r="Z1607" i="1" s="1"/>
  <c r="X1608" i="1"/>
  <c r="Z1608" i="1" s="1"/>
  <c r="X1609" i="1"/>
  <c r="Z1609" i="1" s="1"/>
  <c r="X1610" i="1"/>
  <c r="Z1610" i="1" s="1"/>
  <c r="X1611" i="1"/>
  <c r="Z1611" i="1" s="1"/>
  <c r="X1612" i="1"/>
  <c r="Z1612" i="1" s="1"/>
  <c r="X1613" i="1"/>
  <c r="Z1613" i="1" s="1"/>
  <c r="X1614" i="1"/>
  <c r="Z1614" i="1" s="1"/>
  <c r="X1615" i="1"/>
  <c r="Z1615" i="1" s="1"/>
  <c r="X1616" i="1"/>
  <c r="Z1616" i="1" s="1"/>
  <c r="X1617" i="1"/>
  <c r="Z1617" i="1" s="1"/>
  <c r="X1618" i="1"/>
  <c r="Z1618" i="1" s="1"/>
  <c r="X1619" i="1"/>
  <c r="Z1619" i="1" s="1"/>
  <c r="X1620" i="1"/>
  <c r="Z1620" i="1" s="1"/>
  <c r="X1621" i="1"/>
  <c r="Z1621" i="1" s="1"/>
  <c r="X1622" i="1"/>
  <c r="Z1622" i="1" s="1"/>
  <c r="X1623" i="1"/>
  <c r="Z1623" i="1" s="1"/>
  <c r="X1624" i="1"/>
  <c r="Z1624" i="1" s="1"/>
  <c r="X1625" i="1"/>
  <c r="Z1625" i="1" s="1"/>
  <c r="X1626" i="1"/>
  <c r="Z1626" i="1" s="1"/>
  <c r="X1627" i="1"/>
  <c r="Z1627" i="1" s="1"/>
  <c r="X1628" i="1"/>
  <c r="Z1628" i="1" s="1"/>
  <c r="X1629" i="1"/>
  <c r="Z1629" i="1" s="1"/>
  <c r="X1630" i="1"/>
  <c r="Z1630" i="1" s="1"/>
  <c r="X1631" i="1"/>
  <c r="Z1631" i="1" s="1"/>
  <c r="X1632" i="1"/>
  <c r="Z1632" i="1" s="1"/>
  <c r="X1633" i="1"/>
  <c r="Z1633" i="1" s="1"/>
  <c r="X1634" i="1"/>
  <c r="Z1634" i="1" s="1"/>
  <c r="X1635" i="1"/>
  <c r="Z1635" i="1" s="1"/>
  <c r="X1636" i="1"/>
  <c r="Z1636" i="1" s="1"/>
  <c r="X1637" i="1"/>
  <c r="Z1637" i="1" s="1"/>
  <c r="X1638" i="1"/>
  <c r="Z1638" i="1" s="1"/>
  <c r="X1639" i="1"/>
  <c r="Z1639" i="1" s="1"/>
  <c r="X1640" i="1"/>
  <c r="Z1640" i="1" s="1"/>
  <c r="X1641" i="1"/>
  <c r="Z1641" i="1" s="1"/>
  <c r="X1642" i="1"/>
  <c r="Z1642" i="1" s="1"/>
  <c r="X1643" i="1"/>
  <c r="Z1643" i="1" s="1"/>
  <c r="X1644" i="1"/>
  <c r="Z1644" i="1" s="1"/>
  <c r="X1645" i="1"/>
  <c r="Z1645" i="1" s="1"/>
  <c r="X1646" i="1"/>
  <c r="Z1646" i="1" s="1"/>
  <c r="X1647" i="1"/>
  <c r="Z1647" i="1" s="1"/>
  <c r="X1648" i="1"/>
  <c r="Z1648" i="1" s="1"/>
  <c r="X1649" i="1"/>
  <c r="Z1649" i="1" s="1"/>
  <c r="X1650" i="1"/>
  <c r="Z1650" i="1" s="1"/>
  <c r="X1651" i="1"/>
  <c r="Z1651" i="1" s="1"/>
  <c r="X1652" i="1"/>
  <c r="Z1652" i="1" s="1"/>
  <c r="X1653" i="1"/>
  <c r="Z1653" i="1" s="1"/>
  <c r="X1654" i="1"/>
  <c r="Z1654" i="1" s="1"/>
  <c r="X1655" i="1"/>
  <c r="Z1655" i="1" s="1"/>
  <c r="X1656" i="1"/>
  <c r="Z1656" i="1" s="1"/>
  <c r="X1657" i="1"/>
  <c r="Z1657" i="1" s="1"/>
  <c r="X1658" i="1"/>
  <c r="Z1658" i="1" s="1"/>
  <c r="X1659" i="1"/>
  <c r="Z1659" i="1" s="1"/>
  <c r="X1660" i="1"/>
  <c r="Z1660" i="1" s="1"/>
  <c r="X1661" i="1"/>
  <c r="Z1661" i="1" s="1"/>
  <c r="X1662" i="1"/>
  <c r="Z1662" i="1" s="1"/>
  <c r="X1663" i="1"/>
  <c r="Z1663" i="1" s="1"/>
  <c r="X1664" i="1"/>
  <c r="Z1664" i="1" s="1"/>
  <c r="X1665" i="1"/>
  <c r="Z1665" i="1" s="1"/>
  <c r="X1666" i="1"/>
  <c r="Z1666" i="1" s="1"/>
  <c r="X1667" i="1"/>
  <c r="Z1667" i="1" s="1"/>
  <c r="X1668" i="1"/>
  <c r="Z1668" i="1" s="1"/>
  <c r="X1669" i="1"/>
  <c r="Z1669" i="1" s="1"/>
  <c r="X1670" i="1"/>
  <c r="Z1670" i="1" s="1"/>
  <c r="X1671" i="1"/>
  <c r="Z1671" i="1" s="1"/>
  <c r="X1672" i="1"/>
  <c r="Z1672" i="1" s="1"/>
  <c r="X1673" i="1"/>
  <c r="Z1673" i="1" s="1"/>
  <c r="X1674" i="1"/>
  <c r="Z1674" i="1" s="1"/>
  <c r="X1675" i="1"/>
  <c r="Z1675" i="1" s="1"/>
  <c r="X1676" i="1"/>
  <c r="Z1676" i="1" s="1"/>
  <c r="X1677" i="1"/>
  <c r="Z1677" i="1" s="1"/>
  <c r="X1678" i="1"/>
  <c r="Z1678" i="1" s="1"/>
  <c r="X1679" i="1"/>
  <c r="Z1679" i="1" s="1"/>
  <c r="X1680" i="1"/>
  <c r="Z1680" i="1" s="1"/>
  <c r="X1681" i="1"/>
  <c r="Z1681" i="1" s="1"/>
  <c r="X1682" i="1"/>
  <c r="Z1682" i="1" s="1"/>
  <c r="X1683" i="1"/>
  <c r="Z1683" i="1" s="1"/>
  <c r="X1684" i="1"/>
  <c r="Z1684" i="1" s="1"/>
  <c r="X1685" i="1"/>
  <c r="Z1685" i="1" s="1"/>
  <c r="X1686" i="1"/>
  <c r="Z1686" i="1" s="1"/>
  <c r="X1687" i="1"/>
  <c r="Z1687" i="1" s="1"/>
  <c r="X1688" i="1"/>
  <c r="Z1688" i="1" s="1"/>
  <c r="X1689" i="1"/>
  <c r="Z1689" i="1" s="1"/>
  <c r="X1690" i="1"/>
  <c r="Z1690" i="1" s="1"/>
  <c r="X1691" i="1"/>
  <c r="Z1691" i="1" s="1"/>
  <c r="X1692" i="1"/>
  <c r="Z1692" i="1" s="1"/>
  <c r="X1693" i="1"/>
  <c r="Z1693" i="1" s="1"/>
  <c r="X1694" i="1"/>
  <c r="Z1694" i="1" s="1"/>
  <c r="X1695" i="1"/>
  <c r="Z1695" i="1" s="1"/>
  <c r="X1696" i="1"/>
  <c r="Z1696" i="1" s="1"/>
  <c r="X1697" i="1"/>
  <c r="Z1697" i="1" s="1"/>
  <c r="X1698" i="1"/>
  <c r="Z1698" i="1" s="1"/>
  <c r="X1699" i="1"/>
  <c r="Z1699" i="1" s="1"/>
  <c r="X1700" i="1"/>
  <c r="Z1700" i="1" s="1"/>
  <c r="X1701" i="1"/>
  <c r="Z1701" i="1" s="1"/>
  <c r="X1702" i="1"/>
  <c r="Z1702" i="1" s="1"/>
  <c r="X1703" i="1"/>
  <c r="Z1703" i="1" s="1"/>
  <c r="X1704" i="1"/>
  <c r="Z1704" i="1" s="1"/>
  <c r="X1705" i="1"/>
  <c r="Z1705" i="1" s="1"/>
  <c r="X1706" i="1"/>
  <c r="Z1706" i="1" s="1"/>
  <c r="X1707" i="1"/>
  <c r="Z1707" i="1" s="1"/>
  <c r="X1708" i="1"/>
  <c r="Z1708" i="1" s="1"/>
  <c r="X1709" i="1"/>
  <c r="Z1709" i="1" s="1"/>
  <c r="X1710" i="1"/>
  <c r="Z1710" i="1" s="1"/>
  <c r="X1711" i="1"/>
  <c r="Z1711" i="1" s="1"/>
  <c r="X1712" i="1"/>
  <c r="Z1712" i="1" s="1"/>
  <c r="X1713" i="1"/>
  <c r="Z1713" i="1" s="1"/>
  <c r="X1714" i="1"/>
  <c r="Z1714" i="1" s="1"/>
  <c r="X1715" i="1"/>
  <c r="Z1715" i="1" s="1"/>
  <c r="X1716" i="1"/>
  <c r="Z1716" i="1" s="1"/>
  <c r="X1717" i="1"/>
  <c r="Z1717" i="1" s="1"/>
  <c r="X1718" i="1"/>
  <c r="Z1718" i="1" s="1"/>
  <c r="X1719" i="1"/>
  <c r="Z1719" i="1" s="1"/>
  <c r="X1720" i="1"/>
  <c r="Z1720" i="1" s="1"/>
  <c r="X1721" i="1"/>
  <c r="Z1721" i="1" s="1"/>
  <c r="X1722" i="1"/>
  <c r="Z1722" i="1" s="1"/>
  <c r="X1723" i="1"/>
  <c r="Z1723" i="1" s="1"/>
  <c r="X1724" i="1"/>
  <c r="Z1724" i="1" s="1"/>
  <c r="X1725" i="1"/>
  <c r="Z1725" i="1" s="1"/>
  <c r="X1726" i="1"/>
  <c r="Z1726" i="1" s="1"/>
  <c r="X1727" i="1"/>
  <c r="Z1727" i="1" s="1"/>
  <c r="X1728" i="1"/>
  <c r="Z1728" i="1" s="1"/>
  <c r="X1729" i="1"/>
  <c r="Z1729" i="1" s="1"/>
  <c r="X1730" i="1"/>
  <c r="Z1730" i="1" s="1"/>
  <c r="X1731" i="1"/>
  <c r="Z1731" i="1" s="1"/>
  <c r="X1732" i="1"/>
  <c r="Z1732" i="1" s="1"/>
  <c r="X1733" i="1"/>
  <c r="Z1733" i="1" s="1"/>
  <c r="X1734" i="1"/>
  <c r="Z1734" i="1" s="1"/>
  <c r="X1735" i="1"/>
  <c r="Z1735" i="1" s="1"/>
  <c r="X1736" i="1"/>
  <c r="Z1736" i="1" s="1"/>
  <c r="X1737" i="1"/>
  <c r="Z1737" i="1" s="1"/>
  <c r="X1738" i="1"/>
  <c r="Z1738" i="1" s="1"/>
  <c r="X1739" i="1"/>
  <c r="Z1739" i="1" s="1"/>
  <c r="X1740" i="1"/>
  <c r="Z1740" i="1" s="1"/>
  <c r="X1741" i="1"/>
  <c r="Z1741" i="1" s="1"/>
  <c r="X1742" i="1"/>
  <c r="Z1742" i="1" s="1"/>
  <c r="X1743" i="1"/>
  <c r="Z1743" i="1" s="1"/>
  <c r="X1744" i="1"/>
  <c r="Z1744" i="1" s="1"/>
  <c r="X1745" i="1"/>
  <c r="Z1745" i="1" s="1"/>
  <c r="X1746" i="1"/>
  <c r="Z1746" i="1" s="1"/>
  <c r="X1747" i="1"/>
  <c r="Z1747" i="1" s="1"/>
  <c r="X1748" i="1"/>
  <c r="Z1748" i="1" s="1"/>
  <c r="X1749" i="1"/>
  <c r="Z1749" i="1" s="1"/>
  <c r="X1750" i="1"/>
  <c r="Z1750" i="1" s="1"/>
  <c r="X1751" i="1"/>
  <c r="Z1751" i="1" s="1"/>
  <c r="X1752" i="1"/>
  <c r="Z1752" i="1" s="1"/>
  <c r="X1753" i="1"/>
  <c r="Z1753" i="1" s="1"/>
  <c r="X1754" i="1"/>
  <c r="Z1754" i="1" s="1"/>
  <c r="X1755" i="1"/>
  <c r="Z1755" i="1" s="1"/>
  <c r="X1756" i="1"/>
  <c r="Z1756" i="1" s="1"/>
  <c r="X1757" i="1"/>
  <c r="Z1757" i="1" s="1"/>
  <c r="X1758" i="1"/>
  <c r="Z1758" i="1" s="1"/>
  <c r="X1759" i="1"/>
  <c r="Z1759" i="1" s="1"/>
  <c r="X1760" i="1"/>
  <c r="Z1760" i="1" s="1"/>
  <c r="X1761" i="1"/>
  <c r="Z1761" i="1" s="1"/>
  <c r="X1762" i="1"/>
  <c r="Z1762" i="1" s="1"/>
  <c r="X1763" i="1"/>
  <c r="Z1763" i="1" s="1"/>
  <c r="X1764" i="1"/>
  <c r="Z1764" i="1" s="1"/>
  <c r="X1765" i="1"/>
  <c r="Z1765" i="1" s="1"/>
  <c r="X1766" i="1"/>
  <c r="Z1766" i="1" s="1"/>
  <c r="X1767" i="1"/>
  <c r="Z1767" i="1" s="1"/>
  <c r="X1768" i="1"/>
  <c r="Z1768" i="1" s="1"/>
  <c r="X1769" i="1"/>
  <c r="Z1769" i="1" s="1"/>
  <c r="X1770" i="1"/>
  <c r="Z1770" i="1" s="1"/>
  <c r="X1771" i="1"/>
  <c r="Z1771" i="1" s="1"/>
  <c r="X1772" i="1"/>
  <c r="Z1772" i="1" s="1"/>
  <c r="X1773" i="1"/>
  <c r="Z1773" i="1" s="1"/>
  <c r="X1774" i="1"/>
  <c r="Z1774" i="1" s="1"/>
  <c r="X1775" i="1"/>
  <c r="Z1775" i="1" s="1"/>
  <c r="X1776" i="1"/>
  <c r="Z1776" i="1" s="1"/>
  <c r="X1777" i="1"/>
  <c r="Z1777" i="1" s="1"/>
  <c r="X1778" i="1"/>
  <c r="Z1778" i="1" s="1"/>
  <c r="X1779" i="1"/>
  <c r="Z1779" i="1" s="1"/>
  <c r="X1780" i="1"/>
  <c r="Z1780" i="1" s="1"/>
  <c r="X1781" i="1"/>
  <c r="Z1781" i="1" s="1"/>
  <c r="X1782" i="1"/>
  <c r="Z1782" i="1" s="1"/>
  <c r="X1783" i="1"/>
  <c r="Z1783" i="1" s="1"/>
  <c r="X1784" i="1"/>
  <c r="Z1784" i="1" s="1"/>
  <c r="X1785" i="1"/>
  <c r="Z1785" i="1" s="1"/>
  <c r="X1786" i="1"/>
  <c r="Z1786" i="1" s="1"/>
  <c r="X1787" i="1"/>
  <c r="Z1787" i="1" s="1"/>
  <c r="X1788" i="1"/>
  <c r="Z1788" i="1" s="1"/>
  <c r="X1789" i="1"/>
  <c r="Z1789" i="1" s="1"/>
  <c r="X1790" i="1"/>
  <c r="Z1790" i="1" s="1"/>
  <c r="X1791" i="1"/>
  <c r="Z1791" i="1" s="1"/>
  <c r="X1792" i="1"/>
  <c r="Z1792" i="1" s="1"/>
  <c r="X1793" i="1"/>
  <c r="Z1793" i="1" s="1"/>
  <c r="X1794" i="1"/>
  <c r="Z1794" i="1" s="1"/>
  <c r="X1795" i="1"/>
  <c r="Z1795" i="1" s="1"/>
  <c r="X1796" i="1"/>
  <c r="Z1796" i="1" s="1"/>
  <c r="X1797" i="1"/>
  <c r="Z1797" i="1" s="1"/>
  <c r="X1798" i="1"/>
  <c r="Z1798" i="1" s="1"/>
  <c r="X1799" i="1"/>
  <c r="Z1799" i="1" s="1"/>
  <c r="X1800" i="1"/>
  <c r="Z1800" i="1" s="1"/>
  <c r="X1801" i="1"/>
  <c r="Z1801" i="1" s="1"/>
  <c r="X1802" i="1"/>
  <c r="Z1802" i="1" s="1"/>
  <c r="X1803" i="1"/>
  <c r="Z1803" i="1" s="1"/>
  <c r="X1804" i="1"/>
  <c r="Z1804" i="1" s="1"/>
  <c r="X1805" i="1"/>
  <c r="Z1805" i="1" s="1"/>
  <c r="X1806" i="1"/>
  <c r="Z1806" i="1" s="1"/>
  <c r="X1807" i="1"/>
  <c r="Z1807" i="1" s="1"/>
  <c r="X1808" i="1"/>
  <c r="Z1808" i="1" s="1"/>
  <c r="X1809" i="1"/>
  <c r="Z1809" i="1" s="1"/>
  <c r="X1810" i="1"/>
  <c r="Z1810" i="1" s="1"/>
  <c r="X1811" i="1"/>
  <c r="Z1811" i="1" s="1"/>
  <c r="X1812" i="1"/>
  <c r="Z1812" i="1" s="1"/>
  <c r="X1813" i="1"/>
  <c r="Z1813" i="1" s="1"/>
  <c r="X1814" i="1"/>
  <c r="Z1814" i="1" s="1"/>
  <c r="X1815" i="1"/>
  <c r="Z1815" i="1" s="1"/>
  <c r="X1816" i="1"/>
  <c r="Z1816" i="1" s="1"/>
  <c r="X1817" i="1"/>
  <c r="Z1817" i="1" s="1"/>
  <c r="X1818" i="1"/>
  <c r="Z1818" i="1" s="1"/>
  <c r="X1819" i="1"/>
  <c r="Z1819" i="1" s="1"/>
  <c r="X1820" i="1"/>
  <c r="Z1820" i="1" s="1"/>
  <c r="X1821" i="1"/>
  <c r="Z1821" i="1" s="1"/>
  <c r="X1822" i="1"/>
  <c r="Z1822" i="1" s="1"/>
  <c r="X1823" i="1"/>
  <c r="Z1823" i="1" s="1"/>
  <c r="X1824" i="1"/>
  <c r="Z1824" i="1" s="1"/>
  <c r="X1825" i="1"/>
  <c r="Z1825" i="1" s="1"/>
  <c r="X1826" i="1"/>
  <c r="Z1826" i="1" s="1"/>
  <c r="X1827" i="1"/>
  <c r="Z1827" i="1" s="1"/>
  <c r="X1828" i="1"/>
  <c r="Z1828" i="1" s="1"/>
  <c r="X1829" i="1"/>
  <c r="Z1829" i="1" s="1"/>
  <c r="X1830" i="1"/>
  <c r="Z1830" i="1" s="1"/>
  <c r="X1831" i="1"/>
  <c r="Z1831" i="1" s="1"/>
  <c r="X1832" i="1"/>
  <c r="Z1832" i="1" s="1"/>
  <c r="X1833" i="1"/>
  <c r="Z1833" i="1" s="1"/>
  <c r="X1834" i="1"/>
  <c r="Z1834" i="1" s="1"/>
  <c r="X1835" i="1"/>
  <c r="Z1835" i="1" s="1"/>
  <c r="X1836" i="1"/>
  <c r="Z1836" i="1" s="1"/>
  <c r="X1837" i="1"/>
  <c r="Z1837" i="1" s="1"/>
  <c r="X1838" i="1"/>
  <c r="Z1838" i="1" s="1"/>
  <c r="X1839" i="1"/>
  <c r="Z1839" i="1" s="1"/>
  <c r="X1840" i="1"/>
  <c r="Z1840" i="1" s="1"/>
  <c r="X1841" i="1"/>
  <c r="Z1841" i="1" s="1"/>
  <c r="X1842" i="1"/>
  <c r="Z1842" i="1" s="1"/>
  <c r="X1843" i="1"/>
  <c r="Z1843" i="1" s="1"/>
  <c r="X1844" i="1"/>
  <c r="Z1844" i="1" s="1"/>
  <c r="X1845" i="1"/>
  <c r="Z1845" i="1" s="1"/>
  <c r="X1846" i="1"/>
  <c r="Z1846" i="1" s="1"/>
  <c r="X1847" i="1"/>
  <c r="Z1847" i="1" s="1"/>
  <c r="X1848" i="1"/>
  <c r="Z1848" i="1" s="1"/>
  <c r="X1849" i="1"/>
  <c r="Z1849" i="1" s="1"/>
  <c r="X1850" i="1"/>
  <c r="Z1850" i="1" s="1"/>
  <c r="X1851" i="1"/>
  <c r="Z1851" i="1" s="1"/>
  <c r="X1852" i="1"/>
  <c r="Z1852" i="1" s="1"/>
  <c r="X1853" i="1"/>
  <c r="Z1853" i="1" s="1"/>
  <c r="X1854" i="1"/>
  <c r="Z1854" i="1" s="1"/>
  <c r="X1855" i="1"/>
  <c r="Z1855" i="1" s="1"/>
  <c r="X1856" i="1"/>
  <c r="Z1856" i="1" s="1"/>
  <c r="X1857" i="1"/>
  <c r="Z1857" i="1" s="1"/>
  <c r="X1858" i="1"/>
  <c r="Z1858" i="1" s="1"/>
  <c r="X1859" i="1"/>
  <c r="Z1859" i="1" s="1"/>
  <c r="X1860" i="1"/>
  <c r="Z1860" i="1" s="1"/>
  <c r="X1861" i="1"/>
  <c r="Z1861" i="1" s="1"/>
  <c r="X1862" i="1"/>
  <c r="Z1862" i="1" s="1"/>
  <c r="X1863" i="1"/>
  <c r="Z1863" i="1" s="1"/>
  <c r="X1864" i="1"/>
  <c r="Z1864" i="1" s="1"/>
  <c r="X1865" i="1"/>
  <c r="Z1865" i="1" s="1"/>
  <c r="X1866" i="1"/>
  <c r="Z1866" i="1" s="1"/>
  <c r="X1867" i="1"/>
  <c r="Z1867" i="1" s="1"/>
  <c r="X1868" i="1"/>
  <c r="Z1868" i="1" s="1"/>
  <c r="X1869" i="1"/>
  <c r="Z1869" i="1" s="1"/>
  <c r="X1870" i="1"/>
  <c r="Z1870" i="1" s="1"/>
  <c r="X1871" i="1"/>
  <c r="Z1871" i="1" s="1"/>
  <c r="X1872" i="1"/>
  <c r="Z1872" i="1" s="1"/>
  <c r="X1873" i="1"/>
  <c r="Z1873" i="1" s="1"/>
  <c r="X1874" i="1"/>
  <c r="Z1874" i="1" s="1"/>
  <c r="X1875" i="1"/>
  <c r="Z1875" i="1" s="1"/>
  <c r="X1876" i="1"/>
  <c r="Z1876" i="1" s="1"/>
  <c r="X1877" i="1"/>
  <c r="Z1877" i="1" s="1"/>
  <c r="X1878" i="1"/>
  <c r="Z1878" i="1" s="1"/>
  <c r="X1879" i="1"/>
  <c r="Z1879" i="1" s="1"/>
  <c r="X1880" i="1"/>
  <c r="Z1880" i="1" s="1"/>
  <c r="X1881" i="1"/>
  <c r="Z1881" i="1" s="1"/>
  <c r="X1882" i="1"/>
  <c r="Z1882" i="1" s="1"/>
  <c r="X1883" i="1"/>
  <c r="Z1883" i="1" s="1"/>
  <c r="X1884" i="1"/>
  <c r="Z1884" i="1" s="1"/>
  <c r="X1885" i="1"/>
  <c r="Z1885" i="1" s="1"/>
  <c r="X1886" i="1"/>
  <c r="Z1886" i="1" s="1"/>
  <c r="X1887" i="1"/>
  <c r="Z1887" i="1" s="1"/>
  <c r="X1888" i="1"/>
  <c r="Z1888" i="1" s="1"/>
  <c r="X1889" i="1"/>
  <c r="Z1889" i="1" s="1"/>
  <c r="X1890" i="1"/>
  <c r="Z1890" i="1" s="1"/>
  <c r="X1891" i="1"/>
  <c r="Z1891" i="1" s="1"/>
  <c r="X1892" i="1"/>
  <c r="Z1892" i="1" s="1"/>
  <c r="X1893" i="1"/>
  <c r="Z1893" i="1" s="1"/>
  <c r="X1894" i="1"/>
  <c r="Z1894" i="1" s="1"/>
  <c r="X1895" i="1"/>
  <c r="Z1895" i="1" s="1"/>
  <c r="X1896" i="1"/>
  <c r="Z1896" i="1" s="1"/>
  <c r="X1897" i="1"/>
  <c r="Z1897" i="1" s="1"/>
  <c r="X1898" i="1"/>
  <c r="Z1898" i="1" s="1"/>
  <c r="X1899" i="1"/>
  <c r="Z1899" i="1" s="1"/>
  <c r="X1900" i="1"/>
  <c r="Z1900" i="1" s="1"/>
  <c r="X1901" i="1"/>
  <c r="Z1901" i="1" s="1"/>
  <c r="X1902" i="1"/>
  <c r="Z1902" i="1" s="1"/>
  <c r="X1903" i="1"/>
  <c r="Z1903" i="1" s="1"/>
  <c r="X1904" i="1"/>
  <c r="Z1904" i="1" s="1"/>
  <c r="X1905" i="1"/>
  <c r="Z1905" i="1" s="1"/>
  <c r="X1906" i="1"/>
  <c r="Z1906" i="1" s="1"/>
  <c r="X1907" i="1"/>
  <c r="Z1907" i="1" s="1"/>
  <c r="X1908" i="1"/>
  <c r="Z1908" i="1" s="1"/>
  <c r="X1909" i="1"/>
  <c r="Z1909" i="1" s="1"/>
  <c r="X1910" i="1"/>
  <c r="Z1910" i="1" s="1"/>
  <c r="X1911" i="1"/>
  <c r="Z1911" i="1" s="1"/>
  <c r="X1912" i="1"/>
  <c r="Z1912" i="1" s="1"/>
  <c r="X1913" i="1"/>
  <c r="Z1913" i="1" s="1"/>
  <c r="X1914" i="1"/>
  <c r="Z1914" i="1" s="1"/>
  <c r="X1915" i="1"/>
  <c r="Z1915" i="1" s="1"/>
  <c r="X1916" i="1"/>
  <c r="Z1916" i="1" s="1"/>
  <c r="X1917" i="1"/>
  <c r="Z1917" i="1" s="1"/>
  <c r="X1918" i="1"/>
  <c r="Z1918" i="1" s="1"/>
  <c r="X1919" i="1"/>
  <c r="Z1919" i="1" s="1"/>
  <c r="X1920" i="1"/>
  <c r="Z1920" i="1" s="1"/>
  <c r="X1921" i="1"/>
  <c r="Z1921" i="1" s="1"/>
  <c r="X1922" i="1"/>
  <c r="Z1922" i="1" s="1"/>
  <c r="X1923" i="1"/>
  <c r="Z1923" i="1" s="1"/>
  <c r="X1924" i="1"/>
  <c r="Z1924" i="1" s="1"/>
  <c r="X1925" i="1"/>
  <c r="Z1925" i="1" s="1"/>
  <c r="X1926" i="1"/>
  <c r="Z1926" i="1" s="1"/>
  <c r="X1927" i="1"/>
  <c r="Z1927" i="1" s="1"/>
  <c r="X1928" i="1"/>
  <c r="Z1928" i="1" s="1"/>
  <c r="X1929" i="1"/>
  <c r="Z1929" i="1" s="1"/>
  <c r="X1930" i="1"/>
  <c r="Z1930" i="1" s="1"/>
  <c r="X1931" i="1"/>
  <c r="Z1931" i="1" s="1"/>
  <c r="X1932" i="1"/>
  <c r="Z1932" i="1" s="1"/>
  <c r="X1933" i="1"/>
  <c r="Z1933" i="1" s="1"/>
  <c r="X1934" i="1"/>
  <c r="Z1934" i="1" s="1"/>
  <c r="X1935" i="1"/>
  <c r="Z1935" i="1" s="1"/>
  <c r="X1936" i="1"/>
  <c r="Z1936" i="1" s="1"/>
  <c r="X1937" i="1"/>
  <c r="Z1937" i="1" s="1"/>
  <c r="X1938" i="1"/>
  <c r="Z1938" i="1" s="1"/>
  <c r="X1939" i="1"/>
  <c r="Z1939" i="1" s="1"/>
  <c r="X1940" i="1"/>
  <c r="Z1940" i="1" s="1"/>
  <c r="X1941" i="1"/>
  <c r="Z1941" i="1" s="1"/>
  <c r="X1942" i="1"/>
  <c r="Z1942" i="1" s="1"/>
  <c r="X1943" i="1"/>
  <c r="Z1943" i="1" s="1"/>
  <c r="X1944" i="1"/>
  <c r="Z1944" i="1" s="1"/>
  <c r="X1945" i="1"/>
  <c r="Z1945" i="1" s="1"/>
  <c r="X1946" i="1"/>
  <c r="Z1946" i="1" s="1"/>
  <c r="X1947" i="1"/>
  <c r="Z1947" i="1" s="1"/>
  <c r="X1948" i="1"/>
  <c r="Z1948" i="1" s="1"/>
  <c r="X1949" i="1"/>
  <c r="Z1949" i="1" s="1"/>
  <c r="X1950" i="1"/>
  <c r="Z1950" i="1" s="1"/>
  <c r="X1951" i="1"/>
  <c r="Z1951" i="1" s="1"/>
  <c r="X1952" i="1"/>
  <c r="Z1952" i="1" s="1"/>
  <c r="X1953" i="1"/>
  <c r="Z1953" i="1" s="1"/>
  <c r="X1954" i="1"/>
  <c r="Z1954" i="1" s="1"/>
  <c r="X1955" i="1"/>
  <c r="Z1955" i="1" s="1"/>
  <c r="X1956" i="1"/>
  <c r="Z1956" i="1" s="1"/>
  <c r="X1957" i="1"/>
  <c r="Z1957" i="1" s="1"/>
  <c r="X1958" i="1"/>
  <c r="Z1958" i="1" s="1"/>
  <c r="X1959" i="1"/>
  <c r="Z1959" i="1" s="1"/>
  <c r="X1960" i="1"/>
  <c r="Z1960" i="1" s="1"/>
  <c r="X1961" i="1"/>
  <c r="Z1961" i="1" s="1"/>
  <c r="X1962" i="1"/>
  <c r="Z1962" i="1" s="1"/>
  <c r="X1963" i="1"/>
  <c r="Z1963" i="1" s="1"/>
  <c r="X1964" i="1"/>
  <c r="Z1964" i="1" s="1"/>
  <c r="X1965" i="1"/>
  <c r="Z1965" i="1" s="1"/>
  <c r="X1966" i="1"/>
  <c r="Z1966" i="1" s="1"/>
  <c r="X1967" i="1"/>
  <c r="Z1967" i="1" s="1"/>
  <c r="X1968" i="1"/>
  <c r="Z1968" i="1" s="1"/>
  <c r="X1969" i="1"/>
  <c r="Z1969" i="1" s="1"/>
  <c r="X1970" i="1"/>
  <c r="Z1970" i="1" s="1"/>
  <c r="X1971" i="1"/>
  <c r="Z1971" i="1" s="1"/>
  <c r="X1972" i="1"/>
  <c r="Z1972" i="1" s="1"/>
  <c r="X1973" i="1"/>
  <c r="Z1973" i="1" s="1"/>
  <c r="X1974" i="1"/>
  <c r="Z1974" i="1" s="1"/>
  <c r="X1975" i="1"/>
  <c r="Z1975" i="1" s="1"/>
  <c r="X1976" i="1"/>
  <c r="Z1976" i="1" s="1"/>
  <c r="X1977" i="1"/>
  <c r="Z1977" i="1" s="1"/>
  <c r="X1978" i="1"/>
  <c r="Z1978" i="1" s="1"/>
  <c r="X1979" i="1"/>
  <c r="Z1979" i="1" s="1"/>
  <c r="X1980" i="1"/>
  <c r="Z1980" i="1" s="1"/>
  <c r="X1981" i="1"/>
  <c r="Z1981" i="1" s="1"/>
  <c r="X1982" i="1"/>
  <c r="Z1982" i="1" s="1"/>
  <c r="X1983" i="1"/>
  <c r="Z1983" i="1" s="1"/>
  <c r="X1984" i="1"/>
  <c r="Z1984" i="1" s="1"/>
  <c r="X1985" i="1"/>
  <c r="Z1985" i="1" s="1"/>
  <c r="X1986" i="1"/>
  <c r="Z1986" i="1" s="1"/>
  <c r="X1987" i="1"/>
  <c r="Z1987" i="1" s="1"/>
  <c r="X1988" i="1"/>
  <c r="Z1988" i="1" s="1"/>
  <c r="X1989" i="1"/>
  <c r="Z1989" i="1" s="1"/>
  <c r="X1990" i="1"/>
  <c r="Z1990" i="1" s="1"/>
  <c r="X1991" i="1"/>
  <c r="Z1991" i="1" s="1"/>
  <c r="X1992" i="1"/>
  <c r="Z1992" i="1" s="1"/>
  <c r="X1993" i="1"/>
  <c r="Z1993" i="1" s="1"/>
  <c r="X1994" i="1"/>
  <c r="Z1994" i="1" s="1"/>
  <c r="X1995" i="1"/>
  <c r="Z1995" i="1" s="1"/>
  <c r="X1996" i="1"/>
  <c r="Z1996" i="1" s="1"/>
  <c r="X1997" i="1"/>
  <c r="Z1997" i="1" s="1"/>
  <c r="X1998" i="1"/>
  <c r="Z1998" i="1" s="1"/>
  <c r="X1999" i="1"/>
  <c r="Z1999" i="1" s="1"/>
  <c r="X2000" i="1"/>
  <c r="Z2000" i="1" s="1"/>
  <c r="X2001" i="1"/>
  <c r="Z2001" i="1" s="1"/>
  <c r="X2002" i="1"/>
  <c r="Z2002" i="1" s="1"/>
  <c r="X2003" i="1"/>
  <c r="Z2003" i="1" s="1"/>
  <c r="X2004" i="1"/>
  <c r="Z2004" i="1" s="1"/>
  <c r="X2005" i="1"/>
  <c r="Z2005" i="1" s="1"/>
  <c r="X2006" i="1"/>
  <c r="Z2006" i="1" s="1"/>
  <c r="X2007" i="1"/>
  <c r="Z2007" i="1" s="1"/>
  <c r="X2008" i="1"/>
  <c r="Z2008" i="1" s="1"/>
  <c r="X2009" i="1"/>
  <c r="Z2009" i="1" s="1"/>
  <c r="X2010" i="1"/>
  <c r="Z2010" i="1" s="1"/>
  <c r="X2011" i="1"/>
  <c r="Z2011" i="1" s="1"/>
  <c r="X2012" i="1"/>
  <c r="Z2012" i="1" s="1"/>
  <c r="X2013" i="1"/>
  <c r="Z2013" i="1" s="1"/>
  <c r="X2014" i="1"/>
  <c r="Z2014" i="1" s="1"/>
  <c r="X2015" i="1"/>
  <c r="Z2015" i="1" s="1"/>
  <c r="X2016" i="1"/>
  <c r="Z2016" i="1" s="1"/>
  <c r="X2017" i="1"/>
  <c r="Z2017" i="1" s="1"/>
  <c r="X2018" i="1"/>
  <c r="Z2018" i="1" s="1"/>
  <c r="X2019" i="1"/>
  <c r="Z2019" i="1" s="1"/>
  <c r="X2020" i="1"/>
  <c r="Z2020" i="1" s="1"/>
  <c r="X2021" i="1"/>
  <c r="Z2021" i="1" s="1"/>
  <c r="X2022" i="1"/>
  <c r="Z2022" i="1" s="1"/>
  <c r="X2023" i="1"/>
  <c r="Z2023" i="1" s="1"/>
  <c r="X2024" i="1"/>
  <c r="Z2024" i="1" s="1"/>
  <c r="X2025" i="1"/>
  <c r="Z2025" i="1" s="1"/>
  <c r="X2026" i="1"/>
  <c r="Z2026" i="1" s="1"/>
  <c r="X2027" i="1"/>
  <c r="Z2027" i="1" s="1"/>
  <c r="X2028" i="1"/>
  <c r="Z2028" i="1" s="1"/>
  <c r="X2029" i="1"/>
  <c r="Z2029" i="1" s="1"/>
  <c r="X2030" i="1"/>
  <c r="Z2030" i="1" s="1"/>
  <c r="X2031" i="1"/>
  <c r="Z2031" i="1" s="1"/>
  <c r="X2032" i="1"/>
  <c r="Z2032" i="1" s="1"/>
  <c r="X2033" i="1"/>
  <c r="Z2033" i="1" s="1"/>
  <c r="X2034" i="1"/>
  <c r="Z2034" i="1" s="1"/>
  <c r="X2035" i="1"/>
  <c r="Z2035" i="1" s="1"/>
  <c r="X2036" i="1"/>
  <c r="Z2036" i="1" s="1"/>
  <c r="X2037" i="1"/>
  <c r="Z2037" i="1" s="1"/>
  <c r="X2038" i="1"/>
  <c r="Z2038" i="1" s="1"/>
  <c r="X2039" i="1"/>
  <c r="Z2039" i="1" s="1"/>
  <c r="X2040" i="1"/>
  <c r="Z2040" i="1" s="1"/>
  <c r="X2041" i="1"/>
  <c r="Z2041" i="1" s="1"/>
  <c r="X2042" i="1"/>
  <c r="Z2042" i="1" s="1"/>
  <c r="X2043" i="1"/>
  <c r="Z2043" i="1" s="1"/>
  <c r="X2044" i="1"/>
  <c r="Z2044" i="1" s="1"/>
  <c r="X2045" i="1"/>
  <c r="Z2045" i="1" s="1"/>
  <c r="X2046" i="1"/>
  <c r="Z2046" i="1" s="1"/>
  <c r="X2047" i="1"/>
  <c r="Z2047" i="1" s="1"/>
  <c r="X2048" i="1"/>
  <c r="Z2048" i="1" s="1"/>
  <c r="X2049" i="1"/>
  <c r="Z2049" i="1" s="1"/>
  <c r="X2050" i="1"/>
  <c r="Z2050" i="1" s="1"/>
  <c r="X2051" i="1"/>
  <c r="Z2051" i="1" s="1"/>
  <c r="X2052" i="1"/>
  <c r="Z2052" i="1" s="1"/>
  <c r="X2053" i="1"/>
  <c r="Z2053" i="1" s="1"/>
  <c r="X2054" i="1"/>
  <c r="Z2054" i="1" s="1"/>
  <c r="X2055" i="1"/>
  <c r="Z2055" i="1" s="1"/>
  <c r="X2056" i="1"/>
  <c r="Z2056" i="1" s="1"/>
  <c r="X2057" i="1"/>
  <c r="Z2057" i="1" s="1"/>
  <c r="X2058" i="1"/>
  <c r="Z2058" i="1" s="1"/>
  <c r="X2059" i="1"/>
  <c r="Z2059" i="1" s="1"/>
  <c r="X2060" i="1"/>
  <c r="Z2060" i="1" s="1"/>
  <c r="X2061" i="1"/>
  <c r="Z2061" i="1" s="1"/>
  <c r="X2062" i="1"/>
  <c r="Z2062" i="1" s="1"/>
  <c r="X2063" i="1"/>
  <c r="Z2063" i="1" s="1"/>
  <c r="X2064" i="1"/>
  <c r="Z2064" i="1" s="1"/>
  <c r="X2065" i="1"/>
  <c r="Z2065" i="1" s="1"/>
  <c r="X2066" i="1"/>
  <c r="Z2066" i="1" s="1"/>
  <c r="X2067" i="1"/>
  <c r="Z2067" i="1" s="1"/>
  <c r="X2068" i="1"/>
  <c r="Z2068" i="1" s="1"/>
  <c r="X2069" i="1"/>
  <c r="Z2069" i="1" s="1"/>
  <c r="X2070" i="1"/>
  <c r="Z2070" i="1" s="1"/>
  <c r="X2071" i="1"/>
  <c r="Z2071" i="1" s="1"/>
  <c r="X2072" i="1"/>
  <c r="Z2072" i="1" s="1"/>
  <c r="X2073" i="1"/>
  <c r="Z2073" i="1" s="1"/>
  <c r="X2074" i="1"/>
  <c r="Z2074" i="1" s="1"/>
  <c r="X2075" i="1"/>
  <c r="Z2075" i="1" s="1"/>
  <c r="X2076" i="1"/>
  <c r="Z2076" i="1" s="1"/>
  <c r="X2077" i="1"/>
  <c r="Z2077" i="1" s="1"/>
  <c r="X2078" i="1"/>
  <c r="Z2078" i="1" s="1"/>
  <c r="X2079" i="1"/>
  <c r="Z2079" i="1" s="1"/>
  <c r="X2080" i="1"/>
  <c r="Z2080" i="1" s="1"/>
  <c r="X2081" i="1"/>
  <c r="Z2081" i="1" s="1"/>
  <c r="X2082" i="1"/>
  <c r="Z2082" i="1" s="1"/>
  <c r="X2083" i="1"/>
  <c r="Z2083" i="1" s="1"/>
  <c r="X2084" i="1"/>
  <c r="Z2084" i="1" s="1"/>
  <c r="X2085" i="1"/>
  <c r="Z2085" i="1" s="1"/>
  <c r="X2086" i="1"/>
  <c r="Z2086" i="1" s="1"/>
  <c r="X2087" i="1"/>
  <c r="Z2087" i="1" s="1"/>
  <c r="X2088" i="1"/>
  <c r="Z2088" i="1" s="1"/>
  <c r="X2089" i="1"/>
  <c r="Z2089" i="1" s="1"/>
  <c r="X2090" i="1"/>
  <c r="Z2090" i="1" s="1"/>
  <c r="X2091" i="1"/>
  <c r="Z2091" i="1" s="1"/>
  <c r="X2092" i="1"/>
  <c r="Z2092" i="1" s="1"/>
  <c r="X2093" i="1"/>
  <c r="Z2093" i="1" s="1"/>
  <c r="X2094" i="1"/>
  <c r="Z2094" i="1" s="1"/>
  <c r="X2095" i="1"/>
  <c r="Z2095" i="1" s="1"/>
  <c r="X2096" i="1"/>
  <c r="Z2096" i="1" s="1"/>
  <c r="X2097" i="1"/>
  <c r="Z2097" i="1" s="1"/>
  <c r="X2098" i="1"/>
  <c r="Z2098" i="1" s="1"/>
  <c r="X2099" i="1"/>
  <c r="Z2099" i="1" s="1"/>
  <c r="X2100" i="1"/>
  <c r="Z2100" i="1" s="1"/>
  <c r="X2101" i="1"/>
  <c r="Z2101" i="1" s="1"/>
  <c r="X2102" i="1"/>
  <c r="Z2102" i="1" s="1"/>
  <c r="X2103" i="1"/>
  <c r="Z2103" i="1" s="1"/>
  <c r="X2104" i="1"/>
  <c r="Z2104" i="1" s="1"/>
  <c r="X2105" i="1"/>
  <c r="Z2105" i="1" s="1"/>
  <c r="X2106" i="1"/>
  <c r="Z2106" i="1" s="1"/>
  <c r="X2107" i="1"/>
  <c r="Z2107" i="1" s="1"/>
  <c r="X2108" i="1"/>
  <c r="Z2108" i="1" s="1"/>
  <c r="X2109" i="1"/>
  <c r="Z2109" i="1" s="1"/>
  <c r="X2110" i="1"/>
  <c r="Z2110" i="1" s="1"/>
  <c r="X2111" i="1"/>
  <c r="Z2111" i="1" s="1"/>
  <c r="X2112" i="1"/>
  <c r="Z2112" i="1" s="1"/>
  <c r="X2113" i="1"/>
  <c r="Z2113" i="1" s="1"/>
  <c r="X2114" i="1"/>
  <c r="Z2114" i="1" s="1"/>
  <c r="X2115" i="1"/>
  <c r="Z2115" i="1" s="1"/>
  <c r="X2116" i="1"/>
  <c r="Z2116" i="1" s="1"/>
  <c r="X2117" i="1"/>
  <c r="Z2117" i="1" s="1"/>
  <c r="X2118" i="1"/>
  <c r="Z2118" i="1" s="1"/>
  <c r="X2119" i="1"/>
  <c r="Z2119" i="1" s="1"/>
  <c r="X2120" i="1"/>
  <c r="Z2120" i="1" s="1"/>
  <c r="X2121" i="1"/>
  <c r="Z2121" i="1" s="1"/>
  <c r="X2122" i="1"/>
  <c r="Z2122" i="1" s="1"/>
  <c r="X2123" i="1"/>
  <c r="Z2123" i="1" s="1"/>
  <c r="X2124" i="1"/>
  <c r="Z2124" i="1" s="1"/>
  <c r="X2125" i="1"/>
  <c r="Z2125" i="1" s="1"/>
  <c r="X2126" i="1"/>
  <c r="Z2126" i="1" s="1"/>
  <c r="X2127" i="1"/>
  <c r="Z2127" i="1" s="1"/>
  <c r="X2128" i="1"/>
  <c r="Z2128" i="1" s="1"/>
  <c r="X2129" i="1"/>
  <c r="Z2129" i="1" s="1"/>
  <c r="X2130" i="1"/>
  <c r="Z2130" i="1" s="1"/>
  <c r="X2131" i="1"/>
  <c r="Z2131" i="1" s="1"/>
  <c r="X2132" i="1"/>
  <c r="Z2132" i="1" s="1"/>
  <c r="X2133" i="1"/>
  <c r="Z2133" i="1" s="1"/>
  <c r="X2134" i="1"/>
  <c r="Z2134" i="1" s="1"/>
  <c r="X2135" i="1"/>
  <c r="Z2135" i="1" s="1"/>
  <c r="X2136" i="1"/>
  <c r="Z2136" i="1" s="1"/>
  <c r="X2137" i="1"/>
  <c r="Z2137" i="1" s="1"/>
  <c r="X2138" i="1"/>
  <c r="Z2138" i="1" s="1"/>
  <c r="X2139" i="1"/>
  <c r="Z2139" i="1" s="1"/>
  <c r="X2140" i="1"/>
  <c r="Z2140" i="1" s="1"/>
  <c r="X2141" i="1"/>
  <c r="Z2141" i="1" s="1"/>
  <c r="X2142" i="1"/>
  <c r="Z2142" i="1" s="1"/>
  <c r="X2143" i="1"/>
  <c r="Z2143" i="1" s="1"/>
  <c r="X2144" i="1"/>
  <c r="Z2144" i="1" s="1"/>
  <c r="X2145" i="1"/>
  <c r="Z2145" i="1" s="1"/>
  <c r="X2146" i="1"/>
  <c r="Z2146" i="1" s="1"/>
  <c r="X2147" i="1"/>
  <c r="Z2147" i="1" s="1"/>
  <c r="X2148" i="1"/>
  <c r="Z2148" i="1" s="1"/>
  <c r="X2149" i="1"/>
  <c r="Z2149" i="1" s="1"/>
  <c r="X2150" i="1"/>
  <c r="Z2150" i="1" s="1"/>
  <c r="X2151" i="1"/>
  <c r="Z2151" i="1" s="1"/>
  <c r="X2152" i="1"/>
  <c r="Z2152" i="1" s="1"/>
  <c r="X2153" i="1"/>
  <c r="Z2153" i="1" s="1"/>
  <c r="X2154" i="1"/>
  <c r="Z2154" i="1" s="1"/>
  <c r="X2155" i="1"/>
  <c r="Z2155" i="1" s="1"/>
  <c r="X2156" i="1"/>
  <c r="Z2156" i="1" s="1"/>
  <c r="X2157" i="1"/>
  <c r="Z2157" i="1" s="1"/>
  <c r="X2158" i="1"/>
  <c r="Z2158" i="1" s="1"/>
  <c r="X2159" i="1"/>
  <c r="Z2159" i="1" s="1"/>
  <c r="X2160" i="1"/>
  <c r="Z2160" i="1" s="1"/>
  <c r="X2161" i="1"/>
  <c r="Z2161" i="1" s="1"/>
  <c r="X2162" i="1"/>
  <c r="Z2162" i="1" s="1"/>
  <c r="X2163" i="1"/>
  <c r="Z2163" i="1" s="1"/>
  <c r="X2164" i="1"/>
  <c r="Z2164" i="1" s="1"/>
  <c r="X2165" i="1"/>
  <c r="Z2165" i="1" s="1"/>
  <c r="X2166" i="1"/>
  <c r="Z2166" i="1" s="1"/>
  <c r="X2167" i="1"/>
  <c r="Z2167" i="1" s="1"/>
  <c r="X2168" i="1"/>
  <c r="Z2168" i="1" s="1"/>
  <c r="X2169" i="1"/>
  <c r="Z2169" i="1" s="1"/>
  <c r="X2170" i="1"/>
  <c r="Z2170" i="1" s="1"/>
  <c r="X2171" i="1"/>
  <c r="Z2171" i="1" s="1"/>
  <c r="X2172" i="1"/>
  <c r="Z2172" i="1" s="1"/>
  <c r="X2173" i="1"/>
  <c r="Z2173" i="1" s="1"/>
  <c r="X2174" i="1"/>
  <c r="Z2174" i="1" s="1"/>
  <c r="X2175" i="1"/>
  <c r="Z2175" i="1" s="1"/>
  <c r="X2176" i="1"/>
  <c r="Z2176" i="1" s="1"/>
  <c r="X2177" i="1"/>
  <c r="Z2177" i="1" s="1"/>
  <c r="X2178" i="1"/>
  <c r="Z2178" i="1" s="1"/>
  <c r="X2179" i="1"/>
  <c r="Z2179" i="1" s="1"/>
  <c r="X2180" i="1"/>
  <c r="Z2180" i="1" s="1"/>
  <c r="X2181" i="1"/>
  <c r="Z2181" i="1" s="1"/>
  <c r="X2182" i="1"/>
  <c r="Z2182" i="1" s="1"/>
  <c r="X2183" i="1"/>
  <c r="Z2183" i="1" s="1"/>
  <c r="X2184" i="1"/>
  <c r="Z2184" i="1" s="1"/>
  <c r="X2185" i="1"/>
  <c r="Z2185" i="1" s="1"/>
  <c r="X2186" i="1"/>
  <c r="Z2186" i="1" s="1"/>
  <c r="X2187" i="1"/>
  <c r="Z2187" i="1" s="1"/>
  <c r="X2188" i="1"/>
  <c r="Z2188" i="1" s="1"/>
  <c r="X2189" i="1"/>
  <c r="Z2189" i="1" s="1"/>
  <c r="X2190" i="1"/>
  <c r="Z2190" i="1" s="1"/>
  <c r="X2191" i="1"/>
  <c r="Z2191" i="1" s="1"/>
  <c r="X2192" i="1"/>
  <c r="Z2192" i="1" s="1"/>
  <c r="X2193" i="1"/>
  <c r="Z2193" i="1" s="1"/>
  <c r="X2194" i="1"/>
  <c r="Z2194" i="1" s="1"/>
  <c r="X2195" i="1"/>
  <c r="Z2195" i="1" s="1"/>
  <c r="X2196" i="1"/>
  <c r="Z2196" i="1" s="1"/>
  <c r="X2197" i="1"/>
  <c r="Z2197" i="1" s="1"/>
  <c r="X2198" i="1"/>
  <c r="Z2198" i="1" s="1"/>
  <c r="X2199" i="1"/>
  <c r="Z2199" i="1" s="1"/>
  <c r="X2200" i="1"/>
  <c r="Z2200" i="1" s="1"/>
  <c r="X2201" i="1"/>
  <c r="Z2201" i="1" s="1"/>
  <c r="X2202" i="1"/>
  <c r="Z2202" i="1" s="1"/>
  <c r="X2203" i="1"/>
  <c r="Z2203" i="1" s="1"/>
  <c r="X2204" i="1"/>
  <c r="Z2204" i="1" s="1"/>
  <c r="X2205" i="1"/>
  <c r="Z2205" i="1" s="1"/>
  <c r="X2206" i="1"/>
  <c r="Z2206" i="1" s="1"/>
  <c r="X2207" i="1"/>
  <c r="Z2207" i="1" s="1"/>
  <c r="X2208" i="1"/>
  <c r="Z2208" i="1" s="1"/>
  <c r="X2209" i="1"/>
  <c r="Z2209" i="1" s="1"/>
  <c r="X2210" i="1"/>
  <c r="Z2210" i="1" s="1"/>
  <c r="X2211" i="1"/>
  <c r="Z2211" i="1" s="1"/>
  <c r="X2212" i="1"/>
  <c r="Z2212" i="1" s="1"/>
  <c r="X2213" i="1"/>
  <c r="Z2213" i="1" s="1"/>
  <c r="X2214" i="1"/>
  <c r="Z2214" i="1" s="1"/>
  <c r="X2215" i="1"/>
  <c r="Z2215" i="1" s="1"/>
  <c r="X2216" i="1"/>
  <c r="Z2216" i="1" s="1"/>
  <c r="X2217" i="1"/>
  <c r="Z2217" i="1" s="1"/>
  <c r="X2218" i="1"/>
  <c r="Z2218" i="1" s="1"/>
  <c r="X2219" i="1"/>
  <c r="Z2219" i="1" s="1"/>
  <c r="X2220" i="1"/>
  <c r="Z2220" i="1" s="1"/>
  <c r="X2221" i="1"/>
  <c r="Z2221" i="1" s="1"/>
  <c r="X2222" i="1"/>
  <c r="Z2222" i="1" s="1"/>
  <c r="X2223" i="1"/>
  <c r="Z2223" i="1" s="1"/>
  <c r="X2224" i="1"/>
  <c r="Z2224" i="1" s="1"/>
  <c r="X2225" i="1"/>
  <c r="Z2225" i="1" s="1"/>
  <c r="X2226" i="1"/>
  <c r="Z2226" i="1" s="1"/>
  <c r="X2227" i="1"/>
  <c r="Z2227" i="1" s="1"/>
  <c r="X2228" i="1"/>
  <c r="Z2228" i="1" s="1"/>
  <c r="X2229" i="1"/>
  <c r="Z2229" i="1" s="1"/>
  <c r="X2230" i="1"/>
  <c r="Z2230" i="1" s="1"/>
  <c r="X2231" i="1"/>
  <c r="Z2231" i="1" s="1"/>
  <c r="X2232" i="1"/>
  <c r="Z2232" i="1" s="1"/>
  <c r="X2233" i="1"/>
  <c r="Z2233" i="1" s="1"/>
  <c r="X2234" i="1"/>
  <c r="Z2234" i="1" s="1"/>
  <c r="X2235" i="1"/>
  <c r="Z2235" i="1" s="1"/>
  <c r="X2236" i="1"/>
  <c r="Z2236" i="1" s="1"/>
  <c r="X2237" i="1"/>
  <c r="Z2237" i="1" s="1"/>
  <c r="X2238" i="1"/>
  <c r="Z2238" i="1" s="1"/>
  <c r="X2239" i="1"/>
  <c r="Z2239" i="1" s="1"/>
  <c r="X2240" i="1"/>
  <c r="Z2240" i="1" s="1"/>
  <c r="X2241" i="1"/>
  <c r="Z2241" i="1" s="1"/>
  <c r="X2242" i="1"/>
  <c r="Z2242" i="1" s="1"/>
  <c r="X2243" i="1"/>
  <c r="Z2243" i="1" s="1"/>
  <c r="X2244" i="1"/>
  <c r="Z2244" i="1" s="1"/>
  <c r="X2245" i="1"/>
  <c r="Z2245" i="1" s="1"/>
  <c r="X2246" i="1"/>
  <c r="Z2246" i="1" s="1"/>
  <c r="X2247" i="1"/>
  <c r="Z2247" i="1" s="1"/>
  <c r="X2248" i="1"/>
  <c r="Z2248" i="1" s="1"/>
  <c r="X2249" i="1"/>
  <c r="Z2249" i="1" s="1"/>
  <c r="X2250" i="1"/>
  <c r="Z2250" i="1" s="1"/>
  <c r="X2251" i="1"/>
  <c r="Z2251" i="1" s="1"/>
  <c r="X2252" i="1"/>
  <c r="Z2252" i="1" s="1"/>
  <c r="X2253" i="1"/>
  <c r="Z2253" i="1" s="1"/>
  <c r="X2254" i="1"/>
  <c r="Z2254" i="1" s="1"/>
  <c r="X2255" i="1"/>
  <c r="Z2255" i="1" s="1"/>
  <c r="X2256" i="1"/>
  <c r="Z2256" i="1" s="1"/>
  <c r="X2257" i="1"/>
  <c r="Z2257" i="1" s="1"/>
  <c r="X2258" i="1"/>
  <c r="Z2258" i="1" s="1"/>
  <c r="X2259" i="1"/>
  <c r="Z2259" i="1" s="1"/>
  <c r="X2260" i="1"/>
  <c r="Z2260" i="1" s="1"/>
  <c r="X2261" i="1"/>
  <c r="Z2261" i="1" s="1"/>
  <c r="X2262" i="1"/>
  <c r="Z2262" i="1" s="1"/>
  <c r="X2263" i="1"/>
  <c r="Z2263" i="1" s="1"/>
  <c r="X2264" i="1"/>
  <c r="Z2264" i="1" s="1"/>
  <c r="X2265" i="1"/>
  <c r="Z2265" i="1" s="1"/>
  <c r="X2266" i="1"/>
  <c r="Z2266" i="1" s="1"/>
  <c r="X2267" i="1"/>
  <c r="Z2267" i="1" s="1"/>
  <c r="X2268" i="1"/>
  <c r="Z2268" i="1" s="1"/>
  <c r="X2269" i="1"/>
  <c r="Z2269" i="1" s="1"/>
  <c r="X2270" i="1"/>
  <c r="Z2270" i="1" s="1"/>
  <c r="X2271" i="1"/>
  <c r="Z2271" i="1" s="1"/>
  <c r="X2272" i="1"/>
  <c r="Z2272" i="1" s="1"/>
  <c r="X2273" i="1"/>
  <c r="Z2273" i="1" s="1"/>
  <c r="X2274" i="1"/>
  <c r="Z2274" i="1" s="1"/>
  <c r="X2275" i="1"/>
  <c r="Z2275" i="1" s="1"/>
  <c r="X2276" i="1"/>
  <c r="Z2276" i="1" s="1"/>
  <c r="X2277" i="1"/>
  <c r="Z2277" i="1" s="1"/>
  <c r="X2278" i="1"/>
  <c r="Z2278" i="1" s="1"/>
  <c r="X2279" i="1"/>
  <c r="Z2279" i="1" s="1"/>
  <c r="X2280" i="1"/>
  <c r="Z2280" i="1" s="1"/>
  <c r="X2281" i="1"/>
  <c r="Z2281" i="1" s="1"/>
  <c r="X2282" i="1"/>
  <c r="Z2282" i="1" s="1"/>
  <c r="X2283" i="1"/>
  <c r="Z2283" i="1" s="1"/>
  <c r="X2284" i="1"/>
  <c r="Z2284" i="1" s="1"/>
  <c r="X2285" i="1"/>
  <c r="Z2285" i="1" s="1"/>
  <c r="X2286" i="1"/>
  <c r="Z2286" i="1" s="1"/>
  <c r="X2287" i="1"/>
  <c r="Z2287" i="1" s="1"/>
  <c r="X2288" i="1"/>
  <c r="Z2288" i="1" s="1"/>
  <c r="X2289" i="1"/>
  <c r="Z2289" i="1" s="1"/>
  <c r="X2290" i="1"/>
  <c r="Z2290" i="1" s="1"/>
  <c r="X2291" i="1"/>
  <c r="Z2291" i="1" s="1"/>
  <c r="X2292" i="1"/>
  <c r="Z2292" i="1" s="1"/>
  <c r="X2293" i="1"/>
  <c r="Z2293" i="1" s="1"/>
  <c r="X2294" i="1"/>
  <c r="Z2294" i="1" s="1"/>
  <c r="X2295" i="1"/>
  <c r="Z2295" i="1" s="1"/>
  <c r="X2296" i="1"/>
  <c r="Z2296" i="1" s="1"/>
  <c r="X2297" i="1"/>
  <c r="Z2297" i="1" s="1"/>
  <c r="X2298" i="1"/>
  <c r="Z2298" i="1" s="1"/>
  <c r="X2299" i="1"/>
  <c r="Z2299" i="1" s="1"/>
  <c r="X2300" i="1"/>
  <c r="Z2300" i="1" s="1"/>
  <c r="X2301" i="1"/>
  <c r="Z2301" i="1" s="1"/>
  <c r="X2302" i="1"/>
  <c r="Z2302" i="1" s="1"/>
  <c r="X2303" i="1"/>
  <c r="Z2303" i="1" s="1"/>
  <c r="X2304" i="1"/>
  <c r="Z2304" i="1" s="1"/>
  <c r="X2305" i="1"/>
  <c r="Z2305" i="1" s="1"/>
  <c r="X2306" i="1"/>
  <c r="Z2306" i="1" s="1"/>
  <c r="X2307" i="1"/>
  <c r="Z2307" i="1" s="1"/>
  <c r="X2308" i="1"/>
  <c r="Z2308" i="1" s="1"/>
  <c r="X2309" i="1"/>
  <c r="Z2309" i="1" s="1"/>
  <c r="X2310" i="1"/>
  <c r="Z2310" i="1" s="1"/>
  <c r="X2311" i="1"/>
  <c r="Z2311" i="1" s="1"/>
  <c r="X2312" i="1"/>
  <c r="Z2312" i="1" s="1"/>
  <c r="X2313" i="1"/>
  <c r="Z2313" i="1" s="1"/>
  <c r="X2314" i="1"/>
  <c r="Z2314" i="1" s="1"/>
  <c r="X2315" i="1"/>
  <c r="Z2315" i="1" s="1"/>
  <c r="X2316" i="1"/>
  <c r="Z2316" i="1" s="1"/>
  <c r="X2317" i="1"/>
  <c r="Z2317" i="1" s="1"/>
  <c r="X2318" i="1"/>
  <c r="Z2318" i="1" s="1"/>
  <c r="X2319" i="1"/>
  <c r="Z2319" i="1" s="1"/>
  <c r="X2320" i="1"/>
  <c r="Z2320" i="1" s="1"/>
  <c r="X2321" i="1"/>
  <c r="Z2321" i="1" s="1"/>
  <c r="X2322" i="1"/>
  <c r="Z2322" i="1" s="1"/>
  <c r="X2323" i="1"/>
  <c r="Z2323" i="1" s="1"/>
  <c r="X2324" i="1"/>
  <c r="Z2324" i="1" s="1"/>
  <c r="X2325" i="1"/>
  <c r="Z2325" i="1" s="1"/>
  <c r="X2326" i="1"/>
  <c r="Z2326" i="1" s="1"/>
  <c r="X2327" i="1"/>
  <c r="Z2327" i="1" s="1"/>
  <c r="X2328" i="1"/>
  <c r="Z2328" i="1" s="1"/>
  <c r="X2329" i="1"/>
  <c r="Z2329" i="1" s="1"/>
  <c r="X2330" i="1"/>
  <c r="Z2330" i="1" s="1"/>
  <c r="X2331" i="1"/>
  <c r="Z2331" i="1" s="1"/>
  <c r="X2332" i="1"/>
  <c r="Z2332" i="1" s="1"/>
  <c r="X2333" i="1"/>
  <c r="Z2333" i="1" s="1"/>
  <c r="X2334" i="1"/>
  <c r="Z2334" i="1" s="1"/>
  <c r="X2335" i="1"/>
  <c r="Z2335" i="1" s="1"/>
  <c r="X2336" i="1"/>
  <c r="Z2336" i="1" s="1"/>
  <c r="X2337" i="1"/>
  <c r="Z2337" i="1" s="1"/>
  <c r="X2338" i="1"/>
  <c r="Z2338" i="1" s="1"/>
  <c r="X2339" i="1"/>
  <c r="Z2339" i="1" s="1"/>
  <c r="X2340" i="1"/>
  <c r="Z2340" i="1" s="1"/>
  <c r="X2341" i="1"/>
  <c r="Z2341" i="1" s="1"/>
  <c r="X2342" i="1"/>
  <c r="Z2342" i="1" s="1"/>
  <c r="X2343" i="1"/>
  <c r="Z2343" i="1" s="1"/>
  <c r="X2344" i="1"/>
  <c r="Z2344" i="1" s="1"/>
  <c r="X2345" i="1"/>
  <c r="Z2345" i="1" s="1"/>
  <c r="X2346" i="1"/>
  <c r="Z2346" i="1" s="1"/>
  <c r="X2347" i="1"/>
  <c r="Z2347" i="1" s="1"/>
  <c r="X2348" i="1"/>
  <c r="Z2348" i="1" s="1"/>
  <c r="X2349" i="1"/>
  <c r="Z2349" i="1" s="1"/>
  <c r="X2350" i="1"/>
  <c r="Z2350" i="1" s="1"/>
  <c r="X2351" i="1"/>
  <c r="Z2351" i="1" s="1"/>
  <c r="X2352" i="1"/>
  <c r="Z2352" i="1" s="1"/>
  <c r="X2353" i="1"/>
  <c r="Z2353" i="1" s="1"/>
  <c r="X2354" i="1"/>
  <c r="Z2354" i="1" s="1"/>
  <c r="X2355" i="1"/>
  <c r="Z2355" i="1" s="1"/>
  <c r="X2356" i="1"/>
  <c r="Z2356" i="1" s="1"/>
  <c r="X2357" i="1"/>
  <c r="Z2357" i="1" s="1"/>
  <c r="X2358" i="1"/>
  <c r="Z2358" i="1" s="1"/>
  <c r="X2359" i="1"/>
  <c r="Z2359" i="1" s="1"/>
  <c r="X2360" i="1"/>
  <c r="Z2360" i="1" s="1"/>
  <c r="X2361" i="1"/>
  <c r="Z2361" i="1" s="1"/>
  <c r="X2362" i="1"/>
  <c r="Z2362" i="1" s="1"/>
  <c r="X2363" i="1"/>
  <c r="Z2363" i="1" s="1"/>
  <c r="X2364" i="1"/>
  <c r="Z2364" i="1" s="1"/>
  <c r="X2365" i="1"/>
  <c r="Z2365" i="1" s="1"/>
  <c r="X2366" i="1"/>
  <c r="Z2366" i="1" s="1"/>
  <c r="X2367" i="1"/>
  <c r="Z2367" i="1" s="1"/>
  <c r="X2368" i="1"/>
  <c r="Z2368" i="1" s="1"/>
  <c r="X2369" i="1"/>
  <c r="Z2369" i="1" s="1"/>
  <c r="X2370" i="1"/>
  <c r="Z2370" i="1" s="1"/>
  <c r="X2371" i="1"/>
  <c r="Z2371" i="1" s="1"/>
  <c r="X2372" i="1"/>
  <c r="Z2372" i="1" s="1"/>
  <c r="X2373" i="1"/>
  <c r="Z2373" i="1" s="1"/>
  <c r="X2374" i="1"/>
  <c r="Z2374" i="1" s="1"/>
  <c r="X2375" i="1"/>
  <c r="Z2375" i="1" s="1"/>
  <c r="X2376" i="1"/>
  <c r="Z2376" i="1" s="1"/>
  <c r="X2377" i="1"/>
  <c r="Z2377" i="1" s="1"/>
  <c r="X2378" i="1"/>
  <c r="Z2378" i="1" s="1"/>
  <c r="X2379" i="1"/>
  <c r="Z2379" i="1" s="1"/>
  <c r="X2380" i="1"/>
  <c r="Z2380" i="1" s="1"/>
  <c r="X2381" i="1"/>
  <c r="Z2381" i="1" s="1"/>
  <c r="X2382" i="1"/>
  <c r="Z2382" i="1" s="1"/>
  <c r="X2383" i="1"/>
  <c r="Z2383" i="1" s="1"/>
  <c r="X2384" i="1"/>
  <c r="Z2384" i="1" s="1"/>
  <c r="X2385" i="1"/>
  <c r="Z2385" i="1" s="1"/>
  <c r="X2386" i="1"/>
  <c r="Z2386" i="1" s="1"/>
  <c r="X2387" i="1"/>
  <c r="Z2387" i="1" s="1"/>
  <c r="X2388" i="1"/>
  <c r="Z2388" i="1" s="1"/>
  <c r="X2389" i="1"/>
  <c r="Z2389" i="1" s="1"/>
  <c r="X2390" i="1"/>
  <c r="Z2390" i="1" s="1"/>
  <c r="X2391" i="1"/>
  <c r="Z2391" i="1" s="1"/>
  <c r="X2392" i="1"/>
  <c r="Z2392" i="1" s="1"/>
  <c r="X2393" i="1"/>
  <c r="Z2393" i="1" s="1"/>
  <c r="X2394" i="1"/>
  <c r="Z2394" i="1" s="1"/>
  <c r="X2395" i="1"/>
  <c r="Z2395" i="1" s="1"/>
  <c r="X2396" i="1"/>
  <c r="Z2396" i="1" s="1"/>
  <c r="X2397" i="1"/>
  <c r="Z2397" i="1" s="1"/>
  <c r="X2398" i="1"/>
  <c r="Z2398" i="1" s="1"/>
  <c r="X2399" i="1"/>
  <c r="Z2399" i="1" s="1"/>
  <c r="X2400" i="1"/>
  <c r="Z2400" i="1" s="1"/>
  <c r="X2401" i="1"/>
  <c r="Z2401" i="1" s="1"/>
  <c r="X2402" i="1"/>
  <c r="Z2402" i="1" s="1"/>
  <c r="X2403" i="1"/>
  <c r="Z2403" i="1" s="1"/>
  <c r="X2404" i="1"/>
  <c r="Z2404" i="1" s="1"/>
  <c r="X2405" i="1"/>
  <c r="Z2405" i="1" s="1"/>
  <c r="X2406" i="1"/>
  <c r="Z2406" i="1" s="1"/>
  <c r="X2407" i="1"/>
  <c r="Z2407" i="1" s="1"/>
  <c r="X2408" i="1"/>
  <c r="Z2408" i="1" s="1"/>
  <c r="X2409" i="1"/>
  <c r="Z2409" i="1" s="1"/>
  <c r="X2410" i="1"/>
  <c r="Z2410" i="1" s="1"/>
  <c r="X2411" i="1"/>
  <c r="Z2411" i="1" s="1"/>
  <c r="X2412" i="1"/>
  <c r="Z2412" i="1" s="1"/>
  <c r="X2413" i="1"/>
  <c r="Z2413" i="1" s="1"/>
  <c r="X2414" i="1"/>
  <c r="Z2414" i="1" s="1"/>
  <c r="X2415" i="1"/>
  <c r="Z2415" i="1" s="1"/>
  <c r="X2416" i="1"/>
  <c r="Z2416" i="1" s="1"/>
  <c r="X2417" i="1"/>
  <c r="Z2417" i="1" s="1"/>
  <c r="X2418" i="1"/>
  <c r="Z2418" i="1" s="1"/>
  <c r="X2419" i="1"/>
  <c r="Z2419" i="1" s="1"/>
  <c r="X2420" i="1"/>
  <c r="Z2420" i="1" s="1"/>
  <c r="X2421" i="1"/>
  <c r="Z2421" i="1" s="1"/>
  <c r="X2422" i="1"/>
  <c r="Z2422" i="1" s="1"/>
  <c r="X2423" i="1"/>
  <c r="Z2423" i="1" s="1"/>
  <c r="X2424" i="1"/>
  <c r="Z2424" i="1" s="1"/>
  <c r="X2425" i="1"/>
  <c r="Z2425" i="1" s="1"/>
  <c r="X2426" i="1"/>
  <c r="Z2426" i="1" s="1"/>
  <c r="X2427" i="1"/>
  <c r="Z2427" i="1" s="1"/>
  <c r="X2428" i="1"/>
  <c r="Z2428" i="1" s="1"/>
  <c r="X2429" i="1"/>
  <c r="Z2429" i="1" s="1"/>
  <c r="X2430" i="1"/>
  <c r="Z2430" i="1" s="1"/>
  <c r="X2431" i="1"/>
  <c r="Z2431" i="1" s="1"/>
  <c r="X2432" i="1"/>
  <c r="Z2432" i="1" s="1"/>
  <c r="X2433" i="1"/>
  <c r="Z2433" i="1" s="1"/>
  <c r="X2434" i="1"/>
  <c r="Z2434" i="1" s="1"/>
  <c r="X2435" i="1"/>
  <c r="Z2435" i="1" s="1"/>
  <c r="X2436" i="1"/>
  <c r="Z2436" i="1" s="1"/>
  <c r="X2437" i="1"/>
  <c r="Z2437" i="1" s="1"/>
  <c r="X2438" i="1"/>
  <c r="Z2438" i="1" s="1"/>
  <c r="X2439" i="1"/>
  <c r="Z2439" i="1" s="1"/>
  <c r="X2440" i="1"/>
  <c r="Z2440" i="1" s="1"/>
  <c r="X2441" i="1"/>
  <c r="Z2441" i="1" s="1"/>
  <c r="X2442" i="1"/>
  <c r="Z2442" i="1" s="1"/>
  <c r="X2443" i="1"/>
  <c r="Z2443" i="1" s="1"/>
  <c r="X2444" i="1"/>
  <c r="Z2444" i="1" s="1"/>
  <c r="X2445" i="1"/>
  <c r="Z2445" i="1" s="1"/>
  <c r="X2446" i="1"/>
  <c r="Z2446" i="1" s="1"/>
  <c r="X2447" i="1"/>
  <c r="Z2447" i="1" s="1"/>
  <c r="X2448" i="1"/>
  <c r="Z2448" i="1" s="1"/>
  <c r="X2449" i="1"/>
  <c r="Z2449" i="1" s="1"/>
  <c r="X2450" i="1"/>
  <c r="Z2450" i="1" s="1"/>
  <c r="X2451" i="1"/>
  <c r="Z2451" i="1" s="1"/>
  <c r="X2452" i="1"/>
  <c r="Z2452" i="1" s="1"/>
  <c r="X2453" i="1"/>
  <c r="Z2453" i="1" s="1"/>
  <c r="X2454" i="1"/>
  <c r="Z2454" i="1" s="1"/>
  <c r="X2455" i="1"/>
  <c r="Z2455" i="1" s="1"/>
  <c r="X2456" i="1"/>
  <c r="Z2456" i="1" s="1"/>
  <c r="X2457" i="1"/>
  <c r="Z2457" i="1" s="1"/>
  <c r="X2458" i="1"/>
  <c r="Z2458" i="1" s="1"/>
  <c r="X2459" i="1"/>
  <c r="Z2459" i="1" s="1"/>
  <c r="X2460" i="1"/>
  <c r="Z2460" i="1" s="1"/>
  <c r="X2461" i="1"/>
  <c r="Z2461" i="1" s="1"/>
  <c r="X2462" i="1"/>
  <c r="Z2462" i="1" s="1"/>
  <c r="X2463" i="1"/>
  <c r="Z2463" i="1" s="1"/>
  <c r="X2464" i="1"/>
  <c r="Z2464" i="1" s="1"/>
  <c r="X2465" i="1"/>
  <c r="Z2465" i="1" s="1"/>
  <c r="X2466" i="1"/>
  <c r="Z2466" i="1" s="1"/>
  <c r="X2467" i="1"/>
  <c r="Z2467" i="1" s="1"/>
  <c r="X2468" i="1"/>
  <c r="Z2468" i="1" s="1"/>
  <c r="X2469" i="1"/>
  <c r="Z2469" i="1" s="1"/>
  <c r="X2470" i="1"/>
  <c r="Z2470" i="1" s="1"/>
  <c r="X2471" i="1"/>
  <c r="Z2471" i="1" s="1"/>
  <c r="X2472" i="1"/>
  <c r="Z2472" i="1" s="1"/>
  <c r="X2473" i="1"/>
  <c r="Z2473" i="1" s="1"/>
  <c r="X2474" i="1"/>
  <c r="Z2474" i="1" s="1"/>
  <c r="X2475" i="1"/>
  <c r="Z2475" i="1" s="1"/>
  <c r="X2476" i="1"/>
  <c r="Z2476" i="1" s="1"/>
  <c r="X2477" i="1"/>
  <c r="Z2477" i="1" s="1"/>
  <c r="X2478" i="1"/>
  <c r="Z2478" i="1" s="1"/>
  <c r="X2479" i="1"/>
  <c r="Z2479" i="1" s="1"/>
  <c r="X2480" i="1"/>
  <c r="Z2480" i="1" s="1"/>
  <c r="X2481" i="1"/>
  <c r="Z2481" i="1" s="1"/>
  <c r="X2482" i="1"/>
  <c r="Z2482" i="1" s="1"/>
  <c r="X2483" i="1"/>
  <c r="Z2483" i="1" s="1"/>
  <c r="X2484" i="1"/>
  <c r="Z2484" i="1" s="1"/>
  <c r="X2485" i="1"/>
  <c r="Z2485" i="1" s="1"/>
  <c r="X2486" i="1"/>
  <c r="Z2486" i="1" s="1"/>
  <c r="X2487" i="1"/>
  <c r="Z2487" i="1" s="1"/>
  <c r="X2488" i="1"/>
  <c r="Z2488" i="1" s="1"/>
  <c r="X2489" i="1"/>
  <c r="Z2489" i="1" s="1"/>
  <c r="X2490" i="1"/>
  <c r="Z2490" i="1" s="1"/>
  <c r="X2491" i="1"/>
  <c r="Z2491" i="1" s="1"/>
  <c r="X2492" i="1"/>
  <c r="Z2492" i="1" s="1"/>
  <c r="X2493" i="1"/>
  <c r="Z2493" i="1" s="1"/>
  <c r="X2494" i="1"/>
  <c r="Z2494" i="1" s="1"/>
  <c r="X2495" i="1"/>
  <c r="Z2495" i="1" s="1"/>
  <c r="X2496" i="1"/>
  <c r="Z2496" i="1" s="1"/>
  <c r="X2497" i="1"/>
  <c r="Z2497" i="1" s="1"/>
  <c r="X2498" i="1"/>
  <c r="Z2498" i="1" s="1"/>
  <c r="X2499" i="1"/>
  <c r="Z2499" i="1" s="1"/>
  <c r="X2500" i="1"/>
  <c r="Z2500" i="1" s="1"/>
  <c r="X2501" i="1"/>
  <c r="Z2501" i="1" s="1"/>
  <c r="X2502" i="1"/>
  <c r="Z2502" i="1" s="1"/>
  <c r="X2503" i="1"/>
  <c r="Z2503" i="1" s="1"/>
  <c r="X2504" i="1"/>
  <c r="Z2504" i="1" s="1"/>
  <c r="X2505" i="1"/>
  <c r="Z2505" i="1" s="1"/>
  <c r="X2506" i="1"/>
  <c r="Z2506" i="1" s="1"/>
  <c r="X2507" i="1"/>
  <c r="Z2507" i="1" s="1"/>
  <c r="X2508" i="1"/>
  <c r="Z2508" i="1" s="1"/>
  <c r="X2509" i="1"/>
  <c r="Z2509" i="1" s="1"/>
  <c r="X2510" i="1"/>
  <c r="Z2510" i="1" s="1"/>
  <c r="X2511" i="1"/>
  <c r="Z2511" i="1" s="1"/>
  <c r="X2512" i="1"/>
  <c r="Z2512" i="1" s="1"/>
  <c r="X2513" i="1"/>
  <c r="Z2513" i="1" s="1"/>
  <c r="X2514" i="1"/>
  <c r="Z2514" i="1" s="1"/>
  <c r="X2515" i="1"/>
  <c r="Z2515" i="1" s="1"/>
  <c r="X2516" i="1"/>
  <c r="Z2516" i="1" s="1"/>
  <c r="X2517" i="1"/>
  <c r="Z2517" i="1" s="1"/>
  <c r="X2518" i="1"/>
  <c r="Z2518" i="1" s="1"/>
  <c r="X2519" i="1"/>
  <c r="Z2519" i="1" s="1"/>
  <c r="X2520" i="1"/>
  <c r="Z2520" i="1" s="1"/>
  <c r="X2521" i="1"/>
  <c r="Z2521" i="1" s="1"/>
  <c r="X2522" i="1"/>
  <c r="Z2522" i="1" s="1"/>
  <c r="X2523" i="1"/>
  <c r="Z2523" i="1" s="1"/>
  <c r="X2524" i="1"/>
  <c r="Z2524" i="1" s="1"/>
  <c r="X2525" i="1"/>
  <c r="Z2525" i="1" s="1"/>
  <c r="X2526" i="1"/>
  <c r="Z2526" i="1" s="1"/>
  <c r="X2527" i="1"/>
  <c r="Z2527" i="1" s="1"/>
  <c r="X2528" i="1"/>
  <c r="Z2528" i="1" s="1"/>
  <c r="X2529" i="1"/>
  <c r="Z2529" i="1" s="1"/>
  <c r="X2530" i="1"/>
  <c r="Z2530" i="1" s="1"/>
  <c r="X2531" i="1"/>
  <c r="Z2531" i="1" s="1"/>
  <c r="X2532" i="1"/>
  <c r="Z2532" i="1" s="1"/>
  <c r="X2533" i="1"/>
  <c r="Z2533" i="1" s="1"/>
  <c r="X2534" i="1"/>
  <c r="Z2534" i="1" s="1"/>
  <c r="X2535" i="1"/>
  <c r="Z2535" i="1" s="1"/>
  <c r="X2536" i="1"/>
  <c r="Z2536" i="1" s="1"/>
  <c r="X2537" i="1"/>
  <c r="Z2537" i="1" s="1"/>
  <c r="X2538" i="1"/>
  <c r="Z2538" i="1" s="1"/>
  <c r="X2539" i="1"/>
  <c r="Z2539" i="1" s="1"/>
  <c r="X2540" i="1"/>
  <c r="Z2540" i="1" s="1"/>
  <c r="X2541" i="1"/>
  <c r="Z2541" i="1" s="1"/>
  <c r="X2542" i="1"/>
  <c r="Z2542" i="1" s="1"/>
  <c r="X2543" i="1"/>
  <c r="Z2543" i="1" s="1"/>
  <c r="X2544" i="1"/>
  <c r="Z2544" i="1" s="1"/>
  <c r="X2545" i="1"/>
  <c r="Z2545" i="1" s="1"/>
  <c r="X2546" i="1"/>
  <c r="Z2546" i="1" s="1"/>
  <c r="X2547" i="1"/>
  <c r="Z2547" i="1" s="1"/>
  <c r="X2548" i="1"/>
  <c r="Z2548" i="1" s="1"/>
  <c r="X2549" i="1"/>
  <c r="Z2549" i="1" s="1"/>
  <c r="X2550" i="1"/>
  <c r="Z2550" i="1" s="1"/>
  <c r="X2551" i="1"/>
  <c r="Z2551" i="1" s="1"/>
  <c r="X2552" i="1"/>
  <c r="Z2552" i="1" s="1"/>
  <c r="X2553" i="1"/>
  <c r="Z2553" i="1" s="1"/>
  <c r="X2554" i="1"/>
  <c r="Z2554" i="1" s="1"/>
  <c r="X2555" i="1"/>
  <c r="Z2555" i="1" s="1"/>
  <c r="X2556" i="1"/>
  <c r="Z2556" i="1" s="1"/>
  <c r="X2557" i="1"/>
  <c r="Z2557" i="1" s="1"/>
  <c r="X2558" i="1"/>
  <c r="Z2558" i="1" s="1"/>
  <c r="X2559" i="1"/>
  <c r="Z2559" i="1" s="1"/>
  <c r="X2560" i="1"/>
  <c r="Z2560" i="1" s="1"/>
  <c r="X2561" i="1"/>
  <c r="Z2561" i="1" s="1"/>
  <c r="X2562" i="1"/>
  <c r="Z2562" i="1" s="1"/>
  <c r="X2563" i="1"/>
  <c r="Z2563" i="1" s="1"/>
  <c r="X2564" i="1"/>
  <c r="Z2564" i="1" s="1"/>
  <c r="X2565" i="1"/>
  <c r="Z2565" i="1" s="1"/>
  <c r="X2566" i="1"/>
  <c r="Z2566" i="1" s="1"/>
  <c r="X2567" i="1"/>
  <c r="Z2567" i="1" s="1"/>
  <c r="X2568" i="1"/>
  <c r="Z2568" i="1" s="1"/>
  <c r="X2569" i="1"/>
  <c r="Z2569" i="1" s="1"/>
  <c r="X2570" i="1"/>
  <c r="Z2570" i="1" s="1"/>
  <c r="X2571" i="1"/>
  <c r="Z2571" i="1" s="1"/>
  <c r="X2572" i="1"/>
  <c r="Z2572" i="1" s="1"/>
  <c r="X2573" i="1"/>
  <c r="Z2573" i="1" s="1"/>
  <c r="X2574" i="1"/>
  <c r="Z2574" i="1" s="1"/>
  <c r="X2575" i="1"/>
  <c r="Z2575" i="1" s="1"/>
  <c r="X2576" i="1"/>
  <c r="Z2576" i="1" s="1"/>
  <c r="X2577" i="1"/>
  <c r="Z2577" i="1" s="1"/>
  <c r="X2578" i="1"/>
  <c r="Z2578" i="1" s="1"/>
  <c r="X2579" i="1"/>
  <c r="Z2579" i="1" s="1"/>
  <c r="X2580" i="1"/>
  <c r="Z2580" i="1" s="1"/>
  <c r="X2581" i="1"/>
  <c r="Z2581" i="1" s="1"/>
  <c r="X2582" i="1"/>
  <c r="Z2582" i="1" s="1"/>
  <c r="X2583" i="1"/>
  <c r="Z2583" i="1" s="1"/>
  <c r="X2584" i="1"/>
  <c r="Z2584" i="1" s="1"/>
  <c r="X2585" i="1"/>
  <c r="Z2585" i="1" s="1"/>
  <c r="X2586" i="1"/>
  <c r="Z2586" i="1" s="1"/>
  <c r="X2587" i="1"/>
  <c r="Z2587" i="1" s="1"/>
  <c r="X2588" i="1"/>
  <c r="Z2588" i="1" s="1"/>
  <c r="X2589" i="1"/>
  <c r="Z2589" i="1" s="1"/>
  <c r="X2590" i="1"/>
  <c r="Z2590" i="1" s="1"/>
  <c r="X2591" i="1"/>
  <c r="Z2591" i="1" s="1"/>
  <c r="X2592" i="1"/>
  <c r="Z2592" i="1" s="1"/>
  <c r="X2593" i="1"/>
  <c r="Z2593" i="1" s="1"/>
  <c r="X2594" i="1"/>
  <c r="Z2594" i="1" s="1"/>
  <c r="X2595" i="1"/>
  <c r="Z2595" i="1" s="1"/>
  <c r="X2596" i="1"/>
  <c r="Z2596" i="1" s="1"/>
  <c r="X2597" i="1"/>
  <c r="Z2597" i="1" s="1"/>
  <c r="X2598" i="1"/>
  <c r="Z2598" i="1" s="1"/>
  <c r="X2599" i="1"/>
  <c r="Z2599" i="1" s="1"/>
  <c r="X2600" i="1"/>
  <c r="Z2600" i="1" s="1"/>
  <c r="X2601" i="1"/>
  <c r="Z2601" i="1" s="1"/>
  <c r="X2602" i="1"/>
  <c r="Z2602" i="1" s="1"/>
  <c r="X2603" i="1"/>
  <c r="Z2603" i="1" s="1"/>
  <c r="X2604" i="1"/>
  <c r="Z2604" i="1" s="1"/>
  <c r="X2605" i="1"/>
  <c r="Z2605" i="1" s="1"/>
  <c r="X2606" i="1"/>
  <c r="Z2606" i="1" s="1"/>
  <c r="X2607" i="1"/>
  <c r="Z2607" i="1" s="1"/>
  <c r="X2608" i="1"/>
  <c r="Z2608" i="1" s="1"/>
  <c r="X2609" i="1"/>
  <c r="Z2609" i="1" s="1"/>
  <c r="X2610" i="1"/>
  <c r="Z2610" i="1" s="1"/>
  <c r="X2611" i="1"/>
  <c r="Z2611" i="1" s="1"/>
  <c r="X2612" i="1"/>
  <c r="Z2612" i="1" s="1"/>
  <c r="X2613" i="1"/>
  <c r="Z2613" i="1" s="1"/>
  <c r="X2614" i="1"/>
  <c r="Z2614" i="1" s="1"/>
  <c r="X2615" i="1"/>
  <c r="Z2615" i="1" s="1"/>
  <c r="X2616" i="1"/>
  <c r="Z2616" i="1" s="1"/>
  <c r="X2617" i="1"/>
  <c r="Z2617" i="1" s="1"/>
  <c r="X2618" i="1"/>
  <c r="Z2618" i="1" s="1"/>
  <c r="X2619" i="1"/>
  <c r="Z2619" i="1" s="1"/>
  <c r="X2620" i="1"/>
  <c r="Z2620" i="1" s="1"/>
  <c r="X2621" i="1"/>
  <c r="Z2621" i="1" s="1"/>
  <c r="X2622" i="1"/>
  <c r="Z2622" i="1" s="1"/>
  <c r="X2623" i="1"/>
  <c r="Z2623" i="1" s="1"/>
  <c r="X2624" i="1"/>
  <c r="Z2624" i="1" s="1"/>
  <c r="X2625" i="1"/>
  <c r="Z2625" i="1" s="1"/>
  <c r="X2626" i="1"/>
  <c r="Z2626" i="1" s="1"/>
  <c r="X2627" i="1"/>
  <c r="Z2627" i="1" s="1"/>
  <c r="X2628" i="1"/>
  <c r="Z2628" i="1" s="1"/>
  <c r="X2629" i="1"/>
  <c r="Z2629" i="1" s="1"/>
  <c r="X2630" i="1"/>
  <c r="Z2630" i="1" s="1"/>
  <c r="X2631" i="1"/>
  <c r="Z2631" i="1" s="1"/>
  <c r="X2632" i="1"/>
  <c r="Z2632" i="1" s="1"/>
  <c r="X2633" i="1"/>
  <c r="Z2633" i="1" s="1"/>
  <c r="X2634" i="1"/>
  <c r="Z2634" i="1" s="1"/>
  <c r="X2635" i="1"/>
  <c r="Z2635" i="1" s="1"/>
  <c r="X2636" i="1"/>
  <c r="Z2636" i="1" s="1"/>
  <c r="X2637" i="1"/>
  <c r="Z2637" i="1" s="1"/>
  <c r="X2638" i="1"/>
  <c r="Z2638" i="1" s="1"/>
  <c r="X2639" i="1"/>
  <c r="Z2639" i="1" s="1"/>
  <c r="X2640" i="1"/>
  <c r="Z2640" i="1" s="1"/>
  <c r="X2641" i="1"/>
  <c r="Z2641" i="1" s="1"/>
  <c r="X2642" i="1"/>
  <c r="Z2642" i="1" s="1"/>
  <c r="X2643" i="1"/>
  <c r="Z2643" i="1" s="1"/>
  <c r="X2644" i="1"/>
  <c r="Z2644" i="1" s="1"/>
  <c r="X2645" i="1"/>
  <c r="Z2645" i="1" s="1"/>
  <c r="X2646" i="1"/>
  <c r="Z2646" i="1" s="1"/>
  <c r="X2647" i="1"/>
  <c r="Z2647" i="1" s="1"/>
  <c r="X2648" i="1"/>
  <c r="Z2648" i="1" s="1"/>
  <c r="X2649" i="1"/>
  <c r="Z2649" i="1" s="1"/>
  <c r="X2650" i="1"/>
  <c r="Z2650" i="1" s="1"/>
  <c r="X2651" i="1"/>
  <c r="Z2651" i="1" s="1"/>
  <c r="X2652" i="1"/>
  <c r="Z2652" i="1" s="1"/>
  <c r="X2653" i="1"/>
  <c r="Z2653" i="1" s="1"/>
  <c r="X2654" i="1"/>
  <c r="Z2654" i="1" s="1"/>
  <c r="X2655" i="1"/>
  <c r="Z2655" i="1" s="1"/>
  <c r="X2656" i="1"/>
  <c r="Z2656" i="1" s="1"/>
  <c r="X2657" i="1"/>
  <c r="Z2657" i="1" s="1"/>
  <c r="X2658" i="1"/>
  <c r="Z2658" i="1" s="1"/>
  <c r="X2659" i="1"/>
  <c r="Z2659" i="1" s="1"/>
  <c r="X2660" i="1"/>
  <c r="Z2660" i="1" s="1"/>
  <c r="X2661" i="1"/>
  <c r="Z2661" i="1" s="1"/>
  <c r="X2662" i="1"/>
  <c r="Z2662" i="1" s="1"/>
  <c r="X2663" i="1"/>
  <c r="Z2663" i="1" s="1"/>
  <c r="X2664" i="1"/>
  <c r="Z2664" i="1" s="1"/>
  <c r="X2665" i="1"/>
  <c r="Z2665" i="1" s="1"/>
  <c r="X2666" i="1"/>
  <c r="Z2666" i="1" s="1"/>
  <c r="X2667" i="1"/>
  <c r="Z2667" i="1" s="1"/>
  <c r="X2668" i="1"/>
  <c r="Z2668" i="1" s="1"/>
  <c r="X2669" i="1"/>
  <c r="Z2669" i="1" s="1"/>
  <c r="X2670" i="1"/>
  <c r="Z2670" i="1" s="1"/>
  <c r="X2671" i="1"/>
  <c r="Z2671" i="1" s="1"/>
  <c r="X2672" i="1"/>
  <c r="Z2672" i="1" s="1"/>
  <c r="X2673" i="1"/>
  <c r="Z2673" i="1" s="1"/>
  <c r="X2674" i="1"/>
  <c r="Z2674" i="1" s="1"/>
  <c r="X2675" i="1"/>
  <c r="Z2675" i="1" s="1"/>
  <c r="X2676" i="1"/>
  <c r="Z2676" i="1" s="1"/>
  <c r="X2677" i="1"/>
  <c r="Z2677" i="1" s="1"/>
  <c r="X2678" i="1"/>
  <c r="Z2678" i="1" s="1"/>
  <c r="X2679" i="1"/>
  <c r="Z2679" i="1" s="1"/>
  <c r="X2680" i="1"/>
  <c r="Z2680" i="1" s="1"/>
  <c r="X2681" i="1"/>
  <c r="Z2681" i="1" s="1"/>
  <c r="X2682" i="1"/>
  <c r="Z2682" i="1" s="1"/>
  <c r="X2683" i="1"/>
  <c r="Z2683" i="1" s="1"/>
  <c r="X2684" i="1"/>
  <c r="Z2684" i="1" s="1"/>
  <c r="X2685" i="1"/>
  <c r="Z2685" i="1" s="1"/>
  <c r="X2686" i="1"/>
  <c r="Z2686" i="1" s="1"/>
  <c r="X2687" i="1"/>
  <c r="Z2687" i="1" s="1"/>
  <c r="X2688" i="1"/>
  <c r="Z2688" i="1" s="1"/>
  <c r="X2689" i="1"/>
  <c r="Z2689" i="1" s="1"/>
  <c r="X2690" i="1"/>
  <c r="Z2690" i="1" s="1"/>
  <c r="X2691" i="1"/>
  <c r="Z2691" i="1" s="1"/>
  <c r="X2692" i="1"/>
  <c r="Z2692" i="1" s="1"/>
  <c r="X2693" i="1"/>
  <c r="Z2693" i="1" s="1"/>
  <c r="X2694" i="1"/>
  <c r="Z2694" i="1" s="1"/>
  <c r="X2695" i="1"/>
  <c r="Z2695" i="1" s="1"/>
  <c r="X2696" i="1"/>
  <c r="Z2696" i="1" s="1"/>
  <c r="X2697" i="1"/>
  <c r="Z2697" i="1" s="1"/>
  <c r="X2698" i="1"/>
  <c r="Z2698" i="1" s="1"/>
  <c r="X2699" i="1"/>
  <c r="Z2699" i="1" s="1"/>
  <c r="X2700" i="1"/>
  <c r="Z2700" i="1" s="1"/>
  <c r="X2701" i="1"/>
  <c r="Z2701" i="1" s="1"/>
  <c r="X2702" i="1"/>
  <c r="Z2702" i="1" s="1"/>
  <c r="X2703" i="1"/>
  <c r="Z2703" i="1" s="1"/>
  <c r="X2704" i="1"/>
  <c r="Z2704" i="1" s="1"/>
  <c r="X2705" i="1"/>
  <c r="Z2705" i="1" s="1"/>
  <c r="X2706" i="1"/>
  <c r="Z2706" i="1" s="1"/>
  <c r="X2707" i="1"/>
  <c r="Z2707" i="1" s="1"/>
  <c r="X2708" i="1"/>
  <c r="Z2708" i="1" s="1"/>
  <c r="X2709" i="1"/>
  <c r="Z2709" i="1" s="1"/>
  <c r="X2710" i="1"/>
  <c r="Z2710" i="1" s="1"/>
  <c r="X2711" i="1"/>
  <c r="Z2711" i="1" s="1"/>
  <c r="X2712" i="1"/>
  <c r="Z2712" i="1" s="1"/>
  <c r="X2713" i="1"/>
  <c r="Z2713" i="1" s="1"/>
  <c r="X2714" i="1"/>
  <c r="Z2714" i="1" s="1"/>
  <c r="X2715" i="1"/>
  <c r="Z2715" i="1" s="1"/>
  <c r="X2716" i="1"/>
  <c r="Z2716" i="1" s="1"/>
  <c r="X2717" i="1"/>
  <c r="Z2717" i="1" s="1"/>
  <c r="X2718" i="1"/>
  <c r="Z2718" i="1" s="1"/>
  <c r="X2719" i="1"/>
  <c r="Z2719" i="1" s="1"/>
  <c r="X2720" i="1"/>
  <c r="Z2720" i="1" s="1"/>
  <c r="X2721" i="1"/>
  <c r="Z2721" i="1" s="1"/>
  <c r="X2722" i="1"/>
  <c r="Z2722" i="1" s="1"/>
  <c r="X2723" i="1"/>
  <c r="Z2723" i="1" s="1"/>
  <c r="X2724" i="1"/>
  <c r="Z2724" i="1" s="1"/>
  <c r="X2725" i="1"/>
  <c r="Z2725" i="1" s="1"/>
  <c r="X2726" i="1"/>
  <c r="Z2726" i="1" s="1"/>
  <c r="X2727" i="1"/>
  <c r="Z2727" i="1" s="1"/>
  <c r="X2728" i="1"/>
  <c r="Z2728" i="1" s="1"/>
  <c r="X2729" i="1"/>
  <c r="Z2729" i="1" s="1"/>
  <c r="X2730" i="1"/>
  <c r="Z2730" i="1" s="1"/>
  <c r="X2731" i="1"/>
  <c r="Z2731" i="1" s="1"/>
  <c r="X2732" i="1"/>
  <c r="Z2732" i="1" s="1"/>
  <c r="X2733" i="1"/>
  <c r="Z2733" i="1" s="1"/>
  <c r="X2734" i="1"/>
  <c r="Z2734" i="1" s="1"/>
  <c r="X2735" i="1"/>
  <c r="Z2735" i="1" s="1"/>
  <c r="X2736" i="1"/>
  <c r="Z2736" i="1" s="1"/>
  <c r="X2737" i="1"/>
  <c r="Z2737" i="1" s="1"/>
  <c r="X2738" i="1"/>
  <c r="Z2738" i="1" s="1"/>
  <c r="X2739" i="1"/>
  <c r="Z2739" i="1" s="1"/>
  <c r="X2740" i="1"/>
  <c r="Z2740" i="1" s="1"/>
  <c r="X2741" i="1"/>
  <c r="Z2741" i="1" s="1"/>
  <c r="X2742" i="1"/>
  <c r="Z2742" i="1" s="1"/>
  <c r="X2743" i="1"/>
  <c r="Z2743" i="1" s="1"/>
  <c r="X2744" i="1"/>
  <c r="Z2744" i="1" s="1"/>
  <c r="X2745" i="1"/>
  <c r="Z2745" i="1" s="1"/>
  <c r="X2746" i="1"/>
  <c r="Z2746" i="1" s="1"/>
  <c r="X2747" i="1"/>
  <c r="Z2747" i="1" s="1"/>
  <c r="X2748" i="1"/>
  <c r="Z2748" i="1" s="1"/>
  <c r="X2749" i="1"/>
  <c r="Z2749" i="1" s="1"/>
  <c r="X2750" i="1"/>
  <c r="Z2750" i="1" s="1"/>
  <c r="X2751" i="1"/>
  <c r="Z2751" i="1" s="1"/>
  <c r="X2752" i="1"/>
  <c r="Z2752" i="1" s="1"/>
  <c r="X2753" i="1"/>
  <c r="Z2753" i="1" s="1"/>
  <c r="X2754" i="1"/>
  <c r="Z2754" i="1" s="1"/>
  <c r="X2755" i="1"/>
  <c r="Z2755" i="1" s="1"/>
  <c r="X2756" i="1"/>
  <c r="Z2756" i="1" s="1"/>
  <c r="X2757" i="1"/>
  <c r="Z2757" i="1" s="1"/>
  <c r="X2758" i="1"/>
  <c r="Z2758" i="1" s="1"/>
  <c r="X2759" i="1"/>
  <c r="Z2759" i="1" s="1"/>
  <c r="X2760" i="1"/>
  <c r="Z2760" i="1" s="1"/>
  <c r="X2761" i="1"/>
  <c r="Z2761" i="1" s="1"/>
  <c r="X2762" i="1"/>
  <c r="Z2762" i="1" s="1"/>
  <c r="X2763" i="1"/>
  <c r="Z2763" i="1" s="1"/>
  <c r="X2764" i="1"/>
  <c r="Z2764" i="1" s="1"/>
  <c r="X2765" i="1"/>
  <c r="Z2765" i="1" s="1"/>
  <c r="X2766" i="1"/>
  <c r="Z2766" i="1" s="1"/>
  <c r="X2767" i="1"/>
  <c r="Z2767" i="1" s="1"/>
  <c r="X2768" i="1"/>
  <c r="Z2768" i="1" s="1"/>
  <c r="X2769" i="1"/>
  <c r="Z2769" i="1" s="1"/>
  <c r="X2770" i="1"/>
  <c r="Z2770" i="1" s="1"/>
  <c r="X2771" i="1"/>
  <c r="Z2771" i="1" s="1"/>
  <c r="X2772" i="1"/>
  <c r="Z2772" i="1" s="1"/>
  <c r="X2773" i="1"/>
  <c r="Z2773" i="1" s="1"/>
  <c r="X2774" i="1"/>
  <c r="Z2774" i="1" s="1"/>
  <c r="X2775" i="1"/>
  <c r="Z2775" i="1" s="1"/>
  <c r="X2776" i="1"/>
  <c r="Z2776" i="1" s="1"/>
  <c r="X2777" i="1"/>
  <c r="Z2777" i="1" s="1"/>
  <c r="X2778" i="1"/>
  <c r="Z2778" i="1" s="1"/>
  <c r="X2779" i="1"/>
  <c r="Z2779" i="1" s="1"/>
  <c r="X2780" i="1"/>
  <c r="Z2780" i="1" s="1"/>
  <c r="X2781" i="1"/>
  <c r="Z2781" i="1" s="1"/>
  <c r="X2782" i="1"/>
  <c r="Z2782" i="1" s="1"/>
  <c r="X2783" i="1"/>
  <c r="Z2783" i="1" s="1"/>
  <c r="X2784" i="1"/>
  <c r="Z2784" i="1" s="1"/>
  <c r="X2785" i="1"/>
  <c r="Z2785" i="1" s="1"/>
  <c r="X2786" i="1"/>
  <c r="Z2786" i="1" s="1"/>
  <c r="X2787" i="1"/>
  <c r="Z2787" i="1" s="1"/>
  <c r="X2788" i="1"/>
  <c r="Z2788" i="1" s="1"/>
  <c r="X2789" i="1"/>
  <c r="Z2789" i="1" s="1"/>
  <c r="X2790" i="1"/>
  <c r="Z2790" i="1" s="1"/>
  <c r="X2791" i="1"/>
  <c r="Z2791" i="1" s="1"/>
  <c r="X2792" i="1"/>
  <c r="Z2792" i="1" s="1"/>
  <c r="X2793" i="1"/>
  <c r="Z2793" i="1" s="1"/>
  <c r="X2794" i="1"/>
  <c r="Z2794" i="1" s="1"/>
  <c r="X2795" i="1"/>
  <c r="Z2795" i="1" s="1"/>
  <c r="X2796" i="1"/>
  <c r="Z2796" i="1" s="1"/>
  <c r="X2797" i="1"/>
  <c r="Z2797" i="1" s="1"/>
  <c r="X2798" i="1"/>
  <c r="Z2798" i="1" s="1"/>
  <c r="X2799" i="1"/>
  <c r="Z2799" i="1" s="1"/>
  <c r="X2800" i="1"/>
  <c r="Z2800" i="1" s="1"/>
  <c r="X2801" i="1"/>
  <c r="Z2801" i="1" s="1"/>
  <c r="X2802" i="1"/>
  <c r="Z2802" i="1" s="1"/>
  <c r="X2803" i="1"/>
  <c r="Z2803" i="1" s="1"/>
  <c r="X2804" i="1"/>
  <c r="Z2804" i="1" s="1"/>
  <c r="X2805" i="1"/>
  <c r="Z2805" i="1" s="1"/>
  <c r="X2806" i="1"/>
  <c r="Z2806" i="1" s="1"/>
  <c r="X2807" i="1"/>
  <c r="Z2807" i="1" s="1"/>
  <c r="X2808" i="1"/>
  <c r="Z2808" i="1" s="1"/>
  <c r="X2809" i="1"/>
  <c r="Z2809" i="1" s="1"/>
  <c r="X2810" i="1"/>
  <c r="Z2810" i="1" s="1"/>
  <c r="X2811" i="1"/>
  <c r="Z2811" i="1" s="1"/>
  <c r="X2812" i="1"/>
  <c r="Z2812" i="1" s="1"/>
  <c r="X2813" i="1"/>
  <c r="Z2813" i="1" s="1"/>
  <c r="X2814" i="1"/>
  <c r="Z2814" i="1" s="1"/>
  <c r="X2815" i="1"/>
  <c r="Z2815" i="1" s="1"/>
  <c r="X2816" i="1"/>
  <c r="Z2816" i="1" s="1"/>
  <c r="X2817" i="1"/>
  <c r="Z2817" i="1" s="1"/>
  <c r="X2818" i="1"/>
  <c r="Z2818" i="1" s="1"/>
  <c r="X2819" i="1"/>
  <c r="Z2819" i="1" s="1"/>
  <c r="X2820" i="1"/>
  <c r="Z2820" i="1" s="1"/>
  <c r="X2821" i="1"/>
  <c r="Z2821" i="1" s="1"/>
  <c r="X2822" i="1"/>
  <c r="Z2822" i="1" s="1"/>
  <c r="X2823" i="1"/>
  <c r="Z2823" i="1" s="1"/>
  <c r="X2824" i="1"/>
  <c r="Z2824" i="1" s="1"/>
  <c r="X2825" i="1"/>
  <c r="Z2825" i="1" s="1"/>
  <c r="X2826" i="1"/>
  <c r="Z2826" i="1" s="1"/>
  <c r="X2827" i="1"/>
  <c r="Z2827" i="1" s="1"/>
  <c r="X2828" i="1"/>
  <c r="Z2828" i="1" s="1"/>
  <c r="X2829" i="1"/>
  <c r="Z2829" i="1" s="1"/>
  <c r="X2830" i="1"/>
  <c r="Z2830" i="1" s="1"/>
  <c r="X2831" i="1"/>
  <c r="Z2831" i="1" s="1"/>
  <c r="X2832" i="1"/>
  <c r="Z2832" i="1" s="1"/>
  <c r="X2833" i="1"/>
  <c r="Z2833" i="1" s="1"/>
  <c r="X2834" i="1"/>
  <c r="Z2834" i="1" s="1"/>
  <c r="X2835" i="1"/>
  <c r="Z2835" i="1" s="1"/>
  <c r="X2836" i="1"/>
  <c r="Z2836" i="1" s="1"/>
  <c r="X2837" i="1"/>
  <c r="Z2837" i="1" s="1"/>
  <c r="X2838" i="1"/>
  <c r="Z2838" i="1" s="1"/>
  <c r="X2839" i="1"/>
  <c r="Z2839" i="1" s="1"/>
  <c r="X2840" i="1"/>
  <c r="Z2840" i="1" s="1"/>
  <c r="X2841" i="1"/>
  <c r="Z2841" i="1" s="1"/>
  <c r="X2842" i="1"/>
  <c r="Z2842" i="1" s="1"/>
  <c r="X2843" i="1"/>
  <c r="Z2843" i="1" s="1"/>
  <c r="X2844" i="1"/>
  <c r="Z2844" i="1" s="1"/>
  <c r="X2845" i="1"/>
  <c r="Z2845" i="1" s="1"/>
  <c r="X2846" i="1"/>
  <c r="Z2846" i="1" s="1"/>
  <c r="X2847" i="1"/>
  <c r="Z2847" i="1" s="1"/>
  <c r="X2848" i="1"/>
  <c r="Z2848" i="1" s="1"/>
  <c r="X2849" i="1"/>
  <c r="Z2849" i="1" s="1"/>
  <c r="X2850" i="1"/>
  <c r="Z2850" i="1" s="1"/>
  <c r="X2851" i="1"/>
  <c r="Z2851" i="1" s="1"/>
  <c r="X2852" i="1"/>
  <c r="Z2852" i="1" s="1"/>
  <c r="X2853" i="1"/>
  <c r="Z2853" i="1" s="1"/>
  <c r="X2854" i="1"/>
  <c r="Z2854" i="1" s="1"/>
  <c r="X2855" i="1"/>
  <c r="Z2855" i="1" s="1"/>
  <c r="X2856" i="1"/>
  <c r="Z2856" i="1" s="1"/>
  <c r="X2857" i="1"/>
  <c r="Z2857" i="1" s="1"/>
  <c r="X2858" i="1"/>
  <c r="Z2858" i="1" s="1"/>
  <c r="X2859" i="1"/>
  <c r="Z2859" i="1" s="1"/>
  <c r="X2860" i="1"/>
  <c r="Z2860" i="1" s="1"/>
  <c r="X2861" i="1"/>
  <c r="Z2861" i="1" s="1"/>
  <c r="X2862" i="1"/>
  <c r="Z2862" i="1" s="1"/>
  <c r="X2863" i="1"/>
  <c r="Z2863" i="1" s="1"/>
  <c r="X2864" i="1"/>
  <c r="Z2864" i="1" s="1"/>
  <c r="X2865" i="1"/>
  <c r="Z2865" i="1" s="1"/>
  <c r="X2866" i="1"/>
  <c r="Z2866" i="1" s="1"/>
  <c r="X2867" i="1"/>
  <c r="Z2867" i="1" s="1"/>
  <c r="X2868" i="1"/>
  <c r="Z2868" i="1" s="1"/>
  <c r="X2869" i="1"/>
  <c r="Z2869" i="1" s="1"/>
  <c r="X2870" i="1"/>
  <c r="Z2870" i="1" s="1"/>
  <c r="X2871" i="1"/>
  <c r="Z2871" i="1" s="1"/>
  <c r="X2872" i="1"/>
  <c r="Z2872" i="1" s="1"/>
  <c r="X2873" i="1"/>
  <c r="Z2873" i="1" s="1"/>
  <c r="X2874" i="1"/>
  <c r="Z2874" i="1" s="1"/>
  <c r="X2875" i="1"/>
  <c r="Z2875" i="1" s="1"/>
  <c r="X2876" i="1"/>
  <c r="Z2876" i="1" s="1"/>
  <c r="X2877" i="1"/>
  <c r="Z2877" i="1" s="1"/>
  <c r="X2878" i="1"/>
  <c r="Z2878" i="1" s="1"/>
  <c r="X2879" i="1"/>
  <c r="Z2879" i="1" s="1"/>
  <c r="X2880" i="1"/>
  <c r="Z2880" i="1" s="1"/>
  <c r="X2881" i="1"/>
  <c r="Z2881" i="1" s="1"/>
  <c r="X2882" i="1"/>
  <c r="Z2882" i="1" s="1"/>
  <c r="X2883" i="1"/>
  <c r="Z2883" i="1" s="1"/>
  <c r="X2884" i="1"/>
  <c r="Z2884" i="1" s="1"/>
  <c r="X2885" i="1"/>
  <c r="Z2885" i="1" s="1"/>
  <c r="X2886" i="1"/>
  <c r="Z2886" i="1" s="1"/>
  <c r="X2887" i="1"/>
  <c r="Z2887" i="1" s="1"/>
  <c r="X2888" i="1"/>
  <c r="Z2888" i="1" s="1"/>
  <c r="X2889" i="1"/>
  <c r="Z2889" i="1" s="1"/>
  <c r="X2890" i="1"/>
  <c r="Z2890" i="1" s="1"/>
  <c r="X2891" i="1"/>
  <c r="Z2891" i="1" s="1"/>
  <c r="X2892" i="1"/>
  <c r="Z2892" i="1" s="1"/>
  <c r="X2893" i="1"/>
  <c r="Z2893" i="1" s="1"/>
  <c r="X2894" i="1"/>
  <c r="Z2894" i="1" s="1"/>
  <c r="X2895" i="1"/>
  <c r="Z2895" i="1" s="1"/>
  <c r="X2896" i="1"/>
  <c r="Z2896" i="1" s="1"/>
  <c r="X2897" i="1"/>
  <c r="Z2897" i="1" s="1"/>
  <c r="X2898" i="1"/>
  <c r="Z2898" i="1" s="1"/>
  <c r="X2899" i="1"/>
  <c r="Z2899" i="1" s="1"/>
  <c r="X2900" i="1"/>
  <c r="Z2900" i="1" s="1"/>
  <c r="X2901" i="1"/>
  <c r="Z2901" i="1" s="1"/>
  <c r="X2902" i="1"/>
  <c r="Z2902" i="1" s="1"/>
  <c r="X2903" i="1"/>
  <c r="Z2903" i="1" s="1"/>
  <c r="X2904" i="1"/>
  <c r="Z2904" i="1" s="1"/>
  <c r="X2905" i="1"/>
  <c r="Z2905" i="1" s="1"/>
  <c r="X2906" i="1"/>
  <c r="Z2906" i="1" s="1"/>
  <c r="X2907" i="1"/>
  <c r="Z2907" i="1" s="1"/>
  <c r="X2908" i="1"/>
  <c r="Z2908" i="1" s="1"/>
  <c r="X2909" i="1"/>
  <c r="Z2909" i="1" s="1"/>
  <c r="X2910" i="1"/>
  <c r="Z2910" i="1" s="1"/>
  <c r="X2911" i="1"/>
  <c r="Z2911" i="1" s="1"/>
  <c r="X2912" i="1"/>
  <c r="Z2912" i="1" s="1"/>
  <c r="X2913" i="1"/>
  <c r="Z2913" i="1" s="1"/>
  <c r="X2914" i="1"/>
  <c r="Z2914" i="1" s="1"/>
  <c r="X2915" i="1"/>
  <c r="Z2915" i="1" s="1"/>
  <c r="X2916" i="1"/>
  <c r="Z2916" i="1" s="1"/>
  <c r="X2917" i="1"/>
  <c r="Z2917" i="1" s="1"/>
  <c r="X2918" i="1"/>
  <c r="Z2918" i="1" s="1"/>
  <c r="X2919" i="1"/>
  <c r="Z2919" i="1" s="1"/>
  <c r="X2920" i="1"/>
  <c r="Z2920" i="1" s="1"/>
  <c r="X2921" i="1"/>
  <c r="Z2921" i="1" s="1"/>
  <c r="X2922" i="1"/>
  <c r="Z2922" i="1" s="1"/>
  <c r="X2923" i="1"/>
  <c r="Z2923" i="1" s="1"/>
  <c r="X2924" i="1"/>
  <c r="Z2924" i="1" s="1"/>
  <c r="X2925" i="1"/>
  <c r="Z2925" i="1" s="1"/>
  <c r="X2926" i="1"/>
  <c r="Z2926" i="1" s="1"/>
  <c r="X2927" i="1"/>
  <c r="Z2927" i="1" s="1"/>
  <c r="X2928" i="1"/>
  <c r="Z2928" i="1" s="1"/>
  <c r="X2929" i="1"/>
  <c r="Z2929" i="1" s="1"/>
  <c r="X2930" i="1"/>
  <c r="Z2930" i="1" s="1"/>
  <c r="X2931" i="1"/>
  <c r="Z2931" i="1" s="1"/>
  <c r="X2932" i="1"/>
  <c r="Z2932" i="1" s="1"/>
  <c r="X2933" i="1"/>
  <c r="Z2933" i="1" s="1"/>
  <c r="X2934" i="1"/>
  <c r="Z2934" i="1" s="1"/>
  <c r="X2935" i="1"/>
  <c r="Z2935" i="1" s="1"/>
  <c r="X2936" i="1"/>
  <c r="Z2936" i="1" s="1"/>
  <c r="X2937" i="1"/>
  <c r="Z2937" i="1" s="1"/>
  <c r="X2938" i="1"/>
  <c r="Z2938" i="1" s="1"/>
  <c r="X2939" i="1"/>
  <c r="Z2939" i="1" s="1"/>
  <c r="X2940" i="1"/>
  <c r="Z2940" i="1" s="1"/>
  <c r="X2941" i="1"/>
  <c r="Z2941" i="1" s="1"/>
  <c r="X2942" i="1"/>
  <c r="Z2942" i="1" s="1"/>
  <c r="X2943" i="1"/>
  <c r="Z2943" i="1" s="1"/>
  <c r="X2944" i="1"/>
  <c r="Z2944" i="1" s="1"/>
  <c r="X2945" i="1"/>
  <c r="Z2945" i="1" s="1"/>
  <c r="X2946" i="1"/>
  <c r="Z2946" i="1" s="1"/>
  <c r="X2947" i="1"/>
  <c r="Z2947" i="1" s="1"/>
  <c r="X2948" i="1"/>
  <c r="Z2948" i="1" s="1"/>
  <c r="X2949" i="1"/>
  <c r="Z2949" i="1" s="1"/>
  <c r="X2950" i="1"/>
  <c r="Z2950" i="1" s="1"/>
  <c r="X2951" i="1"/>
  <c r="Z2951" i="1" s="1"/>
  <c r="X2952" i="1"/>
  <c r="Z2952" i="1" s="1"/>
  <c r="X2953" i="1"/>
  <c r="Z2953" i="1" s="1"/>
  <c r="X2954" i="1"/>
  <c r="Z2954" i="1" s="1"/>
  <c r="X2955" i="1"/>
  <c r="Z2955" i="1" s="1"/>
  <c r="X2956" i="1"/>
  <c r="Z2956" i="1" s="1"/>
  <c r="X2957" i="1"/>
  <c r="Z2957" i="1" s="1"/>
  <c r="X2958" i="1"/>
  <c r="Z2958" i="1" s="1"/>
  <c r="X2959" i="1"/>
  <c r="Z2959" i="1" s="1"/>
  <c r="X2960" i="1"/>
  <c r="Z2960" i="1" s="1"/>
  <c r="X2961" i="1"/>
  <c r="Z2961" i="1" s="1"/>
  <c r="X2962" i="1"/>
  <c r="Z2962" i="1" s="1"/>
  <c r="X2963" i="1"/>
  <c r="Z2963" i="1" s="1"/>
  <c r="X2964" i="1"/>
  <c r="Z2964" i="1" s="1"/>
  <c r="X2965" i="1"/>
  <c r="Z2965" i="1" s="1"/>
  <c r="X2966" i="1"/>
  <c r="Z2966" i="1" s="1"/>
  <c r="X2967" i="1"/>
  <c r="Z2967" i="1" s="1"/>
  <c r="X2968" i="1"/>
  <c r="Z2968" i="1" s="1"/>
  <c r="X2969" i="1"/>
  <c r="Z2969" i="1" s="1"/>
  <c r="X2970" i="1"/>
  <c r="Z2970" i="1" s="1"/>
  <c r="X2971" i="1"/>
  <c r="Z2971" i="1" s="1"/>
  <c r="X2972" i="1"/>
  <c r="Z2972" i="1" s="1"/>
  <c r="X2973" i="1"/>
  <c r="Z2973" i="1" s="1"/>
  <c r="X2974" i="1"/>
  <c r="Z2974" i="1" s="1"/>
  <c r="X2975" i="1"/>
  <c r="Z2975" i="1" s="1"/>
  <c r="X2976" i="1"/>
  <c r="Z2976" i="1" s="1"/>
  <c r="X2977" i="1"/>
  <c r="Z2977" i="1" s="1"/>
  <c r="X2978" i="1"/>
  <c r="Z2978" i="1" s="1"/>
  <c r="X2979" i="1"/>
  <c r="Z2979" i="1" s="1"/>
  <c r="X2980" i="1"/>
  <c r="Z2980" i="1" s="1"/>
  <c r="X2981" i="1"/>
  <c r="Z2981" i="1" s="1"/>
  <c r="X2982" i="1"/>
  <c r="Z2982" i="1" s="1"/>
  <c r="X2983" i="1"/>
  <c r="Z2983" i="1" s="1"/>
  <c r="X2984" i="1"/>
  <c r="Z2984" i="1" s="1"/>
  <c r="X2985" i="1"/>
  <c r="Z2985" i="1" s="1"/>
  <c r="X2986" i="1"/>
  <c r="Z2986" i="1" s="1"/>
  <c r="X2987" i="1"/>
  <c r="Z2987" i="1" s="1"/>
  <c r="X2988" i="1"/>
  <c r="Z2988" i="1" s="1"/>
  <c r="X2989" i="1"/>
  <c r="Z2989" i="1" s="1"/>
  <c r="X2990" i="1"/>
  <c r="Z2990" i="1" s="1"/>
  <c r="X2991" i="1"/>
  <c r="Z2991" i="1" s="1"/>
  <c r="X2992" i="1"/>
  <c r="Z2992" i="1" s="1"/>
  <c r="X2993" i="1"/>
  <c r="Z2993" i="1" s="1"/>
  <c r="X2994" i="1"/>
  <c r="Z2994" i="1" s="1"/>
  <c r="X2995" i="1"/>
  <c r="Z2995" i="1" s="1"/>
  <c r="X2996" i="1"/>
  <c r="Z2996" i="1" s="1"/>
  <c r="X2997" i="1"/>
  <c r="Z2997" i="1" s="1"/>
  <c r="X2998" i="1"/>
  <c r="Z2998" i="1" s="1"/>
  <c r="X2999" i="1"/>
  <c r="Z2999" i="1" s="1"/>
  <c r="X3000" i="1"/>
  <c r="Z3000" i="1" s="1"/>
  <c r="X3001" i="1"/>
  <c r="Z3001" i="1" s="1"/>
  <c r="X3002" i="1"/>
  <c r="Z3002" i="1" s="1"/>
  <c r="X3003" i="1"/>
  <c r="Z3003" i="1" s="1"/>
  <c r="X3004" i="1"/>
  <c r="Z3004" i="1" s="1"/>
  <c r="X3005" i="1"/>
  <c r="Z3005" i="1" s="1"/>
  <c r="X3006" i="1"/>
  <c r="Z3006" i="1" s="1"/>
  <c r="X3007" i="1"/>
  <c r="Z3007" i="1" s="1"/>
  <c r="X3008" i="1"/>
  <c r="Z3008" i="1" s="1"/>
  <c r="X3009" i="1"/>
  <c r="Z3009" i="1" s="1"/>
  <c r="X3010" i="1"/>
  <c r="Z3010" i="1" s="1"/>
  <c r="X3011" i="1"/>
  <c r="Z3011" i="1" s="1"/>
  <c r="X3012" i="1"/>
  <c r="Z3012" i="1" s="1"/>
  <c r="X3013" i="1"/>
  <c r="Z3013" i="1" s="1"/>
  <c r="X3014" i="1"/>
  <c r="Z3014" i="1" s="1"/>
  <c r="X3015" i="1"/>
  <c r="Z3015" i="1" s="1"/>
  <c r="X3016" i="1"/>
  <c r="Z3016" i="1" s="1"/>
  <c r="X3017" i="1"/>
  <c r="Z3017" i="1" s="1"/>
  <c r="X3018" i="1"/>
  <c r="Z3018" i="1" s="1"/>
  <c r="X3019" i="1"/>
  <c r="Z3019" i="1" s="1"/>
  <c r="X3020" i="1"/>
  <c r="Z3020" i="1" s="1"/>
  <c r="X3021" i="1"/>
  <c r="Z3021" i="1" s="1"/>
  <c r="X3022" i="1"/>
  <c r="Z3022" i="1" s="1"/>
  <c r="X3023" i="1"/>
  <c r="Z3023" i="1" s="1"/>
  <c r="X3024" i="1"/>
  <c r="Z3024" i="1" s="1"/>
  <c r="X3025" i="1"/>
  <c r="Z3025" i="1" s="1"/>
  <c r="X3026" i="1"/>
  <c r="Z3026" i="1" s="1"/>
  <c r="X3027" i="1"/>
  <c r="Z3027" i="1" s="1"/>
  <c r="X3028" i="1"/>
  <c r="Z3028" i="1" s="1"/>
  <c r="X3029" i="1"/>
  <c r="Z3029" i="1" s="1"/>
  <c r="X3030" i="1"/>
  <c r="Z3030" i="1" s="1"/>
  <c r="X3031" i="1"/>
  <c r="Z3031" i="1" s="1"/>
  <c r="X3032" i="1"/>
  <c r="Z3032" i="1" s="1"/>
  <c r="X3033" i="1"/>
  <c r="Z3033" i="1" s="1"/>
  <c r="X3034" i="1"/>
  <c r="Z3034" i="1" s="1"/>
  <c r="X3035" i="1"/>
  <c r="Z3035" i="1" s="1"/>
  <c r="X3036" i="1"/>
  <c r="Z3036" i="1" s="1"/>
  <c r="X3037" i="1"/>
  <c r="Z3037" i="1" s="1"/>
  <c r="X3038" i="1"/>
  <c r="Z3038" i="1" s="1"/>
  <c r="X3039" i="1"/>
  <c r="Z3039" i="1" s="1"/>
  <c r="X3040" i="1"/>
  <c r="Z3040" i="1" s="1"/>
  <c r="X3041" i="1"/>
  <c r="Z3041" i="1" s="1"/>
  <c r="X3042" i="1"/>
  <c r="Z3042" i="1" s="1"/>
  <c r="X3043" i="1"/>
  <c r="Z3043" i="1" s="1"/>
  <c r="X3044" i="1"/>
  <c r="Z3044" i="1" s="1"/>
  <c r="X3045" i="1"/>
  <c r="Z3045" i="1" s="1"/>
  <c r="X3046" i="1"/>
  <c r="Z3046" i="1" s="1"/>
  <c r="X3047" i="1"/>
  <c r="Z3047" i="1" s="1"/>
  <c r="X3048" i="1"/>
  <c r="Z3048" i="1" s="1"/>
  <c r="X3049" i="1"/>
  <c r="Z3049" i="1" s="1"/>
  <c r="X3050" i="1"/>
  <c r="Z3050" i="1" s="1"/>
  <c r="X3051" i="1"/>
  <c r="Z3051" i="1" s="1"/>
  <c r="X3052" i="1"/>
  <c r="Z3052" i="1" s="1"/>
  <c r="X3053" i="1"/>
  <c r="Z3053" i="1" s="1"/>
  <c r="X3054" i="1"/>
  <c r="Z3054" i="1" s="1"/>
  <c r="X3055" i="1"/>
  <c r="Z3055" i="1" s="1"/>
  <c r="X3056" i="1"/>
  <c r="Z3056" i="1" s="1"/>
  <c r="X3057" i="1"/>
  <c r="Z3057" i="1" s="1"/>
  <c r="X3058" i="1"/>
  <c r="Z3058" i="1" s="1"/>
  <c r="X3059" i="1"/>
  <c r="Z3059" i="1" s="1"/>
  <c r="X3060" i="1"/>
  <c r="Z3060" i="1" s="1"/>
  <c r="X3061" i="1"/>
  <c r="Z3061" i="1" s="1"/>
  <c r="X3062" i="1"/>
  <c r="Z3062" i="1" s="1"/>
  <c r="X3063" i="1"/>
  <c r="Z3063" i="1" s="1"/>
  <c r="X3064" i="1"/>
  <c r="Z3064" i="1" s="1"/>
  <c r="X3065" i="1"/>
  <c r="Z3065" i="1" s="1"/>
  <c r="X3066" i="1"/>
  <c r="Z3066" i="1" s="1"/>
  <c r="X3067" i="1"/>
  <c r="Z3067" i="1" s="1"/>
  <c r="X3068" i="1"/>
  <c r="Z3068" i="1" s="1"/>
  <c r="X3069" i="1"/>
  <c r="Z3069" i="1" s="1"/>
  <c r="X3070" i="1"/>
  <c r="Z3070" i="1" s="1"/>
  <c r="X3071" i="1"/>
  <c r="Z3071" i="1" s="1"/>
  <c r="X3072" i="1"/>
  <c r="Z3072" i="1" s="1"/>
  <c r="X3073" i="1"/>
  <c r="Z3073" i="1" s="1"/>
  <c r="X3074" i="1"/>
  <c r="Z3074" i="1" s="1"/>
  <c r="X3075" i="1"/>
  <c r="Z3075" i="1" s="1"/>
  <c r="X3076" i="1"/>
  <c r="Z3076" i="1" s="1"/>
  <c r="X3077" i="1"/>
  <c r="Z3077" i="1" s="1"/>
  <c r="X3078" i="1"/>
  <c r="Z3078" i="1" s="1"/>
  <c r="X3079" i="1"/>
  <c r="Z3079" i="1" s="1"/>
  <c r="X3080" i="1"/>
  <c r="Z3080" i="1" s="1"/>
  <c r="X3081" i="1"/>
  <c r="Z3081" i="1" s="1"/>
  <c r="X3082" i="1"/>
  <c r="Z3082" i="1" s="1"/>
  <c r="X3083" i="1"/>
  <c r="Z3083" i="1" s="1"/>
  <c r="X3084" i="1"/>
  <c r="Z3084" i="1" s="1"/>
  <c r="X3085" i="1"/>
  <c r="Z3085" i="1" s="1"/>
  <c r="X3086" i="1"/>
  <c r="Z3086" i="1" s="1"/>
  <c r="X3087" i="1"/>
  <c r="Z3087" i="1" s="1"/>
  <c r="X3088" i="1"/>
  <c r="Z3088" i="1" s="1"/>
  <c r="X3089" i="1"/>
  <c r="Z3089" i="1" s="1"/>
  <c r="X3090" i="1"/>
  <c r="Z3090" i="1" s="1"/>
  <c r="X3091" i="1"/>
  <c r="Z3091" i="1" s="1"/>
  <c r="X3092" i="1"/>
  <c r="Z3092" i="1" s="1"/>
  <c r="X3093" i="1"/>
  <c r="Z3093" i="1" s="1"/>
  <c r="X3094" i="1"/>
  <c r="Z3094" i="1" s="1"/>
  <c r="X3095" i="1"/>
  <c r="Z3095" i="1" s="1"/>
  <c r="X3096" i="1"/>
  <c r="Z3096" i="1" s="1"/>
  <c r="X3097" i="1"/>
  <c r="Z3097" i="1" s="1"/>
  <c r="X3098" i="1"/>
  <c r="Z3098" i="1" s="1"/>
  <c r="X3099" i="1"/>
  <c r="Z3099" i="1" s="1"/>
  <c r="X3100" i="1"/>
  <c r="Z3100" i="1" s="1"/>
  <c r="X3101" i="1"/>
  <c r="Z3101" i="1" s="1"/>
  <c r="X3102" i="1"/>
  <c r="Z3102" i="1" s="1"/>
  <c r="X3103" i="1"/>
  <c r="Z3103" i="1" s="1"/>
  <c r="X3104" i="1"/>
  <c r="Z3104" i="1" s="1"/>
  <c r="X3105" i="1"/>
  <c r="Z3105" i="1" s="1"/>
  <c r="X3106" i="1"/>
  <c r="Z3106" i="1" s="1"/>
  <c r="X3107" i="1"/>
  <c r="Z3107" i="1" s="1"/>
  <c r="X3108" i="1"/>
  <c r="Z3108" i="1" s="1"/>
  <c r="X3109" i="1"/>
  <c r="Z3109" i="1" s="1"/>
  <c r="X3110" i="1"/>
  <c r="Z3110" i="1" s="1"/>
  <c r="X3111" i="1"/>
  <c r="Z3111" i="1" s="1"/>
  <c r="X3112" i="1"/>
  <c r="Z3112" i="1" s="1"/>
  <c r="X3113" i="1"/>
  <c r="Z3113" i="1" s="1"/>
  <c r="X3114" i="1"/>
  <c r="Z3114" i="1" s="1"/>
  <c r="X3115" i="1"/>
  <c r="Z3115" i="1" s="1"/>
  <c r="X3116" i="1"/>
  <c r="Z3116" i="1" s="1"/>
  <c r="X3117" i="1"/>
  <c r="Z3117" i="1" s="1"/>
  <c r="X3118" i="1"/>
  <c r="Z3118" i="1" s="1"/>
  <c r="X3119" i="1"/>
  <c r="Z3119" i="1" s="1"/>
  <c r="X3120" i="1"/>
  <c r="Z3120" i="1" s="1"/>
  <c r="X3121" i="1"/>
  <c r="Z3121" i="1" s="1"/>
  <c r="X3122" i="1"/>
  <c r="Z3122" i="1" s="1"/>
  <c r="X3123" i="1"/>
  <c r="Z3123" i="1" s="1"/>
  <c r="X3124" i="1"/>
  <c r="Z3124" i="1" s="1"/>
  <c r="X3125" i="1"/>
  <c r="Z3125" i="1" s="1"/>
  <c r="X3126" i="1"/>
  <c r="Z3126" i="1" s="1"/>
  <c r="X3127" i="1"/>
  <c r="Z3127" i="1" s="1"/>
  <c r="X3128" i="1"/>
  <c r="Z3128" i="1" s="1"/>
  <c r="X3129" i="1"/>
  <c r="Z3129" i="1" s="1"/>
  <c r="X3130" i="1"/>
  <c r="Z3130" i="1" s="1"/>
  <c r="X3131" i="1"/>
  <c r="Z3131" i="1" s="1"/>
  <c r="X3132" i="1"/>
  <c r="Z3132" i="1" s="1"/>
  <c r="X3133" i="1"/>
  <c r="Z3133" i="1" s="1"/>
  <c r="X3134" i="1"/>
  <c r="Z3134" i="1" s="1"/>
  <c r="X3135" i="1"/>
  <c r="Z3135" i="1" s="1"/>
  <c r="X3136" i="1"/>
  <c r="Z3136" i="1" s="1"/>
  <c r="X3137" i="1"/>
  <c r="Z3137" i="1" s="1"/>
  <c r="X3138" i="1"/>
  <c r="Z3138" i="1" s="1"/>
  <c r="X3139" i="1"/>
  <c r="Z3139" i="1" s="1"/>
  <c r="X3140" i="1"/>
  <c r="Z3140" i="1" s="1"/>
  <c r="X3141" i="1"/>
  <c r="Z3141" i="1" s="1"/>
  <c r="X3142" i="1"/>
  <c r="Z3142" i="1" s="1"/>
  <c r="X3143" i="1"/>
  <c r="Z3143" i="1" s="1"/>
  <c r="X3144" i="1"/>
  <c r="Z3144" i="1" s="1"/>
  <c r="X3145" i="1"/>
  <c r="Z3145" i="1" s="1"/>
  <c r="X3146" i="1"/>
  <c r="Z3146" i="1" s="1"/>
  <c r="X3147" i="1"/>
  <c r="Z3147" i="1" s="1"/>
  <c r="X3148" i="1"/>
  <c r="Z3148" i="1" s="1"/>
  <c r="X3149" i="1"/>
  <c r="Z3149" i="1" s="1"/>
  <c r="X3150" i="1"/>
  <c r="Z3150" i="1" s="1"/>
  <c r="X3151" i="1"/>
  <c r="Z3151" i="1" s="1"/>
  <c r="X3152" i="1"/>
  <c r="Z3152" i="1" s="1"/>
  <c r="X3153" i="1"/>
  <c r="Z3153" i="1" s="1"/>
  <c r="X3154" i="1"/>
  <c r="Z3154" i="1" s="1"/>
  <c r="X3155" i="1"/>
  <c r="Z3155" i="1" s="1"/>
  <c r="X3156" i="1"/>
  <c r="Z3156" i="1" s="1"/>
  <c r="X3157" i="1"/>
  <c r="Z3157" i="1" s="1"/>
  <c r="X3158" i="1"/>
  <c r="Z3158" i="1" s="1"/>
  <c r="X3159" i="1"/>
  <c r="Z3159" i="1" s="1"/>
  <c r="X3160" i="1"/>
  <c r="Z3160" i="1" s="1"/>
  <c r="X3161" i="1"/>
  <c r="Z3161" i="1" s="1"/>
  <c r="X3162" i="1"/>
  <c r="Z3162" i="1" s="1"/>
  <c r="X3163" i="1"/>
  <c r="Z3163" i="1" s="1"/>
  <c r="X3164" i="1"/>
  <c r="Z3164" i="1" s="1"/>
  <c r="X3165" i="1"/>
  <c r="Z3165" i="1" s="1"/>
  <c r="X3166" i="1"/>
  <c r="Z3166" i="1" s="1"/>
  <c r="X3167" i="1"/>
  <c r="Z3167" i="1" s="1"/>
  <c r="X3168" i="1"/>
  <c r="Z3168" i="1" s="1"/>
  <c r="X3169" i="1"/>
  <c r="Z3169" i="1" s="1"/>
  <c r="X3170" i="1"/>
  <c r="Z3170" i="1" s="1"/>
  <c r="X3171" i="1"/>
  <c r="Z3171" i="1" s="1"/>
  <c r="X3172" i="1"/>
  <c r="Z3172" i="1" s="1"/>
  <c r="X3173" i="1"/>
  <c r="Z3173" i="1" s="1"/>
  <c r="X3174" i="1"/>
  <c r="Z3174" i="1" s="1"/>
  <c r="X3175" i="1"/>
  <c r="Z3175" i="1" s="1"/>
  <c r="X3176" i="1"/>
  <c r="Z3176" i="1" s="1"/>
  <c r="X3177" i="1"/>
  <c r="Z3177" i="1" s="1"/>
  <c r="X3178" i="1"/>
  <c r="Z3178" i="1" s="1"/>
  <c r="X3179" i="1"/>
  <c r="Z3179" i="1" s="1"/>
  <c r="X3180" i="1"/>
  <c r="Z3180" i="1" s="1"/>
  <c r="X3181" i="1"/>
  <c r="Z3181" i="1" s="1"/>
  <c r="X3182" i="1"/>
  <c r="Z3182" i="1" s="1"/>
  <c r="X3183" i="1"/>
  <c r="Z3183" i="1" s="1"/>
  <c r="X3184" i="1"/>
  <c r="Z3184" i="1" s="1"/>
  <c r="X3185" i="1"/>
  <c r="Z3185" i="1" s="1"/>
  <c r="X3186" i="1"/>
  <c r="Z3186" i="1" s="1"/>
  <c r="X3187" i="1"/>
  <c r="Z3187" i="1" s="1"/>
  <c r="X3188" i="1"/>
  <c r="Z3188" i="1" s="1"/>
  <c r="X3189" i="1"/>
  <c r="Z3189" i="1" s="1"/>
  <c r="X3190" i="1"/>
  <c r="Z3190" i="1" s="1"/>
  <c r="X3191" i="1"/>
  <c r="Z3191" i="1" s="1"/>
  <c r="X3192" i="1"/>
  <c r="Z3192" i="1" s="1"/>
  <c r="X3193" i="1"/>
  <c r="Z3193" i="1" s="1"/>
  <c r="X3194" i="1"/>
  <c r="Z3194" i="1" s="1"/>
  <c r="X3195" i="1"/>
  <c r="Z3195" i="1" s="1"/>
  <c r="X3196" i="1"/>
  <c r="Z3196" i="1" s="1"/>
  <c r="X3197" i="1"/>
  <c r="Z3197" i="1" s="1"/>
  <c r="X3198" i="1"/>
  <c r="Z3198" i="1" s="1"/>
  <c r="X3199" i="1"/>
  <c r="Z3199" i="1" s="1"/>
  <c r="X3200" i="1"/>
  <c r="Z3200" i="1" s="1"/>
  <c r="X3201" i="1"/>
  <c r="Z3201" i="1" s="1"/>
  <c r="X3202" i="1"/>
  <c r="Z3202" i="1" s="1"/>
  <c r="X3203" i="1"/>
  <c r="Z3203" i="1" s="1"/>
  <c r="X3204" i="1"/>
  <c r="Z3204" i="1" s="1"/>
  <c r="X3205" i="1"/>
  <c r="Z3205" i="1" s="1"/>
  <c r="X3206" i="1"/>
  <c r="Z3206" i="1" s="1"/>
  <c r="X3207" i="1"/>
  <c r="Z3207" i="1" s="1"/>
  <c r="X3208" i="1"/>
  <c r="Z3208" i="1" s="1"/>
  <c r="X3209" i="1"/>
  <c r="Z3209" i="1" s="1"/>
  <c r="X3210" i="1"/>
  <c r="Z3210" i="1" s="1"/>
  <c r="X3211" i="1"/>
  <c r="Z3211" i="1" s="1"/>
  <c r="X3212" i="1"/>
  <c r="Z3212" i="1" s="1"/>
  <c r="X3213" i="1"/>
  <c r="Z3213" i="1" s="1"/>
  <c r="X3214" i="1"/>
  <c r="Z3214" i="1" s="1"/>
  <c r="X3215" i="1"/>
  <c r="Z3215" i="1" s="1"/>
  <c r="X3216" i="1"/>
  <c r="Z3216" i="1" s="1"/>
  <c r="X3217" i="1"/>
  <c r="Z3217" i="1" s="1"/>
  <c r="X3218" i="1"/>
  <c r="Z3218" i="1" s="1"/>
  <c r="X3219" i="1"/>
  <c r="Z3219" i="1" s="1"/>
  <c r="X3220" i="1"/>
  <c r="Z3220" i="1" s="1"/>
  <c r="X3221" i="1"/>
  <c r="Z3221" i="1" s="1"/>
  <c r="X3222" i="1"/>
  <c r="Z3222" i="1" s="1"/>
  <c r="X3223" i="1"/>
  <c r="Z3223" i="1" s="1"/>
  <c r="X3224" i="1"/>
  <c r="Z3224" i="1" s="1"/>
  <c r="X3225" i="1"/>
  <c r="Z3225" i="1" s="1"/>
  <c r="X3226" i="1"/>
  <c r="Z3226" i="1" s="1"/>
  <c r="X3227" i="1"/>
  <c r="Z3227" i="1" s="1"/>
  <c r="X3228" i="1"/>
  <c r="Z3228" i="1" s="1"/>
  <c r="X3229" i="1"/>
  <c r="Z3229" i="1" s="1"/>
  <c r="X3230" i="1"/>
  <c r="Z3230" i="1" s="1"/>
  <c r="X3231" i="1"/>
  <c r="Z3231" i="1" s="1"/>
  <c r="X3232" i="1"/>
  <c r="Z3232" i="1" s="1"/>
  <c r="X3233" i="1"/>
  <c r="Z3233" i="1" s="1"/>
  <c r="X3234" i="1"/>
  <c r="Z3234" i="1" s="1"/>
  <c r="X3235" i="1"/>
  <c r="Z3235" i="1" s="1"/>
  <c r="X3236" i="1"/>
  <c r="Z3236" i="1" s="1"/>
  <c r="X3237" i="1"/>
  <c r="Z3237" i="1" s="1"/>
  <c r="X3238" i="1"/>
  <c r="Z3238" i="1" s="1"/>
  <c r="X3239" i="1"/>
  <c r="Z3239" i="1" s="1"/>
  <c r="X3240" i="1"/>
  <c r="Z3240" i="1" s="1"/>
  <c r="X3241" i="1"/>
  <c r="Z3241" i="1" s="1"/>
  <c r="X3242" i="1"/>
  <c r="Z3242" i="1" s="1"/>
  <c r="X3243" i="1"/>
  <c r="Z3243" i="1" s="1"/>
  <c r="X3244" i="1"/>
  <c r="Z3244" i="1" s="1"/>
  <c r="X3245" i="1"/>
  <c r="Z3245" i="1" s="1"/>
  <c r="X3246" i="1"/>
  <c r="Z3246" i="1" s="1"/>
  <c r="X3247" i="1"/>
  <c r="Z3247" i="1" s="1"/>
  <c r="X3248" i="1"/>
  <c r="Z3248" i="1" s="1"/>
  <c r="X3249" i="1"/>
  <c r="Z3249" i="1" s="1"/>
  <c r="X3250" i="1"/>
  <c r="Z3250" i="1" s="1"/>
  <c r="X3251" i="1"/>
  <c r="Z3251" i="1" s="1"/>
  <c r="X3252" i="1"/>
  <c r="Z3252" i="1" s="1"/>
  <c r="X3253" i="1"/>
  <c r="Z3253" i="1" s="1"/>
  <c r="X3254" i="1"/>
  <c r="Z3254" i="1" s="1"/>
  <c r="X3255" i="1"/>
  <c r="Z3255" i="1" s="1"/>
  <c r="X3256" i="1"/>
  <c r="Z3256" i="1" s="1"/>
  <c r="X3257" i="1"/>
  <c r="Z3257" i="1" s="1"/>
  <c r="X3258" i="1"/>
  <c r="Z3258" i="1" s="1"/>
  <c r="X3259" i="1"/>
  <c r="Z3259" i="1" s="1"/>
  <c r="X3260" i="1"/>
  <c r="Z3260" i="1" s="1"/>
  <c r="X3261" i="1"/>
  <c r="Z3261" i="1" s="1"/>
  <c r="X3262" i="1"/>
  <c r="Z3262" i="1" s="1"/>
  <c r="X3263" i="1"/>
  <c r="Z3263" i="1" s="1"/>
  <c r="X3264" i="1"/>
  <c r="Z3264" i="1" s="1"/>
  <c r="X3265" i="1"/>
  <c r="Z3265" i="1" s="1"/>
  <c r="X3266" i="1"/>
  <c r="Z3266" i="1" s="1"/>
  <c r="X3267" i="1"/>
  <c r="Z3267" i="1" s="1"/>
  <c r="X3268" i="1"/>
  <c r="Z3268" i="1" s="1"/>
  <c r="X3269" i="1"/>
  <c r="Z3269" i="1" s="1"/>
  <c r="X3270" i="1"/>
  <c r="Z3270" i="1" s="1"/>
  <c r="X3271" i="1"/>
  <c r="Z3271" i="1" s="1"/>
  <c r="X3272" i="1"/>
  <c r="Z3272" i="1" s="1"/>
  <c r="X3273" i="1"/>
  <c r="Z3273" i="1" s="1"/>
  <c r="X3274" i="1"/>
  <c r="Z3274" i="1" s="1"/>
  <c r="X3275" i="1"/>
  <c r="Z3275" i="1" s="1"/>
  <c r="X3276" i="1"/>
  <c r="Z3276" i="1" s="1"/>
  <c r="X3277" i="1"/>
  <c r="Z3277" i="1" s="1"/>
  <c r="X3278" i="1"/>
  <c r="Z3278" i="1" s="1"/>
  <c r="X3279" i="1"/>
  <c r="Z3279" i="1" s="1"/>
  <c r="X3280" i="1"/>
  <c r="Z3280" i="1" s="1"/>
  <c r="X3281" i="1"/>
  <c r="Z3281" i="1" s="1"/>
  <c r="X3282" i="1"/>
  <c r="Z3282" i="1" s="1"/>
  <c r="X3283" i="1"/>
  <c r="Z3283" i="1" s="1"/>
  <c r="X3284" i="1"/>
  <c r="Z3284" i="1" s="1"/>
  <c r="X3285" i="1"/>
  <c r="Z3285" i="1" s="1"/>
  <c r="X3286" i="1"/>
  <c r="Z3286" i="1" s="1"/>
  <c r="X3287" i="1"/>
  <c r="Z3287" i="1" s="1"/>
  <c r="X3288" i="1"/>
  <c r="Z3288" i="1" s="1"/>
  <c r="X3289" i="1"/>
  <c r="Z3289" i="1" s="1"/>
  <c r="X3290" i="1"/>
  <c r="Z3290" i="1" s="1"/>
  <c r="X3291" i="1"/>
  <c r="Z3291" i="1" s="1"/>
  <c r="X3292" i="1"/>
  <c r="Z3292" i="1" s="1"/>
  <c r="X3293" i="1"/>
  <c r="Z3293" i="1" s="1"/>
  <c r="X3294" i="1"/>
  <c r="Z3294" i="1" s="1"/>
  <c r="X3295" i="1"/>
  <c r="Z3295" i="1" s="1"/>
  <c r="X3296" i="1"/>
  <c r="Z3296" i="1" s="1"/>
  <c r="X3297" i="1"/>
  <c r="Z3297" i="1" s="1"/>
  <c r="X3298" i="1"/>
  <c r="Z3298" i="1" s="1"/>
  <c r="X3299" i="1"/>
  <c r="Z3299" i="1" s="1"/>
  <c r="X3300" i="1"/>
  <c r="Z3300" i="1" s="1"/>
  <c r="X3301" i="1"/>
  <c r="Z3301" i="1" s="1"/>
  <c r="X3302" i="1"/>
  <c r="Z3302" i="1" s="1"/>
  <c r="X3303" i="1"/>
  <c r="Z3303" i="1" s="1"/>
  <c r="X3304" i="1"/>
  <c r="Z3304" i="1" s="1"/>
  <c r="X3305" i="1"/>
  <c r="Z3305" i="1" s="1"/>
  <c r="X3306" i="1"/>
  <c r="Z3306" i="1" s="1"/>
  <c r="X3307" i="1"/>
  <c r="Z3307" i="1" s="1"/>
  <c r="X3308" i="1"/>
  <c r="Z3308" i="1" s="1"/>
  <c r="X3309" i="1"/>
  <c r="Z3309" i="1" s="1"/>
  <c r="X3310" i="1"/>
  <c r="Z3310" i="1" s="1"/>
  <c r="X3311" i="1"/>
  <c r="Z3311" i="1" s="1"/>
  <c r="X3312" i="1"/>
  <c r="Z3312" i="1" s="1"/>
  <c r="X3313" i="1"/>
  <c r="Z3313" i="1" s="1"/>
  <c r="X3314" i="1"/>
  <c r="Z3314" i="1" s="1"/>
  <c r="X3315" i="1"/>
  <c r="Z3315" i="1" s="1"/>
  <c r="X3316" i="1"/>
  <c r="Z3316" i="1" s="1"/>
  <c r="X3317" i="1"/>
  <c r="Z3317" i="1" s="1"/>
  <c r="X3318" i="1"/>
  <c r="Z3318" i="1" s="1"/>
  <c r="X3319" i="1"/>
  <c r="Z3319" i="1" s="1"/>
  <c r="X3320" i="1"/>
  <c r="Z3320" i="1" s="1"/>
  <c r="X3321" i="1"/>
  <c r="Z3321" i="1" s="1"/>
  <c r="X3322" i="1"/>
  <c r="Z3322" i="1" s="1"/>
  <c r="X3323" i="1"/>
  <c r="Z3323" i="1" s="1"/>
  <c r="X3324" i="1"/>
  <c r="Z3324" i="1" s="1"/>
  <c r="X3325" i="1"/>
  <c r="Z3325" i="1" s="1"/>
  <c r="X3326" i="1"/>
  <c r="Z3326" i="1" s="1"/>
  <c r="X3327" i="1"/>
  <c r="Z3327" i="1" s="1"/>
  <c r="X3328" i="1"/>
  <c r="Z3328" i="1" s="1"/>
  <c r="X3329" i="1"/>
  <c r="Z3329" i="1" s="1"/>
  <c r="X3330" i="1"/>
  <c r="Z3330" i="1" s="1"/>
  <c r="X3331" i="1"/>
  <c r="Z3331" i="1" s="1"/>
  <c r="X3332" i="1"/>
  <c r="Z3332" i="1" s="1"/>
  <c r="X3333" i="1"/>
  <c r="Z3333" i="1" s="1"/>
  <c r="X3334" i="1"/>
  <c r="Z3334" i="1" s="1"/>
  <c r="X3335" i="1"/>
  <c r="Z3335" i="1" s="1"/>
  <c r="X3336" i="1"/>
  <c r="Z3336" i="1" s="1"/>
  <c r="X3337" i="1"/>
  <c r="Z3337" i="1" s="1"/>
  <c r="X3338" i="1"/>
  <c r="Z3338" i="1" s="1"/>
  <c r="X3339" i="1"/>
  <c r="Z3339" i="1" s="1"/>
  <c r="X3340" i="1"/>
  <c r="Z3340" i="1" s="1"/>
  <c r="X3341" i="1"/>
  <c r="Z3341" i="1" s="1"/>
  <c r="X3342" i="1"/>
  <c r="Z3342" i="1" s="1"/>
  <c r="X3343" i="1"/>
  <c r="Z3343" i="1" s="1"/>
  <c r="X3344" i="1"/>
  <c r="Z3344" i="1" s="1"/>
  <c r="X3345" i="1"/>
  <c r="Z3345" i="1" s="1"/>
  <c r="X3346" i="1"/>
  <c r="Z3346" i="1" s="1"/>
  <c r="X3347" i="1"/>
  <c r="Z3347" i="1" s="1"/>
  <c r="X3348" i="1"/>
  <c r="Z3348" i="1" s="1"/>
  <c r="X3349" i="1"/>
  <c r="Z3349" i="1" s="1"/>
  <c r="X3350" i="1"/>
  <c r="Z3350" i="1" s="1"/>
  <c r="X3351" i="1"/>
  <c r="Z3351" i="1" s="1"/>
  <c r="X3352" i="1"/>
  <c r="Z3352" i="1" s="1"/>
  <c r="X3353" i="1"/>
  <c r="Z3353" i="1" s="1"/>
  <c r="X3354" i="1"/>
  <c r="Z3354" i="1" s="1"/>
  <c r="X3355" i="1"/>
  <c r="Z3355" i="1" s="1"/>
  <c r="X3356" i="1"/>
  <c r="Z3356" i="1" s="1"/>
  <c r="X3357" i="1"/>
  <c r="Z3357" i="1" s="1"/>
  <c r="X3358" i="1"/>
  <c r="Z3358" i="1" s="1"/>
  <c r="X3359" i="1"/>
  <c r="Z3359" i="1" s="1"/>
  <c r="X3360" i="1"/>
  <c r="Z3360" i="1" s="1"/>
  <c r="X3361" i="1"/>
  <c r="Z3361" i="1" s="1"/>
  <c r="X3362" i="1"/>
  <c r="Z3362" i="1" s="1"/>
  <c r="X3363" i="1"/>
  <c r="Z3363" i="1" s="1"/>
  <c r="X3364" i="1"/>
  <c r="Z3364" i="1" s="1"/>
  <c r="X3365" i="1"/>
  <c r="Z3365" i="1" s="1"/>
  <c r="X3366" i="1"/>
  <c r="Z3366" i="1" s="1"/>
  <c r="X3367" i="1"/>
  <c r="Z3367" i="1" s="1"/>
  <c r="X3368" i="1"/>
  <c r="Z3368" i="1" s="1"/>
  <c r="X3369" i="1"/>
  <c r="Z3369" i="1" s="1"/>
  <c r="X3370" i="1"/>
  <c r="Z3370" i="1" s="1"/>
  <c r="X3371" i="1"/>
  <c r="Z3371" i="1" s="1"/>
  <c r="X3372" i="1"/>
  <c r="Z3372" i="1" s="1"/>
  <c r="X3373" i="1"/>
  <c r="Z3373" i="1" s="1"/>
  <c r="X3374" i="1"/>
  <c r="Z3374" i="1" s="1"/>
  <c r="X3375" i="1"/>
  <c r="Z3375" i="1" s="1"/>
  <c r="X3376" i="1"/>
  <c r="Z3376" i="1" s="1"/>
  <c r="X3377" i="1"/>
  <c r="Z3377" i="1" s="1"/>
  <c r="X3378" i="1"/>
  <c r="Z3378" i="1" s="1"/>
  <c r="X3379" i="1"/>
  <c r="Z3379" i="1" s="1"/>
  <c r="X3380" i="1"/>
  <c r="Z3380" i="1" s="1"/>
  <c r="X3381" i="1"/>
  <c r="Z3381" i="1" s="1"/>
  <c r="X3382" i="1"/>
  <c r="Z3382" i="1" s="1"/>
  <c r="X3383" i="1"/>
  <c r="Z3383" i="1" s="1"/>
  <c r="X3384" i="1"/>
  <c r="Z3384" i="1" s="1"/>
  <c r="X3385" i="1"/>
  <c r="Z3385" i="1" s="1"/>
  <c r="X3386" i="1"/>
  <c r="Z3386" i="1" s="1"/>
  <c r="X3387" i="1"/>
  <c r="Z3387" i="1" s="1"/>
  <c r="X3388" i="1"/>
  <c r="Z3388" i="1" s="1"/>
  <c r="X3389" i="1"/>
  <c r="Z3389" i="1" s="1"/>
  <c r="X3390" i="1"/>
  <c r="Z3390" i="1" s="1"/>
  <c r="X3391" i="1"/>
  <c r="Z3391" i="1" s="1"/>
  <c r="X3392" i="1"/>
  <c r="Z3392" i="1" s="1"/>
  <c r="X3393" i="1"/>
  <c r="Z3393" i="1" s="1"/>
  <c r="X3394" i="1"/>
  <c r="Z3394" i="1" s="1"/>
  <c r="X3395" i="1"/>
  <c r="Z3395" i="1" s="1"/>
  <c r="X3396" i="1"/>
  <c r="Z3396" i="1" s="1"/>
  <c r="X3397" i="1"/>
  <c r="Z3397" i="1" s="1"/>
  <c r="X3398" i="1"/>
  <c r="Z3398" i="1" s="1"/>
  <c r="X3399" i="1"/>
  <c r="Z3399" i="1" s="1"/>
  <c r="X3400" i="1"/>
  <c r="Z3400" i="1" s="1"/>
  <c r="X3401" i="1"/>
  <c r="Z3401" i="1" s="1"/>
  <c r="X3402" i="1"/>
  <c r="Z3402" i="1" s="1"/>
  <c r="X3403" i="1"/>
  <c r="Z3403" i="1" s="1"/>
  <c r="X3404" i="1"/>
  <c r="Z3404" i="1" s="1"/>
  <c r="X3405" i="1"/>
  <c r="Z3405" i="1" s="1"/>
  <c r="X3406" i="1"/>
  <c r="Z3406" i="1" s="1"/>
  <c r="X3407" i="1"/>
  <c r="Z3407" i="1" s="1"/>
  <c r="X3408" i="1"/>
  <c r="Z3408" i="1" s="1"/>
  <c r="X3409" i="1"/>
  <c r="Z3409" i="1" s="1"/>
  <c r="X3410" i="1"/>
  <c r="Z3410" i="1" s="1"/>
  <c r="X3411" i="1"/>
  <c r="Z3411" i="1" s="1"/>
  <c r="X3412" i="1"/>
  <c r="Z3412" i="1" s="1"/>
  <c r="X3413" i="1"/>
  <c r="Z3413" i="1" s="1"/>
  <c r="X3414" i="1"/>
  <c r="Z3414" i="1" s="1"/>
  <c r="X3415" i="1"/>
  <c r="Z3415" i="1" s="1"/>
  <c r="X3416" i="1"/>
  <c r="Z3416" i="1" s="1"/>
  <c r="X3417" i="1"/>
  <c r="Z3417" i="1" s="1"/>
  <c r="X3418" i="1"/>
  <c r="Z3418" i="1" s="1"/>
  <c r="X3419" i="1"/>
  <c r="Z3419" i="1" s="1"/>
  <c r="X3420" i="1"/>
  <c r="Z3420" i="1" s="1"/>
  <c r="X3421" i="1"/>
  <c r="Z3421" i="1" s="1"/>
  <c r="X3422" i="1"/>
  <c r="Z3422" i="1" s="1"/>
  <c r="X3423" i="1"/>
  <c r="Z3423" i="1" s="1"/>
  <c r="X3424" i="1"/>
  <c r="Z3424" i="1" s="1"/>
  <c r="X3425" i="1"/>
  <c r="Z3425" i="1" s="1"/>
  <c r="X3426" i="1"/>
  <c r="Z3426" i="1" s="1"/>
  <c r="X3427" i="1"/>
  <c r="Z3427" i="1" s="1"/>
  <c r="X3428" i="1"/>
  <c r="Z3428" i="1" s="1"/>
  <c r="X3429" i="1"/>
  <c r="Z3429" i="1" s="1"/>
  <c r="X3430" i="1"/>
  <c r="Z3430" i="1" s="1"/>
  <c r="X3431" i="1"/>
  <c r="Z3431" i="1" s="1"/>
  <c r="X3432" i="1"/>
  <c r="Z3432" i="1" s="1"/>
  <c r="X3433" i="1"/>
  <c r="Z3433" i="1" s="1"/>
  <c r="X3434" i="1"/>
  <c r="Z3434" i="1" s="1"/>
  <c r="X3435" i="1"/>
  <c r="Z3435" i="1" s="1"/>
  <c r="X3436" i="1"/>
  <c r="Z3436" i="1" s="1"/>
  <c r="X3437" i="1"/>
  <c r="Z3437" i="1" s="1"/>
  <c r="X3438" i="1"/>
  <c r="Z3438" i="1" s="1"/>
  <c r="X3439" i="1"/>
  <c r="Z3439" i="1" s="1"/>
  <c r="X3440" i="1"/>
  <c r="Z3440" i="1" s="1"/>
  <c r="X3441" i="1"/>
  <c r="Z3441" i="1" s="1"/>
  <c r="X3442" i="1"/>
  <c r="Z3442" i="1" s="1"/>
  <c r="X3443" i="1"/>
  <c r="Z3443" i="1" s="1"/>
  <c r="X3444" i="1"/>
  <c r="Z3444" i="1" s="1"/>
  <c r="X3445" i="1"/>
  <c r="Z3445" i="1" s="1"/>
  <c r="X3446" i="1"/>
  <c r="Z3446" i="1" s="1"/>
  <c r="X3447" i="1"/>
  <c r="Z3447" i="1" s="1"/>
  <c r="X3448" i="1"/>
  <c r="Z3448" i="1" s="1"/>
  <c r="X3449" i="1"/>
  <c r="Z3449" i="1" s="1"/>
  <c r="X3450" i="1"/>
  <c r="Z3450" i="1" s="1"/>
  <c r="X3451" i="1"/>
  <c r="Z3451" i="1" s="1"/>
  <c r="X3452" i="1"/>
  <c r="Z3452" i="1" s="1"/>
  <c r="X3453" i="1"/>
  <c r="Z3453" i="1" s="1"/>
  <c r="X3454" i="1"/>
  <c r="Z3454" i="1" s="1"/>
  <c r="X3455" i="1"/>
  <c r="Z3455" i="1" s="1"/>
  <c r="X3456" i="1"/>
  <c r="Z3456" i="1" s="1"/>
  <c r="X3457" i="1"/>
  <c r="Z3457" i="1" s="1"/>
  <c r="X3458" i="1"/>
  <c r="Z3458" i="1" s="1"/>
  <c r="X3459" i="1"/>
  <c r="Z3459" i="1" s="1"/>
  <c r="X3460" i="1"/>
  <c r="Z3460" i="1" s="1"/>
  <c r="X3461" i="1"/>
  <c r="Z3461" i="1" s="1"/>
  <c r="X3462" i="1"/>
  <c r="Z3462" i="1" s="1"/>
  <c r="X3463" i="1"/>
  <c r="Z3463" i="1" s="1"/>
  <c r="X3464" i="1"/>
  <c r="Z3464" i="1" s="1"/>
  <c r="X3465" i="1"/>
  <c r="Z3465" i="1" s="1"/>
  <c r="X3466" i="1"/>
  <c r="Z3466" i="1" s="1"/>
  <c r="X3467" i="1"/>
  <c r="Z3467" i="1" s="1"/>
  <c r="X3468" i="1"/>
  <c r="Z3468" i="1" s="1"/>
  <c r="X3469" i="1"/>
  <c r="Z3469" i="1" s="1"/>
  <c r="X3470" i="1"/>
  <c r="Z3470" i="1" s="1"/>
  <c r="X3471" i="1"/>
  <c r="Z3471" i="1" s="1"/>
  <c r="X3472" i="1"/>
  <c r="Z3472" i="1" s="1"/>
  <c r="X3473" i="1"/>
  <c r="Z3473" i="1" s="1"/>
  <c r="X3474" i="1"/>
  <c r="Z3474" i="1" s="1"/>
  <c r="X3475" i="1"/>
  <c r="Z3475" i="1" s="1"/>
  <c r="X3476" i="1"/>
  <c r="Z3476" i="1" s="1"/>
  <c r="X3477" i="1"/>
  <c r="Z3477" i="1" s="1"/>
  <c r="X3478" i="1"/>
  <c r="Z3478" i="1" s="1"/>
  <c r="X3479" i="1"/>
  <c r="Z3479" i="1" s="1"/>
  <c r="X3480" i="1"/>
  <c r="Z3480" i="1" s="1"/>
  <c r="X3481" i="1"/>
  <c r="Z3481" i="1" s="1"/>
  <c r="X3482" i="1"/>
  <c r="Z3482" i="1" s="1"/>
  <c r="X3483" i="1"/>
  <c r="Z3483" i="1" s="1"/>
  <c r="X3484" i="1"/>
  <c r="Z3484" i="1" s="1"/>
  <c r="X3485" i="1"/>
  <c r="Z3485" i="1" s="1"/>
  <c r="X3486" i="1"/>
  <c r="Z3486" i="1" s="1"/>
  <c r="X3487" i="1"/>
  <c r="Z3487" i="1" s="1"/>
  <c r="X3488" i="1"/>
  <c r="Z3488" i="1" s="1"/>
  <c r="X3489" i="1"/>
  <c r="Z3489" i="1" s="1"/>
  <c r="X3490" i="1"/>
  <c r="Z3490" i="1" s="1"/>
  <c r="X3491" i="1"/>
  <c r="Z3491" i="1" s="1"/>
  <c r="X3492" i="1"/>
  <c r="Z3492" i="1" s="1"/>
  <c r="X3493" i="1"/>
  <c r="Z3493" i="1" s="1"/>
  <c r="X3494" i="1"/>
  <c r="Z3494" i="1" s="1"/>
  <c r="X3495" i="1"/>
  <c r="Z3495" i="1" s="1"/>
  <c r="X3496" i="1"/>
  <c r="Z3496" i="1" s="1"/>
  <c r="X3497" i="1"/>
  <c r="Z3497" i="1" s="1"/>
  <c r="X3498" i="1"/>
  <c r="Z3498" i="1" s="1"/>
  <c r="X3499" i="1"/>
  <c r="Z3499" i="1" s="1"/>
  <c r="X3500" i="1"/>
  <c r="Z3500" i="1" s="1"/>
  <c r="X3501" i="1"/>
  <c r="Z3501" i="1" s="1"/>
  <c r="X3502" i="1"/>
  <c r="Z3502" i="1" s="1"/>
  <c r="X3503" i="1"/>
  <c r="Z3503" i="1" s="1"/>
  <c r="X3504" i="1"/>
  <c r="Z3504" i="1" s="1"/>
  <c r="X3505" i="1"/>
  <c r="Z3505" i="1" s="1"/>
  <c r="X3506" i="1"/>
  <c r="Z3506" i="1" s="1"/>
  <c r="X3507" i="1"/>
  <c r="Z3507" i="1" s="1"/>
  <c r="X3508" i="1"/>
  <c r="Z3508" i="1" s="1"/>
  <c r="X3509" i="1"/>
  <c r="Z3509" i="1" s="1"/>
  <c r="X3510" i="1"/>
  <c r="Z3510" i="1" s="1"/>
  <c r="X3511" i="1"/>
  <c r="Z3511" i="1" s="1"/>
  <c r="X3512" i="1"/>
  <c r="Z3512" i="1" s="1"/>
  <c r="X3513" i="1"/>
  <c r="Z3513" i="1" s="1"/>
  <c r="X3514" i="1"/>
  <c r="Z3514" i="1" s="1"/>
  <c r="X3515" i="1"/>
  <c r="Z3515" i="1" s="1"/>
  <c r="X3516" i="1"/>
  <c r="Z3516" i="1" s="1"/>
  <c r="X3517" i="1"/>
  <c r="Z3517" i="1" s="1"/>
  <c r="X3518" i="1"/>
  <c r="Z3518" i="1" s="1"/>
  <c r="X3519" i="1"/>
  <c r="Z3519" i="1" s="1"/>
  <c r="X3520" i="1"/>
  <c r="Z3520" i="1" s="1"/>
  <c r="X3521" i="1"/>
  <c r="Z3521" i="1" s="1"/>
  <c r="X3522" i="1"/>
  <c r="Z3522" i="1" s="1"/>
  <c r="X3523" i="1"/>
  <c r="Z3523" i="1" s="1"/>
  <c r="X3524" i="1"/>
  <c r="Z3524" i="1" s="1"/>
  <c r="X3525" i="1"/>
  <c r="Z3525" i="1" s="1"/>
  <c r="X3526" i="1"/>
  <c r="Z3526" i="1" s="1"/>
  <c r="X3527" i="1"/>
  <c r="Z3527" i="1" s="1"/>
  <c r="X3528" i="1"/>
  <c r="Z3528" i="1" s="1"/>
  <c r="X3529" i="1"/>
  <c r="Z3529" i="1" s="1"/>
  <c r="X3530" i="1"/>
  <c r="Z3530" i="1" s="1"/>
  <c r="X3531" i="1"/>
  <c r="Z3531" i="1" s="1"/>
  <c r="X3532" i="1"/>
  <c r="Z3532" i="1" s="1"/>
  <c r="X3533" i="1"/>
  <c r="Z3533" i="1" s="1"/>
  <c r="X3534" i="1"/>
  <c r="Z3534" i="1" s="1"/>
  <c r="X3535" i="1"/>
  <c r="Z3535" i="1" s="1"/>
  <c r="X3536" i="1"/>
  <c r="Z3536" i="1" s="1"/>
  <c r="X3537" i="1"/>
  <c r="Z3537" i="1" s="1"/>
  <c r="X3538" i="1"/>
  <c r="Z3538" i="1" s="1"/>
  <c r="X3539" i="1"/>
  <c r="Z3539" i="1" s="1"/>
  <c r="X3540" i="1"/>
  <c r="Z3540" i="1" s="1"/>
  <c r="X3541" i="1"/>
  <c r="Z3541" i="1" s="1"/>
  <c r="X3542" i="1"/>
  <c r="Z3542" i="1" s="1"/>
  <c r="X3543" i="1"/>
  <c r="Z3543" i="1" s="1"/>
  <c r="X3544" i="1"/>
  <c r="Z3544" i="1" s="1"/>
  <c r="X3545" i="1"/>
  <c r="Z3545" i="1" s="1"/>
  <c r="X3546" i="1"/>
  <c r="Z3546" i="1" s="1"/>
  <c r="X3547" i="1"/>
  <c r="Z3547" i="1" s="1"/>
  <c r="X3548" i="1"/>
  <c r="Z3548" i="1" s="1"/>
  <c r="X3549" i="1"/>
  <c r="Z3549" i="1" s="1"/>
  <c r="X3550" i="1"/>
  <c r="Z3550" i="1" s="1"/>
  <c r="X3551" i="1"/>
  <c r="Z3551" i="1" s="1"/>
  <c r="X3552" i="1"/>
  <c r="Z3552" i="1" s="1"/>
  <c r="X3553" i="1"/>
  <c r="Z3553" i="1" s="1"/>
  <c r="X3554" i="1"/>
  <c r="Z3554" i="1" s="1"/>
  <c r="X3555" i="1"/>
  <c r="Z3555" i="1" s="1"/>
  <c r="X3556" i="1"/>
  <c r="Z3556" i="1" s="1"/>
  <c r="X3557" i="1"/>
  <c r="Z3557" i="1" s="1"/>
  <c r="X3558" i="1"/>
  <c r="Z3558" i="1" s="1"/>
  <c r="X3559" i="1"/>
  <c r="Z3559" i="1" s="1"/>
  <c r="X3560" i="1"/>
  <c r="Z3560" i="1" s="1"/>
  <c r="X3561" i="1"/>
  <c r="Z3561" i="1" s="1"/>
  <c r="X3562" i="1"/>
  <c r="Z3562" i="1" s="1"/>
  <c r="X3563" i="1"/>
  <c r="Z3563" i="1" s="1"/>
  <c r="X3564" i="1"/>
  <c r="Z3564" i="1" s="1"/>
  <c r="X3565" i="1"/>
  <c r="Z3565" i="1" s="1"/>
  <c r="X3566" i="1"/>
  <c r="Z3566" i="1" s="1"/>
  <c r="X3567" i="1"/>
  <c r="Z3567" i="1" s="1"/>
  <c r="X3568" i="1"/>
  <c r="Z3568" i="1" s="1"/>
  <c r="X3569" i="1"/>
  <c r="Z3569" i="1" s="1"/>
  <c r="X3570" i="1"/>
  <c r="Z3570" i="1" s="1"/>
  <c r="X3571" i="1"/>
  <c r="Z3571" i="1" s="1"/>
  <c r="X3572" i="1"/>
  <c r="Z3572" i="1" s="1"/>
  <c r="X3573" i="1"/>
  <c r="Z3573" i="1" s="1"/>
  <c r="X3574" i="1"/>
  <c r="Z3574" i="1" s="1"/>
  <c r="X3575" i="1"/>
  <c r="Z3575" i="1" s="1"/>
  <c r="X3576" i="1"/>
  <c r="Z3576" i="1" s="1"/>
  <c r="X3577" i="1"/>
  <c r="Z3577" i="1" s="1"/>
  <c r="X3578" i="1"/>
  <c r="Z3578" i="1" s="1"/>
  <c r="X3579" i="1"/>
  <c r="Z3579" i="1" s="1"/>
  <c r="X3580" i="1"/>
  <c r="Z3580" i="1" s="1"/>
  <c r="X3581" i="1"/>
  <c r="Z3581" i="1" s="1"/>
  <c r="X3582" i="1"/>
  <c r="Z3582" i="1" s="1"/>
  <c r="X3583" i="1"/>
  <c r="Z3583" i="1" s="1"/>
  <c r="X3584" i="1"/>
  <c r="Z3584" i="1" s="1"/>
  <c r="X3585" i="1"/>
  <c r="Z3585" i="1" s="1"/>
  <c r="X3586" i="1"/>
  <c r="Z3586" i="1" s="1"/>
  <c r="X3587" i="1"/>
  <c r="Z3587" i="1" s="1"/>
  <c r="X3588" i="1"/>
  <c r="Z3588" i="1" s="1"/>
  <c r="X3589" i="1"/>
  <c r="Z3589" i="1" s="1"/>
  <c r="X3590" i="1"/>
  <c r="Z3590" i="1" s="1"/>
  <c r="X3591" i="1"/>
  <c r="Z3591" i="1" s="1"/>
  <c r="X3592" i="1"/>
  <c r="Z3592" i="1" s="1"/>
  <c r="X3593" i="1"/>
  <c r="Z3593" i="1" s="1"/>
  <c r="X3594" i="1"/>
  <c r="Z3594" i="1" s="1"/>
  <c r="X3595" i="1"/>
  <c r="Z3595" i="1" s="1"/>
  <c r="X3596" i="1"/>
  <c r="Z3596" i="1" s="1"/>
  <c r="X3597" i="1"/>
  <c r="Z3597" i="1" s="1"/>
  <c r="X3598" i="1"/>
  <c r="Z3598" i="1" s="1"/>
  <c r="X3599" i="1"/>
  <c r="Z3599" i="1" s="1"/>
  <c r="X3600" i="1"/>
  <c r="Z3600" i="1" s="1"/>
  <c r="X3601" i="1"/>
  <c r="Z3601" i="1" s="1"/>
  <c r="X3602" i="1"/>
  <c r="Z3602" i="1" s="1"/>
  <c r="X3603" i="1"/>
  <c r="Z3603" i="1" s="1"/>
  <c r="X3604" i="1"/>
  <c r="Z3604" i="1" s="1"/>
  <c r="X3605" i="1"/>
  <c r="Z3605" i="1" s="1"/>
  <c r="X3606" i="1"/>
  <c r="Z3606" i="1" s="1"/>
  <c r="X3607" i="1"/>
  <c r="Z3607" i="1" s="1"/>
  <c r="X3608" i="1"/>
  <c r="Z3608" i="1" s="1"/>
  <c r="X3609" i="1"/>
  <c r="Z3609" i="1" s="1"/>
  <c r="X3610" i="1"/>
  <c r="Z3610" i="1" s="1"/>
  <c r="X3611" i="1"/>
  <c r="Z3611" i="1" s="1"/>
  <c r="X3612" i="1"/>
  <c r="Z3612" i="1" s="1"/>
  <c r="X3613" i="1"/>
  <c r="Z3613" i="1" s="1"/>
  <c r="X3614" i="1"/>
  <c r="Z3614" i="1" s="1"/>
  <c r="X3615" i="1"/>
  <c r="Z3615" i="1" s="1"/>
  <c r="X3616" i="1"/>
  <c r="Z3616" i="1" s="1"/>
  <c r="X3617" i="1"/>
  <c r="Z3617" i="1" s="1"/>
  <c r="X3618" i="1"/>
  <c r="Z3618" i="1" s="1"/>
  <c r="X3619" i="1"/>
  <c r="Z3619" i="1" s="1"/>
  <c r="X3620" i="1"/>
  <c r="Z3620" i="1" s="1"/>
  <c r="X3621" i="1"/>
  <c r="Z3621" i="1" s="1"/>
  <c r="X3622" i="1"/>
  <c r="Z3622" i="1" s="1"/>
  <c r="X3623" i="1"/>
  <c r="Z3623" i="1" s="1"/>
  <c r="X3624" i="1"/>
  <c r="Z3624" i="1" s="1"/>
  <c r="X3625" i="1"/>
  <c r="Z3625" i="1" s="1"/>
  <c r="X3626" i="1"/>
  <c r="Z3626" i="1" s="1"/>
  <c r="X3627" i="1"/>
  <c r="Z3627" i="1" s="1"/>
  <c r="X3628" i="1"/>
  <c r="Z3628" i="1" s="1"/>
  <c r="X3629" i="1"/>
  <c r="Z3629" i="1" s="1"/>
  <c r="X3630" i="1"/>
  <c r="Z3630" i="1" s="1"/>
  <c r="X3631" i="1"/>
  <c r="Z3631" i="1" s="1"/>
  <c r="X3632" i="1"/>
  <c r="Z3632" i="1" s="1"/>
  <c r="X3633" i="1"/>
  <c r="Z3633" i="1" s="1"/>
  <c r="X3634" i="1"/>
  <c r="Z3634" i="1" s="1"/>
  <c r="X3635" i="1"/>
  <c r="Z3635" i="1" s="1"/>
  <c r="X3636" i="1"/>
  <c r="Z3636" i="1" s="1"/>
  <c r="X3637" i="1"/>
  <c r="Z3637" i="1" s="1"/>
  <c r="X3638" i="1"/>
  <c r="Z3638" i="1" s="1"/>
  <c r="X3639" i="1"/>
  <c r="Z3639" i="1" s="1"/>
  <c r="X3640" i="1"/>
  <c r="Z3640" i="1" s="1"/>
  <c r="X3641" i="1"/>
  <c r="Z3641" i="1" s="1"/>
  <c r="X3642" i="1"/>
  <c r="Z3642" i="1" s="1"/>
  <c r="X3643" i="1"/>
  <c r="Z3643" i="1" s="1"/>
  <c r="X3644" i="1"/>
  <c r="Z3644" i="1" s="1"/>
  <c r="X3645" i="1"/>
  <c r="Z3645" i="1" s="1"/>
  <c r="X3646" i="1"/>
  <c r="Z3646" i="1" s="1"/>
  <c r="X3647" i="1"/>
  <c r="Z3647" i="1" s="1"/>
  <c r="X3648" i="1"/>
  <c r="Z3648" i="1" s="1"/>
  <c r="X3649" i="1"/>
  <c r="Z3649" i="1" s="1"/>
  <c r="X3650" i="1"/>
  <c r="Z3650" i="1" s="1"/>
  <c r="X3651" i="1"/>
  <c r="Z3651" i="1" s="1"/>
  <c r="X3652" i="1"/>
  <c r="Z3652" i="1" s="1"/>
  <c r="X3653" i="1"/>
  <c r="Z3653" i="1" s="1"/>
  <c r="X3654" i="1"/>
  <c r="Z3654" i="1" s="1"/>
  <c r="X3655" i="1"/>
  <c r="Z3655" i="1" s="1"/>
  <c r="X3656" i="1"/>
  <c r="Z3656" i="1" s="1"/>
  <c r="X3657" i="1"/>
  <c r="Z3657" i="1" s="1"/>
  <c r="X3658" i="1"/>
  <c r="Z3658" i="1" s="1"/>
  <c r="X3659" i="1"/>
  <c r="Z3659" i="1" s="1"/>
  <c r="X3660" i="1"/>
  <c r="Z3660" i="1" s="1"/>
  <c r="X3661" i="1"/>
  <c r="Z3661" i="1" s="1"/>
  <c r="X3662" i="1"/>
  <c r="Z3662" i="1" s="1"/>
  <c r="X3663" i="1"/>
  <c r="Z3663" i="1" s="1"/>
  <c r="X3664" i="1"/>
  <c r="Z3664" i="1" s="1"/>
  <c r="X3665" i="1"/>
  <c r="Z3665" i="1" s="1"/>
  <c r="X3666" i="1"/>
  <c r="Z3666" i="1" s="1"/>
  <c r="X3667" i="1"/>
  <c r="Z3667" i="1" s="1"/>
  <c r="X3668" i="1"/>
  <c r="Z3668" i="1" s="1"/>
  <c r="X3669" i="1"/>
  <c r="Z3669" i="1" s="1"/>
  <c r="X3670" i="1"/>
  <c r="Z3670" i="1" s="1"/>
  <c r="X3671" i="1"/>
  <c r="Z3671" i="1" s="1"/>
  <c r="X3672" i="1"/>
  <c r="Z3672" i="1" s="1"/>
  <c r="X3673" i="1"/>
  <c r="Z3673" i="1" s="1"/>
  <c r="X3674" i="1"/>
  <c r="Z3674" i="1" s="1"/>
  <c r="X3675" i="1"/>
  <c r="Z3675" i="1" s="1"/>
  <c r="X3676" i="1"/>
  <c r="Z3676" i="1" s="1"/>
  <c r="X3677" i="1"/>
  <c r="Z3677" i="1" s="1"/>
  <c r="X3678" i="1"/>
  <c r="Z3678" i="1" s="1"/>
  <c r="X3679" i="1"/>
  <c r="Z3679" i="1" s="1"/>
  <c r="X3680" i="1"/>
  <c r="Z3680" i="1" s="1"/>
  <c r="X3681" i="1"/>
  <c r="Z3681" i="1" s="1"/>
  <c r="X3682" i="1"/>
  <c r="Z3682" i="1" s="1"/>
  <c r="X3683" i="1"/>
  <c r="Z3683" i="1" s="1"/>
  <c r="X3684" i="1"/>
  <c r="Z3684" i="1" s="1"/>
  <c r="X3685" i="1"/>
  <c r="Z3685" i="1" s="1"/>
  <c r="X3686" i="1"/>
  <c r="Z3686" i="1" s="1"/>
  <c r="X3687" i="1"/>
  <c r="Z3687" i="1" s="1"/>
  <c r="X3688" i="1"/>
  <c r="Z3688" i="1" s="1"/>
  <c r="X3689" i="1"/>
  <c r="Z3689" i="1" s="1"/>
  <c r="X3690" i="1"/>
  <c r="Z3690" i="1" s="1"/>
  <c r="X3691" i="1"/>
  <c r="Z3691" i="1" s="1"/>
  <c r="X3692" i="1"/>
  <c r="Z3692" i="1" s="1"/>
  <c r="X3693" i="1"/>
  <c r="Z3693" i="1" s="1"/>
  <c r="X3694" i="1"/>
  <c r="Z3694" i="1" s="1"/>
  <c r="X3695" i="1"/>
  <c r="Z3695" i="1" s="1"/>
  <c r="X3696" i="1"/>
  <c r="Z3696" i="1" s="1"/>
  <c r="X3697" i="1"/>
  <c r="Z3697" i="1" s="1"/>
  <c r="X3698" i="1"/>
  <c r="Z3698" i="1" s="1"/>
  <c r="X3699" i="1"/>
  <c r="Z3699" i="1" s="1"/>
  <c r="X3700" i="1"/>
  <c r="Z3700" i="1" s="1"/>
  <c r="X3701" i="1"/>
  <c r="Z3701" i="1" s="1"/>
  <c r="X3702" i="1"/>
  <c r="Z3702" i="1" s="1"/>
  <c r="X3703" i="1"/>
  <c r="Z3703" i="1" s="1"/>
  <c r="X3704" i="1"/>
  <c r="Z3704" i="1" s="1"/>
  <c r="X3705" i="1"/>
  <c r="Z3705" i="1" s="1"/>
  <c r="X3706" i="1"/>
  <c r="Z3706" i="1" s="1"/>
  <c r="X3707" i="1"/>
  <c r="Z3707" i="1" s="1"/>
  <c r="X3708" i="1"/>
  <c r="Z3708" i="1" s="1"/>
  <c r="X3709" i="1"/>
  <c r="Z3709" i="1" s="1"/>
  <c r="X3710" i="1"/>
  <c r="Z3710" i="1" s="1"/>
  <c r="X3711" i="1"/>
  <c r="Z3711" i="1" s="1"/>
  <c r="X3712" i="1"/>
  <c r="Z3712" i="1" s="1"/>
  <c r="X3713" i="1"/>
  <c r="Z3713" i="1" s="1"/>
  <c r="X3714" i="1"/>
  <c r="Z3714" i="1" s="1"/>
  <c r="X3715" i="1"/>
  <c r="Z3715" i="1" s="1"/>
  <c r="X3716" i="1"/>
  <c r="Z3716" i="1" s="1"/>
  <c r="X3717" i="1"/>
  <c r="Z3717" i="1" s="1"/>
  <c r="X3718" i="1"/>
  <c r="Z3718" i="1" s="1"/>
  <c r="X3719" i="1"/>
  <c r="Z3719" i="1" s="1"/>
  <c r="X3720" i="1"/>
  <c r="Z3720" i="1" s="1"/>
  <c r="X3721" i="1"/>
  <c r="Z3721" i="1" s="1"/>
  <c r="X3722" i="1"/>
  <c r="Z3722" i="1" s="1"/>
  <c r="X3723" i="1"/>
  <c r="Z3723" i="1" s="1"/>
  <c r="X3724" i="1"/>
  <c r="Z3724" i="1" s="1"/>
  <c r="X3725" i="1"/>
  <c r="Z3725" i="1" s="1"/>
  <c r="X3726" i="1"/>
  <c r="Z3726" i="1" s="1"/>
  <c r="X3727" i="1"/>
  <c r="Z3727" i="1" s="1"/>
  <c r="X3728" i="1"/>
  <c r="Z3728" i="1" s="1"/>
  <c r="X3729" i="1"/>
  <c r="Z3729" i="1" s="1"/>
  <c r="X3730" i="1"/>
  <c r="Z3730" i="1" s="1"/>
  <c r="X3731" i="1"/>
  <c r="Z3731" i="1" s="1"/>
  <c r="X3732" i="1"/>
  <c r="Z3732" i="1" s="1"/>
  <c r="X3733" i="1"/>
  <c r="Z3733" i="1" s="1"/>
  <c r="X3734" i="1"/>
  <c r="Z3734" i="1" s="1"/>
  <c r="X3735" i="1"/>
  <c r="Z3735" i="1" s="1"/>
  <c r="X3736" i="1"/>
  <c r="Z3736" i="1" s="1"/>
  <c r="X3737" i="1"/>
  <c r="Z3737" i="1" s="1"/>
  <c r="X3738" i="1"/>
  <c r="Z3738" i="1" s="1"/>
  <c r="X3739" i="1"/>
  <c r="Z3739" i="1" s="1"/>
  <c r="X3740" i="1"/>
  <c r="Z3740" i="1" s="1"/>
  <c r="X3741" i="1"/>
  <c r="Z3741" i="1" s="1"/>
  <c r="X3742" i="1"/>
  <c r="Z3742" i="1" s="1"/>
  <c r="X3743" i="1"/>
  <c r="Z3743" i="1" s="1"/>
  <c r="X3744" i="1"/>
  <c r="Z3744" i="1" s="1"/>
  <c r="X3745" i="1"/>
  <c r="Z3745" i="1" s="1"/>
  <c r="X3746" i="1"/>
  <c r="Z3746" i="1" s="1"/>
  <c r="X3747" i="1"/>
  <c r="Z3747" i="1" s="1"/>
  <c r="X3748" i="1"/>
  <c r="Z3748" i="1" s="1"/>
  <c r="X3749" i="1"/>
  <c r="Z3749" i="1" s="1"/>
  <c r="X3750" i="1"/>
  <c r="Z3750" i="1" s="1"/>
  <c r="X3751" i="1"/>
  <c r="Z3751" i="1" s="1"/>
  <c r="X3752" i="1"/>
  <c r="Z3752" i="1" s="1"/>
  <c r="X3753" i="1"/>
  <c r="Z3753" i="1" s="1"/>
  <c r="X3754" i="1"/>
  <c r="Z3754" i="1" s="1"/>
  <c r="X3755" i="1"/>
  <c r="Z3755" i="1" s="1"/>
  <c r="X3756" i="1"/>
  <c r="Z3756" i="1" s="1"/>
  <c r="X3757" i="1"/>
  <c r="Z3757" i="1" s="1"/>
  <c r="X3758" i="1"/>
  <c r="Z3758" i="1" s="1"/>
  <c r="X3759" i="1"/>
  <c r="Z3759" i="1" s="1"/>
  <c r="X3760" i="1"/>
  <c r="Z3760" i="1" s="1"/>
  <c r="X3761" i="1"/>
  <c r="Z3761" i="1" s="1"/>
  <c r="X3762" i="1"/>
  <c r="Z3762" i="1" s="1"/>
  <c r="X3763" i="1"/>
  <c r="Z3763" i="1" s="1"/>
  <c r="X3764" i="1"/>
  <c r="Z3764" i="1" s="1"/>
  <c r="X3765" i="1"/>
  <c r="Z3765" i="1" s="1"/>
  <c r="X3766" i="1"/>
  <c r="Z3766" i="1" s="1"/>
  <c r="X3767" i="1"/>
  <c r="Z3767" i="1" s="1"/>
  <c r="X3768" i="1"/>
  <c r="Z3768" i="1" s="1"/>
  <c r="X3769" i="1"/>
  <c r="Z3769" i="1" s="1"/>
  <c r="X3770" i="1"/>
  <c r="Z3770" i="1" s="1"/>
  <c r="X3771" i="1"/>
  <c r="Z3771" i="1" s="1"/>
  <c r="X3772" i="1"/>
  <c r="Z3772" i="1" s="1"/>
  <c r="X3773" i="1"/>
  <c r="Z3773" i="1" s="1"/>
  <c r="X3774" i="1"/>
  <c r="Z3774" i="1" s="1"/>
  <c r="X3775" i="1"/>
  <c r="Z3775" i="1" s="1"/>
  <c r="X3776" i="1"/>
  <c r="Z3776" i="1" s="1"/>
  <c r="X3777" i="1"/>
  <c r="Z3777" i="1" s="1"/>
  <c r="X3778" i="1"/>
  <c r="Z3778" i="1" s="1"/>
  <c r="X3779" i="1"/>
  <c r="Z3779" i="1" s="1"/>
  <c r="X3780" i="1"/>
  <c r="Z3780" i="1" s="1"/>
  <c r="X3781" i="1"/>
  <c r="Z3781" i="1" s="1"/>
  <c r="X3782" i="1"/>
  <c r="Z3782" i="1" s="1"/>
  <c r="X3783" i="1"/>
  <c r="Z3783" i="1" s="1"/>
  <c r="X3784" i="1"/>
  <c r="Z3784" i="1" s="1"/>
  <c r="X3785" i="1"/>
  <c r="Z3785" i="1" s="1"/>
  <c r="X3786" i="1"/>
  <c r="Z3786" i="1" s="1"/>
  <c r="X3787" i="1"/>
  <c r="Z3787" i="1" s="1"/>
  <c r="X3788" i="1"/>
  <c r="Z3788" i="1" s="1"/>
  <c r="X3789" i="1"/>
  <c r="Z3789" i="1" s="1"/>
  <c r="X3790" i="1"/>
  <c r="Z3790" i="1" s="1"/>
  <c r="X3791" i="1"/>
  <c r="Z3791" i="1" s="1"/>
  <c r="X3792" i="1"/>
  <c r="Z3792" i="1" s="1"/>
  <c r="X3793" i="1"/>
  <c r="Z3793" i="1" s="1"/>
  <c r="X3794" i="1"/>
  <c r="Z3794" i="1" s="1"/>
  <c r="X3795" i="1"/>
  <c r="Z3795" i="1" s="1"/>
  <c r="X3796" i="1"/>
  <c r="Z3796" i="1" s="1"/>
  <c r="X3797" i="1"/>
  <c r="Z3797" i="1" s="1"/>
  <c r="X3798" i="1"/>
  <c r="Z3798" i="1" s="1"/>
  <c r="X3799" i="1"/>
  <c r="Z3799" i="1" s="1"/>
  <c r="X3800" i="1"/>
  <c r="Z3800" i="1" s="1"/>
  <c r="X3801" i="1"/>
  <c r="Z3801" i="1" s="1"/>
  <c r="X3802" i="1"/>
  <c r="Z3802" i="1" s="1"/>
  <c r="X3803" i="1"/>
  <c r="Z3803" i="1" s="1"/>
  <c r="X3804" i="1"/>
  <c r="Z3804" i="1" s="1"/>
  <c r="X3805" i="1"/>
  <c r="Z3805" i="1" s="1"/>
  <c r="X3806" i="1"/>
  <c r="Z3806" i="1" s="1"/>
  <c r="X3807" i="1"/>
  <c r="Z3807" i="1" s="1"/>
  <c r="X3808" i="1"/>
  <c r="Z3808" i="1" s="1"/>
  <c r="X3809" i="1"/>
  <c r="Z3809" i="1" s="1"/>
  <c r="X3810" i="1"/>
  <c r="Z3810" i="1" s="1"/>
  <c r="X3811" i="1"/>
  <c r="Z3811" i="1" s="1"/>
  <c r="X3812" i="1"/>
  <c r="Z3812" i="1" s="1"/>
  <c r="X3813" i="1"/>
  <c r="Z3813" i="1" s="1"/>
  <c r="X3814" i="1"/>
  <c r="Z3814" i="1" s="1"/>
  <c r="X3815" i="1"/>
  <c r="Z3815" i="1" s="1"/>
  <c r="X3816" i="1"/>
  <c r="Z3816" i="1" s="1"/>
  <c r="X3817" i="1"/>
  <c r="Z3817" i="1" s="1"/>
  <c r="X3818" i="1"/>
  <c r="Z3818" i="1" s="1"/>
  <c r="X3819" i="1"/>
  <c r="Z3819" i="1" s="1"/>
  <c r="X3820" i="1"/>
  <c r="Z3820" i="1" s="1"/>
  <c r="X3821" i="1"/>
  <c r="Z3821" i="1" s="1"/>
  <c r="X3822" i="1"/>
  <c r="Z3822" i="1" s="1"/>
  <c r="X3823" i="1"/>
  <c r="Z3823" i="1" s="1"/>
  <c r="X3824" i="1"/>
  <c r="Z3824" i="1" s="1"/>
  <c r="X3825" i="1"/>
  <c r="Z3825" i="1" s="1"/>
  <c r="X3826" i="1"/>
  <c r="Z3826" i="1" s="1"/>
  <c r="X3827" i="1"/>
  <c r="Z3827" i="1" s="1"/>
  <c r="X3828" i="1"/>
  <c r="Z3828" i="1" s="1"/>
  <c r="X3829" i="1"/>
  <c r="Z3829" i="1" s="1"/>
  <c r="X3830" i="1"/>
  <c r="Z3830" i="1" s="1"/>
  <c r="X3831" i="1"/>
  <c r="Z3831" i="1" s="1"/>
  <c r="X3832" i="1"/>
  <c r="Z3832" i="1" s="1"/>
  <c r="X3833" i="1"/>
  <c r="Z3833" i="1" s="1"/>
  <c r="X3834" i="1"/>
  <c r="Z3834" i="1" s="1"/>
  <c r="X3835" i="1"/>
  <c r="Z3835" i="1" s="1"/>
  <c r="X3836" i="1"/>
  <c r="Z3836" i="1" s="1"/>
  <c r="X3837" i="1"/>
  <c r="Z3837" i="1" s="1"/>
  <c r="X3838" i="1"/>
  <c r="Z3838" i="1" s="1"/>
  <c r="X3839" i="1"/>
  <c r="Z3839" i="1" s="1"/>
  <c r="X3840" i="1"/>
  <c r="Z3840" i="1" s="1"/>
  <c r="X3841" i="1"/>
  <c r="Z3841" i="1" s="1"/>
  <c r="X3842" i="1"/>
  <c r="Z3842" i="1" s="1"/>
  <c r="X3843" i="1"/>
  <c r="Z3843" i="1" s="1"/>
  <c r="X3844" i="1"/>
  <c r="Z3844" i="1" s="1"/>
  <c r="X3845" i="1"/>
  <c r="Z3845" i="1" s="1"/>
  <c r="X3846" i="1"/>
  <c r="Z3846" i="1" s="1"/>
  <c r="X3847" i="1"/>
  <c r="Z3847" i="1" s="1"/>
  <c r="X3848" i="1"/>
  <c r="Z3848" i="1" s="1"/>
  <c r="X3849" i="1"/>
  <c r="Z3849" i="1" s="1"/>
  <c r="X3850" i="1"/>
  <c r="Z3850" i="1" s="1"/>
  <c r="X3851" i="1"/>
  <c r="Z3851" i="1" s="1"/>
  <c r="X3852" i="1"/>
  <c r="Z3852" i="1" s="1"/>
  <c r="X3853" i="1"/>
  <c r="Z3853" i="1" s="1"/>
  <c r="X3854" i="1"/>
  <c r="Z3854" i="1" s="1"/>
  <c r="X3855" i="1"/>
  <c r="Z3855" i="1" s="1"/>
  <c r="X3856" i="1"/>
  <c r="Z3856" i="1" s="1"/>
  <c r="X3857" i="1"/>
  <c r="Z3857" i="1" s="1"/>
  <c r="X3858" i="1"/>
  <c r="Z3858" i="1" s="1"/>
  <c r="X3859" i="1"/>
  <c r="Z3859" i="1" s="1"/>
  <c r="X3860" i="1"/>
  <c r="Z3860" i="1" s="1"/>
  <c r="X3861" i="1"/>
  <c r="Z3861" i="1" s="1"/>
  <c r="X3862" i="1"/>
  <c r="Z3862" i="1" s="1"/>
  <c r="X3863" i="1"/>
  <c r="Z3863" i="1" s="1"/>
  <c r="X3864" i="1"/>
  <c r="Z3864" i="1" s="1"/>
  <c r="X3865" i="1"/>
  <c r="Z3865" i="1" s="1"/>
  <c r="X3866" i="1"/>
  <c r="Z3866" i="1" s="1"/>
  <c r="X3867" i="1"/>
  <c r="Z3867" i="1" s="1"/>
  <c r="X3868" i="1"/>
  <c r="Z3868" i="1" s="1"/>
  <c r="X3869" i="1"/>
  <c r="Z3869" i="1" s="1"/>
  <c r="X3870" i="1"/>
  <c r="Z3870" i="1" s="1"/>
  <c r="X3871" i="1"/>
  <c r="Z3871" i="1" s="1"/>
  <c r="X3872" i="1"/>
  <c r="Z3872" i="1" s="1"/>
  <c r="X3873" i="1"/>
  <c r="Z3873" i="1" s="1"/>
  <c r="X3874" i="1"/>
  <c r="Z3874" i="1" s="1"/>
  <c r="X3875" i="1"/>
  <c r="Z3875" i="1" s="1"/>
  <c r="X3876" i="1"/>
  <c r="Z3876" i="1" s="1"/>
  <c r="X3877" i="1"/>
  <c r="Z3877" i="1" s="1"/>
  <c r="X3878" i="1"/>
  <c r="Z3878" i="1" s="1"/>
  <c r="X3879" i="1"/>
  <c r="Z3879" i="1" s="1"/>
  <c r="X3880" i="1"/>
  <c r="Z3880" i="1" s="1"/>
  <c r="X3881" i="1"/>
  <c r="Z3881" i="1" s="1"/>
  <c r="X3882" i="1"/>
  <c r="Z3882" i="1" s="1"/>
  <c r="X3883" i="1"/>
  <c r="Z3883" i="1" s="1"/>
  <c r="X3884" i="1"/>
  <c r="Z3884" i="1" s="1"/>
  <c r="X3885" i="1"/>
  <c r="Z3885" i="1" s="1"/>
  <c r="X3886" i="1"/>
  <c r="Z3886" i="1" s="1"/>
  <c r="X3887" i="1"/>
  <c r="Z3887" i="1" s="1"/>
  <c r="X3888" i="1"/>
  <c r="Z3888" i="1" s="1"/>
  <c r="X3889" i="1"/>
  <c r="Z3889" i="1" s="1"/>
  <c r="X3890" i="1"/>
  <c r="Z3890" i="1" s="1"/>
  <c r="X3891" i="1"/>
  <c r="Z3891" i="1" s="1"/>
  <c r="X3892" i="1"/>
  <c r="Z3892" i="1" s="1"/>
  <c r="X3893" i="1"/>
  <c r="Z3893" i="1" s="1"/>
  <c r="X3894" i="1"/>
  <c r="Z3894" i="1" s="1"/>
  <c r="X3895" i="1"/>
  <c r="Z3895" i="1" s="1"/>
  <c r="X3896" i="1"/>
  <c r="Z3896" i="1" s="1"/>
  <c r="X3897" i="1"/>
  <c r="Z3897" i="1" s="1"/>
  <c r="X3898" i="1"/>
  <c r="Z3898" i="1" s="1"/>
  <c r="X3899" i="1"/>
  <c r="Z3899" i="1" s="1"/>
  <c r="X3900" i="1"/>
  <c r="Z3900" i="1" s="1"/>
  <c r="X3901" i="1"/>
  <c r="Z3901" i="1" s="1"/>
  <c r="X3902" i="1"/>
  <c r="Z3902" i="1" s="1"/>
  <c r="X3903" i="1"/>
  <c r="Z3903" i="1" s="1"/>
  <c r="X3904" i="1"/>
  <c r="Z3904" i="1" s="1"/>
  <c r="X3905" i="1"/>
  <c r="Z3905" i="1" s="1"/>
  <c r="X3906" i="1"/>
  <c r="Z3906" i="1" s="1"/>
  <c r="X3907" i="1"/>
  <c r="Z3907" i="1" s="1"/>
  <c r="X3908" i="1"/>
  <c r="Z3908" i="1" s="1"/>
  <c r="X3909" i="1"/>
  <c r="Z3909" i="1" s="1"/>
  <c r="X3910" i="1"/>
  <c r="Z3910" i="1" s="1"/>
  <c r="X3911" i="1"/>
  <c r="Z3911" i="1" s="1"/>
  <c r="X3912" i="1"/>
  <c r="Z3912" i="1" s="1"/>
  <c r="X3913" i="1"/>
  <c r="Z3913" i="1" s="1"/>
  <c r="X3914" i="1"/>
  <c r="Z3914" i="1" s="1"/>
  <c r="X3915" i="1"/>
  <c r="Z3915" i="1" s="1"/>
  <c r="X3916" i="1"/>
  <c r="Z3916" i="1" s="1"/>
  <c r="X3917" i="1"/>
  <c r="Z3917" i="1" s="1"/>
  <c r="X3918" i="1"/>
  <c r="Z3918" i="1" s="1"/>
  <c r="X3919" i="1"/>
  <c r="Z3919" i="1" s="1"/>
  <c r="X3920" i="1"/>
  <c r="Z3920" i="1" s="1"/>
  <c r="X3921" i="1"/>
  <c r="Z3921" i="1" s="1"/>
  <c r="X3922" i="1"/>
  <c r="Z3922" i="1" s="1"/>
  <c r="X3923" i="1"/>
  <c r="Z3923" i="1" s="1"/>
  <c r="X3924" i="1"/>
  <c r="Z3924" i="1" s="1"/>
  <c r="X3925" i="1"/>
  <c r="Z3925" i="1" s="1"/>
  <c r="X3926" i="1"/>
  <c r="Z3926" i="1" s="1"/>
  <c r="X3927" i="1"/>
  <c r="Z3927" i="1" s="1"/>
  <c r="X3928" i="1"/>
  <c r="Z3928" i="1" s="1"/>
  <c r="X3929" i="1"/>
  <c r="Z3929" i="1" s="1"/>
  <c r="X3930" i="1"/>
  <c r="Z3930" i="1" s="1"/>
  <c r="X3931" i="1"/>
  <c r="Z3931" i="1" s="1"/>
  <c r="X3932" i="1"/>
  <c r="Z3932" i="1" s="1"/>
  <c r="X3933" i="1"/>
  <c r="Z3933" i="1" s="1"/>
  <c r="X3934" i="1"/>
  <c r="Z3934" i="1" s="1"/>
  <c r="X3935" i="1"/>
  <c r="Z3935" i="1" s="1"/>
  <c r="X3936" i="1"/>
  <c r="Z3936" i="1" s="1"/>
  <c r="X3937" i="1"/>
  <c r="Z3937" i="1" s="1"/>
  <c r="X3938" i="1"/>
  <c r="Z3938" i="1" s="1"/>
  <c r="X3939" i="1"/>
  <c r="Z3939" i="1" s="1"/>
  <c r="X3940" i="1"/>
  <c r="Z3940" i="1" s="1"/>
  <c r="X3941" i="1"/>
  <c r="Z3941" i="1" s="1"/>
  <c r="X3942" i="1"/>
  <c r="Z3942" i="1" s="1"/>
  <c r="X3943" i="1"/>
  <c r="Z3943" i="1" s="1"/>
  <c r="X3944" i="1"/>
  <c r="Z3944" i="1" s="1"/>
  <c r="X3945" i="1"/>
  <c r="Z3945" i="1" s="1"/>
  <c r="X3946" i="1"/>
  <c r="Z3946" i="1" s="1"/>
  <c r="X3947" i="1"/>
  <c r="Z3947" i="1" s="1"/>
  <c r="X3948" i="1"/>
  <c r="Z3948" i="1" s="1"/>
  <c r="X3949" i="1"/>
  <c r="Z3949" i="1" s="1"/>
  <c r="X3950" i="1"/>
  <c r="Z3950" i="1" s="1"/>
  <c r="X3951" i="1"/>
  <c r="Z3951" i="1" s="1"/>
  <c r="X3952" i="1"/>
  <c r="Z3952" i="1" s="1"/>
  <c r="X3953" i="1"/>
  <c r="Z3953" i="1" s="1"/>
  <c r="X3954" i="1"/>
  <c r="Z3954" i="1" s="1"/>
  <c r="X3955" i="1"/>
  <c r="Z3955" i="1" s="1"/>
  <c r="X3956" i="1"/>
  <c r="Z3956" i="1" s="1"/>
  <c r="X3957" i="1"/>
  <c r="Z3957" i="1" s="1"/>
  <c r="X3958" i="1"/>
  <c r="Z3958" i="1" s="1"/>
  <c r="X3959" i="1"/>
  <c r="Z3959" i="1" s="1"/>
  <c r="X3960" i="1"/>
  <c r="Z3960" i="1" s="1"/>
  <c r="X3961" i="1"/>
  <c r="Z3961" i="1" s="1"/>
  <c r="X3962" i="1"/>
  <c r="Z3962" i="1" s="1"/>
  <c r="X3963" i="1"/>
  <c r="Z3963" i="1" s="1"/>
  <c r="X3964" i="1"/>
  <c r="Z3964" i="1" s="1"/>
  <c r="X3965" i="1"/>
  <c r="Z3965" i="1" s="1"/>
  <c r="X3966" i="1"/>
  <c r="Z3966" i="1" s="1"/>
  <c r="X3967" i="1"/>
  <c r="Z3967" i="1" s="1"/>
  <c r="X3968" i="1"/>
  <c r="Z3968" i="1" s="1"/>
  <c r="X3969" i="1"/>
  <c r="Z3969" i="1" s="1"/>
  <c r="X3970" i="1"/>
  <c r="Z3970" i="1" s="1"/>
  <c r="X3971" i="1"/>
  <c r="Z3971" i="1" s="1"/>
  <c r="X3972" i="1"/>
  <c r="Z3972" i="1" s="1"/>
  <c r="X3973" i="1"/>
  <c r="Z3973" i="1" s="1"/>
  <c r="X3974" i="1"/>
  <c r="Z3974" i="1" s="1"/>
  <c r="X3975" i="1"/>
  <c r="Z3975" i="1" s="1"/>
  <c r="X3976" i="1"/>
  <c r="Z3976" i="1" s="1"/>
  <c r="X3977" i="1"/>
  <c r="Z3977" i="1" s="1"/>
  <c r="X3978" i="1"/>
  <c r="Z3978" i="1" s="1"/>
  <c r="X3979" i="1"/>
  <c r="Z3979" i="1" s="1"/>
  <c r="X3980" i="1"/>
  <c r="Z3980" i="1" s="1"/>
  <c r="X3981" i="1"/>
  <c r="Z3981" i="1" s="1"/>
  <c r="X3982" i="1"/>
  <c r="Z3982" i="1" s="1"/>
  <c r="X3983" i="1"/>
  <c r="Z3983" i="1" s="1"/>
  <c r="X3984" i="1"/>
  <c r="Z3984" i="1" s="1"/>
  <c r="X3985" i="1"/>
  <c r="Z3985" i="1" s="1"/>
  <c r="X3986" i="1"/>
  <c r="Z3986" i="1" s="1"/>
  <c r="X3987" i="1"/>
  <c r="Z3987" i="1" s="1"/>
  <c r="X3988" i="1"/>
  <c r="Z3988" i="1" s="1"/>
  <c r="X3989" i="1"/>
  <c r="Z3989" i="1" s="1"/>
  <c r="X3990" i="1"/>
  <c r="Z3990" i="1" s="1"/>
  <c r="X3991" i="1"/>
  <c r="Z3991" i="1" s="1"/>
  <c r="X3992" i="1"/>
  <c r="Z3992" i="1" s="1"/>
  <c r="X3993" i="1"/>
  <c r="Z3993" i="1" s="1"/>
  <c r="X3994" i="1"/>
  <c r="Z3994" i="1" s="1"/>
  <c r="X3995" i="1"/>
  <c r="Z3995" i="1" s="1"/>
  <c r="X3996" i="1"/>
  <c r="Z3996" i="1" s="1"/>
  <c r="X3997" i="1"/>
  <c r="Z3997" i="1" s="1"/>
  <c r="X3998" i="1"/>
  <c r="Z3998" i="1" s="1"/>
  <c r="X3999" i="1"/>
  <c r="Z3999" i="1" s="1"/>
  <c r="X4000" i="1"/>
  <c r="Z4000" i="1" s="1"/>
  <c r="X4001" i="1"/>
  <c r="Z4001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AA2029" i="1" s="1"/>
  <c r="AB2029" i="1" s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W2756" i="1" s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AA2869" i="1" s="1"/>
  <c r="AB2869" i="1" s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W3124" i="1" s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AA3141" i="1" s="1"/>
  <c r="AB3141" i="1" s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W3167" i="1" s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W3311" i="1" s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W3479" i="1" s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AA3791" i="1" s="1"/>
  <c r="AB3791" i="1" s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W3847" i="1" s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E25" i="4" l="1"/>
  <c r="E24" i="4"/>
  <c r="E23" i="4"/>
  <c r="E22" i="4"/>
  <c r="E21" i="4"/>
  <c r="E20" i="4"/>
  <c r="E19" i="4"/>
  <c r="E30" i="4"/>
  <c r="D30" i="4"/>
  <c r="E31" i="4"/>
  <c r="D31" i="4"/>
  <c r="E32" i="4"/>
  <c r="D32" i="4"/>
  <c r="AA1996" i="1"/>
  <c r="AB1996" i="1" s="1"/>
  <c r="AA3980" i="1"/>
  <c r="AB3980" i="1" s="1"/>
  <c r="AA3908" i="1"/>
  <c r="AB3908" i="1" s="1"/>
  <c r="AA3836" i="1"/>
  <c r="AB3836" i="1" s="1"/>
  <c r="AA3780" i="1"/>
  <c r="AB3780" i="1" s="1"/>
  <c r="AA3716" i="1"/>
  <c r="AB3716" i="1" s="1"/>
  <c r="AA3660" i="1"/>
  <c r="AB3660" i="1" s="1"/>
  <c r="AA3604" i="1"/>
  <c r="AB3604" i="1" s="1"/>
  <c r="AA3548" i="1"/>
  <c r="AB3548" i="1" s="1"/>
  <c r="AA3500" i="1"/>
  <c r="AB3500" i="1" s="1"/>
  <c r="AA3436" i="1"/>
  <c r="AB3436" i="1" s="1"/>
  <c r="AA3380" i="1"/>
  <c r="AB3380" i="1" s="1"/>
  <c r="AA3324" i="1"/>
  <c r="AB3324" i="1" s="1"/>
  <c r="AA3252" i="1"/>
  <c r="AB3252" i="1" s="1"/>
  <c r="AA3188" i="1"/>
  <c r="AB3188" i="1" s="1"/>
  <c r="AA3124" i="1"/>
  <c r="AB3124" i="1" s="1"/>
  <c r="AA3060" i="1"/>
  <c r="AB3060" i="1" s="1"/>
  <c r="AA3004" i="1"/>
  <c r="AB3004" i="1" s="1"/>
  <c r="AA2948" i="1"/>
  <c r="AB2948" i="1" s="1"/>
  <c r="AA2892" i="1"/>
  <c r="AB2892" i="1" s="1"/>
  <c r="AA2836" i="1"/>
  <c r="AB2836" i="1" s="1"/>
  <c r="AA2780" i="1"/>
  <c r="AB2780" i="1" s="1"/>
  <c r="AA2724" i="1"/>
  <c r="AB2724" i="1" s="1"/>
  <c r="AA2652" i="1"/>
  <c r="AB2652" i="1" s="1"/>
  <c r="AA2580" i="1"/>
  <c r="AB2580" i="1" s="1"/>
  <c r="AA2476" i="1"/>
  <c r="AB2476" i="1" s="1"/>
  <c r="AA2316" i="1"/>
  <c r="AB2316" i="1" s="1"/>
  <c r="AA1964" i="1"/>
  <c r="AB1964" i="1" s="1"/>
  <c r="AA3996" i="1"/>
  <c r="AB3996" i="1" s="1"/>
  <c r="AA3932" i="1"/>
  <c r="AB3932" i="1" s="1"/>
  <c r="AA3868" i="1"/>
  <c r="AB3868" i="1" s="1"/>
  <c r="AA3812" i="1"/>
  <c r="AB3812" i="1" s="1"/>
  <c r="AA3756" i="1"/>
  <c r="AB3756" i="1" s="1"/>
  <c r="AA3700" i="1"/>
  <c r="AB3700" i="1" s="1"/>
  <c r="AA3644" i="1"/>
  <c r="AB3644" i="1" s="1"/>
  <c r="AA3588" i="1"/>
  <c r="AB3588" i="1" s="1"/>
  <c r="AA3532" i="1"/>
  <c r="AB3532" i="1" s="1"/>
  <c r="AA3484" i="1"/>
  <c r="AB3484" i="1" s="1"/>
  <c r="AA3428" i="1"/>
  <c r="AB3428" i="1" s="1"/>
  <c r="AA3364" i="1"/>
  <c r="AB3364" i="1" s="1"/>
  <c r="AA3308" i="1"/>
  <c r="AB3308" i="1" s="1"/>
  <c r="AA3260" i="1"/>
  <c r="AB3260" i="1" s="1"/>
  <c r="AA3212" i="1"/>
  <c r="AB3212" i="1" s="1"/>
  <c r="AA3156" i="1"/>
  <c r="AB3156" i="1" s="1"/>
  <c r="AA3092" i="1"/>
  <c r="AB3092" i="1" s="1"/>
  <c r="AA3020" i="1"/>
  <c r="AB3020" i="1" s="1"/>
  <c r="AA2964" i="1"/>
  <c r="AB2964" i="1" s="1"/>
  <c r="AA2916" i="1"/>
  <c r="AB2916" i="1" s="1"/>
  <c r="AA2860" i="1"/>
  <c r="AB2860" i="1" s="1"/>
  <c r="AA2804" i="1"/>
  <c r="AB2804" i="1" s="1"/>
  <c r="AA2748" i="1"/>
  <c r="AB2748" i="1" s="1"/>
  <c r="AA2692" i="1"/>
  <c r="AB2692" i="1" s="1"/>
  <c r="AA2636" i="1"/>
  <c r="AB2636" i="1" s="1"/>
  <c r="AA2588" i="1"/>
  <c r="AB2588" i="1" s="1"/>
  <c r="AA2532" i="1"/>
  <c r="AB2532" i="1" s="1"/>
  <c r="AA2484" i="1"/>
  <c r="AB2484" i="1" s="1"/>
  <c r="AA2428" i="1"/>
  <c r="AB2428" i="1" s="1"/>
  <c r="AA2380" i="1"/>
  <c r="AB2380" i="1" s="1"/>
  <c r="AA2332" i="1"/>
  <c r="AB2332" i="1" s="1"/>
  <c r="AA2268" i="1"/>
  <c r="AB2268" i="1" s="1"/>
  <c r="AA2220" i="1"/>
  <c r="AB2220" i="1" s="1"/>
  <c r="AA2172" i="1"/>
  <c r="AB2172" i="1" s="1"/>
  <c r="AA1980" i="1"/>
  <c r="AB1980" i="1" s="1"/>
  <c r="AA3964" i="1"/>
  <c r="AB3964" i="1" s="1"/>
  <c r="AA3924" i="1"/>
  <c r="AB3924" i="1" s="1"/>
  <c r="AA3876" i="1"/>
  <c r="AB3876" i="1" s="1"/>
  <c r="AA3820" i="1"/>
  <c r="AB3820" i="1" s="1"/>
  <c r="AA3764" i="1"/>
  <c r="AB3764" i="1" s="1"/>
  <c r="AA3708" i="1"/>
  <c r="AB3708" i="1" s="1"/>
  <c r="AA3652" i="1"/>
  <c r="AB3652" i="1" s="1"/>
  <c r="AA3596" i="1"/>
  <c r="AB3596" i="1" s="1"/>
  <c r="AA3540" i="1"/>
  <c r="AB3540" i="1" s="1"/>
  <c r="AA3476" i="1"/>
  <c r="AB3476" i="1" s="1"/>
  <c r="AA3420" i="1"/>
  <c r="AB3420" i="1" s="1"/>
  <c r="AA3372" i="1"/>
  <c r="AB3372" i="1" s="1"/>
  <c r="AA3316" i="1"/>
  <c r="AB3316" i="1" s="1"/>
  <c r="AA3268" i="1"/>
  <c r="AB3268" i="1" s="1"/>
  <c r="AA3204" i="1"/>
  <c r="AB3204" i="1" s="1"/>
  <c r="AA3148" i="1"/>
  <c r="AB3148" i="1" s="1"/>
  <c r="AA3100" i="1"/>
  <c r="AB3100" i="1" s="1"/>
  <c r="AA3028" i="1"/>
  <c r="AB3028" i="1" s="1"/>
  <c r="AA2972" i="1"/>
  <c r="AB2972" i="1" s="1"/>
  <c r="AA2900" i="1"/>
  <c r="AB2900" i="1" s="1"/>
  <c r="AA2852" i="1"/>
  <c r="AB2852" i="1" s="1"/>
  <c r="AA2796" i="1"/>
  <c r="AB2796" i="1" s="1"/>
  <c r="AA2740" i="1"/>
  <c r="AB2740" i="1" s="1"/>
  <c r="AA2684" i="1"/>
  <c r="AB2684" i="1" s="1"/>
  <c r="AA2628" i="1"/>
  <c r="AB2628" i="1" s="1"/>
  <c r="AA2572" i="1"/>
  <c r="AB2572" i="1" s="1"/>
  <c r="AA2516" i="1"/>
  <c r="AB2516" i="1" s="1"/>
  <c r="AA2452" i="1"/>
  <c r="AB2452" i="1" s="1"/>
  <c r="AA2396" i="1"/>
  <c r="AB2396" i="1" s="1"/>
  <c r="AA2340" i="1"/>
  <c r="AB2340" i="1" s="1"/>
  <c r="AA2284" i="1"/>
  <c r="AB2284" i="1" s="1"/>
  <c r="AA2228" i="1"/>
  <c r="AB2228" i="1" s="1"/>
  <c r="AA2148" i="1"/>
  <c r="AB2148" i="1" s="1"/>
  <c r="AA1972" i="1"/>
  <c r="AB1972" i="1" s="1"/>
  <c r="AA3972" i="1"/>
  <c r="AB3972" i="1" s="1"/>
  <c r="AA3892" i="1"/>
  <c r="AB3892" i="1" s="1"/>
  <c r="AA3844" i="1"/>
  <c r="AB3844" i="1" s="1"/>
  <c r="AA3788" i="1"/>
  <c r="AB3788" i="1" s="1"/>
  <c r="AA3732" i="1"/>
  <c r="AB3732" i="1" s="1"/>
  <c r="AA3668" i="1"/>
  <c r="AB3668" i="1" s="1"/>
  <c r="AA3612" i="1"/>
  <c r="AB3612" i="1" s="1"/>
  <c r="AA3564" i="1"/>
  <c r="AB3564" i="1" s="1"/>
  <c r="AA3508" i="1"/>
  <c r="AB3508" i="1" s="1"/>
  <c r="AA3452" i="1"/>
  <c r="AB3452" i="1" s="1"/>
  <c r="AA3396" i="1"/>
  <c r="AB3396" i="1" s="1"/>
  <c r="AA3340" i="1"/>
  <c r="AB3340" i="1" s="1"/>
  <c r="AA3284" i="1"/>
  <c r="AB3284" i="1" s="1"/>
  <c r="AA3228" i="1"/>
  <c r="AB3228" i="1" s="1"/>
  <c r="AA3172" i="1"/>
  <c r="AB3172" i="1" s="1"/>
  <c r="AA3116" i="1"/>
  <c r="AB3116" i="1" s="1"/>
  <c r="AA3068" i="1"/>
  <c r="AB3068" i="1" s="1"/>
  <c r="AA3012" i="1"/>
  <c r="AB3012" i="1" s="1"/>
  <c r="AA2956" i="1"/>
  <c r="AB2956" i="1" s="1"/>
  <c r="AA2908" i="1"/>
  <c r="AB2908" i="1" s="1"/>
  <c r="AA2844" i="1"/>
  <c r="AB2844" i="1" s="1"/>
  <c r="AA2788" i="1"/>
  <c r="AB2788" i="1" s="1"/>
  <c r="AA2732" i="1"/>
  <c r="AB2732" i="1" s="1"/>
  <c r="AA2676" i="1"/>
  <c r="AB2676" i="1" s="1"/>
  <c r="AA2620" i="1"/>
  <c r="AB2620" i="1" s="1"/>
  <c r="AA2564" i="1"/>
  <c r="AB2564" i="1" s="1"/>
  <c r="AA2508" i="1"/>
  <c r="AB2508" i="1" s="1"/>
  <c r="AA2460" i="1"/>
  <c r="AB2460" i="1" s="1"/>
  <c r="AA2404" i="1"/>
  <c r="AB2404" i="1" s="1"/>
  <c r="AA2356" i="1"/>
  <c r="AB2356" i="1" s="1"/>
  <c r="AA2300" i="1"/>
  <c r="AB2300" i="1" s="1"/>
  <c r="AA2244" i="1"/>
  <c r="AB2244" i="1" s="1"/>
  <c r="AA2204" i="1"/>
  <c r="AB2204" i="1" s="1"/>
  <c r="AA2140" i="1"/>
  <c r="AB2140" i="1" s="1"/>
  <c r="AA2108" i="1"/>
  <c r="AB2108" i="1" s="1"/>
  <c r="AA2076" i="1"/>
  <c r="AB2076" i="1" s="1"/>
  <c r="AA2028" i="1"/>
  <c r="AB2028" i="1" s="1"/>
  <c r="AA1948" i="1"/>
  <c r="AB1948" i="1" s="1"/>
  <c r="AA3948" i="1"/>
  <c r="AB3948" i="1" s="1"/>
  <c r="AA3900" i="1"/>
  <c r="AB3900" i="1" s="1"/>
  <c r="AA3852" i="1"/>
  <c r="AB3852" i="1" s="1"/>
  <c r="AA3796" i="1"/>
  <c r="AB3796" i="1" s="1"/>
  <c r="AA3740" i="1"/>
  <c r="AB3740" i="1" s="1"/>
  <c r="AA3692" i="1"/>
  <c r="AB3692" i="1" s="1"/>
  <c r="AA3636" i="1"/>
  <c r="AB3636" i="1" s="1"/>
  <c r="AA3580" i="1"/>
  <c r="AB3580" i="1" s="1"/>
  <c r="AA3524" i="1"/>
  <c r="AB3524" i="1" s="1"/>
  <c r="AA3460" i="1"/>
  <c r="AB3460" i="1" s="1"/>
  <c r="AA3404" i="1"/>
  <c r="AB3404" i="1" s="1"/>
  <c r="AA3348" i="1"/>
  <c r="AB3348" i="1" s="1"/>
  <c r="AA3292" i="1"/>
  <c r="AB3292" i="1" s="1"/>
  <c r="AA3244" i="1"/>
  <c r="AB3244" i="1" s="1"/>
  <c r="AA3180" i="1"/>
  <c r="AB3180" i="1" s="1"/>
  <c r="AA3132" i="1"/>
  <c r="AB3132" i="1" s="1"/>
  <c r="AA3076" i="1"/>
  <c r="AB3076" i="1" s="1"/>
  <c r="AA3044" i="1"/>
  <c r="AB3044" i="1" s="1"/>
  <c r="AA2988" i="1"/>
  <c r="AB2988" i="1" s="1"/>
  <c r="AA2932" i="1"/>
  <c r="AB2932" i="1" s="1"/>
  <c r="AA2876" i="1"/>
  <c r="AB2876" i="1" s="1"/>
  <c r="AA2820" i="1"/>
  <c r="AB2820" i="1" s="1"/>
  <c r="AA2772" i="1"/>
  <c r="AB2772" i="1" s="1"/>
  <c r="AA2716" i="1"/>
  <c r="AB2716" i="1" s="1"/>
  <c r="AA2668" i="1"/>
  <c r="AB2668" i="1" s="1"/>
  <c r="AA2612" i="1"/>
  <c r="AB2612" i="1" s="1"/>
  <c r="AA2556" i="1"/>
  <c r="AB2556" i="1" s="1"/>
  <c r="AA2524" i="1"/>
  <c r="AB2524" i="1" s="1"/>
  <c r="AA2468" i="1"/>
  <c r="AB2468" i="1" s="1"/>
  <c r="AA2420" i="1"/>
  <c r="AB2420" i="1" s="1"/>
  <c r="AA2372" i="1"/>
  <c r="AB2372" i="1" s="1"/>
  <c r="AA2324" i="1"/>
  <c r="AB2324" i="1" s="1"/>
  <c r="AA2276" i="1"/>
  <c r="AB2276" i="1" s="1"/>
  <c r="AA2236" i="1"/>
  <c r="AB2236" i="1" s="1"/>
  <c r="AA2196" i="1"/>
  <c r="AB2196" i="1" s="1"/>
  <c r="AA2164" i="1"/>
  <c r="AB2164" i="1" s="1"/>
  <c r="AA2116" i="1"/>
  <c r="AB2116" i="1" s="1"/>
  <c r="AA2084" i="1"/>
  <c r="AB2084" i="1" s="1"/>
  <c r="AA2052" i="1"/>
  <c r="AB2052" i="1" s="1"/>
  <c r="AA2020" i="1"/>
  <c r="AB2020" i="1" s="1"/>
  <c r="AA1956" i="1"/>
  <c r="AB1956" i="1" s="1"/>
  <c r="AA3988" i="1"/>
  <c r="AB3988" i="1" s="1"/>
  <c r="AA3940" i="1"/>
  <c r="AB3940" i="1" s="1"/>
  <c r="AA3884" i="1"/>
  <c r="AB3884" i="1" s="1"/>
  <c r="AA3828" i="1"/>
  <c r="AB3828" i="1" s="1"/>
  <c r="AA3772" i="1"/>
  <c r="AB3772" i="1" s="1"/>
  <c r="AA3724" i="1"/>
  <c r="AB3724" i="1" s="1"/>
  <c r="AA3676" i="1"/>
  <c r="AB3676" i="1" s="1"/>
  <c r="AA3628" i="1"/>
  <c r="AB3628" i="1" s="1"/>
  <c r="AA3572" i="1"/>
  <c r="AB3572" i="1" s="1"/>
  <c r="AA3516" i="1"/>
  <c r="AB3516" i="1" s="1"/>
  <c r="AA3468" i="1"/>
  <c r="AB3468" i="1" s="1"/>
  <c r="AA3412" i="1"/>
  <c r="AB3412" i="1" s="1"/>
  <c r="AA3356" i="1"/>
  <c r="AB3356" i="1" s="1"/>
  <c r="AA3300" i="1"/>
  <c r="AB3300" i="1" s="1"/>
  <c r="AA3236" i="1"/>
  <c r="AB3236" i="1" s="1"/>
  <c r="AA3196" i="1"/>
  <c r="AB3196" i="1" s="1"/>
  <c r="AA3140" i="1"/>
  <c r="AB3140" i="1" s="1"/>
  <c r="AA3084" i="1"/>
  <c r="AB3084" i="1" s="1"/>
  <c r="AA3036" i="1"/>
  <c r="AB3036" i="1" s="1"/>
  <c r="AA2996" i="1"/>
  <c r="AB2996" i="1" s="1"/>
  <c r="AA2940" i="1"/>
  <c r="AB2940" i="1" s="1"/>
  <c r="AA2884" i="1"/>
  <c r="AB2884" i="1" s="1"/>
  <c r="AA2828" i="1"/>
  <c r="AB2828" i="1" s="1"/>
  <c r="AA2764" i="1"/>
  <c r="AB2764" i="1" s="1"/>
  <c r="AA2708" i="1"/>
  <c r="AB2708" i="1" s="1"/>
  <c r="AA2644" i="1"/>
  <c r="AB2644" i="1" s="1"/>
  <c r="AA2596" i="1"/>
  <c r="AB2596" i="1" s="1"/>
  <c r="AA2540" i="1"/>
  <c r="AB2540" i="1" s="1"/>
  <c r="AA2492" i="1"/>
  <c r="AB2492" i="1" s="1"/>
  <c r="AA2444" i="1"/>
  <c r="AB2444" i="1" s="1"/>
  <c r="AA2412" i="1"/>
  <c r="AB2412" i="1" s="1"/>
  <c r="AA2364" i="1"/>
  <c r="AB2364" i="1" s="1"/>
  <c r="AA2308" i="1"/>
  <c r="AB2308" i="1" s="1"/>
  <c r="AA2260" i="1"/>
  <c r="AB2260" i="1" s="1"/>
  <c r="AA2212" i="1"/>
  <c r="AB2212" i="1" s="1"/>
  <c r="AA2180" i="1"/>
  <c r="AB2180" i="1" s="1"/>
  <c r="AA2156" i="1"/>
  <c r="AB2156" i="1" s="1"/>
  <c r="AA2124" i="1"/>
  <c r="AB2124" i="1" s="1"/>
  <c r="AA2092" i="1"/>
  <c r="AB2092" i="1" s="1"/>
  <c r="AA2060" i="1"/>
  <c r="AB2060" i="1" s="1"/>
  <c r="AA2036" i="1"/>
  <c r="AB2036" i="1" s="1"/>
  <c r="AA2012" i="1"/>
  <c r="AB2012" i="1" s="1"/>
  <c r="AA1988" i="1"/>
  <c r="AB1988" i="1" s="1"/>
  <c r="AA3956" i="1"/>
  <c r="AB3956" i="1" s="1"/>
  <c r="AA3916" i="1"/>
  <c r="AB3916" i="1" s="1"/>
  <c r="AA3860" i="1"/>
  <c r="AB3860" i="1" s="1"/>
  <c r="AA3804" i="1"/>
  <c r="AB3804" i="1" s="1"/>
  <c r="AA3748" i="1"/>
  <c r="AB3748" i="1" s="1"/>
  <c r="AA3684" i="1"/>
  <c r="AB3684" i="1" s="1"/>
  <c r="AA3620" i="1"/>
  <c r="AB3620" i="1" s="1"/>
  <c r="AA3556" i="1"/>
  <c r="AB3556" i="1" s="1"/>
  <c r="AA3492" i="1"/>
  <c r="AB3492" i="1" s="1"/>
  <c r="AA3444" i="1"/>
  <c r="AB3444" i="1" s="1"/>
  <c r="AA3388" i="1"/>
  <c r="AB3388" i="1" s="1"/>
  <c r="AA3332" i="1"/>
  <c r="AB3332" i="1" s="1"/>
  <c r="AA3276" i="1"/>
  <c r="AB3276" i="1" s="1"/>
  <c r="AA3220" i="1"/>
  <c r="AB3220" i="1" s="1"/>
  <c r="AA3164" i="1"/>
  <c r="AB3164" i="1" s="1"/>
  <c r="AA3108" i="1"/>
  <c r="AB3108" i="1" s="1"/>
  <c r="AA3052" i="1"/>
  <c r="AB3052" i="1" s="1"/>
  <c r="AA2980" i="1"/>
  <c r="AB2980" i="1" s="1"/>
  <c r="AA2924" i="1"/>
  <c r="AB2924" i="1" s="1"/>
  <c r="AA2868" i="1"/>
  <c r="AB2868" i="1" s="1"/>
  <c r="AA2812" i="1"/>
  <c r="AB2812" i="1" s="1"/>
  <c r="AA2756" i="1"/>
  <c r="AB2756" i="1" s="1"/>
  <c r="AA2700" i="1"/>
  <c r="AB2700" i="1" s="1"/>
  <c r="AA2660" i="1"/>
  <c r="AB2660" i="1" s="1"/>
  <c r="AA2604" i="1"/>
  <c r="AB2604" i="1" s="1"/>
  <c r="AA2548" i="1"/>
  <c r="AB2548" i="1" s="1"/>
  <c r="AA2500" i="1"/>
  <c r="AB2500" i="1" s="1"/>
  <c r="AA2436" i="1"/>
  <c r="AB2436" i="1" s="1"/>
  <c r="AA2388" i="1"/>
  <c r="AB2388" i="1" s="1"/>
  <c r="AA2348" i="1"/>
  <c r="AB2348" i="1" s="1"/>
  <c r="AA2292" i="1"/>
  <c r="AB2292" i="1" s="1"/>
  <c r="AA2252" i="1"/>
  <c r="AB2252" i="1" s="1"/>
  <c r="AA2188" i="1"/>
  <c r="AB2188" i="1" s="1"/>
  <c r="AA2132" i="1"/>
  <c r="AB2132" i="1" s="1"/>
  <c r="AA2100" i="1"/>
  <c r="AB2100" i="1" s="1"/>
  <c r="AA2068" i="1"/>
  <c r="AB2068" i="1" s="1"/>
  <c r="AA2044" i="1"/>
  <c r="AB2044" i="1" s="1"/>
  <c r="AA2004" i="1"/>
  <c r="AB2004" i="1" s="1"/>
  <c r="AA1940" i="1"/>
  <c r="AB1940" i="1" s="1"/>
  <c r="AA1908" i="1"/>
  <c r="AB1908" i="1" s="1"/>
  <c r="AA1852" i="1"/>
  <c r="AB1852" i="1" s="1"/>
  <c r="AA1804" i="1"/>
  <c r="AB1804" i="1" s="1"/>
  <c r="AA1756" i="1"/>
  <c r="AB1756" i="1" s="1"/>
  <c r="AA1692" i="1"/>
  <c r="AB1692" i="1" s="1"/>
  <c r="AA1636" i="1"/>
  <c r="AB1636" i="1" s="1"/>
  <c r="AA1564" i="1"/>
  <c r="AB1564" i="1" s="1"/>
  <c r="AA1380" i="1"/>
  <c r="AB1380" i="1" s="1"/>
  <c r="AA52" i="1"/>
  <c r="AB52" i="1" s="1"/>
  <c r="AA4000" i="1"/>
  <c r="AB4000" i="1" s="1"/>
  <c r="AA3992" i="1"/>
  <c r="AB3992" i="1" s="1"/>
  <c r="AA3984" i="1"/>
  <c r="AB3984" i="1" s="1"/>
  <c r="AA3976" i="1"/>
  <c r="AB3976" i="1" s="1"/>
  <c r="AA3968" i="1"/>
  <c r="AB3968" i="1" s="1"/>
  <c r="AA3960" i="1"/>
  <c r="AB3960" i="1" s="1"/>
  <c r="AA3952" i="1"/>
  <c r="AB3952" i="1" s="1"/>
  <c r="AA3944" i="1"/>
  <c r="AB3944" i="1" s="1"/>
  <c r="AA3936" i="1"/>
  <c r="AB3936" i="1" s="1"/>
  <c r="AA3928" i="1"/>
  <c r="AB3928" i="1" s="1"/>
  <c r="AA3920" i="1"/>
  <c r="AB3920" i="1" s="1"/>
  <c r="AA3912" i="1"/>
  <c r="AB3912" i="1" s="1"/>
  <c r="AA3904" i="1"/>
  <c r="AB3904" i="1" s="1"/>
  <c r="AA3896" i="1"/>
  <c r="AB3896" i="1" s="1"/>
  <c r="AA3888" i="1"/>
  <c r="AB3888" i="1" s="1"/>
  <c r="AA3880" i="1"/>
  <c r="AB3880" i="1" s="1"/>
  <c r="AA3872" i="1"/>
  <c r="AB3872" i="1" s="1"/>
  <c r="AA3864" i="1"/>
  <c r="AB3864" i="1" s="1"/>
  <c r="AA3856" i="1"/>
  <c r="AB3856" i="1" s="1"/>
  <c r="AA3848" i="1"/>
  <c r="AB3848" i="1" s="1"/>
  <c r="AA3840" i="1"/>
  <c r="AB3840" i="1" s="1"/>
  <c r="AA3832" i="1"/>
  <c r="AB3832" i="1" s="1"/>
  <c r="AA3824" i="1"/>
  <c r="AB3824" i="1" s="1"/>
  <c r="AA3816" i="1"/>
  <c r="AB3816" i="1" s="1"/>
  <c r="AA3808" i="1"/>
  <c r="AB3808" i="1" s="1"/>
  <c r="AA3800" i="1"/>
  <c r="AB3800" i="1" s="1"/>
  <c r="AA3792" i="1"/>
  <c r="AB3792" i="1" s="1"/>
  <c r="AA3784" i="1"/>
  <c r="AB3784" i="1" s="1"/>
  <c r="AA3776" i="1"/>
  <c r="AB3776" i="1" s="1"/>
  <c r="AA3768" i="1"/>
  <c r="AB3768" i="1" s="1"/>
  <c r="AA3760" i="1"/>
  <c r="AB3760" i="1" s="1"/>
  <c r="AA3752" i="1"/>
  <c r="AB3752" i="1" s="1"/>
  <c r="AA3744" i="1"/>
  <c r="AB3744" i="1" s="1"/>
  <c r="AA3736" i="1"/>
  <c r="AB3736" i="1" s="1"/>
  <c r="AA3728" i="1"/>
  <c r="AB3728" i="1" s="1"/>
  <c r="AA3720" i="1"/>
  <c r="AB3720" i="1" s="1"/>
  <c r="AA3712" i="1"/>
  <c r="AB3712" i="1" s="1"/>
  <c r="AA3704" i="1"/>
  <c r="AB3704" i="1" s="1"/>
  <c r="AA3696" i="1"/>
  <c r="AB3696" i="1" s="1"/>
  <c r="AA3688" i="1"/>
  <c r="AB3688" i="1" s="1"/>
  <c r="AA3680" i="1"/>
  <c r="AB3680" i="1" s="1"/>
  <c r="AA3672" i="1"/>
  <c r="AB3672" i="1" s="1"/>
  <c r="AA3664" i="1"/>
  <c r="AB3664" i="1" s="1"/>
  <c r="AA3656" i="1"/>
  <c r="AB3656" i="1" s="1"/>
  <c r="AA3648" i="1"/>
  <c r="AB3648" i="1" s="1"/>
  <c r="AA3640" i="1"/>
  <c r="AB3640" i="1" s="1"/>
  <c r="AA3632" i="1"/>
  <c r="AB3632" i="1" s="1"/>
  <c r="AA3624" i="1"/>
  <c r="AB3624" i="1" s="1"/>
  <c r="AA3616" i="1"/>
  <c r="AB3616" i="1" s="1"/>
  <c r="AA3608" i="1"/>
  <c r="AB3608" i="1" s="1"/>
  <c r="AA3600" i="1"/>
  <c r="AB3600" i="1" s="1"/>
  <c r="AA3592" i="1"/>
  <c r="AB3592" i="1" s="1"/>
  <c r="AA3584" i="1"/>
  <c r="AB3584" i="1" s="1"/>
  <c r="AA3576" i="1"/>
  <c r="AB3576" i="1" s="1"/>
  <c r="AA3568" i="1"/>
  <c r="AB3568" i="1" s="1"/>
  <c r="AA3560" i="1"/>
  <c r="AB3560" i="1" s="1"/>
  <c r="AA3552" i="1"/>
  <c r="AB3552" i="1" s="1"/>
  <c r="AA3544" i="1"/>
  <c r="AB3544" i="1" s="1"/>
  <c r="AA3536" i="1"/>
  <c r="AB3536" i="1" s="1"/>
  <c r="AA3528" i="1"/>
  <c r="AB3528" i="1" s="1"/>
  <c r="AA3520" i="1"/>
  <c r="AB3520" i="1" s="1"/>
  <c r="AA3512" i="1"/>
  <c r="AB3512" i="1" s="1"/>
  <c r="AA3504" i="1"/>
  <c r="AB3504" i="1" s="1"/>
  <c r="AA3496" i="1"/>
  <c r="AB3496" i="1" s="1"/>
  <c r="AA3488" i="1"/>
  <c r="AB3488" i="1" s="1"/>
  <c r="AA3480" i="1"/>
  <c r="AB3480" i="1" s="1"/>
  <c r="AA3472" i="1"/>
  <c r="AB3472" i="1" s="1"/>
  <c r="AA3464" i="1"/>
  <c r="AB3464" i="1" s="1"/>
  <c r="AA3456" i="1"/>
  <c r="AB3456" i="1" s="1"/>
  <c r="AA3448" i="1"/>
  <c r="AB3448" i="1" s="1"/>
  <c r="AA3440" i="1"/>
  <c r="AB3440" i="1" s="1"/>
  <c r="AA3432" i="1"/>
  <c r="AB3432" i="1" s="1"/>
  <c r="AA3424" i="1"/>
  <c r="AB3424" i="1" s="1"/>
  <c r="AA3416" i="1"/>
  <c r="AB3416" i="1" s="1"/>
  <c r="AA3408" i="1"/>
  <c r="AB3408" i="1" s="1"/>
  <c r="AA3400" i="1"/>
  <c r="AB3400" i="1" s="1"/>
  <c r="AA3392" i="1"/>
  <c r="AB3392" i="1" s="1"/>
  <c r="AA3384" i="1"/>
  <c r="AB3384" i="1" s="1"/>
  <c r="AA3376" i="1"/>
  <c r="AB3376" i="1" s="1"/>
  <c r="AA3368" i="1"/>
  <c r="AB3368" i="1" s="1"/>
  <c r="AA3360" i="1"/>
  <c r="AB3360" i="1" s="1"/>
  <c r="AA3352" i="1"/>
  <c r="AB3352" i="1" s="1"/>
  <c r="AA3344" i="1"/>
  <c r="AB3344" i="1" s="1"/>
  <c r="AA3336" i="1"/>
  <c r="AB3336" i="1" s="1"/>
  <c r="AA3328" i="1"/>
  <c r="AB3328" i="1" s="1"/>
  <c r="AA3320" i="1"/>
  <c r="AB3320" i="1" s="1"/>
  <c r="AA3312" i="1"/>
  <c r="AB3312" i="1" s="1"/>
  <c r="AA3304" i="1"/>
  <c r="AB3304" i="1" s="1"/>
  <c r="AA3296" i="1"/>
  <c r="AB3296" i="1" s="1"/>
  <c r="AA3288" i="1"/>
  <c r="AB3288" i="1" s="1"/>
  <c r="AA3280" i="1"/>
  <c r="AB3280" i="1" s="1"/>
  <c r="AA3272" i="1"/>
  <c r="AB3272" i="1" s="1"/>
  <c r="AA3264" i="1"/>
  <c r="AB3264" i="1" s="1"/>
  <c r="AA3256" i="1"/>
  <c r="AB3256" i="1" s="1"/>
  <c r="AA3248" i="1"/>
  <c r="AB3248" i="1" s="1"/>
  <c r="AA3240" i="1"/>
  <c r="AB3240" i="1" s="1"/>
  <c r="AA3232" i="1"/>
  <c r="AB3232" i="1" s="1"/>
  <c r="AA3224" i="1"/>
  <c r="AB3224" i="1" s="1"/>
  <c r="AA3216" i="1"/>
  <c r="AB3216" i="1" s="1"/>
  <c r="AA3208" i="1"/>
  <c r="AB3208" i="1" s="1"/>
  <c r="AA3200" i="1"/>
  <c r="AB3200" i="1" s="1"/>
  <c r="AA3192" i="1"/>
  <c r="AB3192" i="1" s="1"/>
  <c r="AA3184" i="1"/>
  <c r="AB3184" i="1" s="1"/>
  <c r="AA3176" i="1"/>
  <c r="AB3176" i="1" s="1"/>
  <c r="AA3168" i="1"/>
  <c r="AB3168" i="1" s="1"/>
  <c r="AA3160" i="1"/>
  <c r="AB3160" i="1" s="1"/>
  <c r="AA3152" i="1"/>
  <c r="AB3152" i="1" s="1"/>
  <c r="AA3144" i="1"/>
  <c r="AB3144" i="1" s="1"/>
  <c r="AA3136" i="1"/>
  <c r="AB3136" i="1" s="1"/>
  <c r="AA3128" i="1"/>
  <c r="AB3128" i="1" s="1"/>
  <c r="AA3120" i="1"/>
  <c r="AB3120" i="1" s="1"/>
  <c r="AA3112" i="1"/>
  <c r="AB3112" i="1" s="1"/>
  <c r="AA3104" i="1"/>
  <c r="AB3104" i="1" s="1"/>
  <c r="AA3096" i="1"/>
  <c r="AB3096" i="1" s="1"/>
  <c r="AA3088" i="1"/>
  <c r="AB3088" i="1" s="1"/>
  <c r="AA3080" i="1"/>
  <c r="AB3080" i="1" s="1"/>
  <c r="AA3072" i="1"/>
  <c r="AB3072" i="1" s="1"/>
  <c r="AA3064" i="1"/>
  <c r="AB3064" i="1" s="1"/>
  <c r="AA3056" i="1"/>
  <c r="AB3056" i="1" s="1"/>
  <c r="AA3048" i="1"/>
  <c r="AB3048" i="1" s="1"/>
  <c r="AA3040" i="1"/>
  <c r="AB3040" i="1" s="1"/>
  <c r="AA3032" i="1"/>
  <c r="AB3032" i="1" s="1"/>
  <c r="AA3024" i="1"/>
  <c r="AB3024" i="1" s="1"/>
  <c r="AA3016" i="1"/>
  <c r="AB3016" i="1" s="1"/>
  <c r="AA3008" i="1"/>
  <c r="AB3008" i="1" s="1"/>
  <c r="AA3000" i="1"/>
  <c r="AB3000" i="1" s="1"/>
  <c r="AA2992" i="1"/>
  <c r="AB2992" i="1" s="1"/>
  <c r="AA2984" i="1"/>
  <c r="AB2984" i="1" s="1"/>
  <c r="AA2976" i="1"/>
  <c r="AB2976" i="1" s="1"/>
  <c r="AA2968" i="1"/>
  <c r="AB2968" i="1" s="1"/>
  <c r="AA2960" i="1"/>
  <c r="AB2960" i="1" s="1"/>
  <c r="AA2952" i="1"/>
  <c r="AB2952" i="1" s="1"/>
  <c r="AA2944" i="1"/>
  <c r="AB2944" i="1" s="1"/>
  <c r="AA2936" i="1"/>
  <c r="AB2936" i="1" s="1"/>
  <c r="AA2928" i="1"/>
  <c r="AB2928" i="1" s="1"/>
  <c r="AA2920" i="1"/>
  <c r="AB2920" i="1" s="1"/>
  <c r="AA2912" i="1"/>
  <c r="AB2912" i="1" s="1"/>
  <c r="AA2904" i="1"/>
  <c r="AB2904" i="1" s="1"/>
  <c r="AA2896" i="1"/>
  <c r="AB2896" i="1" s="1"/>
  <c r="AA2888" i="1"/>
  <c r="AB2888" i="1" s="1"/>
  <c r="AA2880" i="1"/>
  <c r="AB2880" i="1" s="1"/>
  <c r="AA2872" i="1"/>
  <c r="AB2872" i="1" s="1"/>
  <c r="AA2864" i="1"/>
  <c r="AB2864" i="1" s="1"/>
  <c r="AA2856" i="1"/>
  <c r="AB2856" i="1" s="1"/>
  <c r="AA2848" i="1"/>
  <c r="AB2848" i="1" s="1"/>
  <c r="AA2840" i="1"/>
  <c r="AB2840" i="1" s="1"/>
  <c r="AA2832" i="1"/>
  <c r="AB2832" i="1" s="1"/>
  <c r="AA2824" i="1"/>
  <c r="AB2824" i="1" s="1"/>
  <c r="AA2816" i="1"/>
  <c r="AB2816" i="1" s="1"/>
  <c r="AA2808" i="1"/>
  <c r="AB2808" i="1" s="1"/>
  <c r="AA2800" i="1"/>
  <c r="AB2800" i="1" s="1"/>
  <c r="AA2792" i="1"/>
  <c r="AB2792" i="1" s="1"/>
  <c r="AA2784" i="1"/>
  <c r="AB2784" i="1" s="1"/>
  <c r="AA2776" i="1"/>
  <c r="AB2776" i="1" s="1"/>
  <c r="AA2768" i="1"/>
  <c r="AB2768" i="1" s="1"/>
  <c r="AA2760" i="1"/>
  <c r="AB2760" i="1" s="1"/>
  <c r="AA2752" i="1"/>
  <c r="AB2752" i="1" s="1"/>
  <c r="AA2744" i="1"/>
  <c r="AB2744" i="1" s="1"/>
  <c r="AA2736" i="1"/>
  <c r="AB2736" i="1" s="1"/>
  <c r="AA2728" i="1"/>
  <c r="AB2728" i="1" s="1"/>
  <c r="AA1916" i="1"/>
  <c r="AB1916" i="1" s="1"/>
  <c r="AA1860" i="1"/>
  <c r="AB1860" i="1" s="1"/>
  <c r="AA1796" i="1"/>
  <c r="AB1796" i="1" s="1"/>
  <c r="AA1724" i="1"/>
  <c r="AB1724" i="1" s="1"/>
  <c r="AA1668" i="1"/>
  <c r="AB1668" i="1" s="1"/>
  <c r="AA1612" i="1"/>
  <c r="AB1612" i="1" s="1"/>
  <c r="AA1580" i="1"/>
  <c r="AB1580" i="1" s="1"/>
  <c r="AA1532" i="1"/>
  <c r="AB1532" i="1" s="1"/>
  <c r="AA1468" i="1"/>
  <c r="AB1468" i="1" s="1"/>
  <c r="AA1324" i="1"/>
  <c r="AB1324" i="1" s="1"/>
  <c r="AA76" i="1"/>
  <c r="AB76" i="1" s="1"/>
  <c r="AA3998" i="1"/>
  <c r="AB3998" i="1" s="1"/>
  <c r="AA3982" i="1"/>
  <c r="AB3982" i="1" s="1"/>
  <c r="AA3966" i="1"/>
  <c r="AB3966" i="1" s="1"/>
  <c r="AA3950" i="1"/>
  <c r="AB3950" i="1" s="1"/>
  <c r="AA3934" i="1"/>
  <c r="AB3934" i="1" s="1"/>
  <c r="AA3918" i="1"/>
  <c r="AB3918" i="1" s="1"/>
  <c r="AA3902" i="1"/>
  <c r="AB3902" i="1" s="1"/>
  <c r="AA3886" i="1"/>
  <c r="AB3886" i="1" s="1"/>
  <c r="AA3870" i="1"/>
  <c r="AB3870" i="1" s="1"/>
  <c r="AA3854" i="1"/>
  <c r="AB3854" i="1" s="1"/>
  <c r="AA3838" i="1"/>
  <c r="AB3838" i="1" s="1"/>
  <c r="AA3822" i="1"/>
  <c r="AB3822" i="1" s="1"/>
  <c r="AA3806" i="1"/>
  <c r="AB3806" i="1" s="1"/>
  <c r="AA3790" i="1"/>
  <c r="AB3790" i="1" s="1"/>
  <c r="AA3774" i="1"/>
  <c r="AB3774" i="1" s="1"/>
  <c r="AA3758" i="1"/>
  <c r="AB3758" i="1" s="1"/>
  <c r="AA3742" i="1"/>
  <c r="AB3742" i="1" s="1"/>
  <c r="AA3726" i="1"/>
  <c r="AB3726" i="1" s="1"/>
  <c r="AA3710" i="1"/>
  <c r="AB3710" i="1" s="1"/>
  <c r="AA3694" i="1"/>
  <c r="AB3694" i="1" s="1"/>
  <c r="AA3686" i="1"/>
  <c r="AB3686" i="1" s="1"/>
  <c r="AA3670" i="1"/>
  <c r="AB3670" i="1" s="1"/>
  <c r="AA3654" i="1"/>
  <c r="AB3654" i="1" s="1"/>
  <c r="AA3638" i="1"/>
  <c r="AB3638" i="1" s="1"/>
  <c r="AA3622" i="1"/>
  <c r="AB3622" i="1" s="1"/>
  <c r="AA3606" i="1"/>
  <c r="AB3606" i="1" s="1"/>
  <c r="AA3590" i="1"/>
  <c r="AB3590" i="1" s="1"/>
  <c r="AA3574" i="1"/>
  <c r="AB3574" i="1" s="1"/>
  <c r="AA3558" i="1"/>
  <c r="AB3558" i="1" s="1"/>
  <c r="AA3542" i="1"/>
  <c r="AB3542" i="1" s="1"/>
  <c r="AA3526" i="1"/>
  <c r="AB3526" i="1" s="1"/>
  <c r="AA3510" i="1"/>
  <c r="AB3510" i="1" s="1"/>
  <c r="AA3494" i="1"/>
  <c r="AB3494" i="1" s="1"/>
  <c r="AA3478" i="1"/>
  <c r="AB3478" i="1" s="1"/>
  <c r="AA3462" i="1"/>
  <c r="AB3462" i="1" s="1"/>
  <c r="AA3446" i="1"/>
  <c r="AB3446" i="1" s="1"/>
  <c r="AA3430" i="1"/>
  <c r="AB3430" i="1" s="1"/>
  <c r="AA3414" i="1"/>
  <c r="AB3414" i="1" s="1"/>
  <c r="AA3398" i="1"/>
  <c r="AB3398" i="1" s="1"/>
  <c r="AA3382" i="1"/>
  <c r="AB3382" i="1" s="1"/>
  <c r="AA3366" i="1"/>
  <c r="AB3366" i="1" s="1"/>
  <c r="AA3350" i="1"/>
  <c r="AB3350" i="1" s="1"/>
  <c r="AA3334" i="1"/>
  <c r="AB3334" i="1" s="1"/>
  <c r="AA3318" i="1"/>
  <c r="AB3318" i="1" s="1"/>
  <c r="AA3302" i="1"/>
  <c r="AB3302" i="1" s="1"/>
  <c r="AA3286" i="1"/>
  <c r="AB3286" i="1" s="1"/>
  <c r="AA3270" i="1"/>
  <c r="AB3270" i="1" s="1"/>
  <c r="AA3254" i="1"/>
  <c r="AB3254" i="1" s="1"/>
  <c r="AA3246" i="1"/>
  <c r="AB3246" i="1" s="1"/>
  <c r="AA3230" i="1"/>
  <c r="AB3230" i="1" s="1"/>
  <c r="AA3214" i="1"/>
  <c r="AB3214" i="1" s="1"/>
  <c r="AA3198" i="1"/>
  <c r="AB3198" i="1" s="1"/>
  <c r="AA3182" i="1"/>
  <c r="AB3182" i="1" s="1"/>
  <c r="AA3158" i="1"/>
  <c r="AB3158" i="1" s="1"/>
  <c r="AA3142" i="1"/>
  <c r="AB3142" i="1" s="1"/>
  <c r="AA3126" i="1"/>
  <c r="AB3126" i="1" s="1"/>
  <c r="AA3110" i="1"/>
  <c r="AB3110" i="1" s="1"/>
  <c r="AA3094" i="1"/>
  <c r="AB3094" i="1" s="1"/>
  <c r="AA3078" i="1"/>
  <c r="AB3078" i="1" s="1"/>
  <c r="AA3062" i="1"/>
  <c r="AB3062" i="1" s="1"/>
  <c r="AA3046" i="1"/>
  <c r="AB3046" i="1" s="1"/>
  <c r="AA3030" i="1"/>
  <c r="AB3030" i="1" s="1"/>
  <c r="AA3014" i="1"/>
  <c r="AB3014" i="1" s="1"/>
  <c r="AA2998" i="1"/>
  <c r="AB2998" i="1" s="1"/>
  <c r="AA2982" i="1"/>
  <c r="AB2982" i="1" s="1"/>
  <c r="AA2966" i="1"/>
  <c r="AB2966" i="1" s="1"/>
  <c r="AA2950" i="1"/>
  <c r="AB2950" i="1" s="1"/>
  <c r="AA2934" i="1"/>
  <c r="AB2934" i="1" s="1"/>
  <c r="AA2918" i="1"/>
  <c r="AB2918" i="1" s="1"/>
  <c r="AA2902" i="1"/>
  <c r="AB2902" i="1" s="1"/>
  <c r="AA2886" i="1"/>
  <c r="AB2886" i="1" s="1"/>
  <c r="AA2870" i="1"/>
  <c r="AB2870" i="1" s="1"/>
  <c r="AA2854" i="1"/>
  <c r="AB2854" i="1" s="1"/>
  <c r="AA2838" i="1"/>
  <c r="AB2838" i="1" s="1"/>
  <c r="AA2822" i="1"/>
  <c r="AB2822" i="1" s="1"/>
  <c r="AA2806" i="1"/>
  <c r="AB2806" i="1" s="1"/>
  <c r="AA2790" i="1"/>
  <c r="AB2790" i="1" s="1"/>
  <c r="AA2774" i="1"/>
  <c r="AB2774" i="1" s="1"/>
  <c r="AA2758" i="1"/>
  <c r="AB2758" i="1" s="1"/>
  <c r="AA2742" i="1"/>
  <c r="AB2742" i="1" s="1"/>
  <c r="AA2726" i="1"/>
  <c r="AB2726" i="1" s="1"/>
  <c r="AA2710" i="1"/>
  <c r="AB2710" i="1" s="1"/>
  <c r="AA2694" i="1"/>
  <c r="AB2694" i="1" s="1"/>
  <c r="AA2678" i="1"/>
  <c r="AB2678" i="1" s="1"/>
  <c r="AA2662" i="1"/>
  <c r="AB2662" i="1" s="1"/>
  <c r="AA2646" i="1"/>
  <c r="AB2646" i="1" s="1"/>
  <c r="AA2630" i="1"/>
  <c r="AB2630" i="1" s="1"/>
  <c r="AA2614" i="1"/>
  <c r="AB2614" i="1" s="1"/>
  <c r="AA2598" i="1"/>
  <c r="AB2598" i="1" s="1"/>
  <c r="AA2582" i="1"/>
  <c r="AB2582" i="1" s="1"/>
  <c r="AA2566" i="1"/>
  <c r="AB2566" i="1" s="1"/>
  <c r="AA2550" i="1"/>
  <c r="AB2550" i="1" s="1"/>
  <c r="AA2534" i="1"/>
  <c r="AB2534" i="1" s="1"/>
  <c r="AA2518" i="1"/>
  <c r="AB2518" i="1" s="1"/>
  <c r="AA2502" i="1"/>
  <c r="AB2502" i="1" s="1"/>
  <c r="AA2486" i="1"/>
  <c r="AB2486" i="1" s="1"/>
  <c r="AA2470" i="1"/>
  <c r="AB2470" i="1" s="1"/>
  <c r="AA2454" i="1"/>
  <c r="AB2454" i="1" s="1"/>
  <c r="AA2438" i="1"/>
  <c r="AB2438" i="1" s="1"/>
  <c r="AA2422" i="1"/>
  <c r="AB2422" i="1" s="1"/>
  <c r="AA2406" i="1"/>
  <c r="AB2406" i="1" s="1"/>
  <c r="AA2390" i="1"/>
  <c r="AB2390" i="1" s="1"/>
  <c r="AA2374" i="1"/>
  <c r="AB2374" i="1" s="1"/>
  <c r="AA2358" i="1"/>
  <c r="AB2358" i="1" s="1"/>
  <c r="AA2342" i="1"/>
  <c r="AB2342" i="1" s="1"/>
  <c r="AA2326" i="1"/>
  <c r="AB2326" i="1" s="1"/>
  <c r="AA2310" i="1"/>
  <c r="AB2310" i="1" s="1"/>
  <c r="AA2294" i="1"/>
  <c r="AB2294" i="1" s="1"/>
  <c r="AA2278" i="1"/>
  <c r="AB2278" i="1" s="1"/>
  <c r="AA2262" i="1"/>
  <c r="AB2262" i="1" s="1"/>
  <c r="AA2246" i="1"/>
  <c r="AB2246" i="1" s="1"/>
  <c r="AA2230" i="1"/>
  <c r="AB2230" i="1" s="1"/>
  <c r="AA2214" i="1"/>
  <c r="AB2214" i="1" s="1"/>
  <c r="AA2198" i="1"/>
  <c r="AB2198" i="1" s="1"/>
  <c r="AA2182" i="1"/>
  <c r="AB2182" i="1" s="1"/>
  <c r="AA2166" i="1"/>
  <c r="AB2166" i="1" s="1"/>
  <c r="AA2150" i="1"/>
  <c r="AB2150" i="1" s="1"/>
  <c r="AA2134" i="1"/>
  <c r="AB2134" i="1" s="1"/>
  <c r="AA2118" i="1"/>
  <c r="AB2118" i="1" s="1"/>
  <c r="AA2110" i="1"/>
  <c r="AB2110" i="1" s="1"/>
  <c r="AA2094" i="1"/>
  <c r="AB2094" i="1" s="1"/>
  <c r="AA2078" i="1"/>
  <c r="AB2078" i="1" s="1"/>
  <c r="AA2062" i="1"/>
  <c r="AB2062" i="1" s="1"/>
  <c r="AA2046" i="1"/>
  <c r="AB2046" i="1" s="1"/>
  <c r="AA2030" i="1"/>
  <c r="AB2030" i="1" s="1"/>
  <c r="AA2014" i="1"/>
  <c r="AB2014" i="1" s="1"/>
  <c r="AA1998" i="1"/>
  <c r="AB1998" i="1" s="1"/>
  <c r="AA1982" i="1"/>
  <c r="AB1982" i="1" s="1"/>
  <c r="AA1966" i="1"/>
  <c r="AB1966" i="1" s="1"/>
  <c r="AA1950" i="1"/>
  <c r="AB1950" i="1" s="1"/>
  <c r="AA1934" i="1"/>
  <c r="AB1934" i="1" s="1"/>
  <c r="AA1918" i="1"/>
  <c r="AB1918" i="1" s="1"/>
  <c r="AA1902" i="1"/>
  <c r="AB1902" i="1" s="1"/>
  <c r="AA1886" i="1"/>
  <c r="AB1886" i="1" s="1"/>
  <c r="AA1870" i="1"/>
  <c r="AB1870" i="1" s="1"/>
  <c r="AA1854" i="1"/>
  <c r="AB1854" i="1" s="1"/>
  <c r="AA1838" i="1"/>
  <c r="AB1838" i="1" s="1"/>
  <c r="AA1822" i="1"/>
  <c r="AB1822" i="1" s="1"/>
  <c r="AA1806" i="1"/>
  <c r="AB1806" i="1" s="1"/>
  <c r="AA1790" i="1"/>
  <c r="AB1790" i="1" s="1"/>
  <c r="AA1782" i="1"/>
  <c r="AB1782" i="1" s="1"/>
  <c r="AA1766" i="1"/>
  <c r="AB1766" i="1" s="1"/>
  <c r="AA1742" i="1"/>
  <c r="AB1742" i="1" s="1"/>
  <c r="AA1726" i="1"/>
  <c r="AB1726" i="1" s="1"/>
  <c r="AA1718" i="1"/>
  <c r="AB1718" i="1" s="1"/>
  <c r="AA1702" i="1"/>
  <c r="AB1702" i="1" s="1"/>
  <c r="AA1686" i="1"/>
  <c r="AB1686" i="1" s="1"/>
  <c r="AA1670" i="1"/>
  <c r="AB1670" i="1" s="1"/>
  <c r="AA1654" i="1"/>
  <c r="AB1654" i="1" s="1"/>
  <c r="AA1638" i="1"/>
  <c r="AB1638" i="1" s="1"/>
  <c r="AA1622" i="1"/>
  <c r="AB1622" i="1" s="1"/>
  <c r="AA1606" i="1"/>
  <c r="AB1606" i="1" s="1"/>
  <c r="AA1590" i="1"/>
  <c r="AB1590" i="1" s="1"/>
  <c r="AA1574" i="1"/>
  <c r="AB1574" i="1" s="1"/>
  <c r="AA1558" i="1"/>
  <c r="AB1558" i="1" s="1"/>
  <c r="AA1542" i="1"/>
  <c r="AB1542" i="1" s="1"/>
  <c r="AA1526" i="1"/>
  <c r="AB1526" i="1" s="1"/>
  <c r="AA1510" i="1"/>
  <c r="AB1510" i="1" s="1"/>
  <c r="AA1494" i="1"/>
  <c r="AB1494" i="1" s="1"/>
  <c r="AA1478" i="1"/>
  <c r="AB1478" i="1" s="1"/>
  <c r="AA1462" i="1"/>
  <c r="AB1462" i="1" s="1"/>
  <c r="AA1446" i="1"/>
  <c r="AB1446" i="1" s="1"/>
  <c r="AA1430" i="1"/>
  <c r="AB1430" i="1" s="1"/>
  <c r="AA1414" i="1"/>
  <c r="AB1414" i="1" s="1"/>
  <c r="AA1398" i="1"/>
  <c r="AB1398" i="1" s="1"/>
  <c r="AA1382" i="1"/>
  <c r="AB1382" i="1" s="1"/>
  <c r="AA1366" i="1"/>
  <c r="AB1366" i="1" s="1"/>
  <c r="AA1350" i="1"/>
  <c r="AB1350" i="1" s="1"/>
  <c r="AA1334" i="1"/>
  <c r="AB1334" i="1" s="1"/>
  <c r="AA1318" i="1"/>
  <c r="AB1318" i="1" s="1"/>
  <c r="AA1302" i="1"/>
  <c r="AB1302" i="1" s="1"/>
  <c r="AA1286" i="1"/>
  <c r="AB1286" i="1" s="1"/>
  <c r="AA1270" i="1"/>
  <c r="AB1270" i="1" s="1"/>
  <c r="AA1254" i="1"/>
  <c r="AB1254" i="1" s="1"/>
  <c r="AA1238" i="1"/>
  <c r="AB1238" i="1" s="1"/>
  <c r="AA1222" i="1"/>
  <c r="AB1222" i="1" s="1"/>
  <c r="AA1206" i="1"/>
  <c r="AB1206" i="1" s="1"/>
  <c r="AA1190" i="1"/>
  <c r="AB1190" i="1" s="1"/>
  <c r="AA1174" i="1"/>
  <c r="AB1174" i="1" s="1"/>
  <c r="AA1158" i="1"/>
  <c r="AB1158" i="1" s="1"/>
  <c r="AA1142" i="1"/>
  <c r="AB1142" i="1" s="1"/>
  <c r="AA1126" i="1"/>
  <c r="AB1126" i="1" s="1"/>
  <c r="AA1118" i="1"/>
  <c r="AB1118" i="1" s="1"/>
  <c r="AA1102" i="1"/>
  <c r="AB1102" i="1" s="1"/>
  <c r="AA1086" i="1"/>
  <c r="AB1086" i="1" s="1"/>
  <c r="AA1070" i="1"/>
  <c r="AB1070" i="1" s="1"/>
  <c r="AA1054" i="1"/>
  <c r="AB1054" i="1" s="1"/>
  <c r="AA1038" i="1"/>
  <c r="AB1038" i="1" s="1"/>
  <c r="AA1022" i="1"/>
  <c r="AB1022" i="1" s="1"/>
  <c r="AA1006" i="1"/>
  <c r="AB1006" i="1" s="1"/>
  <c r="AA990" i="1"/>
  <c r="AB990" i="1" s="1"/>
  <c r="AA974" i="1"/>
  <c r="AB974" i="1" s="1"/>
  <c r="AA958" i="1"/>
  <c r="AB958" i="1" s="1"/>
  <c r="AA942" i="1"/>
  <c r="AB942" i="1" s="1"/>
  <c r="AA926" i="1"/>
  <c r="AB926" i="1" s="1"/>
  <c r="AA910" i="1"/>
  <c r="AB910" i="1" s="1"/>
  <c r="AA894" i="1"/>
  <c r="AB894" i="1" s="1"/>
  <c r="AA878" i="1"/>
  <c r="AB878" i="1" s="1"/>
  <c r="AA870" i="1"/>
  <c r="AB870" i="1" s="1"/>
  <c r="AA854" i="1"/>
  <c r="AB854" i="1" s="1"/>
  <c r="AA838" i="1"/>
  <c r="AB838" i="1" s="1"/>
  <c r="AA822" i="1"/>
  <c r="AB822" i="1" s="1"/>
  <c r="AA806" i="1"/>
  <c r="AB806" i="1" s="1"/>
  <c r="AA790" i="1"/>
  <c r="AB790" i="1" s="1"/>
  <c r="AA774" i="1"/>
  <c r="AB774" i="1" s="1"/>
  <c r="AA758" i="1"/>
  <c r="AB758" i="1" s="1"/>
  <c r="AA742" i="1"/>
  <c r="AB742" i="1" s="1"/>
  <c r="AA726" i="1"/>
  <c r="AB726" i="1" s="1"/>
  <c r="AA710" i="1"/>
  <c r="AB710" i="1" s="1"/>
  <c r="AA694" i="1"/>
  <c r="AB694" i="1" s="1"/>
  <c r="AA686" i="1"/>
  <c r="AB686" i="1" s="1"/>
  <c r="AA670" i="1"/>
  <c r="AB670" i="1" s="1"/>
  <c r="AA654" i="1"/>
  <c r="AB654" i="1" s="1"/>
  <c r="AA638" i="1"/>
  <c r="AB638" i="1" s="1"/>
  <c r="AA622" i="1"/>
  <c r="AB622" i="1" s="1"/>
  <c r="AA606" i="1"/>
  <c r="AB606" i="1" s="1"/>
  <c r="AA590" i="1"/>
  <c r="AB590" i="1" s="1"/>
  <c r="AA574" i="1"/>
  <c r="AB574" i="1" s="1"/>
  <c r="AA566" i="1"/>
  <c r="AB566" i="1" s="1"/>
  <c r="AA550" i="1"/>
  <c r="AB550" i="1" s="1"/>
  <c r="AA534" i="1"/>
  <c r="AB534" i="1" s="1"/>
  <c r="AA518" i="1"/>
  <c r="AB518" i="1" s="1"/>
  <c r="AA502" i="1"/>
  <c r="AB502" i="1" s="1"/>
  <c r="AA486" i="1"/>
  <c r="AB486" i="1" s="1"/>
  <c r="AA470" i="1"/>
  <c r="AB470" i="1" s="1"/>
  <c r="AA462" i="1"/>
  <c r="AB462" i="1" s="1"/>
  <c r="AA446" i="1"/>
  <c r="AB446" i="1" s="1"/>
  <c r="AA430" i="1"/>
  <c r="AB430" i="1" s="1"/>
  <c r="AA414" i="1"/>
  <c r="AB414" i="1" s="1"/>
  <c r="AA398" i="1"/>
  <c r="AB398" i="1" s="1"/>
  <c r="AA382" i="1"/>
  <c r="AB382" i="1" s="1"/>
  <c r="AA366" i="1"/>
  <c r="AB366" i="1" s="1"/>
  <c r="AA358" i="1"/>
  <c r="AB358" i="1" s="1"/>
  <c r="AA342" i="1"/>
  <c r="AB342" i="1" s="1"/>
  <c r="AA334" i="1"/>
  <c r="AB334" i="1" s="1"/>
  <c r="AA326" i="1"/>
  <c r="AB326" i="1" s="1"/>
  <c r="AA318" i="1"/>
  <c r="AB318" i="1" s="1"/>
  <c r="AA310" i="1"/>
  <c r="AB310" i="1" s="1"/>
  <c r="AA302" i="1"/>
  <c r="AB302" i="1" s="1"/>
  <c r="AA294" i="1"/>
  <c r="AB294" i="1" s="1"/>
  <c r="AA286" i="1"/>
  <c r="AB286" i="1" s="1"/>
  <c r="AA278" i="1"/>
  <c r="AB278" i="1" s="1"/>
  <c r="AA270" i="1"/>
  <c r="AB270" i="1" s="1"/>
  <c r="AA262" i="1"/>
  <c r="AB262" i="1" s="1"/>
  <c r="AA254" i="1"/>
  <c r="AB254" i="1" s="1"/>
  <c r="AA246" i="1"/>
  <c r="AB246" i="1" s="1"/>
  <c r="AA238" i="1"/>
  <c r="AB238" i="1" s="1"/>
  <c r="AA230" i="1"/>
  <c r="AB230" i="1" s="1"/>
  <c r="AA222" i="1"/>
  <c r="AB222" i="1" s="1"/>
  <c r="AA214" i="1"/>
  <c r="AB214" i="1" s="1"/>
  <c r="AA206" i="1"/>
  <c r="AB206" i="1" s="1"/>
  <c r="AA198" i="1"/>
  <c r="AB198" i="1" s="1"/>
  <c r="AA190" i="1"/>
  <c r="AB190" i="1" s="1"/>
  <c r="AA182" i="1"/>
  <c r="AB182" i="1" s="1"/>
  <c r="AA174" i="1"/>
  <c r="AB174" i="1" s="1"/>
  <c r="AA166" i="1"/>
  <c r="AB166" i="1" s="1"/>
  <c r="AA158" i="1"/>
  <c r="AB158" i="1" s="1"/>
  <c r="AA150" i="1"/>
  <c r="AB150" i="1" s="1"/>
  <c r="AA142" i="1"/>
  <c r="AB142" i="1" s="1"/>
  <c r="AA134" i="1"/>
  <c r="AB134" i="1" s="1"/>
  <c r="AA126" i="1"/>
  <c r="AB126" i="1" s="1"/>
  <c r="AA118" i="1"/>
  <c r="AB118" i="1" s="1"/>
  <c r="AA110" i="1"/>
  <c r="AB110" i="1" s="1"/>
  <c r="AA102" i="1"/>
  <c r="AB102" i="1" s="1"/>
  <c r="AA94" i="1"/>
  <c r="AB94" i="1" s="1"/>
  <c r="AA86" i="1"/>
  <c r="AB86" i="1" s="1"/>
  <c r="AA78" i="1"/>
  <c r="AB78" i="1" s="1"/>
  <c r="AA70" i="1"/>
  <c r="AB70" i="1" s="1"/>
  <c r="AA62" i="1"/>
  <c r="AB62" i="1" s="1"/>
  <c r="AA54" i="1"/>
  <c r="AB54" i="1" s="1"/>
  <c r="AA46" i="1"/>
  <c r="AB46" i="1" s="1"/>
  <c r="AA38" i="1"/>
  <c r="AB38" i="1" s="1"/>
  <c r="AA30" i="1"/>
  <c r="AB30" i="1" s="1"/>
  <c r="AA22" i="1"/>
  <c r="AB22" i="1" s="1"/>
  <c r="AA14" i="1"/>
  <c r="AB14" i="1" s="1"/>
  <c r="AA6" i="1"/>
  <c r="AB6" i="1" s="1"/>
  <c r="AA1924" i="1"/>
  <c r="AB1924" i="1" s="1"/>
  <c r="AA1868" i="1"/>
  <c r="AB1868" i="1" s="1"/>
  <c r="AA1812" i="1"/>
  <c r="AB1812" i="1" s="1"/>
  <c r="AA1780" i="1"/>
  <c r="AB1780" i="1" s="1"/>
  <c r="AA1732" i="1"/>
  <c r="AB1732" i="1" s="1"/>
  <c r="AA1676" i="1"/>
  <c r="AB1676" i="1" s="1"/>
  <c r="AA1620" i="1"/>
  <c r="AB1620" i="1" s="1"/>
  <c r="AA1572" i="1"/>
  <c r="AB1572" i="1" s="1"/>
  <c r="AA1524" i="1"/>
  <c r="AB1524" i="1" s="1"/>
  <c r="AA1476" i="1"/>
  <c r="AB1476" i="1" s="1"/>
  <c r="AA1332" i="1"/>
  <c r="AB1332" i="1" s="1"/>
  <c r="AA68" i="1"/>
  <c r="AB68" i="1" s="1"/>
  <c r="AA3990" i="1"/>
  <c r="AB3990" i="1" s="1"/>
  <c r="AA3974" i="1"/>
  <c r="AB3974" i="1" s="1"/>
  <c r="AA3958" i="1"/>
  <c r="AB3958" i="1" s="1"/>
  <c r="AA3942" i="1"/>
  <c r="AB3942" i="1" s="1"/>
  <c r="AA3926" i="1"/>
  <c r="AB3926" i="1" s="1"/>
  <c r="AA3910" i="1"/>
  <c r="AB3910" i="1" s="1"/>
  <c r="AA3894" i="1"/>
  <c r="AB3894" i="1" s="1"/>
  <c r="AA3878" i="1"/>
  <c r="AB3878" i="1" s="1"/>
  <c r="AA3862" i="1"/>
  <c r="AB3862" i="1" s="1"/>
  <c r="AA3846" i="1"/>
  <c r="AB3846" i="1" s="1"/>
  <c r="AA3830" i="1"/>
  <c r="AB3830" i="1" s="1"/>
  <c r="AA3814" i="1"/>
  <c r="AB3814" i="1" s="1"/>
  <c r="AA3798" i="1"/>
  <c r="AB3798" i="1" s="1"/>
  <c r="AA3782" i="1"/>
  <c r="AB3782" i="1" s="1"/>
  <c r="AA3766" i="1"/>
  <c r="AB3766" i="1" s="1"/>
  <c r="AA3750" i="1"/>
  <c r="AB3750" i="1" s="1"/>
  <c r="AA3734" i="1"/>
  <c r="AB3734" i="1" s="1"/>
  <c r="AA3718" i="1"/>
  <c r="AB3718" i="1" s="1"/>
  <c r="AA3702" i="1"/>
  <c r="AB3702" i="1" s="1"/>
  <c r="AA3678" i="1"/>
  <c r="AB3678" i="1" s="1"/>
  <c r="AA3662" i="1"/>
  <c r="AB3662" i="1" s="1"/>
  <c r="AA3646" i="1"/>
  <c r="AB3646" i="1" s="1"/>
  <c r="AA3630" i="1"/>
  <c r="AB3630" i="1" s="1"/>
  <c r="AA3614" i="1"/>
  <c r="AB3614" i="1" s="1"/>
  <c r="AA3598" i="1"/>
  <c r="AB3598" i="1" s="1"/>
  <c r="AA3582" i="1"/>
  <c r="AB3582" i="1" s="1"/>
  <c r="AA3566" i="1"/>
  <c r="AB3566" i="1" s="1"/>
  <c r="AA3550" i="1"/>
  <c r="AB3550" i="1" s="1"/>
  <c r="AA3534" i="1"/>
  <c r="AB3534" i="1" s="1"/>
  <c r="AA3518" i="1"/>
  <c r="AB3518" i="1" s="1"/>
  <c r="AA3502" i="1"/>
  <c r="AB3502" i="1" s="1"/>
  <c r="AA3486" i="1"/>
  <c r="AB3486" i="1" s="1"/>
  <c r="AA3470" i="1"/>
  <c r="AB3470" i="1" s="1"/>
  <c r="AA3454" i="1"/>
  <c r="AB3454" i="1" s="1"/>
  <c r="AA3438" i="1"/>
  <c r="AB3438" i="1" s="1"/>
  <c r="AA3422" i="1"/>
  <c r="AB3422" i="1" s="1"/>
  <c r="AA3406" i="1"/>
  <c r="AB3406" i="1" s="1"/>
  <c r="AA3390" i="1"/>
  <c r="AB3390" i="1" s="1"/>
  <c r="AA3374" i="1"/>
  <c r="AB3374" i="1" s="1"/>
  <c r="AA3358" i="1"/>
  <c r="AB3358" i="1" s="1"/>
  <c r="AA3342" i="1"/>
  <c r="AB3342" i="1" s="1"/>
  <c r="AA3326" i="1"/>
  <c r="AB3326" i="1" s="1"/>
  <c r="AA3310" i="1"/>
  <c r="AB3310" i="1" s="1"/>
  <c r="AA3294" i="1"/>
  <c r="AB3294" i="1" s="1"/>
  <c r="AA3278" i="1"/>
  <c r="AB3278" i="1" s="1"/>
  <c r="AA3262" i="1"/>
  <c r="AB3262" i="1" s="1"/>
  <c r="AA3238" i="1"/>
  <c r="AB3238" i="1" s="1"/>
  <c r="AA3222" i="1"/>
  <c r="AB3222" i="1" s="1"/>
  <c r="AA3206" i="1"/>
  <c r="AB3206" i="1" s="1"/>
  <c r="AA3190" i="1"/>
  <c r="AB3190" i="1" s="1"/>
  <c r="AA3174" i="1"/>
  <c r="AB3174" i="1" s="1"/>
  <c r="AA3166" i="1"/>
  <c r="AB3166" i="1" s="1"/>
  <c r="AA3150" i="1"/>
  <c r="AB3150" i="1" s="1"/>
  <c r="AA3134" i="1"/>
  <c r="AB3134" i="1" s="1"/>
  <c r="AA3118" i="1"/>
  <c r="AB3118" i="1" s="1"/>
  <c r="AA3102" i="1"/>
  <c r="AB3102" i="1" s="1"/>
  <c r="AA3086" i="1"/>
  <c r="AB3086" i="1" s="1"/>
  <c r="AA3070" i="1"/>
  <c r="AB3070" i="1" s="1"/>
  <c r="AA3054" i="1"/>
  <c r="AB3054" i="1" s="1"/>
  <c r="AA3038" i="1"/>
  <c r="AB3038" i="1" s="1"/>
  <c r="AA3022" i="1"/>
  <c r="AB3022" i="1" s="1"/>
  <c r="AA3006" i="1"/>
  <c r="AB3006" i="1" s="1"/>
  <c r="AA2990" i="1"/>
  <c r="AB2990" i="1" s="1"/>
  <c r="AA2974" i="1"/>
  <c r="AB2974" i="1" s="1"/>
  <c r="AA2958" i="1"/>
  <c r="AB2958" i="1" s="1"/>
  <c r="AA2942" i="1"/>
  <c r="AB2942" i="1" s="1"/>
  <c r="AA2926" i="1"/>
  <c r="AB2926" i="1" s="1"/>
  <c r="AA2910" i="1"/>
  <c r="AB2910" i="1" s="1"/>
  <c r="AA2894" i="1"/>
  <c r="AB2894" i="1" s="1"/>
  <c r="AA2878" i="1"/>
  <c r="AB2878" i="1" s="1"/>
  <c r="AA2862" i="1"/>
  <c r="AB2862" i="1" s="1"/>
  <c r="AA2846" i="1"/>
  <c r="AB2846" i="1" s="1"/>
  <c r="AA2830" i="1"/>
  <c r="AB2830" i="1" s="1"/>
  <c r="AA2814" i="1"/>
  <c r="AB2814" i="1" s="1"/>
  <c r="AA2798" i="1"/>
  <c r="AB2798" i="1" s="1"/>
  <c r="AA2782" i="1"/>
  <c r="AB2782" i="1" s="1"/>
  <c r="AA2766" i="1"/>
  <c r="AB2766" i="1" s="1"/>
  <c r="AA2750" i="1"/>
  <c r="AB2750" i="1" s="1"/>
  <c r="AA2734" i="1"/>
  <c r="AB2734" i="1" s="1"/>
  <c r="AA2718" i="1"/>
  <c r="AB2718" i="1" s="1"/>
  <c r="AA2702" i="1"/>
  <c r="AB2702" i="1" s="1"/>
  <c r="AA2686" i="1"/>
  <c r="AB2686" i="1" s="1"/>
  <c r="AA2670" i="1"/>
  <c r="AB2670" i="1" s="1"/>
  <c r="AA2654" i="1"/>
  <c r="AB2654" i="1" s="1"/>
  <c r="AA2638" i="1"/>
  <c r="AB2638" i="1" s="1"/>
  <c r="AA2622" i="1"/>
  <c r="AB2622" i="1" s="1"/>
  <c r="AA2606" i="1"/>
  <c r="AB2606" i="1" s="1"/>
  <c r="AA2590" i="1"/>
  <c r="AB2590" i="1" s="1"/>
  <c r="AA2574" i="1"/>
  <c r="AB2574" i="1" s="1"/>
  <c r="AA2558" i="1"/>
  <c r="AB2558" i="1" s="1"/>
  <c r="AA2542" i="1"/>
  <c r="AB2542" i="1" s="1"/>
  <c r="AA2526" i="1"/>
  <c r="AB2526" i="1" s="1"/>
  <c r="AA2510" i="1"/>
  <c r="AB2510" i="1" s="1"/>
  <c r="AA2494" i="1"/>
  <c r="AB2494" i="1" s="1"/>
  <c r="AA2478" i="1"/>
  <c r="AB2478" i="1" s="1"/>
  <c r="AA2462" i="1"/>
  <c r="AB2462" i="1" s="1"/>
  <c r="AA2446" i="1"/>
  <c r="AB2446" i="1" s="1"/>
  <c r="AA2430" i="1"/>
  <c r="AB2430" i="1" s="1"/>
  <c r="AA2414" i="1"/>
  <c r="AB2414" i="1" s="1"/>
  <c r="AA2398" i="1"/>
  <c r="AB2398" i="1" s="1"/>
  <c r="AA2382" i="1"/>
  <c r="AB2382" i="1" s="1"/>
  <c r="AA2366" i="1"/>
  <c r="AB2366" i="1" s="1"/>
  <c r="AA2350" i="1"/>
  <c r="AB2350" i="1" s="1"/>
  <c r="AA2334" i="1"/>
  <c r="AB2334" i="1" s="1"/>
  <c r="AA2318" i="1"/>
  <c r="AB2318" i="1" s="1"/>
  <c r="AA2302" i="1"/>
  <c r="AB2302" i="1" s="1"/>
  <c r="AA2286" i="1"/>
  <c r="AB2286" i="1" s="1"/>
  <c r="AA2270" i="1"/>
  <c r="AB2270" i="1" s="1"/>
  <c r="AA2254" i="1"/>
  <c r="AB2254" i="1" s="1"/>
  <c r="AA2238" i="1"/>
  <c r="AB2238" i="1" s="1"/>
  <c r="AA2222" i="1"/>
  <c r="AB2222" i="1" s="1"/>
  <c r="AA2206" i="1"/>
  <c r="AB2206" i="1" s="1"/>
  <c r="AA2190" i="1"/>
  <c r="AB2190" i="1" s="1"/>
  <c r="AA2174" i="1"/>
  <c r="AB2174" i="1" s="1"/>
  <c r="AA2158" i="1"/>
  <c r="AB2158" i="1" s="1"/>
  <c r="AA2142" i="1"/>
  <c r="AB2142" i="1" s="1"/>
  <c r="AA2126" i="1"/>
  <c r="AB2126" i="1" s="1"/>
  <c r="AA2102" i="1"/>
  <c r="AB2102" i="1" s="1"/>
  <c r="AA2086" i="1"/>
  <c r="AB2086" i="1" s="1"/>
  <c r="AA2070" i="1"/>
  <c r="AB2070" i="1" s="1"/>
  <c r="AA2054" i="1"/>
  <c r="AB2054" i="1" s="1"/>
  <c r="AA2038" i="1"/>
  <c r="AB2038" i="1" s="1"/>
  <c r="AA2022" i="1"/>
  <c r="AB2022" i="1" s="1"/>
  <c r="AA2006" i="1"/>
  <c r="AB2006" i="1" s="1"/>
  <c r="AA1990" i="1"/>
  <c r="AB1990" i="1" s="1"/>
  <c r="AA1974" i="1"/>
  <c r="AB1974" i="1" s="1"/>
  <c r="AA1958" i="1"/>
  <c r="AB1958" i="1" s="1"/>
  <c r="AA1942" i="1"/>
  <c r="AB1942" i="1" s="1"/>
  <c r="AA1926" i="1"/>
  <c r="AB1926" i="1" s="1"/>
  <c r="AA1910" i="1"/>
  <c r="AB1910" i="1" s="1"/>
  <c r="AA1894" i="1"/>
  <c r="AB1894" i="1" s="1"/>
  <c r="AA1878" i="1"/>
  <c r="AB1878" i="1" s="1"/>
  <c r="AA1862" i="1"/>
  <c r="AB1862" i="1" s="1"/>
  <c r="AA1846" i="1"/>
  <c r="AB1846" i="1" s="1"/>
  <c r="AA1830" i="1"/>
  <c r="AB1830" i="1" s="1"/>
  <c r="AA1814" i="1"/>
  <c r="AB1814" i="1" s="1"/>
  <c r="AA1798" i="1"/>
  <c r="AB1798" i="1" s="1"/>
  <c r="AA1774" i="1"/>
  <c r="AB1774" i="1" s="1"/>
  <c r="AA1758" i="1"/>
  <c r="AB1758" i="1" s="1"/>
  <c r="AA1750" i="1"/>
  <c r="AB1750" i="1" s="1"/>
  <c r="AA1734" i="1"/>
  <c r="AB1734" i="1" s="1"/>
  <c r="AA1710" i="1"/>
  <c r="AB1710" i="1" s="1"/>
  <c r="AA1694" i="1"/>
  <c r="AB1694" i="1" s="1"/>
  <c r="AA1678" i="1"/>
  <c r="AB1678" i="1" s="1"/>
  <c r="AA1662" i="1"/>
  <c r="AB1662" i="1" s="1"/>
  <c r="AA1646" i="1"/>
  <c r="AB1646" i="1" s="1"/>
  <c r="AA1630" i="1"/>
  <c r="AB1630" i="1" s="1"/>
  <c r="AA1614" i="1"/>
  <c r="AB1614" i="1" s="1"/>
  <c r="AA1598" i="1"/>
  <c r="AB1598" i="1" s="1"/>
  <c r="AA1582" i="1"/>
  <c r="AB1582" i="1" s="1"/>
  <c r="AA1566" i="1"/>
  <c r="AB1566" i="1" s="1"/>
  <c r="AA1550" i="1"/>
  <c r="AB1550" i="1" s="1"/>
  <c r="AA1534" i="1"/>
  <c r="AB1534" i="1" s="1"/>
  <c r="AA1518" i="1"/>
  <c r="AB1518" i="1" s="1"/>
  <c r="AA1502" i="1"/>
  <c r="AB1502" i="1" s="1"/>
  <c r="AA1486" i="1"/>
  <c r="AB1486" i="1" s="1"/>
  <c r="AA1470" i="1"/>
  <c r="AB1470" i="1" s="1"/>
  <c r="AA1454" i="1"/>
  <c r="AB1454" i="1" s="1"/>
  <c r="AA1438" i="1"/>
  <c r="AB1438" i="1" s="1"/>
  <c r="AA1422" i="1"/>
  <c r="AB1422" i="1" s="1"/>
  <c r="AA1406" i="1"/>
  <c r="AB1406" i="1" s="1"/>
  <c r="AA1390" i="1"/>
  <c r="AB1390" i="1" s="1"/>
  <c r="AA1374" i="1"/>
  <c r="AB1374" i="1" s="1"/>
  <c r="AA1358" i="1"/>
  <c r="AB1358" i="1" s="1"/>
  <c r="AA1342" i="1"/>
  <c r="AB1342" i="1" s="1"/>
  <c r="AA1326" i="1"/>
  <c r="AB1326" i="1" s="1"/>
  <c r="AA1310" i="1"/>
  <c r="AB1310" i="1" s="1"/>
  <c r="AA1294" i="1"/>
  <c r="AB1294" i="1" s="1"/>
  <c r="AA1278" i="1"/>
  <c r="AB1278" i="1" s="1"/>
  <c r="AA1262" i="1"/>
  <c r="AB1262" i="1" s="1"/>
  <c r="AA1246" i="1"/>
  <c r="AB1246" i="1" s="1"/>
  <c r="AA1230" i="1"/>
  <c r="AB1230" i="1" s="1"/>
  <c r="AA1214" i="1"/>
  <c r="AB1214" i="1" s="1"/>
  <c r="AA1198" i="1"/>
  <c r="AB1198" i="1" s="1"/>
  <c r="AA1182" i="1"/>
  <c r="AB1182" i="1" s="1"/>
  <c r="AA1166" i="1"/>
  <c r="AB1166" i="1" s="1"/>
  <c r="AA1150" i="1"/>
  <c r="AB1150" i="1" s="1"/>
  <c r="AA1134" i="1"/>
  <c r="AB1134" i="1" s="1"/>
  <c r="AA1110" i="1"/>
  <c r="AB1110" i="1" s="1"/>
  <c r="AA1094" i="1"/>
  <c r="AB1094" i="1" s="1"/>
  <c r="AA1078" i="1"/>
  <c r="AB1078" i="1" s="1"/>
  <c r="AA1062" i="1"/>
  <c r="AB1062" i="1" s="1"/>
  <c r="AA1046" i="1"/>
  <c r="AB1046" i="1" s="1"/>
  <c r="AA1030" i="1"/>
  <c r="AB1030" i="1" s="1"/>
  <c r="AA1014" i="1"/>
  <c r="AB1014" i="1" s="1"/>
  <c r="AA998" i="1"/>
  <c r="AB998" i="1" s="1"/>
  <c r="AA982" i="1"/>
  <c r="AB982" i="1" s="1"/>
  <c r="AA966" i="1"/>
  <c r="AB966" i="1" s="1"/>
  <c r="AA950" i="1"/>
  <c r="AB950" i="1" s="1"/>
  <c r="AA934" i="1"/>
  <c r="AB934" i="1" s="1"/>
  <c r="AA918" i="1"/>
  <c r="AB918" i="1" s="1"/>
  <c r="AA902" i="1"/>
  <c r="AB902" i="1" s="1"/>
  <c r="AA886" i="1"/>
  <c r="AB886" i="1" s="1"/>
  <c r="AA862" i="1"/>
  <c r="AB862" i="1" s="1"/>
  <c r="AA846" i="1"/>
  <c r="AB846" i="1" s="1"/>
  <c r="AA830" i="1"/>
  <c r="AB830" i="1" s="1"/>
  <c r="AA814" i="1"/>
  <c r="AB814" i="1" s="1"/>
  <c r="AA798" i="1"/>
  <c r="AB798" i="1" s="1"/>
  <c r="AA782" i="1"/>
  <c r="AB782" i="1" s="1"/>
  <c r="AA766" i="1"/>
  <c r="AB766" i="1" s="1"/>
  <c r="AA750" i="1"/>
  <c r="AB750" i="1" s="1"/>
  <c r="AA734" i="1"/>
  <c r="AB734" i="1" s="1"/>
  <c r="AA718" i="1"/>
  <c r="AB718" i="1" s="1"/>
  <c r="AA702" i="1"/>
  <c r="AB702" i="1" s="1"/>
  <c r="AA678" i="1"/>
  <c r="AB678" i="1" s="1"/>
  <c r="AA662" i="1"/>
  <c r="AB662" i="1" s="1"/>
  <c r="AA646" i="1"/>
  <c r="AB646" i="1" s="1"/>
  <c r="AA630" i="1"/>
  <c r="AB630" i="1" s="1"/>
  <c r="AA614" i="1"/>
  <c r="AB614" i="1" s="1"/>
  <c r="AA598" i="1"/>
  <c r="AB598" i="1" s="1"/>
  <c r="AA582" i="1"/>
  <c r="AB582" i="1" s="1"/>
  <c r="AA558" i="1"/>
  <c r="AB558" i="1" s="1"/>
  <c r="AA542" i="1"/>
  <c r="AB542" i="1" s="1"/>
  <c r="AA526" i="1"/>
  <c r="AB526" i="1" s="1"/>
  <c r="AA510" i="1"/>
  <c r="AB510" i="1" s="1"/>
  <c r="AA494" i="1"/>
  <c r="AB494" i="1" s="1"/>
  <c r="AA478" i="1"/>
  <c r="AB478" i="1" s="1"/>
  <c r="AA454" i="1"/>
  <c r="AB454" i="1" s="1"/>
  <c r="AA438" i="1"/>
  <c r="AB438" i="1" s="1"/>
  <c r="AA422" i="1"/>
  <c r="AB422" i="1" s="1"/>
  <c r="AA406" i="1"/>
  <c r="AB406" i="1" s="1"/>
  <c r="AA390" i="1"/>
  <c r="AB390" i="1" s="1"/>
  <c r="AA374" i="1"/>
  <c r="AB374" i="1" s="1"/>
  <c r="AA350" i="1"/>
  <c r="AB350" i="1" s="1"/>
  <c r="AA1892" i="1"/>
  <c r="AB1892" i="1" s="1"/>
  <c r="AA1836" i="1"/>
  <c r="AB1836" i="1" s="1"/>
  <c r="AA1764" i="1"/>
  <c r="AB1764" i="1" s="1"/>
  <c r="AA1700" i="1"/>
  <c r="AB1700" i="1" s="1"/>
  <c r="AA1652" i="1"/>
  <c r="AB1652" i="1" s="1"/>
  <c r="AA1604" i="1"/>
  <c r="AB1604" i="1" s="1"/>
  <c r="AA1556" i="1"/>
  <c r="AB1556" i="1" s="1"/>
  <c r="AA1516" i="1"/>
  <c r="AB1516" i="1" s="1"/>
  <c r="AA1492" i="1"/>
  <c r="AB1492" i="1" s="1"/>
  <c r="AA1436" i="1"/>
  <c r="AB1436" i="1" s="1"/>
  <c r="AA1404" i="1"/>
  <c r="AB1404" i="1" s="1"/>
  <c r="AA1372" i="1"/>
  <c r="AB1372" i="1" s="1"/>
  <c r="AA1340" i="1"/>
  <c r="AB1340" i="1" s="1"/>
  <c r="AA1300" i="1"/>
  <c r="AB1300" i="1" s="1"/>
  <c r="AA1276" i="1"/>
  <c r="AB1276" i="1" s="1"/>
  <c r="AA1252" i="1"/>
  <c r="AB1252" i="1" s="1"/>
  <c r="AA1228" i="1"/>
  <c r="AB1228" i="1" s="1"/>
  <c r="AA1196" i="1"/>
  <c r="AB1196" i="1" s="1"/>
  <c r="AA1172" i="1"/>
  <c r="AB1172" i="1" s="1"/>
  <c r="AA1148" i="1"/>
  <c r="AB1148" i="1" s="1"/>
  <c r="AA1124" i="1"/>
  <c r="AB1124" i="1" s="1"/>
  <c r="AA1092" i="1"/>
  <c r="AB1092" i="1" s="1"/>
  <c r="AA1068" i="1"/>
  <c r="AB1068" i="1" s="1"/>
  <c r="AA1036" i="1"/>
  <c r="AB1036" i="1" s="1"/>
  <c r="AA1004" i="1"/>
  <c r="AB1004" i="1" s="1"/>
  <c r="AA980" i="1"/>
  <c r="AB980" i="1" s="1"/>
  <c r="AA956" i="1"/>
  <c r="AB956" i="1" s="1"/>
  <c r="AA932" i="1"/>
  <c r="AB932" i="1" s="1"/>
  <c r="AA900" i="1"/>
  <c r="AB900" i="1" s="1"/>
  <c r="AA876" i="1"/>
  <c r="AB876" i="1" s="1"/>
  <c r="AA860" i="1"/>
  <c r="AB860" i="1" s="1"/>
  <c r="AA836" i="1"/>
  <c r="AB836" i="1" s="1"/>
  <c r="AA812" i="1"/>
  <c r="AB812" i="1" s="1"/>
  <c r="AA788" i="1"/>
  <c r="AB788" i="1" s="1"/>
  <c r="AA756" i="1"/>
  <c r="AB756" i="1" s="1"/>
  <c r="AA732" i="1"/>
  <c r="AB732" i="1" s="1"/>
  <c r="AA708" i="1"/>
  <c r="AB708" i="1" s="1"/>
  <c r="AA684" i="1"/>
  <c r="AB684" i="1" s="1"/>
  <c r="AA660" i="1"/>
  <c r="AB660" i="1" s="1"/>
  <c r="AA628" i="1"/>
  <c r="AB628" i="1" s="1"/>
  <c r="AA604" i="1"/>
  <c r="AB604" i="1" s="1"/>
  <c r="AA580" i="1"/>
  <c r="AB580" i="1" s="1"/>
  <c r="AA548" i="1"/>
  <c r="AB548" i="1" s="1"/>
  <c r="AA524" i="1"/>
  <c r="AB524" i="1" s="1"/>
  <c r="AA508" i="1"/>
  <c r="AB508" i="1" s="1"/>
  <c r="AA484" i="1"/>
  <c r="AB484" i="1" s="1"/>
  <c r="AA460" i="1"/>
  <c r="AB460" i="1" s="1"/>
  <c r="AA428" i="1"/>
  <c r="AB428" i="1" s="1"/>
  <c r="AA404" i="1"/>
  <c r="AB404" i="1" s="1"/>
  <c r="AA380" i="1"/>
  <c r="AB380" i="1" s="1"/>
  <c r="AA348" i="1"/>
  <c r="AB348" i="1" s="1"/>
  <c r="AA316" i="1"/>
  <c r="AB316" i="1" s="1"/>
  <c r="AA284" i="1"/>
  <c r="AB284" i="1" s="1"/>
  <c r="AA260" i="1"/>
  <c r="AB260" i="1" s="1"/>
  <c r="AA236" i="1"/>
  <c r="AB236" i="1" s="1"/>
  <c r="AA212" i="1"/>
  <c r="AB212" i="1" s="1"/>
  <c r="AA180" i="1"/>
  <c r="AB180" i="1" s="1"/>
  <c r="AA156" i="1"/>
  <c r="AB156" i="1" s="1"/>
  <c r="AA124" i="1"/>
  <c r="AB124" i="1" s="1"/>
  <c r="AA100" i="1"/>
  <c r="AB100" i="1" s="1"/>
  <c r="AA44" i="1"/>
  <c r="AB44" i="1" s="1"/>
  <c r="AA4" i="1"/>
  <c r="AB4" i="1" s="1"/>
  <c r="AA1900" i="1"/>
  <c r="AB1900" i="1" s="1"/>
  <c r="AA1844" i="1"/>
  <c r="AB1844" i="1" s="1"/>
  <c r="AA1788" i="1"/>
  <c r="AB1788" i="1" s="1"/>
  <c r="AA1740" i="1"/>
  <c r="AB1740" i="1" s="1"/>
  <c r="AA1684" i="1"/>
  <c r="AB1684" i="1" s="1"/>
  <c r="AA1628" i="1"/>
  <c r="AB1628" i="1" s="1"/>
  <c r="AA1588" i="1"/>
  <c r="AB1588" i="1" s="1"/>
  <c r="AA1540" i="1"/>
  <c r="AB1540" i="1" s="1"/>
  <c r="AA1500" i="1"/>
  <c r="AB1500" i="1" s="1"/>
  <c r="AA1460" i="1"/>
  <c r="AB1460" i="1" s="1"/>
  <c r="AA1444" i="1"/>
  <c r="AB1444" i="1" s="1"/>
  <c r="AA1412" i="1"/>
  <c r="AB1412" i="1" s="1"/>
  <c r="AA1388" i="1"/>
  <c r="AB1388" i="1" s="1"/>
  <c r="AA1364" i="1"/>
  <c r="AB1364" i="1" s="1"/>
  <c r="AA1348" i="1"/>
  <c r="AB1348" i="1" s="1"/>
  <c r="AA1308" i="1"/>
  <c r="AB1308" i="1" s="1"/>
  <c r="AA1284" i="1"/>
  <c r="AB1284" i="1" s="1"/>
  <c r="AA1268" i="1"/>
  <c r="AB1268" i="1" s="1"/>
  <c r="AA1244" i="1"/>
  <c r="AB1244" i="1" s="1"/>
  <c r="AA1220" i="1"/>
  <c r="AB1220" i="1" s="1"/>
  <c r="AA1204" i="1"/>
  <c r="AB1204" i="1" s="1"/>
  <c r="AA1188" i="1"/>
  <c r="AB1188" i="1" s="1"/>
  <c r="AA1164" i="1"/>
  <c r="AB1164" i="1" s="1"/>
  <c r="AA1140" i="1"/>
  <c r="AB1140" i="1" s="1"/>
  <c r="AA1116" i="1"/>
  <c r="AB1116" i="1" s="1"/>
  <c r="AA1100" i="1"/>
  <c r="AB1100" i="1" s="1"/>
  <c r="AA1076" i="1"/>
  <c r="AB1076" i="1" s="1"/>
  <c r="AA1052" i="1"/>
  <c r="AB1052" i="1" s="1"/>
  <c r="AA1028" i="1"/>
  <c r="AB1028" i="1" s="1"/>
  <c r="AA1012" i="1"/>
  <c r="AB1012" i="1" s="1"/>
  <c r="AA996" i="1"/>
  <c r="AB996" i="1" s="1"/>
  <c r="AA972" i="1"/>
  <c r="AB972" i="1" s="1"/>
  <c r="AA948" i="1"/>
  <c r="AB948" i="1" s="1"/>
  <c r="AA924" i="1"/>
  <c r="AB924" i="1" s="1"/>
  <c r="AA908" i="1"/>
  <c r="AB908" i="1" s="1"/>
  <c r="AA892" i="1"/>
  <c r="AB892" i="1" s="1"/>
  <c r="AA868" i="1"/>
  <c r="AB868" i="1" s="1"/>
  <c r="AA844" i="1"/>
  <c r="AB844" i="1" s="1"/>
  <c r="AA820" i="1"/>
  <c r="AB820" i="1" s="1"/>
  <c r="AA796" i="1"/>
  <c r="AB796" i="1" s="1"/>
  <c r="AA780" i="1"/>
  <c r="AB780" i="1" s="1"/>
  <c r="AA764" i="1"/>
  <c r="AB764" i="1" s="1"/>
  <c r="AA740" i="1"/>
  <c r="AB740" i="1" s="1"/>
  <c r="AA716" i="1"/>
  <c r="AB716" i="1" s="1"/>
  <c r="AA692" i="1"/>
  <c r="AB692" i="1" s="1"/>
  <c r="AA676" i="1"/>
  <c r="AB676" i="1" s="1"/>
  <c r="AA652" i="1"/>
  <c r="AB652" i="1" s="1"/>
  <c r="AA636" i="1"/>
  <c r="AB636" i="1" s="1"/>
  <c r="AA620" i="1"/>
  <c r="AB620" i="1" s="1"/>
  <c r="AA596" i="1"/>
  <c r="AB596" i="1" s="1"/>
  <c r="AA572" i="1"/>
  <c r="AB572" i="1" s="1"/>
  <c r="AA556" i="1"/>
  <c r="AB556" i="1" s="1"/>
  <c r="AA540" i="1"/>
  <c r="AB540" i="1" s="1"/>
  <c r="AA516" i="1"/>
  <c r="AB516" i="1" s="1"/>
  <c r="AA492" i="1"/>
  <c r="AB492" i="1" s="1"/>
  <c r="AA476" i="1"/>
  <c r="AB476" i="1" s="1"/>
  <c r="AA452" i="1"/>
  <c r="AB452" i="1" s="1"/>
  <c r="AA436" i="1"/>
  <c r="AB436" i="1" s="1"/>
  <c r="AA420" i="1"/>
  <c r="AB420" i="1" s="1"/>
  <c r="AA396" i="1"/>
  <c r="AB396" i="1" s="1"/>
  <c r="AA372" i="1"/>
  <c r="AB372" i="1" s="1"/>
  <c r="AA356" i="1"/>
  <c r="AB356" i="1" s="1"/>
  <c r="AA332" i="1"/>
  <c r="AB332" i="1" s="1"/>
  <c r="AA308" i="1"/>
  <c r="AB308" i="1" s="1"/>
  <c r="AA292" i="1"/>
  <c r="AB292" i="1" s="1"/>
  <c r="AA276" i="1"/>
  <c r="AB276" i="1" s="1"/>
  <c r="AA252" i="1"/>
  <c r="AB252" i="1" s="1"/>
  <c r="AA228" i="1"/>
  <c r="AB228" i="1" s="1"/>
  <c r="AA204" i="1"/>
  <c r="AB204" i="1" s="1"/>
  <c r="AA188" i="1"/>
  <c r="AB188" i="1" s="1"/>
  <c r="AA172" i="1"/>
  <c r="AB172" i="1" s="1"/>
  <c r="AA148" i="1"/>
  <c r="AB148" i="1" s="1"/>
  <c r="AA132" i="1"/>
  <c r="AB132" i="1" s="1"/>
  <c r="AA108" i="1"/>
  <c r="AB108" i="1" s="1"/>
  <c r="AA84" i="1"/>
  <c r="AB84" i="1" s="1"/>
  <c r="AA28" i="1"/>
  <c r="AB28" i="1" s="1"/>
  <c r="AA20" i="1"/>
  <c r="AB20" i="1" s="1"/>
  <c r="AA3995" i="1"/>
  <c r="AB3995" i="1" s="1"/>
  <c r="AA3987" i="1"/>
  <c r="AB3987" i="1" s="1"/>
  <c r="AA3979" i="1"/>
  <c r="AB3979" i="1" s="1"/>
  <c r="AA3971" i="1"/>
  <c r="AB3971" i="1" s="1"/>
  <c r="AA3963" i="1"/>
  <c r="AB3963" i="1" s="1"/>
  <c r="AA3955" i="1"/>
  <c r="AB3955" i="1" s="1"/>
  <c r="AA3947" i="1"/>
  <c r="AB3947" i="1" s="1"/>
  <c r="AA3939" i="1"/>
  <c r="AB3939" i="1" s="1"/>
  <c r="AA3931" i="1"/>
  <c r="AB3931" i="1" s="1"/>
  <c r="AA3923" i="1"/>
  <c r="AB3923" i="1" s="1"/>
  <c r="AA3915" i="1"/>
  <c r="AB3915" i="1" s="1"/>
  <c r="AA3907" i="1"/>
  <c r="AB3907" i="1" s="1"/>
  <c r="AA3899" i="1"/>
  <c r="AB3899" i="1" s="1"/>
  <c r="AA3891" i="1"/>
  <c r="AB3891" i="1" s="1"/>
  <c r="AA3883" i="1"/>
  <c r="AB3883" i="1" s="1"/>
  <c r="AA3875" i="1"/>
  <c r="AB3875" i="1" s="1"/>
  <c r="AA3867" i="1"/>
  <c r="AB3867" i="1" s="1"/>
  <c r="AA3859" i="1"/>
  <c r="AB3859" i="1" s="1"/>
  <c r="AA3851" i="1"/>
  <c r="AB3851" i="1" s="1"/>
  <c r="AA3843" i="1"/>
  <c r="AB3843" i="1" s="1"/>
  <c r="AA3835" i="1"/>
  <c r="AB3835" i="1" s="1"/>
  <c r="AA3827" i="1"/>
  <c r="AB3827" i="1" s="1"/>
  <c r="AA3819" i="1"/>
  <c r="AB3819" i="1" s="1"/>
  <c r="AA3811" i="1"/>
  <c r="AB3811" i="1" s="1"/>
  <c r="AA3803" i="1"/>
  <c r="AB3803" i="1" s="1"/>
  <c r="AA3795" i="1"/>
  <c r="AB3795" i="1" s="1"/>
  <c r="AA3787" i="1"/>
  <c r="AB3787" i="1" s="1"/>
  <c r="AA3779" i="1"/>
  <c r="AB3779" i="1" s="1"/>
  <c r="AA3771" i="1"/>
  <c r="AB3771" i="1" s="1"/>
  <c r="AA3763" i="1"/>
  <c r="AB3763" i="1" s="1"/>
  <c r="AA3755" i="1"/>
  <c r="AB3755" i="1" s="1"/>
  <c r="AA3747" i="1"/>
  <c r="AB3747" i="1" s="1"/>
  <c r="AA3739" i="1"/>
  <c r="AB3739" i="1" s="1"/>
  <c r="AA3731" i="1"/>
  <c r="AB3731" i="1" s="1"/>
  <c r="AA3723" i="1"/>
  <c r="AB3723" i="1" s="1"/>
  <c r="AA3715" i="1"/>
  <c r="AB3715" i="1" s="1"/>
  <c r="AA3707" i="1"/>
  <c r="AB3707" i="1" s="1"/>
  <c r="AA3699" i="1"/>
  <c r="AB3699" i="1" s="1"/>
  <c r="AA3691" i="1"/>
  <c r="AB3691" i="1" s="1"/>
  <c r="AA3683" i="1"/>
  <c r="AB3683" i="1" s="1"/>
  <c r="AA3675" i="1"/>
  <c r="AB3675" i="1" s="1"/>
  <c r="AA3667" i="1"/>
  <c r="AB3667" i="1" s="1"/>
  <c r="AA3659" i="1"/>
  <c r="AB3659" i="1" s="1"/>
  <c r="AA3651" i="1"/>
  <c r="AB3651" i="1" s="1"/>
  <c r="AA3643" i="1"/>
  <c r="AB3643" i="1" s="1"/>
  <c r="AA3635" i="1"/>
  <c r="AB3635" i="1" s="1"/>
  <c r="AA3627" i="1"/>
  <c r="AB3627" i="1" s="1"/>
  <c r="AA3619" i="1"/>
  <c r="AB3619" i="1" s="1"/>
  <c r="AA3611" i="1"/>
  <c r="AB3611" i="1" s="1"/>
  <c r="AA3603" i="1"/>
  <c r="AB3603" i="1" s="1"/>
  <c r="AA3595" i="1"/>
  <c r="AB3595" i="1" s="1"/>
  <c r="AA3587" i="1"/>
  <c r="AB3587" i="1" s="1"/>
  <c r="AA3579" i="1"/>
  <c r="AB3579" i="1" s="1"/>
  <c r="AA3571" i="1"/>
  <c r="AB3571" i="1" s="1"/>
  <c r="AA3563" i="1"/>
  <c r="AB3563" i="1" s="1"/>
  <c r="AA3555" i="1"/>
  <c r="AB3555" i="1" s="1"/>
  <c r="AA3547" i="1"/>
  <c r="AB3547" i="1" s="1"/>
  <c r="AA3539" i="1"/>
  <c r="AB3539" i="1" s="1"/>
  <c r="AA3531" i="1"/>
  <c r="AB3531" i="1" s="1"/>
  <c r="AA3523" i="1"/>
  <c r="AB3523" i="1" s="1"/>
  <c r="AA3515" i="1"/>
  <c r="AB3515" i="1" s="1"/>
  <c r="AA3507" i="1"/>
  <c r="AB3507" i="1" s="1"/>
  <c r="AA3499" i="1"/>
  <c r="AB3499" i="1" s="1"/>
  <c r="AA3491" i="1"/>
  <c r="AB3491" i="1" s="1"/>
  <c r="AA3483" i="1"/>
  <c r="AB3483" i="1" s="1"/>
  <c r="AA3475" i="1"/>
  <c r="AB3475" i="1" s="1"/>
  <c r="AA3467" i="1"/>
  <c r="AB3467" i="1" s="1"/>
  <c r="AA3459" i="1"/>
  <c r="AB3459" i="1" s="1"/>
  <c r="AA3451" i="1"/>
  <c r="AB3451" i="1" s="1"/>
  <c r="AA3443" i="1"/>
  <c r="AB3443" i="1" s="1"/>
  <c r="AA3435" i="1"/>
  <c r="AB3435" i="1" s="1"/>
  <c r="AA3427" i="1"/>
  <c r="AB3427" i="1" s="1"/>
  <c r="AA3419" i="1"/>
  <c r="AB3419" i="1" s="1"/>
  <c r="AA3411" i="1"/>
  <c r="AB3411" i="1" s="1"/>
  <c r="AA3403" i="1"/>
  <c r="AB3403" i="1" s="1"/>
  <c r="AA3395" i="1"/>
  <c r="AB3395" i="1" s="1"/>
  <c r="AA3387" i="1"/>
  <c r="AB3387" i="1" s="1"/>
  <c r="AA3379" i="1"/>
  <c r="AB3379" i="1" s="1"/>
  <c r="AA3371" i="1"/>
  <c r="AB3371" i="1" s="1"/>
  <c r="AA3363" i="1"/>
  <c r="AB3363" i="1" s="1"/>
  <c r="AA3355" i="1"/>
  <c r="AB3355" i="1" s="1"/>
  <c r="AA3347" i="1"/>
  <c r="AB3347" i="1" s="1"/>
  <c r="AA3339" i="1"/>
  <c r="AB3339" i="1" s="1"/>
  <c r="AA3331" i="1"/>
  <c r="AB3331" i="1" s="1"/>
  <c r="AA3323" i="1"/>
  <c r="AB3323" i="1" s="1"/>
  <c r="AA3315" i="1"/>
  <c r="AB3315" i="1" s="1"/>
  <c r="AA3307" i="1"/>
  <c r="AB3307" i="1" s="1"/>
  <c r="AA3299" i="1"/>
  <c r="AB3299" i="1" s="1"/>
  <c r="AA3291" i="1"/>
  <c r="AB3291" i="1" s="1"/>
  <c r="AA3283" i="1"/>
  <c r="AB3283" i="1" s="1"/>
  <c r="AA3275" i="1"/>
  <c r="AB3275" i="1" s="1"/>
  <c r="AA3267" i="1"/>
  <c r="AB3267" i="1" s="1"/>
  <c r="AA3259" i="1"/>
  <c r="AB3259" i="1" s="1"/>
  <c r="AA3251" i="1"/>
  <c r="AB3251" i="1" s="1"/>
  <c r="AA3243" i="1"/>
  <c r="AB3243" i="1" s="1"/>
  <c r="AA3235" i="1"/>
  <c r="AB3235" i="1" s="1"/>
  <c r="AA3227" i="1"/>
  <c r="AB3227" i="1" s="1"/>
  <c r="AA3219" i="1"/>
  <c r="AB3219" i="1" s="1"/>
  <c r="AA3211" i="1"/>
  <c r="AB3211" i="1" s="1"/>
  <c r="AA3203" i="1"/>
  <c r="AB3203" i="1" s="1"/>
  <c r="AA3195" i="1"/>
  <c r="AB3195" i="1" s="1"/>
  <c r="AA3187" i="1"/>
  <c r="AB3187" i="1" s="1"/>
  <c r="AA3179" i="1"/>
  <c r="AB3179" i="1" s="1"/>
  <c r="AA3171" i="1"/>
  <c r="AB3171" i="1" s="1"/>
  <c r="AA3163" i="1"/>
  <c r="AB3163" i="1" s="1"/>
  <c r="AA3155" i="1"/>
  <c r="AB3155" i="1" s="1"/>
  <c r="AA3147" i="1"/>
  <c r="AB3147" i="1" s="1"/>
  <c r="AA3139" i="1"/>
  <c r="AB3139" i="1" s="1"/>
  <c r="AA3131" i="1"/>
  <c r="AB3131" i="1" s="1"/>
  <c r="AA3123" i="1"/>
  <c r="AB3123" i="1" s="1"/>
  <c r="AA3115" i="1"/>
  <c r="AB3115" i="1" s="1"/>
  <c r="AA3107" i="1"/>
  <c r="AB3107" i="1" s="1"/>
  <c r="AA3099" i="1"/>
  <c r="AB3099" i="1" s="1"/>
  <c r="AA3091" i="1"/>
  <c r="AB3091" i="1" s="1"/>
  <c r="AA3083" i="1"/>
  <c r="AB3083" i="1" s="1"/>
  <c r="AA3075" i="1"/>
  <c r="AB3075" i="1" s="1"/>
  <c r="AA3067" i="1"/>
  <c r="AB3067" i="1" s="1"/>
  <c r="AA3059" i="1"/>
  <c r="AB3059" i="1" s="1"/>
  <c r="AA3051" i="1"/>
  <c r="AB3051" i="1" s="1"/>
  <c r="AA3043" i="1"/>
  <c r="AB3043" i="1" s="1"/>
  <c r="AA3035" i="1"/>
  <c r="AB3035" i="1" s="1"/>
  <c r="AA3027" i="1"/>
  <c r="AB3027" i="1" s="1"/>
  <c r="AA3019" i="1"/>
  <c r="AB3019" i="1" s="1"/>
  <c r="AA3011" i="1"/>
  <c r="AB3011" i="1" s="1"/>
  <c r="AA3003" i="1"/>
  <c r="AB3003" i="1" s="1"/>
  <c r="AA2995" i="1"/>
  <c r="AB2995" i="1" s="1"/>
  <c r="AA2987" i="1"/>
  <c r="AB2987" i="1" s="1"/>
  <c r="AA2979" i="1"/>
  <c r="AB2979" i="1" s="1"/>
  <c r="AA2971" i="1"/>
  <c r="AB2971" i="1" s="1"/>
  <c r="AA2963" i="1"/>
  <c r="AB2963" i="1" s="1"/>
  <c r="AA2955" i="1"/>
  <c r="AB2955" i="1" s="1"/>
  <c r="AA2947" i="1"/>
  <c r="AB2947" i="1" s="1"/>
  <c r="AA2939" i="1"/>
  <c r="AB2939" i="1" s="1"/>
  <c r="AA2931" i="1"/>
  <c r="AB2931" i="1" s="1"/>
  <c r="AA2923" i="1"/>
  <c r="AB2923" i="1" s="1"/>
  <c r="AA2915" i="1"/>
  <c r="AB2915" i="1" s="1"/>
  <c r="AA2907" i="1"/>
  <c r="AB2907" i="1" s="1"/>
  <c r="AA2899" i="1"/>
  <c r="AB2899" i="1" s="1"/>
  <c r="AA2891" i="1"/>
  <c r="AB2891" i="1" s="1"/>
  <c r="AA2883" i="1"/>
  <c r="AB2883" i="1" s="1"/>
  <c r="AA2875" i="1"/>
  <c r="AB2875" i="1" s="1"/>
  <c r="AA2867" i="1"/>
  <c r="AB2867" i="1" s="1"/>
  <c r="AA2859" i="1"/>
  <c r="AB2859" i="1" s="1"/>
  <c r="AA2851" i="1"/>
  <c r="AB2851" i="1" s="1"/>
  <c r="AA2843" i="1"/>
  <c r="AB2843" i="1" s="1"/>
  <c r="AA2835" i="1"/>
  <c r="AB2835" i="1" s="1"/>
  <c r="AA2827" i="1"/>
  <c r="AB2827" i="1" s="1"/>
  <c r="AA2819" i="1"/>
  <c r="AB2819" i="1" s="1"/>
  <c r="AA2811" i="1"/>
  <c r="AB2811" i="1" s="1"/>
  <c r="AA2803" i="1"/>
  <c r="AB2803" i="1" s="1"/>
  <c r="AA2795" i="1"/>
  <c r="AB2795" i="1" s="1"/>
  <c r="AA2787" i="1"/>
  <c r="AB2787" i="1" s="1"/>
  <c r="AA2779" i="1"/>
  <c r="AB2779" i="1" s="1"/>
  <c r="AA2771" i="1"/>
  <c r="AB2771" i="1" s="1"/>
  <c r="AA2763" i="1"/>
  <c r="AB2763" i="1" s="1"/>
  <c r="AA2755" i="1"/>
  <c r="AB2755" i="1" s="1"/>
  <c r="AA2747" i="1"/>
  <c r="AB2747" i="1" s="1"/>
  <c r="AA2739" i="1"/>
  <c r="AB2739" i="1" s="1"/>
  <c r="AA2731" i="1"/>
  <c r="AB2731" i="1" s="1"/>
  <c r="AA2723" i="1"/>
  <c r="AB2723" i="1" s="1"/>
  <c r="AA2715" i="1"/>
  <c r="AB2715" i="1" s="1"/>
  <c r="AA2707" i="1"/>
  <c r="AB2707" i="1" s="1"/>
  <c r="AA2699" i="1"/>
  <c r="AB2699" i="1" s="1"/>
  <c r="AA2691" i="1"/>
  <c r="AB2691" i="1" s="1"/>
  <c r="AA2683" i="1"/>
  <c r="AB2683" i="1" s="1"/>
  <c r="AA2675" i="1"/>
  <c r="AB2675" i="1" s="1"/>
  <c r="AA2667" i="1"/>
  <c r="AB2667" i="1" s="1"/>
  <c r="AA2659" i="1"/>
  <c r="AB2659" i="1" s="1"/>
  <c r="AA2651" i="1"/>
  <c r="AB2651" i="1" s="1"/>
  <c r="AA2643" i="1"/>
  <c r="AB2643" i="1" s="1"/>
  <c r="AA2635" i="1"/>
  <c r="AB2635" i="1" s="1"/>
  <c r="AA2627" i="1"/>
  <c r="AB2627" i="1" s="1"/>
  <c r="AA2619" i="1"/>
  <c r="AB2619" i="1" s="1"/>
  <c r="AA2611" i="1"/>
  <c r="AB2611" i="1" s="1"/>
  <c r="AA2603" i="1"/>
  <c r="AB2603" i="1" s="1"/>
  <c r="AA2595" i="1"/>
  <c r="AB2595" i="1" s="1"/>
  <c r="AA2587" i="1"/>
  <c r="AB2587" i="1" s="1"/>
  <c r="AA2579" i="1"/>
  <c r="AB2579" i="1" s="1"/>
  <c r="AA2571" i="1"/>
  <c r="AB2571" i="1" s="1"/>
  <c r="AA2563" i="1"/>
  <c r="AB2563" i="1" s="1"/>
  <c r="AA2555" i="1"/>
  <c r="AB2555" i="1" s="1"/>
  <c r="AA2547" i="1"/>
  <c r="AB2547" i="1" s="1"/>
  <c r="AA2539" i="1"/>
  <c r="AB2539" i="1" s="1"/>
  <c r="AA2531" i="1"/>
  <c r="AB2531" i="1" s="1"/>
  <c r="AA2523" i="1"/>
  <c r="AB2523" i="1" s="1"/>
  <c r="AA2515" i="1"/>
  <c r="AB2515" i="1" s="1"/>
  <c r="AA2507" i="1"/>
  <c r="AB2507" i="1" s="1"/>
  <c r="AA2499" i="1"/>
  <c r="AB2499" i="1" s="1"/>
  <c r="AA2491" i="1"/>
  <c r="AB2491" i="1" s="1"/>
  <c r="AA2483" i="1"/>
  <c r="AB2483" i="1" s="1"/>
  <c r="AA2475" i="1"/>
  <c r="AB2475" i="1" s="1"/>
  <c r="AA2467" i="1"/>
  <c r="AB2467" i="1" s="1"/>
  <c r="AA2459" i="1"/>
  <c r="AB2459" i="1" s="1"/>
  <c r="AA2451" i="1"/>
  <c r="AB2451" i="1" s="1"/>
  <c r="AA2443" i="1"/>
  <c r="AB2443" i="1" s="1"/>
  <c r="AA2435" i="1"/>
  <c r="AB2435" i="1" s="1"/>
  <c r="AA2427" i="1"/>
  <c r="AB2427" i="1" s="1"/>
  <c r="AA2419" i="1"/>
  <c r="AB2419" i="1" s="1"/>
  <c r="AA2411" i="1"/>
  <c r="AB2411" i="1" s="1"/>
  <c r="AA2403" i="1"/>
  <c r="AB2403" i="1" s="1"/>
  <c r="AA2395" i="1"/>
  <c r="AB2395" i="1" s="1"/>
  <c r="AA2387" i="1"/>
  <c r="AB2387" i="1" s="1"/>
  <c r="AA2379" i="1"/>
  <c r="AB2379" i="1" s="1"/>
  <c r="AA2371" i="1"/>
  <c r="AB2371" i="1" s="1"/>
  <c r="AA2363" i="1"/>
  <c r="AB2363" i="1" s="1"/>
  <c r="AA2355" i="1"/>
  <c r="AB2355" i="1" s="1"/>
  <c r="AA2347" i="1"/>
  <c r="AB2347" i="1" s="1"/>
  <c r="AA2339" i="1"/>
  <c r="AB2339" i="1" s="1"/>
  <c r="AA2331" i="1"/>
  <c r="AB2331" i="1" s="1"/>
  <c r="AA2323" i="1"/>
  <c r="AB2323" i="1" s="1"/>
  <c r="AA2315" i="1"/>
  <c r="AB2315" i="1" s="1"/>
  <c r="AA2307" i="1"/>
  <c r="AB2307" i="1" s="1"/>
  <c r="AA2299" i="1"/>
  <c r="AB2299" i="1" s="1"/>
  <c r="AA2291" i="1"/>
  <c r="AB2291" i="1" s="1"/>
  <c r="AA2283" i="1"/>
  <c r="AB2283" i="1" s="1"/>
  <c r="AA2275" i="1"/>
  <c r="AB2275" i="1" s="1"/>
  <c r="AA2267" i="1"/>
  <c r="AB2267" i="1" s="1"/>
  <c r="AA2259" i="1"/>
  <c r="AB2259" i="1" s="1"/>
  <c r="AA2251" i="1"/>
  <c r="AB2251" i="1" s="1"/>
  <c r="AA2243" i="1"/>
  <c r="AB2243" i="1" s="1"/>
  <c r="AA2235" i="1"/>
  <c r="AB2235" i="1" s="1"/>
  <c r="AA2227" i="1"/>
  <c r="AB2227" i="1" s="1"/>
  <c r="AA2219" i="1"/>
  <c r="AB2219" i="1" s="1"/>
  <c r="AA2211" i="1"/>
  <c r="AB2211" i="1" s="1"/>
  <c r="AA2203" i="1"/>
  <c r="AB2203" i="1" s="1"/>
  <c r="AA2195" i="1"/>
  <c r="AB2195" i="1" s="1"/>
  <c r="AA2187" i="1"/>
  <c r="AB2187" i="1" s="1"/>
  <c r="AA2179" i="1"/>
  <c r="AB2179" i="1" s="1"/>
  <c r="AA2171" i="1"/>
  <c r="AB2171" i="1" s="1"/>
  <c r="AA2163" i="1"/>
  <c r="AB2163" i="1" s="1"/>
  <c r="AA2155" i="1"/>
  <c r="AB2155" i="1" s="1"/>
  <c r="AA2147" i="1"/>
  <c r="AB2147" i="1" s="1"/>
  <c r="AA2139" i="1"/>
  <c r="AB2139" i="1" s="1"/>
  <c r="AA2131" i="1"/>
  <c r="AB2131" i="1" s="1"/>
  <c r="AA2123" i="1"/>
  <c r="AB2123" i="1" s="1"/>
  <c r="AA2115" i="1"/>
  <c r="AB2115" i="1" s="1"/>
  <c r="AA2107" i="1"/>
  <c r="AB2107" i="1" s="1"/>
  <c r="AA2099" i="1"/>
  <c r="AB2099" i="1" s="1"/>
  <c r="AA2091" i="1"/>
  <c r="AB2091" i="1" s="1"/>
  <c r="AA2083" i="1"/>
  <c r="AB2083" i="1" s="1"/>
  <c r="AA2075" i="1"/>
  <c r="AB2075" i="1" s="1"/>
  <c r="AA2067" i="1"/>
  <c r="AB2067" i="1" s="1"/>
  <c r="AA2059" i="1"/>
  <c r="AB2059" i="1" s="1"/>
  <c r="AA2051" i="1"/>
  <c r="AB2051" i="1" s="1"/>
  <c r="AA2043" i="1"/>
  <c r="AB2043" i="1" s="1"/>
  <c r="AA2035" i="1"/>
  <c r="AB2035" i="1" s="1"/>
  <c r="AA2027" i="1"/>
  <c r="AB2027" i="1" s="1"/>
  <c r="AA2019" i="1"/>
  <c r="AB2019" i="1" s="1"/>
  <c r="AA2011" i="1"/>
  <c r="AB2011" i="1" s="1"/>
  <c r="AA2003" i="1"/>
  <c r="AB2003" i="1" s="1"/>
  <c r="AA1995" i="1"/>
  <c r="AB1995" i="1" s="1"/>
  <c r="AA1987" i="1"/>
  <c r="AB1987" i="1" s="1"/>
  <c r="AA1979" i="1"/>
  <c r="AB1979" i="1" s="1"/>
  <c r="AA1971" i="1"/>
  <c r="AB1971" i="1" s="1"/>
  <c r="AA1963" i="1"/>
  <c r="AB1963" i="1" s="1"/>
  <c r="AA1955" i="1"/>
  <c r="AB1955" i="1" s="1"/>
  <c r="AA1947" i="1"/>
  <c r="AB1947" i="1" s="1"/>
  <c r="AA1939" i="1"/>
  <c r="AB1939" i="1" s="1"/>
  <c r="AA1931" i="1"/>
  <c r="AB1931" i="1" s="1"/>
  <c r="AA1923" i="1"/>
  <c r="AB1923" i="1" s="1"/>
  <c r="AA1915" i="1"/>
  <c r="AB1915" i="1" s="1"/>
  <c r="AA1907" i="1"/>
  <c r="AB1907" i="1" s="1"/>
  <c r="AA1899" i="1"/>
  <c r="AB1899" i="1" s="1"/>
  <c r="AA1891" i="1"/>
  <c r="AB1891" i="1" s="1"/>
  <c r="AA1883" i="1"/>
  <c r="AB1883" i="1" s="1"/>
  <c r="AA1875" i="1"/>
  <c r="AB1875" i="1" s="1"/>
  <c r="AA1867" i="1"/>
  <c r="AB1867" i="1" s="1"/>
  <c r="AA1859" i="1"/>
  <c r="AB1859" i="1" s="1"/>
  <c r="AA1851" i="1"/>
  <c r="AB1851" i="1" s="1"/>
  <c r="AA1843" i="1"/>
  <c r="AB1843" i="1" s="1"/>
  <c r="AA1835" i="1"/>
  <c r="AB1835" i="1" s="1"/>
  <c r="AA1827" i="1"/>
  <c r="AB1827" i="1" s="1"/>
  <c r="AA1819" i="1"/>
  <c r="AB1819" i="1" s="1"/>
  <c r="AA1811" i="1"/>
  <c r="AB1811" i="1" s="1"/>
  <c r="AA1803" i="1"/>
  <c r="AB1803" i="1" s="1"/>
  <c r="AA1795" i="1"/>
  <c r="AB1795" i="1" s="1"/>
  <c r="AA1787" i="1"/>
  <c r="AB1787" i="1" s="1"/>
  <c r="AA1779" i="1"/>
  <c r="AB1779" i="1" s="1"/>
  <c r="AA1771" i="1"/>
  <c r="AB1771" i="1" s="1"/>
  <c r="AA1763" i="1"/>
  <c r="AB1763" i="1" s="1"/>
  <c r="AA1755" i="1"/>
  <c r="AB1755" i="1" s="1"/>
  <c r="AA1747" i="1"/>
  <c r="AB1747" i="1" s="1"/>
  <c r="AA1739" i="1"/>
  <c r="AB1739" i="1" s="1"/>
  <c r="AA1731" i="1"/>
  <c r="AB1731" i="1" s="1"/>
  <c r="AA1723" i="1"/>
  <c r="AB1723" i="1" s="1"/>
  <c r="AA1715" i="1"/>
  <c r="AB1715" i="1" s="1"/>
  <c r="AA1707" i="1"/>
  <c r="AB1707" i="1" s="1"/>
  <c r="AA1699" i="1"/>
  <c r="AB1699" i="1" s="1"/>
  <c r="AA1691" i="1"/>
  <c r="AB1691" i="1" s="1"/>
  <c r="AA1683" i="1"/>
  <c r="AB1683" i="1" s="1"/>
  <c r="AA1675" i="1"/>
  <c r="AB1675" i="1" s="1"/>
  <c r="AA1667" i="1"/>
  <c r="AB1667" i="1" s="1"/>
  <c r="AA1659" i="1"/>
  <c r="AB1659" i="1" s="1"/>
  <c r="AA1651" i="1"/>
  <c r="AB1651" i="1" s="1"/>
  <c r="AA1643" i="1"/>
  <c r="AB1643" i="1" s="1"/>
  <c r="AA1635" i="1"/>
  <c r="AB1635" i="1" s="1"/>
  <c r="AA1627" i="1"/>
  <c r="AB1627" i="1" s="1"/>
  <c r="AA1619" i="1"/>
  <c r="AB1619" i="1" s="1"/>
  <c r="AA1611" i="1"/>
  <c r="AB1611" i="1" s="1"/>
  <c r="AA1603" i="1"/>
  <c r="AB1603" i="1" s="1"/>
  <c r="AA1595" i="1"/>
  <c r="AB1595" i="1" s="1"/>
  <c r="AA1587" i="1"/>
  <c r="AB1587" i="1" s="1"/>
  <c r="AA1579" i="1"/>
  <c r="AB1579" i="1" s="1"/>
  <c r="AA1571" i="1"/>
  <c r="AB1571" i="1" s="1"/>
  <c r="AA1563" i="1"/>
  <c r="AB1563" i="1" s="1"/>
  <c r="AA1555" i="1"/>
  <c r="AB1555" i="1" s="1"/>
  <c r="AA1547" i="1"/>
  <c r="AB1547" i="1" s="1"/>
  <c r="AA1539" i="1"/>
  <c r="AB1539" i="1" s="1"/>
  <c r="AA1531" i="1"/>
  <c r="AB1531" i="1" s="1"/>
  <c r="AA1523" i="1"/>
  <c r="AB1523" i="1" s="1"/>
  <c r="AA1515" i="1"/>
  <c r="AB1515" i="1" s="1"/>
  <c r="AA1507" i="1"/>
  <c r="AB1507" i="1" s="1"/>
  <c r="AA1499" i="1"/>
  <c r="AB1499" i="1" s="1"/>
  <c r="AA1491" i="1"/>
  <c r="AB1491" i="1" s="1"/>
  <c r="AA1483" i="1"/>
  <c r="AB1483" i="1" s="1"/>
  <c r="AA1475" i="1"/>
  <c r="AB1475" i="1" s="1"/>
  <c r="AA1467" i="1"/>
  <c r="AB1467" i="1" s="1"/>
  <c r="AA1459" i="1"/>
  <c r="AB1459" i="1" s="1"/>
  <c r="AA1451" i="1"/>
  <c r="AB1451" i="1" s="1"/>
  <c r="AA1443" i="1"/>
  <c r="AB1443" i="1" s="1"/>
  <c r="AA1435" i="1"/>
  <c r="AB1435" i="1" s="1"/>
  <c r="AA1427" i="1"/>
  <c r="AB1427" i="1" s="1"/>
  <c r="AA1419" i="1"/>
  <c r="AB1419" i="1" s="1"/>
  <c r="AA1411" i="1"/>
  <c r="AB1411" i="1" s="1"/>
  <c r="AA1403" i="1"/>
  <c r="AB1403" i="1" s="1"/>
  <c r="AA1395" i="1"/>
  <c r="AB1395" i="1" s="1"/>
  <c r="AA1387" i="1"/>
  <c r="AB1387" i="1" s="1"/>
  <c r="AA1379" i="1"/>
  <c r="AB1379" i="1" s="1"/>
  <c r="AA1371" i="1"/>
  <c r="AB1371" i="1" s="1"/>
  <c r="AA1363" i="1"/>
  <c r="AB1363" i="1" s="1"/>
  <c r="AA1355" i="1"/>
  <c r="AB1355" i="1" s="1"/>
  <c r="AA1347" i="1"/>
  <c r="AB1347" i="1" s="1"/>
  <c r="AA1339" i="1"/>
  <c r="AB1339" i="1" s="1"/>
  <c r="AA1331" i="1"/>
  <c r="AB1331" i="1" s="1"/>
  <c r="AA1323" i="1"/>
  <c r="AB1323" i="1" s="1"/>
  <c r="AA1315" i="1"/>
  <c r="AB1315" i="1" s="1"/>
  <c r="AA1307" i="1"/>
  <c r="AB1307" i="1" s="1"/>
  <c r="AA1299" i="1"/>
  <c r="AB1299" i="1" s="1"/>
  <c r="AA1291" i="1"/>
  <c r="AB1291" i="1" s="1"/>
  <c r="AA1283" i="1"/>
  <c r="AB1283" i="1" s="1"/>
  <c r="AA1275" i="1"/>
  <c r="AB1275" i="1" s="1"/>
  <c r="AA1267" i="1"/>
  <c r="AB1267" i="1" s="1"/>
  <c r="AA1259" i="1"/>
  <c r="AB1259" i="1" s="1"/>
  <c r="AA1251" i="1"/>
  <c r="AB1251" i="1" s="1"/>
  <c r="AA1243" i="1"/>
  <c r="AB1243" i="1" s="1"/>
  <c r="AA1235" i="1"/>
  <c r="AB1235" i="1" s="1"/>
  <c r="AA1227" i="1"/>
  <c r="AB1227" i="1" s="1"/>
  <c r="AA1219" i="1"/>
  <c r="AB1219" i="1" s="1"/>
  <c r="AA1211" i="1"/>
  <c r="AB1211" i="1" s="1"/>
  <c r="AA1203" i="1"/>
  <c r="AB1203" i="1" s="1"/>
  <c r="AA1195" i="1"/>
  <c r="AB1195" i="1" s="1"/>
  <c r="AA1187" i="1"/>
  <c r="AB1187" i="1" s="1"/>
  <c r="AA1179" i="1"/>
  <c r="AB1179" i="1" s="1"/>
  <c r="AA1171" i="1"/>
  <c r="AB1171" i="1" s="1"/>
  <c r="AA1163" i="1"/>
  <c r="AB1163" i="1" s="1"/>
  <c r="AA1155" i="1"/>
  <c r="AB1155" i="1" s="1"/>
  <c r="AA1147" i="1"/>
  <c r="AB1147" i="1" s="1"/>
  <c r="AA1139" i="1"/>
  <c r="AB1139" i="1" s="1"/>
  <c r="AA1131" i="1"/>
  <c r="AB1131" i="1" s="1"/>
  <c r="AA1123" i="1"/>
  <c r="AB1123" i="1" s="1"/>
  <c r="AA1115" i="1"/>
  <c r="AB1115" i="1" s="1"/>
  <c r="AA1107" i="1"/>
  <c r="AB1107" i="1" s="1"/>
  <c r="AA1099" i="1"/>
  <c r="AB1099" i="1" s="1"/>
  <c r="AA1091" i="1"/>
  <c r="AB1091" i="1" s="1"/>
  <c r="AA1083" i="1"/>
  <c r="AB1083" i="1" s="1"/>
  <c r="AA1075" i="1"/>
  <c r="AB1075" i="1" s="1"/>
  <c r="AA1067" i="1"/>
  <c r="AB1067" i="1" s="1"/>
  <c r="AA1059" i="1"/>
  <c r="AB1059" i="1" s="1"/>
  <c r="AA1051" i="1"/>
  <c r="AB1051" i="1" s="1"/>
  <c r="AA1043" i="1"/>
  <c r="AB1043" i="1" s="1"/>
  <c r="AA1035" i="1"/>
  <c r="AB1035" i="1" s="1"/>
  <c r="AA1027" i="1"/>
  <c r="AB1027" i="1" s="1"/>
  <c r="AA1019" i="1"/>
  <c r="AB1019" i="1" s="1"/>
  <c r="AA1011" i="1"/>
  <c r="AB1011" i="1" s="1"/>
  <c r="AA1003" i="1"/>
  <c r="AB1003" i="1" s="1"/>
  <c r="AA995" i="1"/>
  <c r="AB995" i="1" s="1"/>
  <c r="AA987" i="1"/>
  <c r="AB987" i="1" s="1"/>
  <c r="AA979" i="1"/>
  <c r="AB979" i="1" s="1"/>
  <c r="AA971" i="1"/>
  <c r="AB971" i="1" s="1"/>
  <c r="AA963" i="1"/>
  <c r="AB963" i="1" s="1"/>
  <c r="AA955" i="1"/>
  <c r="AB955" i="1" s="1"/>
  <c r="AA947" i="1"/>
  <c r="AB947" i="1" s="1"/>
  <c r="AA939" i="1"/>
  <c r="AB939" i="1" s="1"/>
  <c r="AA931" i="1"/>
  <c r="AB931" i="1" s="1"/>
  <c r="AA923" i="1"/>
  <c r="AB923" i="1" s="1"/>
  <c r="AA915" i="1"/>
  <c r="AB915" i="1" s="1"/>
  <c r="AA907" i="1"/>
  <c r="AB907" i="1" s="1"/>
  <c r="AA899" i="1"/>
  <c r="AB899" i="1" s="1"/>
  <c r="AA891" i="1"/>
  <c r="AB891" i="1" s="1"/>
  <c r="AA883" i="1"/>
  <c r="AB883" i="1" s="1"/>
  <c r="AA875" i="1"/>
  <c r="AB875" i="1" s="1"/>
  <c r="AA867" i="1"/>
  <c r="AB867" i="1" s="1"/>
  <c r="AA859" i="1"/>
  <c r="AB859" i="1" s="1"/>
  <c r="AA851" i="1"/>
  <c r="AB851" i="1" s="1"/>
  <c r="AA843" i="1"/>
  <c r="AB843" i="1" s="1"/>
  <c r="AA835" i="1"/>
  <c r="AB835" i="1" s="1"/>
  <c r="AA827" i="1"/>
  <c r="AB827" i="1" s="1"/>
  <c r="AA819" i="1"/>
  <c r="AB819" i="1" s="1"/>
  <c r="AA811" i="1"/>
  <c r="AB811" i="1" s="1"/>
  <c r="AA803" i="1"/>
  <c r="AB803" i="1" s="1"/>
  <c r="AA795" i="1"/>
  <c r="AB795" i="1" s="1"/>
  <c r="AA787" i="1"/>
  <c r="AB787" i="1" s="1"/>
  <c r="AA779" i="1"/>
  <c r="AB779" i="1" s="1"/>
  <c r="AA771" i="1"/>
  <c r="AB771" i="1" s="1"/>
  <c r="AA763" i="1"/>
  <c r="AB763" i="1" s="1"/>
  <c r="AA755" i="1"/>
  <c r="AB755" i="1" s="1"/>
  <c r="AA747" i="1"/>
  <c r="AB747" i="1" s="1"/>
  <c r="AA739" i="1"/>
  <c r="AB739" i="1" s="1"/>
  <c r="AA731" i="1"/>
  <c r="AB731" i="1" s="1"/>
  <c r="AA723" i="1"/>
  <c r="AB723" i="1" s="1"/>
  <c r="AA715" i="1"/>
  <c r="AB715" i="1" s="1"/>
  <c r="AA707" i="1"/>
  <c r="AB707" i="1" s="1"/>
  <c r="AA699" i="1"/>
  <c r="AB699" i="1" s="1"/>
  <c r="AA691" i="1"/>
  <c r="AB691" i="1" s="1"/>
  <c r="AA683" i="1"/>
  <c r="AB683" i="1" s="1"/>
  <c r="AA675" i="1"/>
  <c r="AB675" i="1" s="1"/>
  <c r="AA667" i="1"/>
  <c r="AB667" i="1" s="1"/>
  <c r="AA659" i="1"/>
  <c r="AB659" i="1" s="1"/>
  <c r="AA651" i="1"/>
  <c r="AB651" i="1" s="1"/>
  <c r="AA643" i="1"/>
  <c r="AB643" i="1" s="1"/>
  <c r="AA635" i="1"/>
  <c r="AB635" i="1" s="1"/>
  <c r="AA627" i="1"/>
  <c r="AB627" i="1" s="1"/>
  <c r="AA619" i="1"/>
  <c r="AB619" i="1" s="1"/>
  <c r="AA611" i="1"/>
  <c r="AB611" i="1" s="1"/>
  <c r="AA603" i="1"/>
  <c r="AB603" i="1" s="1"/>
  <c r="AA595" i="1"/>
  <c r="AB595" i="1" s="1"/>
  <c r="AA587" i="1"/>
  <c r="AB587" i="1" s="1"/>
  <c r="AA579" i="1"/>
  <c r="AB579" i="1" s="1"/>
  <c r="AA571" i="1"/>
  <c r="AB571" i="1" s="1"/>
  <c r="AA563" i="1"/>
  <c r="AB563" i="1" s="1"/>
  <c r="AA555" i="1"/>
  <c r="AB555" i="1" s="1"/>
  <c r="AA547" i="1"/>
  <c r="AB547" i="1" s="1"/>
  <c r="AA539" i="1"/>
  <c r="AB539" i="1" s="1"/>
  <c r="AA531" i="1"/>
  <c r="AB531" i="1" s="1"/>
  <c r="AA523" i="1"/>
  <c r="AB523" i="1" s="1"/>
  <c r="AA515" i="1"/>
  <c r="AB515" i="1" s="1"/>
  <c r="AA507" i="1"/>
  <c r="AB507" i="1" s="1"/>
  <c r="AA499" i="1"/>
  <c r="AB499" i="1" s="1"/>
  <c r="AA491" i="1"/>
  <c r="AB491" i="1" s="1"/>
  <c r="AA483" i="1"/>
  <c r="AB483" i="1" s="1"/>
  <c r="AA475" i="1"/>
  <c r="AB475" i="1" s="1"/>
  <c r="AA467" i="1"/>
  <c r="AB467" i="1" s="1"/>
  <c r="AA459" i="1"/>
  <c r="AB459" i="1" s="1"/>
  <c r="AA451" i="1"/>
  <c r="AB451" i="1" s="1"/>
  <c r="AA443" i="1"/>
  <c r="AB443" i="1" s="1"/>
  <c r="AA435" i="1"/>
  <c r="AB435" i="1" s="1"/>
  <c r="AA427" i="1"/>
  <c r="AB427" i="1" s="1"/>
  <c r="AA419" i="1"/>
  <c r="AB419" i="1" s="1"/>
  <c r="AA411" i="1"/>
  <c r="AB411" i="1" s="1"/>
  <c r="AA403" i="1"/>
  <c r="AB403" i="1" s="1"/>
  <c r="AA395" i="1"/>
  <c r="AB395" i="1" s="1"/>
  <c r="AA387" i="1"/>
  <c r="AB387" i="1" s="1"/>
  <c r="AA379" i="1"/>
  <c r="AB379" i="1" s="1"/>
  <c r="AA371" i="1"/>
  <c r="AB371" i="1" s="1"/>
  <c r="AA363" i="1"/>
  <c r="AB363" i="1" s="1"/>
  <c r="AA355" i="1"/>
  <c r="AB355" i="1" s="1"/>
  <c r="AA347" i="1"/>
  <c r="AB347" i="1" s="1"/>
  <c r="AA339" i="1"/>
  <c r="AB339" i="1" s="1"/>
  <c r="AA331" i="1"/>
  <c r="AB331" i="1" s="1"/>
  <c r="AA323" i="1"/>
  <c r="AB323" i="1" s="1"/>
  <c r="AA315" i="1"/>
  <c r="AB315" i="1" s="1"/>
  <c r="AA307" i="1"/>
  <c r="AB307" i="1" s="1"/>
  <c r="AA299" i="1"/>
  <c r="AB299" i="1" s="1"/>
  <c r="AA291" i="1"/>
  <c r="AB291" i="1" s="1"/>
  <c r="AA283" i="1"/>
  <c r="AB283" i="1" s="1"/>
  <c r="AA275" i="1"/>
  <c r="AB275" i="1" s="1"/>
  <c r="AA267" i="1"/>
  <c r="AB267" i="1" s="1"/>
  <c r="AA259" i="1"/>
  <c r="AB259" i="1" s="1"/>
  <c r="AA251" i="1"/>
  <c r="AB251" i="1" s="1"/>
  <c r="AA243" i="1"/>
  <c r="AB243" i="1" s="1"/>
  <c r="AA235" i="1"/>
  <c r="AB235" i="1" s="1"/>
  <c r="AA227" i="1"/>
  <c r="AB227" i="1" s="1"/>
  <c r="AA219" i="1"/>
  <c r="AB219" i="1" s="1"/>
  <c r="AA211" i="1"/>
  <c r="AB211" i="1" s="1"/>
  <c r="AA203" i="1"/>
  <c r="AB203" i="1" s="1"/>
  <c r="AA195" i="1"/>
  <c r="AB195" i="1" s="1"/>
  <c r="AA187" i="1"/>
  <c r="AB187" i="1" s="1"/>
  <c r="AA179" i="1"/>
  <c r="AB179" i="1" s="1"/>
  <c r="AA171" i="1"/>
  <c r="AB171" i="1" s="1"/>
  <c r="AA163" i="1"/>
  <c r="AB163" i="1" s="1"/>
  <c r="AA155" i="1"/>
  <c r="AB155" i="1" s="1"/>
  <c r="AA147" i="1"/>
  <c r="AB147" i="1" s="1"/>
  <c r="AA139" i="1"/>
  <c r="AB139" i="1" s="1"/>
  <c r="AA131" i="1"/>
  <c r="AB131" i="1" s="1"/>
  <c r="AA123" i="1"/>
  <c r="AB123" i="1" s="1"/>
  <c r="AA115" i="1"/>
  <c r="AB115" i="1" s="1"/>
  <c r="AA107" i="1"/>
  <c r="AB107" i="1" s="1"/>
  <c r="AA99" i="1"/>
  <c r="AB99" i="1" s="1"/>
  <c r="AA91" i="1"/>
  <c r="AB91" i="1" s="1"/>
  <c r="AA83" i="1"/>
  <c r="AB83" i="1" s="1"/>
  <c r="AA75" i="1"/>
  <c r="AB75" i="1" s="1"/>
  <c r="AA67" i="1"/>
  <c r="AB67" i="1" s="1"/>
  <c r="AA59" i="1"/>
  <c r="AB59" i="1" s="1"/>
  <c r="AA51" i="1"/>
  <c r="AB51" i="1" s="1"/>
  <c r="AA43" i="1"/>
  <c r="AB43" i="1" s="1"/>
  <c r="AA35" i="1"/>
  <c r="AB35" i="1" s="1"/>
  <c r="AA27" i="1"/>
  <c r="AB27" i="1" s="1"/>
  <c r="AA19" i="1"/>
  <c r="AB19" i="1" s="1"/>
  <c r="AA11" i="1"/>
  <c r="AB11" i="1" s="1"/>
  <c r="AA3" i="1"/>
  <c r="AB3" i="1" s="1"/>
  <c r="AA1932" i="1"/>
  <c r="AB1932" i="1" s="1"/>
  <c r="AA1876" i="1"/>
  <c r="AB1876" i="1" s="1"/>
  <c r="AA1820" i="1"/>
  <c r="AB1820" i="1" s="1"/>
  <c r="AA1748" i="1"/>
  <c r="AB1748" i="1" s="1"/>
  <c r="AA1708" i="1"/>
  <c r="AB1708" i="1" s="1"/>
  <c r="AA1660" i="1"/>
  <c r="AB1660" i="1" s="1"/>
  <c r="AA1596" i="1"/>
  <c r="AB1596" i="1" s="1"/>
  <c r="AA1548" i="1"/>
  <c r="AB1548" i="1" s="1"/>
  <c r="AA1508" i="1"/>
  <c r="AB1508" i="1" s="1"/>
  <c r="AA1484" i="1"/>
  <c r="AB1484" i="1" s="1"/>
  <c r="AA1452" i="1"/>
  <c r="AB1452" i="1" s="1"/>
  <c r="AA1420" i="1"/>
  <c r="AB1420" i="1" s="1"/>
  <c r="AA1396" i="1"/>
  <c r="AB1396" i="1" s="1"/>
  <c r="AA1356" i="1"/>
  <c r="AB1356" i="1" s="1"/>
  <c r="AA1316" i="1"/>
  <c r="AB1316" i="1" s="1"/>
  <c r="AA1292" i="1"/>
  <c r="AB1292" i="1" s="1"/>
  <c r="AA1260" i="1"/>
  <c r="AB1260" i="1" s="1"/>
  <c r="AA1236" i="1"/>
  <c r="AB1236" i="1" s="1"/>
  <c r="AA1212" i="1"/>
  <c r="AB1212" i="1" s="1"/>
  <c r="AA1180" i="1"/>
  <c r="AB1180" i="1" s="1"/>
  <c r="AA1156" i="1"/>
  <c r="AB1156" i="1" s="1"/>
  <c r="AA1132" i="1"/>
  <c r="AB1132" i="1" s="1"/>
  <c r="AA1108" i="1"/>
  <c r="AB1108" i="1" s="1"/>
  <c r="AA1084" i="1"/>
  <c r="AB1084" i="1" s="1"/>
  <c r="AA1060" i="1"/>
  <c r="AB1060" i="1" s="1"/>
  <c r="AA1044" i="1"/>
  <c r="AB1044" i="1" s="1"/>
  <c r="AA1020" i="1"/>
  <c r="AB1020" i="1" s="1"/>
  <c r="AA988" i="1"/>
  <c r="AB988" i="1" s="1"/>
  <c r="AA964" i="1"/>
  <c r="AB964" i="1" s="1"/>
  <c r="AA940" i="1"/>
  <c r="AB940" i="1" s="1"/>
  <c r="AA916" i="1"/>
  <c r="AB916" i="1" s="1"/>
  <c r="AA884" i="1"/>
  <c r="AB884" i="1" s="1"/>
  <c r="AA852" i="1"/>
  <c r="AB852" i="1" s="1"/>
  <c r="AA828" i="1"/>
  <c r="AB828" i="1" s="1"/>
  <c r="AA804" i="1"/>
  <c r="AB804" i="1" s="1"/>
  <c r="AA772" i="1"/>
  <c r="AB772" i="1" s="1"/>
  <c r="AA748" i="1"/>
  <c r="AB748" i="1" s="1"/>
  <c r="AA724" i="1"/>
  <c r="AB724" i="1" s="1"/>
  <c r="AA700" i="1"/>
  <c r="AB700" i="1" s="1"/>
  <c r="AA668" i="1"/>
  <c r="AB668" i="1" s="1"/>
  <c r="AA644" i="1"/>
  <c r="AB644" i="1" s="1"/>
  <c r="AA612" i="1"/>
  <c r="AB612" i="1" s="1"/>
  <c r="AA588" i="1"/>
  <c r="AB588" i="1" s="1"/>
  <c r="AA564" i="1"/>
  <c r="AB564" i="1" s="1"/>
  <c r="AA532" i="1"/>
  <c r="AB532" i="1" s="1"/>
  <c r="AA500" i="1"/>
  <c r="AB500" i="1" s="1"/>
  <c r="AA468" i="1"/>
  <c r="AB468" i="1" s="1"/>
  <c r="AA444" i="1"/>
  <c r="AB444" i="1" s="1"/>
  <c r="AA412" i="1"/>
  <c r="AB412" i="1" s="1"/>
  <c r="AA388" i="1"/>
  <c r="AB388" i="1" s="1"/>
  <c r="AA364" i="1"/>
  <c r="AB364" i="1" s="1"/>
  <c r="AA340" i="1"/>
  <c r="AB340" i="1" s="1"/>
  <c r="AA324" i="1"/>
  <c r="AB324" i="1" s="1"/>
  <c r="AA300" i="1"/>
  <c r="AB300" i="1" s="1"/>
  <c r="AA268" i="1"/>
  <c r="AB268" i="1" s="1"/>
  <c r="AA244" i="1"/>
  <c r="AB244" i="1" s="1"/>
  <c r="AA220" i="1"/>
  <c r="AB220" i="1" s="1"/>
  <c r="AA196" i="1"/>
  <c r="AB196" i="1" s="1"/>
  <c r="AA164" i="1"/>
  <c r="AB164" i="1" s="1"/>
  <c r="AA140" i="1"/>
  <c r="AB140" i="1" s="1"/>
  <c r="AA116" i="1"/>
  <c r="AB116" i="1" s="1"/>
  <c r="AA92" i="1"/>
  <c r="AB92" i="1" s="1"/>
  <c r="AA36" i="1"/>
  <c r="AB36" i="1" s="1"/>
  <c r="AA12" i="1"/>
  <c r="AB12" i="1" s="1"/>
  <c r="AA1884" i="1"/>
  <c r="AB1884" i="1" s="1"/>
  <c r="AA1828" i="1"/>
  <c r="AB1828" i="1" s="1"/>
  <c r="AA1772" i="1"/>
  <c r="AB1772" i="1" s="1"/>
  <c r="AA1716" i="1"/>
  <c r="AB1716" i="1" s="1"/>
  <c r="AA1644" i="1"/>
  <c r="AB1644" i="1" s="1"/>
  <c r="AA1428" i="1"/>
  <c r="AB1428" i="1" s="1"/>
  <c r="AA60" i="1"/>
  <c r="AB60" i="1" s="1"/>
  <c r="AA4001" i="1"/>
  <c r="AB4001" i="1" s="1"/>
  <c r="AA3993" i="1"/>
  <c r="AB3993" i="1" s="1"/>
  <c r="AA3985" i="1"/>
  <c r="AB3985" i="1" s="1"/>
  <c r="AA3977" i="1"/>
  <c r="AB3977" i="1" s="1"/>
  <c r="AA3969" i="1"/>
  <c r="AB3969" i="1" s="1"/>
  <c r="AA3961" i="1"/>
  <c r="AB3961" i="1" s="1"/>
  <c r="AA3953" i="1"/>
  <c r="AB3953" i="1" s="1"/>
  <c r="AA3945" i="1"/>
  <c r="AB3945" i="1" s="1"/>
  <c r="AA3937" i="1"/>
  <c r="AB3937" i="1" s="1"/>
  <c r="AA3929" i="1"/>
  <c r="AB3929" i="1" s="1"/>
  <c r="AA3921" i="1"/>
  <c r="AB3921" i="1" s="1"/>
  <c r="AA3913" i="1"/>
  <c r="AB3913" i="1" s="1"/>
  <c r="AA3905" i="1"/>
  <c r="AB3905" i="1" s="1"/>
  <c r="AA3897" i="1"/>
  <c r="AB3897" i="1" s="1"/>
  <c r="AA3889" i="1"/>
  <c r="AB3889" i="1" s="1"/>
  <c r="AA3881" i="1"/>
  <c r="AB3881" i="1" s="1"/>
  <c r="AA3873" i="1"/>
  <c r="AB3873" i="1" s="1"/>
  <c r="AA3865" i="1"/>
  <c r="AB3865" i="1" s="1"/>
  <c r="AA3857" i="1"/>
  <c r="AB3857" i="1" s="1"/>
  <c r="AA3849" i="1"/>
  <c r="AB3849" i="1" s="1"/>
  <c r="AA3841" i="1"/>
  <c r="AB3841" i="1" s="1"/>
  <c r="AA3833" i="1"/>
  <c r="AB3833" i="1" s="1"/>
  <c r="AA3825" i="1"/>
  <c r="AB3825" i="1" s="1"/>
  <c r="AA3817" i="1"/>
  <c r="AB3817" i="1" s="1"/>
  <c r="AA3809" i="1"/>
  <c r="AB3809" i="1" s="1"/>
  <c r="AA3801" i="1"/>
  <c r="AB3801" i="1" s="1"/>
  <c r="AA3793" i="1"/>
  <c r="AB3793" i="1" s="1"/>
  <c r="AA3785" i="1"/>
  <c r="AB3785" i="1" s="1"/>
  <c r="AA3777" i="1"/>
  <c r="AB3777" i="1" s="1"/>
  <c r="AA3769" i="1"/>
  <c r="AB3769" i="1" s="1"/>
  <c r="AA3761" i="1"/>
  <c r="AB3761" i="1" s="1"/>
  <c r="AA3753" i="1"/>
  <c r="AB3753" i="1" s="1"/>
  <c r="AA3745" i="1"/>
  <c r="AB3745" i="1" s="1"/>
  <c r="AA3737" i="1"/>
  <c r="AB3737" i="1" s="1"/>
  <c r="AA3729" i="1"/>
  <c r="AB3729" i="1" s="1"/>
  <c r="AA3721" i="1"/>
  <c r="AB3721" i="1" s="1"/>
  <c r="AA3713" i="1"/>
  <c r="AB3713" i="1" s="1"/>
  <c r="AA3705" i="1"/>
  <c r="AB3705" i="1" s="1"/>
  <c r="AA3697" i="1"/>
  <c r="AB3697" i="1" s="1"/>
  <c r="AA3689" i="1"/>
  <c r="AB3689" i="1" s="1"/>
  <c r="AA3681" i="1"/>
  <c r="AB3681" i="1" s="1"/>
  <c r="AA3673" i="1"/>
  <c r="AB3673" i="1" s="1"/>
  <c r="AA3665" i="1"/>
  <c r="AB3665" i="1" s="1"/>
  <c r="AA3657" i="1"/>
  <c r="AB3657" i="1" s="1"/>
  <c r="AA3649" i="1"/>
  <c r="AB3649" i="1" s="1"/>
  <c r="AA3641" i="1"/>
  <c r="AB3641" i="1" s="1"/>
  <c r="AA3633" i="1"/>
  <c r="AB3633" i="1" s="1"/>
  <c r="AA3625" i="1"/>
  <c r="AB3625" i="1" s="1"/>
  <c r="AA3617" i="1"/>
  <c r="AB3617" i="1" s="1"/>
  <c r="AA3609" i="1"/>
  <c r="AB3609" i="1" s="1"/>
  <c r="AA3601" i="1"/>
  <c r="AB3601" i="1" s="1"/>
  <c r="AA3593" i="1"/>
  <c r="AB3593" i="1" s="1"/>
  <c r="AA3585" i="1"/>
  <c r="AB3585" i="1" s="1"/>
  <c r="AA3577" i="1"/>
  <c r="AB3577" i="1" s="1"/>
  <c r="AA3569" i="1"/>
  <c r="AB3569" i="1" s="1"/>
  <c r="AA3561" i="1"/>
  <c r="AB3561" i="1" s="1"/>
  <c r="AA3553" i="1"/>
  <c r="AB3553" i="1" s="1"/>
  <c r="AA3545" i="1"/>
  <c r="AB3545" i="1" s="1"/>
  <c r="AA3537" i="1"/>
  <c r="AB3537" i="1" s="1"/>
  <c r="AA3529" i="1"/>
  <c r="AB3529" i="1" s="1"/>
  <c r="AA3521" i="1"/>
  <c r="AB3521" i="1" s="1"/>
  <c r="AA3513" i="1"/>
  <c r="AB3513" i="1" s="1"/>
  <c r="AA3505" i="1"/>
  <c r="AB3505" i="1" s="1"/>
  <c r="AA3497" i="1"/>
  <c r="AB3497" i="1" s="1"/>
  <c r="AA3489" i="1"/>
  <c r="AB3489" i="1" s="1"/>
  <c r="AA3481" i="1"/>
  <c r="AB3481" i="1" s="1"/>
  <c r="AA3473" i="1"/>
  <c r="AB3473" i="1" s="1"/>
  <c r="AA3465" i="1"/>
  <c r="AB3465" i="1" s="1"/>
  <c r="AA3457" i="1"/>
  <c r="AB3457" i="1" s="1"/>
  <c r="AA3449" i="1"/>
  <c r="AB3449" i="1" s="1"/>
  <c r="AA3441" i="1"/>
  <c r="AB3441" i="1" s="1"/>
  <c r="AA3433" i="1"/>
  <c r="AB3433" i="1" s="1"/>
  <c r="AA3425" i="1"/>
  <c r="AB3425" i="1" s="1"/>
  <c r="AA3417" i="1"/>
  <c r="AB3417" i="1" s="1"/>
  <c r="AA3409" i="1"/>
  <c r="AB3409" i="1" s="1"/>
  <c r="AA3401" i="1"/>
  <c r="AB3401" i="1" s="1"/>
  <c r="AA3393" i="1"/>
  <c r="AB3393" i="1" s="1"/>
  <c r="AA3385" i="1"/>
  <c r="AB3385" i="1" s="1"/>
  <c r="AA3377" i="1"/>
  <c r="AB3377" i="1" s="1"/>
  <c r="AA3369" i="1"/>
  <c r="AB3369" i="1" s="1"/>
  <c r="AA3361" i="1"/>
  <c r="AB3361" i="1" s="1"/>
  <c r="AA3353" i="1"/>
  <c r="AB3353" i="1" s="1"/>
  <c r="AA3345" i="1"/>
  <c r="AB3345" i="1" s="1"/>
  <c r="AA3337" i="1"/>
  <c r="AB3337" i="1" s="1"/>
  <c r="AA3329" i="1"/>
  <c r="AB3329" i="1" s="1"/>
  <c r="AA3321" i="1"/>
  <c r="AB3321" i="1" s="1"/>
  <c r="AA3313" i="1"/>
  <c r="AB3313" i="1" s="1"/>
  <c r="AA3305" i="1"/>
  <c r="AB3305" i="1" s="1"/>
  <c r="AA3297" i="1"/>
  <c r="AB3297" i="1" s="1"/>
  <c r="AA3289" i="1"/>
  <c r="AB3289" i="1" s="1"/>
  <c r="AA3281" i="1"/>
  <c r="AB3281" i="1" s="1"/>
  <c r="AA3273" i="1"/>
  <c r="AB3273" i="1" s="1"/>
  <c r="AA3265" i="1"/>
  <c r="AB3265" i="1" s="1"/>
  <c r="AA3257" i="1"/>
  <c r="AB3257" i="1" s="1"/>
  <c r="AA3249" i="1"/>
  <c r="AB3249" i="1" s="1"/>
  <c r="AA3241" i="1"/>
  <c r="AB3241" i="1" s="1"/>
  <c r="AA3233" i="1"/>
  <c r="AB3233" i="1" s="1"/>
  <c r="AA3225" i="1"/>
  <c r="AB3225" i="1" s="1"/>
  <c r="AA3217" i="1"/>
  <c r="AB3217" i="1" s="1"/>
  <c r="AA3209" i="1"/>
  <c r="AB3209" i="1" s="1"/>
  <c r="AA3201" i="1"/>
  <c r="AB3201" i="1" s="1"/>
  <c r="AA3193" i="1"/>
  <c r="AB3193" i="1" s="1"/>
  <c r="AA3185" i="1"/>
  <c r="AB3185" i="1" s="1"/>
  <c r="AA3177" i="1"/>
  <c r="AB3177" i="1" s="1"/>
  <c r="AA3169" i="1"/>
  <c r="AB3169" i="1" s="1"/>
  <c r="AA3161" i="1"/>
  <c r="AB3161" i="1" s="1"/>
  <c r="AA3153" i="1"/>
  <c r="AB3153" i="1" s="1"/>
  <c r="AA3145" i="1"/>
  <c r="AB3145" i="1" s="1"/>
  <c r="AA3137" i="1"/>
  <c r="AB3137" i="1" s="1"/>
  <c r="AA3129" i="1"/>
  <c r="AB3129" i="1" s="1"/>
  <c r="AA3121" i="1"/>
  <c r="AB3121" i="1" s="1"/>
  <c r="AA3113" i="1"/>
  <c r="AB3113" i="1" s="1"/>
  <c r="AA3105" i="1"/>
  <c r="AB3105" i="1" s="1"/>
  <c r="AA3097" i="1"/>
  <c r="AB3097" i="1" s="1"/>
  <c r="AA3089" i="1"/>
  <c r="AB3089" i="1" s="1"/>
  <c r="AA3081" i="1"/>
  <c r="AB3081" i="1" s="1"/>
  <c r="AA3073" i="1"/>
  <c r="AB3073" i="1" s="1"/>
  <c r="AA3065" i="1"/>
  <c r="AB3065" i="1" s="1"/>
  <c r="AA3057" i="1"/>
  <c r="AB3057" i="1" s="1"/>
  <c r="AA3049" i="1"/>
  <c r="AB3049" i="1" s="1"/>
  <c r="AA3041" i="1"/>
  <c r="AB3041" i="1" s="1"/>
  <c r="AA3033" i="1"/>
  <c r="AB3033" i="1" s="1"/>
  <c r="AA3025" i="1"/>
  <c r="AB3025" i="1" s="1"/>
  <c r="AA3017" i="1"/>
  <c r="AB3017" i="1" s="1"/>
  <c r="AA3009" i="1"/>
  <c r="AB3009" i="1" s="1"/>
  <c r="AA3001" i="1"/>
  <c r="AB3001" i="1" s="1"/>
  <c r="AA2993" i="1"/>
  <c r="AB2993" i="1" s="1"/>
  <c r="AA2985" i="1"/>
  <c r="AB2985" i="1" s="1"/>
  <c r="AA2977" i="1"/>
  <c r="AB2977" i="1" s="1"/>
  <c r="AA2969" i="1"/>
  <c r="AB2969" i="1" s="1"/>
  <c r="AA2961" i="1"/>
  <c r="AB2961" i="1" s="1"/>
  <c r="AA2953" i="1"/>
  <c r="AB2953" i="1" s="1"/>
  <c r="AA2945" i="1"/>
  <c r="AB2945" i="1" s="1"/>
  <c r="AA2937" i="1"/>
  <c r="AB2937" i="1" s="1"/>
  <c r="AA2929" i="1"/>
  <c r="AB2929" i="1" s="1"/>
  <c r="AA2921" i="1"/>
  <c r="AB2921" i="1" s="1"/>
  <c r="AA2913" i="1"/>
  <c r="AB2913" i="1" s="1"/>
  <c r="AA2905" i="1"/>
  <c r="AB2905" i="1" s="1"/>
  <c r="AA2897" i="1"/>
  <c r="AB2897" i="1" s="1"/>
  <c r="AA2889" i="1"/>
  <c r="AB2889" i="1" s="1"/>
  <c r="AA2881" i="1"/>
  <c r="AB2881" i="1" s="1"/>
  <c r="AA2873" i="1"/>
  <c r="AB2873" i="1" s="1"/>
  <c r="AA2865" i="1"/>
  <c r="AB2865" i="1" s="1"/>
  <c r="AA2857" i="1"/>
  <c r="AB2857" i="1" s="1"/>
  <c r="AA2849" i="1"/>
  <c r="AB2849" i="1" s="1"/>
  <c r="AA2841" i="1"/>
  <c r="AB2841" i="1" s="1"/>
  <c r="AA2833" i="1"/>
  <c r="AB2833" i="1" s="1"/>
  <c r="AA2825" i="1"/>
  <c r="AB2825" i="1" s="1"/>
  <c r="AA2817" i="1"/>
  <c r="AB2817" i="1" s="1"/>
  <c r="AA2809" i="1"/>
  <c r="AB2809" i="1" s="1"/>
  <c r="AA2801" i="1"/>
  <c r="AB2801" i="1" s="1"/>
  <c r="AA2793" i="1"/>
  <c r="AB2793" i="1" s="1"/>
  <c r="AA2785" i="1"/>
  <c r="AB2785" i="1" s="1"/>
  <c r="AA2777" i="1"/>
  <c r="AB2777" i="1" s="1"/>
  <c r="AA2769" i="1"/>
  <c r="AB2769" i="1" s="1"/>
  <c r="AA2761" i="1"/>
  <c r="AB2761" i="1" s="1"/>
  <c r="AA2753" i="1"/>
  <c r="AB2753" i="1" s="1"/>
  <c r="AA2745" i="1"/>
  <c r="AB2745" i="1" s="1"/>
  <c r="AA2737" i="1"/>
  <c r="AB2737" i="1" s="1"/>
  <c r="AA2729" i="1"/>
  <c r="AB2729" i="1" s="1"/>
  <c r="AA2721" i="1"/>
  <c r="AB2721" i="1" s="1"/>
  <c r="AA2713" i="1"/>
  <c r="AB2713" i="1" s="1"/>
  <c r="AA2705" i="1"/>
  <c r="AB2705" i="1" s="1"/>
  <c r="AA2697" i="1"/>
  <c r="AB2697" i="1" s="1"/>
  <c r="AA2689" i="1"/>
  <c r="AB2689" i="1" s="1"/>
  <c r="AA2681" i="1"/>
  <c r="AB2681" i="1" s="1"/>
  <c r="AA2673" i="1"/>
  <c r="AB2673" i="1" s="1"/>
  <c r="AA2665" i="1"/>
  <c r="AB2665" i="1" s="1"/>
  <c r="AA2657" i="1"/>
  <c r="AB2657" i="1" s="1"/>
  <c r="AA2649" i="1"/>
  <c r="AB2649" i="1" s="1"/>
  <c r="AA2641" i="1"/>
  <c r="AB2641" i="1" s="1"/>
  <c r="AA2633" i="1"/>
  <c r="AB2633" i="1" s="1"/>
  <c r="AA2625" i="1"/>
  <c r="AB2625" i="1" s="1"/>
  <c r="AA2617" i="1"/>
  <c r="AB2617" i="1" s="1"/>
  <c r="AA2609" i="1"/>
  <c r="AB2609" i="1" s="1"/>
  <c r="AA2601" i="1"/>
  <c r="AB2601" i="1" s="1"/>
  <c r="AA2593" i="1"/>
  <c r="AB2593" i="1" s="1"/>
  <c r="AA2585" i="1"/>
  <c r="AB2585" i="1" s="1"/>
  <c r="AA2577" i="1"/>
  <c r="AB2577" i="1" s="1"/>
  <c r="AA2569" i="1"/>
  <c r="AB2569" i="1" s="1"/>
  <c r="AA2561" i="1"/>
  <c r="AB2561" i="1" s="1"/>
  <c r="AA2553" i="1"/>
  <c r="AB2553" i="1" s="1"/>
  <c r="AA2545" i="1"/>
  <c r="AB2545" i="1" s="1"/>
  <c r="AA2537" i="1"/>
  <c r="AB2537" i="1" s="1"/>
  <c r="AA2529" i="1"/>
  <c r="AB2529" i="1" s="1"/>
  <c r="AA2521" i="1"/>
  <c r="AB2521" i="1" s="1"/>
  <c r="AA2513" i="1"/>
  <c r="AB2513" i="1" s="1"/>
  <c r="AA2505" i="1"/>
  <c r="AB2505" i="1" s="1"/>
  <c r="AA2497" i="1"/>
  <c r="AB2497" i="1" s="1"/>
  <c r="AA2489" i="1"/>
  <c r="AB2489" i="1" s="1"/>
  <c r="AA2481" i="1"/>
  <c r="AB2481" i="1" s="1"/>
  <c r="AA2473" i="1"/>
  <c r="AB2473" i="1" s="1"/>
  <c r="AA2465" i="1"/>
  <c r="AB2465" i="1" s="1"/>
  <c r="AA2457" i="1"/>
  <c r="AB2457" i="1" s="1"/>
  <c r="AA2449" i="1"/>
  <c r="AB2449" i="1" s="1"/>
  <c r="AA2441" i="1"/>
  <c r="AB2441" i="1" s="1"/>
  <c r="AA2433" i="1"/>
  <c r="AB2433" i="1" s="1"/>
  <c r="AA2425" i="1"/>
  <c r="AB2425" i="1" s="1"/>
  <c r="AA2417" i="1"/>
  <c r="AB2417" i="1" s="1"/>
  <c r="AA2409" i="1"/>
  <c r="AB2409" i="1" s="1"/>
  <c r="AA2401" i="1"/>
  <c r="AB2401" i="1" s="1"/>
  <c r="AA2393" i="1"/>
  <c r="AB2393" i="1" s="1"/>
  <c r="AA2385" i="1"/>
  <c r="AB2385" i="1" s="1"/>
  <c r="AA2377" i="1"/>
  <c r="AB2377" i="1" s="1"/>
  <c r="AA2369" i="1"/>
  <c r="AB2369" i="1" s="1"/>
  <c r="AA2361" i="1"/>
  <c r="AB2361" i="1" s="1"/>
  <c r="AA2353" i="1"/>
  <c r="AB2353" i="1" s="1"/>
  <c r="AA2345" i="1"/>
  <c r="AB2345" i="1" s="1"/>
  <c r="AA2337" i="1"/>
  <c r="AB2337" i="1" s="1"/>
  <c r="AA2329" i="1"/>
  <c r="AB2329" i="1" s="1"/>
  <c r="AA2321" i="1"/>
  <c r="AB2321" i="1" s="1"/>
  <c r="AA2313" i="1"/>
  <c r="AB2313" i="1" s="1"/>
  <c r="AA2305" i="1"/>
  <c r="AB2305" i="1" s="1"/>
  <c r="AA2297" i="1"/>
  <c r="AB2297" i="1" s="1"/>
  <c r="AA2289" i="1"/>
  <c r="AB2289" i="1" s="1"/>
  <c r="AA2281" i="1"/>
  <c r="AB2281" i="1" s="1"/>
  <c r="AA2273" i="1"/>
  <c r="AB2273" i="1" s="1"/>
  <c r="AA2265" i="1"/>
  <c r="AB2265" i="1" s="1"/>
  <c r="AA2257" i="1"/>
  <c r="AB2257" i="1" s="1"/>
  <c r="AA2249" i="1"/>
  <c r="AB2249" i="1" s="1"/>
  <c r="AA2241" i="1"/>
  <c r="AB2241" i="1" s="1"/>
  <c r="AA2233" i="1"/>
  <c r="AB2233" i="1" s="1"/>
  <c r="AA2225" i="1"/>
  <c r="AB2225" i="1" s="1"/>
  <c r="AA2217" i="1"/>
  <c r="AB2217" i="1" s="1"/>
  <c r="AA2209" i="1"/>
  <c r="AB2209" i="1" s="1"/>
  <c r="AA2201" i="1"/>
  <c r="AB2201" i="1" s="1"/>
  <c r="AA2193" i="1"/>
  <c r="AB2193" i="1" s="1"/>
  <c r="AA2185" i="1"/>
  <c r="AB2185" i="1" s="1"/>
  <c r="AA2177" i="1"/>
  <c r="AB2177" i="1" s="1"/>
  <c r="AA2169" i="1"/>
  <c r="AB2169" i="1" s="1"/>
  <c r="AA2161" i="1"/>
  <c r="AB2161" i="1" s="1"/>
  <c r="AA2153" i="1"/>
  <c r="AB2153" i="1" s="1"/>
  <c r="AA2145" i="1"/>
  <c r="AB2145" i="1" s="1"/>
  <c r="AA2137" i="1"/>
  <c r="AB2137" i="1" s="1"/>
  <c r="AA2129" i="1"/>
  <c r="AB2129" i="1" s="1"/>
  <c r="AA2121" i="1"/>
  <c r="AB2121" i="1" s="1"/>
  <c r="AA2113" i="1"/>
  <c r="AB2113" i="1" s="1"/>
  <c r="AA2105" i="1"/>
  <c r="AB2105" i="1" s="1"/>
  <c r="AA2097" i="1"/>
  <c r="AB2097" i="1" s="1"/>
  <c r="AA2089" i="1"/>
  <c r="AB2089" i="1" s="1"/>
  <c r="AA2081" i="1"/>
  <c r="AB2081" i="1" s="1"/>
  <c r="AA2073" i="1"/>
  <c r="AB2073" i="1" s="1"/>
  <c r="AA2065" i="1"/>
  <c r="AB2065" i="1" s="1"/>
  <c r="AA2057" i="1"/>
  <c r="AB2057" i="1" s="1"/>
  <c r="AA2049" i="1"/>
  <c r="AB2049" i="1" s="1"/>
  <c r="AA2041" i="1"/>
  <c r="AB2041" i="1" s="1"/>
  <c r="AA2033" i="1"/>
  <c r="AB2033" i="1" s="1"/>
  <c r="AA2025" i="1"/>
  <c r="AB2025" i="1" s="1"/>
  <c r="AA2017" i="1"/>
  <c r="AB2017" i="1" s="1"/>
  <c r="AA2009" i="1"/>
  <c r="AB2009" i="1" s="1"/>
  <c r="AA2001" i="1"/>
  <c r="AB2001" i="1" s="1"/>
  <c r="AA1993" i="1"/>
  <c r="AB1993" i="1" s="1"/>
  <c r="AA1985" i="1"/>
  <c r="AB1985" i="1" s="1"/>
  <c r="AA1977" i="1"/>
  <c r="AB1977" i="1" s="1"/>
  <c r="AA1969" i="1"/>
  <c r="AB1969" i="1" s="1"/>
  <c r="AA1961" i="1"/>
  <c r="AB1961" i="1" s="1"/>
  <c r="AA1953" i="1"/>
  <c r="AB1953" i="1" s="1"/>
  <c r="AA1945" i="1"/>
  <c r="AB1945" i="1" s="1"/>
  <c r="AA1937" i="1"/>
  <c r="AB1937" i="1" s="1"/>
  <c r="AA1929" i="1"/>
  <c r="AB1929" i="1" s="1"/>
  <c r="AA1921" i="1"/>
  <c r="AB1921" i="1" s="1"/>
  <c r="AA1913" i="1"/>
  <c r="AB1913" i="1" s="1"/>
  <c r="AA1905" i="1"/>
  <c r="AB1905" i="1" s="1"/>
  <c r="AA1897" i="1"/>
  <c r="AB1897" i="1" s="1"/>
  <c r="AA1889" i="1"/>
  <c r="AB1889" i="1" s="1"/>
  <c r="AA1881" i="1"/>
  <c r="AB1881" i="1" s="1"/>
  <c r="AA1873" i="1"/>
  <c r="AB1873" i="1" s="1"/>
  <c r="AA1865" i="1"/>
  <c r="AB1865" i="1" s="1"/>
  <c r="AA1857" i="1"/>
  <c r="AB1857" i="1" s="1"/>
  <c r="AA1849" i="1"/>
  <c r="AB1849" i="1" s="1"/>
  <c r="AA1841" i="1"/>
  <c r="AB1841" i="1" s="1"/>
  <c r="AA1833" i="1"/>
  <c r="AB1833" i="1" s="1"/>
  <c r="AA1825" i="1"/>
  <c r="AB1825" i="1" s="1"/>
  <c r="AA1817" i="1"/>
  <c r="AB1817" i="1" s="1"/>
  <c r="AA1809" i="1"/>
  <c r="AB1809" i="1" s="1"/>
  <c r="AA1801" i="1"/>
  <c r="AB1801" i="1" s="1"/>
  <c r="AA1793" i="1"/>
  <c r="AB1793" i="1" s="1"/>
  <c r="AA1785" i="1"/>
  <c r="AB1785" i="1" s="1"/>
  <c r="AA1777" i="1"/>
  <c r="AB1777" i="1" s="1"/>
  <c r="AA1769" i="1"/>
  <c r="AB1769" i="1" s="1"/>
  <c r="AA1761" i="1"/>
  <c r="AB1761" i="1" s="1"/>
  <c r="AA1753" i="1"/>
  <c r="AB1753" i="1" s="1"/>
  <c r="AA1745" i="1"/>
  <c r="AB1745" i="1" s="1"/>
  <c r="AA1737" i="1"/>
  <c r="AB1737" i="1" s="1"/>
  <c r="AA1729" i="1"/>
  <c r="AB1729" i="1" s="1"/>
  <c r="AA1721" i="1"/>
  <c r="AB1721" i="1" s="1"/>
  <c r="AA1713" i="1"/>
  <c r="AB1713" i="1" s="1"/>
  <c r="AA1705" i="1"/>
  <c r="AB1705" i="1" s="1"/>
  <c r="AA1697" i="1"/>
  <c r="AB1697" i="1" s="1"/>
  <c r="AA1689" i="1"/>
  <c r="AB1689" i="1" s="1"/>
  <c r="AA1681" i="1"/>
  <c r="AB1681" i="1" s="1"/>
  <c r="AA1673" i="1"/>
  <c r="AB1673" i="1" s="1"/>
  <c r="AA1665" i="1"/>
  <c r="AB1665" i="1" s="1"/>
  <c r="AA1657" i="1"/>
  <c r="AB1657" i="1" s="1"/>
  <c r="AA1649" i="1"/>
  <c r="AB1649" i="1" s="1"/>
  <c r="AA1641" i="1"/>
  <c r="AB1641" i="1" s="1"/>
  <c r="AA1633" i="1"/>
  <c r="AB1633" i="1" s="1"/>
  <c r="AA1625" i="1"/>
  <c r="AB1625" i="1" s="1"/>
  <c r="AA1617" i="1"/>
  <c r="AB1617" i="1" s="1"/>
  <c r="AA1609" i="1"/>
  <c r="AB1609" i="1" s="1"/>
  <c r="AA1601" i="1"/>
  <c r="AB1601" i="1" s="1"/>
  <c r="AA1593" i="1"/>
  <c r="AB1593" i="1" s="1"/>
  <c r="AA1585" i="1"/>
  <c r="AB1585" i="1" s="1"/>
  <c r="AA1577" i="1"/>
  <c r="AB1577" i="1" s="1"/>
  <c r="AA1569" i="1"/>
  <c r="AB1569" i="1" s="1"/>
  <c r="AA1561" i="1"/>
  <c r="AB1561" i="1" s="1"/>
  <c r="AA1553" i="1"/>
  <c r="AB1553" i="1" s="1"/>
  <c r="AA1545" i="1"/>
  <c r="AB1545" i="1" s="1"/>
  <c r="AA1537" i="1"/>
  <c r="AB1537" i="1" s="1"/>
  <c r="AA1529" i="1"/>
  <c r="AB1529" i="1" s="1"/>
  <c r="AA1521" i="1"/>
  <c r="AB1521" i="1" s="1"/>
  <c r="AA1513" i="1"/>
  <c r="AB1513" i="1" s="1"/>
  <c r="AA1505" i="1"/>
  <c r="AB1505" i="1" s="1"/>
  <c r="AA1497" i="1"/>
  <c r="AB1497" i="1" s="1"/>
  <c r="AA1489" i="1"/>
  <c r="AB1489" i="1" s="1"/>
  <c r="AA1481" i="1"/>
  <c r="AB1481" i="1" s="1"/>
  <c r="AA1473" i="1"/>
  <c r="AB1473" i="1" s="1"/>
  <c r="AA1465" i="1"/>
  <c r="AB1465" i="1" s="1"/>
  <c r="AA1457" i="1"/>
  <c r="AB1457" i="1" s="1"/>
  <c r="AA1449" i="1"/>
  <c r="AB1449" i="1" s="1"/>
  <c r="AA1441" i="1"/>
  <c r="AB1441" i="1" s="1"/>
  <c r="AA1433" i="1"/>
  <c r="AB1433" i="1" s="1"/>
  <c r="AA1425" i="1"/>
  <c r="AB1425" i="1" s="1"/>
  <c r="AA1417" i="1"/>
  <c r="AB1417" i="1" s="1"/>
  <c r="AA1409" i="1"/>
  <c r="AB1409" i="1" s="1"/>
  <c r="AA1401" i="1"/>
  <c r="AB1401" i="1" s="1"/>
  <c r="AA1393" i="1"/>
  <c r="AB1393" i="1" s="1"/>
  <c r="AA1385" i="1"/>
  <c r="AB1385" i="1" s="1"/>
  <c r="AA1377" i="1"/>
  <c r="AB1377" i="1" s="1"/>
  <c r="AA1369" i="1"/>
  <c r="AB1369" i="1" s="1"/>
  <c r="AA1361" i="1"/>
  <c r="AB1361" i="1" s="1"/>
  <c r="AA1353" i="1"/>
  <c r="AB1353" i="1" s="1"/>
  <c r="AA1345" i="1"/>
  <c r="AB1345" i="1" s="1"/>
  <c r="AA1337" i="1"/>
  <c r="AB1337" i="1" s="1"/>
  <c r="AA2720" i="1"/>
  <c r="AB2720" i="1" s="1"/>
  <c r="AA2712" i="1"/>
  <c r="AB2712" i="1" s="1"/>
  <c r="AA2704" i="1"/>
  <c r="AB2704" i="1" s="1"/>
  <c r="AA2696" i="1"/>
  <c r="AB2696" i="1" s="1"/>
  <c r="AA2688" i="1"/>
  <c r="AB2688" i="1" s="1"/>
  <c r="AA2680" i="1"/>
  <c r="AB2680" i="1" s="1"/>
  <c r="AA2672" i="1"/>
  <c r="AB2672" i="1" s="1"/>
  <c r="AA2664" i="1"/>
  <c r="AB2664" i="1" s="1"/>
  <c r="AA2656" i="1"/>
  <c r="AB2656" i="1" s="1"/>
  <c r="AA2648" i="1"/>
  <c r="AB2648" i="1" s="1"/>
  <c r="AA2640" i="1"/>
  <c r="AB2640" i="1" s="1"/>
  <c r="AA2632" i="1"/>
  <c r="AB2632" i="1" s="1"/>
  <c r="AA2624" i="1"/>
  <c r="AB2624" i="1" s="1"/>
  <c r="AA2616" i="1"/>
  <c r="AB2616" i="1" s="1"/>
  <c r="AA2608" i="1"/>
  <c r="AB2608" i="1" s="1"/>
  <c r="AA2600" i="1"/>
  <c r="AB2600" i="1" s="1"/>
  <c r="AA2592" i="1"/>
  <c r="AB2592" i="1" s="1"/>
  <c r="AA2584" i="1"/>
  <c r="AB2584" i="1" s="1"/>
  <c r="AA2576" i="1"/>
  <c r="AB2576" i="1" s="1"/>
  <c r="AA2568" i="1"/>
  <c r="AB2568" i="1" s="1"/>
  <c r="AA2560" i="1"/>
  <c r="AB2560" i="1" s="1"/>
  <c r="AA2552" i="1"/>
  <c r="AB2552" i="1" s="1"/>
  <c r="AA2544" i="1"/>
  <c r="AB2544" i="1" s="1"/>
  <c r="AA2536" i="1"/>
  <c r="AB2536" i="1" s="1"/>
  <c r="AA2528" i="1"/>
  <c r="AB2528" i="1" s="1"/>
  <c r="AA2520" i="1"/>
  <c r="AB2520" i="1" s="1"/>
  <c r="AA2512" i="1"/>
  <c r="AB2512" i="1" s="1"/>
  <c r="AA2504" i="1"/>
  <c r="AB2504" i="1" s="1"/>
  <c r="AA2496" i="1"/>
  <c r="AB2496" i="1" s="1"/>
  <c r="AA2488" i="1"/>
  <c r="AB2488" i="1" s="1"/>
  <c r="AA2480" i="1"/>
  <c r="AB2480" i="1" s="1"/>
  <c r="AA2472" i="1"/>
  <c r="AB2472" i="1" s="1"/>
  <c r="AA2464" i="1"/>
  <c r="AB2464" i="1" s="1"/>
  <c r="AA2456" i="1"/>
  <c r="AB2456" i="1" s="1"/>
  <c r="AA2448" i="1"/>
  <c r="AB2448" i="1" s="1"/>
  <c r="AA2440" i="1"/>
  <c r="AB2440" i="1" s="1"/>
  <c r="AA2432" i="1"/>
  <c r="AB2432" i="1" s="1"/>
  <c r="AA2424" i="1"/>
  <c r="AB2424" i="1" s="1"/>
  <c r="AA2416" i="1"/>
  <c r="AB2416" i="1" s="1"/>
  <c r="AA2408" i="1"/>
  <c r="AB2408" i="1" s="1"/>
  <c r="AA2400" i="1"/>
  <c r="AB2400" i="1" s="1"/>
  <c r="AA2392" i="1"/>
  <c r="AB2392" i="1" s="1"/>
  <c r="AA2384" i="1"/>
  <c r="AB2384" i="1" s="1"/>
  <c r="AA2376" i="1"/>
  <c r="AB2376" i="1" s="1"/>
  <c r="AA2368" i="1"/>
  <c r="AB2368" i="1" s="1"/>
  <c r="AA2360" i="1"/>
  <c r="AB2360" i="1" s="1"/>
  <c r="AA2352" i="1"/>
  <c r="AB2352" i="1" s="1"/>
  <c r="AA2344" i="1"/>
  <c r="AB2344" i="1" s="1"/>
  <c r="AA2336" i="1"/>
  <c r="AB2336" i="1" s="1"/>
  <c r="AA2328" i="1"/>
  <c r="AB2328" i="1" s="1"/>
  <c r="AA2320" i="1"/>
  <c r="AB2320" i="1" s="1"/>
  <c r="AA2312" i="1"/>
  <c r="AB2312" i="1" s="1"/>
  <c r="AA2304" i="1"/>
  <c r="AB2304" i="1" s="1"/>
  <c r="AA2296" i="1"/>
  <c r="AB2296" i="1" s="1"/>
  <c r="AA2288" i="1"/>
  <c r="AB2288" i="1" s="1"/>
  <c r="AA2280" i="1"/>
  <c r="AB2280" i="1" s="1"/>
  <c r="AA2272" i="1"/>
  <c r="AB2272" i="1" s="1"/>
  <c r="AA2264" i="1"/>
  <c r="AB2264" i="1" s="1"/>
  <c r="AA2256" i="1"/>
  <c r="AB2256" i="1" s="1"/>
  <c r="AA2248" i="1"/>
  <c r="AB2248" i="1" s="1"/>
  <c r="AA2240" i="1"/>
  <c r="AB2240" i="1" s="1"/>
  <c r="AA2232" i="1"/>
  <c r="AB2232" i="1" s="1"/>
  <c r="AA2224" i="1"/>
  <c r="AB2224" i="1" s="1"/>
  <c r="AA2216" i="1"/>
  <c r="AB2216" i="1" s="1"/>
  <c r="AA2208" i="1"/>
  <c r="AB2208" i="1" s="1"/>
  <c r="AA2200" i="1"/>
  <c r="AB2200" i="1" s="1"/>
  <c r="AA2192" i="1"/>
  <c r="AB2192" i="1" s="1"/>
  <c r="AA2184" i="1"/>
  <c r="AB2184" i="1" s="1"/>
  <c r="AA2176" i="1"/>
  <c r="AB2176" i="1" s="1"/>
  <c r="AA2168" i="1"/>
  <c r="AB2168" i="1" s="1"/>
  <c r="AA2160" i="1"/>
  <c r="AB2160" i="1" s="1"/>
  <c r="AA2152" i="1"/>
  <c r="AB2152" i="1" s="1"/>
  <c r="AA2144" i="1"/>
  <c r="AB2144" i="1" s="1"/>
  <c r="AA2136" i="1"/>
  <c r="AB2136" i="1" s="1"/>
  <c r="AA2128" i="1"/>
  <c r="AB2128" i="1" s="1"/>
  <c r="AA2120" i="1"/>
  <c r="AB2120" i="1" s="1"/>
  <c r="AA2112" i="1"/>
  <c r="AB2112" i="1" s="1"/>
  <c r="AA2104" i="1"/>
  <c r="AB2104" i="1" s="1"/>
  <c r="AA2096" i="1"/>
  <c r="AB2096" i="1" s="1"/>
  <c r="AA2088" i="1"/>
  <c r="AB2088" i="1" s="1"/>
  <c r="AA2080" i="1"/>
  <c r="AB2080" i="1" s="1"/>
  <c r="AA2072" i="1"/>
  <c r="AB2072" i="1" s="1"/>
  <c r="AA2064" i="1"/>
  <c r="AB2064" i="1" s="1"/>
  <c r="AA2056" i="1"/>
  <c r="AB2056" i="1" s="1"/>
  <c r="AA2048" i="1"/>
  <c r="AB2048" i="1" s="1"/>
  <c r="AA2040" i="1"/>
  <c r="AB2040" i="1" s="1"/>
  <c r="AA2032" i="1"/>
  <c r="AB2032" i="1" s="1"/>
  <c r="AA2024" i="1"/>
  <c r="AB2024" i="1" s="1"/>
  <c r="AA2016" i="1"/>
  <c r="AB2016" i="1" s="1"/>
  <c r="AA2008" i="1"/>
  <c r="AB2008" i="1" s="1"/>
  <c r="AA2000" i="1"/>
  <c r="AB2000" i="1" s="1"/>
  <c r="AA1992" i="1"/>
  <c r="AB1992" i="1" s="1"/>
  <c r="AA1984" i="1"/>
  <c r="AB1984" i="1" s="1"/>
  <c r="AA1976" i="1"/>
  <c r="AB1976" i="1" s="1"/>
  <c r="AA1968" i="1"/>
  <c r="AB1968" i="1" s="1"/>
  <c r="AA1960" i="1"/>
  <c r="AB1960" i="1" s="1"/>
  <c r="AA1952" i="1"/>
  <c r="AB1952" i="1" s="1"/>
  <c r="AA1944" i="1"/>
  <c r="AB1944" i="1" s="1"/>
  <c r="AA1936" i="1"/>
  <c r="AB1936" i="1" s="1"/>
  <c r="AA1928" i="1"/>
  <c r="AB1928" i="1" s="1"/>
  <c r="AA1920" i="1"/>
  <c r="AB1920" i="1" s="1"/>
  <c r="AA1912" i="1"/>
  <c r="AB1912" i="1" s="1"/>
  <c r="AA1904" i="1"/>
  <c r="AB1904" i="1" s="1"/>
  <c r="AA1896" i="1"/>
  <c r="AB1896" i="1" s="1"/>
  <c r="AA1888" i="1"/>
  <c r="AB1888" i="1" s="1"/>
  <c r="AA1880" i="1"/>
  <c r="AB1880" i="1" s="1"/>
  <c r="AA1872" i="1"/>
  <c r="AB1872" i="1" s="1"/>
  <c r="AA1864" i="1"/>
  <c r="AB1864" i="1" s="1"/>
  <c r="AA1856" i="1"/>
  <c r="AB1856" i="1" s="1"/>
  <c r="AA1848" i="1"/>
  <c r="AB1848" i="1" s="1"/>
  <c r="AA1840" i="1"/>
  <c r="AB1840" i="1" s="1"/>
  <c r="AA1832" i="1"/>
  <c r="AB1832" i="1" s="1"/>
  <c r="AA1824" i="1"/>
  <c r="AB1824" i="1" s="1"/>
  <c r="AA1816" i="1"/>
  <c r="AB1816" i="1" s="1"/>
  <c r="AA1808" i="1"/>
  <c r="AB1808" i="1" s="1"/>
  <c r="AA1800" i="1"/>
  <c r="AB1800" i="1" s="1"/>
  <c r="AA1792" i="1"/>
  <c r="AB1792" i="1" s="1"/>
  <c r="AA1784" i="1"/>
  <c r="AB1784" i="1" s="1"/>
  <c r="AA1776" i="1"/>
  <c r="AB1776" i="1" s="1"/>
  <c r="AA1768" i="1"/>
  <c r="AB1768" i="1" s="1"/>
  <c r="AA1760" i="1"/>
  <c r="AB1760" i="1" s="1"/>
  <c r="AA1752" i="1"/>
  <c r="AB1752" i="1" s="1"/>
  <c r="AA1744" i="1"/>
  <c r="AB1744" i="1" s="1"/>
  <c r="AA1736" i="1"/>
  <c r="AB1736" i="1" s="1"/>
  <c r="AA1728" i="1"/>
  <c r="AB1728" i="1" s="1"/>
  <c r="AA1720" i="1"/>
  <c r="AB1720" i="1" s="1"/>
  <c r="AA1712" i="1"/>
  <c r="AB1712" i="1" s="1"/>
  <c r="AA1704" i="1"/>
  <c r="AB1704" i="1" s="1"/>
  <c r="AA1696" i="1"/>
  <c r="AB1696" i="1" s="1"/>
  <c r="AA1688" i="1"/>
  <c r="AB1688" i="1" s="1"/>
  <c r="AA1680" i="1"/>
  <c r="AB1680" i="1" s="1"/>
  <c r="AA1672" i="1"/>
  <c r="AB1672" i="1" s="1"/>
  <c r="AA1664" i="1"/>
  <c r="AB1664" i="1" s="1"/>
  <c r="AA1656" i="1"/>
  <c r="AB1656" i="1" s="1"/>
  <c r="AA1648" i="1"/>
  <c r="AB1648" i="1" s="1"/>
  <c r="AA1640" i="1"/>
  <c r="AB1640" i="1" s="1"/>
  <c r="AA1632" i="1"/>
  <c r="AB1632" i="1" s="1"/>
  <c r="AA1624" i="1"/>
  <c r="AB1624" i="1" s="1"/>
  <c r="AA1616" i="1"/>
  <c r="AB1616" i="1" s="1"/>
  <c r="AA1608" i="1"/>
  <c r="AB1608" i="1" s="1"/>
  <c r="AA1600" i="1"/>
  <c r="AB1600" i="1" s="1"/>
  <c r="AA1592" i="1"/>
  <c r="AB1592" i="1" s="1"/>
  <c r="AA1584" i="1"/>
  <c r="AB1584" i="1" s="1"/>
  <c r="AA1576" i="1"/>
  <c r="AB1576" i="1" s="1"/>
  <c r="AA1568" i="1"/>
  <c r="AB1568" i="1" s="1"/>
  <c r="AA1560" i="1"/>
  <c r="AB1560" i="1" s="1"/>
  <c r="AA1552" i="1"/>
  <c r="AB1552" i="1" s="1"/>
  <c r="AA1544" i="1"/>
  <c r="AB1544" i="1" s="1"/>
  <c r="AA1536" i="1"/>
  <c r="AB1536" i="1" s="1"/>
  <c r="AA1528" i="1"/>
  <c r="AB1528" i="1" s="1"/>
  <c r="AA1520" i="1"/>
  <c r="AB1520" i="1" s="1"/>
  <c r="AA1512" i="1"/>
  <c r="AB1512" i="1" s="1"/>
  <c r="AA1504" i="1"/>
  <c r="AB1504" i="1" s="1"/>
  <c r="AA1496" i="1"/>
  <c r="AB1496" i="1" s="1"/>
  <c r="AA1488" i="1"/>
  <c r="AB1488" i="1" s="1"/>
  <c r="AA1480" i="1"/>
  <c r="AB1480" i="1" s="1"/>
  <c r="AA1472" i="1"/>
  <c r="AB1472" i="1" s="1"/>
  <c r="AA1464" i="1"/>
  <c r="AB1464" i="1" s="1"/>
  <c r="AA1456" i="1"/>
  <c r="AB1456" i="1" s="1"/>
  <c r="AA1448" i="1"/>
  <c r="AB1448" i="1" s="1"/>
  <c r="AA1440" i="1"/>
  <c r="AB1440" i="1" s="1"/>
  <c r="AA1432" i="1"/>
  <c r="AB1432" i="1" s="1"/>
  <c r="AA1424" i="1"/>
  <c r="AB1424" i="1" s="1"/>
  <c r="AA1416" i="1"/>
  <c r="AB1416" i="1" s="1"/>
  <c r="AA1408" i="1"/>
  <c r="AB1408" i="1" s="1"/>
  <c r="AA1400" i="1"/>
  <c r="AB1400" i="1" s="1"/>
  <c r="AA1392" i="1"/>
  <c r="AB1392" i="1" s="1"/>
  <c r="AA1384" i="1"/>
  <c r="AB1384" i="1" s="1"/>
  <c r="AA1376" i="1"/>
  <c r="AB1376" i="1" s="1"/>
  <c r="AA1368" i="1"/>
  <c r="AB1368" i="1" s="1"/>
  <c r="AA1360" i="1"/>
  <c r="AB1360" i="1" s="1"/>
  <c r="AA1352" i="1"/>
  <c r="AB1352" i="1" s="1"/>
  <c r="AA1344" i="1"/>
  <c r="AB1344" i="1" s="1"/>
  <c r="AA1336" i="1"/>
  <c r="AB1336" i="1" s="1"/>
  <c r="AA1328" i="1"/>
  <c r="AB1328" i="1" s="1"/>
  <c r="AA1320" i="1"/>
  <c r="AB1320" i="1" s="1"/>
  <c r="AA1312" i="1"/>
  <c r="AB1312" i="1" s="1"/>
  <c r="AA1304" i="1"/>
  <c r="AB1304" i="1" s="1"/>
  <c r="AA1296" i="1"/>
  <c r="AB1296" i="1" s="1"/>
  <c r="AA1288" i="1"/>
  <c r="AB1288" i="1" s="1"/>
  <c r="AA1280" i="1"/>
  <c r="AB1280" i="1" s="1"/>
  <c r="AA1272" i="1"/>
  <c r="AB1272" i="1" s="1"/>
  <c r="AA1264" i="1"/>
  <c r="AB1264" i="1" s="1"/>
  <c r="AA1256" i="1"/>
  <c r="AB1256" i="1" s="1"/>
  <c r="AA1248" i="1"/>
  <c r="AB1248" i="1" s="1"/>
  <c r="AA1240" i="1"/>
  <c r="AB1240" i="1" s="1"/>
  <c r="AA1232" i="1"/>
  <c r="AB1232" i="1" s="1"/>
  <c r="AA1224" i="1"/>
  <c r="AB1224" i="1" s="1"/>
  <c r="AA1216" i="1"/>
  <c r="AB1216" i="1" s="1"/>
  <c r="AA1208" i="1"/>
  <c r="AB1208" i="1" s="1"/>
  <c r="AA1200" i="1"/>
  <c r="AB1200" i="1" s="1"/>
  <c r="AA1192" i="1"/>
  <c r="AB1192" i="1" s="1"/>
  <c r="AA1184" i="1"/>
  <c r="AB1184" i="1" s="1"/>
  <c r="AA1176" i="1"/>
  <c r="AB1176" i="1" s="1"/>
  <c r="AA1168" i="1"/>
  <c r="AB1168" i="1" s="1"/>
  <c r="AA1160" i="1"/>
  <c r="AB1160" i="1" s="1"/>
  <c r="AA1152" i="1"/>
  <c r="AB1152" i="1" s="1"/>
  <c r="AA1144" i="1"/>
  <c r="AB1144" i="1" s="1"/>
  <c r="AA1136" i="1"/>
  <c r="AB1136" i="1" s="1"/>
  <c r="AA1128" i="1"/>
  <c r="AB1128" i="1" s="1"/>
  <c r="AA1120" i="1"/>
  <c r="AB1120" i="1" s="1"/>
  <c r="AA1112" i="1"/>
  <c r="AB1112" i="1" s="1"/>
  <c r="AA1104" i="1"/>
  <c r="AB1104" i="1" s="1"/>
  <c r="AA1096" i="1"/>
  <c r="AB1096" i="1" s="1"/>
  <c r="AA1088" i="1"/>
  <c r="AB1088" i="1" s="1"/>
  <c r="AA1080" i="1"/>
  <c r="AB1080" i="1" s="1"/>
  <c r="AA1072" i="1"/>
  <c r="AB1072" i="1" s="1"/>
  <c r="AA1064" i="1"/>
  <c r="AB1064" i="1" s="1"/>
  <c r="AA1056" i="1"/>
  <c r="AB1056" i="1" s="1"/>
  <c r="AA1048" i="1"/>
  <c r="AB1048" i="1" s="1"/>
  <c r="AA1040" i="1"/>
  <c r="AB1040" i="1" s="1"/>
  <c r="AA1032" i="1"/>
  <c r="AB1032" i="1" s="1"/>
  <c r="AA1024" i="1"/>
  <c r="AB1024" i="1" s="1"/>
  <c r="AA1016" i="1"/>
  <c r="AB1016" i="1" s="1"/>
  <c r="AA1008" i="1"/>
  <c r="AB1008" i="1" s="1"/>
  <c r="AA1000" i="1"/>
  <c r="AB1000" i="1" s="1"/>
  <c r="AA992" i="1"/>
  <c r="AB992" i="1" s="1"/>
  <c r="AA984" i="1"/>
  <c r="AB984" i="1" s="1"/>
  <c r="AA976" i="1"/>
  <c r="AB976" i="1" s="1"/>
  <c r="AA968" i="1"/>
  <c r="AB968" i="1" s="1"/>
  <c r="AA960" i="1"/>
  <c r="AB960" i="1" s="1"/>
  <c r="AA952" i="1"/>
  <c r="AB952" i="1" s="1"/>
  <c r="AA944" i="1"/>
  <c r="AB944" i="1" s="1"/>
  <c r="AA936" i="1"/>
  <c r="AB936" i="1" s="1"/>
  <c r="AA928" i="1"/>
  <c r="AB928" i="1" s="1"/>
  <c r="AA920" i="1"/>
  <c r="AB920" i="1" s="1"/>
  <c r="AA912" i="1"/>
  <c r="AB912" i="1" s="1"/>
  <c r="AA904" i="1"/>
  <c r="AB904" i="1" s="1"/>
  <c r="AA896" i="1"/>
  <c r="AB896" i="1" s="1"/>
  <c r="AA888" i="1"/>
  <c r="AB888" i="1" s="1"/>
  <c r="AA880" i="1"/>
  <c r="AB880" i="1" s="1"/>
  <c r="AA872" i="1"/>
  <c r="AB872" i="1" s="1"/>
  <c r="AA864" i="1"/>
  <c r="AB864" i="1" s="1"/>
  <c r="AA856" i="1"/>
  <c r="AB856" i="1" s="1"/>
  <c r="AA848" i="1"/>
  <c r="AB848" i="1" s="1"/>
  <c r="AA840" i="1"/>
  <c r="AB840" i="1" s="1"/>
  <c r="AA832" i="1"/>
  <c r="AB832" i="1" s="1"/>
  <c r="AA824" i="1"/>
  <c r="AB824" i="1" s="1"/>
  <c r="AA816" i="1"/>
  <c r="AB816" i="1" s="1"/>
  <c r="AA808" i="1"/>
  <c r="AB808" i="1" s="1"/>
  <c r="AA800" i="1"/>
  <c r="AB800" i="1" s="1"/>
  <c r="AA792" i="1"/>
  <c r="AB792" i="1" s="1"/>
  <c r="AA784" i="1"/>
  <c r="AB784" i="1" s="1"/>
  <c r="AA776" i="1"/>
  <c r="AB776" i="1" s="1"/>
  <c r="AA768" i="1"/>
  <c r="AB768" i="1" s="1"/>
  <c r="AA760" i="1"/>
  <c r="AB760" i="1" s="1"/>
  <c r="AA752" i="1"/>
  <c r="AB752" i="1" s="1"/>
  <c r="AA744" i="1"/>
  <c r="AB744" i="1" s="1"/>
  <c r="AA736" i="1"/>
  <c r="AB736" i="1" s="1"/>
  <c r="AA728" i="1"/>
  <c r="AB728" i="1" s="1"/>
  <c r="AA720" i="1"/>
  <c r="AB720" i="1" s="1"/>
  <c r="AA712" i="1"/>
  <c r="AB712" i="1" s="1"/>
  <c r="AA704" i="1"/>
  <c r="AB704" i="1" s="1"/>
  <c r="AA696" i="1"/>
  <c r="AB696" i="1" s="1"/>
  <c r="AA688" i="1"/>
  <c r="AB688" i="1" s="1"/>
  <c r="AA680" i="1"/>
  <c r="AB680" i="1" s="1"/>
  <c r="AA672" i="1"/>
  <c r="AB672" i="1" s="1"/>
  <c r="AA664" i="1"/>
  <c r="AB664" i="1" s="1"/>
  <c r="AA656" i="1"/>
  <c r="AB656" i="1" s="1"/>
  <c r="AA648" i="1"/>
  <c r="AB648" i="1" s="1"/>
  <c r="AA640" i="1"/>
  <c r="AB640" i="1" s="1"/>
  <c r="AA632" i="1"/>
  <c r="AB632" i="1" s="1"/>
  <c r="AA624" i="1"/>
  <c r="AB624" i="1" s="1"/>
  <c r="AA616" i="1"/>
  <c r="AB616" i="1" s="1"/>
  <c r="AA608" i="1"/>
  <c r="AB608" i="1" s="1"/>
  <c r="AA600" i="1"/>
  <c r="AB600" i="1" s="1"/>
  <c r="AA592" i="1"/>
  <c r="AB592" i="1" s="1"/>
  <c r="AA584" i="1"/>
  <c r="AB584" i="1" s="1"/>
  <c r="AA576" i="1"/>
  <c r="AB576" i="1" s="1"/>
  <c r="AA568" i="1"/>
  <c r="AB568" i="1" s="1"/>
  <c r="AA560" i="1"/>
  <c r="AB560" i="1" s="1"/>
  <c r="AA552" i="1"/>
  <c r="AB552" i="1" s="1"/>
  <c r="AA544" i="1"/>
  <c r="AB544" i="1" s="1"/>
  <c r="AA536" i="1"/>
  <c r="AB536" i="1" s="1"/>
  <c r="AA528" i="1"/>
  <c r="AB528" i="1" s="1"/>
  <c r="AA520" i="1"/>
  <c r="AB520" i="1" s="1"/>
  <c r="AA512" i="1"/>
  <c r="AB512" i="1" s="1"/>
  <c r="AA504" i="1"/>
  <c r="AB504" i="1" s="1"/>
  <c r="AA496" i="1"/>
  <c r="AB496" i="1" s="1"/>
  <c r="AA488" i="1"/>
  <c r="AB488" i="1" s="1"/>
  <c r="AA480" i="1"/>
  <c r="AB480" i="1" s="1"/>
  <c r="AA472" i="1"/>
  <c r="AB472" i="1" s="1"/>
  <c r="AA464" i="1"/>
  <c r="AB464" i="1" s="1"/>
  <c r="AA456" i="1"/>
  <c r="AB456" i="1" s="1"/>
  <c r="AA448" i="1"/>
  <c r="AB448" i="1" s="1"/>
  <c r="AA440" i="1"/>
  <c r="AB440" i="1" s="1"/>
  <c r="AA432" i="1"/>
  <c r="AB432" i="1" s="1"/>
  <c r="AA424" i="1"/>
  <c r="AB424" i="1" s="1"/>
  <c r="AA416" i="1"/>
  <c r="AB416" i="1" s="1"/>
  <c r="AA408" i="1"/>
  <c r="AB408" i="1" s="1"/>
  <c r="AA400" i="1"/>
  <c r="AB400" i="1" s="1"/>
  <c r="AA392" i="1"/>
  <c r="AB392" i="1" s="1"/>
  <c r="AA384" i="1"/>
  <c r="AB384" i="1" s="1"/>
  <c r="AA376" i="1"/>
  <c r="AB376" i="1" s="1"/>
  <c r="AA368" i="1"/>
  <c r="AB368" i="1" s="1"/>
  <c r="AA360" i="1"/>
  <c r="AB360" i="1" s="1"/>
  <c r="AA352" i="1"/>
  <c r="AB352" i="1" s="1"/>
  <c r="AA344" i="1"/>
  <c r="AB344" i="1" s="1"/>
  <c r="AA336" i="1"/>
  <c r="AB336" i="1" s="1"/>
  <c r="AA328" i="1"/>
  <c r="AB328" i="1" s="1"/>
  <c r="AA320" i="1"/>
  <c r="AB320" i="1" s="1"/>
  <c r="AA312" i="1"/>
  <c r="AB312" i="1" s="1"/>
  <c r="AA304" i="1"/>
  <c r="AB304" i="1" s="1"/>
  <c r="AA296" i="1"/>
  <c r="AB296" i="1" s="1"/>
  <c r="AA288" i="1"/>
  <c r="AB288" i="1" s="1"/>
  <c r="AA280" i="1"/>
  <c r="AB280" i="1" s="1"/>
  <c r="AA272" i="1"/>
  <c r="AB272" i="1" s="1"/>
  <c r="AA264" i="1"/>
  <c r="AB264" i="1" s="1"/>
  <c r="AA256" i="1"/>
  <c r="AB256" i="1" s="1"/>
  <c r="AA248" i="1"/>
  <c r="AB248" i="1" s="1"/>
  <c r="AA240" i="1"/>
  <c r="AB240" i="1" s="1"/>
  <c r="AA232" i="1"/>
  <c r="AB232" i="1" s="1"/>
  <c r="AA224" i="1"/>
  <c r="AB224" i="1" s="1"/>
  <c r="AA216" i="1"/>
  <c r="AB216" i="1" s="1"/>
  <c r="AA208" i="1"/>
  <c r="AB208" i="1" s="1"/>
  <c r="AA200" i="1"/>
  <c r="AB200" i="1" s="1"/>
  <c r="AA192" i="1"/>
  <c r="AB192" i="1" s="1"/>
  <c r="AA184" i="1"/>
  <c r="AB184" i="1" s="1"/>
  <c r="AA176" i="1"/>
  <c r="AB176" i="1" s="1"/>
  <c r="AA168" i="1"/>
  <c r="AB168" i="1" s="1"/>
  <c r="AA160" i="1"/>
  <c r="AB160" i="1" s="1"/>
  <c r="AA152" i="1"/>
  <c r="AB152" i="1" s="1"/>
  <c r="AA144" i="1"/>
  <c r="AB144" i="1" s="1"/>
  <c r="AA136" i="1"/>
  <c r="AB136" i="1" s="1"/>
  <c r="AA128" i="1"/>
  <c r="AB128" i="1" s="1"/>
  <c r="AA120" i="1"/>
  <c r="AB120" i="1" s="1"/>
  <c r="AA112" i="1"/>
  <c r="AB112" i="1" s="1"/>
  <c r="AA104" i="1"/>
  <c r="AB104" i="1" s="1"/>
  <c r="AA96" i="1"/>
  <c r="AB96" i="1" s="1"/>
  <c r="AA88" i="1"/>
  <c r="AB88" i="1" s="1"/>
  <c r="AA80" i="1"/>
  <c r="AB80" i="1" s="1"/>
  <c r="AA72" i="1"/>
  <c r="AB72" i="1" s="1"/>
  <c r="AA64" i="1"/>
  <c r="AB64" i="1" s="1"/>
  <c r="AA56" i="1"/>
  <c r="AB56" i="1" s="1"/>
  <c r="AA48" i="1"/>
  <c r="AB48" i="1" s="1"/>
  <c r="AA40" i="1"/>
  <c r="AB40" i="1" s="1"/>
  <c r="AA32" i="1"/>
  <c r="AB32" i="1" s="1"/>
  <c r="AA24" i="1"/>
  <c r="AB24" i="1" s="1"/>
  <c r="AA16" i="1"/>
  <c r="AB16" i="1" s="1"/>
  <c r="AA8" i="1"/>
  <c r="AB8" i="1" s="1"/>
  <c r="AA3855" i="1"/>
  <c r="AB3855" i="1" s="1"/>
  <c r="AA3941" i="1"/>
  <c r="AB3941" i="1" s="1"/>
  <c r="AA3877" i="1"/>
  <c r="AB3877" i="1" s="1"/>
  <c r="AA3994" i="1"/>
  <c r="AB3994" i="1" s="1"/>
  <c r="AA3986" i="1"/>
  <c r="AB3986" i="1" s="1"/>
  <c r="AA3978" i="1"/>
  <c r="AB3978" i="1" s="1"/>
  <c r="AA3970" i="1"/>
  <c r="AB3970" i="1" s="1"/>
  <c r="AA3962" i="1"/>
  <c r="AB3962" i="1" s="1"/>
  <c r="AA3954" i="1"/>
  <c r="AB3954" i="1" s="1"/>
  <c r="AA3946" i="1"/>
  <c r="AB3946" i="1" s="1"/>
  <c r="AA3938" i="1"/>
  <c r="AB3938" i="1" s="1"/>
  <c r="AA3930" i="1"/>
  <c r="AB3930" i="1" s="1"/>
  <c r="AA3922" i="1"/>
  <c r="AB3922" i="1" s="1"/>
  <c r="AA3914" i="1"/>
  <c r="AB3914" i="1" s="1"/>
  <c r="AA3906" i="1"/>
  <c r="AB3906" i="1" s="1"/>
  <c r="AA3898" i="1"/>
  <c r="AB3898" i="1" s="1"/>
  <c r="AA3890" i="1"/>
  <c r="AB3890" i="1" s="1"/>
  <c r="AA3882" i="1"/>
  <c r="AB3882" i="1" s="1"/>
  <c r="AA3874" i="1"/>
  <c r="AB3874" i="1" s="1"/>
  <c r="AA3866" i="1"/>
  <c r="AB3866" i="1" s="1"/>
  <c r="AA3858" i="1"/>
  <c r="AB3858" i="1" s="1"/>
  <c r="AA3850" i="1"/>
  <c r="AB3850" i="1" s="1"/>
  <c r="AA3842" i="1"/>
  <c r="AB3842" i="1" s="1"/>
  <c r="AA3834" i="1"/>
  <c r="AB3834" i="1" s="1"/>
  <c r="AA3826" i="1"/>
  <c r="AB3826" i="1" s="1"/>
  <c r="AA3818" i="1"/>
  <c r="AB3818" i="1" s="1"/>
  <c r="AA3810" i="1"/>
  <c r="AB3810" i="1" s="1"/>
  <c r="AA3802" i="1"/>
  <c r="AB3802" i="1" s="1"/>
  <c r="AA3794" i="1"/>
  <c r="AB3794" i="1" s="1"/>
  <c r="AA3786" i="1"/>
  <c r="AB3786" i="1" s="1"/>
  <c r="AA3778" i="1"/>
  <c r="AB3778" i="1" s="1"/>
  <c r="AA3770" i="1"/>
  <c r="AB3770" i="1" s="1"/>
  <c r="AA3762" i="1"/>
  <c r="AB3762" i="1" s="1"/>
  <c r="AA3754" i="1"/>
  <c r="AB3754" i="1" s="1"/>
  <c r="AA3746" i="1"/>
  <c r="AB3746" i="1" s="1"/>
  <c r="AA3738" i="1"/>
  <c r="AB3738" i="1" s="1"/>
  <c r="AA3730" i="1"/>
  <c r="AB3730" i="1" s="1"/>
  <c r="AA3722" i="1"/>
  <c r="AB3722" i="1" s="1"/>
  <c r="AA3714" i="1"/>
  <c r="AB3714" i="1" s="1"/>
  <c r="AA3706" i="1"/>
  <c r="AB3706" i="1" s="1"/>
  <c r="AA3698" i="1"/>
  <c r="AB3698" i="1" s="1"/>
  <c r="AA3690" i="1"/>
  <c r="AB3690" i="1" s="1"/>
  <c r="AA3682" i="1"/>
  <c r="AB3682" i="1" s="1"/>
  <c r="AA3674" i="1"/>
  <c r="AB3674" i="1" s="1"/>
  <c r="AA3666" i="1"/>
  <c r="AB3666" i="1" s="1"/>
  <c r="AA3658" i="1"/>
  <c r="AB3658" i="1" s="1"/>
  <c r="AA3650" i="1"/>
  <c r="AB3650" i="1" s="1"/>
  <c r="AA3642" i="1"/>
  <c r="AB3642" i="1" s="1"/>
  <c r="AA3634" i="1"/>
  <c r="AB3634" i="1" s="1"/>
  <c r="AA3626" i="1"/>
  <c r="AB3626" i="1" s="1"/>
  <c r="AA3618" i="1"/>
  <c r="AB3618" i="1" s="1"/>
  <c r="AA3610" i="1"/>
  <c r="AB3610" i="1" s="1"/>
  <c r="AA3602" i="1"/>
  <c r="AB3602" i="1" s="1"/>
  <c r="AA3594" i="1"/>
  <c r="AB3594" i="1" s="1"/>
  <c r="AA3586" i="1"/>
  <c r="AB3586" i="1" s="1"/>
  <c r="AA3578" i="1"/>
  <c r="AB3578" i="1" s="1"/>
  <c r="AA3570" i="1"/>
  <c r="AB3570" i="1" s="1"/>
  <c r="AA3562" i="1"/>
  <c r="AB3562" i="1" s="1"/>
  <c r="AA3554" i="1"/>
  <c r="AB3554" i="1" s="1"/>
  <c r="AA3546" i="1"/>
  <c r="AB3546" i="1" s="1"/>
  <c r="AA3538" i="1"/>
  <c r="AB3538" i="1" s="1"/>
  <c r="AA3530" i="1"/>
  <c r="AB3530" i="1" s="1"/>
  <c r="AA3522" i="1"/>
  <c r="AB3522" i="1" s="1"/>
  <c r="AA3514" i="1"/>
  <c r="AB3514" i="1" s="1"/>
  <c r="AA3506" i="1"/>
  <c r="AB3506" i="1" s="1"/>
  <c r="AA3498" i="1"/>
  <c r="AB3498" i="1" s="1"/>
  <c r="AA3490" i="1"/>
  <c r="AB3490" i="1" s="1"/>
  <c r="AA3482" i="1"/>
  <c r="AB3482" i="1" s="1"/>
  <c r="AA3474" i="1"/>
  <c r="AB3474" i="1" s="1"/>
  <c r="AA3466" i="1"/>
  <c r="AB3466" i="1" s="1"/>
  <c r="AA3458" i="1"/>
  <c r="AB3458" i="1" s="1"/>
  <c r="AA3450" i="1"/>
  <c r="AB3450" i="1" s="1"/>
  <c r="AA3442" i="1"/>
  <c r="AB3442" i="1" s="1"/>
  <c r="AA3434" i="1"/>
  <c r="AB3434" i="1" s="1"/>
  <c r="AA3426" i="1"/>
  <c r="AB3426" i="1" s="1"/>
  <c r="AA3418" i="1"/>
  <c r="AB3418" i="1" s="1"/>
  <c r="AA3410" i="1"/>
  <c r="AB3410" i="1" s="1"/>
  <c r="AA3402" i="1"/>
  <c r="AB3402" i="1" s="1"/>
  <c r="AA3394" i="1"/>
  <c r="AB3394" i="1" s="1"/>
  <c r="AA3386" i="1"/>
  <c r="AB3386" i="1" s="1"/>
  <c r="AA3378" i="1"/>
  <c r="AB3378" i="1" s="1"/>
  <c r="AA3370" i="1"/>
  <c r="AB3370" i="1" s="1"/>
  <c r="AA3362" i="1"/>
  <c r="AB3362" i="1" s="1"/>
  <c r="AA3354" i="1"/>
  <c r="AB3354" i="1" s="1"/>
  <c r="AA3346" i="1"/>
  <c r="AB3346" i="1" s="1"/>
  <c r="AA3338" i="1"/>
  <c r="AB3338" i="1" s="1"/>
  <c r="AA3330" i="1"/>
  <c r="AB3330" i="1" s="1"/>
  <c r="AA3322" i="1"/>
  <c r="AB3322" i="1" s="1"/>
  <c r="AA3314" i="1"/>
  <c r="AB3314" i="1" s="1"/>
  <c r="AA3306" i="1"/>
  <c r="AB3306" i="1" s="1"/>
  <c r="AA3298" i="1"/>
  <c r="AB3298" i="1" s="1"/>
  <c r="AA3290" i="1"/>
  <c r="AB3290" i="1" s="1"/>
  <c r="AA3282" i="1"/>
  <c r="AB3282" i="1" s="1"/>
  <c r="AA3274" i="1"/>
  <c r="AB3274" i="1" s="1"/>
  <c r="AA3266" i="1"/>
  <c r="AB3266" i="1" s="1"/>
  <c r="AA3258" i="1"/>
  <c r="AB3258" i="1" s="1"/>
  <c r="AA3250" i="1"/>
  <c r="AB3250" i="1" s="1"/>
  <c r="AA3242" i="1"/>
  <c r="AB3242" i="1" s="1"/>
  <c r="AA3234" i="1"/>
  <c r="AB3234" i="1" s="1"/>
  <c r="AA3226" i="1"/>
  <c r="AB3226" i="1" s="1"/>
  <c r="AA3218" i="1"/>
  <c r="AB3218" i="1" s="1"/>
  <c r="AA3210" i="1"/>
  <c r="AB3210" i="1" s="1"/>
  <c r="AA3202" i="1"/>
  <c r="AB3202" i="1" s="1"/>
  <c r="AA3194" i="1"/>
  <c r="AB3194" i="1" s="1"/>
  <c r="AA3186" i="1"/>
  <c r="AB3186" i="1" s="1"/>
  <c r="AA3178" i="1"/>
  <c r="AB3178" i="1" s="1"/>
  <c r="AA3170" i="1"/>
  <c r="AB3170" i="1" s="1"/>
  <c r="AA3162" i="1"/>
  <c r="AB3162" i="1" s="1"/>
  <c r="AA3154" i="1"/>
  <c r="AB3154" i="1" s="1"/>
  <c r="AA3146" i="1"/>
  <c r="AB3146" i="1" s="1"/>
  <c r="AA3138" i="1"/>
  <c r="AB3138" i="1" s="1"/>
  <c r="AA3130" i="1"/>
  <c r="AB3130" i="1" s="1"/>
  <c r="AA3122" i="1"/>
  <c r="AB3122" i="1" s="1"/>
  <c r="AA3114" i="1"/>
  <c r="AB3114" i="1" s="1"/>
  <c r="AA3106" i="1"/>
  <c r="AB3106" i="1" s="1"/>
  <c r="AA3098" i="1"/>
  <c r="AB3098" i="1" s="1"/>
  <c r="AA3090" i="1"/>
  <c r="AB3090" i="1" s="1"/>
  <c r="AA3082" i="1"/>
  <c r="AB3082" i="1" s="1"/>
  <c r="AA3074" i="1"/>
  <c r="AB3074" i="1" s="1"/>
  <c r="AA3066" i="1"/>
  <c r="AB3066" i="1" s="1"/>
  <c r="AA3058" i="1"/>
  <c r="AB3058" i="1" s="1"/>
  <c r="AA3050" i="1"/>
  <c r="AB3050" i="1" s="1"/>
  <c r="AA3042" i="1"/>
  <c r="AB3042" i="1" s="1"/>
  <c r="AA3034" i="1"/>
  <c r="AB3034" i="1" s="1"/>
  <c r="AA3026" i="1"/>
  <c r="AB3026" i="1" s="1"/>
  <c r="AA3018" i="1"/>
  <c r="AB3018" i="1" s="1"/>
  <c r="AA3010" i="1"/>
  <c r="AB3010" i="1" s="1"/>
  <c r="AA3002" i="1"/>
  <c r="AB3002" i="1" s="1"/>
  <c r="AA2994" i="1"/>
  <c r="AB2994" i="1" s="1"/>
  <c r="AA2986" i="1"/>
  <c r="AB2986" i="1" s="1"/>
  <c r="AA2978" i="1"/>
  <c r="AB2978" i="1" s="1"/>
  <c r="AA2970" i="1"/>
  <c r="AB2970" i="1" s="1"/>
  <c r="AA2962" i="1"/>
  <c r="AB2962" i="1" s="1"/>
  <c r="AA2954" i="1"/>
  <c r="AB2954" i="1" s="1"/>
  <c r="AA2946" i="1"/>
  <c r="AB2946" i="1" s="1"/>
  <c r="AA2938" i="1"/>
  <c r="AB2938" i="1" s="1"/>
  <c r="AA2930" i="1"/>
  <c r="AB2930" i="1" s="1"/>
  <c r="AA2922" i="1"/>
  <c r="AB2922" i="1" s="1"/>
  <c r="AA2914" i="1"/>
  <c r="AB2914" i="1" s="1"/>
  <c r="AA2906" i="1"/>
  <c r="AB2906" i="1" s="1"/>
  <c r="AA2898" i="1"/>
  <c r="AB2898" i="1" s="1"/>
  <c r="AA2890" i="1"/>
  <c r="AB2890" i="1" s="1"/>
  <c r="AA2882" i="1"/>
  <c r="AB2882" i="1" s="1"/>
  <c r="AA2874" i="1"/>
  <c r="AB2874" i="1" s="1"/>
  <c r="AA2866" i="1"/>
  <c r="AB2866" i="1" s="1"/>
  <c r="AA2858" i="1"/>
  <c r="AB2858" i="1" s="1"/>
  <c r="AA2850" i="1"/>
  <c r="AB2850" i="1" s="1"/>
  <c r="AA2842" i="1"/>
  <c r="AB2842" i="1" s="1"/>
  <c r="AA2834" i="1"/>
  <c r="AB2834" i="1" s="1"/>
  <c r="AA2826" i="1"/>
  <c r="AB2826" i="1" s="1"/>
  <c r="AA2818" i="1"/>
  <c r="AB2818" i="1" s="1"/>
  <c r="AA2810" i="1"/>
  <c r="AB2810" i="1" s="1"/>
  <c r="AA2802" i="1"/>
  <c r="AB2802" i="1" s="1"/>
  <c r="AA2794" i="1"/>
  <c r="AB2794" i="1" s="1"/>
  <c r="AA2786" i="1"/>
  <c r="AB2786" i="1" s="1"/>
  <c r="AA2778" i="1"/>
  <c r="AB2778" i="1" s="1"/>
  <c r="AA2770" i="1"/>
  <c r="AB2770" i="1" s="1"/>
  <c r="AA2762" i="1"/>
  <c r="AB2762" i="1" s="1"/>
  <c r="AA2754" i="1"/>
  <c r="AB2754" i="1" s="1"/>
  <c r="AA2746" i="1"/>
  <c r="AB2746" i="1" s="1"/>
  <c r="AA2738" i="1"/>
  <c r="AB2738" i="1" s="1"/>
  <c r="AA2730" i="1"/>
  <c r="AB2730" i="1" s="1"/>
  <c r="AA2722" i="1"/>
  <c r="AB2722" i="1" s="1"/>
  <c r="AA2714" i="1"/>
  <c r="AB2714" i="1" s="1"/>
  <c r="AA2706" i="1"/>
  <c r="AB2706" i="1" s="1"/>
  <c r="AA2698" i="1"/>
  <c r="AB2698" i="1" s="1"/>
  <c r="AA2690" i="1"/>
  <c r="AB2690" i="1" s="1"/>
  <c r="AA2682" i="1"/>
  <c r="AB2682" i="1" s="1"/>
  <c r="AA2674" i="1"/>
  <c r="AB2674" i="1" s="1"/>
  <c r="AA2666" i="1"/>
  <c r="AB2666" i="1" s="1"/>
  <c r="AA2658" i="1"/>
  <c r="AB2658" i="1" s="1"/>
  <c r="AA2650" i="1"/>
  <c r="AB2650" i="1" s="1"/>
  <c r="AA2642" i="1"/>
  <c r="AB2642" i="1" s="1"/>
  <c r="AA2634" i="1"/>
  <c r="AB2634" i="1" s="1"/>
  <c r="AA2626" i="1"/>
  <c r="AB2626" i="1" s="1"/>
  <c r="AA2618" i="1"/>
  <c r="AB2618" i="1" s="1"/>
  <c r="AA2610" i="1"/>
  <c r="AB2610" i="1" s="1"/>
  <c r="AA2602" i="1"/>
  <c r="AB2602" i="1" s="1"/>
  <c r="AA2594" i="1"/>
  <c r="AB2594" i="1" s="1"/>
  <c r="AA2586" i="1"/>
  <c r="AB2586" i="1" s="1"/>
  <c r="AA2578" i="1"/>
  <c r="AB2578" i="1" s="1"/>
  <c r="AA2570" i="1"/>
  <c r="AB2570" i="1" s="1"/>
  <c r="AA2562" i="1"/>
  <c r="AB2562" i="1" s="1"/>
  <c r="AA2554" i="1"/>
  <c r="AB2554" i="1" s="1"/>
  <c r="AA2546" i="1"/>
  <c r="AB2546" i="1" s="1"/>
  <c r="AA2538" i="1"/>
  <c r="AB2538" i="1" s="1"/>
  <c r="AA2530" i="1"/>
  <c r="AB2530" i="1" s="1"/>
  <c r="AA2522" i="1"/>
  <c r="AB2522" i="1" s="1"/>
  <c r="AA2514" i="1"/>
  <c r="AB2514" i="1" s="1"/>
  <c r="AA2506" i="1"/>
  <c r="AB2506" i="1" s="1"/>
  <c r="AA2498" i="1"/>
  <c r="AB2498" i="1" s="1"/>
  <c r="AA2490" i="1"/>
  <c r="AB2490" i="1" s="1"/>
  <c r="AA2482" i="1"/>
  <c r="AB2482" i="1" s="1"/>
  <c r="AA2474" i="1"/>
  <c r="AB2474" i="1" s="1"/>
  <c r="AA2466" i="1"/>
  <c r="AB2466" i="1" s="1"/>
  <c r="AA2458" i="1"/>
  <c r="AB2458" i="1" s="1"/>
  <c r="AA2450" i="1"/>
  <c r="AB2450" i="1" s="1"/>
  <c r="AA2442" i="1"/>
  <c r="AB2442" i="1" s="1"/>
  <c r="AA2434" i="1"/>
  <c r="AB2434" i="1" s="1"/>
  <c r="AA2426" i="1"/>
  <c r="AB2426" i="1" s="1"/>
  <c r="AA2418" i="1"/>
  <c r="AB2418" i="1" s="1"/>
  <c r="AA2410" i="1"/>
  <c r="AB2410" i="1" s="1"/>
  <c r="AA2402" i="1"/>
  <c r="AB2402" i="1" s="1"/>
  <c r="AA2394" i="1"/>
  <c r="AB2394" i="1" s="1"/>
  <c r="AA2386" i="1"/>
  <c r="AB2386" i="1" s="1"/>
  <c r="AA2378" i="1"/>
  <c r="AB2378" i="1" s="1"/>
  <c r="AA2370" i="1"/>
  <c r="AB2370" i="1" s="1"/>
  <c r="AA2362" i="1"/>
  <c r="AB2362" i="1" s="1"/>
  <c r="AA2354" i="1"/>
  <c r="AB2354" i="1" s="1"/>
  <c r="AA2346" i="1"/>
  <c r="AB2346" i="1" s="1"/>
  <c r="AA2338" i="1"/>
  <c r="AB2338" i="1" s="1"/>
  <c r="AA2330" i="1"/>
  <c r="AB2330" i="1" s="1"/>
  <c r="AA2322" i="1"/>
  <c r="AB2322" i="1" s="1"/>
  <c r="AA2314" i="1"/>
  <c r="AB2314" i="1" s="1"/>
  <c r="AA2306" i="1"/>
  <c r="AB2306" i="1" s="1"/>
  <c r="AA2298" i="1"/>
  <c r="AB2298" i="1" s="1"/>
  <c r="AA2290" i="1"/>
  <c r="AB2290" i="1" s="1"/>
  <c r="AA2282" i="1"/>
  <c r="AB2282" i="1" s="1"/>
  <c r="AA2274" i="1"/>
  <c r="AB2274" i="1" s="1"/>
  <c r="AA2266" i="1"/>
  <c r="AB2266" i="1" s="1"/>
  <c r="AA2258" i="1"/>
  <c r="AB2258" i="1" s="1"/>
  <c r="AA2250" i="1"/>
  <c r="AB2250" i="1" s="1"/>
  <c r="AA2242" i="1"/>
  <c r="AB2242" i="1" s="1"/>
  <c r="AA2234" i="1"/>
  <c r="AB2234" i="1" s="1"/>
  <c r="AA2226" i="1"/>
  <c r="AB2226" i="1" s="1"/>
  <c r="AA2218" i="1"/>
  <c r="AB2218" i="1" s="1"/>
  <c r="AA2210" i="1"/>
  <c r="AB2210" i="1" s="1"/>
  <c r="AA2202" i="1"/>
  <c r="AB2202" i="1" s="1"/>
  <c r="AA2194" i="1"/>
  <c r="AB2194" i="1" s="1"/>
  <c r="AA2186" i="1"/>
  <c r="AB2186" i="1" s="1"/>
  <c r="AA2178" i="1"/>
  <c r="AB2178" i="1" s="1"/>
  <c r="AA2170" i="1"/>
  <c r="AB2170" i="1" s="1"/>
  <c r="AA2162" i="1"/>
  <c r="AB2162" i="1" s="1"/>
  <c r="AA2154" i="1"/>
  <c r="AB2154" i="1" s="1"/>
  <c r="AA2146" i="1"/>
  <c r="AB2146" i="1" s="1"/>
  <c r="AA2138" i="1"/>
  <c r="AB2138" i="1" s="1"/>
  <c r="AA2130" i="1"/>
  <c r="AB2130" i="1" s="1"/>
  <c r="AA2122" i="1"/>
  <c r="AB2122" i="1" s="1"/>
  <c r="AA2114" i="1"/>
  <c r="AB2114" i="1" s="1"/>
  <c r="AA2106" i="1"/>
  <c r="AB2106" i="1" s="1"/>
  <c r="AA2098" i="1"/>
  <c r="AB2098" i="1" s="1"/>
  <c r="AA2090" i="1"/>
  <c r="AB2090" i="1" s="1"/>
  <c r="AA2082" i="1"/>
  <c r="AB2082" i="1" s="1"/>
  <c r="AA2074" i="1"/>
  <c r="AB2074" i="1" s="1"/>
  <c r="AA2066" i="1"/>
  <c r="AB2066" i="1" s="1"/>
  <c r="AA2058" i="1"/>
  <c r="AB2058" i="1" s="1"/>
  <c r="AA2050" i="1"/>
  <c r="AB2050" i="1" s="1"/>
  <c r="AA2042" i="1"/>
  <c r="AB2042" i="1" s="1"/>
  <c r="AA2034" i="1"/>
  <c r="AB2034" i="1" s="1"/>
  <c r="AA2026" i="1"/>
  <c r="AB2026" i="1" s="1"/>
  <c r="AA2018" i="1"/>
  <c r="AB2018" i="1" s="1"/>
  <c r="AA2010" i="1"/>
  <c r="AB2010" i="1" s="1"/>
  <c r="AA2002" i="1"/>
  <c r="AB2002" i="1" s="1"/>
  <c r="AA1994" i="1"/>
  <c r="AB1994" i="1" s="1"/>
  <c r="AA1986" i="1"/>
  <c r="AB1986" i="1" s="1"/>
  <c r="AA1978" i="1"/>
  <c r="AB1978" i="1" s="1"/>
  <c r="AA1970" i="1"/>
  <c r="AB1970" i="1" s="1"/>
  <c r="AA1962" i="1"/>
  <c r="AB1962" i="1" s="1"/>
  <c r="AA1954" i="1"/>
  <c r="AB1954" i="1" s="1"/>
  <c r="AA1946" i="1"/>
  <c r="AB1946" i="1" s="1"/>
  <c r="AA1938" i="1"/>
  <c r="AB1938" i="1" s="1"/>
  <c r="AA1930" i="1"/>
  <c r="AB1930" i="1" s="1"/>
  <c r="AA1922" i="1"/>
  <c r="AB1922" i="1" s="1"/>
  <c r="AA1914" i="1"/>
  <c r="AB1914" i="1" s="1"/>
  <c r="AA1906" i="1"/>
  <c r="AB1906" i="1" s="1"/>
  <c r="AA1898" i="1"/>
  <c r="AB1898" i="1" s="1"/>
  <c r="AA1890" i="1"/>
  <c r="AB1890" i="1" s="1"/>
  <c r="AA1882" i="1"/>
  <c r="AB1882" i="1" s="1"/>
  <c r="AA1874" i="1"/>
  <c r="AB1874" i="1" s="1"/>
  <c r="AA1866" i="1"/>
  <c r="AB1866" i="1" s="1"/>
  <c r="AA1858" i="1"/>
  <c r="AB1858" i="1" s="1"/>
  <c r="AA1850" i="1"/>
  <c r="AB1850" i="1" s="1"/>
  <c r="AA1842" i="1"/>
  <c r="AB1842" i="1" s="1"/>
  <c r="AA1834" i="1"/>
  <c r="AB1834" i="1" s="1"/>
  <c r="AA1826" i="1"/>
  <c r="AB1826" i="1" s="1"/>
  <c r="AA1818" i="1"/>
  <c r="AB1818" i="1" s="1"/>
  <c r="AA1810" i="1"/>
  <c r="AB1810" i="1" s="1"/>
  <c r="AA1802" i="1"/>
  <c r="AB1802" i="1" s="1"/>
  <c r="AA1794" i="1"/>
  <c r="AB1794" i="1" s="1"/>
  <c r="AA1786" i="1"/>
  <c r="AB1786" i="1" s="1"/>
  <c r="AA1778" i="1"/>
  <c r="AB1778" i="1" s="1"/>
  <c r="AA1770" i="1"/>
  <c r="AB1770" i="1" s="1"/>
  <c r="AA1762" i="1"/>
  <c r="AB1762" i="1" s="1"/>
  <c r="AA1754" i="1"/>
  <c r="AB1754" i="1" s="1"/>
  <c r="AA1746" i="1"/>
  <c r="AB1746" i="1" s="1"/>
  <c r="AA1738" i="1"/>
  <c r="AB1738" i="1" s="1"/>
  <c r="AA1730" i="1"/>
  <c r="AB1730" i="1" s="1"/>
  <c r="AA1722" i="1"/>
  <c r="AB1722" i="1" s="1"/>
  <c r="AA1714" i="1"/>
  <c r="AB1714" i="1" s="1"/>
  <c r="AA1706" i="1"/>
  <c r="AB1706" i="1" s="1"/>
  <c r="AA1698" i="1"/>
  <c r="AB1698" i="1" s="1"/>
  <c r="AA1690" i="1"/>
  <c r="AB1690" i="1" s="1"/>
  <c r="AA1682" i="1"/>
  <c r="AB1682" i="1" s="1"/>
  <c r="AA1674" i="1"/>
  <c r="AB1674" i="1" s="1"/>
  <c r="AA1666" i="1"/>
  <c r="AB1666" i="1" s="1"/>
  <c r="AA1658" i="1"/>
  <c r="AB1658" i="1" s="1"/>
  <c r="AA1650" i="1"/>
  <c r="AB1650" i="1" s="1"/>
  <c r="AA1642" i="1"/>
  <c r="AB1642" i="1" s="1"/>
  <c r="AA1634" i="1"/>
  <c r="AB1634" i="1" s="1"/>
  <c r="AA1626" i="1"/>
  <c r="AB1626" i="1" s="1"/>
  <c r="AA1618" i="1"/>
  <c r="AB1618" i="1" s="1"/>
  <c r="AA1610" i="1"/>
  <c r="AB1610" i="1" s="1"/>
  <c r="AA1602" i="1"/>
  <c r="AB1602" i="1" s="1"/>
  <c r="AA1594" i="1"/>
  <c r="AB1594" i="1" s="1"/>
  <c r="AA1586" i="1"/>
  <c r="AB1586" i="1" s="1"/>
  <c r="AA1578" i="1"/>
  <c r="AB1578" i="1" s="1"/>
  <c r="AA1570" i="1"/>
  <c r="AB1570" i="1" s="1"/>
  <c r="AA1562" i="1"/>
  <c r="AB1562" i="1" s="1"/>
  <c r="AA1554" i="1"/>
  <c r="AB1554" i="1" s="1"/>
  <c r="AA1546" i="1"/>
  <c r="AB1546" i="1" s="1"/>
  <c r="AA1538" i="1"/>
  <c r="AB1538" i="1" s="1"/>
  <c r="AA1530" i="1"/>
  <c r="AB1530" i="1" s="1"/>
  <c r="AA1522" i="1"/>
  <c r="AB1522" i="1" s="1"/>
  <c r="AA1514" i="1"/>
  <c r="AB1514" i="1" s="1"/>
  <c r="AA1506" i="1"/>
  <c r="AB1506" i="1" s="1"/>
  <c r="AA1498" i="1"/>
  <c r="AB1498" i="1" s="1"/>
  <c r="AA1490" i="1"/>
  <c r="AB1490" i="1" s="1"/>
  <c r="AA1482" i="1"/>
  <c r="AB1482" i="1" s="1"/>
  <c r="AA1474" i="1"/>
  <c r="AB1474" i="1" s="1"/>
  <c r="AA1466" i="1"/>
  <c r="AB1466" i="1" s="1"/>
  <c r="AA1458" i="1"/>
  <c r="AB1458" i="1" s="1"/>
  <c r="AA1450" i="1"/>
  <c r="AB1450" i="1" s="1"/>
  <c r="AA1442" i="1"/>
  <c r="AB1442" i="1" s="1"/>
  <c r="AA1434" i="1"/>
  <c r="AB1434" i="1" s="1"/>
  <c r="AA1426" i="1"/>
  <c r="AB1426" i="1" s="1"/>
  <c r="AA1418" i="1"/>
  <c r="AB1418" i="1" s="1"/>
  <c r="AA1410" i="1"/>
  <c r="AB1410" i="1" s="1"/>
  <c r="AA1402" i="1"/>
  <c r="AB1402" i="1" s="1"/>
  <c r="AA1394" i="1"/>
  <c r="AB1394" i="1" s="1"/>
  <c r="AA1386" i="1"/>
  <c r="AB1386" i="1" s="1"/>
  <c r="AA1378" i="1"/>
  <c r="AB1378" i="1" s="1"/>
  <c r="AA1370" i="1"/>
  <c r="AB1370" i="1" s="1"/>
  <c r="AA1362" i="1"/>
  <c r="AB1362" i="1" s="1"/>
  <c r="AA1354" i="1"/>
  <c r="AB1354" i="1" s="1"/>
  <c r="AA1346" i="1"/>
  <c r="AB1346" i="1" s="1"/>
  <c r="AA1338" i="1"/>
  <c r="AB1338" i="1" s="1"/>
  <c r="AA1330" i="1"/>
  <c r="AB1330" i="1" s="1"/>
  <c r="AA1322" i="1"/>
  <c r="AB1322" i="1" s="1"/>
  <c r="AA1314" i="1"/>
  <c r="AB1314" i="1" s="1"/>
  <c r="AA1306" i="1"/>
  <c r="AB1306" i="1" s="1"/>
  <c r="AA1298" i="1"/>
  <c r="AB1298" i="1" s="1"/>
  <c r="AA1290" i="1"/>
  <c r="AB1290" i="1" s="1"/>
  <c r="AA1282" i="1"/>
  <c r="AB1282" i="1" s="1"/>
  <c r="AA1274" i="1"/>
  <c r="AB1274" i="1" s="1"/>
  <c r="AA1266" i="1"/>
  <c r="AB1266" i="1" s="1"/>
  <c r="AA1258" i="1"/>
  <c r="AB1258" i="1" s="1"/>
  <c r="AA1250" i="1"/>
  <c r="AB1250" i="1" s="1"/>
  <c r="AA1242" i="1"/>
  <c r="AB1242" i="1" s="1"/>
  <c r="AA1234" i="1"/>
  <c r="AB1234" i="1" s="1"/>
  <c r="AA1226" i="1"/>
  <c r="AB1226" i="1" s="1"/>
  <c r="AA1218" i="1"/>
  <c r="AB1218" i="1" s="1"/>
  <c r="AA1210" i="1"/>
  <c r="AB1210" i="1" s="1"/>
  <c r="AA1202" i="1"/>
  <c r="AB1202" i="1" s="1"/>
  <c r="AA1194" i="1"/>
  <c r="AB1194" i="1" s="1"/>
  <c r="AA1186" i="1"/>
  <c r="AB1186" i="1" s="1"/>
  <c r="AA1178" i="1"/>
  <c r="AB1178" i="1" s="1"/>
  <c r="AA1170" i="1"/>
  <c r="AB1170" i="1" s="1"/>
  <c r="AA1162" i="1"/>
  <c r="AB1162" i="1" s="1"/>
  <c r="AA1154" i="1"/>
  <c r="AB1154" i="1" s="1"/>
  <c r="AA1146" i="1"/>
  <c r="AB1146" i="1" s="1"/>
  <c r="AA1138" i="1"/>
  <c r="AB1138" i="1" s="1"/>
  <c r="AA1130" i="1"/>
  <c r="AB1130" i="1" s="1"/>
  <c r="AA1122" i="1"/>
  <c r="AB1122" i="1" s="1"/>
  <c r="AA1114" i="1"/>
  <c r="AB1114" i="1" s="1"/>
  <c r="AA1106" i="1"/>
  <c r="AB1106" i="1" s="1"/>
  <c r="AA1098" i="1"/>
  <c r="AB1098" i="1" s="1"/>
  <c r="AA1090" i="1"/>
  <c r="AB1090" i="1" s="1"/>
  <c r="AA1082" i="1"/>
  <c r="AB1082" i="1" s="1"/>
  <c r="AA1074" i="1"/>
  <c r="AB1074" i="1" s="1"/>
  <c r="AA1066" i="1"/>
  <c r="AB1066" i="1" s="1"/>
  <c r="AA1058" i="1"/>
  <c r="AB1058" i="1" s="1"/>
  <c r="AA1050" i="1"/>
  <c r="AB1050" i="1" s="1"/>
  <c r="AA1042" i="1"/>
  <c r="AB1042" i="1" s="1"/>
  <c r="AA1034" i="1"/>
  <c r="AB1034" i="1" s="1"/>
  <c r="AA1026" i="1"/>
  <c r="AB1026" i="1" s="1"/>
  <c r="AA1018" i="1"/>
  <c r="AB1018" i="1" s="1"/>
  <c r="AA1010" i="1"/>
  <c r="AB1010" i="1" s="1"/>
  <c r="AA1002" i="1"/>
  <c r="AB1002" i="1" s="1"/>
  <c r="AA994" i="1"/>
  <c r="AB994" i="1" s="1"/>
  <c r="AA986" i="1"/>
  <c r="AB986" i="1" s="1"/>
  <c r="AA978" i="1"/>
  <c r="AB978" i="1" s="1"/>
  <c r="AA970" i="1"/>
  <c r="AB970" i="1" s="1"/>
  <c r="AA962" i="1"/>
  <c r="AB962" i="1" s="1"/>
  <c r="AA954" i="1"/>
  <c r="AB954" i="1" s="1"/>
  <c r="AA946" i="1"/>
  <c r="AB946" i="1" s="1"/>
  <c r="AA938" i="1"/>
  <c r="AB938" i="1" s="1"/>
  <c r="AA930" i="1"/>
  <c r="AB930" i="1" s="1"/>
  <c r="AA922" i="1"/>
  <c r="AB922" i="1" s="1"/>
  <c r="AA914" i="1"/>
  <c r="AB914" i="1" s="1"/>
  <c r="AA906" i="1"/>
  <c r="AB906" i="1" s="1"/>
  <c r="AA898" i="1"/>
  <c r="AB898" i="1" s="1"/>
  <c r="AA890" i="1"/>
  <c r="AB890" i="1" s="1"/>
  <c r="AA882" i="1"/>
  <c r="AB882" i="1" s="1"/>
  <c r="AA874" i="1"/>
  <c r="AB874" i="1" s="1"/>
  <c r="AA866" i="1"/>
  <c r="AB866" i="1" s="1"/>
  <c r="AA858" i="1"/>
  <c r="AB858" i="1" s="1"/>
  <c r="AA850" i="1"/>
  <c r="AB850" i="1" s="1"/>
  <c r="AA842" i="1"/>
  <c r="AB842" i="1" s="1"/>
  <c r="AA834" i="1"/>
  <c r="AB834" i="1" s="1"/>
  <c r="AA826" i="1"/>
  <c r="AB826" i="1" s="1"/>
  <c r="AA818" i="1"/>
  <c r="AB818" i="1" s="1"/>
  <c r="AA810" i="1"/>
  <c r="AB810" i="1" s="1"/>
  <c r="AA802" i="1"/>
  <c r="AB802" i="1" s="1"/>
  <c r="AA794" i="1"/>
  <c r="AB794" i="1" s="1"/>
  <c r="AA786" i="1"/>
  <c r="AB786" i="1" s="1"/>
  <c r="AA778" i="1"/>
  <c r="AB778" i="1" s="1"/>
  <c r="AA770" i="1"/>
  <c r="AB770" i="1" s="1"/>
  <c r="AA762" i="1"/>
  <c r="AB762" i="1" s="1"/>
  <c r="AA754" i="1"/>
  <c r="AB754" i="1" s="1"/>
  <c r="AA746" i="1"/>
  <c r="AB746" i="1" s="1"/>
  <c r="AA738" i="1"/>
  <c r="AB738" i="1" s="1"/>
  <c r="AA730" i="1"/>
  <c r="AB730" i="1" s="1"/>
  <c r="AA722" i="1"/>
  <c r="AB722" i="1" s="1"/>
  <c r="AA714" i="1"/>
  <c r="AB714" i="1" s="1"/>
  <c r="AA706" i="1"/>
  <c r="AB706" i="1" s="1"/>
  <c r="AA698" i="1"/>
  <c r="AB698" i="1" s="1"/>
  <c r="AA690" i="1"/>
  <c r="AB690" i="1" s="1"/>
  <c r="AA682" i="1"/>
  <c r="AB682" i="1" s="1"/>
  <c r="AA674" i="1"/>
  <c r="AB674" i="1" s="1"/>
  <c r="AA666" i="1"/>
  <c r="AB666" i="1" s="1"/>
  <c r="AA658" i="1"/>
  <c r="AB658" i="1" s="1"/>
  <c r="AA650" i="1"/>
  <c r="AB650" i="1" s="1"/>
  <c r="AA642" i="1"/>
  <c r="AB642" i="1" s="1"/>
  <c r="AA634" i="1"/>
  <c r="AB634" i="1" s="1"/>
  <c r="AA626" i="1"/>
  <c r="AB626" i="1" s="1"/>
  <c r="AA618" i="1"/>
  <c r="AB618" i="1" s="1"/>
  <c r="AA610" i="1"/>
  <c r="AB610" i="1" s="1"/>
  <c r="AA602" i="1"/>
  <c r="AB602" i="1" s="1"/>
  <c r="AA594" i="1"/>
  <c r="AB594" i="1" s="1"/>
  <c r="AA586" i="1"/>
  <c r="AB586" i="1" s="1"/>
  <c r="AA578" i="1"/>
  <c r="AB578" i="1" s="1"/>
  <c r="AA570" i="1"/>
  <c r="AB570" i="1" s="1"/>
  <c r="AA562" i="1"/>
  <c r="AB562" i="1" s="1"/>
  <c r="AA554" i="1"/>
  <c r="AB554" i="1" s="1"/>
  <c r="AA546" i="1"/>
  <c r="AB546" i="1" s="1"/>
  <c r="AA538" i="1"/>
  <c r="AB538" i="1" s="1"/>
  <c r="AA530" i="1"/>
  <c r="AB530" i="1" s="1"/>
  <c r="AA522" i="1"/>
  <c r="AB522" i="1" s="1"/>
  <c r="AA514" i="1"/>
  <c r="AB514" i="1" s="1"/>
  <c r="AA506" i="1"/>
  <c r="AB506" i="1" s="1"/>
  <c r="AA498" i="1"/>
  <c r="AB498" i="1" s="1"/>
  <c r="AA490" i="1"/>
  <c r="AB490" i="1" s="1"/>
  <c r="AA482" i="1"/>
  <c r="AB482" i="1" s="1"/>
  <c r="AA474" i="1"/>
  <c r="AB474" i="1" s="1"/>
  <c r="AA466" i="1"/>
  <c r="AB466" i="1" s="1"/>
  <c r="AA458" i="1"/>
  <c r="AB458" i="1" s="1"/>
  <c r="AA450" i="1"/>
  <c r="AB450" i="1" s="1"/>
  <c r="AA442" i="1"/>
  <c r="AB442" i="1" s="1"/>
  <c r="AA434" i="1"/>
  <c r="AB434" i="1" s="1"/>
  <c r="AA426" i="1"/>
  <c r="AB426" i="1" s="1"/>
  <c r="AA418" i="1"/>
  <c r="AB418" i="1" s="1"/>
  <c r="AA410" i="1"/>
  <c r="AB410" i="1" s="1"/>
  <c r="AA402" i="1"/>
  <c r="AB402" i="1" s="1"/>
  <c r="AA394" i="1"/>
  <c r="AB394" i="1" s="1"/>
  <c r="AA386" i="1"/>
  <c r="AB386" i="1" s="1"/>
  <c r="AA378" i="1"/>
  <c r="AB378" i="1" s="1"/>
  <c r="AA370" i="1"/>
  <c r="AB370" i="1" s="1"/>
  <c r="AA362" i="1"/>
  <c r="AB362" i="1" s="1"/>
  <c r="AA354" i="1"/>
  <c r="AB354" i="1" s="1"/>
  <c r="AA346" i="1"/>
  <c r="AB346" i="1" s="1"/>
  <c r="AA338" i="1"/>
  <c r="AB338" i="1" s="1"/>
  <c r="AA330" i="1"/>
  <c r="AB330" i="1" s="1"/>
  <c r="AA322" i="1"/>
  <c r="AB322" i="1" s="1"/>
  <c r="AA314" i="1"/>
  <c r="AB314" i="1" s="1"/>
  <c r="AA306" i="1"/>
  <c r="AB306" i="1" s="1"/>
  <c r="AA298" i="1"/>
  <c r="AB298" i="1" s="1"/>
  <c r="AA290" i="1"/>
  <c r="AB290" i="1" s="1"/>
  <c r="AA282" i="1"/>
  <c r="AB282" i="1" s="1"/>
  <c r="AA274" i="1"/>
  <c r="AB274" i="1" s="1"/>
  <c r="AA266" i="1"/>
  <c r="AB266" i="1" s="1"/>
  <c r="AA258" i="1"/>
  <c r="AB258" i="1" s="1"/>
  <c r="AA250" i="1"/>
  <c r="AB250" i="1" s="1"/>
  <c r="AA242" i="1"/>
  <c r="AB242" i="1" s="1"/>
  <c r="AA234" i="1"/>
  <c r="AB234" i="1" s="1"/>
  <c r="AA226" i="1"/>
  <c r="AB226" i="1" s="1"/>
  <c r="AA218" i="1"/>
  <c r="AB218" i="1" s="1"/>
  <c r="AA210" i="1"/>
  <c r="AB210" i="1" s="1"/>
  <c r="AA202" i="1"/>
  <c r="AB202" i="1" s="1"/>
  <c r="AA194" i="1"/>
  <c r="AB194" i="1" s="1"/>
  <c r="AA186" i="1"/>
  <c r="AB186" i="1" s="1"/>
  <c r="AA178" i="1"/>
  <c r="AB178" i="1" s="1"/>
  <c r="AA170" i="1"/>
  <c r="AB170" i="1" s="1"/>
  <c r="AA162" i="1"/>
  <c r="AB162" i="1" s="1"/>
  <c r="AA154" i="1"/>
  <c r="AB154" i="1" s="1"/>
  <c r="AA146" i="1"/>
  <c r="AB146" i="1" s="1"/>
  <c r="AA138" i="1"/>
  <c r="AB138" i="1" s="1"/>
  <c r="AA130" i="1"/>
  <c r="AB130" i="1" s="1"/>
  <c r="AA122" i="1"/>
  <c r="AB122" i="1" s="1"/>
  <c r="AA114" i="1"/>
  <c r="AB114" i="1" s="1"/>
  <c r="AA106" i="1"/>
  <c r="AB106" i="1" s="1"/>
  <c r="AA98" i="1"/>
  <c r="AB98" i="1" s="1"/>
  <c r="AA90" i="1"/>
  <c r="AB90" i="1" s="1"/>
  <c r="AA82" i="1"/>
  <c r="AB82" i="1" s="1"/>
  <c r="AA74" i="1"/>
  <c r="AB74" i="1" s="1"/>
  <c r="AA66" i="1"/>
  <c r="AB66" i="1" s="1"/>
  <c r="AA58" i="1"/>
  <c r="AB58" i="1" s="1"/>
  <c r="AA50" i="1"/>
  <c r="AB50" i="1" s="1"/>
  <c r="AA42" i="1"/>
  <c r="AB42" i="1" s="1"/>
  <c r="AA34" i="1"/>
  <c r="AB34" i="1" s="1"/>
  <c r="AA26" i="1"/>
  <c r="AB26" i="1" s="1"/>
  <c r="AA18" i="1"/>
  <c r="AB18" i="1" s="1"/>
  <c r="AA10" i="1"/>
  <c r="AB10" i="1" s="1"/>
  <c r="AA2" i="1"/>
  <c r="AB2" i="1" s="1"/>
  <c r="AA1329" i="1"/>
  <c r="AB1329" i="1" s="1"/>
  <c r="AA1321" i="1"/>
  <c r="AB1321" i="1" s="1"/>
  <c r="AA1313" i="1"/>
  <c r="AB1313" i="1" s="1"/>
  <c r="AA1305" i="1"/>
  <c r="AB1305" i="1" s="1"/>
  <c r="AA1297" i="1"/>
  <c r="AB1297" i="1" s="1"/>
  <c r="AA1289" i="1"/>
  <c r="AB1289" i="1" s="1"/>
  <c r="AA1281" i="1"/>
  <c r="AB1281" i="1" s="1"/>
  <c r="AA1273" i="1"/>
  <c r="AB1273" i="1" s="1"/>
  <c r="AA1265" i="1"/>
  <c r="AB1265" i="1" s="1"/>
  <c r="AA1257" i="1"/>
  <c r="AB1257" i="1" s="1"/>
  <c r="AA1249" i="1"/>
  <c r="AB1249" i="1" s="1"/>
  <c r="AA1241" i="1"/>
  <c r="AB1241" i="1" s="1"/>
  <c r="AA1233" i="1"/>
  <c r="AB1233" i="1" s="1"/>
  <c r="AA1225" i="1"/>
  <c r="AB1225" i="1" s="1"/>
  <c r="AA1217" i="1"/>
  <c r="AB1217" i="1" s="1"/>
  <c r="AA1209" i="1"/>
  <c r="AB1209" i="1" s="1"/>
  <c r="AA1201" i="1"/>
  <c r="AB1201" i="1" s="1"/>
  <c r="AA1193" i="1"/>
  <c r="AB1193" i="1" s="1"/>
  <c r="AA1185" i="1"/>
  <c r="AB1185" i="1" s="1"/>
  <c r="AA1177" i="1"/>
  <c r="AB1177" i="1" s="1"/>
  <c r="AA1169" i="1"/>
  <c r="AB1169" i="1" s="1"/>
  <c r="AA1161" i="1"/>
  <c r="AB1161" i="1" s="1"/>
  <c r="AA1153" i="1"/>
  <c r="AB1153" i="1" s="1"/>
  <c r="AA1145" i="1"/>
  <c r="AB1145" i="1" s="1"/>
  <c r="AA1137" i="1"/>
  <c r="AB1137" i="1" s="1"/>
  <c r="AA1129" i="1"/>
  <c r="AB1129" i="1" s="1"/>
  <c r="AA1121" i="1"/>
  <c r="AB1121" i="1" s="1"/>
  <c r="AA1113" i="1"/>
  <c r="AB1113" i="1" s="1"/>
  <c r="AA1105" i="1"/>
  <c r="AB1105" i="1" s="1"/>
  <c r="AA1097" i="1"/>
  <c r="AB1097" i="1" s="1"/>
  <c r="AA1089" i="1"/>
  <c r="AB1089" i="1" s="1"/>
  <c r="AA1081" i="1"/>
  <c r="AB1081" i="1" s="1"/>
  <c r="AA1073" i="1"/>
  <c r="AB1073" i="1" s="1"/>
  <c r="AA1065" i="1"/>
  <c r="AB1065" i="1" s="1"/>
  <c r="AA1057" i="1"/>
  <c r="AB1057" i="1" s="1"/>
  <c r="AA1049" i="1"/>
  <c r="AB1049" i="1" s="1"/>
  <c r="AA1041" i="1"/>
  <c r="AB1041" i="1" s="1"/>
  <c r="AA1033" i="1"/>
  <c r="AB1033" i="1" s="1"/>
  <c r="AA1025" i="1"/>
  <c r="AB1025" i="1" s="1"/>
  <c r="AA1017" i="1"/>
  <c r="AB1017" i="1" s="1"/>
  <c r="AA1009" i="1"/>
  <c r="AB1009" i="1" s="1"/>
  <c r="AA1001" i="1"/>
  <c r="AB1001" i="1" s="1"/>
  <c r="AA993" i="1"/>
  <c r="AB993" i="1" s="1"/>
  <c r="AA985" i="1"/>
  <c r="AB985" i="1" s="1"/>
  <c r="AA977" i="1"/>
  <c r="AB977" i="1" s="1"/>
  <c r="AA969" i="1"/>
  <c r="AB969" i="1" s="1"/>
  <c r="AA961" i="1"/>
  <c r="AB961" i="1" s="1"/>
  <c r="AA953" i="1"/>
  <c r="AB953" i="1" s="1"/>
  <c r="AA945" i="1"/>
  <c r="AB945" i="1" s="1"/>
  <c r="AA937" i="1"/>
  <c r="AB937" i="1" s="1"/>
  <c r="AA929" i="1"/>
  <c r="AB929" i="1" s="1"/>
  <c r="AA921" i="1"/>
  <c r="AB921" i="1" s="1"/>
  <c r="AA913" i="1"/>
  <c r="AB913" i="1" s="1"/>
  <c r="AA905" i="1"/>
  <c r="AB905" i="1" s="1"/>
  <c r="AA897" i="1"/>
  <c r="AB897" i="1" s="1"/>
  <c r="AA889" i="1"/>
  <c r="AB889" i="1" s="1"/>
  <c r="AA881" i="1"/>
  <c r="AB881" i="1" s="1"/>
  <c r="AA873" i="1"/>
  <c r="AB873" i="1" s="1"/>
  <c r="AA865" i="1"/>
  <c r="AB865" i="1" s="1"/>
  <c r="AA857" i="1"/>
  <c r="AB857" i="1" s="1"/>
  <c r="AA849" i="1"/>
  <c r="AB849" i="1" s="1"/>
  <c r="AA841" i="1"/>
  <c r="AB841" i="1" s="1"/>
  <c r="AA833" i="1"/>
  <c r="AB833" i="1" s="1"/>
  <c r="AA825" i="1"/>
  <c r="AB825" i="1" s="1"/>
  <c r="AA817" i="1"/>
  <c r="AB817" i="1" s="1"/>
  <c r="AA809" i="1"/>
  <c r="AB809" i="1" s="1"/>
  <c r="AA801" i="1"/>
  <c r="AB801" i="1" s="1"/>
  <c r="AA793" i="1"/>
  <c r="AB793" i="1" s="1"/>
  <c r="AA785" i="1"/>
  <c r="AB785" i="1" s="1"/>
  <c r="AA777" i="1"/>
  <c r="AB777" i="1" s="1"/>
  <c r="AA769" i="1"/>
  <c r="AB769" i="1" s="1"/>
  <c r="AA761" i="1"/>
  <c r="AB761" i="1" s="1"/>
  <c r="AA753" i="1"/>
  <c r="AB753" i="1" s="1"/>
  <c r="AA745" i="1"/>
  <c r="AB745" i="1" s="1"/>
  <c r="AA737" i="1"/>
  <c r="AB737" i="1" s="1"/>
  <c r="AA729" i="1"/>
  <c r="AB729" i="1" s="1"/>
  <c r="AA721" i="1"/>
  <c r="AB721" i="1" s="1"/>
  <c r="AA713" i="1"/>
  <c r="AB713" i="1" s="1"/>
  <c r="AA705" i="1"/>
  <c r="AB705" i="1" s="1"/>
  <c r="AA697" i="1"/>
  <c r="AB697" i="1" s="1"/>
  <c r="AA689" i="1"/>
  <c r="AB689" i="1" s="1"/>
  <c r="AA681" i="1"/>
  <c r="AB681" i="1" s="1"/>
  <c r="AA673" i="1"/>
  <c r="AB673" i="1" s="1"/>
  <c r="AA665" i="1"/>
  <c r="AB665" i="1" s="1"/>
  <c r="AA657" i="1"/>
  <c r="AB657" i="1" s="1"/>
  <c r="AA649" i="1"/>
  <c r="AB649" i="1" s="1"/>
  <c r="AA641" i="1"/>
  <c r="AB641" i="1" s="1"/>
  <c r="AA633" i="1"/>
  <c r="AB633" i="1" s="1"/>
  <c r="AA625" i="1"/>
  <c r="AB625" i="1" s="1"/>
  <c r="AA617" i="1"/>
  <c r="AB617" i="1" s="1"/>
  <c r="AA609" i="1"/>
  <c r="AB609" i="1" s="1"/>
  <c r="AA601" i="1"/>
  <c r="AB601" i="1" s="1"/>
  <c r="AA593" i="1"/>
  <c r="AB593" i="1" s="1"/>
  <c r="AA585" i="1"/>
  <c r="AB585" i="1" s="1"/>
  <c r="AA577" i="1"/>
  <c r="AB577" i="1" s="1"/>
  <c r="AA569" i="1"/>
  <c r="AB569" i="1" s="1"/>
  <c r="AA561" i="1"/>
  <c r="AB561" i="1" s="1"/>
  <c r="AA553" i="1"/>
  <c r="AB553" i="1" s="1"/>
  <c r="AA545" i="1"/>
  <c r="AB545" i="1" s="1"/>
  <c r="AA537" i="1"/>
  <c r="AB537" i="1" s="1"/>
  <c r="AA529" i="1"/>
  <c r="AB529" i="1" s="1"/>
  <c r="AA521" i="1"/>
  <c r="AB521" i="1" s="1"/>
  <c r="AA513" i="1"/>
  <c r="AB513" i="1" s="1"/>
  <c r="AA505" i="1"/>
  <c r="AB505" i="1" s="1"/>
  <c r="AA497" i="1"/>
  <c r="AB497" i="1" s="1"/>
  <c r="AA489" i="1"/>
  <c r="AB489" i="1" s="1"/>
  <c r="AA481" i="1"/>
  <c r="AB481" i="1" s="1"/>
  <c r="AA473" i="1"/>
  <c r="AB473" i="1" s="1"/>
  <c r="AA465" i="1"/>
  <c r="AB465" i="1" s="1"/>
  <c r="AA457" i="1"/>
  <c r="AB457" i="1" s="1"/>
  <c r="AA449" i="1"/>
  <c r="AB449" i="1" s="1"/>
  <c r="AA441" i="1"/>
  <c r="AB441" i="1" s="1"/>
  <c r="AA433" i="1"/>
  <c r="AB433" i="1" s="1"/>
  <c r="AA425" i="1"/>
  <c r="AB425" i="1" s="1"/>
  <c r="AA417" i="1"/>
  <c r="AB417" i="1" s="1"/>
  <c r="AA409" i="1"/>
  <c r="AB409" i="1" s="1"/>
  <c r="AA401" i="1"/>
  <c r="AB401" i="1" s="1"/>
  <c r="AA393" i="1"/>
  <c r="AB393" i="1" s="1"/>
  <c r="AA385" i="1"/>
  <c r="AB385" i="1" s="1"/>
  <c r="AA377" i="1"/>
  <c r="AB377" i="1" s="1"/>
  <c r="AA369" i="1"/>
  <c r="AB369" i="1" s="1"/>
  <c r="AA361" i="1"/>
  <c r="AB361" i="1" s="1"/>
  <c r="AA353" i="1"/>
  <c r="AB353" i="1" s="1"/>
  <c r="AA345" i="1"/>
  <c r="AB345" i="1" s="1"/>
  <c r="AA337" i="1"/>
  <c r="AB337" i="1" s="1"/>
  <c r="AA329" i="1"/>
  <c r="AB329" i="1" s="1"/>
  <c r="AA321" i="1"/>
  <c r="AB321" i="1" s="1"/>
  <c r="AA313" i="1"/>
  <c r="AB313" i="1" s="1"/>
  <c r="AA305" i="1"/>
  <c r="AB305" i="1" s="1"/>
  <c r="AA297" i="1"/>
  <c r="AB297" i="1" s="1"/>
  <c r="AA289" i="1"/>
  <c r="AB289" i="1" s="1"/>
  <c r="AA281" i="1"/>
  <c r="AB281" i="1" s="1"/>
  <c r="AA273" i="1"/>
  <c r="AB273" i="1" s="1"/>
  <c r="AA265" i="1"/>
  <c r="AB265" i="1" s="1"/>
  <c r="AA257" i="1"/>
  <c r="AB257" i="1" s="1"/>
  <c r="AA249" i="1"/>
  <c r="AB249" i="1" s="1"/>
  <c r="AA241" i="1"/>
  <c r="AB241" i="1" s="1"/>
  <c r="AA233" i="1"/>
  <c r="AB233" i="1" s="1"/>
  <c r="AA225" i="1"/>
  <c r="AB225" i="1" s="1"/>
  <c r="AA217" i="1"/>
  <c r="AB217" i="1" s="1"/>
  <c r="AA209" i="1"/>
  <c r="AB209" i="1" s="1"/>
  <c r="AA201" i="1"/>
  <c r="AB201" i="1" s="1"/>
  <c r="AA193" i="1"/>
  <c r="AB193" i="1" s="1"/>
  <c r="AA185" i="1"/>
  <c r="AB185" i="1" s="1"/>
  <c r="AA177" i="1"/>
  <c r="AB177" i="1" s="1"/>
  <c r="AA169" i="1"/>
  <c r="AB169" i="1" s="1"/>
  <c r="AA161" i="1"/>
  <c r="AB161" i="1" s="1"/>
  <c r="AA153" i="1"/>
  <c r="AB153" i="1" s="1"/>
  <c r="AA145" i="1"/>
  <c r="AB145" i="1" s="1"/>
  <c r="AA137" i="1"/>
  <c r="AB137" i="1" s="1"/>
  <c r="AA129" i="1"/>
  <c r="AB129" i="1" s="1"/>
  <c r="AA121" i="1"/>
  <c r="AB121" i="1" s="1"/>
  <c r="AA113" i="1"/>
  <c r="AB113" i="1" s="1"/>
  <c r="AA105" i="1"/>
  <c r="AB105" i="1" s="1"/>
  <c r="AA97" i="1"/>
  <c r="AB97" i="1" s="1"/>
  <c r="AA89" i="1"/>
  <c r="AB89" i="1" s="1"/>
  <c r="AA81" i="1"/>
  <c r="AB81" i="1" s="1"/>
  <c r="AA73" i="1"/>
  <c r="AB73" i="1" s="1"/>
  <c r="AA65" i="1"/>
  <c r="AB65" i="1" s="1"/>
  <c r="AA57" i="1"/>
  <c r="AB57" i="1" s="1"/>
  <c r="AA49" i="1"/>
  <c r="AB49" i="1" s="1"/>
  <c r="AA41" i="1"/>
  <c r="AB41" i="1" s="1"/>
  <c r="AA33" i="1"/>
  <c r="AB33" i="1" s="1"/>
  <c r="AA25" i="1"/>
  <c r="AB25" i="1" s="1"/>
  <c r="AA17" i="1"/>
  <c r="AB17" i="1" s="1"/>
  <c r="AA9" i="1"/>
  <c r="AB9" i="1" s="1"/>
  <c r="AA3999" i="1"/>
  <c r="AB3999" i="1" s="1"/>
  <c r="AA3991" i="1"/>
  <c r="AB3991" i="1" s="1"/>
  <c r="AA3983" i="1"/>
  <c r="AB3983" i="1" s="1"/>
  <c r="AA3975" i="1"/>
  <c r="AB3975" i="1" s="1"/>
  <c r="AA3967" i="1"/>
  <c r="AB3967" i="1" s="1"/>
  <c r="AA3959" i="1"/>
  <c r="AB3959" i="1" s="1"/>
  <c r="AA3951" i="1"/>
  <c r="AB3951" i="1" s="1"/>
  <c r="AA3943" i="1"/>
  <c r="AB3943" i="1" s="1"/>
  <c r="AA3935" i="1"/>
  <c r="AB3935" i="1" s="1"/>
  <c r="AA3927" i="1"/>
  <c r="AB3927" i="1" s="1"/>
  <c r="AA3919" i="1"/>
  <c r="AB3919" i="1" s="1"/>
  <c r="AA3911" i="1"/>
  <c r="AB3911" i="1" s="1"/>
  <c r="AA3903" i="1"/>
  <c r="AB3903" i="1" s="1"/>
  <c r="AA3895" i="1"/>
  <c r="AB3895" i="1" s="1"/>
  <c r="AA3887" i="1"/>
  <c r="AB3887" i="1" s="1"/>
  <c r="AA3879" i="1"/>
  <c r="AB3879" i="1" s="1"/>
  <c r="AA3871" i="1"/>
  <c r="AB3871" i="1" s="1"/>
  <c r="AA3863" i="1"/>
  <c r="AB3863" i="1" s="1"/>
  <c r="AA3847" i="1"/>
  <c r="AB3847" i="1" s="1"/>
  <c r="AA3839" i="1"/>
  <c r="AB3839" i="1" s="1"/>
  <c r="AA3831" i="1"/>
  <c r="AB3831" i="1" s="1"/>
  <c r="AA3823" i="1"/>
  <c r="AB3823" i="1" s="1"/>
  <c r="AA3815" i="1"/>
  <c r="AB3815" i="1" s="1"/>
  <c r="AA3807" i="1"/>
  <c r="AB3807" i="1" s="1"/>
  <c r="AA3799" i="1"/>
  <c r="AB3799" i="1" s="1"/>
  <c r="AA3783" i="1"/>
  <c r="AB3783" i="1" s="1"/>
  <c r="AA3775" i="1"/>
  <c r="AB3775" i="1" s="1"/>
  <c r="AA3767" i="1"/>
  <c r="AB3767" i="1" s="1"/>
  <c r="AA3759" i="1"/>
  <c r="AB3759" i="1" s="1"/>
  <c r="AA3751" i="1"/>
  <c r="AB3751" i="1" s="1"/>
  <c r="AA3743" i="1"/>
  <c r="AB3743" i="1" s="1"/>
  <c r="AA3735" i="1"/>
  <c r="AB3735" i="1" s="1"/>
  <c r="AA3727" i="1"/>
  <c r="AB3727" i="1" s="1"/>
  <c r="AA3719" i="1"/>
  <c r="AB3719" i="1" s="1"/>
  <c r="AA3711" i="1"/>
  <c r="AB3711" i="1" s="1"/>
  <c r="AA3703" i="1"/>
  <c r="AB3703" i="1" s="1"/>
  <c r="AA3695" i="1"/>
  <c r="AB3695" i="1" s="1"/>
  <c r="AA3687" i="1"/>
  <c r="AB3687" i="1" s="1"/>
  <c r="AA3679" i="1"/>
  <c r="AB3679" i="1" s="1"/>
  <c r="AA3671" i="1"/>
  <c r="AB3671" i="1" s="1"/>
  <c r="AA3663" i="1"/>
  <c r="AB3663" i="1" s="1"/>
  <c r="AA3655" i="1"/>
  <c r="AB3655" i="1" s="1"/>
  <c r="AA3647" i="1"/>
  <c r="AB3647" i="1" s="1"/>
  <c r="AA3639" i="1"/>
  <c r="AB3639" i="1" s="1"/>
  <c r="AA3631" i="1"/>
  <c r="AB3631" i="1" s="1"/>
  <c r="AA3623" i="1"/>
  <c r="AB3623" i="1" s="1"/>
  <c r="AA3615" i="1"/>
  <c r="AB3615" i="1" s="1"/>
  <c r="AA3607" i="1"/>
  <c r="AB3607" i="1" s="1"/>
  <c r="AA3599" i="1"/>
  <c r="AB3599" i="1" s="1"/>
  <c r="AA3591" i="1"/>
  <c r="AB3591" i="1" s="1"/>
  <c r="AA3583" i="1"/>
  <c r="AB3583" i="1" s="1"/>
  <c r="AA3575" i="1"/>
  <c r="AB3575" i="1" s="1"/>
  <c r="AA3567" i="1"/>
  <c r="AB3567" i="1" s="1"/>
  <c r="AA3559" i="1"/>
  <c r="AB3559" i="1" s="1"/>
  <c r="AA3551" i="1"/>
  <c r="AB3551" i="1" s="1"/>
  <c r="AA3543" i="1"/>
  <c r="AB3543" i="1" s="1"/>
  <c r="AA3535" i="1"/>
  <c r="AB3535" i="1" s="1"/>
  <c r="AA3527" i="1"/>
  <c r="AB3527" i="1" s="1"/>
  <c r="AA3519" i="1"/>
  <c r="AB3519" i="1" s="1"/>
  <c r="AA3511" i="1"/>
  <c r="AB3511" i="1" s="1"/>
  <c r="AA3503" i="1"/>
  <c r="AB3503" i="1" s="1"/>
  <c r="AA3495" i="1"/>
  <c r="AB3495" i="1" s="1"/>
  <c r="AA3487" i="1"/>
  <c r="AB3487" i="1" s="1"/>
  <c r="AA3479" i="1"/>
  <c r="AB3479" i="1" s="1"/>
  <c r="AA3471" i="1"/>
  <c r="AB3471" i="1" s="1"/>
  <c r="AA3463" i="1"/>
  <c r="AB3463" i="1" s="1"/>
  <c r="AA3455" i="1"/>
  <c r="AB3455" i="1" s="1"/>
  <c r="AA3447" i="1"/>
  <c r="AB3447" i="1" s="1"/>
  <c r="AA3439" i="1"/>
  <c r="AB3439" i="1" s="1"/>
  <c r="AA3431" i="1"/>
  <c r="AB3431" i="1" s="1"/>
  <c r="AA3423" i="1"/>
  <c r="AB3423" i="1" s="1"/>
  <c r="AA3415" i="1"/>
  <c r="AB3415" i="1" s="1"/>
  <c r="AA3407" i="1"/>
  <c r="AB3407" i="1" s="1"/>
  <c r="AA3399" i="1"/>
  <c r="AB3399" i="1" s="1"/>
  <c r="AA3391" i="1"/>
  <c r="AB3391" i="1" s="1"/>
  <c r="AA3383" i="1"/>
  <c r="AB3383" i="1" s="1"/>
  <c r="AA3375" i="1"/>
  <c r="AB3375" i="1" s="1"/>
  <c r="AA3367" i="1"/>
  <c r="AB3367" i="1" s="1"/>
  <c r="AA3359" i="1"/>
  <c r="AB3359" i="1" s="1"/>
  <c r="AA3351" i="1"/>
  <c r="AB3351" i="1" s="1"/>
  <c r="AA3343" i="1"/>
  <c r="AB3343" i="1" s="1"/>
  <c r="AA3335" i="1"/>
  <c r="AB3335" i="1" s="1"/>
  <c r="AA3327" i="1"/>
  <c r="AB3327" i="1" s="1"/>
  <c r="AA3319" i="1"/>
  <c r="AB3319" i="1" s="1"/>
  <c r="AA3311" i="1"/>
  <c r="AB3311" i="1" s="1"/>
  <c r="AA3303" i="1"/>
  <c r="AB3303" i="1" s="1"/>
  <c r="AA3295" i="1"/>
  <c r="AB3295" i="1" s="1"/>
  <c r="AA3287" i="1"/>
  <c r="AB3287" i="1" s="1"/>
  <c r="AA3279" i="1"/>
  <c r="AB3279" i="1" s="1"/>
  <c r="AA3271" i="1"/>
  <c r="AB3271" i="1" s="1"/>
  <c r="AA3263" i="1"/>
  <c r="AB3263" i="1" s="1"/>
  <c r="AA3255" i="1"/>
  <c r="AB3255" i="1" s="1"/>
  <c r="AA3247" i="1"/>
  <c r="AB3247" i="1" s="1"/>
  <c r="AA3239" i="1"/>
  <c r="AB3239" i="1" s="1"/>
  <c r="AA3231" i="1"/>
  <c r="AB3231" i="1" s="1"/>
  <c r="AA3223" i="1"/>
  <c r="AB3223" i="1" s="1"/>
  <c r="AA3215" i="1"/>
  <c r="AB3215" i="1" s="1"/>
  <c r="AA3207" i="1"/>
  <c r="AB3207" i="1" s="1"/>
  <c r="AA3199" i="1"/>
  <c r="AB3199" i="1" s="1"/>
  <c r="AA3191" i="1"/>
  <c r="AB3191" i="1" s="1"/>
  <c r="AA3183" i="1"/>
  <c r="AB3183" i="1" s="1"/>
  <c r="AA3175" i="1"/>
  <c r="AB3175" i="1" s="1"/>
  <c r="AA3167" i="1"/>
  <c r="AB3167" i="1" s="1"/>
  <c r="AA3159" i="1"/>
  <c r="AB3159" i="1" s="1"/>
  <c r="AA3151" i="1"/>
  <c r="AB3151" i="1" s="1"/>
  <c r="AA3143" i="1"/>
  <c r="AB3143" i="1" s="1"/>
  <c r="AA3135" i="1"/>
  <c r="AB3135" i="1" s="1"/>
  <c r="AA3127" i="1"/>
  <c r="AB3127" i="1" s="1"/>
  <c r="AA3119" i="1"/>
  <c r="AB3119" i="1" s="1"/>
  <c r="AA3111" i="1"/>
  <c r="AB3111" i="1" s="1"/>
  <c r="AA3103" i="1"/>
  <c r="AB3103" i="1" s="1"/>
  <c r="AA3095" i="1"/>
  <c r="AB3095" i="1" s="1"/>
  <c r="AA3087" i="1"/>
  <c r="AB3087" i="1" s="1"/>
  <c r="AA3079" i="1"/>
  <c r="AB3079" i="1" s="1"/>
  <c r="AA3071" i="1"/>
  <c r="AB3071" i="1" s="1"/>
  <c r="AA3063" i="1"/>
  <c r="AB3063" i="1" s="1"/>
  <c r="AA3055" i="1"/>
  <c r="AB3055" i="1" s="1"/>
  <c r="AA3047" i="1"/>
  <c r="AB3047" i="1" s="1"/>
  <c r="AA3039" i="1"/>
  <c r="AB3039" i="1" s="1"/>
  <c r="AA3031" i="1"/>
  <c r="AB3031" i="1" s="1"/>
  <c r="AA3023" i="1"/>
  <c r="AB3023" i="1" s="1"/>
  <c r="AA3015" i="1"/>
  <c r="AB3015" i="1" s="1"/>
  <c r="AA3007" i="1"/>
  <c r="AB3007" i="1" s="1"/>
  <c r="AA2999" i="1"/>
  <c r="AB2999" i="1" s="1"/>
  <c r="AA2991" i="1"/>
  <c r="AB2991" i="1" s="1"/>
  <c r="AA2983" i="1"/>
  <c r="AB2983" i="1" s="1"/>
  <c r="AA2975" i="1"/>
  <c r="AB2975" i="1" s="1"/>
  <c r="AA2967" i="1"/>
  <c r="AB2967" i="1" s="1"/>
  <c r="AA2959" i="1"/>
  <c r="AB2959" i="1" s="1"/>
  <c r="AA2951" i="1"/>
  <c r="AB2951" i="1" s="1"/>
  <c r="AA2943" i="1"/>
  <c r="AB2943" i="1" s="1"/>
  <c r="AA2935" i="1"/>
  <c r="AB2935" i="1" s="1"/>
  <c r="AA2927" i="1"/>
  <c r="AB2927" i="1" s="1"/>
  <c r="AA2919" i="1"/>
  <c r="AB2919" i="1" s="1"/>
  <c r="AA2911" i="1"/>
  <c r="AB2911" i="1" s="1"/>
  <c r="AA2903" i="1"/>
  <c r="AB2903" i="1" s="1"/>
  <c r="AA2895" i="1"/>
  <c r="AB2895" i="1" s="1"/>
  <c r="AA2887" i="1"/>
  <c r="AB2887" i="1" s="1"/>
  <c r="AA2879" i="1"/>
  <c r="AB2879" i="1" s="1"/>
  <c r="AA2871" i="1"/>
  <c r="AB2871" i="1" s="1"/>
  <c r="AA2863" i="1"/>
  <c r="AB2863" i="1" s="1"/>
  <c r="AA2855" i="1"/>
  <c r="AB2855" i="1" s="1"/>
  <c r="AA2847" i="1"/>
  <c r="AB2847" i="1" s="1"/>
  <c r="AA2839" i="1"/>
  <c r="AB2839" i="1" s="1"/>
  <c r="AA2831" i="1"/>
  <c r="AB2831" i="1" s="1"/>
  <c r="AA2823" i="1"/>
  <c r="AB2823" i="1" s="1"/>
  <c r="AA2815" i="1"/>
  <c r="AB2815" i="1" s="1"/>
  <c r="AA2807" i="1"/>
  <c r="AB2807" i="1" s="1"/>
  <c r="AA2799" i="1"/>
  <c r="AB2799" i="1" s="1"/>
  <c r="AA2791" i="1"/>
  <c r="AB2791" i="1" s="1"/>
  <c r="AA2783" i="1"/>
  <c r="AB2783" i="1" s="1"/>
  <c r="AA2775" i="1"/>
  <c r="AB2775" i="1" s="1"/>
  <c r="AA2767" i="1"/>
  <c r="AB2767" i="1" s="1"/>
  <c r="AA2759" i="1"/>
  <c r="AB2759" i="1" s="1"/>
  <c r="AA2751" i="1"/>
  <c r="AB2751" i="1" s="1"/>
  <c r="AA2743" i="1"/>
  <c r="AB2743" i="1" s="1"/>
  <c r="AA2735" i="1"/>
  <c r="AB2735" i="1" s="1"/>
  <c r="AA2727" i="1"/>
  <c r="AB2727" i="1" s="1"/>
  <c r="AA2719" i="1"/>
  <c r="AB2719" i="1" s="1"/>
  <c r="AA2711" i="1"/>
  <c r="AB2711" i="1" s="1"/>
  <c r="AA2703" i="1"/>
  <c r="AB2703" i="1" s="1"/>
  <c r="AA2695" i="1"/>
  <c r="AB2695" i="1" s="1"/>
  <c r="AA2687" i="1"/>
  <c r="AB2687" i="1" s="1"/>
  <c r="AA2679" i="1"/>
  <c r="AB2679" i="1" s="1"/>
  <c r="AA2671" i="1"/>
  <c r="AB2671" i="1" s="1"/>
  <c r="AA2663" i="1"/>
  <c r="AB2663" i="1" s="1"/>
  <c r="AA2655" i="1"/>
  <c r="AB2655" i="1" s="1"/>
  <c r="AA2647" i="1"/>
  <c r="AB2647" i="1" s="1"/>
  <c r="AA2639" i="1"/>
  <c r="AB2639" i="1" s="1"/>
  <c r="AA2631" i="1"/>
  <c r="AB2631" i="1" s="1"/>
  <c r="AA2623" i="1"/>
  <c r="AB2623" i="1" s="1"/>
  <c r="AA2615" i="1"/>
  <c r="AB2615" i="1" s="1"/>
  <c r="AA2607" i="1"/>
  <c r="AB2607" i="1" s="1"/>
  <c r="AA2599" i="1"/>
  <c r="AB2599" i="1" s="1"/>
  <c r="AA2591" i="1"/>
  <c r="AB2591" i="1" s="1"/>
  <c r="AA2583" i="1"/>
  <c r="AB2583" i="1" s="1"/>
  <c r="AA2575" i="1"/>
  <c r="AB2575" i="1" s="1"/>
  <c r="AA2567" i="1"/>
  <c r="AB2567" i="1" s="1"/>
  <c r="AA2559" i="1"/>
  <c r="AB2559" i="1" s="1"/>
  <c r="AA2551" i="1"/>
  <c r="AB2551" i="1" s="1"/>
  <c r="AA2543" i="1"/>
  <c r="AB2543" i="1" s="1"/>
  <c r="AA2535" i="1"/>
  <c r="AB2535" i="1" s="1"/>
  <c r="AA2527" i="1"/>
  <c r="AB2527" i="1" s="1"/>
  <c r="AA2519" i="1"/>
  <c r="AB2519" i="1" s="1"/>
  <c r="AA2511" i="1"/>
  <c r="AB2511" i="1" s="1"/>
  <c r="AA2503" i="1"/>
  <c r="AB2503" i="1" s="1"/>
  <c r="AA2495" i="1"/>
  <c r="AB2495" i="1" s="1"/>
  <c r="AA2487" i="1"/>
  <c r="AB2487" i="1" s="1"/>
  <c r="AA2479" i="1"/>
  <c r="AB2479" i="1" s="1"/>
  <c r="AA2471" i="1"/>
  <c r="AB2471" i="1" s="1"/>
  <c r="AA2463" i="1"/>
  <c r="AB2463" i="1" s="1"/>
  <c r="AA2455" i="1"/>
  <c r="AB2455" i="1" s="1"/>
  <c r="AA2447" i="1"/>
  <c r="AB2447" i="1" s="1"/>
  <c r="AA2439" i="1"/>
  <c r="AB2439" i="1" s="1"/>
  <c r="AA2431" i="1"/>
  <c r="AB2431" i="1" s="1"/>
  <c r="AA2423" i="1"/>
  <c r="AB2423" i="1" s="1"/>
  <c r="AA2415" i="1"/>
  <c r="AB2415" i="1" s="1"/>
  <c r="AA2407" i="1"/>
  <c r="AB2407" i="1" s="1"/>
  <c r="AA2399" i="1"/>
  <c r="AB2399" i="1" s="1"/>
  <c r="AA2391" i="1"/>
  <c r="AB2391" i="1" s="1"/>
  <c r="AA2383" i="1"/>
  <c r="AB2383" i="1" s="1"/>
  <c r="AA2375" i="1"/>
  <c r="AB2375" i="1" s="1"/>
  <c r="AA2367" i="1"/>
  <c r="AB2367" i="1" s="1"/>
  <c r="AA2359" i="1"/>
  <c r="AB2359" i="1" s="1"/>
  <c r="AA2351" i="1"/>
  <c r="AB2351" i="1" s="1"/>
  <c r="AA2343" i="1"/>
  <c r="AB2343" i="1" s="1"/>
  <c r="AA2335" i="1"/>
  <c r="AB2335" i="1" s="1"/>
  <c r="AA2327" i="1"/>
  <c r="AB2327" i="1" s="1"/>
  <c r="AA2319" i="1"/>
  <c r="AB2319" i="1" s="1"/>
  <c r="AA2311" i="1"/>
  <c r="AB2311" i="1" s="1"/>
  <c r="AA2303" i="1"/>
  <c r="AB2303" i="1" s="1"/>
  <c r="AA2295" i="1"/>
  <c r="AB2295" i="1" s="1"/>
  <c r="AA2287" i="1"/>
  <c r="AB2287" i="1" s="1"/>
  <c r="AA2279" i="1"/>
  <c r="AB2279" i="1" s="1"/>
  <c r="AA2271" i="1"/>
  <c r="AB2271" i="1" s="1"/>
  <c r="AA2263" i="1"/>
  <c r="AB2263" i="1" s="1"/>
  <c r="AA2255" i="1"/>
  <c r="AB2255" i="1" s="1"/>
  <c r="AA2247" i="1"/>
  <c r="AB2247" i="1" s="1"/>
  <c r="AA2239" i="1"/>
  <c r="AB2239" i="1" s="1"/>
  <c r="AA2231" i="1"/>
  <c r="AB2231" i="1" s="1"/>
  <c r="AA2223" i="1"/>
  <c r="AB2223" i="1" s="1"/>
  <c r="AA2215" i="1"/>
  <c r="AB2215" i="1" s="1"/>
  <c r="AA2207" i="1"/>
  <c r="AB2207" i="1" s="1"/>
  <c r="AA2199" i="1"/>
  <c r="AB2199" i="1" s="1"/>
  <c r="AA2191" i="1"/>
  <c r="AB2191" i="1" s="1"/>
  <c r="AA2183" i="1"/>
  <c r="AB2183" i="1" s="1"/>
  <c r="AA2175" i="1"/>
  <c r="AB2175" i="1" s="1"/>
  <c r="AA2167" i="1"/>
  <c r="AB2167" i="1" s="1"/>
  <c r="AA2159" i="1"/>
  <c r="AB2159" i="1" s="1"/>
  <c r="AA2151" i="1"/>
  <c r="AB2151" i="1" s="1"/>
  <c r="AA2143" i="1"/>
  <c r="AB2143" i="1" s="1"/>
  <c r="AA2135" i="1"/>
  <c r="AB2135" i="1" s="1"/>
  <c r="AA2127" i="1"/>
  <c r="AB2127" i="1" s="1"/>
  <c r="AA2119" i="1"/>
  <c r="AB2119" i="1" s="1"/>
  <c r="AA2111" i="1"/>
  <c r="AB2111" i="1" s="1"/>
  <c r="AA2103" i="1"/>
  <c r="AB2103" i="1" s="1"/>
  <c r="AA2095" i="1"/>
  <c r="AB2095" i="1" s="1"/>
  <c r="AA2087" i="1"/>
  <c r="AB2087" i="1" s="1"/>
  <c r="AA2079" i="1"/>
  <c r="AB2079" i="1" s="1"/>
  <c r="AA2071" i="1"/>
  <c r="AB2071" i="1" s="1"/>
  <c r="AA2063" i="1"/>
  <c r="AB2063" i="1" s="1"/>
  <c r="AA2055" i="1"/>
  <c r="AB2055" i="1" s="1"/>
  <c r="AA2047" i="1"/>
  <c r="AB2047" i="1" s="1"/>
  <c r="AA2039" i="1"/>
  <c r="AB2039" i="1" s="1"/>
  <c r="AA2031" i="1"/>
  <c r="AB2031" i="1" s="1"/>
  <c r="AA2023" i="1"/>
  <c r="AB2023" i="1" s="1"/>
  <c r="AA2015" i="1"/>
  <c r="AB2015" i="1" s="1"/>
  <c r="AA2007" i="1"/>
  <c r="AB2007" i="1" s="1"/>
  <c r="AA1999" i="1"/>
  <c r="AB1999" i="1" s="1"/>
  <c r="AA1991" i="1"/>
  <c r="AB1991" i="1" s="1"/>
  <c r="AA1983" i="1"/>
  <c r="AB1983" i="1" s="1"/>
  <c r="AA1975" i="1"/>
  <c r="AB1975" i="1" s="1"/>
  <c r="AA1967" i="1"/>
  <c r="AB1967" i="1" s="1"/>
  <c r="AA1959" i="1"/>
  <c r="AB1959" i="1" s="1"/>
  <c r="AA1951" i="1"/>
  <c r="AB1951" i="1" s="1"/>
  <c r="AA1943" i="1"/>
  <c r="AB1943" i="1" s="1"/>
  <c r="AA1935" i="1"/>
  <c r="AB1935" i="1" s="1"/>
  <c r="AA3997" i="1"/>
  <c r="AB3997" i="1" s="1"/>
  <c r="AA3989" i="1"/>
  <c r="AB3989" i="1" s="1"/>
  <c r="AA3981" i="1"/>
  <c r="AB3981" i="1" s="1"/>
  <c r="AA3973" i="1"/>
  <c r="AB3973" i="1" s="1"/>
  <c r="AA3965" i="1"/>
  <c r="AB3965" i="1" s="1"/>
  <c r="AA3957" i="1"/>
  <c r="AB3957" i="1" s="1"/>
  <c r="AA3949" i="1"/>
  <c r="AB3949" i="1" s="1"/>
  <c r="AA3933" i="1"/>
  <c r="AB3933" i="1" s="1"/>
  <c r="AA3925" i="1"/>
  <c r="AB3925" i="1" s="1"/>
  <c r="AA3917" i="1"/>
  <c r="AB3917" i="1" s="1"/>
  <c r="AA3909" i="1"/>
  <c r="AB3909" i="1" s="1"/>
  <c r="AA3901" i="1"/>
  <c r="AB3901" i="1" s="1"/>
  <c r="AA3893" i="1"/>
  <c r="AB3893" i="1" s="1"/>
  <c r="AA3885" i="1"/>
  <c r="AB3885" i="1" s="1"/>
  <c r="AA3869" i="1"/>
  <c r="AB3869" i="1" s="1"/>
  <c r="AA3861" i="1"/>
  <c r="AB3861" i="1" s="1"/>
  <c r="AA3853" i="1"/>
  <c r="AB3853" i="1" s="1"/>
  <c r="AA3845" i="1"/>
  <c r="AB3845" i="1" s="1"/>
  <c r="AA3837" i="1"/>
  <c r="AB3837" i="1" s="1"/>
  <c r="AA3829" i="1"/>
  <c r="AB3829" i="1" s="1"/>
  <c r="AA3821" i="1"/>
  <c r="AB3821" i="1" s="1"/>
  <c r="AA3813" i="1"/>
  <c r="AB3813" i="1" s="1"/>
  <c r="AA3805" i="1"/>
  <c r="AB3805" i="1" s="1"/>
  <c r="AA3797" i="1"/>
  <c r="AB3797" i="1" s="1"/>
  <c r="AA3789" i="1"/>
  <c r="AB3789" i="1" s="1"/>
  <c r="AA3781" i="1"/>
  <c r="AB3781" i="1" s="1"/>
  <c r="AA3773" i="1"/>
  <c r="AB3773" i="1" s="1"/>
  <c r="AA3765" i="1"/>
  <c r="AB3765" i="1" s="1"/>
  <c r="AA3757" i="1"/>
  <c r="AB3757" i="1" s="1"/>
  <c r="AA3749" i="1"/>
  <c r="AB3749" i="1" s="1"/>
  <c r="AA3741" i="1"/>
  <c r="AB3741" i="1" s="1"/>
  <c r="AA3733" i="1"/>
  <c r="AB3733" i="1" s="1"/>
  <c r="AA3725" i="1"/>
  <c r="AB3725" i="1" s="1"/>
  <c r="AA3717" i="1"/>
  <c r="AB3717" i="1" s="1"/>
  <c r="AA3709" i="1"/>
  <c r="AB3709" i="1" s="1"/>
  <c r="AA3701" i="1"/>
  <c r="AB3701" i="1" s="1"/>
  <c r="AA3693" i="1"/>
  <c r="AB3693" i="1" s="1"/>
  <c r="AA3685" i="1"/>
  <c r="AB3685" i="1" s="1"/>
  <c r="AA3677" i="1"/>
  <c r="AB3677" i="1" s="1"/>
  <c r="AA3669" i="1"/>
  <c r="AB3669" i="1" s="1"/>
  <c r="AA3661" i="1"/>
  <c r="AB3661" i="1" s="1"/>
  <c r="AA2701" i="1"/>
  <c r="AB2701" i="1" s="1"/>
  <c r="AA1927" i="1"/>
  <c r="AB1927" i="1" s="1"/>
  <c r="AA1919" i="1"/>
  <c r="AB1919" i="1" s="1"/>
  <c r="AA1911" i="1"/>
  <c r="AB1911" i="1" s="1"/>
  <c r="AA1903" i="1"/>
  <c r="AB1903" i="1" s="1"/>
  <c r="AA1895" i="1"/>
  <c r="AB1895" i="1" s="1"/>
  <c r="AA1887" i="1"/>
  <c r="AB1887" i="1" s="1"/>
  <c r="AA1879" i="1"/>
  <c r="AB1879" i="1" s="1"/>
  <c r="AA1871" i="1"/>
  <c r="AB1871" i="1" s="1"/>
  <c r="AA1863" i="1"/>
  <c r="AB1863" i="1" s="1"/>
  <c r="AA1855" i="1"/>
  <c r="AB1855" i="1" s="1"/>
  <c r="AA1847" i="1"/>
  <c r="AB1847" i="1" s="1"/>
  <c r="AA1839" i="1"/>
  <c r="AB1839" i="1" s="1"/>
  <c r="AA1831" i="1"/>
  <c r="AB1831" i="1" s="1"/>
  <c r="AA1823" i="1"/>
  <c r="AB1823" i="1" s="1"/>
  <c r="AA1815" i="1"/>
  <c r="AB1815" i="1" s="1"/>
  <c r="AA1807" i="1"/>
  <c r="AB1807" i="1" s="1"/>
  <c r="AA1799" i="1"/>
  <c r="AB1799" i="1" s="1"/>
  <c r="AA1791" i="1"/>
  <c r="AB1791" i="1" s="1"/>
  <c r="AA1783" i="1"/>
  <c r="AB1783" i="1" s="1"/>
  <c r="AA1775" i="1"/>
  <c r="AB1775" i="1" s="1"/>
  <c r="AA1767" i="1"/>
  <c r="AB1767" i="1" s="1"/>
  <c r="AA1759" i="1"/>
  <c r="AB1759" i="1" s="1"/>
  <c r="AA1751" i="1"/>
  <c r="AB1751" i="1" s="1"/>
  <c r="AA1743" i="1"/>
  <c r="AB1743" i="1" s="1"/>
  <c r="AA1735" i="1"/>
  <c r="AB1735" i="1" s="1"/>
  <c r="AA1727" i="1"/>
  <c r="AB1727" i="1" s="1"/>
  <c r="AA1719" i="1"/>
  <c r="AB1719" i="1" s="1"/>
  <c r="AA1711" i="1"/>
  <c r="AB1711" i="1" s="1"/>
  <c r="AA1703" i="1"/>
  <c r="AB1703" i="1" s="1"/>
  <c r="AA1695" i="1"/>
  <c r="AB1695" i="1" s="1"/>
  <c r="AA1687" i="1"/>
  <c r="AB1687" i="1" s="1"/>
  <c r="AA1679" i="1"/>
  <c r="AB1679" i="1" s="1"/>
  <c r="AA1671" i="1"/>
  <c r="AB1671" i="1" s="1"/>
  <c r="AA1663" i="1"/>
  <c r="AB1663" i="1" s="1"/>
  <c r="AA1655" i="1"/>
  <c r="AB1655" i="1" s="1"/>
  <c r="AA1647" i="1"/>
  <c r="AB1647" i="1" s="1"/>
  <c r="AA1639" i="1"/>
  <c r="AB1639" i="1" s="1"/>
  <c r="AA1631" i="1"/>
  <c r="AB1631" i="1" s="1"/>
  <c r="AA1623" i="1"/>
  <c r="AB1623" i="1" s="1"/>
  <c r="AA1615" i="1"/>
  <c r="AB1615" i="1" s="1"/>
  <c r="AA1607" i="1"/>
  <c r="AB1607" i="1" s="1"/>
  <c r="AA1599" i="1"/>
  <c r="AB1599" i="1" s="1"/>
  <c r="AA1591" i="1"/>
  <c r="AB1591" i="1" s="1"/>
  <c r="AA1583" i="1"/>
  <c r="AB1583" i="1" s="1"/>
  <c r="AA1575" i="1"/>
  <c r="AB1575" i="1" s="1"/>
  <c r="AA1567" i="1"/>
  <c r="AB1567" i="1" s="1"/>
  <c r="AA1559" i="1"/>
  <c r="AB1559" i="1" s="1"/>
  <c r="AA1551" i="1"/>
  <c r="AB1551" i="1" s="1"/>
  <c r="AA1543" i="1"/>
  <c r="AB1543" i="1" s="1"/>
  <c r="AA1535" i="1"/>
  <c r="AB1535" i="1" s="1"/>
  <c r="AA1527" i="1"/>
  <c r="AB1527" i="1" s="1"/>
  <c r="AA1519" i="1"/>
  <c r="AB1519" i="1" s="1"/>
  <c r="AA1511" i="1"/>
  <c r="AB1511" i="1" s="1"/>
  <c r="AA1503" i="1"/>
  <c r="AB1503" i="1" s="1"/>
  <c r="AA1495" i="1"/>
  <c r="AB1495" i="1" s="1"/>
  <c r="AA1487" i="1"/>
  <c r="AB1487" i="1" s="1"/>
  <c r="AA1479" i="1"/>
  <c r="AB1479" i="1" s="1"/>
  <c r="AA1471" i="1"/>
  <c r="AB1471" i="1" s="1"/>
  <c r="AA1463" i="1"/>
  <c r="AB1463" i="1" s="1"/>
  <c r="AA1455" i="1"/>
  <c r="AB1455" i="1" s="1"/>
  <c r="AA1447" i="1"/>
  <c r="AB1447" i="1" s="1"/>
  <c r="AA1439" i="1"/>
  <c r="AB1439" i="1" s="1"/>
  <c r="AA1431" i="1"/>
  <c r="AB1431" i="1" s="1"/>
  <c r="AA1423" i="1"/>
  <c r="AB1423" i="1" s="1"/>
  <c r="AA1415" i="1"/>
  <c r="AB1415" i="1" s="1"/>
  <c r="AA1407" i="1"/>
  <c r="AB1407" i="1" s="1"/>
  <c r="AA1399" i="1"/>
  <c r="AB1399" i="1" s="1"/>
  <c r="AA1391" i="1"/>
  <c r="AB1391" i="1" s="1"/>
  <c r="AA1383" i="1"/>
  <c r="AB1383" i="1" s="1"/>
  <c r="AA1375" i="1"/>
  <c r="AB1375" i="1" s="1"/>
  <c r="AA1367" i="1"/>
  <c r="AB1367" i="1" s="1"/>
  <c r="AA1359" i="1"/>
  <c r="AB1359" i="1" s="1"/>
  <c r="AA1351" i="1"/>
  <c r="AB1351" i="1" s="1"/>
  <c r="AA1343" i="1"/>
  <c r="AB1343" i="1" s="1"/>
  <c r="AA1335" i="1"/>
  <c r="AB1335" i="1" s="1"/>
  <c r="AA1327" i="1"/>
  <c r="AB1327" i="1" s="1"/>
  <c r="AA1319" i="1"/>
  <c r="AB1319" i="1" s="1"/>
  <c r="AA1311" i="1"/>
  <c r="AB1311" i="1" s="1"/>
  <c r="AA1303" i="1"/>
  <c r="AB1303" i="1" s="1"/>
  <c r="AA1295" i="1"/>
  <c r="AB1295" i="1" s="1"/>
  <c r="AA1287" i="1"/>
  <c r="AB1287" i="1" s="1"/>
  <c r="AA1279" i="1"/>
  <c r="AB1279" i="1" s="1"/>
  <c r="AA1271" i="1"/>
  <c r="AB1271" i="1" s="1"/>
  <c r="AA1263" i="1"/>
  <c r="AB1263" i="1" s="1"/>
  <c r="AA1255" i="1"/>
  <c r="AB1255" i="1" s="1"/>
  <c r="AA1247" i="1"/>
  <c r="AB1247" i="1" s="1"/>
  <c r="AA1239" i="1"/>
  <c r="AB1239" i="1" s="1"/>
  <c r="AA1231" i="1"/>
  <c r="AB1231" i="1" s="1"/>
  <c r="AA1223" i="1"/>
  <c r="AB1223" i="1" s="1"/>
  <c r="AA1215" i="1"/>
  <c r="AB1215" i="1" s="1"/>
  <c r="AA1207" i="1"/>
  <c r="AB1207" i="1" s="1"/>
  <c r="AA1199" i="1"/>
  <c r="AB1199" i="1" s="1"/>
  <c r="AA1191" i="1"/>
  <c r="AB1191" i="1" s="1"/>
  <c r="AA1183" i="1"/>
  <c r="AB1183" i="1" s="1"/>
  <c r="AA1175" i="1"/>
  <c r="AB1175" i="1" s="1"/>
  <c r="AA1167" i="1"/>
  <c r="AB1167" i="1" s="1"/>
  <c r="AA1159" i="1"/>
  <c r="AB1159" i="1" s="1"/>
  <c r="AA1151" i="1"/>
  <c r="AB1151" i="1" s="1"/>
  <c r="AA1143" i="1"/>
  <c r="AB1143" i="1" s="1"/>
  <c r="AA1135" i="1"/>
  <c r="AB1135" i="1" s="1"/>
  <c r="AA1127" i="1"/>
  <c r="AB1127" i="1" s="1"/>
  <c r="AA1119" i="1"/>
  <c r="AB1119" i="1" s="1"/>
  <c r="AA1111" i="1"/>
  <c r="AB1111" i="1" s="1"/>
  <c r="AA1103" i="1"/>
  <c r="AB1103" i="1" s="1"/>
  <c r="AA1095" i="1"/>
  <c r="AB1095" i="1" s="1"/>
  <c r="AA1087" i="1"/>
  <c r="AB1087" i="1" s="1"/>
  <c r="AA1079" i="1"/>
  <c r="AB1079" i="1" s="1"/>
  <c r="AA1071" i="1"/>
  <c r="AB1071" i="1" s="1"/>
  <c r="AA1063" i="1"/>
  <c r="AB1063" i="1" s="1"/>
  <c r="AA1055" i="1"/>
  <c r="AB1055" i="1" s="1"/>
  <c r="AA1047" i="1"/>
  <c r="AB1047" i="1" s="1"/>
  <c r="AA1039" i="1"/>
  <c r="AB1039" i="1" s="1"/>
  <c r="AA1031" i="1"/>
  <c r="AB1031" i="1" s="1"/>
  <c r="AA1023" i="1"/>
  <c r="AB1023" i="1" s="1"/>
  <c r="AA1015" i="1"/>
  <c r="AB1015" i="1" s="1"/>
  <c r="AA1007" i="1"/>
  <c r="AB1007" i="1" s="1"/>
  <c r="AA999" i="1"/>
  <c r="AB999" i="1" s="1"/>
  <c r="AA991" i="1"/>
  <c r="AB991" i="1" s="1"/>
  <c r="AA983" i="1"/>
  <c r="AB983" i="1" s="1"/>
  <c r="AA975" i="1"/>
  <c r="AB975" i="1" s="1"/>
  <c r="AA967" i="1"/>
  <c r="AB967" i="1" s="1"/>
  <c r="AA959" i="1"/>
  <c r="AB959" i="1" s="1"/>
  <c r="AA951" i="1"/>
  <c r="AB951" i="1" s="1"/>
  <c r="AA943" i="1"/>
  <c r="AB943" i="1" s="1"/>
  <c r="AA935" i="1"/>
  <c r="AB935" i="1" s="1"/>
  <c r="AA927" i="1"/>
  <c r="AB927" i="1" s="1"/>
  <c r="AA919" i="1"/>
  <c r="AB919" i="1" s="1"/>
  <c r="AA911" i="1"/>
  <c r="AB911" i="1" s="1"/>
  <c r="AA903" i="1"/>
  <c r="AB903" i="1" s="1"/>
  <c r="AA895" i="1"/>
  <c r="AB895" i="1" s="1"/>
  <c r="AA887" i="1"/>
  <c r="AB887" i="1" s="1"/>
  <c r="AA879" i="1"/>
  <c r="AB879" i="1" s="1"/>
  <c r="AA871" i="1"/>
  <c r="AB871" i="1" s="1"/>
  <c r="AA863" i="1"/>
  <c r="AB863" i="1" s="1"/>
  <c r="AA855" i="1"/>
  <c r="AB855" i="1" s="1"/>
  <c r="AA847" i="1"/>
  <c r="AB847" i="1" s="1"/>
  <c r="AA839" i="1"/>
  <c r="AB839" i="1" s="1"/>
  <c r="AA831" i="1"/>
  <c r="AB831" i="1" s="1"/>
  <c r="AA823" i="1"/>
  <c r="AB823" i="1" s="1"/>
  <c r="AA815" i="1"/>
  <c r="AB815" i="1" s="1"/>
  <c r="AA807" i="1"/>
  <c r="AB807" i="1" s="1"/>
  <c r="AA799" i="1"/>
  <c r="AB799" i="1" s="1"/>
  <c r="AA791" i="1"/>
  <c r="AB791" i="1" s="1"/>
  <c r="AA783" i="1"/>
  <c r="AB783" i="1" s="1"/>
  <c r="AA775" i="1"/>
  <c r="AB775" i="1" s="1"/>
  <c r="AA767" i="1"/>
  <c r="AB767" i="1" s="1"/>
  <c r="AA759" i="1"/>
  <c r="AB759" i="1" s="1"/>
  <c r="AA751" i="1"/>
  <c r="AB751" i="1" s="1"/>
  <c r="AA743" i="1"/>
  <c r="AB743" i="1" s="1"/>
  <c r="AA735" i="1"/>
  <c r="AB735" i="1" s="1"/>
  <c r="AA727" i="1"/>
  <c r="AB727" i="1" s="1"/>
  <c r="AA719" i="1"/>
  <c r="AB719" i="1" s="1"/>
  <c r="AA711" i="1"/>
  <c r="AB711" i="1" s="1"/>
  <c r="AA703" i="1"/>
  <c r="AB703" i="1" s="1"/>
  <c r="AA695" i="1"/>
  <c r="AB695" i="1" s="1"/>
  <c r="AA687" i="1"/>
  <c r="AB687" i="1" s="1"/>
  <c r="AA679" i="1"/>
  <c r="AB679" i="1" s="1"/>
  <c r="AA671" i="1"/>
  <c r="AB671" i="1" s="1"/>
  <c r="AA663" i="1"/>
  <c r="AB663" i="1" s="1"/>
  <c r="AA655" i="1"/>
  <c r="AB655" i="1" s="1"/>
  <c r="AA647" i="1"/>
  <c r="AB647" i="1" s="1"/>
  <c r="AA639" i="1"/>
  <c r="AB639" i="1" s="1"/>
  <c r="AA631" i="1"/>
  <c r="AB631" i="1" s="1"/>
  <c r="AA623" i="1"/>
  <c r="AB623" i="1" s="1"/>
  <c r="AA615" i="1"/>
  <c r="AB615" i="1" s="1"/>
  <c r="AA607" i="1"/>
  <c r="AB607" i="1" s="1"/>
  <c r="AA599" i="1"/>
  <c r="AB599" i="1" s="1"/>
  <c r="AA591" i="1"/>
  <c r="AB591" i="1" s="1"/>
  <c r="AA583" i="1"/>
  <c r="AB583" i="1" s="1"/>
  <c r="AA575" i="1"/>
  <c r="AB575" i="1" s="1"/>
  <c r="AA567" i="1"/>
  <c r="AB567" i="1" s="1"/>
  <c r="AA559" i="1"/>
  <c r="AB559" i="1" s="1"/>
  <c r="AA551" i="1"/>
  <c r="AB551" i="1" s="1"/>
  <c r="AA543" i="1"/>
  <c r="AB543" i="1" s="1"/>
  <c r="AA535" i="1"/>
  <c r="AB535" i="1" s="1"/>
  <c r="AA527" i="1"/>
  <c r="AB527" i="1" s="1"/>
  <c r="AA519" i="1"/>
  <c r="AB519" i="1" s="1"/>
  <c r="AA511" i="1"/>
  <c r="AB511" i="1" s="1"/>
  <c r="AA503" i="1"/>
  <c r="AB503" i="1" s="1"/>
  <c r="AA495" i="1"/>
  <c r="AB495" i="1" s="1"/>
  <c r="AA487" i="1"/>
  <c r="AB487" i="1" s="1"/>
  <c r="AA479" i="1"/>
  <c r="AB479" i="1" s="1"/>
  <c r="AA471" i="1"/>
  <c r="AB471" i="1" s="1"/>
  <c r="AA463" i="1"/>
  <c r="AB463" i="1" s="1"/>
  <c r="AA455" i="1"/>
  <c r="AB455" i="1" s="1"/>
  <c r="AA447" i="1"/>
  <c r="AB447" i="1" s="1"/>
  <c r="AA439" i="1"/>
  <c r="AB439" i="1" s="1"/>
  <c r="AA431" i="1"/>
  <c r="AB431" i="1" s="1"/>
  <c r="AA423" i="1"/>
  <c r="AB423" i="1" s="1"/>
  <c r="AA415" i="1"/>
  <c r="AB415" i="1" s="1"/>
  <c r="AA407" i="1"/>
  <c r="AB407" i="1" s="1"/>
  <c r="AA399" i="1"/>
  <c r="AB399" i="1" s="1"/>
  <c r="AA391" i="1"/>
  <c r="AB391" i="1" s="1"/>
  <c r="AA383" i="1"/>
  <c r="AB383" i="1" s="1"/>
  <c r="AA375" i="1"/>
  <c r="AB375" i="1" s="1"/>
  <c r="AA367" i="1"/>
  <c r="AB367" i="1" s="1"/>
  <c r="AA359" i="1"/>
  <c r="AB359" i="1" s="1"/>
  <c r="AA351" i="1"/>
  <c r="AB351" i="1" s="1"/>
  <c r="AA343" i="1"/>
  <c r="AB343" i="1" s="1"/>
  <c r="AA335" i="1"/>
  <c r="AB335" i="1" s="1"/>
  <c r="AA327" i="1"/>
  <c r="AB327" i="1" s="1"/>
  <c r="AA319" i="1"/>
  <c r="AB319" i="1" s="1"/>
  <c r="AA311" i="1"/>
  <c r="AB311" i="1" s="1"/>
  <c r="AA303" i="1"/>
  <c r="AB303" i="1" s="1"/>
  <c r="AA295" i="1"/>
  <c r="AB295" i="1" s="1"/>
  <c r="AA287" i="1"/>
  <c r="AB287" i="1" s="1"/>
  <c r="AA279" i="1"/>
  <c r="AB279" i="1" s="1"/>
  <c r="AA271" i="1"/>
  <c r="AB271" i="1" s="1"/>
  <c r="AA263" i="1"/>
  <c r="AB263" i="1" s="1"/>
  <c r="AA255" i="1"/>
  <c r="AB255" i="1" s="1"/>
  <c r="AA247" i="1"/>
  <c r="AB247" i="1" s="1"/>
  <c r="AA239" i="1"/>
  <c r="AB239" i="1" s="1"/>
  <c r="AA231" i="1"/>
  <c r="AB231" i="1" s="1"/>
  <c r="AA223" i="1"/>
  <c r="AB223" i="1" s="1"/>
  <c r="AA215" i="1"/>
  <c r="AB215" i="1" s="1"/>
  <c r="AA207" i="1"/>
  <c r="AB207" i="1" s="1"/>
  <c r="AA199" i="1"/>
  <c r="AB199" i="1" s="1"/>
  <c r="AA191" i="1"/>
  <c r="AB191" i="1" s="1"/>
  <c r="AA183" i="1"/>
  <c r="AB183" i="1" s="1"/>
  <c r="AA175" i="1"/>
  <c r="AB175" i="1" s="1"/>
  <c r="AA167" i="1"/>
  <c r="AB167" i="1" s="1"/>
  <c r="AA159" i="1"/>
  <c r="AB159" i="1" s="1"/>
  <c r="AA151" i="1"/>
  <c r="AB151" i="1" s="1"/>
  <c r="AA143" i="1"/>
  <c r="AB143" i="1" s="1"/>
  <c r="AA135" i="1"/>
  <c r="AB135" i="1" s="1"/>
  <c r="AA127" i="1"/>
  <c r="AB127" i="1" s="1"/>
  <c r="AA119" i="1"/>
  <c r="AB119" i="1" s="1"/>
  <c r="AA111" i="1"/>
  <c r="AB111" i="1" s="1"/>
  <c r="AA103" i="1"/>
  <c r="AB103" i="1" s="1"/>
  <c r="AA95" i="1"/>
  <c r="AB95" i="1" s="1"/>
  <c r="AA87" i="1"/>
  <c r="AB87" i="1" s="1"/>
  <c r="AA79" i="1"/>
  <c r="AB79" i="1" s="1"/>
  <c r="AA71" i="1"/>
  <c r="AB71" i="1" s="1"/>
  <c r="AA63" i="1"/>
  <c r="AB63" i="1" s="1"/>
  <c r="AA55" i="1"/>
  <c r="AB55" i="1" s="1"/>
  <c r="AA47" i="1"/>
  <c r="AB47" i="1" s="1"/>
  <c r="AA39" i="1"/>
  <c r="AB39" i="1" s="1"/>
  <c r="AA31" i="1"/>
  <c r="AB31" i="1" s="1"/>
  <c r="AA23" i="1"/>
  <c r="AB23" i="1" s="1"/>
  <c r="AA15" i="1"/>
  <c r="AB15" i="1" s="1"/>
  <c r="AA7" i="1"/>
  <c r="AB7" i="1" s="1"/>
  <c r="AA3653" i="1"/>
  <c r="AB3653" i="1" s="1"/>
  <c r="AA3645" i="1"/>
  <c r="AB3645" i="1" s="1"/>
  <c r="AA3637" i="1"/>
  <c r="AB3637" i="1" s="1"/>
  <c r="AA3629" i="1"/>
  <c r="AB3629" i="1" s="1"/>
  <c r="AA3621" i="1"/>
  <c r="AB3621" i="1" s="1"/>
  <c r="AA3613" i="1"/>
  <c r="AB3613" i="1" s="1"/>
  <c r="AA3605" i="1"/>
  <c r="AB3605" i="1" s="1"/>
  <c r="AA3597" i="1"/>
  <c r="AB3597" i="1" s="1"/>
  <c r="AA3589" i="1"/>
  <c r="AB3589" i="1" s="1"/>
  <c r="AA3581" i="1"/>
  <c r="AB3581" i="1" s="1"/>
  <c r="AA3573" i="1"/>
  <c r="AB3573" i="1" s="1"/>
  <c r="AA3565" i="1"/>
  <c r="AB3565" i="1" s="1"/>
  <c r="AA3557" i="1"/>
  <c r="AB3557" i="1" s="1"/>
  <c r="AA3549" i="1"/>
  <c r="AB3549" i="1" s="1"/>
  <c r="AA3541" i="1"/>
  <c r="AB3541" i="1" s="1"/>
  <c r="AA3533" i="1"/>
  <c r="AB3533" i="1" s="1"/>
  <c r="AA3525" i="1"/>
  <c r="AB3525" i="1" s="1"/>
  <c r="AA3517" i="1"/>
  <c r="AB3517" i="1" s="1"/>
  <c r="AA3509" i="1"/>
  <c r="AB3509" i="1" s="1"/>
  <c r="AA3501" i="1"/>
  <c r="AB3501" i="1" s="1"/>
  <c r="AA3493" i="1"/>
  <c r="AB3493" i="1" s="1"/>
  <c r="AA3485" i="1"/>
  <c r="AB3485" i="1" s="1"/>
  <c r="AA3477" i="1"/>
  <c r="AB3477" i="1" s="1"/>
  <c r="AA3469" i="1"/>
  <c r="AB3469" i="1" s="1"/>
  <c r="AA3461" i="1"/>
  <c r="AB3461" i="1" s="1"/>
  <c r="AA3453" i="1"/>
  <c r="AB3453" i="1" s="1"/>
  <c r="AA3445" i="1"/>
  <c r="AB3445" i="1" s="1"/>
  <c r="AA3437" i="1"/>
  <c r="AB3437" i="1" s="1"/>
  <c r="AA3429" i="1"/>
  <c r="AB3429" i="1" s="1"/>
  <c r="AA3421" i="1"/>
  <c r="AB3421" i="1" s="1"/>
  <c r="AA3413" i="1"/>
  <c r="AB3413" i="1" s="1"/>
  <c r="AA3405" i="1"/>
  <c r="AB3405" i="1" s="1"/>
  <c r="AA3397" i="1"/>
  <c r="AB3397" i="1" s="1"/>
  <c r="AA3389" i="1"/>
  <c r="AB3389" i="1" s="1"/>
  <c r="AA3381" i="1"/>
  <c r="AB3381" i="1" s="1"/>
  <c r="AA3373" i="1"/>
  <c r="AB3373" i="1" s="1"/>
  <c r="AA3365" i="1"/>
  <c r="AB3365" i="1" s="1"/>
  <c r="AA3357" i="1"/>
  <c r="AB3357" i="1" s="1"/>
  <c r="AA3349" i="1"/>
  <c r="AB3349" i="1" s="1"/>
  <c r="AA3341" i="1"/>
  <c r="AB3341" i="1" s="1"/>
  <c r="AA3333" i="1"/>
  <c r="AB3333" i="1" s="1"/>
  <c r="AA3325" i="1"/>
  <c r="AB3325" i="1" s="1"/>
  <c r="AA3317" i="1"/>
  <c r="AB3317" i="1" s="1"/>
  <c r="AA3309" i="1"/>
  <c r="AB3309" i="1" s="1"/>
  <c r="AA3301" i="1"/>
  <c r="AB3301" i="1" s="1"/>
  <c r="AA3293" i="1"/>
  <c r="AB3293" i="1" s="1"/>
  <c r="AA3285" i="1"/>
  <c r="AB3285" i="1" s="1"/>
  <c r="AA3277" i="1"/>
  <c r="AB3277" i="1" s="1"/>
  <c r="AA3269" i="1"/>
  <c r="AB3269" i="1" s="1"/>
  <c r="AA3261" i="1"/>
  <c r="AB3261" i="1" s="1"/>
  <c r="AA3253" i="1"/>
  <c r="AB3253" i="1" s="1"/>
  <c r="AA3245" i="1"/>
  <c r="AB3245" i="1" s="1"/>
  <c r="AA3237" i="1"/>
  <c r="AB3237" i="1" s="1"/>
  <c r="AA3229" i="1"/>
  <c r="AB3229" i="1" s="1"/>
  <c r="AA3221" i="1"/>
  <c r="AB3221" i="1" s="1"/>
  <c r="AA3213" i="1"/>
  <c r="AB3213" i="1" s="1"/>
  <c r="AA3205" i="1"/>
  <c r="AB3205" i="1" s="1"/>
  <c r="AA3197" i="1"/>
  <c r="AB3197" i="1" s="1"/>
  <c r="AA3189" i="1"/>
  <c r="AB3189" i="1" s="1"/>
  <c r="AA3181" i="1"/>
  <c r="AB3181" i="1" s="1"/>
  <c r="AA3173" i="1"/>
  <c r="AB3173" i="1" s="1"/>
  <c r="AA3165" i="1"/>
  <c r="AB3165" i="1" s="1"/>
  <c r="AA3157" i="1"/>
  <c r="AB3157" i="1" s="1"/>
  <c r="AA3149" i="1"/>
  <c r="AB3149" i="1" s="1"/>
  <c r="AA3133" i="1"/>
  <c r="AB3133" i="1" s="1"/>
  <c r="AA3125" i="1"/>
  <c r="AB3125" i="1" s="1"/>
  <c r="AA3117" i="1"/>
  <c r="AB3117" i="1" s="1"/>
  <c r="AA3109" i="1"/>
  <c r="AB3109" i="1" s="1"/>
  <c r="AA3101" i="1"/>
  <c r="AB3101" i="1" s="1"/>
  <c r="AA3093" i="1"/>
  <c r="AB3093" i="1" s="1"/>
  <c r="AA3085" i="1"/>
  <c r="AB3085" i="1" s="1"/>
  <c r="AA3077" i="1"/>
  <c r="AB3077" i="1" s="1"/>
  <c r="AA3069" i="1"/>
  <c r="AB3069" i="1" s="1"/>
  <c r="AA3061" i="1"/>
  <c r="AB3061" i="1" s="1"/>
  <c r="AA3053" i="1"/>
  <c r="AB3053" i="1" s="1"/>
  <c r="AA3045" i="1"/>
  <c r="AB3045" i="1" s="1"/>
  <c r="AA3037" i="1"/>
  <c r="AB3037" i="1" s="1"/>
  <c r="AA3029" i="1"/>
  <c r="AB3029" i="1" s="1"/>
  <c r="AA3021" i="1"/>
  <c r="AB3021" i="1" s="1"/>
  <c r="AA3013" i="1"/>
  <c r="AB3013" i="1" s="1"/>
  <c r="AA3005" i="1"/>
  <c r="AB3005" i="1" s="1"/>
  <c r="AA2997" i="1"/>
  <c r="AB2997" i="1" s="1"/>
  <c r="AA2989" i="1"/>
  <c r="AB2989" i="1" s="1"/>
  <c r="AA2981" i="1"/>
  <c r="AB2981" i="1" s="1"/>
  <c r="AA2973" i="1"/>
  <c r="AB2973" i="1" s="1"/>
  <c r="AA2965" i="1"/>
  <c r="AB2965" i="1" s="1"/>
  <c r="AA2957" i="1"/>
  <c r="AB2957" i="1" s="1"/>
  <c r="AA2949" i="1"/>
  <c r="AB2949" i="1" s="1"/>
  <c r="AA2941" i="1"/>
  <c r="AB2941" i="1" s="1"/>
  <c r="AA2933" i="1"/>
  <c r="AB2933" i="1" s="1"/>
  <c r="AA2925" i="1"/>
  <c r="AB2925" i="1" s="1"/>
  <c r="AA2917" i="1"/>
  <c r="AB2917" i="1" s="1"/>
  <c r="AA2909" i="1"/>
  <c r="AB2909" i="1" s="1"/>
  <c r="AA2901" i="1"/>
  <c r="AB2901" i="1" s="1"/>
  <c r="AA2893" i="1"/>
  <c r="AB2893" i="1" s="1"/>
  <c r="AA2885" i="1"/>
  <c r="AB2885" i="1" s="1"/>
  <c r="AA2877" i="1"/>
  <c r="AB2877" i="1" s="1"/>
  <c r="AA2861" i="1"/>
  <c r="AB2861" i="1" s="1"/>
  <c r="AA2853" i="1"/>
  <c r="AB2853" i="1" s="1"/>
  <c r="AA2845" i="1"/>
  <c r="AB2845" i="1" s="1"/>
  <c r="AA2837" i="1"/>
  <c r="AB2837" i="1" s="1"/>
  <c r="AA2829" i="1"/>
  <c r="AB2829" i="1" s="1"/>
  <c r="AA2821" i="1"/>
  <c r="AB2821" i="1" s="1"/>
  <c r="AA2813" i="1"/>
  <c r="AB2813" i="1" s="1"/>
  <c r="AA2805" i="1"/>
  <c r="AB2805" i="1" s="1"/>
  <c r="AA2797" i="1"/>
  <c r="AB2797" i="1" s="1"/>
  <c r="AA2789" i="1"/>
  <c r="AB2789" i="1" s="1"/>
  <c r="AA2781" i="1"/>
  <c r="AB2781" i="1" s="1"/>
  <c r="AA2773" i="1"/>
  <c r="AB2773" i="1" s="1"/>
  <c r="AA2765" i="1"/>
  <c r="AB2765" i="1" s="1"/>
  <c r="AA2757" i="1"/>
  <c r="AB2757" i="1" s="1"/>
  <c r="AA2749" i="1"/>
  <c r="AB2749" i="1" s="1"/>
  <c r="AA2741" i="1"/>
  <c r="AB2741" i="1" s="1"/>
  <c r="AA2733" i="1"/>
  <c r="AB2733" i="1" s="1"/>
  <c r="AA2725" i="1"/>
  <c r="AB2725" i="1" s="1"/>
  <c r="AA2717" i="1"/>
  <c r="AB2717" i="1" s="1"/>
  <c r="AA2709" i="1"/>
  <c r="AB2709" i="1" s="1"/>
  <c r="AA2693" i="1"/>
  <c r="AB2693" i="1" s="1"/>
  <c r="AA2685" i="1"/>
  <c r="AB2685" i="1" s="1"/>
  <c r="AA2677" i="1"/>
  <c r="AB2677" i="1" s="1"/>
  <c r="AA2669" i="1"/>
  <c r="AB2669" i="1" s="1"/>
  <c r="AA2661" i="1"/>
  <c r="AB2661" i="1" s="1"/>
  <c r="AA2653" i="1"/>
  <c r="AB2653" i="1" s="1"/>
  <c r="AA2645" i="1"/>
  <c r="AB2645" i="1" s="1"/>
  <c r="AA2637" i="1"/>
  <c r="AB2637" i="1" s="1"/>
  <c r="AA2629" i="1"/>
  <c r="AB2629" i="1" s="1"/>
  <c r="AA2621" i="1"/>
  <c r="AB2621" i="1" s="1"/>
  <c r="AA2613" i="1"/>
  <c r="AB2613" i="1" s="1"/>
  <c r="AA2605" i="1"/>
  <c r="AB2605" i="1" s="1"/>
  <c r="AA2597" i="1"/>
  <c r="AB2597" i="1" s="1"/>
  <c r="AA2589" i="1"/>
  <c r="AB2589" i="1" s="1"/>
  <c r="AA2581" i="1"/>
  <c r="AB2581" i="1" s="1"/>
  <c r="AA2573" i="1"/>
  <c r="AB2573" i="1" s="1"/>
  <c r="AA2565" i="1"/>
  <c r="AB2565" i="1" s="1"/>
  <c r="AA2557" i="1"/>
  <c r="AB2557" i="1" s="1"/>
  <c r="AA2549" i="1"/>
  <c r="AB2549" i="1" s="1"/>
  <c r="AA2541" i="1"/>
  <c r="AB2541" i="1" s="1"/>
  <c r="AA2533" i="1"/>
  <c r="AB2533" i="1" s="1"/>
  <c r="AA2525" i="1"/>
  <c r="AB2525" i="1" s="1"/>
  <c r="AA2517" i="1"/>
  <c r="AB2517" i="1" s="1"/>
  <c r="AA2509" i="1"/>
  <c r="AB2509" i="1" s="1"/>
  <c r="AA2501" i="1"/>
  <c r="AB2501" i="1" s="1"/>
  <c r="AA2493" i="1"/>
  <c r="AB2493" i="1" s="1"/>
  <c r="AA2485" i="1"/>
  <c r="AB2485" i="1" s="1"/>
  <c r="AA2477" i="1"/>
  <c r="AB2477" i="1" s="1"/>
  <c r="AA2469" i="1"/>
  <c r="AB2469" i="1" s="1"/>
  <c r="AA2461" i="1"/>
  <c r="AB2461" i="1" s="1"/>
  <c r="AA2453" i="1"/>
  <c r="AB2453" i="1" s="1"/>
  <c r="AA2445" i="1"/>
  <c r="AB2445" i="1" s="1"/>
  <c r="AA2437" i="1"/>
  <c r="AB2437" i="1" s="1"/>
  <c r="AA2429" i="1"/>
  <c r="AB2429" i="1" s="1"/>
  <c r="AA2421" i="1"/>
  <c r="AB2421" i="1" s="1"/>
  <c r="AA2413" i="1"/>
  <c r="AB2413" i="1" s="1"/>
  <c r="AA2405" i="1"/>
  <c r="AB2405" i="1" s="1"/>
  <c r="AA2397" i="1"/>
  <c r="AB2397" i="1" s="1"/>
  <c r="AA2389" i="1"/>
  <c r="AB2389" i="1" s="1"/>
  <c r="AA2381" i="1"/>
  <c r="AB2381" i="1" s="1"/>
  <c r="AA2373" i="1"/>
  <c r="AB2373" i="1" s="1"/>
  <c r="AA2365" i="1"/>
  <c r="AB2365" i="1" s="1"/>
  <c r="AA2357" i="1"/>
  <c r="AB2357" i="1" s="1"/>
  <c r="AA2349" i="1"/>
  <c r="AB2349" i="1" s="1"/>
  <c r="AA2341" i="1"/>
  <c r="AB2341" i="1" s="1"/>
  <c r="AA2333" i="1"/>
  <c r="AB2333" i="1" s="1"/>
  <c r="AA2325" i="1"/>
  <c r="AB2325" i="1" s="1"/>
  <c r="AA2317" i="1"/>
  <c r="AB2317" i="1" s="1"/>
  <c r="AA2309" i="1"/>
  <c r="AB2309" i="1" s="1"/>
  <c r="AA2301" i="1"/>
  <c r="AB2301" i="1" s="1"/>
  <c r="AA2293" i="1"/>
  <c r="AB2293" i="1" s="1"/>
  <c r="AA2285" i="1"/>
  <c r="AB2285" i="1" s="1"/>
  <c r="AA2277" i="1"/>
  <c r="AB2277" i="1" s="1"/>
  <c r="AA2269" i="1"/>
  <c r="AB2269" i="1" s="1"/>
  <c r="AA2261" i="1"/>
  <c r="AB2261" i="1" s="1"/>
  <c r="AA2253" i="1"/>
  <c r="AB2253" i="1" s="1"/>
  <c r="AA2245" i="1"/>
  <c r="AB2245" i="1" s="1"/>
  <c r="AA2237" i="1"/>
  <c r="AB2237" i="1" s="1"/>
  <c r="AA2229" i="1"/>
  <c r="AB2229" i="1" s="1"/>
  <c r="AA2221" i="1"/>
  <c r="AB2221" i="1" s="1"/>
  <c r="AA2213" i="1"/>
  <c r="AB2213" i="1" s="1"/>
  <c r="AA2205" i="1"/>
  <c r="AB2205" i="1" s="1"/>
  <c r="AA2197" i="1"/>
  <c r="AB2197" i="1" s="1"/>
  <c r="AA2189" i="1"/>
  <c r="AB2189" i="1" s="1"/>
  <c r="AA2181" i="1"/>
  <c r="AB2181" i="1" s="1"/>
  <c r="AA2173" i="1"/>
  <c r="AB2173" i="1" s="1"/>
  <c r="AA2165" i="1"/>
  <c r="AB2165" i="1" s="1"/>
  <c r="AA2157" i="1"/>
  <c r="AB2157" i="1" s="1"/>
  <c r="AA2149" i="1"/>
  <c r="AB2149" i="1" s="1"/>
  <c r="AA2141" i="1"/>
  <c r="AB2141" i="1" s="1"/>
  <c r="AA2133" i="1"/>
  <c r="AB2133" i="1" s="1"/>
  <c r="AA2125" i="1"/>
  <c r="AB2125" i="1" s="1"/>
  <c r="AA2117" i="1"/>
  <c r="AB2117" i="1" s="1"/>
  <c r="AA2109" i="1"/>
  <c r="AB2109" i="1" s="1"/>
  <c r="AA2101" i="1"/>
  <c r="AB2101" i="1" s="1"/>
  <c r="AA2093" i="1"/>
  <c r="AB2093" i="1" s="1"/>
  <c r="AA2085" i="1"/>
  <c r="AB2085" i="1" s="1"/>
  <c r="AA2077" i="1"/>
  <c r="AB2077" i="1" s="1"/>
  <c r="AA2069" i="1"/>
  <c r="AB2069" i="1" s="1"/>
  <c r="AA2061" i="1"/>
  <c r="AB2061" i="1" s="1"/>
  <c r="AA2053" i="1"/>
  <c r="AB2053" i="1" s="1"/>
  <c r="AA2045" i="1"/>
  <c r="AB2045" i="1" s="1"/>
  <c r="AA2037" i="1"/>
  <c r="AB2037" i="1" s="1"/>
  <c r="AA2021" i="1"/>
  <c r="AB2021" i="1" s="1"/>
  <c r="AA2013" i="1"/>
  <c r="AB2013" i="1" s="1"/>
  <c r="AA2005" i="1"/>
  <c r="AB2005" i="1" s="1"/>
  <c r="AA1997" i="1"/>
  <c r="AB1997" i="1" s="1"/>
  <c r="AA1989" i="1"/>
  <c r="AB1989" i="1" s="1"/>
  <c r="AA1981" i="1"/>
  <c r="AB1981" i="1" s="1"/>
  <c r="AA1973" i="1"/>
  <c r="AB1973" i="1" s="1"/>
  <c r="AA1965" i="1"/>
  <c r="AB1965" i="1" s="1"/>
  <c r="AA1957" i="1"/>
  <c r="AB1957" i="1" s="1"/>
  <c r="AA1949" i="1"/>
  <c r="AB1949" i="1" s="1"/>
  <c r="AA1941" i="1"/>
  <c r="AB1941" i="1" s="1"/>
  <c r="AA1933" i="1"/>
  <c r="AB1933" i="1" s="1"/>
  <c r="AA1925" i="1"/>
  <c r="AB1925" i="1" s="1"/>
  <c r="AA1917" i="1"/>
  <c r="AB1917" i="1" s="1"/>
  <c r="AA1909" i="1"/>
  <c r="AB1909" i="1" s="1"/>
  <c r="AA1901" i="1"/>
  <c r="AB1901" i="1" s="1"/>
  <c r="AA1893" i="1"/>
  <c r="AB1893" i="1" s="1"/>
  <c r="AA1885" i="1"/>
  <c r="AB1885" i="1" s="1"/>
  <c r="AA1877" i="1"/>
  <c r="AB1877" i="1" s="1"/>
  <c r="AA1869" i="1"/>
  <c r="AB1869" i="1" s="1"/>
  <c r="AA1861" i="1"/>
  <c r="AB1861" i="1" s="1"/>
  <c r="AA1853" i="1"/>
  <c r="AB1853" i="1" s="1"/>
  <c r="AA1845" i="1"/>
  <c r="AB1845" i="1" s="1"/>
  <c r="AA1837" i="1"/>
  <c r="AB1837" i="1" s="1"/>
  <c r="AA1829" i="1"/>
  <c r="AB1829" i="1" s="1"/>
  <c r="AA1821" i="1"/>
  <c r="AB1821" i="1" s="1"/>
  <c r="AA1813" i="1"/>
  <c r="AB1813" i="1" s="1"/>
  <c r="AA1805" i="1"/>
  <c r="AB1805" i="1" s="1"/>
  <c r="AA1797" i="1"/>
  <c r="AB1797" i="1" s="1"/>
  <c r="AA1789" i="1"/>
  <c r="AB1789" i="1" s="1"/>
  <c r="AA1781" i="1"/>
  <c r="AB1781" i="1" s="1"/>
  <c r="AA1773" i="1"/>
  <c r="AB1773" i="1" s="1"/>
  <c r="AA1765" i="1"/>
  <c r="AB1765" i="1" s="1"/>
  <c r="AA1757" i="1"/>
  <c r="AB1757" i="1" s="1"/>
  <c r="AA1749" i="1"/>
  <c r="AB1749" i="1" s="1"/>
  <c r="AA1741" i="1"/>
  <c r="AB1741" i="1" s="1"/>
  <c r="AA1733" i="1"/>
  <c r="AB1733" i="1" s="1"/>
  <c r="AA1725" i="1"/>
  <c r="AB1725" i="1" s="1"/>
  <c r="AA1717" i="1"/>
  <c r="AB1717" i="1" s="1"/>
  <c r="AA1709" i="1"/>
  <c r="AB1709" i="1" s="1"/>
  <c r="AA1701" i="1"/>
  <c r="AB1701" i="1" s="1"/>
  <c r="AA1693" i="1"/>
  <c r="AB1693" i="1" s="1"/>
  <c r="AA1685" i="1"/>
  <c r="AB1685" i="1" s="1"/>
  <c r="AA1677" i="1"/>
  <c r="AB1677" i="1" s="1"/>
  <c r="AA1669" i="1"/>
  <c r="AB1669" i="1" s="1"/>
  <c r="AA1661" i="1"/>
  <c r="AB1661" i="1" s="1"/>
  <c r="AA1653" i="1"/>
  <c r="AB1653" i="1" s="1"/>
  <c r="AA1645" i="1"/>
  <c r="AB1645" i="1" s="1"/>
  <c r="AA1637" i="1"/>
  <c r="AB1637" i="1" s="1"/>
  <c r="AA1629" i="1"/>
  <c r="AB1629" i="1" s="1"/>
  <c r="AA1621" i="1"/>
  <c r="AB1621" i="1" s="1"/>
  <c r="AA1613" i="1"/>
  <c r="AB1613" i="1" s="1"/>
  <c r="AA1605" i="1"/>
  <c r="AB1605" i="1" s="1"/>
  <c r="AA1597" i="1"/>
  <c r="AB1597" i="1" s="1"/>
  <c r="AA1589" i="1"/>
  <c r="AB1589" i="1" s="1"/>
  <c r="AA1581" i="1"/>
  <c r="AB1581" i="1" s="1"/>
  <c r="AA1573" i="1"/>
  <c r="AB1573" i="1" s="1"/>
  <c r="AA1565" i="1"/>
  <c r="AB1565" i="1" s="1"/>
  <c r="AA1557" i="1"/>
  <c r="AB1557" i="1" s="1"/>
  <c r="AA1549" i="1"/>
  <c r="AB1549" i="1" s="1"/>
  <c r="AA1541" i="1"/>
  <c r="AB1541" i="1" s="1"/>
  <c r="AA1533" i="1"/>
  <c r="AB1533" i="1" s="1"/>
  <c r="AA1525" i="1"/>
  <c r="AB1525" i="1" s="1"/>
  <c r="AA1517" i="1"/>
  <c r="AB1517" i="1" s="1"/>
  <c r="AA1509" i="1"/>
  <c r="AB1509" i="1" s="1"/>
  <c r="AA1501" i="1"/>
  <c r="AB1501" i="1" s="1"/>
  <c r="AA1493" i="1"/>
  <c r="AB1493" i="1" s="1"/>
  <c r="AA1485" i="1"/>
  <c r="AB1485" i="1" s="1"/>
  <c r="AA1477" i="1"/>
  <c r="AB1477" i="1" s="1"/>
  <c r="AA1469" i="1"/>
  <c r="AB1469" i="1" s="1"/>
  <c r="AA1461" i="1"/>
  <c r="AB1461" i="1" s="1"/>
  <c r="AA1453" i="1"/>
  <c r="AB1453" i="1" s="1"/>
  <c r="AA1445" i="1"/>
  <c r="AB1445" i="1" s="1"/>
  <c r="AA1437" i="1"/>
  <c r="AB1437" i="1" s="1"/>
  <c r="AA1429" i="1"/>
  <c r="AB1429" i="1" s="1"/>
  <c r="AA1421" i="1"/>
  <c r="AB1421" i="1" s="1"/>
  <c r="AA1413" i="1"/>
  <c r="AB1413" i="1" s="1"/>
  <c r="AA1405" i="1"/>
  <c r="AB1405" i="1" s="1"/>
  <c r="AA1397" i="1"/>
  <c r="AB1397" i="1" s="1"/>
  <c r="AA1389" i="1"/>
  <c r="AB1389" i="1" s="1"/>
  <c r="AA1381" i="1"/>
  <c r="AB1381" i="1" s="1"/>
  <c r="AA1373" i="1"/>
  <c r="AB1373" i="1" s="1"/>
  <c r="AA1365" i="1"/>
  <c r="AB1365" i="1" s="1"/>
  <c r="AA1357" i="1"/>
  <c r="AB1357" i="1" s="1"/>
  <c r="AA1349" i="1"/>
  <c r="AB1349" i="1" s="1"/>
  <c r="AA1341" i="1"/>
  <c r="AB1341" i="1" s="1"/>
  <c r="AA1333" i="1"/>
  <c r="AB1333" i="1" s="1"/>
  <c r="AA1325" i="1"/>
  <c r="AB1325" i="1" s="1"/>
  <c r="AA1317" i="1"/>
  <c r="AB1317" i="1" s="1"/>
  <c r="AA1309" i="1"/>
  <c r="AB1309" i="1" s="1"/>
  <c r="AA1301" i="1"/>
  <c r="AB1301" i="1" s="1"/>
  <c r="AA1293" i="1"/>
  <c r="AB1293" i="1" s="1"/>
  <c r="AA1285" i="1"/>
  <c r="AB1285" i="1" s="1"/>
  <c r="AA1277" i="1"/>
  <c r="AB1277" i="1" s="1"/>
  <c r="AA1269" i="1"/>
  <c r="AB1269" i="1" s="1"/>
  <c r="AA1261" i="1"/>
  <c r="AB1261" i="1" s="1"/>
  <c r="AA1253" i="1"/>
  <c r="AB1253" i="1" s="1"/>
  <c r="AA1245" i="1"/>
  <c r="AB1245" i="1" s="1"/>
  <c r="AA1237" i="1"/>
  <c r="AB1237" i="1" s="1"/>
  <c r="AA1229" i="1"/>
  <c r="AB1229" i="1" s="1"/>
  <c r="AA1221" i="1"/>
  <c r="AB1221" i="1" s="1"/>
  <c r="AA1213" i="1"/>
  <c r="AB1213" i="1" s="1"/>
  <c r="AA1205" i="1"/>
  <c r="AB1205" i="1" s="1"/>
  <c r="AA1197" i="1"/>
  <c r="AB1197" i="1" s="1"/>
  <c r="AA1189" i="1"/>
  <c r="AB1189" i="1" s="1"/>
  <c r="AA1181" i="1"/>
  <c r="AB1181" i="1" s="1"/>
  <c r="AA1173" i="1"/>
  <c r="AB1173" i="1" s="1"/>
  <c r="AA1165" i="1"/>
  <c r="AB1165" i="1" s="1"/>
  <c r="AA1157" i="1"/>
  <c r="AB1157" i="1" s="1"/>
  <c r="AA1149" i="1"/>
  <c r="AB1149" i="1" s="1"/>
  <c r="AA1141" i="1"/>
  <c r="AB1141" i="1" s="1"/>
  <c r="AA1133" i="1"/>
  <c r="AB1133" i="1" s="1"/>
  <c r="AA1125" i="1"/>
  <c r="AB1125" i="1" s="1"/>
  <c r="AA1117" i="1"/>
  <c r="AB1117" i="1" s="1"/>
  <c r="AA1109" i="1"/>
  <c r="AB1109" i="1" s="1"/>
  <c r="AA1101" i="1"/>
  <c r="AB1101" i="1" s="1"/>
  <c r="AA1093" i="1"/>
  <c r="AB1093" i="1" s="1"/>
  <c r="AA1085" i="1"/>
  <c r="AB1085" i="1" s="1"/>
  <c r="AA1077" i="1"/>
  <c r="AB1077" i="1" s="1"/>
  <c r="AA1069" i="1"/>
  <c r="AB1069" i="1" s="1"/>
  <c r="AA1061" i="1"/>
  <c r="AB1061" i="1" s="1"/>
  <c r="AA1053" i="1"/>
  <c r="AB1053" i="1" s="1"/>
  <c r="AA1045" i="1"/>
  <c r="AB1045" i="1" s="1"/>
  <c r="AA1037" i="1"/>
  <c r="AB1037" i="1" s="1"/>
  <c r="AA1029" i="1"/>
  <c r="AB1029" i="1" s="1"/>
  <c r="AA1021" i="1"/>
  <c r="AB1021" i="1" s="1"/>
  <c r="AA1013" i="1"/>
  <c r="AB1013" i="1" s="1"/>
  <c r="AA1005" i="1"/>
  <c r="AB1005" i="1" s="1"/>
  <c r="AA997" i="1"/>
  <c r="AB997" i="1" s="1"/>
  <c r="AA989" i="1"/>
  <c r="AB989" i="1" s="1"/>
  <c r="AA981" i="1"/>
  <c r="AB981" i="1" s="1"/>
  <c r="AA973" i="1"/>
  <c r="AB973" i="1" s="1"/>
  <c r="AA965" i="1"/>
  <c r="AB965" i="1" s="1"/>
  <c r="AA957" i="1"/>
  <c r="AB957" i="1" s="1"/>
  <c r="AA949" i="1"/>
  <c r="AB949" i="1" s="1"/>
  <c r="AA941" i="1"/>
  <c r="AB941" i="1" s="1"/>
  <c r="AA933" i="1"/>
  <c r="AB933" i="1" s="1"/>
  <c r="AA925" i="1"/>
  <c r="AB925" i="1" s="1"/>
  <c r="AA917" i="1"/>
  <c r="AB917" i="1" s="1"/>
  <c r="AA909" i="1"/>
  <c r="AB909" i="1" s="1"/>
  <c r="AA901" i="1"/>
  <c r="AB901" i="1" s="1"/>
  <c r="AA893" i="1"/>
  <c r="AB893" i="1" s="1"/>
  <c r="AA885" i="1"/>
  <c r="AB885" i="1" s="1"/>
  <c r="AA877" i="1"/>
  <c r="AB877" i="1" s="1"/>
  <c r="AA869" i="1"/>
  <c r="AB869" i="1" s="1"/>
  <c r="AA861" i="1"/>
  <c r="AB861" i="1" s="1"/>
  <c r="AA853" i="1"/>
  <c r="AB853" i="1" s="1"/>
  <c r="AA845" i="1"/>
  <c r="AB845" i="1" s="1"/>
  <c r="AA837" i="1"/>
  <c r="AB837" i="1" s="1"/>
  <c r="AA829" i="1"/>
  <c r="AB829" i="1" s="1"/>
  <c r="AA821" i="1"/>
  <c r="AB821" i="1" s="1"/>
  <c r="AA813" i="1"/>
  <c r="AB813" i="1" s="1"/>
  <c r="AA805" i="1"/>
  <c r="AB805" i="1" s="1"/>
  <c r="AA797" i="1"/>
  <c r="AB797" i="1" s="1"/>
  <c r="AA789" i="1"/>
  <c r="AB789" i="1" s="1"/>
  <c r="AA781" i="1"/>
  <c r="AB781" i="1" s="1"/>
  <c r="AA773" i="1"/>
  <c r="AB773" i="1" s="1"/>
  <c r="AA765" i="1"/>
  <c r="AB765" i="1" s="1"/>
  <c r="AA757" i="1"/>
  <c r="AB757" i="1" s="1"/>
  <c r="AA749" i="1"/>
  <c r="AB749" i="1" s="1"/>
  <c r="AA741" i="1"/>
  <c r="AB741" i="1" s="1"/>
  <c r="AA733" i="1"/>
  <c r="AB733" i="1" s="1"/>
  <c r="AA725" i="1"/>
  <c r="AB725" i="1" s="1"/>
  <c r="AA717" i="1"/>
  <c r="AB717" i="1" s="1"/>
  <c r="AA709" i="1"/>
  <c r="AB709" i="1" s="1"/>
  <c r="AA701" i="1"/>
  <c r="AB701" i="1" s="1"/>
  <c r="AA693" i="1"/>
  <c r="AB693" i="1" s="1"/>
  <c r="AA685" i="1"/>
  <c r="AB685" i="1" s="1"/>
  <c r="AA677" i="1"/>
  <c r="AB677" i="1" s="1"/>
  <c r="AA669" i="1"/>
  <c r="AB669" i="1" s="1"/>
  <c r="AA661" i="1"/>
  <c r="AB661" i="1" s="1"/>
  <c r="AA653" i="1"/>
  <c r="AB653" i="1" s="1"/>
  <c r="AA645" i="1"/>
  <c r="AB645" i="1" s="1"/>
  <c r="AA637" i="1"/>
  <c r="AB637" i="1" s="1"/>
  <c r="AA629" i="1"/>
  <c r="AB629" i="1" s="1"/>
  <c r="AA621" i="1"/>
  <c r="AB621" i="1" s="1"/>
  <c r="AA613" i="1"/>
  <c r="AB613" i="1" s="1"/>
  <c r="AA605" i="1"/>
  <c r="AB605" i="1" s="1"/>
  <c r="AA597" i="1"/>
  <c r="AB597" i="1" s="1"/>
  <c r="AA589" i="1"/>
  <c r="AB589" i="1" s="1"/>
  <c r="AA581" i="1"/>
  <c r="AB581" i="1" s="1"/>
  <c r="AA573" i="1"/>
  <c r="AB573" i="1" s="1"/>
  <c r="AA565" i="1"/>
  <c r="AB565" i="1" s="1"/>
  <c r="AA557" i="1"/>
  <c r="AB557" i="1" s="1"/>
  <c r="AA549" i="1"/>
  <c r="AB549" i="1" s="1"/>
  <c r="AA541" i="1"/>
  <c r="AB541" i="1" s="1"/>
  <c r="AA533" i="1"/>
  <c r="AB533" i="1" s="1"/>
  <c r="AA525" i="1"/>
  <c r="AB525" i="1" s="1"/>
  <c r="AA517" i="1"/>
  <c r="AB517" i="1" s="1"/>
  <c r="AA509" i="1"/>
  <c r="AB509" i="1" s="1"/>
  <c r="AA501" i="1"/>
  <c r="AB501" i="1" s="1"/>
  <c r="AA493" i="1"/>
  <c r="AB493" i="1" s="1"/>
  <c r="AA485" i="1"/>
  <c r="AB485" i="1" s="1"/>
  <c r="AA477" i="1"/>
  <c r="AB477" i="1" s="1"/>
  <c r="AA469" i="1"/>
  <c r="AB469" i="1" s="1"/>
  <c r="AA461" i="1"/>
  <c r="AB461" i="1" s="1"/>
  <c r="AA453" i="1"/>
  <c r="AB453" i="1" s="1"/>
  <c r="AA445" i="1"/>
  <c r="AB445" i="1" s="1"/>
  <c r="AA437" i="1"/>
  <c r="AB437" i="1" s="1"/>
  <c r="AA429" i="1"/>
  <c r="AB429" i="1" s="1"/>
  <c r="AA421" i="1"/>
  <c r="AB421" i="1" s="1"/>
  <c r="AA413" i="1"/>
  <c r="AB413" i="1" s="1"/>
  <c r="AA405" i="1"/>
  <c r="AB405" i="1" s="1"/>
  <c r="AA397" i="1"/>
  <c r="AB397" i="1" s="1"/>
  <c r="AA389" i="1"/>
  <c r="AB389" i="1" s="1"/>
  <c r="AA381" i="1"/>
  <c r="AB381" i="1" s="1"/>
  <c r="AA373" i="1"/>
  <c r="AB373" i="1" s="1"/>
  <c r="AA365" i="1"/>
  <c r="AB365" i="1" s="1"/>
  <c r="AA357" i="1"/>
  <c r="AB357" i="1" s="1"/>
  <c r="AA349" i="1"/>
  <c r="AB349" i="1" s="1"/>
  <c r="AA341" i="1"/>
  <c r="AB341" i="1" s="1"/>
  <c r="AA333" i="1"/>
  <c r="AB333" i="1" s="1"/>
  <c r="AA325" i="1"/>
  <c r="AB325" i="1" s="1"/>
  <c r="AA317" i="1"/>
  <c r="AB317" i="1" s="1"/>
  <c r="AA309" i="1"/>
  <c r="AB309" i="1" s="1"/>
  <c r="AA301" i="1"/>
  <c r="AB301" i="1" s="1"/>
  <c r="AA293" i="1"/>
  <c r="AB293" i="1" s="1"/>
  <c r="AA285" i="1"/>
  <c r="AB285" i="1" s="1"/>
  <c r="AA277" i="1"/>
  <c r="AB277" i="1" s="1"/>
  <c r="AA269" i="1"/>
  <c r="AB269" i="1" s="1"/>
  <c r="AA261" i="1"/>
  <c r="AB261" i="1" s="1"/>
  <c r="AA253" i="1"/>
  <c r="AB253" i="1" s="1"/>
  <c r="AA245" i="1"/>
  <c r="AB245" i="1" s="1"/>
  <c r="AA237" i="1"/>
  <c r="AB237" i="1" s="1"/>
  <c r="AA229" i="1"/>
  <c r="AB229" i="1" s="1"/>
  <c r="AA221" i="1"/>
  <c r="AB221" i="1" s="1"/>
  <c r="AA213" i="1"/>
  <c r="AB213" i="1" s="1"/>
  <c r="AA205" i="1"/>
  <c r="AB205" i="1" s="1"/>
  <c r="AA197" i="1"/>
  <c r="AB197" i="1" s="1"/>
  <c r="AA189" i="1"/>
  <c r="AB189" i="1" s="1"/>
  <c r="AA181" i="1"/>
  <c r="AB181" i="1" s="1"/>
  <c r="AA173" i="1"/>
  <c r="AB173" i="1" s="1"/>
  <c r="AA165" i="1"/>
  <c r="AB165" i="1" s="1"/>
  <c r="AA157" i="1"/>
  <c r="AB157" i="1" s="1"/>
  <c r="AA149" i="1"/>
  <c r="AB149" i="1" s="1"/>
  <c r="AA141" i="1"/>
  <c r="AB141" i="1" s="1"/>
  <c r="AA133" i="1"/>
  <c r="AB133" i="1" s="1"/>
  <c r="AA125" i="1"/>
  <c r="AB125" i="1" s="1"/>
  <c r="AA117" i="1"/>
  <c r="AB117" i="1" s="1"/>
  <c r="AA109" i="1"/>
  <c r="AB109" i="1" s="1"/>
  <c r="AA101" i="1"/>
  <c r="AB101" i="1" s="1"/>
  <c r="AA93" i="1"/>
  <c r="AB93" i="1" s="1"/>
  <c r="AA85" i="1"/>
  <c r="AB85" i="1" s="1"/>
  <c r="AA77" i="1"/>
  <c r="AB77" i="1" s="1"/>
  <c r="AA69" i="1"/>
  <c r="AB69" i="1" s="1"/>
  <c r="AA61" i="1"/>
  <c r="AB61" i="1" s="1"/>
  <c r="AA53" i="1"/>
  <c r="AB53" i="1" s="1"/>
  <c r="AA45" i="1"/>
  <c r="AB45" i="1" s="1"/>
  <c r="AA37" i="1"/>
  <c r="AB37" i="1" s="1"/>
  <c r="AA29" i="1"/>
  <c r="AB29" i="1" s="1"/>
  <c r="AA21" i="1"/>
  <c r="AB21" i="1" s="1"/>
  <c r="AA13" i="1"/>
  <c r="AB13" i="1" s="1"/>
  <c r="AA5" i="1"/>
  <c r="AB5" i="1" s="1"/>
  <c r="W4000" i="1"/>
  <c r="W3992" i="1"/>
  <c r="W3984" i="1"/>
  <c r="W3976" i="1"/>
  <c r="W3968" i="1"/>
  <c r="W3960" i="1"/>
  <c r="W3952" i="1"/>
  <c r="W3944" i="1"/>
  <c r="W3936" i="1"/>
  <c r="W3928" i="1"/>
  <c r="W3920" i="1"/>
  <c r="W3912" i="1"/>
  <c r="W3904" i="1"/>
  <c r="W3896" i="1"/>
  <c r="W3888" i="1"/>
  <c r="W3880" i="1"/>
  <c r="W3872" i="1"/>
  <c r="W3864" i="1"/>
  <c r="W3856" i="1"/>
  <c r="W3848" i="1"/>
  <c r="W3840" i="1"/>
  <c r="W3832" i="1"/>
  <c r="W3824" i="1"/>
  <c r="W3816" i="1"/>
  <c r="W3808" i="1"/>
  <c r="W3800" i="1"/>
  <c r="W3792" i="1"/>
  <c r="W3784" i="1"/>
  <c r="W3776" i="1"/>
  <c r="W3768" i="1"/>
  <c r="W3760" i="1"/>
  <c r="W3752" i="1"/>
  <c r="W3744" i="1"/>
  <c r="W3736" i="1"/>
  <c r="W3728" i="1"/>
  <c r="W3720" i="1"/>
  <c r="W3712" i="1"/>
  <c r="W3704" i="1"/>
  <c r="W3696" i="1"/>
  <c r="W3688" i="1"/>
  <c r="W3680" i="1"/>
  <c r="W3672" i="1"/>
  <c r="W3664" i="1"/>
  <c r="W3656" i="1"/>
  <c r="W3648" i="1"/>
  <c r="W3640" i="1"/>
  <c r="W3632" i="1"/>
  <c r="W3624" i="1"/>
  <c r="W3616" i="1"/>
  <c r="W3608" i="1"/>
  <c r="W3600" i="1"/>
  <c r="W3592" i="1"/>
  <c r="W3584" i="1"/>
  <c r="W3576" i="1"/>
  <c r="W3568" i="1"/>
  <c r="W3560" i="1"/>
  <c r="W3552" i="1"/>
  <c r="W3544" i="1"/>
  <c r="W3536" i="1"/>
  <c r="W3528" i="1"/>
  <c r="W3520" i="1"/>
  <c r="W3512" i="1"/>
  <c r="W3504" i="1"/>
  <c r="W3496" i="1"/>
  <c r="W3488" i="1"/>
  <c r="W3480" i="1"/>
  <c r="W3472" i="1"/>
  <c r="W3464" i="1"/>
  <c r="W3456" i="1"/>
  <c r="W3448" i="1"/>
  <c r="W3440" i="1"/>
  <c r="W3432" i="1"/>
  <c r="W3424" i="1"/>
  <c r="W3416" i="1"/>
  <c r="W3408" i="1"/>
  <c r="W3400" i="1"/>
  <c r="W3392" i="1"/>
  <c r="W3384" i="1"/>
  <c r="W3376" i="1"/>
  <c r="W3368" i="1"/>
  <c r="W3360" i="1"/>
  <c r="W3352" i="1"/>
  <c r="W3344" i="1"/>
  <c r="W3336" i="1"/>
  <c r="W3328" i="1"/>
  <c r="W3320" i="1"/>
  <c r="W3312" i="1"/>
  <c r="W3304" i="1"/>
  <c r="W3296" i="1"/>
  <c r="W3288" i="1"/>
  <c r="W3280" i="1"/>
  <c r="W3272" i="1"/>
  <c r="W3264" i="1"/>
  <c r="W3256" i="1"/>
  <c r="W3248" i="1"/>
  <c r="W3240" i="1"/>
  <c r="W3232" i="1"/>
  <c r="W3224" i="1"/>
  <c r="W3216" i="1"/>
  <c r="W3208" i="1"/>
  <c r="W3200" i="1"/>
  <c r="W3192" i="1"/>
  <c r="W3184" i="1"/>
  <c r="W3176" i="1"/>
  <c r="W3168" i="1"/>
  <c r="W3160" i="1"/>
  <c r="W3152" i="1"/>
  <c r="W3144" i="1"/>
  <c r="W3136" i="1"/>
  <c r="W3128" i="1"/>
  <c r="W3120" i="1"/>
  <c r="W3112" i="1"/>
  <c r="W3104" i="1"/>
  <c r="W3096" i="1"/>
  <c r="W3088" i="1"/>
  <c r="W3080" i="1"/>
  <c r="W3072" i="1"/>
  <c r="W3064" i="1"/>
  <c r="W3056" i="1"/>
  <c r="W3048" i="1"/>
  <c r="W3040" i="1"/>
  <c r="W3032" i="1"/>
  <c r="W3024" i="1"/>
  <c r="W3016" i="1"/>
  <c r="W3008" i="1"/>
  <c r="W3000" i="1"/>
  <c r="W2992" i="1"/>
  <c r="W2984" i="1"/>
  <c r="W2976" i="1"/>
  <c r="W2968" i="1"/>
  <c r="W2960" i="1"/>
  <c r="W2952" i="1"/>
  <c r="W2944" i="1"/>
  <c r="W2936" i="1"/>
  <c r="W2928" i="1"/>
  <c r="W2920" i="1"/>
  <c r="W2912" i="1"/>
  <c r="W2904" i="1"/>
  <c r="W2896" i="1"/>
  <c r="W2888" i="1"/>
  <c r="W2880" i="1"/>
  <c r="W2872" i="1"/>
  <c r="W2864" i="1"/>
  <c r="W2856" i="1"/>
  <c r="W2848" i="1"/>
  <c r="W2840" i="1"/>
  <c r="W2832" i="1"/>
  <c r="W2824" i="1"/>
  <c r="W2816" i="1"/>
  <c r="W2808" i="1"/>
  <c r="W2800" i="1"/>
  <c r="W2792" i="1"/>
  <c r="W2784" i="1"/>
  <c r="W2776" i="1"/>
  <c r="W2768" i="1"/>
  <c r="W2760" i="1"/>
  <c r="W3998" i="1"/>
  <c r="W3990" i="1"/>
  <c r="W3982" i="1"/>
  <c r="W3974" i="1"/>
  <c r="W3966" i="1"/>
  <c r="W3958" i="1"/>
  <c r="W3950" i="1"/>
  <c r="W3942" i="1"/>
  <c r="W3934" i="1"/>
  <c r="W3926" i="1"/>
  <c r="W3918" i="1"/>
  <c r="W3910" i="1"/>
  <c r="W3902" i="1"/>
  <c r="W3894" i="1"/>
  <c r="W3886" i="1"/>
  <c r="W3878" i="1"/>
  <c r="W3870" i="1"/>
  <c r="W3862" i="1"/>
  <c r="W3854" i="1"/>
  <c r="W3846" i="1"/>
  <c r="W3838" i="1"/>
  <c r="W3830" i="1"/>
  <c r="W3822" i="1"/>
  <c r="W3814" i="1"/>
  <c r="W3806" i="1"/>
  <c r="W3798" i="1"/>
  <c r="W3790" i="1"/>
  <c r="W3782" i="1"/>
  <c r="W3774" i="1"/>
  <c r="W3766" i="1"/>
  <c r="W3758" i="1"/>
  <c r="W3750" i="1"/>
  <c r="W3742" i="1"/>
  <c r="W3734" i="1"/>
  <c r="W3726" i="1"/>
  <c r="W3718" i="1"/>
  <c r="W3710" i="1"/>
  <c r="W3702" i="1"/>
  <c r="W3694" i="1"/>
  <c r="W3686" i="1"/>
  <c r="W3678" i="1"/>
  <c r="W3670" i="1"/>
  <c r="W3662" i="1"/>
  <c r="W3654" i="1"/>
  <c r="W3646" i="1"/>
  <c r="W3638" i="1"/>
  <c r="W3630" i="1"/>
  <c r="W3622" i="1"/>
  <c r="W3614" i="1"/>
  <c r="W3606" i="1"/>
  <c r="W3598" i="1"/>
  <c r="W3590" i="1"/>
  <c r="W3582" i="1"/>
  <c r="W3574" i="1"/>
  <c r="W3566" i="1"/>
  <c r="W3558" i="1"/>
  <c r="W3550" i="1"/>
  <c r="W3542" i="1"/>
  <c r="W3534" i="1"/>
  <c r="W3526" i="1"/>
  <c r="W3518" i="1"/>
  <c r="W3510" i="1"/>
  <c r="W3502" i="1"/>
  <c r="W3494" i="1"/>
  <c r="W3486" i="1"/>
  <c r="W3478" i="1"/>
  <c r="W3470" i="1"/>
  <c r="W3462" i="1"/>
  <c r="W3454" i="1"/>
  <c r="W3446" i="1"/>
  <c r="W3438" i="1"/>
  <c r="W3430" i="1"/>
  <c r="W3422" i="1"/>
  <c r="W3414" i="1"/>
  <c r="W3406" i="1"/>
  <c r="W3398" i="1"/>
  <c r="W3390" i="1"/>
  <c r="W3382" i="1"/>
  <c r="W3374" i="1"/>
  <c r="W3366" i="1"/>
  <c r="W3358" i="1"/>
  <c r="W3350" i="1"/>
  <c r="W3342" i="1"/>
  <c r="W3334" i="1"/>
  <c r="W3326" i="1"/>
  <c r="W3318" i="1"/>
  <c r="W3310" i="1"/>
  <c r="W3302" i="1"/>
  <c r="W3294" i="1"/>
  <c r="W3286" i="1"/>
  <c r="W3278" i="1"/>
  <c r="W3270" i="1"/>
  <c r="W3262" i="1"/>
  <c r="W3254" i="1"/>
  <c r="W3246" i="1"/>
  <c r="W3238" i="1"/>
  <c r="W3230" i="1"/>
  <c r="W3222" i="1"/>
  <c r="W3214" i="1"/>
  <c r="W3206" i="1"/>
  <c r="W3198" i="1"/>
  <c r="W3190" i="1"/>
  <c r="W3182" i="1"/>
  <c r="W3174" i="1"/>
  <c r="W3166" i="1"/>
  <c r="W3158" i="1"/>
  <c r="W3150" i="1"/>
  <c r="W3142" i="1"/>
  <c r="W3134" i="1"/>
  <c r="W3126" i="1"/>
  <c r="W3118" i="1"/>
  <c r="W3110" i="1"/>
  <c r="W3102" i="1"/>
  <c r="W3094" i="1"/>
  <c r="W3086" i="1"/>
  <c r="W3078" i="1"/>
  <c r="W3070" i="1"/>
  <c r="W3062" i="1"/>
  <c r="W3054" i="1"/>
  <c r="W3046" i="1"/>
  <c r="W3038" i="1"/>
  <c r="W3030" i="1"/>
  <c r="W3022" i="1"/>
  <c r="W3014" i="1"/>
  <c r="W3006" i="1"/>
  <c r="W2998" i="1"/>
  <c r="W2990" i="1"/>
  <c r="W2982" i="1"/>
  <c r="W2974" i="1"/>
  <c r="W2966" i="1"/>
  <c r="W2958" i="1"/>
  <c r="W2950" i="1"/>
  <c r="W2942" i="1"/>
  <c r="W2934" i="1"/>
  <c r="W2926" i="1"/>
  <c r="W2918" i="1"/>
  <c r="W2910" i="1"/>
  <c r="W2902" i="1"/>
  <c r="W2894" i="1"/>
  <c r="W2886" i="1"/>
  <c r="W2878" i="1"/>
  <c r="W2870" i="1"/>
  <c r="W2862" i="1"/>
  <c r="W2854" i="1"/>
  <c r="W2846" i="1"/>
  <c r="W2838" i="1"/>
  <c r="W2830" i="1"/>
  <c r="W2822" i="1"/>
  <c r="W2814" i="1"/>
  <c r="W2806" i="1"/>
  <c r="W2798" i="1"/>
  <c r="W2790" i="1"/>
  <c r="W2782" i="1"/>
  <c r="W2774" i="1"/>
  <c r="W2766" i="1"/>
  <c r="W2758" i="1"/>
  <c r="W2750" i="1"/>
  <c r="W2742" i="1"/>
  <c r="W2734" i="1"/>
  <c r="W2726" i="1"/>
  <c r="W2718" i="1"/>
  <c r="W2710" i="1"/>
  <c r="W2702" i="1"/>
  <c r="W2694" i="1"/>
  <c r="W2686" i="1"/>
  <c r="W2678" i="1"/>
  <c r="W2670" i="1"/>
  <c r="W2662" i="1"/>
  <c r="W2654" i="1"/>
  <c r="W2646" i="1"/>
  <c r="W2638" i="1"/>
  <c r="W2630" i="1"/>
  <c r="W2622" i="1"/>
  <c r="W2614" i="1"/>
  <c r="W2606" i="1"/>
  <c r="W2598" i="1"/>
  <c r="W2590" i="1"/>
  <c r="W2582" i="1"/>
  <c r="W2574" i="1"/>
  <c r="W2566" i="1"/>
  <c r="W2558" i="1"/>
  <c r="W2550" i="1"/>
  <c r="W2542" i="1"/>
  <c r="W2534" i="1"/>
  <c r="W2526" i="1"/>
  <c r="W2518" i="1"/>
  <c r="W2510" i="1"/>
  <c r="W2502" i="1"/>
  <c r="W2494" i="1"/>
  <c r="W2486" i="1"/>
  <c r="W2478" i="1"/>
  <c r="W2470" i="1"/>
  <c r="W2462" i="1"/>
  <c r="W2454" i="1"/>
  <c r="W2446" i="1"/>
  <c r="W2438" i="1"/>
  <c r="W2430" i="1"/>
  <c r="W2422" i="1"/>
  <c r="W2414" i="1"/>
  <c r="W2406" i="1"/>
  <c r="W2398" i="1"/>
  <c r="W2390" i="1"/>
  <c r="W2382" i="1"/>
  <c r="W2374" i="1"/>
  <c r="W2366" i="1"/>
  <c r="W2358" i="1"/>
  <c r="W2350" i="1"/>
  <c r="W2342" i="1"/>
  <c r="W2334" i="1"/>
  <c r="W2326" i="1"/>
  <c r="W2318" i="1"/>
  <c r="W2310" i="1"/>
  <c r="W2302" i="1"/>
  <c r="W2294" i="1"/>
  <c r="W2286" i="1"/>
  <c r="W2278" i="1"/>
  <c r="W2270" i="1"/>
  <c r="W2262" i="1"/>
  <c r="W2254" i="1"/>
  <c r="W2246" i="1"/>
  <c r="W2238" i="1"/>
  <c r="W2230" i="1"/>
  <c r="W2222" i="1"/>
  <c r="W2214" i="1"/>
  <c r="W2206" i="1"/>
  <c r="W2198" i="1"/>
  <c r="W2190" i="1"/>
  <c r="W2182" i="1"/>
  <c r="W2174" i="1"/>
  <c r="W2166" i="1"/>
  <c r="W2158" i="1"/>
  <c r="W2150" i="1"/>
  <c r="W2142" i="1"/>
  <c r="W2134" i="1"/>
  <c r="W2126" i="1"/>
  <c r="W2118" i="1"/>
  <c r="W2110" i="1"/>
  <c r="W2102" i="1"/>
  <c r="W2094" i="1"/>
  <c r="W2086" i="1"/>
  <c r="W2078" i="1"/>
  <c r="W2070" i="1"/>
  <c r="W2062" i="1"/>
  <c r="W2054" i="1"/>
  <c r="W2046" i="1"/>
  <c r="W2038" i="1"/>
  <c r="W2030" i="1"/>
  <c r="W2022" i="1"/>
  <c r="W2014" i="1"/>
  <c r="W2006" i="1"/>
  <c r="W1998" i="1"/>
  <c r="W1990" i="1"/>
  <c r="W1982" i="1"/>
  <c r="W1974" i="1"/>
  <c r="W1966" i="1"/>
  <c r="W1958" i="1"/>
  <c r="W1950" i="1"/>
  <c r="W1942" i="1"/>
  <c r="W1934" i="1"/>
  <c r="W1926" i="1"/>
  <c r="W1918" i="1"/>
  <c r="W1910" i="1"/>
  <c r="W1902" i="1"/>
  <c r="W1894" i="1"/>
  <c r="W1886" i="1"/>
  <c r="W1878" i="1"/>
  <c r="W1870" i="1"/>
  <c r="W1862" i="1"/>
  <c r="W1854" i="1"/>
  <c r="W1846" i="1"/>
  <c r="W1838" i="1"/>
  <c r="W1830" i="1"/>
  <c r="W1822" i="1"/>
  <c r="W1814" i="1"/>
  <c r="W1806" i="1"/>
  <c r="W1798" i="1"/>
  <c r="W1790" i="1"/>
  <c r="W1782" i="1"/>
  <c r="W1774" i="1"/>
  <c r="W1766" i="1"/>
  <c r="W1758" i="1"/>
  <c r="W1750" i="1"/>
  <c r="W1742" i="1"/>
  <c r="W1734" i="1"/>
  <c r="W1726" i="1"/>
  <c r="W1718" i="1"/>
  <c r="W1710" i="1"/>
  <c r="W1702" i="1"/>
  <c r="W1694" i="1"/>
  <c r="W1686" i="1"/>
  <c r="W1678" i="1"/>
  <c r="W1670" i="1"/>
  <c r="W1662" i="1"/>
  <c r="W1654" i="1"/>
  <c r="W1646" i="1"/>
  <c r="W1638" i="1"/>
  <c r="W1630" i="1"/>
  <c r="W1622" i="1"/>
  <c r="W1614" i="1"/>
  <c r="W1606" i="1"/>
  <c r="W1598" i="1"/>
  <c r="W1590" i="1"/>
  <c r="W1582" i="1"/>
  <c r="W1574" i="1"/>
  <c r="W1566" i="1"/>
  <c r="W1558" i="1"/>
  <c r="W1550" i="1"/>
  <c r="W1542" i="1"/>
  <c r="W1534" i="1"/>
  <c r="W1526" i="1"/>
  <c r="W1518" i="1"/>
  <c r="W1510" i="1"/>
  <c r="W1502" i="1"/>
  <c r="W1494" i="1"/>
  <c r="W1486" i="1"/>
  <c r="W1478" i="1"/>
  <c r="W1470" i="1"/>
  <c r="W1462" i="1"/>
  <c r="W1454" i="1"/>
  <c r="W1446" i="1"/>
  <c r="W1438" i="1"/>
  <c r="W1430" i="1"/>
  <c r="W1422" i="1"/>
  <c r="W1414" i="1"/>
  <c r="W1406" i="1"/>
  <c r="W1398" i="1"/>
  <c r="W1390" i="1"/>
  <c r="W1382" i="1"/>
  <c r="W1374" i="1"/>
  <c r="W1366" i="1"/>
  <c r="W1358" i="1"/>
  <c r="W1350" i="1"/>
  <c r="W1342" i="1"/>
  <c r="W1334" i="1"/>
  <c r="W1326" i="1"/>
  <c r="W1318" i="1"/>
  <c r="W1310" i="1"/>
  <c r="W1302" i="1"/>
  <c r="W1294" i="1"/>
  <c r="W1286" i="1"/>
  <c r="W1278" i="1"/>
  <c r="W1270" i="1"/>
  <c r="W1262" i="1"/>
  <c r="W1254" i="1"/>
  <c r="W1246" i="1"/>
  <c r="W1238" i="1"/>
  <c r="W1230" i="1"/>
  <c r="W1222" i="1"/>
  <c r="W1214" i="1"/>
  <c r="W1206" i="1"/>
  <c r="W1198" i="1"/>
  <c r="W1190" i="1"/>
  <c r="W1182" i="1"/>
  <c r="W1174" i="1"/>
  <c r="W1166" i="1"/>
  <c r="W1158" i="1"/>
  <c r="W1150" i="1"/>
  <c r="W1142" i="1"/>
  <c r="W1134" i="1"/>
  <c r="W1126" i="1"/>
  <c r="W1118" i="1"/>
  <c r="W1110" i="1"/>
  <c r="W1102" i="1"/>
  <c r="W1094" i="1"/>
  <c r="W3997" i="1"/>
  <c r="W3965" i="1"/>
  <c r="W3933" i="1"/>
  <c r="W3901" i="1"/>
  <c r="W3869" i="1"/>
  <c r="W3837" i="1"/>
  <c r="W3821" i="1"/>
  <c r="W3781" i="1"/>
  <c r="W3749" i="1"/>
  <c r="W3717" i="1"/>
  <c r="W3685" i="1"/>
  <c r="W3645" i="1"/>
  <c r="W3621" i="1"/>
  <c r="W3589" i="1"/>
  <c r="W3557" i="1"/>
  <c r="W3525" i="1"/>
  <c r="W3493" i="1"/>
  <c r="W3469" i="1"/>
  <c r="W3437" i="1"/>
  <c r="W3405" i="1"/>
  <c r="W3373" i="1"/>
  <c r="W3333" i="1"/>
  <c r="W3301" i="1"/>
  <c r="W3277" i="1"/>
  <c r="W3253" i="1"/>
  <c r="W3237" i="1"/>
  <c r="W3221" i="1"/>
  <c r="W3205" i="1"/>
  <c r="W3189" i="1"/>
  <c r="W3173" i="1"/>
  <c r="W3165" i="1"/>
  <c r="W3149" i="1"/>
  <c r="W3141" i="1"/>
  <c r="W3133" i="1"/>
  <c r="W3125" i="1"/>
  <c r="W3117" i="1"/>
  <c r="W3109" i="1"/>
  <c r="W3101" i="1"/>
  <c r="W3093" i="1"/>
  <c r="W3085" i="1"/>
  <c r="W3077" i="1"/>
  <c r="W3069" i="1"/>
  <c r="W3061" i="1"/>
  <c r="W3053" i="1"/>
  <c r="W3045" i="1"/>
  <c r="W3037" i="1"/>
  <c r="W3029" i="1"/>
  <c r="W3021" i="1"/>
  <c r="W3013" i="1"/>
  <c r="W3005" i="1"/>
  <c r="W2997" i="1"/>
  <c r="W2965" i="1"/>
  <c r="W2957" i="1"/>
  <c r="W2949" i="1"/>
  <c r="W2941" i="1"/>
  <c r="W2933" i="1"/>
  <c r="W2925" i="1"/>
  <c r="W2917" i="1"/>
  <c r="W2909" i="1"/>
  <c r="W2901" i="1"/>
  <c r="W2893" i="1"/>
  <c r="W2885" i="1"/>
  <c r="W2877" i="1"/>
  <c r="W2869" i="1"/>
  <c r="W2861" i="1"/>
  <c r="W2853" i="1"/>
  <c r="W2845" i="1"/>
  <c r="W2837" i="1"/>
  <c r="W2829" i="1"/>
  <c r="W2821" i="1"/>
  <c r="W2813" i="1"/>
  <c r="W2805" i="1"/>
  <c r="W2797" i="1"/>
  <c r="W2789" i="1"/>
  <c r="W2781" i="1"/>
  <c r="W2773" i="1"/>
  <c r="W2765" i="1"/>
  <c r="W2757" i="1"/>
  <c r="W2749" i="1"/>
  <c r="W2741" i="1"/>
  <c r="W2733" i="1"/>
  <c r="W3973" i="1"/>
  <c r="W3941" i="1"/>
  <c r="W3909" i="1"/>
  <c r="W3885" i="1"/>
  <c r="W3853" i="1"/>
  <c r="W3829" i="1"/>
  <c r="W3797" i="1"/>
  <c r="W3765" i="1"/>
  <c r="W3733" i="1"/>
  <c r="W3693" i="1"/>
  <c r="W3661" i="1"/>
  <c r="W3637" i="1"/>
  <c r="W3597" i="1"/>
  <c r="W3573" i="1"/>
  <c r="W3541" i="1"/>
  <c r="W3501" i="1"/>
  <c r="W3477" i="1"/>
  <c r="W3453" i="1"/>
  <c r="W3421" i="1"/>
  <c r="W3381" i="1"/>
  <c r="W3349" i="1"/>
  <c r="W3309" i="1"/>
  <c r="W3269" i="1"/>
  <c r="W2973" i="1"/>
  <c r="W3989" i="1"/>
  <c r="W3957" i="1"/>
  <c r="W3925" i="1"/>
  <c r="W3893" i="1"/>
  <c r="W3861" i="1"/>
  <c r="W3813" i="1"/>
  <c r="W3773" i="1"/>
  <c r="W3741" i="1"/>
  <c r="W3709" i="1"/>
  <c r="W3677" i="1"/>
  <c r="W3653" i="1"/>
  <c r="W3613" i="1"/>
  <c r="W3581" i="1"/>
  <c r="W3549" i="1"/>
  <c r="W3517" i="1"/>
  <c r="W3485" i="1"/>
  <c r="W3445" i="1"/>
  <c r="W3413" i="1"/>
  <c r="W3365" i="1"/>
  <c r="W3341" i="1"/>
  <c r="W3317" i="1"/>
  <c r="W3293" i="1"/>
  <c r="W3261" i="1"/>
  <c r="W3245" i="1"/>
  <c r="W3229" i="1"/>
  <c r="W3213" i="1"/>
  <c r="W3197" i="1"/>
  <c r="W3181" i="1"/>
  <c r="W3157" i="1"/>
  <c r="W2981" i="1"/>
  <c r="W3981" i="1"/>
  <c r="W3949" i="1"/>
  <c r="W3917" i="1"/>
  <c r="W3877" i="1"/>
  <c r="W3845" i="1"/>
  <c r="W3805" i="1"/>
  <c r="W3789" i="1"/>
  <c r="W3757" i="1"/>
  <c r="W3725" i="1"/>
  <c r="W3701" i="1"/>
  <c r="W3669" i="1"/>
  <c r="W3629" i="1"/>
  <c r="W3605" i="1"/>
  <c r="W3565" i="1"/>
  <c r="W3533" i="1"/>
  <c r="W3509" i="1"/>
  <c r="W3461" i="1"/>
  <c r="W3429" i="1"/>
  <c r="W3397" i="1"/>
  <c r="W3389" i="1"/>
  <c r="W3357" i="1"/>
  <c r="W3325" i="1"/>
  <c r="W3285" i="1"/>
  <c r="W2989" i="1"/>
  <c r="W1086" i="1"/>
  <c r="W1078" i="1"/>
  <c r="W1070" i="1"/>
  <c r="W1062" i="1"/>
  <c r="W1054" i="1"/>
  <c r="W1046" i="1"/>
  <c r="W1038" i="1"/>
  <c r="W1030" i="1"/>
  <c r="W1022" i="1"/>
  <c r="W1014" i="1"/>
  <c r="W1006" i="1"/>
  <c r="W998" i="1"/>
  <c r="W990" i="1"/>
  <c r="W982" i="1"/>
  <c r="W974" i="1"/>
  <c r="W966" i="1"/>
  <c r="W958" i="1"/>
  <c r="W950" i="1"/>
  <c r="W942" i="1"/>
  <c r="W934" i="1"/>
  <c r="W926" i="1"/>
  <c r="W918" i="1"/>
  <c r="W910" i="1"/>
  <c r="W902" i="1"/>
  <c r="W894" i="1"/>
  <c r="W886" i="1"/>
  <c r="W878" i="1"/>
  <c r="W870" i="1"/>
  <c r="W862" i="1"/>
  <c r="W854" i="1"/>
  <c r="W846" i="1"/>
  <c r="W838" i="1"/>
  <c r="W830" i="1"/>
  <c r="W822" i="1"/>
  <c r="W814" i="1"/>
  <c r="W806" i="1"/>
  <c r="W798" i="1"/>
  <c r="W790" i="1"/>
  <c r="W782" i="1"/>
  <c r="W774" i="1"/>
  <c r="W766" i="1"/>
  <c r="W758" i="1"/>
  <c r="W750" i="1"/>
  <c r="W742" i="1"/>
  <c r="W734" i="1"/>
  <c r="W726" i="1"/>
  <c r="W718" i="1"/>
  <c r="W710" i="1"/>
  <c r="W702" i="1"/>
  <c r="W694" i="1"/>
  <c r="W686" i="1"/>
  <c r="W678" i="1"/>
  <c r="W670" i="1"/>
  <c r="W662" i="1"/>
  <c r="W654" i="1"/>
  <c r="W646" i="1"/>
  <c r="W638" i="1"/>
  <c r="W630" i="1"/>
  <c r="W622" i="1"/>
  <c r="W614" i="1"/>
  <c r="W606" i="1"/>
  <c r="W598" i="1"/>
  <c r="W590" i="1"/>
  <c r="W582" i="1"/>
  <c r="W574" i="1"/>
  <c r="W566" i="1"/>
  <c r="W558" i="1"/>
  <c r="W550" i="1"/>
  <c r="W542" i="1"/>
  <c r="W534" i="1"/>
  <c r="W526" i="1"/>
  <c r="W518" i="1"/>
  <c r="W510" i="1"/>
  <c r="W502" i="1"/>
  <c r="W494" i="1"/>
  <c r="W486" i="1"/>
  <c r="W478" i="1"/>
  <c r="W470" i="1"/>
  <c r="W462" i="1"/>
  <c r="W454" i="1"/>
  <c r="W446" i="1"/>
  <c r="W438" i="1"/>
  <c r="W430" i="1"/>
  <c r="W422" i="1"/>
  <c r="W414" i="1"/>
  <c r="W406" i="1"/>
  <c r="W398" i="1"/>
  <c r="W390" i="1"/>
  <c r="W382" i="1"/>
  <c r="W374" i="1"/>
  <c r="W366" i="1"/>
  <c r="W358" i="1"/>
  <c r="W350" i="1"/>
  <c r="W342" i="1"/>
  <c r="W334" i="1"/>
  <c r="W326" i="1"/>
  <c r="W318" i="1"/>
  <c r="W310" i="1"/>
  <c r="W302" i="1"/>
  <c r="W294" i="1"/>
  <c r="W286" i="1"/>
  <c r="W278" i="1"/>
  <c r="W270" i="1"/>
  <c r="W262" i="1"/>
  <c r="W254" i="1"/>
  <c r="W246" i="1"/>
  <c r="W238" i="1"/>
  <c r="W230" i="1"/>
  <c r="W222" i="1"/>
  <c r="W214" i="1"/>
  <c r="W206" i="1"/>
  <c r="W198" i="1"/>
  <c r="W190" i="1"/>
  <c r="W182" i="1"/>
  <c r="W174" i="1"/>
  <c r="W166" i="1"/>
  <c r="W158" i="1"/>
  <c r="W150" i="1"/>
  <c r="W142" i="1"/>
  <c r="W134" i="1"/>
  <c r="W126" i="1"/>
  <c r="W118" i="1"/>
  <c r="W110" i="1"/>
  <c r="W102" i="1"/>
  <c r="W94" i="1"/>
  <c r="W86" i="1"/>
  <c r="W78" i="1"/>
  <c r="W70" i="1"/>
  <c r="W62" i="1"/>
  <c r="W54" i="1"/>
  <c r="W46" i="1"/>
  <c r="W38" i="1"/>
  <c r="W30" i="1"/>
  <c r="W22" i="1"/>
  <c r="W14" i="1"/>
  <c r="W6" i="1"/>
  <c r="W2725" i="1"/>
  <c r="W2717" i="1"/>
  <c r="W2709" i="1"/>
  <c r="W2701" i="1"/>
  <c r="W2693" i="1"/>
  <c r="W2685" i="1"/>
  <c r="W2677" i="1"/>
  <c r="W2669" i="1"/>
  <c r="W2661" i="1"/>
  <c r="W2653" i="1"/>
  <c r="W2645" i="1"/>
  <c r="W2637" i="1"/>
  <c r="W2629" i="1"/>
  <c r="W2621" i="1"/>
  <c r="W2613" i="1"/>
  <c r="W2605" i="1"/>
  <c r="W2597" i="1"/>
  <c r="W2589" i="1"/>
  <c r="W2581" i="1"/>
  <c r="W2573" i="1"/>
  <c r="W2565" i="1"/>
  <c r="W2557" i="1"/>
  <c r="W2549" i="1"/>
  <c r="W2541" i="1"/>
  <c r="W2533" i="1"/>
  <c r="W2525" i="1"/>
  <c r="W2517" i="1"/>
  <c r="W2509" i="1"/>
  <c r="W2501" i="1"/>
  <c r="W2493" i="1"/>
  <c r="W2485" i="1"/>
  <c r="W2477" i="1"/>
  <c r="W2469" i="1"/>
  <c r="W2461" i="1"/>
  <c r="W2453" i="1"/>
  <c r="W2445" i="1"/>
  <c r="W2437" i="1"/>
  <c r="W2429" i="1"/>
  <c r="W2421" i="1"/>
  <c r="W2413" i="1"/>
  <c r="W2405" i="1"/>
  <c r="W2397" i="1"/>
  <c r="W2389" i="1"/>
  <c r="W2381" i="1"/>
  <c r="W2373" i="1"/>
  <c r="W2365" i="1"/>
  <c r="W2357" i="1"/>
  <c r="W2349" i="1"/>
  <c r="W2341" i="1"/>
  <c r="W2333" i="1"/>
  <c r="W2325" i="1"/>
  <c r="W2317" i="1"/>
  <c r="W2309" i="1"/>
  <c r="W2301" i="1"/>
  <c r="W2293" i="1"/>
  <c r="W2285" i="1"/>
  <c r="W2277" i="1"/>
  <c r="W2269" i="1"/>
  <c r="W2261" i="1"/>
  <c r="W2253" i="1"/>
  <c r="W2245" i="1"/>
  <c r="W2237" i="1"/>
  <c r="W2229" i="1"/>
  <c r="W2221" i="1"/>
  <c r="W2213" i="1"/>
  <c r="W2205" i="1"/>
  <c r="W2197" i="1"/>
  <c r="W2189" i="1"/>
  <c r="W2181" i="1"/>
  <c r="W2173" i="1"/>
  <c r="W2165" i="1"/>
  <c r="W2157" i="1"/>
  <c r="W2149" i="1"/>
  <c r="W2141" i="1"/>
  <c r="W2133" i="1"/>
  <c r="W2125" i="1"/>
  <c r="W2117" i="1"/>
  <c r="W2109" i="1"/>
  <c r="W2101" i="1"/>
  <c r="W2093" i="1"/>
  <c r="W2085" i="1"/>
  <c r="W2077" i="1"/>
  <c r="W2069" i="1"/>
  <c r="W2061" i="1"/>
  <c r="W2053" i="1"/>
  <c r="W2045" i="1"/>
  <c r="W2037" i="1"/>
  <c r="W2029" i="1"/>
  <c r="W2021" i="1"/>
  <c r="W2013" i="1"/>
  <c r="W2005" i="1"/>
  <c r="W1997" i="1"/>
  <c r="W1989" i="1"/>
  <c r="W1981" i="1"/>
  <c r="W1973" i="1"/>
  <c r="W1965" i="1"/>
  <c r="W1957" i="1"/>
  <c r="W1949" i="1"/>
  <c r="W1941" i="1"/>
  <c r="W1933" i="1"/>
  <c r="W1925" i="1"/>
  <c r="W1917" i="1"/>
  <c r="W1909" i="1"/>
  <c r="W1901" i="1"/>
  <c r="W1893" i="1"/>
  <c r="W1885" i="1"/>
  <c r="W1877" i="1"/>
  <c r="W1869" i="1"/>
  <c r="W1861" i="1"/>
  <c r="W1853" i="1"/>
  <c r="W1845" i="1"/>
  <c r="W1837" i="1"/>
  <c r="W1829" i="1"/>
  <c r="W1821" i="1"/>
  <c r="W1813" i="1"/>
  <c r="W1805" i="1"/>
  <c r="W1797" i="1"/>
  <c r="W1789" i="1"/>
  <c r="W1781" i="1"/>
  <c r="W1773" i="1"/>
  <c r="W1765" i="1"/>
  <c r="W1757" i="1"/>
  <c r="W1749" i="1"/>
  <c r="W1741" i="1"/>
  <c r="W1733" i="1"/>
  <c r="W1725" i="1"/>
  <c r="W1717" i="1"/>
  <c r="W1709" i="1"/>
  <c r="W1701" i="1"/>
  <c r="W1693" i="1"/>
  <c r="W1685" i="1"/>
  <c r="W1677" i="1"/>
  <c r="W1669" i="1"/>
  <c r="W1661" i="1"/>
  <c r="W1653" i="1"/>
  <c r="W1645" i="1"/>
  <c r="W1637" i="1"/>
  <c r="W1629" i="1"/>
  <c r="W1621" i="1"/>
  <c r="W1613" i="1"/>
  <c r="W1605" i="1"/>
  <c r="W1597" i="1"/>
  <c r="W1589" i="1"/>
  <c r="W1581" i="1"/>
  <c r="W1573" i="1"/>
  <c r="W1565" i="1"/>
  <c r="W1557" i="1"/>
  <c r="W1549" i="1"/>
  <c r="W1541" i="1"/>
  <c r="W1533" i="1"/>
  <c r="W1525" i="1"/>
  <c r="W1517" i="1"/>
  <c r="W1509" i="1"/>
  <c r="W1501" i="1"/>
  <c r="W1493" i="1"/>
  <c r="W1485" i="1"/>
  <c r="W1477" i="1"/>
  <c r="W1469" i="1"/>
  <c r="W1461" i="1"/>
  <c r="W1453" i="1"/>
  <c r="W1445" i="1"/>
  <c r="W1437" i="1"/>
  <c r="W1429" i="1"/>
  <c r="W1421" i="1"/>
  <c r="W1413" i="1"/>
  <c r="W1405" i="1"/>
  <c r="W1397" i="1"/>
  <c r="W1389" i="1"/>
  <c r="W1381" i="1"/>
  <c r="W1373" i="1"/>
  <c r="W1365" i="1"/>
  <c r="W1357" i="1"/>
  <c r="W1349" i="1"/>
  <c r="W1341" i="1"/>
  <c r="W1333" i="1"/>
  <c r="W1325" i="1"/>
  <c r="W1317" i="1"/>
  <c r="W1309" i="1"/>
  <c r="W1301" i="1"/>
  <c r="W1293" i="1"/>
  <c r="W1285" i="1"/>
  <c r="W1277" i="1"/>
  <c r="W1269" i="1"/>
  <c r="W1261" i="1"/>
  <c r="W1253" i="1"/>
  <c r="W1245" i="1"/>
  <c r="W1237" i="1"/>
  <c r="W1229" i="1"/>
  <c r="W1221" i="1"/>
  <c r="W1213" i="1"/>
  <c r="W1205" i="1"/>
  <c r="W1197" i="1"/>
  <c r="W1189" i="1"/>
  <c r="W1181" i="1"/>
  <c r="W1173" i="1"/>
  <c r="W1165" i="1"/>
  <c r="W1157" i="1"/>
  <c r="W1149" i="1"/>
  <c r="W1141" i="1"/>
  <c r="W1133" i="1"/>
  <c r="W1125" i="1"/>
  <c r="W1117" i="1"/>
  <c r="W1109" i="1"/>
  <c r="W1101" i="1"/>
  <c r="W1093" i="1"/>
  <c r="W1085" i="1"/>
  <c r="W1077" i="1"/>
  <c r="W1069" i="1"/>
  <c r="W1061" i="1"/>
  <c r="W1053" i="1"/>
  <c r="W1045" i="1"/>
  <c r="W1037" i="1"/>
  <c r="W1029" i="1"/>
  <c r="W1021" i="1"/>
  <c r="W1013" i="1"/>
  <c r="W1005" i="1"/>
  <c r="W997" i="1"/>
  <c r="W989" i="1"/>
  <c r="W981" i="1"/>
  <c r="W973" i="1"/>
  <c r="W965" i="1"/>
  <c r="W957" i="1"/>
  <c r="W949" i="1"/>
  <c r="W941" i="1"/>
  <c r="W933" i="1"/>
  <c r="W925" i="1"/>
  <c r="W917" i="1"/>
  <c r="W909" i="1"/>
  <c r="W901" i="1"/>
  <c r="W893" i="1"/>
  <c r="W885" i="1"/>
  <c r="W877" i="1"/>
  <c r="W869" i="1"/>
  <c r="W861" i="1"/>
  <c r="W853" i="1"/>
  <c r="W845" i="1"/>
  <c r="W837" i="1"/>
  <c r="W829" i="1"/>
  <c r="W821" i="1"/>
  <c r="W813" i="1"/>
  <c r="W805" i="1"/>
  <c r="W797" i="1"/>
  <c r="W789" i="1"/>
  <c r="W781" i="1"/>
  <c r="W773" i="1"/>
  <c r="W765" i="1"/>
  <c r="W757" i="1"/>
  <c r="W749" i="1"/>
  <c r="W741" i="1"/>
  <c r="W733" i="1"/>
  <c r="W725" i="1"/>
  <c r="W717" i="1"/>
  <c r="W709" i="1"/>
  <c r="W701" i="1"/>
  <c r="W693" i="1"/>
  <c r="W685" i="1"/>
  <c r="W677" i="1"/>
  <c r="W669" i="1"/>
  <c r="W661" i="1"/>
  <c r="W653" i="1"/>
  <c r="W645" i="1"/>
  <c r="W637" i="1"/>
  <c r="W629" i="1"/>
  <c r="W621" i="1"/>
  <c r="W613" i="1"/>
  <c r="W605" i="1"/>
  <c r="W597" i="1"/>
  <c r="W589" i="1"/>
  <c r="W581" i="1"/>
  <c r="W573" i="1"/>
  <c r="W565" i="1"/>
  <c r="W557" i="1"/>
  <c r="W549" i="1"/>
  <c r="W541" i="1"/>
  <c r="W533" i="1"/>
  <c r="W525" i="1"/>
  <c r="W517" i="1"/>
  <c r="W509" i="1"/>
  <c r="W501" i="1"/>
  <c r="W493" i="1"/>
  <c r="W485" i="1"/>
  <c r="W477" i="1"/>
  <c r="W469" i="1"/>
  <c r="W461" i="1"/>
  <c r="W453" i="1"/>
  <c r="W445" i="1"/>
  <c r="W437" i="1"/>
  <c r="W429" i="1"/>
  <c r="W421" i="1"/>
  <c r="W413" i="1"/>
  <c r="W405" i="1"/>
  <c r="W397" i="1"/>
  <c r="W389" i="1"/>
  <c r="W381" i="1"/>
  <c r="W373" i="1"/>
  <c r="W365" i="1"/>
  <c r="W357" i="1"/>
  <c r="W349" i="1"/>
  <c r="W341" i="1"/>
  <c r="W333" i="1"/>
  <c r="W325" i="1"/>
  <c r="W317" i="1"/>
  <c r="W309" i="1"/>
  <c r="W301" i="1"/>
  <c r="W293" i="1"/>
  <c r="W285" i="1"/>
  <c r="W277" i="1"/>
  <c r="W269" i="1"/>
  <c r="W261" i="1"/>
  <c r="W253" i="1"/>
  <c r="W245" i="1"/>
  <c r="W237" i="1"/>
  <c r="W229" i="1"/>
  <c r="W221" i="1"/>
  <c r="W213" i="1"/>
  <c r="W205" i="1"/>
  <c r="W197" i="1"/>
  <c r="W189" i="1"/>
  <c r="W181" i="1"/>
  <c r="W173" i="1"/>
  <c r="W165" i="1"/>
  <c r="W157" i="1"/>
  <c r="W149" i="1"/>
  <c r="W141" i="1"/>
  <c r="W133" i="1"/>
  <c r="W125" i="1"/>
  <c r="W117" i="1"/>
  <c r="W109" i="1"/>
  <c r="W101" i="1"/>
  <c r="W93" i="1"/>
  <c r="W85" i="1"/>
  <c r="W77" i="1"/>
  <c r="W69" i="1"/>
  <c r="W61" i="1"/>
  <c r="W53" i="1"/>
  <c r="W45" i="1"/>
  <c r="W37" i="1"/>
  <c r="W29" i="1"/>
  <c r="W21" i="1"/>
  <c r="W13" i="1"/>
  <c r="W5" i="1"/>
  <c r="W3996" i="1"/>
  <c r="W3988" i="1"/>
  <c r="W3980" i="1"/>
  <c r="W3972" i="1"/>
  <c r="W3964" i="1"/>
  <c r="W3956" i="1"/>
  <c r="W3948" i="1"/>
  <c r="W3940" i="1"/>
  <c r="W3932" i="1"/>
  <c r="W3924" i="1"/>
  <c r="W3916" i="1"/>
  <c r="W3908" i="1"/>
  <c r="W3900" i="1"/>
  <c r="W3892" i="1"/>
  <c r="W3884" i="1"/>
  <c r="W3876" i="1"/>
  <c r="W3868" i="1"/>
  <c r="W3860" i="1"/>
  <c r="W3852" i="1"/>
  <c r="W3844" i="1"/>
  <c r="W3836" i="1"/>
  <c r="W3828" i="1"/>
  <c r="W3820" i="1"/>
  <c r="W3812" i="1"/>
  <c r="W3804" i="1"/>
  <c r="W3796" i="1"/>
  <c r="W3788" i="1"/>
  <c r="W3780" i="1"/>
  <c r="W3772" i="1"/>
  <c r="W3764" i="1"/>
  <c r="W3756" i="1"/>
  <c r="W3748" i="1"/>
  <c r="W3740" i="1"/>
  <c r="W3732" i="1"/>
  <c r="W3724" i="1"/>
  <c r="W3716" i="1"/>
  <c r="W3708" i="1"/>
  <c r="W3700" i="1"/>
  <c r="W3692" i="1"/>
  <c r="W3684" i="1"/>
  <c r="W3676" i="1"/>
  <c r="W3668" i="1"/>
  <c r="W3660" i="1"/>
  <c r="W3652" i="1"/>
  <c r="W3252" i="1"/>
  <c r="W3244" i="1"/>
  <c r="W1676" i="1"/>
  <c r="W3995" i="1"/>
  <c r="W3987" i="1"/>
  <c r="W3979" i="1"/>
  <c r="W3971" i="1"/>
  <c r="W3963" i="1"/>
  <c r="W3955" i="1"/>
  <c r="W3947" i="1"/>
  <c r="W3939" i="1"/>
  <c r="W3931" i="1"/>
  <c r="W3923" i="1"/>
  <c r="W3915" i="1"/>
  <c r="W3907" i="1"/>
  <c r="W3899" i="1"/>
  <c r="W3891" i="1"/>
  <c r="W3883" i="1"/>
  <c r="W3875" i="1"/>
  <c r="W3867" i="1"/>
  <c r="W3859" i="1"/>
  <c r="W3851" i="1"/>
  <c r="W3843" i="1"/>
  <c r="W3835" i="1"/>
  <c r="W3827" i="1"/>
  <c r="W3819" i="1"/>
  <c r="W3811" i="1"/>
  <c r="W3803" i="1"/>
  <c r="W3795" i="1"/>
  <c r="W3787" i="1"/>
  <c r="W3779" i="1"/>
  <c r="W3771" i="1"/>
  <c r="W3763" i="1"/>
  <c r="W3755" i="1"/>
  <c r="W3747" i="1"/>
  <c r="W3739" i="1"/>
  <c r="W3731" i="1"/>
  <c r="W3723" i="1"/>
  <c r="W3715" i="1"/>
  <c r="W3707" i="1"/>
  <c r="W3699" i="1"/>
  <c r="W3691" i="1"/>
  <c r="W3683" i="1"/>
  <c r="W3675" i="1"/>
  <c r="W3667" i="1"/>
  <c r="W3659" i="1"/>
  <c r="W3651" i="1"/>
  <c r="W3643" i="1"/>
  <c r="W3635" i="1"/>
  <c r="W3627" i="1"/>
  <c r="W3619" i="1"/>
  <c r="W3611" i="1"/>
  <c r="W3603" i="1"/>
  <c r="W3595" i="1"/>
  <c r="W3587" i="1"/>
  <c r="W3579" i="1"/>
  <c r="W3571" i="1"/>
  <c r="W3563" i="1"/>
  <c r="W3555" i="1"/>
  <c r="W3547" i="1"/>
  <c r="W3539" i="1"/>
  <c r="W3531" i="1"/>
  <c r="W3523" i="1"/>
  <c r="W3515" i="1"/>
  <c r="W3507" i="1"/>
  <c r="W3499" i="1"/>
  <c r="W3491" i="1"/>
  <c r="W3483" i="1"/>
  <c r="W3475" i="1"/>
  <c r="W3467" i="1"/>
  <c r="W3459" i="1"/>
  <c r="W3451" i="1"/>
  <c r="W3443" i="1"/>
  <c r="W3435" i="1"/>
  <c r="W3427" i="1"/>
  <c r="W3419" i="1"/>
  <c r="W3411" i="1"/>
  <c r="W3403" i="1"/>
  <c r="W3395" i="1"/>
  <c r="W3387" i="1"/>
  <c r="W3379" i="1"/>
  <c r="W3371" i="1"/>
  <c r="W3363" i="1"/>
  <c r="W3355" i="1"/>
  <c r="W3347" i="1"/>
  <c r="W3339" i="1"/>
  <c r="W3331" i="1"/>
  <c r="W3323" i="1"/>
  <c r="W3315" i="1"/>
  <c r="W3307" i="1"/>
  <c r="W3299" i="1"/>
  <c r="W3291" i="1"/>
  <c r="W3283" i="1"/>
  <c r="W3275" i="1"/>
  <c r="W3267" i="1"/>
  <c r="W3259" i="1"/>
  <c r="W3251" i="1"/>
  <c r="W3243" i="1"/>
  <c r="W3235" i="1"/>
  <c r="W3227" i="1"/>
  <c r="W3219" i="1"/>
  <c r="W3211" i="1"/>
  <c r="W3203" i="1"/>
  <c r="W3195" i="1"/>
  <c r="W3187" i="1"/>
  <c r="W3179" i="1"/>
  <c r="W3171" i="1"/>
  <c r="W3163" i="1"/>
  <c r="W3155" i="1"/>
  <c r="W3147" i="1"/>
  <c r="W3139" i="1"/>
  <c r="W3131" i="1"/>
  <c r="W3123" i="1"/>
  <c r="W3115" i="1"/>
  <c r="W3107" i="1"/>
  <c r="W3099" i="1"/>
  <c r="W3091" i="1"/>
  <c r="W3083" i="1"/>
  <c r="W3075" i="1"/>
  <c r="W3067" i="1"/>
  <c r="W3059" i="1"/>
  <c r="W3051" i="1"/>
  <c r="W3043" i="1"/>
  <c r="W3035" i="1"/>
  <c r="W3027" i="1"/>
  <c r="W3019" i="1"/>
  <c r="W3011" i="1"/>
  <c r="W3003" i="1"/>
  <c r="W2995" i="1"/>
  <c r="W2987" i="1"/>
  <c r="W2979" i="1"/>
  <c r="W2971" i="1"/>
  <c r="W2963" i="1"/>
  <c r="W2955" i="1"/>
  <c r="W2947" i="1"/>
  <c r="W2939" i="1"/>
  <c r="W2931" i="1"/>
  <c r="W2923" i="1"/>
  <c r="W2915" i="1"/>
  <c r="W2907" i="1"/>
  <c r="W2899" i="1"/>
  <c r="W2891" i="1"/>
  <c r="W2883" i="1"/>
  <c r="W2875" i="1"/>
  <c r="W2867" i="1"/>
  <c r="W2859" i="1"/>
  <c r="W2851" i="1"/>
  <c r="W2843" i="1"/>
  <c r="W2835" i="1"/>
  <c r="W2827" i="1"/>
  <c r="W2819" i="1"/>
  <c r="W2811" i="1"/>
  <c r="W2803" i="1"/>
  <c r="W2795" i="1"/>
  <c r="W2787" i="1"/>
  <c r="W2779" i="1"/>
  <c r="W2771" i="1"/>
  <c r="W2763" i="1"/>
  <c r="W2755" i="1"/>
  <c r="W2747" i="1"/>
  <c r="W2739" i="1"/>
  <c r="W2731" i="1"/>
  <c r="W2723" i="1"/>
  <c r="W2715" i="1"/>
  <c r="W2707" i="1"/>
  <c r="W2699" i="1"/>
  <c r="W2691" i="1"/>
  <c r="W2683" i="1"/>
  <c r="W2675" i="1"/>
  <c r="W2667" i="1"/>
  <c r="W2659" i="1"/>
  <c r="W2651" i="1"/>
  <c r="W2643" i="1"/>
  <c r="W2635" i="1"/>
  <c r="W2627" i="1"/>
  <c r="W2619" i="1"/>
  <c r="W2611" i="1"/>
  <c r="W2603" i="1"/>
  <c r="W2595" i="1"/>
  <c r="W2587" i="1"/>
  <c r="W2579" i="1"/>
  <c r="W2571" i="1"/>
  <c r="W2563" i="1"/>
  <c r="W2555" i="1"/>
  <c r="W2547" i="1"/>
  <c r="W2539" i="1"/>
  <c r="W2531" i="1"/>
  <c r="W2523" i="1"/>
  <c r="W2515" i="1"/>
  <c r="W2507" i="1"/>
  <c r="W2499" i="1"/>
  <c r="W2491" i="1"/>
  <c r="W2483" i="1"/>
  <c r="W2475" i="1"/>
  <c r="W2467" i="1"/>
  <c r="W2459" i="1"/>
  <c r="W2451" i="1"/>
  <c r="W2443" i="1"/>
  <c r="W2435" i="1"/>
  <c r="W2427" i="1"/>
  <c r="W2419" i="1"/>
  <c r="W2411" i="1"/>
  <c r="W2403" i="1"/>
  <c r="W2395" i="1"/>
  <c r="W2387" i="1"/>
  <c r="W2379" i="1"/>
  <c r="W2371" i="1"/>
  <c r="W2363" i="1"/>
  <c r="W2355" i="1"/>
  <c r="W2347" i="1"/>
  <c r="W2339" i="1"/>
  <c r="W2331" i="1"/>
  <c r="W2323" i="1"/>
  <c r="W2315" i="1"/>
  <c r="W2307" i="1"/>
  <c r="W2299" i="1"/>
  <c r="W2291" i="1"/>
  <c r="W2283" i="1"/>
  <c r="W2275" i="1"/>
  <c r="W2267" i="1"/>
  <c r="W2259" i="1"/>
  <c r="W2251" i="1"/>
  <c r="W2243" i="1"/>
  <c r="W2235" i="1"/>
  <c r="W2227" i="1"/>
  <c r="W2219" i="1"/>
  <c r="W2211" i="1"/>
  <c r="W2203" i="1"/>
  <c r="W2195" i="1"/>
  <c r="W2187" i="1"/>
  <c r="W2179" i="1"/>
  <c r="W2171" i="1"/>
  <c r="W2163" i="1"/>
  <c r="W3994" i="1"/>
  <c r="W3986" i="1"/>
  <c r="W3978" i="1"/>
  <c r="W3970" i="1"/>
  <c r="W3962" i="1"/>
  <c r="W3954" i="1"/>
  <c r="W3946" i="1"/>
  <c r="W3938" i="1"/>
  <c r="W3930" i="1"/>
  <c r="W3922" i="1"/>
  <c r="W3914" i="1"/>
  <c r="W3906" i="1"/>
  <c r="W3898" i="1"/>
  <c r="W3890" i="1"/>
  <c r="W3882" i="1"/>
  <c r="W3874" i="1"/>
  <c r="W3866" i="1"/>
  <c r="W3858" i="1"/>
  <c r="W3850" i="1"/>
  <c r="W3842" i="1"/>
  <c r="W3834" i="1"/>
  <c r="W3826" i="1"/>
  <c r="W3818" i="1"/>
  <c r="W3810" i="1"/>
  <c r="W3802" i="1"/>
  <c r="W3794" i="1"/>
  <c r="W3786" i="1"/>
  <c r="W3778" i="1"/>
  <c r="W3770" i="1"/>
  <c r="W3762" i="1"/>
  <c r="W3754" i="1"/>
  <c r="W3746" i="1"/>
  <c r="W3738" i="1"/>
  <c r="W3730" i="1"/>
  <c r="W3722" i="1"/>
  <c r="W3714" i="1"/>
  <c r="W3706" i="1"/>
  <c r="W3698" i="1"/>
  <c r="W3690" i="1"/>
  <c r="W3682" i="1"/>
  <c r="W3674" i="1"/>
  <c r="W3666" i="1"/>
  <c r="W3658" i="1"/>
  <c r="W3650" i="1"/>
  <c r="W3642" i="1"/>
  <c r="W3634" i="1"/>
  <c r="W3626" i="1"/>
  <c r="W3618" i="1"/>
  <c r="W3610" i="1"/>
  <c r="W3602" i="1"/>
  <c r="W3594" i="1"/>
  <c r="W3586" i="1"/>
  <c r="W3578" i="1"/>
  <c r="W3570" i="1"/>
  <c r="W3562" i="1"/>
  <c r="W3554" i="1"/>
  <c r="W3546" i="1"/>
  <c r="W3538" i="1"/>
  <c r="W3530" i="1"/>
  <c r="W3522" i="1"/>
  <c r="W3514" i="1"/>
  <c r="W3506" i="1"/>
  <c r="W2744" i="1"/>
  <c r="W2728" i="1"/>
  <c r="W2712" i="1"/>
  <c r="W2696" i="1"/>
  <c r="W2672" i="1"/>
  <c r="W2656" i="1"/>
  <c r="W2640" i="1"/>
  <c r="W2632" i="1"/>
  <c r="W2608" i="1"/>
  <c r="W2592" i="1"/>
  <c r="W2576" i="1"/>
  <c r="W2560" i="1"/>
  <c r="W2544" i="1"/>
  <c r="W2528" i="1"/>
  <c r="W2512" i="1"/>
  <c r="W2496" i="1"/>
  <c r="W2480" i="1"/>
  <c r="W2456" i="1"/>
  <c r="W2448" i="1"/>
  <c r="W2432" i="1"/>
  <c r="W2408" i="1"/>
  <c r="W2392" i="1"/>
  <c r="W2384" i="1"/>
  <c r="W2368" i="1"/>
  <c r="W2344" i="1"/>
  <c r="W2328" i="1"/>
  <c r="W2312" i="1"/>
  <c r="W2296" i="1"/>
  <c r="W2280" i="1"/>
  <c r="W2264" i="1"/>
  <c r="W2248" i="1"/>
  <c r="W2232" i="1"/>
  <c r="W2216" i="1"/>
  <c r="W2200" i="1"/>
  <c r="W2184" i="1"/>
  <c r="W2168" i="1"/>
  <c r="W2152" i="1"/>
  <c r="W2136" i="1"/>
  <c r="W2120" i="1"/>
  <c r="W2104" i="1"/>
  <c r="W2088" i="1"/>
  <c r="W2072" i="1"/>
  <c r="W2056" i="1"/>
  <c r="W2040" i="1"/>
  <c r="W2024" i="1"/>
  <c r="W2008" i="1"/>
  <c r="W1984" i="1"/>
  <c r="W1968" i="1"/>
  <c r="W1952" i="1"/>
  <c r="W1936" i="1"/>
  <c r="W1920" i="1"/>
  <c r="W1904" i="1"/>
  <c r="W1888" i="1"/>
  <c r="W1872" i="1"/>
  <c r="W1864" i="1"/>
  <c r="W1840" i="1"/>
  <c r="W1832" i="1"/>
  <c r="W1816" i="1"/>
  <c r="W1800" i="1"/>
  <c r="W1784" i="1"/>
  <c r="W1760" i="1"/>
  <c r="W1744" i="1"/>
  <c r="W1728" i="1"/>
  <c r="W1712" i="1"/>
  <c r="W1696" i="1"/>
  <c r="W1680" i="1"/>
  <c r="W1664" i="1"/>
  <c r="W1648" i="1"/>
  <c r="W1632" i="1"/>
  <c r="W1616" i="1"/>
  <c r="W1600" i="1"/>
  <c r="W1584" i="1"/>
  <c r="W1568" i="1"/>
  <c r="W1552" i="1"/>
  <c r="W1536" i="1"/>
  <c r="W1520" i="1"/>
  <c r="W1504" i="1"/>
  <c r="W1488" i="1"/>
  <c r="W1472" i="1"/>
  <c r="W1448" i="1"/>
  <c r="W1432" i="1"/>
  <c r="W1416" i="1"/>
  <c r="W1400" i="1"/>
  <c r="W1384" i="1"/>
  <c r="W1368" i="1"/>
  <c r="W1352" i="1"/>
  <c r="W1336" i="1"/>
  <c r="W1320" i="1"/>
  <c r="W1304" i="1"/>
  <c r="W1288" i="1"/>
  <c r="W1272" i="1"/>
  <c r="W1256" i="1"/>
  <c r="W1240" i="1"/>
  <c r="W1224" i="1"/>
  <c r="W1208" i="1"/>
  <c r="W1192" i="1"/>
  <c r="W1176" i="1"/>
  <c r="W1160" i="1"/>
  <c r="W1144" i="1"/>
  <c r="W1128" i="1"/>
  <c r="W1112" i="1"/>
  <c r="W1096" i="1"/>
  <c r="W1080" i="1"/>
  <c r="W1064" i="1"/>
  <c r="W1048" i="1"/>
  <c r="W1032" i="1"/>
  <c r="W1016" i="1"/>
  <c r="W1000" i="1"/>
  <c r="W984" i="1"/>
  <c r="W968" i="1"/>
  <c r="W952" i="1"/>
  <c r="W936" i="1"/>
  <c r="W920" i="1"/>
  <c r="W904" i="1"/>
  <c r="W888" i="1"/>
  <c r="W872" i="1"/>
  <c r="W856" i="1"/>
  <c r="W840" i="1"/>
  <c r="W824" i="1"/>
  <c r="W808" i="1"/>
  <c r="W792" i="1"/>
  <c r="W776" i="1"/>
  <c r="W760" i="1"/>
  <c r="W744" i="1"/>
  <c r="W728" i="1"/>
  <c r="W712" i="1"/>
  <c r="W696" i="1"/>
  <c r="W680" i="1"/>
  <c r="W664" i="1"/>
  <c r="W648" i="1"/>
  <c r="W632" i="1"/>
  <c r="W616" i="1"/>
  <c r="W592" i="1"/>
  <c r="W576" i="1"/>
  <c r="W560" i="1"/>
  <c r="W544" i="1"/>
  <c r="W528" i="1"/>
  <c r="W512" i="1"/>
  <c r="W496" i="1"/>
  <c r="W480" i="1"/>
  <c r="W464" i="1"/>
  <c r="W448" i="1"/>
  <c r="W432" i="1"/>
  <c r="W416" i="1"/>
  <c r="W400" i="1"/>
  <c r="W384" i="1"/>
  <c r="W368" i="1"/>
  <c r="W352" i="1"/>
  <c r="W336" i="1"/>
  <c r="W320" i="1"/>
  <c r="W304" i="1"/>
  <c r="W288" i="1"/>
  <c r="W272" i="1"/>
  <c r="W256" i="1"/>
  <c r="W240" i="1"/>
  <c r="W224" i="1"/>
  <c r="W208" i="1"/>
  <c r="W192" i="1"/>
  <c r="W176" i="1"/>
  <c r="W160" i="1"/>
  <c r="W136" i="1"/>
  <c r="W120" i="1"/>
  <c r="W104" i="1"/>
  <c r="W88" i="1"/>
  <c r="W72" i="1"/>
  <c r="W56" i="1"/>
  <c r="W40" i="1"/>
  <c r="W32" i="1"/>
  <c r="W16" i="1"/>
  <c r="W2752" i="1"/>
  <c r="W2736" i="1"/>
  <c r="W2720" i="1"/>
  <c r="W2704" i="1"/>
  <c r="W2688" i="1"/>
  <c r="W2680" i="1"/>
  <c r="W2664" i="1"/>
  <c r="W2648" i="1"/>
  <c r="W2624" i="1"/>
  <c r="W2616" i="1"/>
  <c r="W2600" i="1"/>
  <c r="W2584" i="1"/>
  <c r="W2568" i="1"/>
  <c r="W2552" i="1"/>
  <c r="W2536" i="1"/>
  <c r="W2520" i="1"/>
  <c r="W2504" i="1"/>
  <c r="W2488" i="1"/>
  <c r="W2472" i="1"/>
  <c r="W2464" i="1"/>
  <c r="W2440" i="1"/>
  <c r="W2424" i="1"/>
  <c r="W2416" i="1"/>
  <c r="W2400" i="1"/>
  <c r="W2376" i="1"/>
  <c r="W2360" i="1"/>
  <c r="W2352" i="1"/>
  <c r="W2336" i="1"/>
  <c r="W2320" i="1"/>
  <c r="W2304" i="1"/>
  <c r="W2288" i="1"/>
  <c r="W2272" i="1"/>
  <c r="W2256" i="1"/>
  <c r="W2240" i="1"/>
  <c r="W2224" i="1"/>
  <c r="W2208" i="1"/>
  <c r="W2192" i="1"/>
  <c r="W2176" i="1"/>
  <c r="W2160" i="1"/>
  <c r="W2144" i="1"/>
  <c r="W2128" i="1"/>
  <c r="W2112" i="1"/>
  <c r="W2096" i="1"/>
  <c r="W2080" i="1"/>
  <c r="W2064" i="1"/>
  <c r="W2048" i="1"/>
  <c r="W2032" i="1"/>
  <c r="W2016" i="1"/>
  <c r="W2000" i="1"/>
  <c r="W1992" i="1"/>
  <c r="W1976" i="1"/>
  <c r="W1960" i="1"/>
  <c r="W1944" i="1"/>
  <c r="W1928" i="1"/>
  <c r="W1912" i="1"/>
  <c r="W1896" i="1"/>
  <c r="W1880" i="1"/>
  <c r="W1856" i="1"/>
  <c r="W1848" i="1"/>
  <c r="W1824" i="1"/>
  <c r="W1808" i="1"/>
  <c r="W1792" i="1"/>
  <c r="W1776" i="1"/>
  <c r="W1768" i="1"/>
  <c r="W1752" i="1"/>
  <c r="W1736" i="1"/>
  <c r="W1720" i="1"/>
  <c r="W1704" i="1"/>
  <c r="W1688" i="1"/>
  <c r="W1672" i="1"/>
  <c r="W1656" i="1"/>
  <c r="W1640" i="1"/>
  <c r="W1624" i="1"/>
  <c r="W1608" i="1"/>
  <c r="W1592" i="1"/>
  <c r="W1576" i="1"/>
  <c r="W1560" i="1"/>
  <c r="W1544" i="1"/>
  <c r="W1528" i="1"/>
  <c r="W1512" i="1"/>
  <c r="W1496" i="1"/>
  <c r="W1480" i="1"/>
  <c r="W1464" i="1"/>
  <c r="W1456" i="1"/>
  <c r="W1440" i="1"/>
  <c r="W1424" i="1"/>
  <c r="W1408" i="1"/>
  <c r="W1392" i="1"/>
  <c r="W1376" i="1"/>
  <c r="W1360" i="1"/>
  <c r="W1344" i="1"/>
  <c r="W1328" i="1"/>
  <c r="W1312" i="1"/>
  <c r="W1296" i="1"/>
  <c r="W1280" i="1"/>
  <c r="W1264" i="1"/>
  <c r="W1248" i="1"/>
  <c r="W1232" i="1"/>
  <c r="W1216" i="1"/>
  <c r="W1200" i="1"/>
  <c r="W1184" i="1"/>
  <c r="W1168" i="1"/>
  <c r="W1152" i="1"/>
  <c r="W1136" i="1"/>
  <c r="W1120" i="1"/>
  <c r="W1104" i="1"/>
  <c r="W1088" i="1"/>
  <c r="W1072" i="1"/>
  <c r="W1056" i="1"/>
  <c r="W1040" i="1"/>
  <c r="W1024" i="1"/>
  <c r="W1008" i="1"/>
  <c r="W992" i="1"/>
  <c r="W976" i="1"/>
  <c r="W960" i="1"/>
  <c r="W944" i="1"/>
  <c r="W928" i="1"/>
  <c r="W912" i="1"/>
  <c r="W896" i="1"/>
  <c r="W880" i="1"/>
  <c r="W864" i="1"/>
  <c r="W848" i="1"/>
  <c r="W832" i="1"/>
  <c r="W816" i="1"/>
  <c r="W800" i="1"/>
  <c r="W784" i="1"/>
  <c r="W768" i="1"/>
  <c r="W752" i="1"/>
  <c r="W736" i="1"/>
  <c r="W720" i="1"/>
  <c r="W704" i="1"/>
  <c r="W688" i="1"/>
  <c r="W672" i="1"/>
  <c r="W656" i="1"/>
  <c r="W640" i="1"/>
  <c r="W624" i="1"/>
  <c r="W608" i="1"/>
  <c r="W600" i="1"/>
  <c r="W584" i="1"/>
  <c r="W568" i="1"/>
  <c r="W552" i="1"/>
  <c r="W536" i="1"/>
  <c r="W520" i="1"/>
  <c r="W504" i="1"/>
  <c r="W488" i="1"/>
  <c r="W472" i="1"/>
  <c r="W456" i="1"/>
  <c r="W440" i="1"/>
  <c r="W424" i="1"/>
  <c r="W408" i="1"/>
  <c r="W392" i="1"/>
  <c r="W376" i="1"/>
  <c r="W360" i="1"/>
  <c r="W344" i="1"/>
  <c r="W328" i="1"/>
  <c r="W312" i="1"/>
  <c r="W296" i="1"/>
  <c r="W280" i="1"/>
  <c r="W264" i="1"/>
  <c r="W248" i="1"/>
  <c r="W232" i="1"/>
  <c r="W216" i="1"/>
  <c r="W200" i="1"/>
  <c r="W184" i="1"/>
  <c r="W168" i="1"/>
  <c r="W152" i="1"/>
  <c r="W144" i="1"/>
  <c r="W128" i="1"/>
  <c r="W112" i="1"/>
  <c r="W96" i="1"/>
  <c r="W80" i="1"/>
  <c r="W64" i="1"/>
  <c r="W48" i="1"/>
  <c r="W24" i="1"/>
  <c r="W8" i="1"/>
  <c r="W3498" i="1"/>
  <c r="W3490" i="1"/>
  <c r="W3482" i="1"/>
  <c r="W3474" i="1"/>
  <c r="W3466" i="1"/>
  <c r="W3458" i="1"/>
  <c r="W3450" i="1"/>
  <c r="W3442" i="1"/>
  <c r="W3434" i="1"/>
  <c r="W3426" i="1"/>
  <c r="W3418" i="1"/>
  <c r="W3410" i="1"/>
  <c r="W3402" i="1"/>
  <c r="W3394" i="1"/>
  <c r="W3386" i="1"/>
  <c r="W3378" i="1"/>
  <c r="W3370" i="1"/>
  <c r="W3362" i="1"/>
  <c r="W3354" i="1"/>
  <c r="W3346" i="1"/>
  <c r="W3338" i="1"/>
  <c r="W3330" i="1"/>
  <c r="W3322" i="1"/>
  <c r="W3314" i="1"/>
  <c r="W3306" i="1"/>
  <c r="W3298" i="1"/>
  <c r="W3290" i="1"/>
  <c r="W3282" i="1"/>
  <c r="W3274" i="1"/>
  <c r="W3266" i="1"/>
  <c r="W3258" i="1"/>
  <c r="W3250" i="1"/>
  <c r="W3242" i="1"/>
  <c r="W3234" i="1"/>
  <c r="W3226" i="1"/>
  <c r="W3218" i="1"/>
  <c r="W3210" i="1"/>
  <c r="W3202" i="1"/>
  <c r="W3194" i="1"/>
  <c r="W3186" i="1"/>
  <c r="W3178" i="1"/>
  <c r="W3170" i="1"/>
  <c r="W3162" i="1"/>
  <c r="W3154" i="1"/>
  <c r="W3146" i="1"/>
  <c r="W3138" i="1"/>
  <c r="W3130" i="1"/>
  <c r="W3122" i="1"/>
  <c r="W3114" i="1"/>
  <c r="W3106" i="1"/>
  <c r="W3098" i="1"/>
  <c r="W3090" i="1"/>
  <c r="W3082" i="1"/>
  <c r="W3074" i="1"/>
  <c r="W3066" i="1"/>
  <c r="W3058" i="1"/>
  <c r="W3050" i="1"/>
  <c r="W3042" i="1"/>
  <c r="W3034" i="1"/>
  <c r="W3026" i="1"/>
  <c r="W3018" i="1"/>
  <c r="W3010" i="1"/>
  <c r="W3002" i="1"/>
  <c r="W2994" i="1"/>
  <c r="W2986" i="1"/>
  <c r="W2978" i="1"/>
  <c r="W2970" i="1"/>
  <c r="W2962" i="1"/>
  <c r="W2954" i="1"/>
  <c r="W2946" i="1"/>
  <c r="W2938" i="1"/>
  <c r="W2930" i="1"/>
  <c r="W2922" i="1"/>
  <c r="W2914" i="1"/>
  <c r="W2906" i="1"/>
  <c r="W2898" i="1"/>
  <c r="W2890" i="1"/>
  <c r="W2882" i="1"/>
  <c r="W2874" i="1"/>
  <c r="W2866" i="1"/>
  <c r="W2858" i="1"/>
  <c r="W2850" i="1"/>
  <c r="W2842" i="1"/>
  <c r="W2834" i="1"/>
  <c r="W2826" i="1"/>
  <c r="W2818" i="1"/>
  <c r="W2810" i="1"/>
  <c r="W2802" i="1"/>
  <c r="W2794" i="1"/>
  <c r="W2786" i="1"/>
  <c r="W2778" i="1"/>
  <c r="W2770" i="1"/>
  <c r="W2762" i="1"/>
  <c r="W2754" i="1"/>
  <c r="W2746" i="1"/>
  <c r="W2738" i="1"/>
  <c r="W2730" i="1"/>
  <c r="W2722" i="1"/>
  <c r="W2714" i="1"/>
  <c r="W2706" i="1"/>
  <c r="W2698" i="1"/>
  <c r="W2690" i="1"/>
  <c r="W2682" i="1"/>
  <c r="W2674" i="1"/>
  <c r="W2666" i="1"/>
  <c r="W2658" i="1"/>
  <c r="W2650" i="1"/>
  <c r="W2642" i="1"/>
  <c r="W2634" i="1"/>
  <c r="W2626" i="1"/>
  <c r="W2618" i="1"/>
  <c r="W2610" i="1"/>
  <c r="W2602" i="1"/>
  <c r="W2594" i="1"/>
  <c r="W2586" i="1"/>
  <c r="W2578" i="1"/>
  <c r="W2570" i="1"/>
  <c r="W2562" i="1"/>
  <c r="W2554" i="1"/>
  <c r="W2546" i="1"/>
  <c r="W2538" i="1"/>
  <c r="W2530" i="1"/>
  <c r="W2522" i="1"/>
  <c r="W2514" i="1"/>
  <c r="W2506" i="1"/>
  <c r="W2498" i="1"/>
  <c r="W2490" i="1"/>
  <c r="W2482" i="1"/>
  <c r="W2474" i="1"/>
  <c r="W2466" i="1"/>
  <c r="W2458" i="1"/>
  <c r="W2450" i="1"/>
  <c r="W2442" i="1"/>
  <c r="W2434" i="1"/>
  <c r="W2426" i="1"/>
  <c r="W2418" i="1"/>
  <c r="W2410" i="1"/>
  <c r="W2402" i="1"/>
  <c r="W2394" i="1"/>
  <c r="W2386" i="1"/>
  <c r="W2378" i="1"/>
  <c r="W2370" i="1"/>
  <c r="W2362" i="1"/>
  <c r="W2354" i="1"/>
  <c r="W2346" i="1"/>
  <c r="W2338" i="1"/>
  <c r="W2330" i="1"/>
  <c r="W2322" i="1"/>
  <c r="W2314" i="1"/>
  <c r="W2306" i="1"/>
  <c r="W2298" i="1"/>
  <c r="W2290" i="1"/>
  <c r="W2282" i="1"/>
  <c r="W2274" i="1"/>
  <c r="W2266" i="1"/>
  <c r="W2258" i="1"/>
  <c r="W2250" i="1"/>
  <c r="W2242" i="1"/>
  <c r="W2234" i="1"/>
  <c r="W2226" i="1"/>
  <c r="W2218" i="1"/>
  <c r="W2210" i="1"/>
  <c r="W2202" i="1"/>
  <c r="W2194" i="1"/>
  <c r="W2186" i="1"/>
  <c r="W2178" i="1"/>
  <c r="W2170" i="1"/>
  <c r="W2162" i="1"/>
  <c r="W2154" i="1"/>
  <c r="W2146" i="1"/>
  <c r="W2138" i="1"/>
  <c r="W2130" i="1"/>
  <c r="W2122" i="1"/>
  <c r="W2114" i="1"/>
  <c r="W2106" i="1"/>
  <c r="W2098" i="1"/>
  <c r="W2090" i="1"/>
  <c r="W2082" i="1"/>
  <c r="W2074" i="1"/>
  <c r="W2066" i="1"/>
  <c r="W2058" i="1"/>
  <c r="W2050" i="1"/>
  <c r="W2042" i="1"/>
  <c r="W2034" i="1"/>
  <c r="W2026" i="1"/>
  <c r="W2018" i="1"/>
  <c r="W2010" i="1"/>
  <c r="W2002" i="1"/>
  <c r="W1994" i="1"/>
  <c r="W1986" i="1"/>
  <c r="W1978" i="1"/>
  <c r="W1970" i="1"/>
  <c r="W1962" i="1"/>
  <c r="W1954" i="1"/>
  <c r="W1946" i="1"/>
  <c r="W1938" i="1"/>
  <c r="W1930" i="1"/>
  <c r="W1922" i="1"/>
  <c r="W1914" i="1"/>
  <c r="W1906" i="1"/>
  <c r="W1898" i="1"/>
  <c r="W1890" i="1"/>
  <c r="W1882" i="1"/>
  <c r="W1874" i="1"/>
  <c r="W1866" i="1"/>
  <c r="W1858" i="1"/>
  <c r="W1850" i="1"/>
  <c r="W1842" i="1"/>
  <c r="W1834" i="1"/>
  <c r="W1826" i="1"/>
  <c r="W1818" i="1"/>
  <c r="W1810" i="1"/>
  <c r="W1802" i="1"/>
  <c r="W1794" i="1"/>
  <c r="W1786" i="1"/>
  <c r="W1778" i="1"/>
  <c r="W1770" i="1"/>
  <c r="W1762" i="1"/>
  <c r="W1754" i="1"/>
  <c r="W1746" i="1"/>
  <c r="W1738" i="1"/>
  <c r="W1730" i="1"/>
  <c r="W1722" i="1"/>
  <c r="W1714" i="1"/>
  <c r="W1706" i="1"/>
  <c r="W1698" i="1"/>
  <c r="W1690" i="1"/>
  <c r="W1682" i="1"/>
  <c r="W1674" i="1"/>
  <c r="W1666" i="1"/>
  <c r="W1658" i="1"/>
  <c r="W1650" i="1"/>
  <c r="W1642" i="1"/>
  <c r="W1634" i="1"/>
  <c r="W1626" i="1"/>
  <c r="W1618" i="1"/>
  <c r="W1610" i="1"/>
  <c r="W1602" i="1"/>
  <c r="W1594" i="1"/>
  <c r="W1586" i="1"/>
  <c r="W1578" i="1"/>
  <c r="W1570" i="1"/>
  <c r="W1562" i="1"/>
  <c r="W1554" i="1"/>
  <c r="W1546" i="1"/>
  <c r="W1538" i="1"/>
  <c r="W1530" i="1"/>
  <c r="W1522" i="1"/>
  <c r="W1514" i="1"/>
  <c r="W1506" i="1"/>
  <c r="W1498" i="1"/>
  <c r="W1490" i="1"/>
  <c r="W1482" i="1"/>
  <c r="W1474" i="1"/>
  <c r="W1466" i="1"/>
  <c r="W1458" i="1"/>
  <c r="W1450" i="1"/>
  <c r="W1442" i="1"/>
  <c r="W1434" i="1"/>
  <c r="W1426" i="1"/>
  <c r="W1418" i="1"/>
  <c r="W1410" i="1"/>
  <c r="W1402" i="1"/>
  <c r="W1394" i="1"/>
  <c r="W1386" i="1"/>
  <c r="W1378" i="1"/>
  <c r="W1370" i="1"/>
  <c r="W1362" i="1"/>
  <c r="W1354" i="1"/>
  <c r="W1346" i="1"/>
  <c r="W1338" i="1"/>
  <c r="W1330" i="1"/>
  <c r="W1322" i="1"/>
  <c r="W1314" i="1"/>
  <c r="W1306" i="1"/>
  <c r="W1298" i="1"/>
  <c r="W1290" i="1"/>
  <c r="W1282" i="1"/>
  <c r="W1274" i="1"/>
  <c r="W1266" i="1"/>
  <c r="W1258" i="1"/>
  <c r="W1250" i="1"/>
  <c r="W1242" i="1"/>
  <c r="W1234" i="1"/>
  <c r="W1226" i="1"/>
  <c r="W1218" i="1"/>
  <c r="W1210" i="1"/>
  <c r="W1202" i="1"/>
  <c r="W1194" i="1"/>
  <c r="W1186" i="1"/>
  <c r="W1178" i="1"/>
  <c r="W1170" i="1"/>
  <c r="W1162" i="1"/>
  <c r="W1154" i="1"/>
  <c r="W1146" i="1"/>
  <c r="W1138" i="1"/>
  <c r="W1130" i="1"/>
  <c r="W1122" i="1"/>
  <c r="W1114" i="1"/>
  <c r="W1106" i="1"/>
  <c r="W1098" i="1"/>
  <c r="W1090" i="1"/>
  <c r="W1082" i="1"/>
  <c r="W1074" i="1"/>
  <c r="W1066" i="1"/>
  <c r="W1058" i="1"/>
  <c r="W1050" i="1"/>
  <c r="W1042" i="1"/>
  <c r="W1034" i="1"/>
  <c r="W1026" i="1"/>
  <c r="W1018" i="1"/>
  <c r="W1010" i="1"/>
  <c r="W1002" i="1"/>
  <c r="W994" i="1"/>
  <c r="W986" i="1"/>
  <c r="W978" i="1"/>
  <c r="W970" i="1"/>
  <c r="W962" i="1"/>
  <c r="W954" i="1"/>
  <c r="W946" i="1"/>
  <c r="W938" i="1"/>
  <c r="W930" i="1"/>
  <c r="W922" i="1"/>
  <c r="W914" i="1"/>
  <c r="W906" i="1"/>
  <c r="W898" i="1"/>
  <c r="W890" i="1"/>
  <c r="W882" i="1"/>
  <c r="W874" i="1"/>
  <c r="W866" i="1"/>
  <c r="W858" i="1"/>
  <c r="W850" i="1"/>
  <c r="W842" i="1"/>
  <c r="W834" i="1"/>
  <c r="W826" i="1"/>
  <c r="W818" i="1"/>
  <c r="W810" i="1"/>
  <c r="W802" i="1"/>
  <c r="W794" i="1"/>
  <c r="W786" i="1"/>
  <c r="W3871" i="1"/>
  <c r="W2155" i="1"/>
  <c r="W2147" i="1"/>
  <c r="W2139" i="1"/>
  <c r="W2131" i="1"/>
  <c r="W2123" i="1"/>
  <c r="W2115" i="1"/>
  <c r="W2107" i="1"/>
  <c r="W2099" i="1"/>
  <c r="W2091" i="1"/>
  <c r="W2083" i="1"/>
  <c r="W2075" i="1"/>
  <c r="W2067" i="1"/>
  <c r="W2059" i="1"/>
  <c r="W2051" i="1"/>
  <c r="W2043" i="1"/>
  <c r="W2035" i="1"/>
  <c r="W2027" i="1"/>
  <c r="W2019" i="1"/>
  <c r="W2011" i="1"/>
  <c r="W2003" i="1"/>
  <c r="W1995" i="1"/>
  <c r="W1987" i="1"/>
  <c r="W1979" i="1"/>
  <c r="W1971" i="1"/>
  <c r="W1963" i="1"/>
  <c r="W1955" i="1"/>
  <c r="W1947" i="1"/>
  <c r="W1939" i="1"/>
  <c r="W1931" i="1"/>
  <c r="W1923" i="1"/>
  <c r="W1915" i="1"/>
  <c r="W1907" i="1"/>
  <c r="W1899" i="1"/>
  <c r="W1891" i="1"/>
  <c r="W1883" i="1"/>
  <c r="W1875" i="1"/>
  <c r="W1867" i="1"/>
  <c r="W1859" i="1"/>
  <c r="W1851" i="1"/>
  <c r="W1843" i="1"/>
  <c r="W1835" i="1"/>
  <c r="W1827" i="1"/>
  <c r="W1819" i="1"/>
  <c r="W1811" i="1"/>
  <c r="W1803" i="1"/>
  <c r="W1795" i="1"/>
  <c r="W1787" i="1"/>
  <c r="W1779" i="1"/>
  <c r="W1771" i="1"/>
  <c r="W1763" i="1"/>
  <c r="W1755" i="1"/>
  <c r="W1747" i="1"/>
  <c r="W1739" i="1"/>
  <c r="W1731" i="1"/>
  <c r="W1723" i="1"/>
  <c r="W1715" i="1"/>
  <c r="W1707" i="1"/>
  <c r="W1699" i="1"/>
  <c r="W1691" i="1"/>
  <c r="W1683" i="1"/>
  <c r="W1675" i="1"/>
  <c r="W1667" i="1"/>
  <c r="W1659" i="1"/>
  <c r="W1651" i="1"/>
  <c r="W1643" i="1"/>
  <c r="W1635" i="1"/>
  <c r="W1627" i="1"/>
  <c r="W1619" i="1"/>
  <c r="W1611" i="1"/>
  <c r="W1603" i="1"/>
  <c r="W1595" i="1"/>
  <c r="W1587" i="1"/>
  <c r="W1579" i="1"/>
  <c r="W1571" i="1"/>
  <c r="W1563" i="1"/>
  <c r="W1555" i="1"/>
  <c r="W1547" i="1"/>
  <c r="W1539" i="1"/>
  <c r="W1531" i="1"/>
  <c r="W1523" i="1"/>
  <c r="W1515" i="1"/>
  <c r="W1507" i="1"/>
  <c r="W1499" i="1"/>
  <c r="W1491" i="1"/>
  <c r="W1483" i="1"/>
  <c r="W1475" i="1"/>
  <c r="W1467" i="1"/>
  <c r="W1459" i="1"/>
  <c r="W1451" i="1"/>
  <c r="W1443" i="1"/>
  <c r="W1435" i="1"/>
  <c r="W1427" i="1"/>
  <c r="W1419" i="1"/>
  <c r="W1411" i="1"/>
  <c r="W1403" i="1"/>
  <c r="W1395" i="1"/>
  <c r="W1387" i="1"/>
  <c r="W1379" i="1"/>
  <c r="W1371" i="1"/>
  <c r="W1363" i="1"/>
  <c r="W1355" i="1"/>
  <c r="W1347" i="1"/>
  <c r="W1339" i="1"/>
  <c r="W1331" i="1"/>
  <c r="W1323" i="1"/>
  <c r="W1315" i="1"/>
  <c r="W1307" i="1"/>
  <c r="W1299" i="1"/>
  <c r="W1291" i="1"/>
  <c r="W1283" i="1"/>
  <c r="W1275" i="1"/>
  <c r="W1267" i="1"/>
  <c r="W1259" i="1"/>
  <c r="W1251" i="1"/>
  <c r="W1243" i="1"/>
  <c r="W1235" i="1"/>
  <c r="W1227" i="1"/>
  <c r="W1219" i="1"/>
  <c r="W1211" i="1"/>
  <c r="W1203" i="1"/>
  <c r="W1195" i="1"/>
  <c r="W1187" i="1"/>
  <c r="W1179" i="1"/>
  <c r="W1171" i="1"/>
  <c r="W1163" i="1"/>
  <c r="W1155" i="1"/>
  <c r="W1147" i="1"/>
  <c r="W1139" i="1"/>
  <c r="W1131" i="1"/>
  <c r="W1123" i="1"/>
  <c r="W1115" i="1"/>
  <c r="W1107" i="1"/>
  <c r="W1099" i="1"/>
  <c r="W1091" i="1"/>
  <c r="W1083" i="1"/>
  <c r="W1075" i="1"/>
  <c r="W1067" i="1"/>
  <c r="W1059" i="1"/>
  <c r="W1051" i="1"/>
  <c r="W1043" i="1"/>
  <c r="W1035" i="1"/>
  <c r="W1027" i="1"/>
  <c r="W1019" i="1"/>
  <c r="W1011" i="1"/>
  <c r="W1003" i="1"/>
  <c r="W995" i="1"/>
  <c r="W987" i="1"/>
  <c r="W979" i="1"/>
  <c r="W971" i="1"/>
  <c r="W963" i="1"/>
  <c r="W955" i="1"/>
  <c r="W947" i="1"/>
  <c r="W939" i="1"/>
  <c r="W931" i="1"/>
  <c r="W923" i="1"/>
  <c r="W915" i="1"/>
  <c r="W907" i="1"/>
  <c r="W899" i="1"/>
  <c r="W891" i="1"/>
  <c r="W883" i="1"/>
  <c r="W875" i="1"/>
  <c r="W867" i="1"/>
  <c r="W859" i="1"/>
  <c r="W851" i="1"/>
  <c r="W843" i="1"/>
  <c r="W835" i="1"/>
  <c r="W827" i="1"/>
  <c r="W4001" i="1"/>
  <c r="W3993" i="1"/>
  <c r="W3985" i="1"/>
  <c r="W3977" i="1"/>
  <c r="W3969" i="1"/>
  <c r="W3961" i="1"/>
  <c r="W3953" i="1"/>
  <c r="W3945" i="1"/>
  <c r="W3937" i="1"/>
  <c r="W3929" i="1"/>
  <c r="W3921" i="1"/>
  <c r="W3913" i="1"/>
  <c r="W3905" i="1"/>
  <c r="W3897" i="1"/>
  <c r="W3889" i="1"/>
  <c r="W3881" i="1"/>
  <c r="W3873" i="1"/>
  <c r="W3865" i="1"/>
  <c r="W3857" i="1"/>
  <c r="W3849" i="1"/>
  <c r="W3841" i="1"/>
  <c r="W3833" i="1"/>
  <c r="W3825" i="1"/>
  <c r="W3817" i="1"/>
  <c r="W3809" i="1"/>
  <c r="W3801" i="1"/>
  <c r="W3793" i="1"/>
  <c r="W3785" i="1"/>
  <c r="W3777" i="1"/>
  <c r="W3769" i="1"/>
  <c r="W3761" i="1"/>
  <c r="W3753" i="1"/>
  <c r="W3745" i="1"/>
  <c r="W3737" i="1"/>
  <c r="W3729" i="1"/>
  <c r="W3721" i="1"/>
  <c r="W3713" i="1"/>
  <c r="W3705" i="1"/>
  <c r="W3697" i="1"/>
  <c r="W3689" i="1"/>
  <c r="W3681" i="1"/>
  <c r="W3673" i="1"/>
  <c r="W3665" i="1"/>
  <c r="W3657" i="1"/>
  <c r="W3649" i="1"/>
  <c r="W3641" i="1"/>
  <c r="W3633" i="1"/>
  <c r="W3625" i="1"/>
  <c r="W3617" i="1"/>
  <c r="W3609" i="1"/>
  <c r="W3601" i="1"/>
  <c r="W3593" i="1"/>
  <c r="W3585" i="1"/>
  <c r="W3577" i="1"/>
  <c r="W3569" i="1"/>
  <c r="W3561" i="1"/>
  <c r="W3553" i="1"/>
  <c r="W3545" i="1"/>
  <c r="W3537" i="1"/>
  <c r="W3529" i="1"/>
  <c r="W3521" i="1"/>
  <c r="W3513" i="1"/>
  <c r="W3505" i="1"/>
  <c r="W3497" i="1"/>
  <c r="W3489" i="1"/>
  <c r="W3481" i="1"/>
  <c r="W3473" i="1"/>
  <c r="W3465" i="1"/>
  <c r="W3457" i="1"/>
  <c r="W3449" i="1"/>
  <c r="W3441" i="1"/>
  <c r="W3433" i="1"/>
  <c r="W3425" i="1"/>
  <c r="W3417" i="1"/>
  <c r="W3409" i="1"/>
  <c r="W3401" i="1"/>
  <c r="W3393" i="1"/>
  <c r="W3385" i="1"/>
  <c r="W3377" i="1"/>
  <c r="W3369" i="1"/>
  <c r="W3361" i="1"/>
  <c r="W3353" i="1"/>
  <c r="W3345" i="1"/>
  <c r="W3337" i="1"/>
  <c r="W3329" i="1"/>
  <c r="W3321" i="1"/>
  <c r="W3313" i="1"/>
  <c r="W3305" i="1"/>
  <c r="W3297" i="1"/>
  <c r="W3289" i="1"/>
  <c r="W3281" i="1"/>
  <c r="W3193" i="1"/>
  <c r="W2113" i="1"/>
  <c r="W3999" i="1"/>
  <c r="W3991" i="1"/>
  <c r="W3983" i="1"/>
  <c r="W3975" i="1"/>
  <c r="W3967" i="1"/>
  <c r="W3959" i="1"/>
  <c r="W3951" i="1"/>
  <c r="W3943" i="1"/>
  <c r="W3935" i="1"/>
  <c r="W3927" i="1"/>
  <c r="W3919" i="1"/>
  <c r="W3911" i="1"/>
  <c r="W3903" i="1"/>
  <c r="W3895" i="1"/>
  <c r="W3887" i="1"/>
  <c r="W3879" i="1"/>
  <c r="W3863" i="1"/>
  <c r="W3855" i="1"/>
  <c r="W3839" i="1"/>
  <c r="W3831" i="1"/>
  <c r="W3823" i="1"/>
  <c r="W3815" i="1"/>
  <c r="W3807" i="1"/>
  <c r="W3799" i="1"/>
  <c r="W3791" i="1"/>
  <c r="W3783" i="1"/>
  <c r="W3775" i="1"/>
  <c r="W3767" i="1"/>
  <c r="W3759" i="1"/>
  <c r="W3751" i="1"/>
  <c r="W3743" i="1"/>
  <c r="W3735" i="1"/>
  <c r="W3727" i="1"/>
  <c r="W3719" i="1"/>
  <c r="W3711" i="1"/>
  <c r="W3703" i="1"/>
  <c r="W3695" i="1"/>
  <c r="W3687" i="1"/>
  <c r="W3679" i="1"/>
  <c r="W3671" i="1"/>
  <c r="W3663" i="1"/>
  <c r="W3655" i="1"/>
  <c r="W3647" i="1"/>
  <c r="W3639" i="1"/>
  <c r="W3631" i="1"/>
  <c r="W3623" i="1"/>
  <c r="W3615" i="1"/>
  <c r="W3607" i="1"/>
  <c r="W3599" i="1"/>
  <c r="W3591" i="1"/>
  <c r="W3567" i="1"/>
  <c r="W3543" i="1"/>
  <c r="W3423" i="1"/>
  <c r="W3359" i="1"/>
  <c r="W3287" i="1"/>
  <c r="W3055" i="1"/>
  <c r="W3047" i="1"/>
  <c r="W2991" i="1"/>
  <c r="W2823" i="1"/>
  <c r="W3583" i="1"/>
  <c r="W3575" i="1"/>
  <c r="W3559" i="1"/>
  <c r="W3551" i="1"/>
  <c r="W3535" i="1"/>
  <c r="W3527" i="1"/>
  <c r="W3519" i="1"/>
  <c r="W3511" i="1"/>
  <c r="W3503" i="1"/>
  <c r="W3495" i="1"/>
  <c r="W3487" i="1"/>
  <c r="W3471" i="1"/>
  <c r="W3463" i="1"/>
  <c r="W3455" i="1"/>
  <c r="W3447" i="1"/>
  <c r="W3439" i="1"/>
  <c r="W3431" i="1"/>
  <c r="W3415" i="1"/>
  <c r="W3407" i="1"/>
  <c r="W3399" i="1"/>
  <c r="W3391" i="1"/>
  <c r="W3383" i="1"/>
  <c r="W3375" i="1"/>
  <c r="W3367" i="1"/>
  <c r="W3351" i="1"/>
  <c r="W3343" i="1"/>
  <c r="W3335" i="1"/>
  <c r="W3327" i="1"/>
  <c r="W3319" i="1"/>
  <c r="W3303" i="1"/>
  <c r="W3295" i="1"/>
  <c r="W3279" i="1"/>
  <c r="W3271" i="1"/>
  <c r="W3263" i="1"/>
  <c r="W3255" i="1"/>
  <c r="W3247" i="1"/>
  <c r="W3239" i="1"/>
  <c r="W3231" i="1"/>
  <c r="W3223" i="1"/>
  <c r="W3215" i="1"/>
  <c r="W3207" i="1"/>
  <c r="W3199" i="1"/>
  <c r="W3191" i="1"/>
  <c r="W3183" i="1"/>
  <c r="W3175" i="1"/>
  <c r="W3159" i="1"/>
  <c r="W3151" i="1"/>
  <c r="W3143" i="1"/>
  <c r="W3135" i="1"/>
  <c r="W3127" i="1"/>
  <c r="W3119" i="1"/>
  <c r="W3111" i="1"/>
  <c r="W3103" i="1"/>
  <c r="W3095" i="1"/>
  <c r="W3087" i="1"/>
  <c r="W3079" i="1"/>
  <c r="W3071" i="1"/>
  <c r="W3063" i="1"/>
  <c r="W3039" i="1"/>
  <c r="W3031" i="1"/>
  <c r="W3023" i="1"/>
  <c r="W3015" i="1"/>
  <c r="W3007" i="1"/>
  <c r="W2999" i="1"/>
  <c r="W2983" i="1"/>
  <c r="W2975" i="1"/>
  <c r="W2967" i="1"/>
  <c r="W2959" i="1"/>
  <c r="W2951" i="1"/>
  <c r="W2943" i="1"/>
  <c r="W2935" i="1"/>
  <c r="W2927" i="1"/>
  <c r="W2919" i="1"/>
  <c r="W2911" i="1"/>
  <c r="W2903" i="1"/>
  <c r="W2895" i="1"/>
  <c r="W2887" i="1"/>
  <c r="W2879" i="1"/>
  <c r="W2871" i="1"/>
  <c r="W2863" i="1"/>
  <c r="W2855" i="1"/>
  <c r="W2847" i="1"/>
  <c r="W2839" i="1"/>
  <c r="W2831" i="1"/>
  <c r="W2815" i="1"/>
  <c r="W2807" i="1"/>
  <c r="W2799" i="1"/>
  <c r="W2791" i="1"/>
  <c r="W2783" i="1"/>
  <c r="W2775" i="1"/>
  <c r="W2767" i="1"/>
  <c r="W2759" i="1"/>
  <c r="W2751" i="1"/>
  <c r="W2743" i="1"/>
  <c r="W2735" i="1"/>
  <c r="W2727" i="1"/>
  <c r="W2719" i="1"/>
  <c r="W2711" i="1"/>
  <c r="W2703" i="1"/>
  <c r="W2695" i="1"/>
  <c r="W2687" i="1"/>
  <c r="W2679" i="1"/>
  <c r="W2671" i="1"/>
  <c r="W2663" i="1"/>
  <c r="W2655" i="1"/>
  <c r="W2647" i="1"/>
  <c r="W2639" i="1"/>
  <c r="W2631" i="1"/>
  <c r="W2623" i="1"/>
  <c r="W2615" i="1"/>
  <c r="W2607" i="1"/>
  <c r="W2599" i="1"/>
  <c r="W2591" i="1"/>
  <c r="W2583" i="1"/>
  <c r="W2575" i="1"/>
  <c r="W2567" i="1"/>
  <c r="W2559" i="1"/>
  <c r="W2551" i="1"/>
  <c r="W2543" i="1"/>
  <c r="W2535" i="1"/>
  <c r="W2527" i="1"/>
  <c r="W2519" i="1"/>
  <c r="W2511" i="1"/>
  <c r="W2503" i="1"/>
  <c r="W2495" i="1"/>
  <c r="W2487" i="1"/>
  <c r="W2479" i="1"/>
  <c r="W2471" i="1"/>
  <c r="W2463" i="1"/>
  <c r="W2455" i="1"/>
  <c r="W2447" i="1"/>
  <c r="W2439" i="1"/>
  <c r="W2431" i="1"/>
  <c r="W2423" i="1"/>
  <c r="W2415" i="1"/>
  <c r="W2407" i="1"/>
  <c r="W2399" i="1"/>
  <c r="W2391" i="1"/>
  <c r="W2383" i="1"/>
  <c r="W2375" i="1"/>
  <c r="W2367" i="1"/>
  <c r="W2359" i="1"/>
  <c r="W2351" i="1"/>
  <c r="W2343" i="1"/>
  <c r="W2335" i="1"/>
  <c r="W2327" i="1"/>
  <c r="W2319" i="1"/>
  <c r="W2311" i="1"/>
  <c r="W2303" i="1"/>
  <c r="W2295" i="1"/>
  <c r="W2287" i="1"/>
  <c r="W2279" i="1"/>
  <c r="W2271" i="1"/>
  <c r="W2263" i="1"/>
  <c r="W2255" i="1"/>
  <c r="W2247" i="1"/>
  <c r="W2239" i="1"/>
  <c r="W2231" i="1"/>
  <c r="W2223" i="1"/>
  <c r="W2215" i="1"/>
  <c r="W2207" i="1"/>
  <c r="W2199" i="1"/>
  <c r="W2191" i="1"/>
  <c r="W2183" i="1"/>
  <c r="W2175" i="1"/>
  <c r="W2167" i="1"/>
  <c r="W2159" i="1"/>
  <c r="W2151" i="1"/>
  <c r="W2143" i="1"/>
  <c r="W2135" i="1"/>
  <c r="W2127" i="1"/>
  <c r="W2119" i="1"/>
  <c r="W2111" i="1"/>
  <c r="W2103" i="1"/>
  <c r="W2095" i="1"/>
  <c r="W2087" i="1"/>
  <c r="W2079" i="1"/>
  <c r="W2071" i="1"/>
  <c r="W2063" i="1"/>
  <c r="W2055" i="1"/>
  <c r="W2047" i="1"/>
  <c r="W2039" i="1"/>
  <c r="W2031" i="1"/>
  <c r="W2023" i="1"/>
  <c r="W2015" i="1"/>
  <c r="W2007" i="1"/>
  <c r="W1999" i="1"/>
  <c r="W1991" i="1"/>
  <c r="W1983" i="1"/>
  <c r="W1975" i="1"/>
  <c r="W1967" i="1"/>
  <c r="W1959" i="1"/>
  <c r="W1951" i="1"/>
  <c r="W1943" i="1"/>
  <c r="W1935" i="1"/>
  <c r="W1927" i="1"/>
  <c r="W1919" i="1"/>
  <c r="W1911" i="1"/>
  <c r="W1903" i="1"/>
  <c r="W1895" i="1"/>
  <c r="W1887" i="1"/>
  <c r="W1879" i="1"/>
  <c r="W1871" i="1"/>
  <c r="W1863" i="1"/>
  <c r="W1855" i="1"/>
  <c r="W1847" i="1"/>
  <c r="W1839" i="1"/>
  <c r="W1831" i="1"/>
  <c r="W1823" i="1"/>
  <c r="W1815" i="1"/>
  <c r="W1807" i="1"/>
  <c r="W1799" i="1"/>
  <c r="W1791" i="1"/>
  <c r="W1783" i="1"/>
  <c r="W1775" i="1"/>
  <c r="W1767" i="1"/>
  <c r="W1759" i="1"/>
  <c r="W1751" i="1"/>
  <c r="W1743" i="1"/>
  <c r="W1735" i="1"/>
  <c r="W1727" i="1"/>
  <c r="W1719" i="1"/>
  <c r="W1711" i="1"/>
  <c r="W1703" i="1"/>
  <c r="W1695" i="1"/>
  <c r="W1687" i="1"/>
  <c r="W1679" i="1"/>
  <c r="W1671" i="1"/>
  <c r="W1663" i="1"/>
  <c r="W1655" i="1"/>
  <c r="W1647" i="1"/>
  <c r="W1639" i="1"/>
  <c r="W1631" i="1"/>
  <c r="W1623" i="1"/>
  <c r="W1615" i="1"/>
  <c r="W1607" i="1"/>
  <c r="W1599" i="1"/>
  <c r="W1591" i="1"/>
  <c r="W1583" i="1"/>
  <c r="W1575" i="1"/>
  <c r="W1567" i="1"/>
  <c r="W1559" i="1"/>
  <c r="W1551" i="1"/>
  <c r="W1543" i="1"/>
  <c r="W1535" i="1"/>
  <c r="W1527" i="1"/>
  <c r="W1519" i="1"/>
  <c r="W1511" i="1"/>
  <c r="W1503" i="1"/>
  <c r="W1495" i="1"/>
  <c r="W1487" i="1"/>
  <c r="W1479" i="1"/>
  <c r="W1471" i="1"/>
  <c r="W1463" i="1"/>
  <c r="W1455" i="1"/>
  <c r="W1447" i="1"/>
  <c r="W1439" i="1"/>
  <c r="W1431" i="1"/>
  <c r="W1423" i="1"/>
  <c r="W1415" i="1"/>
  <c r="W1407" i="1"/>
  <c r="W1399" i="1"/>
  <c r="W1391" i="1"/>
  <c r="W1383" i="1"/>
  <c r="W1375" i="1"/>
  <c r="W1367" i="1"/>
  <c r="W1359" i="1"/>
  <c r="W1351" i="1"/>
  <c r="W1343" i="1"/>
  <c r="W1335" i="1"/>
  <c r="W1327" i="1"/>
  <c r="W1319" i="1"/>
  <c r="W1311" i="1"/>
  <c r="W1303" i="1"/>
  <c r="W1295" i="1"/>
  <c r="W1287" i="1"/>
  <c r="W1279" i="1"/>
  <c r="W1271" i="1"/>
  <c r="W1263" i="1"/>
  <c r="W1255" i="1"/>
  <c r="W1247" i="1"/>
  <c r="W1239" i="1"/>
  <c r="W1231" i="1"/>
  <c r="W1223" i="1"/>
  <c r="W1215" i="1"/>
  <c r="W1207" i="1"/>
  <c r="W1199" i="1"/>
  <c r="W1191" i="1"/>
  <c r="W1183" i="1"/>
  <c r="W1175" i="1"/>
  <c r="W1167" i="1"/>
  <c r="W1159" i="1"/>
  <c r="W1151" i="1"/>
  <c r="W1143" i="1"/>
  <c r="W1135" i="1"/>
  <c r="W1127" i="1"/>
  <c r="W1119" i="1"/>
  <c r="W1111" i="1"/>
  <c r="W1103" i="1"/>
  <c r="W1095" i="1"/>
  <c r="W1087" i="1"/>
  <c r="W1079" i="1"/>
  <c r="W1071" i="1"/>
  <c r="W1063" i="1"/>
  <c r="W1055" i="1"/>
  <c r="W1047" i="1"/>
  <c r="W1039" i="1"/>
  <c r="W1031" i="1"/>
  <c r="W1023" i="1"/>
  <c r="W1015" i="1"/>
  <c r="W1007" i="1"/>
  <c r="W999" i="1"/>
  <c r="W991" i="1"/>
  <c r="W983" i="1"/>
  <c r="W975" i="1"/>
  <c r="W967" i="1"/>
  <c r="W959" i="1"/>
  <c r="W951" i="1"/>
  <c r="W943" i="1"/>
  <c r="W935" i="1"/>
  <c r="W927" i="1"/>
  <c r="W919" i="1"/>
  <c r="W911" i="1"/>
  <c r="W903" i="1"/>
  <c r="W895" i="1"/>
  <c r="W887" i="1"/>
  <c r="W879" i="1"/>
  <c r="W871" i="1"/>
  <c r="W863" i="1"/>
  <c r="W855" i="1"/>
  <c r="W847" i="1"/>
  <c r="W839" i="1"/>
  <c r="W3644" i="1"/>
  <c r="W3636" i="1"/>
  <c r="W3628" i="1"/>
  <c r="W3620" i="1"/>
  <c r="W3612" i="1"/>
  <c r="W3604" i="1"/>
  <c r="W3596" i="1"/>
  <c r="W3588" i="1"/>
  <c r="W3580" i="1"/>
  <c r="W3572" i="1"/>
  <c r="W3564" i="1"/>
  <c r="W3556" i="1"/>
  <c r="W3548" i="1"/>
  <c r="W3540" i="1"/>
  <c r="W3532" i="1"/>
  <c r="W3524" i="1"/>
  <c r="W3516" i="1"/>
  <c r="W3508" i="1"/>
  <c r="W3500" i="1"/>
  <c r="W3492" i="1"/>
  <c r="W3484" i="1"/>
  <c r="W3476" i="1"/>
  <c r="W3468" i="1"/>
  <c r="W3460" i="1"/>
  <c r="W3452" i="1"/>
  <c r="W3444" i="1"/>
  <c r="W3436" i="1"/>
  <c r="W3428" i="1"/>
  <c r="W3420" i="1"/>
  <c r="W3412" i="1"/>
  <c r="W3404" i="1"/>
  <c r="W3396" i="1"/>
  <c r="W3388" i="1"/>
  <c r="W3380" i="1"/>
  <c r="W3372" i="1"/>
  <c r="W3364" i="1"/>
  <c r="W3356" i="1"/>
  <c r="W3348" i="1"/>
  <c r="W3340" i="1"/>
  <c r="W3332" i="1"/>
  <c r="W3324" i="1"/>
  <c r="W3316" i="1"/>
  <c r="W3308" i="1"/>
  <c r="W3300" i="1"/>
  <c r="W3292" i="1"/>
  <c r="W3284" i="1"/>
  <c r="W3276" i="1"/>
  <c r="W3268" i="1"/>
  <c r="W3260" i="1"/>
  <c r="W3236" i="1"/>
  <c r="W3228" i="1"/>
  <c r="W3220" i="1"/>
  <c r="W3212" i="1"/>
  <c r="W3204" i="1"/>
  <c r="W3196" i="1"/>
  <c r="W3188" i="1"/>
  <c r="W3180" i="1"/>
  <c r="W3172" i="1"/>
  <c r="W3164" i="1"/>
  <c r="W3156" i="1"/>
  <c r="W3148" i="1"/>
  <c r="W3140" i="1"/>
  <c r="W3132" i="1"/>
  <c r="W3116" i="1"/>
  <c r="W3108" i="1"/>
  <c r="W3100" i="1"/>
  <c r="W3092" i="1"/>
  <c r="W3084" i="1"/>
  <c r="W3076" i="1"/>
  <c r="W3068" i="1"/>
  <c r="W3060" i="1"/>
  <c r="W3052" i="1"/>
  <c r="W3044" i="1"/>
  <c r="W3036" i="1"/>
  <c r="W3028" i="1"/>
  <c r="W3020" i="1"/>
  <c r="W3012" i="1"/>
  <c r="W3004" i="1"/>
  <c r="W2996" i="1"/>
  <c r="W2988" i="1"/>
  <c r="W2980" i="1"/>
  <c r="W2972" i="1"/>
  <c r="W2964" i="1"/>
  <c r="W2956" i="1"/>
  <c r="W2948" i="1"/>
  <c r="W2940" i="1"/>
  <c r="W2932" i="1"/>
  <c r="W2924" i="1"/>
  <c r="W2916" i="1"/>
  <c r="W2908" i="1"/>
  <c r="W2900" i="1"/>
  <c r="W2892" i="1"/>
  <c r="W2884" i="1"/>
  <c r="W2876" i="1"/>
  <c r="W2868" i="1"/>
  <c r="W2860" i="1"/>
  <c r="W2852" i="1"/>
  <c r="W2844" i="1"/>
  <c r="W2836" i="1"/>
  <c r="W2828" i="1"/>
  <c r="W2820" i="1"/>
  <c r="W2812" i="1"/>
  <c r="W2804" i="1"/>
  <c r="W2796" i="1"/>
  <c r="W2788" i="1"/>
  <c r="W2780" i="1"/>
  <c r="W2772" i="1"/>
  <c r="W2764" i="1"/>
  <c r="W2748" i="1"/>
  <c r="W2740" i="1"/>
  <c r="W2732" i="1"/>
  <c r="W2724" i="1"/>
  <c r="W2716" i="1"/>
  <c r="W2708" i="1"/>
  <c r="W2700" i="1"/>
  <c r="W2692" i="1"/>
  <c r="W2684" i="1"/>
  <c r="W2676" i="1"/>
  <c r="W2668" i="1"/>
  <c r="W2660" i="1"/>
  <c r="W2652" i="1"/>
  <c r="W2644" i="1"/>
  <c r="W2636" i="1"/>
  <c r="W2628" i="1"/>
  <c r="W2620" i="1"/>
  <c r="W2612" i="1"/>
  <c r="W2604" i="1"/>
  <c r="W2596" i="1"/>
  <c r="W2588" i="1"/>
  <c r="W2580" i="1"/>
  <c r="W2572" i="1"/>
  <c r="W2564" i="1"/>
  <c r="W2556" i="1"/>
  <c r="W2548" i="1"/>
  <c r="W2540" i="1"/>
  <c r="W2532" i="1"/>
  <c r="W2524" i="1"/>
  <c r="W2516" i="1"/>
  <c r="W2508" i="1"/>
  <c r="W2500" i="1"/>
  <c r="W2492" i="1"/>
  <c r="W2484" i="1"/>
  <c r="W2476" i="1"/>
  <c r="W2468" i="1"/>
  <c r="W2460" i="1"/>
  <c r="W2452" i="1"/>
  <c r="W2444" i="1"/>
  <c r="W2436" i="1"/>
  <c r="W2428" i="1"/>
  <c r="W2420" i="1"/>
  <c r="W2412" i="1"/>
  <c r="W2404" i="1"/>
  <c r="W2396" i="1"/>
  <c r="W2388" i="1"/>
  <c r="W2380" i="1"/>
  <c r="W2372" i="1"/>
  <c r="W2364" i="1"/>
  <c r="W2356" i="1"/>
  <c r="W2348" i="1"/>
  <c r="W2340" i="1"/>
  <c r="W2332" i="1"/>
  <c r="W2324" i="1"/>
  <c r="W2316" i="1"/>
  <c r="W2308" i="1"/>
  <c r="W2300" i="1"/>
  <c r="W2292" i="1"/>
  <c r="W2284" i="1"/>
  <c r="W2276" i="1"/>
  <c r="W2268" i="1"/>
  <c r="W2260" i="1"/>
  <c r="W2252" i="1"/>
  <c r="W2244" i="1"/>
  <c r="W2236" i="1"/>
  <c r="W2228" i="1"/>
  <c r="W2220" i="1"/>
  <c r="W2212" i="1"/>
  <c r="W2204" i="1"/>
  <c r="W2196" i="1"/>
  <c r="W2188" i="1"/>
  <c r="W2180" i="1"/>
  <c r="W2172" i="1"/>
  <c r="W2164" i="1"/>
  <c r="W2156" i="1"/>
  <c r="W2148" i="1"/>
  <c r="W2140" i="1"/>
  <c r="W2132" i="1"/>
  <c r="W2124" i="1"/>
  <c r="W2116" i="1"/>
  <c r="W2108" i="1"/>
  <c r="W2100" i="1"/>
  <c r="W2092" i="1"/>
  <c r="W2084" i="1"/>
  <c r="W2076" i="1"/>
  <c r="W2068" i="1"/>
  <c r="W2060" i="1"/>
  <c r="W2052" i="1"/>
  <c r="W2044" i="1"/>
  <c r="W2036" i="1"/>
  <c r="W2028" i="1"/>
  <c r="W2020" i="1"/>
  <c r="W2012" i="1"/>
  <c r="W2004" i="1"/>
  <c r="W1996" i="1"/>
  <c r="W1988" i="1"/>
  <c r="W1980" i="1"/>
  <c r="W1972" i="1"/>
  <c r="W1964" i="1"/>
  <c r="W1956" i="1"/>
  <c r="W1948" i="1"/>
  <c r="W1940" i="1"/>
  <c r="W1932" i="1"/>
  <c r="W1924" i="1"/>
  <c r="W1916" i="1"/>
  <c r="W1908" i="1"/>
  <c r="W1900" i="1"/>
  <c r="W1892" i="1"/>
  <c r="W1884" i="1"/>
  <c r="W1876" i="1"/>
  <c r="W1868" i="1"/>
  <c r="W1860" i="1"/>
  <c r="W1852" i="1"/>
  <c r="W1844" i="1"/>
  <c r="W1836" i="1"/>
  <c r="W1828" i="1"/>
  <c r="W1820" i="1"/>
  <c r="W1812" i="1"/>
  <c r="W1804" i="1"/>
  <c r="W1796" i="1"/>
  <c r="W1788" i="1"/>
  <c r="W1780" i="1"/>
  <c r="W1772" i="1"/>
  <c r="W1764" i="1"/>
  <c r="W1756" i="1"/>
  <c r="W1748" i="1"/>
  <c r="W1740" i="1"/>
  <c r="W1732" i="1"/>
  <c r="W1724" i="1"/>
  <c r="W1716" i="1"/>
  <c r="W1708" i="1"/>
  <c r="W1700" i="1"/>
  <c r="W1692" i="1"/>
  <c r="W1684" i="1"/>
  <c r="W1668" i="1"/>
  <c r="W1660" i="1"/>
  <c r="W1652" i="1"/>
  <c r="W1644" i="1"/>
  <c r="W1636" i="1"/>
  <c r="W1628" i="1"/>
  <c r="W1620" i="1"/>
  <c r="W1612" i="1"/>
  <c r="W1604" i="1"/>
  <c r="W1596" i="1"/>
  <c r="W1588" i="1"/>
  <c r="W1580" i="1"/>
  <c r="W1572" i="1"/>
  <c r="W1564" i="1"/>
  <c r="W1556" i="1"/>
  <c r="W1548" i="1"/>
  <c r="W1540" i="1"/>
  <c r="W1532" i="1"/>
  <c r="W1524" i="1"/>
  <c r="W1516" i="1"/>
  <c r="W1508" i="1"/>
  <c r="W1500" i="1"/>
  <c r="W1492" i="1"/>
  <c r="W1484" i="1"/>
  <c r="W1476" i="1"/>
  <c r="W1468" i="1"/>
  <c r="W1460" i="1"/>
  <c r="W1452" i="1"/>
  <c r="W1444" i="1"/>
  <c r="W1436" i="1"/>
  <c r="W1428" i="1"/>
  <c r="W1420" i="1"/>
  <c r="W1412" i="1"/>
  <c r="W1404" i="1"/>
  <c r="W1396" i="1"/>
  <c r="W1388" i="1"/>
  <c r="W1380" i="1"/>
  <c r="W1372" i="1"/>
  <c r="W1364" i="1"/>
  <c r="W1356" i="1"/>
  <c r="W1348" i="1"/>
  <c r="W1340" i="1"/>
  <c r="W1332" i="1"/>
  <c r="W1324" i="1"/>
  <c r="W1316" i="1"/>
  <c r="W1308" i="1"/>
  <c r="W1300" i="1"/>
  <c r="W1292" i="1"/>
  <c r="W1284" i="1"/>
  <c r="W1276" i="1"/>
  <c r="W1268" i="1"/>
  <c r="W1260" i="1"/>
  <c r="W1252" i="1"/>
  <c r="W819" i="1"/>
  <c r="W811" i="1"/>
  <c r="W803" i="1"/>
  <c r="W795" i="1"/>
  <c r="W787" i="1"/>
  <c r="W779" i="1"/>
  <c r="W771" i="1"/>
  <c r="W763" i="1"/>
  <c r="W755" i="1"/>
  <c r="W747" i="1"/>
  <c r="W739" i="1"/>
  <c r="W731" i="1"/>
  <c r="W723" i="1"/>
  <c r="W715" i="1"/>
  <c r="W707" i="1"/>
  <c r="W699" i="1"/>
  <c r="W691" i="1"/>
  <c r="W683" i="1"/>
  <c r="W675" i="1"/>
  <c r="W667" i="1"/>
  <c r="W659" i="1"/>
  <c r="W651" i="1"/>
  <c r="W643" i="1"/>
  <c r="W635" i="1"/>
  <c r="W627" i="1"/>
  <c r="W619" i="1"/>
  <c r="W611" i="1"/>
  <c r="W603" i="1"/>
  <c r="W595" i="1"/>
  <c r="W587" i="1"/>
  <c r="W579" i="1"/>
  <c r="W571" i="1"/>
  <c r="W563" i="1"/>
  <c r="W555" i="1"/>
  <c r="W547" i="1"/>
  <c r="W539" i="1"/>
  <c r="W531" i="1"/>
  <c r="W523" i="1"/>
  <c r="W515" i="1"/>
  <c r="W507" i="1"/>
  <c r="W499" i="1"/>
  <c r="W491" i="1"/>
  <c r="W483" i="1"/>
  <c r="W475" i="1"/>
  <c r="W467" i="1"/>
  <c r="W459" i="1"/>
  <c r="W451" i="1"/>
  <c r="W443" i="1"/>
  <c r="W435" i="1"/>
  <c r="W427" i="1"/>
  <c r="W419" i="1"/>
  <c r="W411" i="1"/>
  <c r="W403" i="1"/>
  <c r="W395" i="1"/>
  <c r="W387" i="1"/>
  <c r="W379" i="1"/>
  <c r="W371" i="1"/>
  <c r="W363" i="1"/>
  <c r="W355" i="1"/>
  <c r="W347" i="1"/>
  <c r="W339" i="1"/>
  <c r="W331" i="1"/>
  <c r="W323" i="1"/>
  <c r="W315" i="1"/>
  <c r="W307" i="1"/>
  <c r="W299" i="1"/>
  <c r="W291" i="1"/>
  <c r="W283" i="1"/>
  <c r="W275" i="1"/>
  <c r="W267" i="1"/>
  <c r="W259" i="1"/>
  <c r="W251" i="1"/>
  <c r="W243" i="1"/>
  <c r="W235" i="1"/>
  <c r="W227" i="1"/>
  <c r="W219" i="1"/>
  <c r="W211" i="1"/>
  <c r="W203" i="1"/>
  <c r="W195" i="1"/>
  <c r="W187" i="1"/>
  <c r="W179" i="1"/>
  <c r="W171" i="1"/>
  <c r="W163" i="1"/>
  <c r="W155" i="1"/>
  <c r="W147" i="1"/>
  <c r="W139" i="1"/>
  <c r="W131" i="1"/>
  <c r="W123" i="1"/>
  <c r="W115" i="1"/>
  <c r="W107" i="1"/>
  <c r="W99" i="1"/>
  <c r="W91" i="1"/>
  <c r="W83" i="1"/>
  <c r="W75" i="1"/>
  <c r="W67" i="1"/>
  <c r="W59" i="1"/>
  <c r="W51" i="1"/>
  <c r="W43" i="1"/>
  <c r="W35" i="1"/>
  <c r="W27" i="1"/>
  <c r="W19" i="1"/>
  <c r="W11" i="1"/>
  <c r="W3" i="1"/>
  <c r="W778" i="1"/>
  <c r="W770" i="1"/>
  <c r="W762" i="1"/>
  <c r="W754" i="1"/>
  <c r="W746" i="1"/>
  <c r="W738" i="1"/>
  <c r="W730" i="1"/>
  <c r="W722" i="1"/>
  <c r="W714" i="1"/>
  <c r="W706" i="1"/>
  <c r="W698" i="1"/>
  <c r="W690" i="1"/>
  <c r="W682" i="1"/>
  <c r="W674" i="1"/>
  <c r="W666" i="1"/>
  <c r="W658" i="1"/>
  <c r="W650" i="1"/>
  <c r="W642" i="1"/>
  <c r="W634" i="1"/>
  <c r="W626" i="1"/>
  <c r="W618" i="1"/>
  <c r="W610" i="1"/>
  <c r="W602" i="1"/>
  <c r="W594" i="1"/>
  <c r="W586" i="1"/>
  <c r="W578" i="1"/>
  <c r="W570" i="1"/>
  <c r="W562" i="1"/>
  <c r="W554" i="1"/>
  <c r="W546" i="1"/>
  <c r="W538" i="1"/>
  <c r="W530" i="1"/>
  <c r="W522" i="1"/>
  <c r="W514" i="1"/>
  <c r="W506" i="1"/>
  <c r="W498" i="1"/>
  <c r="W490" i="1"/>
  <c r="W482" i="1"/>
  <c r="W474" i="1"/>
  <c r="W466" i="1"/>
  <c r="W458" i="1"/>
  <c r="W450" i="1"/>
  <c r="W442" i="1"/>
  <c r="W434" i="1"/>
  <c r="W426" i="1"/>
  <c r="W418" i="1"/>
  <c r="W410" i="1"/>
  <c r="W402" i="1"/>
  <c r="W394" i="1"/>
  <c r="W386" i="1"/>
  <c r="W378" i="1"/>
  <c r="W370" i="1"/>
  <c r="W362" i="1"/>
  <c r="W354" i="1"/>
  <c r="W346" i="1"/>
  <c r="W338" i="1"/>
  <c r="W330" i="1"/>
  <c r="W322" i="1"/>
  <c r="W314" i="1"/>
  <c r="W306" i="1"/>
  <c r="W298" i="1"/>
  <c r="W290" i="1"/>
  <c r="W282" i="1"/>
  <c r="W274" i="1"/>
  <c r="W266" i="1"/>
  <c r="W258" i="1"/>
  <c r="W250" i="1"/>
  <c r="W242" i="1"/>
  <c r="W234" i="1"/>
  <c r="W226" i="1"/>
  <c r="W218" i="1"/>
  <c r="W210" i="1"/>
  <c r="W202" i="1"/>
  <c r="W194" i="1"/>
  <c r="W186" i="1"/>
  <c r="W178" i="1"/>
  <c r="W170" i="1"/>
  <c r="W162" i="1"/>
  <c r="W154" i="1"/>
  <c r="W146" i="1"/>
  <c r="W138" i="1"/>
  <c r="W130" i="1"/>
  <c r="W122" i="1"/>
  <c r="W114" i="1"/>
  <c r="W106" i="1"/>
  <c r="W98" i="1"/>
  <c r="W90" i="1"/>
  <c r="W82" i="1"/>
  <c r="W74" i="1"/>
  <c r="W66" i="1"/>
  <c r="W58" i="1"/>
  <c r="W50" i="1"/>
  <c r="W42" i="1"/>
  <c r="W34" i="1"/>
  <c r="W26" i="1"/>
  <c r="W18" i="1"/>
  <c r="W10" i="1"/>
  <c r="W2" i="1"/>
  <c r="W3273" i="1"/>
  <c r="W3265" i="1"/>
  <c r="W3257" i="1"/>
  <c r="W3249" i="1"/>
  <c r="W3241" i="1"/>
  <c r="W3233" i="1"/>
  <c r="W3225" i="1"/>
  <c r="W3217" i="1"/>
  <c r="W3209" i="1"/>
  <c r="W3201" i="1"/>
  <c r="W3185" i="1"/>
  <c r="W3177" i="1"/>
  <c r="W3169" i="1"/>
  <c r="W3161" i="1"/>
  <c r="W3153" i="1"/>
  <c r="W3145" i="1"/>
  <c r="W3137" i="1"/>
  <c r="W3129" i="1"/>
  <c r="W3121" i="1"/>
  <c r="W3113" i="1"/>
  <c r="W3105" i="1"/>
  <c r="W3097" i="1"/>
  <c r="W3089" i="1"/>
  <c r="W3081" i="1"/>
  <c r="W3073" i="1"/>
  <c r="W3065" i="1"/>
  <c r="W3057" i="1"/>
  <c r="W3049" i="1"/>
  <c r="W3041" i="1"/>
  <c r="W3033" i="1"/>
  <c r="W3025" i="1"/>
  <c r="W3017" i="1"/>
  <c r="W3009" i="1"/>
  <c r="W3001" i="1"/>
  <c r="W2993" i="1"/>
  <c r="W2985" i="1"/>
  <c r="W2977" i="1"/>
  <c r="W2969" i="1"/>
  <c r="W2961" i="1"/>
  <c r="W2953" i="1"/>
  <c r="W2945" i="1"/>
  <c r="W2937" i="1"/>
  <c r="W2929" i="1"/>
  <c r="W2921" i="1"/>
  <c r="W2913" i="1"/>
  <c r="W2905" i="1"/>
  <c r="W2897" i="1"/>
  <c r="W2889" i="1"/>
  <c r="W2881" i="1"/>
  <c r="W2873" i="1"/>
  <c r="W2865" i="1"/>
  <c r="W2857" i="1"/>
  <c r="W2849" i="1"/>
  <c r="W2841" i="1"/>
  <c r="W2833" i="1"/>
  <c r="W2825" i="1"/>
  <c r="W2817" i="1"/>
  <c r="W2809" i="1"/>
  <c r="W2801" i="1"/>
  <c r="W2793" i="1"/>
  <c r="W2785" i="1"/>
  <c r="W2777" i="1"/>
  <c r="W2769" i="1"/>
  <c r="W2761" i="1"/>
  <c r="W2753" i="1"/>
  <c r="W2745" i="1"/>
  <c r="W2737" i="1"/>
  <c r="W2729" i="1"/>
  <c r="W2721" i="1"/>
  <c r="W2713" i="1"/>
  <c r="W2705" i="1"/>
  <c r="W2697" i="1"/>
  <c r="W2689" i="1"/>
  <c r="W2681" i="1"/>
  <c r="W2673" i="1"/>
  <c r="W2665" i="1"/>
  <c r="W2657" i="1"/>
  <c r="W2649" i="1"/>
  <c r="W2641" i="1"/>
  <c r="W2633" i="1"/>
  <c r="W2625" i="1"/>
  <c r="W2617" i="1"/>
  <c r="W2609" i="1"/>
  <c r="W2601" i="1"/>
  <c r="W2593" i="1"/>
  <c r="W2585" i="1"/>
  <c r="W2577" i="1"/>
  <c r="W2569" i="1"/>
  <c r="W2561" i="1"/>
  <c r="W2553" i="1"/>
  <c r="W2545" i="1"/>
  <c r="W2537" i="1"/>
  <c r="W2529" i="1"/>
  <c r="W2521" i="1"/>
  <c r="W2513" i="1"/>
  <c r="W2505" i="1"/>
  <c r="W2497" i="1"/>
  <c r="W2489" i="1"/>
  <c r="W2481" i="1"/>
  <c r="W2473" i="1"/>
  <c r="W2465" i="1"/>
  <c r="W2457" i="1"/>
  <c r="W2449" i="1"/>
  <c r="W2441" i="1"/>
  <c r="W2433" i="1"/>
  <c r="W2425" i="1"/>
  <c r="W2417" i="1"/>
  <c r="W2409" i="1"/>
  <c r="W2401" i="1"/>
  <c r="W2393" i="1"/>
  <c r="W2385" i="1"/>
  <c r="W2377" i="1"/>
  <c r="W2369" i="1"/>
  <c r="W2361" i="1"/>
  <c r="W2353" i="1"/>
  <c r="W2345" i="1"/>
  <c r="W2337" i="1"/>
  <c r="W2329" i="1"/>
  <c r="W2321" i="1"/>
  <c r="W2313" i="1"/>
  <c r="W2305" i="1"/>
  <c r="W2297" i="1"/>
  <c r="W2289" i="1"/>
  <c r="W2281" i="1"/>
  <c r="W2273" i="1"/>
  <c r="W2265" i="1"/>
  <c r="W2257" i="1"/>
  <c r="W2249" i="1"/>
  <c r="W2241" i="1"/>
  <c r="W2233" i="1"/>
  <c r="W2225" i="1"/>
  <c r="W2217" i="1"/>
  <c r="W2209" i="1"/>
  <c r="W2201" i="1"/>
  <c r="W2193" i="1"/>
  <c r="W2185" i="1"/>
  <c r="W2177" i="1"/>
  <c r="W2169" i="1"/>
  <c r="W2161" i="1"/>
  <c r="W2153" i="1"/>
  <c r="W2145" i="1"/>
  <c r="W2137" i="1"/>
  <c r="W2129" i="1"/>
  <c r="W2121" i="1"/>
  <c r="W2105" i="1"/>
  <c r="W2097" i="1"/>
  <c r="W2089" i="1"/>
  <c r="W2081" i="1"/>
  <c r="W2073" i="1"/>
  <c r="W2065" i="1"/>
  <c r="W2057" i="1"/>
  <c r="W2049" i="1"/>
  <c r="W2041" i="1"/>
  <c r="W2033" i="1"/>
  <c r="W2025" i="1"/>
  <c r="W2017" i="1"/>
  <c r="W2009" i="1"/>
  <c r="W2001" i="1"/>
  <c r="W1993" i="1"/>
  <c r="W1985" i="1"/>
  <c r="W1977" i="1"/>
  <c r="W1969" i="1"/>
  <c r="W1961" i="1"/>
  <c r="W1953" i="1"/>
  <c r="W1945" i="1"/>
  <c r="W1937" i="1"/>
  <c r="W1929" i="1"/>
  <c r="W1921" i="1"/>
  <c r="W1913" i="1"/>
  <c r="W1905" i="1"/>
  <c r="W1897" i="1"/>
  <c r="W1889" i="1"/>
  <c r="W1881" i="1"/>
  <c r="W1873" i="1"/>
  <c r="W1865" i="1"/>
  <c r="W1857" i="1"/>
  <c r="W1849" i="1"/>
  <c r="W1841" i="1"/>
  <c r="W1833" i="1"/>
  <c r="W1825" i="1"/>
  <c r="W1817" i="1"/>
  <c r="W1809" i="1"/>
  <c r="W1801" i="1"/>
  <c r="W1793" i="1"/>
  <c r="W1785" i="1"/>
  <c r="W1777" i="1"/>
  <c r="W1769" i="1"/>
  <c r="W1761" i="1"/>
  <c r="W1753" i="1"/>
  <c r="W1745" i="1"/>
  <c r="W1737" i="1"/>
  <c r="W1729" i="1"/>
  <c r="W1721" i="1"/>
  <c r="W1713" i="1"/>
  <c r="W1705" i="1"/>
  <c r="W1697" i="1"/>
  <c r="W1689" i="1"/>
  <c r="W1681" i="1"/>
  <c r="W1673" i="1"/>
  <c r="W1665" i="1"/>
  <c r="W1657" i="1"/>
  <c r="W1649" i="1"/>
  <c r="W1641" i="1"/>
  <c r="W1633" i="1"/>
  <c r="W1625" i="1"/>
  <c r="W1617" i="1"/>
  <c r="W1609" i="1"/>
  <c r="W1601" i="1"/>
  <c r="W1593" i="1"/>
  <c r="W1585" i="1"/>
  <c r="W1577" i="1"/>
  <c r="W1569" i="1"/>
  <c r="W1561" i="1"/>
  <c r="W1553" i="1"/>
  <c r="W1545" i="1"/>
  <c r="W1537" i="1"/>
  <c r="W1529" i="1"/>
  <c r="W1521" i="1"/>
  <c r="W1513" i="1"/>
  <c r="W1505" i="1"/>
  <c r="W1497" i="1"/>
  <c r="W1489" i="1"/>
  <c r="W1481" i="1"/>
  <c r="W1473" i="1"/>
  <c r="W1465" i="1"/>
  <c r="W1457" i="1"/>
  <c r="W1449" i="1"/>
  <c r="W1441" i="1"/>
  <c r="W1433" i="1"/>
  <c r="W1425" i="1"/>
  <c r="W1417" i="1"/>
  <c r="W1409" i="1"/>
  <c r="W1401" i="1"/>
  <c r="W1393" i="1"/>
  <c r="W1385" i="1"/>
  <c r="W1377" i="1"/>
  <c r="W1369" i="1"/>
  <c r="W1361" i="1"/>
  <c r="W1353" i="1"/>
  <c r="W1345" i="1"/>
  <c r="W1337" i="1"/>
  <c r="W1329" i="1"/>
  <c r="W1321" i="1"/>
  <c r="W1313" i="1"/>
  <c r="W1305" i="1"/>
  <c r="W1297" i="1"/>
  <c r="W1289" i="1"/>
  <c r="W1281" i="1"/>
  <c r="W1273" i="1"/>
  <c r="W1265" i="1"/>
  <c r="W1257" i="1"/>
  <c r="W1249" i="1"/>
  <c r="W1241" i="1"/>
  <c r="W1233" i="1"/>
  <c r="W1225" i="1"/>
  <c r="W1217" i="1"/>
  <c r="W1209" i="1"/>
  <c r="W1201" i="1"/>
  <c r="W1193" i="1"/>
  <c r="W1185" i="1"/>
  <c r="W1177" i="1"/>
  <c r="W1169" i="1"/>
  <c r="W1161" i="1"/>
  <c r="W1153" i="1"/>
  <c r="W1145" i="1"/>
  <c r="W1137" i="1"/>
  <c r="W1129" i="1"/>
  <c r="W1121" i="1"/>
  <c r="W1113" i="1"/>
  <c r="W1105" i="1"/>
  <c r="W1097" i="1"/>
  <c r="W1089" i="1"/>
  <c r="W1081" i="1"/>
  <c r="W1073" i="1"/>
  <c r="W1065" i="1"/>
  <c r="W1057" i="1"/>
  <c r="W1049" i="1"/>
  <c r="W1041" i="1"/>
  <c r="W1033" i="1"/>
  <c r="W1025" i="1"/>
  <c r="W1017" i="1"/>
  <c r="W1009" i="1"/>
  <c r="W1001" i="1"/>
  <c r="W993" i="1"/>
  <c r="W985" i="1"/>
  <c r="W977" i="1"/>
  <c r="W969" i="1"/>
  <c r="W961" i="1"/>
  <c r="W953" i="1"/>
  <c r="W945" i="1"/>
  <c r="W937" i="1"/>
  <c r="W929" i="1"/>
  <c r="W921" i="1"/>
  <c r="W913" i="1"/>
  <c r="W905" i="1"/>
  <c r="W897" i="1"/>
  <c r="W889" i="1"/>
  <c r="W881" i="1"/>
  <c r="W873" i="1"/>
  <c r="W865" i="1"/>
  <c r="W857" i="1"/>
  <c r="W849" i="1"/>
  <c r="W841" i="1"/>
  <c r="W833" i="1"/>
  <c r="W825" i="1"/>
  <c r="W817" i="1"/>
  <c r="W809" i="1"/>
  <c r="W801" i="1"/>
  <c r="W793" i="1"/>
  <c r="W785" i="1"/>
  <c r="W777" i="1"/>
  <c r="W769" i="1"/>
  <c r="W761" i="1"/>
  <c r="W753" i="1"/>
  <c r="W745" i="1"/>
  <c r="W737" i="1"/>
  <c r="W729" i="1"/>
  <c r="W721" i="1"/>
  <c r="W713" i="1"/>
  <c r="W705" i="1"/>
  <c r="W697" i="1"/>
  <c r="W689" i="1"/>
  <c r="W681" i="1"/>
  <c r="W673" i="1"/>
  <c r="W665" i="1"/>
  <c r="W657" i="1"/>
  <c r="W649" i="1"/>
  <c r="W641" i="1"/>
  <c r="W633" i="1"/>
  <c r="W625" i="1"/>
  <c r="W617" i="1"/>
  <c r="W609" i="1"/>
  <c r="W601" i="1"/>
  <c r="W593" i="1"/>
  <c r="W585" i="1"/>
  <c r="W577" i="1"/>
  <c r="W569" i="1"/>
  <c r="W561" i="1"/>
  <c r="W553" i="1"/>
  <c r="W545" i="1"/>
  <c r="W537" i="1"/>
  <c r="W529" i="1"/>
  <c r="W521" i="1"/>
  <c r="W513" i="1"/>
  <c r="W505" i="1"/>
  <c r="W497" i="1"/>
  <c r="W489" i="1"/>
  <c r="W481" i="1"/>
  <c r="W473" i="1"/>
  <c r="W465" i="1"/>
  <c r="W457" i="1"/>
  <c r="W449" i="1"/>
  <c r="W441" i="1"/>
  <c r="W433" i="1"/>
  <c r="W425" i="1"/>
  <c r="W417" i="1"/>
  <c r="W409" i="1"/>
  <c r="W401" i="1"/>
  <c r="W393" i="1"/>
  <c r="W385" i="1"/>
  <c r="W377" i="1"/>
  <c r="W369" i="1"/>
  <c r="W361" i="1"/>
  <c r="W353" i="1"/>
  <c r="W345" i="1"/>
  <c r="W337" i="1"/>
  <c r="W329" i="1"/>
  <c r="W321" i="1"/>
  <c r="W313" i="1"/>
  <c r="W305" i="1"/>
  <c r="W297" i="1"/>
  <c r="W289" i="1"/>
  <c r="W281" i="1"/>
  <c r="W273" i="1"/>
  <c r="W265" i="1"/>
  <c r="W257" i="1"/>
  <c r="W249" i="1"/>
  <c r="W241" i="1"/>
  <c r="W233" i="1"/>
  <c r="W225" i="1"/>
  <c r="W217" i="1"/>
  <c r="W209" i="1"/>
  <c r="W201" i="1"/>
  <c r="W193" i="1"/>
  <c r="W185" i="1"/>
  <c r="W177" i="1"/>
  <c r="W169" i="1"/>
  <c r="W161" i="1"/>
  <c r="W153" i="1"/>
  <c r="W145" i="1"/>
  <c r="W137" i="1"/>
  <c r="W129" i="1"/>
  <c r="W121" i="1"/>
  <c r="W113" i="1"/>
  <c r="W105" i="1"/>
  <c r="W97" i="1"/>
  <c r="W89" i="1"/>
  <c r="W81" i="1"/>
  <c r="W73" i="1"/>
  <c r="W65" i="1"/>
  <c r="W57" i="1"/>
  <c r="W49" i="1"/>
  <c r="W41" i="1"/>
  <c r="W33" i="1"/>
  <c r="W25" i="1"/>
  <c r="W17" i="1"/>
  <c r="W9" i="1"/>
  <c r="W1244" i="1"/>
  <c r="W1236" i="1"/>
  <c r="W1228" i="1"/>
  <c r="W1220" i="1"/>
  <c r="W1212" i="1"/>
  <c r="W1204" i="1"/>
  <c r="W1196" i="1"/>
  <c r="W1188" i="1"/>
  <c r="W1180" i="1"/>
  <c r="W1172" i="1"/>
  <c r="W1164" i="1"/>
  <c r="W1156" i="1"/>
  <c r="W1148" i="1"/>
  <c r="W1140" i="1"/>
  <c r="W1132" i="1"/>
  <c r="W1124" i="1"/>
  <c r="W1116" i="1"/>
  <c r="W1108" i="1"/>
  <c r="W1100" i="1"/>
  <c r="W1092" i="1"/>
  <c r="W1084" i="1"/>
  <c r="W1076" i="1"/>
  <c r="W1068" i="1"/>
  <c r="W1060" i="1"/>
  <c r="W1052" i="1"/>
  <c r="W1044" i="1"/>
  <c r="W1036" i="1"/>
  <c r="W1028" i="1"/>
  <c r="W1020" i="1"/>
  <c r="W1012" i="1"/>
  <c r="W1004" i="1"/>
  <c r="W996" i="1"/>
  <c r="W988" i="1"/>
  <c r="W980" i="1"/>
  <c r="W972" i="1"/>
  <c r="W964" i="1"/>
  <c r="W956" i="1"/>
  <c r="W948" i="1"/>
  <c r="W940" i="1"/>
  <c r="W932" i="1"/>
  <c r="W924" i="1"/>
  <c r="W916" i="1"/>
  <c r="W908" i="1"/>
  <c r="W900" i="1"/>
  <c r="W892" i="1"/>
  <c r="W884" i="1"/>
  <c r="W876" i="1"/>
  <c r="W868" i="1"/>
  <c r="W860" i="1"/>
  <c r="W852" i="1"/>
  <c r="W844" i="1"/>
  <c r="W836" i="1"/>
  <c r="W828" i="1"/>
  <c r="W820" i="1"/>
  <c r="W812" i="1"/>
  <c r="W804" i="1"/>
  <c r="W796" i="1"/>
  <c r="W788" i="1"/>
  <c r="W780" i="1"/>
  <c r="W772" i="1"/>
  <c r="W764" i="1"/>
  <c r="W756" i="1"/>
  <c r="W748" i="1"/>
  <c r="W740" i="1"/>
  <c r="W732" i="1"/>
  <c r="W724" i="1"/>
  <c r="W716" i="1"/>
  <c r="W708" i="1"/>
  <c r="W700" i="1"/>
  <c r="W692" i="1"/>
  <c r="W684" i="1"/>
  <c r="W676" i="1"/>
  <c r="W668" i="1"/>
  <c r="W660" i="1"/>
  <c r="W652" i="1"/>
  <c r="W644" i="1"/>
  <c r="W636" i="1"/>
  <c r="W628" i="1"/>
  <c r="W620" i="1"/>
  <c r="W612" i="1"/>
  <c r="W604" i="1"/>
  <c r="W596" i="1"/>
  <c r="W588" i="1"/>
  <c r="W580" i="1"/>
  <c r="W572" i="1"/>
  <c r="W564" i="1"/>
  <c r="W556" i="1"/>
  <c r="W548" i="1"/>
  <c r="W540" i="1"/>
  <c r="W532" i="1"/>
  <c r="W524" i="1"/>
  <c r="W516" i="1"/>
  <c r="W508" i="1"/>
  <c r="W500" i="1"/>
  <c r="W492" i="1"/>
  <c r="W484" i="1"/>
  <c r="W476" i="1"/>
  <c r="W468" i="1"/>
  <c r="W460" i="1"/>
  <c r="W452" i="1"/>
  <c r="W444" i="1"/>
  <c r="W436" i="1"/>
  <c r="W428" i="1"/>
  <c r="W420" i="1"/>
  <c r="W412" i="1"/>
  <c r="W404" i="1"/>
  <c r="W396" i="1"/>
  <c r="W388" i="1"/>
  <c r="W380" i="1"/>
  <c r="W372" i="1"/>
  <c r="W364" i="1"/>
  <c r="W356" i="1"/>
  <c r="W348" i="1"/>
  <c r="W340" i="1"/>
  <c r="W332" i="1"/>
  <c r="W324" i="1"/>
  <c r="W316" i="1"/>
  <c r="W308" i="1"/>
  <c r="W300" i="1"/>
  <c r="W292" i="1"/>
  <c r="W284" i="1"/>
  <c r="W276" i="1"/>
  <c r="W268" i="1"/>
  <c r="W260" i="1"/>
  <c r="W252" i="1"/>
  <c r="W244" i="1"/>
  <c r="W236" i="1"/>
  <c r="W228" i="1"/>
  <c r="W220" i="1"/>
  <c r="W212" i="1"/>
  <c r="W204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28" i="1"/>
  <c r="W20" i="1"/>
  <c r="W12" i="1"/>
  <c r="W4" i="1"/>
  <c r="W831" i="1"/>
  <c r="W823" i="1"/>
  <c r="W815" i="1"/>
  <c r="W807" i="1"/>
  <c r="W799" i="1"/>
  <c r="W791" i="1"/>
  <c r="W783" i="1"/>
  <c r="W775" i="1"/>
  <c r="W767" i="1"/>
  <c r="W759" i="1"/>
  <c r="W751" i="1"/>
  <c r="W743" i="1"/>
  <c r="W735" i="1"/>
  <c r="W727" i="1"/>
  <c r="W719" i="1"/>
  <c r="W711" i="1"/>
  <c r="W703" i="1"/>
  <c r="W695" i="1"/>
  <c r="W687" i="1"/>
  <c r="W679" i="1"/>
  <c r="W671" i="1"/>
  <c r="W663" i="1"/>
  <c r="W655" i="1"/>
  <c r="W647" i="1"/>
  <c r="W639" i="1"/>
  <c r="W631" i="1"/>
  <c r="W623" i="1"/>
  <c r="W615" i="1"/>
  <c r="W607" i="1"/>
  <c r="W599" i="1"/>
  <c r="W591" i="1"/>
  <c r="W583" i="1"/>
  <c r="W575" i="1"/>
  <c r="W567" i="1"/>
  <c r="W559" i="1"/>
  <c r="W551" i="1"/>
  <c r="W543" i="1"/>
  <c r="W535" i="1"/>
  <c r="W527" i="1"/>
  <c r="W519" i="1"/>
  <c r="W511" i="1"/>
  <c r="W503" i="1"/>
  <c r="W495" i="1"/>
  <c r="W487" i="1"/>
  <c r="W479" i="1"/>
  <c r="W471" i="1"/>
  <c r="W463" i="1"/>
  <c r="W455" i="1"/>
  <c r="W447" i="1"/>
  <c r="W439" i="1"/>
  <c r="W431" i="1"/>
  <c r="W423" i="1"/>
  <c r="W415" i="1"/>
  <c r="W407" i="1"/>
  <c r="W399" i="1"/>
  <c r="W391" i="1"/>
  <c r="W383" i="1"/>
  <c r="W375" i="1"/>
  <c r="W367" i="1"/>
  <c r="W359" i="1"/>
  <c r="W351" i="1"/>
  <c r="W343" i="1"/>
  <c r="W335" i="1"/>
  <c r="W327" i="1"/>
  <c r="W319" i="1"/>
  <c r="W311" i="1"/>
  <c r="W303" i="1"/>
  <c r="W295" i="1"/>
  <c r="W287" i="1"/>
  <c r="W279" i="1"/>
  <c r="W271" i="1"/>
  <c r="W263" i="1"/>
  <c r="W255" i="1"/>
  <c r="W247" i="1"/>
  <c r="W239" i="1"/>
  <c r="W231" i="1"/>
  <c r="W223" i="1"/>
  <c r="W215" i="1"/>
  <c r="W207" i="1"/>
  <c r="W199" i="1"/>
  <c r="W191" i="1"/>
  <c r="W183" i="1"/>
  <c r="W175" i="1"/>
  <c r="W167" i="1"/>
  <c r="W159" i="1"/>
  <c r="W151" i="1"/>
  <c r="W143" i="1"/>
  <c r="W135" i="1"/>
  <c r="W127" i="1"/>
  <c r="W119" i="1"/>
  <c r="W111" i="1"/>
  <c r="W103" i="1"/>
  <c r="W95" i="1"/>
  <c r="W87" i="1"/>
  <c r="W79" i="1"/>
  <c r="W71" i="1"/>
  <c r="W63" i="1"/>
  <c r="W55" i="1"/>
  <c r="W47" i="1"/>
  <c r="W39" i="1"/>
  <c r="W31" i="1"/>
  <c r="W23" i="1"/>
  <c r="W15" i="1"/>
  <c r="W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<sst xmlns="http://schemas.openxmlformats.org/spreadsheetml/2006/main" count="16814" uniqueCount="9574">
  <si>
    <t>EXECUTIVE SUMMARY: REVENUE RECONCILIATION ANALYSIS</t>
  </si>
  <si>
    <t>DATASET OVERVIEW</t>
  </si>
  <si>
    <t>KEY DRIVERS OF VARIANCE</t>
  </si>
  <si>
    <t>Metric</t>
  </si>
  <si>
    <t>Value</t>
  </si>
  <si>
    <t>Context</t>
  </si>
  <si>
    <t>Issue Type</t>
  </si>
  <si>
    <t>Occurrences</t>
  </si>
  <si>
    <t>Total Variance</t>
  </si>
  <si>
    <t>% of Variance</t>
  </si>
  <si>
    <t>Total Orders Analyzed</t>
  </si>
  <si>
    <t>2-year period (2023-2024)</t>
  </si>
  <si>
    <t>#1 Unit Mismatch</t>
  </si>
  <si>
    <t>Total Billed Revenue</t>
  </si>
  <si>
    <t>Gross billing amount</t>
  </si>
  <si>
    <t>#2 List Price Mismatch</t>
  </si>
  <si>
    <t>Net Revenue Variance</t>
  </si>
  <si>
    <t>Overbilled vs Expected</t>
  </si>
  <si>
    <t>#3 Late Return</t>
  </si>
  <si>
    <t>Variance as % of Revenue</t>
  </si>
  <si>
    <t>Impact ratio</t>
  </si>
  <si>
    <t>#4 Contract Price Mismatch</t>
  </si>
  <si>
    <t>Orders with Issues (FAIL)</t>
  </si>
  <si>
    <t>Orders requiring attention</t>
  </si>
  <si>
    <t>#5 Expired Contract</t>
  </si>
  <si>
    <t>Clean Orders (PASS)</t>
  </si>
  <si>
    <t>Successfully reconciled</t>
  </si>
  <si>
    <t>#6 Over Return</t>
  </si>
  <si>
    <t>Issue Rate</t>
  </si>
  <si>
    <t>% of orders with problems</t>
  </si>
  <si>
    <t>YEAR-OVER-YEAR TREND</t>
  </si>
  <si>
    <t>FINANCIAL IMPACT SUMMARY</t>
  </si>
  <si>
    <t>Year</t>
  </si>
  <si>
    <t>Order Count</t>
  </si>
  <si>
    <t>Variance/Order</t>
  </si>
  <si>
    <t>Category</t>
  </si>
  <si>
    <t>Amount</t>
  </si>
  <si>
    <t>% of Total</t>
  </si>
  <si>
    <t>Interpretation</t>
  </si>
  <si>
    <t>Total Overbilling (Positive Variance)</t>
  </si>
  <si>
    <t>Revenue billed above expected</t>
  </si>
  <si>
    <t>Total Underbilling (Negative Variance)</t>
  </si>
  <si>
    <t>Revenue shortfall</t>
  </si>
  <si>
    <t>YoY Change</t>
  </si>
  <si>
    <t>Net Position</t>
  </si>
  <si>
    <t>Net overbilling amount</t>
  </si>
  <si>
    <t>YoY % Change</t>
  </si>
  <si>
    <t>Average Variance per Issue Order</t>
  </si>
  <si>
    <t>Per-order impact</t>
  </si>
  <si>
    <t>Maximum Single Order Variance</t>
  </si>
  <si>
    <t>Largest overbilling</t>
  </si>
  <si>
    <t>ANOMALY DETECTED</t>
  </si>
  <si>
    <t>Minimum Single Order Variance</t>
  </si>
  <si>
    <t>Largest underbilling</t>
  </si>
  <si>
    <t>Month</t>
  </si>
  <si>
    <t>Variance</t>
  </si>
  <si>
    <t>RISK PROFILE</t>
  </si>
  <si>
    <t>Status</t>
  </si>
  <si>
    <t>HIGH SPIKE - Z-Score +2.68</t>
  </si>
  <si>
    <t>Risk Level</t>
  </si>
  <si>
    <t>% of Orders</t>
  </si>
  <si>
    <t>Avg Variance</t>
  </si>
  <si>
    <t>Financial Exposure</t>
  </si>
  <si>
    <t>Action</t>
  </si>
  <si>
    <t>Investigation Required</t>
  </si>
  <si>
    <t>HIGH</t>
  </si>
  <si>
    <t>CRITICAL - Immediate attention</t>
  </si>
  <si>
    <t>MEDIUM</t>
  </si>
  <si>
    <t>MODERATE - Review recommended</t>
  </si>
  <si>
    <t>RECOMMENDED ACTIONS</t>
  </si>
  <si>
    <t>LOW</t>
  </si>
  <si>
    <t>MINIMAL - Normal operations</t>
  </si>
  <si>
    <t>PRIORITY 1: Address Unit Mismatch Root Cause</t>
  </si>
  <si>
    <t>TOTAL</t>
  </si>
  <si>
    <t xml:space="preserve">   - Audit order entry vs billing systems</t>
  </si>
  <si>
    <t xml:space="preserve">   - Implement unit validation controls</t>
  </si>
  <si>
    <t>KEY FINDINGS</t>
  </si>
  <si>
    <t>FINDING #1: UNIT MISMATCH IS THE DOMINANT DRIVER</t>
  </si>
  <si>
    <t>PRIORITY 2: Customer-Specific Review</t>
  </si>
  <si>
    <t xml:space="preserve">   • Unit mismatches account for ~99% of total revenue variance</t>
  </si>
  <si>
    <t xml:space="preserve">   - Contact top 10 variance customers</t>
  </si>
  <si>
    <t xml:space="preserve">   • 197 occurrences generating $363K+ in billing discrepancies</t>
  </si>
  <si>
    <t xml:space="preserve">   - Review for potential refund exposure</t>
  </si>
  <si>
    <t xml:space="preserve">   • 87.8% of unit mismatches result in HIGH risk classification</t>
  </si>
  <si>
    <t>PRIORITY 3: Process Controls</t>
  </si>
  <si>
    <t>FINDING #2: SYSTEMATIC OVERBILLING PATTERN</t>
  </si>
  <si>
    <t xml:space="preserve">   - Automate reconciliation checks</t>
  </si>
  <si>
    <t xml:space="preserve">   • Net position shows consistent overbilling across all months</t>
  </si>
  <si>
    <t xml:space="preserve">   - Flag orders before billing</t>
  </si>
  <si>
    <t xml:space="preserve">   • 67% of unit mismatches result in overbilling (vs 33% underbilling)</t>
  </si>
  <si>
    <t xml:space="preserve">   • All 24 months analyzed show net positive variance</t>
  </si>
  <si>
    <t>PRIORITY 4: Investigation</t>
  </si>
  <si>
    <t xml:space="preserve">   - Investigate June 2023 anomaly</t>
  </si>
  <si>
    <t>FINDING #3: IMPROVING TREND</t>
  </si>
  <si>
    <t xml:space="preserve">   - Review HIGH risk order patterns</t>
  </si>
  <si>
    <t xml:space="preserve">   • Late returns decreased 71% year-over-year (148 to 43)</t>
  </si>
  <si>
    <t xml:space="preserve">   • 2024 variance improved vs 2023 (reduced by ~$13K)</t>
  </si>
  <si>
    <t xml:space="preserve">   • No statistical anomalies in 2024 (vs 1 in 2023)</t>
  </si>
  <si>
    <t>FINDING #4: CONCENTRATED RISK</t>
  </si>
  <si>
    <t xml:space="preserve">   • 4.5% of orders (HIGH risk) generate 98% of variance</t>
  </si>
  <si>
    <t xml:space="preserve">   • Top 10 customers account for 17% of total variance</t>
  </si>
  <si>
    <t xml:space="preserve">   • June 2023 anomaly ($43K variance) requires investigation</t>
  </si>
  <si>
    <t>Sum of revenue_variance</t>
  </si>
  <si>
    <t>Order_ID</t>
  </si>
  <si>
    <t>Order_Date</t>
  </si>
  <si>
    <t>Customer_ID</t>
  </si>
  <si>
    <t>Product_ID</t>
  </si>
  <si>
    <t>ordered_units</t>
  </si>
  <si>
    <t>Invoice_ID</t>
  </si>
  <si>
    <t>Billed_Units</t>
  </si>
  <si>
    <t>Billed_Price</t>
  </si>
  <si>
    <t>total_returned_units</t>
  </si>
  <si>
    <t>last_return_date</t>
  </si>
  <si>
    <t>Contract_Price</t>
  </si>
  <si>
    <t>Start_Date</t>
  </si>
  <si>
    <t>End_Date</t>
  </si>
  <si>
    <t>List_Price</t>
  </si>
  <si>
    <t>Effective_Date</t>
  </si>
  <si>
    <t>missing_invoice</t>
  </si>
  <si>
    <t>unit_mismatch</t>
  </si>
  <si>
    <t>list_price_mismatch</t>
  </si>
  <si>
    <t>contract_price_mismatch</t>
  </si>
  <si>
    <t>expired_contract</t>
  </si>
  <si>
    <t>late_return</t>
  </si>
  <si>
    <t>over_return</t>
  </si>
  <si>
    <t>recon_status</t>
  </si>
  <si>
    <t>billed_revenue</t>
  </si>
  <si>
    <t>expected_revenue</t>
  </si>
  <si>
    <t>revenue_variance</t>
  </si>
  <si>
    <t>severity_score</t>
  </si>
  <si>
    <t>risk_level</t>
  </si>
  <si>
    <t>month</t>
  </si>
  <si>
    <t>ORD00001</t>
  </si>
  <si>
    <t>CUST0281</t>
  </si>
  <si>
    <t>PROD031</t>
  </si>
  <si>
    <t>INV00001</t>
  </si>
  <si>
    <t>ORD00002</t>
  </si>
  <si>
    <t>CUST0591</t>
  </si>
  <si>
    <t>PROD252</t>
  </si>
  <si>
    <t>INV00002</t>
  </si>
  <si>
    <t>ORD00003</t>
  </si>
  <si>
    <t>CUST0187</t>
  </si>
  <si>
    <t>PROD288</t>
  </si>
  <si>
    <t>INV00003</t>
  </si>
  <si>
    <t>ORD00004</t>
  </si>
  <si>
    <t>CUST0442</t>
  </si>
  <si>
    <t>PROD145</t>
  </si>
  <si>
    <t>INV00004</t>
  </si>
  <si>
    <t>ORD00005</t>
  </si>
  <si>
    <t>CUST0010</t>
  </si>
  <si>
    <t>PROD088</t>
  </si>
  <si>
    <t>INV00005</t>
  </si>
  <si>
    <t>ORD00006</t>
  </si>
  <si>
    <t>CUST0658</t>
  </si>
  <si>
    <t>PROD214</t>
  </si>
  <si>
    <t>INV00006</t>
  </si>
  <si>
    <t>ORD00007</t>
  </si>
  <si>
    <t>CUST0056</t>
  </si>
  <si>
    <t>PROD279</t>
  </si>
  <si>
    <t>INV00007</t>
  </si>
  <si>
    <t>ORD00008</t>
  </si>
  <si>
    <t>CUST0799</t>
  </si>
  <si>
    <t>PROD083</t>
  </si>
  <si>
    <t>INV00008</t>
  </si>
  <si>
    <t>ORD00009</t>
  </si>
  <si>
    <t>CUST0180</t>
  </si>
  <si>
    <t>PROD268</t>
  </si>
  <si>
    <t>INV00009</t>
  </si>
  <si>
    <t>ORD00010</t>
  </si>
  <si>
    <t>CUST0423</t>
  </si>
  <si>
    <t>PROD140</t>
  </si>
  <si>
    <t>INV00010</t>
  </si>
  <si>
    <t>ORD00011</t>
  </si>
  <si>
    <t>CUST0498</t>
  </si>
  <si>
    <t>PROD215</t>
  </si>
  <si>
    <t>INV00011</t>
  </si>
  <si>
    <t>ORD00012</t>
  </si>
  <si>
    <t>CUST0495</t>
  </si>
  <si>
    <t>PROD156</t>
  </si>
  <si>
    <t>INV00012</t>
  </si>
  <si>
    <t>ORD00013</t>
  </si>
  <si>
    <t>CUST0610</t>
  </si>
  <si>
    <t>PROD246</t>
  </si>
  <si>
    <t>INV00013</t>
  </si>
  <si>
    <t>ORD00014</t>
  </si>
  <si>
    <t>CUST0447</t>
  </si>
  <si>
    <t>PROD199</t>
  </si>
  <si>
    <t>INV00014</t>
  </si>
  <si>
    <t>ORD00015</t>
  </si>
  <si>
    <t>CUST0133</t>
  </si>
  <si>
    <t>PROD115</t>
  </si>
  <si>
    <t>INV00015</t>
  </si>
  <si>
    <t>ORD00016</t>
  </si>
  <si>
    <t>CUST0286</t>
  </si>
  <si>
    <t>PROD003</t>
  </si>
  <si>
    <t>INV00016</t>
  </si>
  <si>
    <t>ORD00017</t>
  </si>
  <si>
    <t>CUST0304</t>
  </si>
  <si>
    <t>PROD057</t>
  </si>
  <si>
    <t>INV00017</t>
  </si>
  <si>
    <t>ORD00018</t>
  </si>
  <si>
    <t>CUST0675</t>
  </si>
  <si>
    <t>PROD024</t>
  </si>
  <si>
    <t>INV00018</t>
  </si>
  <si>
    <t>ORD00019</t>
  </si>
  <si>
    <t>CUST0195</t>
  </si>
  <si>
    <t>PROD033</t>
  </si>
  <si>
    <t>INV00019</t>
  </si>
  <si>
    <t>ORD00020</t>
  </si>
  <si>
    <t>CUST0126</t>
  </si>
  <si>
    <t>INV00020</t>
  </si>
  <si>
    <t>ORD00021</t>
  </si>
  <si>
    <t>PROD005</t>
  </si>
  <si>
    <t>INV00021</t>
  </si>
  <si>
    <t>ORD00022</t>
  </si>
  <si>
    <t>CUST0450</t>
  </si>
  <si>
    <t>PROD053</t>
  </si>
  <si>
    <t>INV00022</t>
  </si>
  <si>
    <t>ORD00023</t>
  </si>
  <si>
    <t>CUST0458</t>
  </si>
  <si>
    <t>INV00023</t>
  </si>
  <si>
    <t>ORD00024</t>
  </si>
  <si>
    <t>CUST0028</t>
  </si>
  <si>
    <t>PROD093</t>
  </si>
  <si>
    <t>INV00024</t>
  </si>
  <si>
    <t>ORD00025</t>
  </si>
  <si>
    <t>CUST0164</t>
  </si>
  <si>
    <t>PROD290</t>
  </si>
  <si>
    <t>INV00025</t>
  </si>
  <si>
    <t>ORD00026</t>
  </si>
  <si>
    <t>CUST0108</t>
  </si>
  <si>
    <t>PROD013</t>
  </si>
  <si>
    <t>INV00026</t>
  </si>
  <si>
    <t>ORD00027</t>
  </si>
  <si>
    <t>CUST0332</t>
  </si>
  <si>
    <t>PROD054</t>
  </si>
  <si>
    <t>INV00027</t>
  </si>
  <si>
    <t>ORD00028</t>
  </si>
  <si>
    <t>CUST0655</t>
  </si>
  <si>
    <t>PROD219</t>
  </si>
  <si>
    <t>INV00028</t>
  </si>
  <si>
    <t>ORD00029</t>
  </si>
  <si>
    <t>CUST0581</t>
  </si>
  <si>
    <t>PROD285</t>
  </si>
  <si>
    <t>INV00029</t>
  </si>
  <si>
    <t>ORD00030</t>
  </si>
  <si>
    <t>CUST0292</t>
  </si>
  <si>
    <t>PROD251</t>
  </si>
  <si>
    <t>INV00030</t>
  </si>
  <si>
    <t>ORD00031</t>
  </si>
  <si>
    <t>CUST0605</t>
  </si>
  <si>
    <t>PROD177</t>
  </si>
  <si>
    <t>INV00031</t>
  </si>
  <si>
    <t>ORD00032</t>
  </si>
  <si>
    <t>CUST0226</t>
  </si>
  <si>
    <t>PROD223</t>
  </si>
  <si>
    <t>INV00032</t>
  </si>
  <si>
    <t>ORD00033</t>
  </si>
  <si>
    <t>CUST0754</t>
  </si>
  <si>
    <t>PROD198</t>
  </si>
  <si>
    <t>INV00033</t>
  </si>
  <si>
    <t>ORD00034</t>
  </si>
  <si>
    <t>CUST0012</t>
  </si>
  <si>
    <t>PROD300</t>
  </si>
  <si>
    <t>INV00034</t>
  </si>
  <si>
    <t>ORD00035</t>
  </si>
  <si>
    <t>CUST0668</t>
  </si>
  <si>
    <t>PROD139</t>
  </si>
  <si>
    <t>INV00035</t>
  </si>
  <si>
    <t>ORD00036</t>
  </si>
  <si>
    <t>CUST0119</t>
  </si>
  <si>
    <t>PROD160</t>
  </si>
  <si>
    <t>INV00036</t>
  </si>
  <si>
    <t>ORD00037</t>
  </si>
  <si>
    <t>CUST0412</t>
  </si>
  <si>
    <t>PROD129</t>
  </si>
  <si>
    <t>INV00037</t>
  </si>
  <si>
    <t>ORD00038</t>
  </si>
  <si>
    <t>CUST0762</t>
  </si>
  <si>
    <t>PROD018</t>
  </si>
  <si>
    <t>INV00038</t>
  </si>
  <si>
    <t>ORD00039</t>
  </si>
  <si>
    <t>CUST0585</t>
  </si>
  <si>
    <t>PROD048</t>
  </si>
  <si>
    <t>INV00039</t>
  </si>
  <si>
    <t>ORD00040</t>
  </si>
  <si>
    <t>CUST0082</t>
  </si>
  <si>
    <t>PROD158</t>
  </si>
  <si>
    <t>INV00040</t>
  </si>
  <si>
    <t>ORD00041</t>
  </si>
  <si>
    <t>CUST0656</t>
  </si>
  <si>
    <t>PROD229</t>
  </si>
  <si>
    <t>INV00041</t>
  </si>
  <si>
    <t>ORD00042</t>
  </si>
  <si>
    <t>CUST0777</t>
  </si>
  <si>
    <t>PROD231</t>
  </si>
  <si>
    <t>INV00042</t>
  </si>
  <si>
    <t>ORD00043</t>
  </si>
  <si>
    <t>CUST0052</t>
  </si>
  <si>
    <t>PROD050</t>
  </si>
  <si>
    <t>INV00043</t>
  </si>
  <si>
    <t>ORD00044</t>
  </si>
  <si>
    <t>CUST0122</t>
  </si>
  <si>
    <t>INV00044</t>
  </si>
  <si>
    <t>ORD00045</t>
  </si>
  <si>
    <t>CUST0521</t>
  </si>
  <si>
    <t>PROD284</t>
  </si>
  <si>
    <t>INV00045</t>
  </si>
  <si>
    <t>ORD00046</t>
  </si>
  <si>
    <t>PROD203</t>
  </si>
  <si>
    <t>INV00046</t>
  </si>
  <si>
    <t>ORD00047</t>
  </si>
  <si>
    <t>CUST0387</t>
  </si>
  <si>
    <t>PROD254</t>
  </si>
  <si>
    <t>INV00047</t>
  </si>
  <si>
    <t>ORD00048</t>
  </si>
  <si>
    <t>CUST0454</t>
  </si>
  <si>
    <t>PROD248</t>
  </si>
  <si>
    <t>INV00048</t>
  </si>
  <si>
    <t>ORD00049</t>
  </si>
  <si>
    <t>CUST0338</t>
  </si>
  <si>
    <t>PROD101</t>
  </si>
  <si>
    <t>INV00049</t>
  </si>
  <si>
    <t>ORD00050</t>
  </si>
  <si>
    <t>CUST0263</t>
  </si>
  <si>
    <t>PROD011</t>
  </si>
  <si>
    <t>INV00050</t>
  </si>
  <si>
    <t>ORD00051</t>
  </si>
  <si>
    <t>CUST0353</t>
  </si>
  <si>
    <t>PROD036</t>
  </si>
  <si>
    <t>INV00051</t>
  </si>
  <si>
    <t>ORD00052</t>
  </si>
  <si>
    <t>CUST0417</t>
  </si>
  <si>
    <t>PROD142</t>
  </si>
  <si>
    <t>INV00052</t>
  </si>
  <si>
    <t>ORD00053</t>
  </si>
  <si>
    <t>CUST0348</t>
  </si>
  <si>
    <t>PROD089</t>
  </si>
  <si>
    <t>INV00053</t>
  </si>
  <si>
    <t>ORD00054</t>
  </si>
  <si>
    <t>CUST0309</t>
  </si>
  <si>
    <t>PROD034</t>
  </si>
  <si>
    <t>INV00054</t>
  </si>
  <si>
    <t>ORD00055</t>
  </si>
  <si>
    <t>CUST0301</t>
  </si>
  <si>
    <t>PROD019</t>
  </si>
  <si>
    <t>INV00055</t>
  </si>
  <si>
    <t>ORD00056</t>
  </si>
  <si>
    <t>CUST0271</t>
  </si>
  <si>
    <t>PROD220</t>
  </si>
  <si>
    <t>INV00056</t>
  </si>
  <si>
    <t>ORD00057</t>
  </si>
  <si>
    <t>CUST0743</t>
  </si>
  <si>
    <t>INV00057</t>
  </si>
  <si>
    <t>ORD00058</t>
  </si>
  <si>
    <t>CUST0099</t>
  </si>
  <si>
    <t>PROD146</t>
  </si>
  <si>
    <t>INV00058</t>
  </si>
  <si>
    <t>ORD00059</t>
  </si>
  <si>
    <t>CUST0772</t>
  </si>
  <si>
    <t>PROD263</t>
  </si>
  <si>
    <t>INV00059</t>
  </si>
  <si>
    <t>ORD00060</t>
  </si>
  <si>
    <t>INV00060</t>
  </si>
  <si>
    <t>ORD00061</t>
  </si>
  <si>
    <t>CUST0371</t>
  </si>
  <si>
    <t>PROD270</t>
  </si>
  <si>
    <t>INV00061</t>
  </si>
  <si>
    <t>ORD00062</t>
  </si>
  <si>
    <t>CUST0096</t>
  </si>
  <si>
    <t>PROD259</t>
  </si>
  <si>
    <t>INV00062</t>
  </si>
  <si>
    <t>ORD00063</t>
  </si>
  <si>
    <t>CUST0252</t>
  </si>
  <si>
    <t>PROD081</t>
  </si>
  <si>
    <t>INV00063</t>
  </si>
  <si>
    <t>ORD00064</t>
  </si>
  <si>
    <t>CUST0702</t>
  </si>
  <si>
    <t>PROD143</t>
  </si>
  <si>
    <t>INV00064</t>
  </si>
  <si>
    <t>ORD00065</t>
  </si>
  <si>
    <t>PROD022</t>
  </si>
  <si>
    <t>INV00065</t>
  </si>
  <si>
    <t>ORD00066</t>
  </si>
  <si>
    <t>CUST0436</t>
  </si>
  <si>
    <t>PROD275</t>
  </si>
  <si>
    <t>INV00066</t>
  </si>
  <si>
    <t>ORD00067</t>
  </si>
  <si>
    <t>CUST0788</t>
  </si>
  <si>
    <t>PROD196</t>
  </si>
  <si>
    <t>INV00067</t>
  </si>
  <si>
    <t>ORD00068</t>
  </si>
  <si>
    <t>CUST0574</t>
  </si>
  <si>
    <t>PROD237</t>
  </si>
  <si>
    <t>INV00068</t>
  </si>
  <si>
    <t>ORD00069</t>
  </si>
  <si>
    <t>CUST0606</t>
  </si>
  <si>
    <t>PROD299</t>
  </si>
  <si>
    <t>INV00069</t>
  </si>
  <si>
    <t>ORD00070</t>
  </si>
  <si>
    <t>CUST0246</t>
  </si>
  <si>
    <t>INV00070</t>
  </si>
  <si>
    <t>ORD00071</t>
  </si>
  <si>
    <t>CUST0623</t>
  </si>
  <si>
    <t>PROD123</t>
  </si>
  <si>
    <t>INV00071</t>
  </si>
  <si>
    <t>ORD00072</t>
  </si>
  <si>
    <t>CUST0143</t>
  </si>
  <si>
    <t>PROD182</t>
  </si>
  <si>
    <t>INV00072</t>
  </si>
  <si>
    <t>ORD00073</t>
  </si>
  <si>
    <t>CUST0657</t>
  </si>
  <si>
    <t>PROD086</t>
  </si>
  <si>
    <t>INV00073</t>
  </si>
  <si>
    <t>ORD00074</t>
  </si>
  <si>
    <t>CUST0201</t>
  </si>
  <si>
    <t>INV00074</t>
  </si>
  <si>
    <t>ORD00075</t>
  </si>
  <si>
    <t>CUST0428</t>
  </si>
  <si>
    <t>PROD030</t>
  </si>
  <si>
    <t>INV00075</t>
  </si>
  <si>
    <t>ORD00076</t>
  </si>
  <si>
    <t>CUST0221</t>
  </si>
  <si>
    <t>PROD098</t>
  </si>
  <si>
    <t>INV00076</t>
  </si>
  <si>
    <t>ORD00077</t>
  </si>
  <si>
    <t>CUST0247</t>
  </si>
  <si>
    <t>INV00077</t>
  </si>
  <si>
    <t>ORD00078</t>
  </si>
  <si>
    <t>CUST0798</t>
  </si>
  <si>
    <t>PROD137</t>
  </si>
  <si>
    <t>INV00078</t>
  </si>
  <si>
    <t>ORD00079</t>
  </si>
  <si>
    <t>CUST0248</t>
  </si>
  <si>
    <t>PROD283</t>
  </si>
  <si>
    <t>INV00079</t>
  </si>
  <si>
    <t>ORD00080</t>
  </si>
  <si>
    <t>CUST0074</t>
  </si>
  <si>
    <t>INV00080</t>
  </si>
  <si>
    <t>ORD00081</t>
  </si>
  <si>
    <t>CUST0317</t>
  </si>
  <si>
    <t>PROD258</t>
  </si>
  <si>
    <t>INV00081</t>
  </si>
  <si>
    <t>ORD00082</t>
  </si>
  <si>
    <t>CUST0165</t>
  </si>
  <si>
    <t>PROD179</t>
  </si>
  <si>
    <t>INV00082</t>
  </si>
  <si>
    <t>ORD00083</t>
  </si>
  <si>
    <t>CUST0749</t>
  </si>
  <si>
    <t>PROD171</t>
  </si>
  <si>
    <t>INV00083</t>
  </si>
  <si>
    <t>ORD00084</t>
  </si>
  <si>
    <t>CUST0114</t>
  </si>
  <si>
    <t>PROD216</t>
  </si>
  <si>
    <t>INV00084</t>
  </si>
  <si>
    <t>ORD00085</t>
  </si>
  <si>
    <t>CUST0780</t>
  </si>
  <si>
    <t>PROD264</t>
  </si>
  <si>
    <t>INV00085</t>
  </si>
  <si>
    <t>ORD00086</t>
  </si>
  <si>
    <t>CUST0324</t>
  </si>
  <si>
    <t>PROD239</t>
  </si>
  <si>
    <t>INV00086</t>
  </si>
  <si>
    <t>ORD00087</t>
  </si>
  <si>
    <t>PROD073</t>
  </si>
  <si>
    <t>INV00087</t>
  </si>
  <si>
    <t>ORD00088</t>
  </si>
  <si>
    <t>CUST0142</t>
  </si>
  <si>
    <t>PROD133</t>
  </si>
  <si>
    <t>INV00088</t>
  </si>
  <si>
    <t>ORD00089</t>
  </si>
  <si>
    <t>CUST0282</t>
  </si>
  <si>
    <t>PROD277</t>
  </si>
  <si>
    <t>INV00089</t>
  </si>
  <si>
    <t>ORD00090</t>
  </si>
  <si>
    <t>CUST0614</t>
  </si>
  <si>
    <t>INV00090</t>
  </si>
  <si>
    <t>ORD00091</t>
  </si>
  <si>
    <t>CUST0005</t>
  </si>
  <si>
    <t>PROD224</t>
  </si>
  <si>
    <t>INV00091</t>
  </si>
  <si>
    <t>ORD00092</t>
  </si>
  <si>
    <t>CUST0120</t>
  </si>
  <si>
    <t>PROD076</t>
  </si>
  <si>
    <t>INV00092</t>
  </si>
  <si>
    <t>ORD00093</t>
  </si>
  <si>
    <t>CUST0682</t>
  </si>
  <si>
    <t>PROD108</t>
  </si>
  <si>
    <t>INV00093</t>
  </si>
  <si>
    <t>ORD00094</t>
  </si>
  <si>
    <t>PROD038</t>
  </si>
  <si>
    <t>INV00094</t>
  </si>
  <si>
    <t>ORD00095</t>
  </si>
  <si>
    <t>CUST0625</t>
  </si>
  <si>
    <t>PROD162</t>
  </si>
  <si>
    <t>INV00095</t>
  </si>
  <si>
    <t>ORD00096</t>
  </si>
  <si>
    <t>INV00096</t>
  </si>
  <si>
    <t>ORD00097</t>
  </si>
  <si>
    <t>CUST0155</t>
  </si>
  <si>
    <t>PROD008</t>
  </si>
  <si>
    <t>INV00097</t>
  </si>
  <si>
    <t>ORD00098</t>
  </si>
  <si>
    <t>CUST0790</t>
  </si>
  <si>
    <t>PROD041</t>
  </si>
  <si>
    <t>INV00098</t>
  </si>
  <si>
    <t>ORD00099</t>
  </si>
  <si>
    <t>CUST0069</t>
  </si>
  <si>
    <t>PROD186</t>
  </si>
  <si>
    <t>INV00099</t>
  </si>
  <si>
    <t>ORD00100</t>
  </si>
  <si>
    <t>CUST0009</t>
  </si>
  <si>
    <t>PROD298</t>
  </si>
  <si>
    <t>INV00100</t>
  </si>
  <si>
    <t>ORD00101</t>
  </si>
  <si>
    <t>CUST0251</t>
  </si>
  <si>
    <t>INV00101</t>
  </si>
  <si>
    <t>ORD00102</t>
  </si>
  <si>
    <t>CUST0577</t>
  </si>
  <si>
    <t>INV00102</t>
  </si>
  <si>
    <t>ORD00103</t>
  </si>
  <si>
    <t>CUST0441</t>
  </si>
  <si>
    <t>PROD118</t>
  </si>
  <si>
    <t>INV00103</t>
  </si>
  <si>
    <t>ORD00104</t>
  </si>
  <si>
    <t>PROD130</t>
  </si>
  <si>
    <t>INV00104</t>
  </si>
  <si>
    <t>ORD00105</t>
  </si>
  <si>
    <t>CUST0496</t>
  </si>
  <si>
    <t>PROD015</t>
  </si>
  <si>
    <t>INV00105</t>
  </si>
  <si>
    <t>ORD00106</t>
  </si>
  <si>
    <t>CUST0483</t>
  </si>
  <si>
    <t>PROD191</t>
  </si>
  <si>
    <t>INV00106</t>
  </si>
  <si>
    <t>ORD00107</t>
  </si>
  <si>
    <t>CUST0383</t>
  </si>
  <si>
    <t>PROD233</t>
  </si>
  <si>
    <t>INV00107</t>
  </si>
  <si>
    <t>ORD00108</t>
  </si>
  <si>
    <t>CUST0684</t>
  </si>
  <si>
    <t>INV00108</t>
  </si>
  <si>
    <t>ORD00109</t>
  </si>
  <si>
    <t>CUST0735</t>
  </si>
  <si>
    <t>PROD292</t>
  </si>
  <si>
    <t>INV00109</t>
  </si>
  <si>
    <t>ORD00110</t>
  </si>
  <si>
    <t>CUST0718</t>
  </si>
  <si>
    <t>PROD144</t>
  </si>
  <si>
    <t>INV00110</t>
  </si>
  <si>
    <t>ORD00111</t>
  </si>
  <si>
    <t>CUST0616</t>
  </si>
  <si>
    <t>PROD025</t>
  </si>
  <si>
    <t>INV00111</t>
  </si>
  <si>
    <t>ORD00112</t>
  </si>
  <si>
    <t>CUST0540</t>
  </si>
  <si>
    <t>PROD280</t>
  </si>
  <si>
    <t>INV00112</t>
  </si>
  <si>
    <t>ORD00113</t>
  </si>
  <si>
    <t>CUST0111</t>
  </si>
  <si>
    <t>PROD194</t>
  </si>
  <si>
    <t>INV00113</t>
  </si>
  <si>
    <t>ORD00114</t>
  </si>
  <si>
    <t>CUST0168</t>
  </si>
  <si>
    <t>PROD267</t>
  </si>
  <si>
    <t>INV00114</t>
  </si>
  <si>
    <t>ORD00115</t>
  </si>
  <si>
    <t>INV00115</t>
  </si>
  <si>
    <t>ORD00116</t>
  </si>
  <si>
    <t>PROD023</t>
  </si>
  <si>
    <t>INV00116</t>
  </si>
  <si>
    <t>ORD00117</t>
  </si>
  <si>
    <t>CUST0236</t>
  </si>
  <si>
    <t>PROD107</t>
  </si>
  <si>
    <t>INV00117</t>
  </si>
  <si>
    <t>ORD00118</t>
  </si>
  <si>
    <t>CUST0132</t>
  </si>
  <si>
    <t>PROD236</t>
  </si>
  <si>
    <t>INV00118</t>
  </si>
  <si>
    <t>ORD00119</t>
  </si>
  <si>
    <t>CUST0565</t>
  </si>
  <si>
    <t>PROD112</t>
  </si>
  <si>
    <t>INV00119</t>
  </si>
  <si>
    <t>ORD00120</t>
  </si>
  <si>
    <t>CUST0738</t>
  </si>
  <si>
    <t>PROD116</t>
  </si>
  <si>
    <t>INV00120</t>
  </si>
  <si>
    <t>ORD00121</t>
  </si>
  <si>
    <t>CUST0370</t>
  </si>
  <si>
    <t>PROD136</t>
  </si>
  <si>
    <t>INV00121</t>
  </si>
  <si>
    <t>ORD00122</t>
  </si>
  <si>
    <t>CUST0073</t>
  </si>
  <si>
    <t>INV00122</t>
  </si>
  <si>
    <t>ORD00123</t>
  </si>
  <si>
    <t>CUST0410</t>
  </si>
  <si>
    <t>PROD208</t>
  </si>
  <si>
    <t>INV00123</t>
  </si>
  <si>
    <t>ORD00124</t>
  </si>
  <si>
    <t>CUST0792</t>
  </si>
  <si>
    <t>PROD117</t>
  </si>
  <si>
    <t>INV00124</t>
  </si>
  <si>
    <t>ORD00125</t>
  </si>
  <si>
    <t>CUST0222</t>
  </si>
  <si>
    <t>PROD157</t>
  </si>
  <si>
    <t>INV00125</t>
  </si>
  <si>
    <t>ORD00126</t>
  </si>
  <si>
    <t>INV00126</t>
  </si>
  <si>
    <t>ORD00127</t>
  </si>
  <si>
    <t>CUST0342</t>
  </si>
  <si>
    <t>PROD242</t>
  </si>
  <si>
    <t>INV00127</t>
  </si>
  <si>
    <t>ORD00128</t>
  </si>
  <si>
    <t>CUST0665</t>
  </si>
  <si>
    <t>PROD097</t>
  </si>
  <si>
    <t>INV00128</t>
  </si>
  <si>
    <t>ORD00129</t>
  </si>
  <si>
    <t>CUST0701</t>
  </si>
  <si>
    <t>INV00129</t>
  </si>
  <si>
    <t>ORD00130</t>
  </si>
  <si>
    <t>CUST0425</t>
  </si>
  <si>
    <t>INV00130</t>
  </si>
  <si>
    <t>ORD00131</t>
  </si>
  <si>
    <t>CUST0660</t>
  </si>
  <si>
    <t>PROD260</t>
  </si>
  <si>
    <t>INV00131</t>
  </si>
  <si>
    <t>ORD00132</t>
  </si>
  <si>
    <t>CUST0038</t>
  </si>
  <si>
    <t>PROD164</t>
  </si>
  <si>
    <t>INV00132</t>
  </si>
  <si>
    <t>ORD00133</t>
  </si>
  <si>
    <t>CUST0209</t>
  </si>
  <si>
    <t>INV00133</t>
  </si>
  <si>
    <t>ORD00134</t>
  </si>
  <si>
    <t>CUST0115</t>
  </si>
  <si>
    <t>PROD185</t>
  </si>
  <si>
    <t>INV00134</t>
  </si>
  <si>
    <t>ORD00135</t>
  </si>
  <si>
    <t>CUST0737</t>
  </si>
  <si>
    <t>PROD069</t>
  </si>
  <si>
    <t>INV00135</t>
  </si>
  <si>
    <t>ORD00136</t>
  </si>
  <si>
    <t>CUST0386</t>
  </si>
  <si>
    <t>PROD062</t>
  </si>
  <si>
    <t>INV00136</t>
  </si>
  <si>
    <t>ORD00137</t>
  </si>
  <si>
    <t>CUST0188</t>
  </si>
  <si>
    <t>PROD218</t>
  </si>
  <si>
    <t>INV00137</t>
  </si>
  <si>
    <t>ORD00138</t>
  </si>
  <si>
    <t>CUST0706</t>
  </si>
  <si>
    <t>PROD105</t>
  </si>
  <si>
    <t>INV00138</t>
  </si>
  <si>
    <t>ORD00139</t>
  </si>
  <si>
    <t>CUST0303</t>
  </si>
  <si>
    <t>PROD293</t>
  </si>
  <si>
    <t>INV00139</t>
  </si>
  <si>
    <t>ORD00140</t>
  </si>
  <si>
    <t>PROD078</t>
  </si>
  <si>
    <t>INV00140</t>
  </si>
  <si>
    <t>ORD00141</t>
  </si>
  <si>
    <t>CUST0508</t>
  </si>
  <si>
    <t>INV00141</t>
  </si>
  <si>
    <t>ORD00142</t>
  </si>
  <si>
    <t>INV00142</t>
  </si>
  <si>
    <t>ORD00143</t>
  </si>
  <si>
    <t>CUST0013</t>
  </si>
  <si>
    <t>PROD261</t>
  </si>
  <si>
    <t>INV00143</t>
  </si>
  <si>
    <t>ORD00144</t>
  </si>
  <si>
    <t>CUST0602</t>
  </si>
  <si>
    <t>INV00144</t>
  </si>
  <si>
    <t>ORD00145</t>
  </si>
  <si>
    <t>CUST0769</t>
  </si>
  <si>
    <t>PROD206</t>
  </si>
  <si>
    <t>INV00145</t>
  </si>
  <si>
    <t>ORD00146</t>
  </si>
  <si>
    <t>CUST0593</t>
  </si>
  <si>
    <t>INV00146</t>
  </si>
  <si>
    <t>ORD00147</t>
  </si>
  <si>
    <t>CUST0462</t>
  </si>
  <si>
    <t>INV00147</t>
  </si>
  <si>
    <t>ORD00148</t>
  </si>
  <si>
    <t>CUST0026</t>
  </si>
  <si>
    <t>PROD063</t>
  </si>
  <si>
    <t>INV00148</t>
  </si>
  <si>
    <t>ORD00149</t>
  </si>
  <si>
    <t>CUST0067</t>
  </si>
  <si>
    <t>INV00149</t>
  </si>
  <si>
    <t>ORD00150</t>
  </si>
  <si>
    <t>CUST0129</t>
  </si>
  <si>
    <t>INV00150</t>
  </si>
  <si>
    <t>ORD00151</t>
  </si>
  <si>
    <t>CUST0744</t>
  </si>
  <si>
    <t>PROD131</t>
  </si>
  <si>
    <t>INV00151</t>
  </si>
  <si>
    <t>ORD00152</t>
  </si>
  <si>
    <t>CUST0622</t>
  </si>
  <si>
    <t>INV00152</t>
  </si>
  <si>
    <t>ORD00153</t>
  </si>
  <si>
    <t>CUST0475</t>
  </si>
  <si>
    <t>INV00153</t>
  </si>
  <si>
    <t>ORD00154</t>
  </si>
  <si>
    <t>CUST0320</t>
  </si>
  <si>
    <t>INV00154</t>
  </si>
  <si>
    <t>ORD00155</t>
  </si>
  <si>
    <t>CUST0597</t>
  </si>
  <si>
    <t>PROD001</t>
  </si>
  <si>
    <t>INV00155</t>
  </si>
  <si>
    <t>ORD00156</t>
  </si>
  <si>
    <t>CUST0654</t>
  </si>
  <si>
    <t>PROD167</t>
  </si>
  <si>
    <t>INV00156</t>
  </si>
  <si>
    <t>ORD00157</t>
  </si>
  <si>
    <t>CUST0560</t>
  </si>
  <si>
    <t>INV00157</t>
  </si>
  <si>
    <t>ORD00158</t>
  </si>
  <si>
    <t>CUST0671</t>
  </si>
  <si>
    <t>PROD106</t>
  </si>
  <si>
    <t>INV00158</t>
  </si>
  <si>
    <t>ORD00159</t>
  </si>
  <si>
    <t>CUST0472</t>
  </si>
  <si>
    <t>PROD243</t>
  </si>
  <si>
    <t>INV00159</t>
  </si>
  <si>
    <t>ORD00160</t>
  </si>
  <si>
    <t>CUST0230</t>
  </si>
  <si>
    <t>INV00160</t>
  </si>
  <si>
    <t>ORD00161</t>
  </si>
  <si>
    <t>CUST0438</t>
  </si>
  <si>
    <t>INV00161</t>
  </si>
  <si>
    <t>ORD00162</t>
  </si>
  <si>
    <t>CUST0633</t>
  </si>
  <si>
    <t>PROD047</t>
  </si>
  <si>
    <t>INV00162</t>
  </si>
  <si>
    <t>ORD00163</t>
  </si>
  <si>
    <t>INV00163</t>
  </si>
  <si>
    <t>ORD00164</t>
  </si>
  <si>
    <t>CUST0266</t>
  </si>
  <si>
    <t>PROD067</t>
  </si>
  <si>
    <t>INV00164</t>
  </si>
  <si>
    <t>ORD00165</t>
  </si>
  <si>
    <t>CUST0105</t>
  </si>
  <si>
    <t>INV00165</t>
  </si>
  <si>
    <t>ORD00166</t>
  </si>
  <si>
    <t>INV00166</t>
  </si>
  <si>
    <t>ORD00167</t>
  </si>
  <si>
    <t>CUST0757</t>
  </si>
  <si>
    <t>PROD120</t>
  </si>
  <si>
    <t>INV00167</t>
  </si>
  <si>
    <t>ORD00168</t>
  </si>
  <si>
    <t>CUST0345</t>
  </si>
  <si>
    <t>INV00168</t>
  </si>
  <si>
    <t>ORD00169</t>
  </si>
  <si>
    <t>PROD276</t>
  </si>
  <si>
    <t>INV00169</t>
  </si>
  <si>
    <t>ORD00170</t>
  </si>
  <si>
    <t>CUST0085</t>
  </si>
  <si>
    <t>PROD072</t>
  </si>
  <si>
    <t>INV00170</t>
  </si>
  <si>
    <t>ORD00171</t>
  </si>
  <si>
    <t>CUST0206</t>
  </si>
  <si>
    <t>INV00171</t>
  </si>
  <si>
    <t>ORD00172</t>
  </si>
  <si>
    <t>CUST0712</t>
  </si>
  <si>
    <t>PROD204</t>
  </si>
  <si>
    <t>INV00172</t>
  </si>
  <si>
    <t>ORD00173</t>
  </si>
  <si>
    <t>CUST0727</t>
  </si>
  <si>
    <t>PROD286</t>
  </si>
  <si>
    <t>INV00173</t>
  </si>
  <si>
    <t>ORD00174</t>
  </si>
  <si>
    <t>CUST0771</t>
  </si>
  <si>
    <t>INV00174</t>
  </si>
  <si>
    <t>ORD00175</t>
  </si>
  <si>
    <t>CUST0231</t>
  </si>
  <si>
    <t>PROD163</t>
  </si>
  <si>
    <t>INV00175</t>
  </si>
  <si>
    <t>ORD00176</t>
  </si>
  <si>
    <t>CUST0700</t>
  </si>
  <si>
    <t>INV00176</t>
  </si>
  <si>
    <t>ORD00177</t>
  </si>
  <si>
    <t>CUST0381</t>
  </si>
  <si>
    <t>PROD149</t>
  </si>
  <si>
    <t>INV00177</t>
  </si>
  <si>
    <t>ORD00178</t>
  </si>
  <si>
    <t>CUST0003</t>
  </si>
  <si>
    <t>INV00178</t>
  </si>
  <si>
    <t>ORD00179</t>
  </si>
  <si>
    <t>CUST0151</t>
  </si>
  <si>
    <t>PROD189</t>
  </si>
  <si>
    <t>INV00179</t>
  </si>
  <si>
    <t>ORD00180</t>
  </si>
  <si>
    <t>INV00180</t>
  </si>
  <si>
    <t>ORD00181</t>
  </si>
  <si>
    <t>CUST0459</t>
  </si>
  <si>
    <t>INV00181</t>
  </si>
  <si>
    <t>ORD00182</t>
  </si>
  <si>
    <t>CUST0068</t>
  </si>
  <si>
    <t>PROD195</t>
  </si>
  <si>
    <t>INV00182</t>
  </si>
  <si>
    <t>ORD00183</t>
  </si>
  <si>
    <t>INV00183</t>
  </si>
  <si>
    <t>ORD00184</t>
  </si>
  <si>
    <t>CUST0570</t>
  </si>
  <si>
    <t>INV00184</t>
  </si>
  <si>
    <t>ORD00185</t>
  </si>
  <si>
    <t>CUST0169</t>
  </si>
  <si>
    <t>PROD124</t>
  </si>
  <si>
    <t>INV00185</t>
  </si>
  <si>
    <t>ORD00186</t>
  </si>
  <si>
    <t>CUST0233</t>
  </si>
  <si>
    <t>INV00186</t>
  </si>
  <si>
    <t>ORD00187</t>
  </si>
  <si>
    <t>CUST0642</t>
  </si>
  <si>
    <t>PROD228</t>
  </si>
  <si>
    <t>INV00187</t>
  </si>
  <si>
    <t>ORD00188</t>
  </si>
  <si>
    <t>CUST0198</t>
  </si>
  <si>
    <t>INV00188</t>
  </si>
  <si>
    <t>ORD00189</t>
  </si>
  <si>
    <t>CUST0295</t>
  </si>
  <si>
    <t>PROD272</t>
  </si>
  <si>
    <t>INV00189</t>
  </si>
  <si>
    <t>ORD00190</t>
  </si>
  <si>
    <t>CUST0031</t>
  </si>
  <si>
    <t>PROD077</t>
  </si>
  <si>
    <t>INV00190</t>
  </si>
  <si>
    <t>ORD00191</t>
  </si>
  <si>
    <t>PROD255</t>
  </si>
  <si>
    <t>INV00191</t>
  </si>
  <si>
    <t>ORD00192</t>
  </si>
  <si>
    <t>CUST0717</t>
  </si>
  <si>
    <t>PROD094</t>
  </si>
  <si>
    <t>INV00192</t>
  </si>
  <si>
    <t>ORD00193</t>
  </si>
  <si>
    <t>CUST0097</t>
  </si>
  <si>
    <t>INV00193</t>
  </si>
  <si>
    <t>ORD00194</t>
  </si>
  <si>
    <t>CUST0422</t>
  </si>
  <si>
    <t>INV00194</t>
  </si>
  <si>
    <t>ORD00195</t>
  </si>
  <si>
    <t>PROD014</t>
  </si>
  <si>
    <t>INV00195</t>
  </si>
  <si>
    <t>ORD00196</t>
  </si>
  <si>
    <t>CUST0374</t>
  </si>
  <si>
    <t>INV00196</t>
  </si>
  <si>
    <t>ORD00197</t>
  </si>
  <si>
    <t>INV00197</t>
  </si>
  <si>
    <t>ORD00198</t>
  </si>
  <si>
    <t>PROD070</t>
  </si>
  <si>
    <t>INV00198</t>
  </si>
  <si>
    <t>ORD00199</t>
  </si>
  <si>
    <t>CUST0555</t>
  </si>
  <si>
    <t>INV00199</t>
  </si>
  <si>
    <t>ORD00200</t>
  </si>
  <si>
    <t>CUST0611</t>
  </si>
  <si>
    <t>PROD271</t>
  </si>
  <si>
    <t>INV00200</t>
  </si>
  <si>
    <t>ORD00201</t>
  </si>
  <si>
    <t>CUST0687</t>
  </si>
  <si>
    <t>INV00201</t>
  </si>
  <si>
    <t>ORD00202</t>
  </si>
  <si>
    <t>CUST0071</t>
  </si>
  <si>
    <t>PROD183</t>
  </si>
  <si>
    <t>INV00202</t>
  </si>
  <si>
    <t>ORD00203</t>
  </si>
  <si>
    <t>CUST0023</t>
  </si>
  <si>
    <t>PROD238</t>
  </si>
  <si>
    <t>INV00203</t>
  </si>
  <si>
    <t>ORD00204</t>
  </si>
  <si>
    <t>INV00204</t>
  </si>
  <si>
    <t>ORD00205</t>
  </si>
  <si>
    <t>CUST0694</t>
  </si>
  <si>
    <t>PROD125</t>
  </si>
  <si>
    <t>INV00205</t>
  </si>
  <si>
    <t>ORD00206</t>
  </si>
  <si>
    <t>CUST0525</t>
  </si>
  <si>
    <t>INV00206</t>
  </si>
  <si>
    <t>ORD00207</t>
  </si>
  <si>
    <t>CUST0196</t>
  </si>
  <si>
    <t>PROD205</t>
  </si>
  <si>
    <t>INV00207</t>
  </si>
  <si>
    <t>ORD00208</t>
  </si>
  <si>
    <t>PROD154</t>
  </si>
  <si>
    <t>INV00208</t>
  </si>
  <si>
    <t>ORD00209</t>
  </si>
  <si>
    <t>INV00209</t>
  </si>
  <si>
    <t>ORD00210</t>
  </si>
  <si>
    <t>CUST0473</t>
  </si>
  <si>
    <t>INV00210</t>
  </si>
  <si>
    <t>ORD00211</t>
  </si>
  <si>
    <t>PROD211</t>
  </si>
  <si>
    <t>INV00211</t>
  </si>
  <si>
    <t>ORD00212</t>
  </si>
  <si>
    <t>CUST0604</t>
  </si>
  <si>
    <t>INV00212</t>
  </si>
  <si>
    <t>ORD00213</t>
  </si>
  <si>
    <t>CUST0399</t>
  </si>
  <si>
    <t>PROD278</t>
  </si>
  <si>
    <t>INV00213</t>
  </si>
  <si>
    <t>ORD00214</t>
  </si>
  <si>
    <t>CUST0477</t>
  </si>
  <si>
    <t>INV00214</t>
  </si>
  <si>
    <t>ORD00215</t>
  </si>
  <si>
    <t>CUST0007</t>
  </si>
  <si>
    <t>INV00215</t>
  </si>
  <si>
    <t>ORD00216</t>
  </si>
  <si>
    <t>CUST0359</t>
  </si>
  <si>
    <t>PROD245</t>
  </si>
  <si>
    <t>INV00216</t>
  </si>
  <si>
    <t>ORD00217</t>
  </si>
  <si>
    <t>CUST0729</t>
  </si>
  <si>
    <t>PROD043</t>
  </si>
  <si>
    <t>INV00217</t>
  </si>
  <si>
    <t>ORD00218</t>
  </si>
  <si>
    <t>CUST0080</t>
  </si>
  <si>
    <t>PROD064</t>
  </si>
  <si>
    <t>INV00218</t>
  </si>
  <si>
    <t>ORD00219</t>
  </si>
  <si>
    <t>CUST0293</t>
  </si>
  <si>
    <t>INV00219</t>
  </si>
  <si>
    <t>ORD00220</t>
  </si>
  <si>
    <t>CUST0125</t>
  </si>
  <si>
    <t>PROD100</t>
  </si>
  <si>
    <t>INV00220</t>
  </si>
  <si>
    <t>ORD00221</t>
  </si>
  <si>
    <t>CUST0330</t>
  </si>
  <si>
    <t>INV00221</t>
  </si>
  <si>
    <t>ORD00222</t>
  </si>
  <si>
    <t>CUST0055</t>
  </si>
  <si>
    <t>PROD244</t>
  </si>
  <si>
    <t>INV00222</t>
  </si>
  <si>
    <t>ORD00223</t>
  </si>
  <si>
    <t>CUST0018</t>
  </si>
  <si>
    <t>INV00223</t>
  </si>
  <si>
    <t>ORD00224</t>
  </si>
  <si>
    <t>CUST0256</t>
  </si>
  <si>
    <t>PROD170</t>
  </si>
  <si>
    <t>INV00224</t>
  </si>
  <si>
    <t>ORD00225</t>
  </si>
  <si>
    <t>CUST0448</t>
  </si>
  <si>
    <t>INV00225</t>
  </si>
  <si>
    <t>ORD00226</t>
  </si>
  <si>
    <t>CUST0078</t>
  </si>
  <si>
    <t>PROD127</t>
  </si>
  <si>
    <t>INV00226</t>
  </si>
  <si>
    <t>ORD00227</t>
  </si>
  <si>
    <t>CUST0146</t>
  </si>
  <si>
    <t>INV00227</t>
  </si>
  <si>
    <t>ORD00228</t>
  </si>
  <si>
    <t>CUST0724</t>
  </si>
  <si>
    <t>PROD192</t>
  </si>
  <si>
    <t>INV00228</t>
  </si>
  <si>
    <t>ORD00229</t>
  </si>
  <si>
    <t>CUST0723</t>
  </si>
  <si>
    <t>INV00229</t>
  </si>
  <si>
    <t>ORD00230</t>
  </si>
  <si>
    <t>CUST0363</t>
  </si>
  <si>
    <t>PROD113</t>
  </si>
  <si>
    <t>INV00230</t>
  </si>
  <si>
    <t>ORD00231</t>
  </si>
  <si>
    <t>CUST0542</t>
  </si>
  <si>
    <t>PROD295</t>
  </si>
  <si>
    <t>INV00231</t>
  </si>
  <si>
    <t>ORD00232</t>
  </si>
  <si>
    <t>CUST0460</t>
  </si>
  <si>
    <t>INV00232</t>
  </si>
  <si>
    <t>ORD00233</t>
  </si>
  <si>
    <t>CUST0367</t>
  </si>
  <si>
    <t>PROD161</t>
  </si>
  <si>
    <t>INV00233</t>
  </si>
  <si>
    <t>ORD00234</t>
  </si>
  <si>
    <t>CUST0651</t>
  </si>
  <si>
    <t>PROD148</t>
  </si>
  <si>
    <t>INV00234</t>
  </si>
  <si>
    <t>ORD00235</t>
  </si>
  <si>
    <t>INV00235</t>
  </si>
  <si>
    <t>ORD00236</t>
  </si>
  <si>
    <t>CUST0393</t>
  </si>
  <si>
    <t>INV00236</t>
  </si>
  <si>
    <t>ORD00237</t>
  </si>
  <si>
    <t>INV00237</t>
  </si>
  <si>
    <t>ORD00238</t>
  </si>
  <si>
    <t>PROD273</t>
  </si>
  <si>
    <t>INV00238</t>
  </si>
  <si>
    <t>ORD00239</t>
  </si>
  <si>
    <t>CUST0087</t>
  </si>
  <si>
    <t>PROD282</t>
  </si>
  <si>
    <t>INV00239</t>
  </si>
  <si>
    <t>ORD00240</t>
  </si>
  <si>
    <t>CUST0147</t>
  </si>
  <si>
    <t>INV00240</t>
  </si>
  <si>
    <t>ORD00241</t>
  </si>
  <si>
    <t>CUST0088</t>
  </si>
  <si>
    <t>INV00241</t>
  </si>
  <si>
    <t>ORD00242</t>
  </si>
  <si>
    <t>CUST0786</t>
  </si>
  <si>
    <t>PROD210</t>
  </si>
  <si>
    <t>INV00242</t>
  </si>
  <si>
    <t>ORD00243</t>
  </si>
  <si>
    <t>CUST0228</t>
  </si>
  <si>
    <t>INV00243</t>
  </si>
  <si>
    <t>ORD00244</t>
  </si>
  <si>
    <t>PROD007</t>
  </si>
  <si>
    <t>INV00244</t>
  </si>
  <si>
    <t>ORD00245</t>
  </si>
  <si>
    <t>CUST0490</t>
  </si>
  <si>
    <t>PROD037</t>
  </si>
  <si>
    <t>INV00245</t>
  </si>
  <si>
    <t>ORD00246</t>
  </si>
  <si>
    <t>CUST0305</t>
  </si>
  <si>
    <t>INV00246</t>
  </si>
  <si>
    <t>ORD00247</t>
  </si>
  <si>
    <t>CUST0470</t>
  </si>
  <si>
    <t>INV00247</t>
  </si>
  <si>
    <t>ORD00248</t>
  </si>
  <si>
    <t>CUST0070</t>
  </si>
  <si>
    <t>INV00248</t>
  </si>
  <si>
    <t>ORD00249</t>
  </si>
  <si>
    <t>INV00249</t>
  </si>
  <si>
    <t>ORD00250</t>
  </si>
  <si>
    <t>CUST0341</t>
  </si>
  <si>
    <t>INV00250</t>
  </si>
  <si>
    <t>ORD00251</t>
  </si>
  <si>
    <t>CUST0321</t>
  </si>
  <si>
    <t>INV00251</t>
  </si>
  <si>
    <t>ORD00252</t>
  </si>
  <si>
    <t>CUST0138</t>
  </si>
  <si>
    <t>INV00252</t>
  </si>
  <si>
    <t>ORD00253</t>
  </si>
  <si>
    <t>PROD021</t>
  </si>
  <si>
    <t>INV00253</t>
  </si>
  <si>
    <t>ORD00254</t>
  </si>
  <si>
    <t>CUST0117</t>
  </si>
  <si>
    <t>INV00254</t>
  </si>
  <si>
    <t>ORD00255</t>
  </si>
  <si>
    <t>CUST0285</t>
  </si>
  <si>
    <t>PROD176</t>
  </si>
  <si>
    <t>INV00255</t>
  </si>
  <si>
    <t>ORD00256</t>
  </si>
  <si>
    <t>CUST0546</t>
  </si>
  <si>
    <t>INV00256</t>
  </si>
  <si>
    <t>ORD00257</t>
  </si>
  <si>
    <t>CUST0778</t>
  </si>
  <si>
    <t>INV00257</t>
  </si>
  <si>
    <t>ORD00258</t>
  </si>
  <si>
    <t>CUST0439</t>
  </si>
  <si>
    <t>INV00258</t>
  </si>
  <si>
    <t>ORD00259</t>
  </si>
  <si>
    <t>CUST0025</t>
  </si>
  <si>
    <t>PROD016</t>
  </si>
  <si>
    <t>INV00259</t>
  </si>
  <si>
    <t>ORD00260</t>
  </si>
  <si>
    <t>CUST0274</t>
  </si>
  <si>
    <t>INV00260</t>
  </si>
  <si>
    <t>ORD00261</t>
  </si>
  <si>
    <t>CUST0464</t>
  </si>
  <si>
    <t>PROD289</t>
  </si>
  <si>
    <t>INV00261</t>
  </si>
  <si>
    <t>ORD00262</t>
  </si>
  <si>
    <t>CUST0229</t>
  </si>
  <si>
    <t>PROD058</t>
  </si>
  <si>
    <t>INV00262</t>
  </si>
  <si>
    <t>ORD00263</t>
  </si>
  <si>
    <t>CUST0355</t>
  </si>
  <si>
    <t>INV00263</t>
  </si>
  <si>
    <t>ORD00264</t>
  </si>
  <si>
    <t>CUST0776</t>
  </si>
  <si>
    <t>INV00264</t>
  </si>
  <si>
    <t>ORD00265</t>
  </si>
  <si>
    <t>CUST0372</t>
  </si>
  <si>
    <t>PROD147</t>
  </si>
  <si>
    <t>INV00265</t>
  </si>
  <si>
    <t>ORD00266</t>
  </si>
  <si>
    <t>CUST0333</t>
  </si>
  <si>
    <t>INV00266</t>
  </si>
  <si>
    <t>ORD00267</t>
  </si>
  <si>
    <t>CUST0553</t>
  </si>
  <si>
    <t>INV00267</t>
  </si>
  <si>
    <t>ORD00268</t>
  </si>
  <si>
    <t>INV00268</t>
  </si>
  <si>
    <t>ORD00269</t>
  </si>
  <si>
    <t>CUST0098</t>
  </si>
  <si>
    <t>PROD202</t>
  </si>
  <si>
    <t>INV00269</t>
  </si>
  <si>
    <t>ORD00270</t>
  </si>
  <si>
    <t>INV00270</t>
  </si>
  <si>
    <t>ORD00271</t>
  </si>
  <si>
    <t>PROD128</t>
  </si>
  <si>
    <t>INV00271</t>
  </si>
  <si>
    <t>ORD00272</t>
  </si>
  <si>
    <t>INV00272</t>
  </si>
  <si>
    <t>ORD00273</t>
  </si>
  <si>
    <t>CUST0182</t>
  </si>
  <si>
    <t>PROD134</t>
  </si>
  <si>
    <t>INV00273</t>
  </si>
  <si>
    <t>ORD00274</t>
  </si>
  <si>
    <t>INV00274</t>
  </si>
  <si>
    <t>ORD00275</t>
  </si>
  <si>
    <t>INV00275</t>
  </si>
  <si>
    <t>ORD00276</t>
  </si>
  <si>
    <t>CUST0523</t>
  </si>
  <si>
    <t>INV00276</t>
  </si>
  <si>
    <t>ORD00277</t>
  </si>
  <si>
    <t>CUST0518</t>
  </si>
  <si>
    <t>PROD166</t>
  </si>
  <si>
    <t>INV00277</t>
  </si>
  <si>
    <t>ORD00278</t>
  </si>
  <si>
    <t>CUST0017</t>
  </si>
  <si>
    <t>INV00278</t>
  </si>
  <si>
    <t>ORD00279</t>
  </si>
  <si>
    <t>CUST0287</t>
  </si>
  <si>
    <t>INV00279</t>
  </si>
  <si>
    <t>ORD00280</t>
  </si>
  <si>
    <t>CUST0708</t>
  </si>
  <si>
    <t>INV00280</t>
  </si>
  <si>
    <t>ORD00281</t>
  </si>
  <si>
    <t>CUST0493</t>
  </si>
  <si>
    <t>INV00281</t>
  </si>
  <si>
    <t>ORD00282</t>
  </si>
  <si>
    <t>CUST0426</t>
  </si>
  <si>
    <t>INV00282</t>
  </si>
  <si>
    <t>ORD00283</t>
  </si>
  <si>
    <t>CUST0062</t>
  </si>
  <si>
    <t>INV00283</t>
  </si>
  <si>
    <t>ORD00284</t>
  </si>
  <si>
    <t>PROD012</t>
  </si>
  <si>
    <t>INV00284</t>
  </si>
  <si>
    <t>ORD00285</t>
  </si>
  <si>
    <t>CUST0775</t>
  </si>
  <si>
    <t>INV00285</t>
  </si>
  <si>
    <t>ORD00286</t>
  </si>
  <si>
    <t>CUST0042</t>
  </si>
  <si>
    <t>INV00286</t>
  </si>
  <si>
    <t>ORD00287</t>
  </si>
  <si>
    <t>CUST0313</t>
  </si>
  <si>
    <t>INV00287</t>
  </si>
  <si>
    <t>ORD00288</t>
  </si>
  <si>
    <t>CUST0534</t>
  </si>
  <si>
    <t>INV00288</t>
  </si>
  <si>
    <t>ORD00289</t>
  </si>
  <si>
    <t>CUST0335</t>
  </si>
  <si>
    <t>PROD074</t>
  </si>
  <si>
    <t>INV00289</t>
  </si>
  <si>
    <t>ORD00290</t>
  </si>
  <si>
    <t>CUST0232</t>
  </si>
  <si>
    <t>PROD187</t>
  </si>
  <si>
    <t>INV00290</t>
  </si>
  <si>
    <t>ORD00291</t>
  </si>
  <si>
    <t>CUST0506</t>
  </si>
  <si>
    <t>INV00291</t>
  </si>
  <si>
    <t>ORD00292</t>
  </si>
  <si>
    <t>CUST0145</t>
  </si>
  <si>
    <t>INV00292</t>
  </si>
  <si>
    <t>ORD00293</t>
  </si>
  <si>
    <t>CUST0683</t>
  </si>
  <si>
    <t>INV00293</t>
  </si>
  <si>
    <t>ORD00294</t>
  </si>
  <si>
    <t>CUST0528</t>
  </si>
  <si>
    <t>INV00294</t>
  </si>
  <si>
    <t>ORD00295</t>
  </si>
  <si>
    <t>CUST0800</t>
  </si>
  <si>
    <t>INV00295</t>
  </si>
  <si>
    <t>ORD00296</t>
  </si>
  <si>
    <t>INV00296</t>
  </si>
  <si>
    <t>ORD00297</t>
  </si>
  <si>
    <t>INV00297</t>
  </si>
  <si>
    <t>ORD00298</t>
  </si>
  <si>
    <t>CUST0364</t>
  </si>
  <si>
    <t>INV00298</t>
  </si>
  <si>
    <t>ORD00299</t>
  </si>
  <si>
    <t>PROD119</t>
  </si>
  <si>
    <t>INV00299</t>
  </si>
  <si>
    <t>ORD00300</t>
  </si>
  <si>
    <t>CUST0631</t>
  </si>
  <si>
    <t>PROD071</t>
  </si>
  <si>
    <t>INV00300</t>
  </si>
  <si>
    <t>ORD00301</t>
  </si>
  <si>
    <t>CUST0536</t>
  </si>
  <si>
    <t>PROD017</t>
  </si>
  <si>
    <t>INV00301</t>
  </si>
  <si>
    <t>ORD00302</t>
  </si>
  <si>
    <t>CUST0492</t>
  </si>
  <si>
    <t>INV00302</t>
  </si>
  <si>
    <t>ORD00303</t>
  </si>
  <si>
    <t>CUST0594</t>
  </si>
  <si>
    <t>INV00303</t>
  </si>
  <si>
    <t>ORD00304</t>
  </si>
  <si>
    <t>PROD175</t>
  </si>
  <si>
    <t>INV00304</t>
  </si>
  <si>
    <t>ORD00305</t>
  </si>
  <si>
    <t>CUST0669</t>
  </si>
  <si>
    <t>INV00305</t>
  </si>
  <si>
    <t>ORD00306</t>
  </si>
  <si>
    <t>INV00306</t>
  </si>
  <si>
    <t>ORD00307</t>
  </si>
  <si>
    <t>CUST0092</t>
  </si>
  <si>
    <t>INV00307</t>
  </si>
  <si>
    <t>ORD00308</t>
  </si>
  <si>
    <t>CUST0485</t>
  </si>
  <si>
    <t>INV00308</t>
  </si>
  <si>
    <t>ORD00309</t>
  </si>
  <si>
    <t>CUST0065</t>
  </si>
  <si>
    <t>INV00309</t>
  </si>
  <si>
    <t>ORD00310</t>
  </si>
  <si>
    <t>CUST0568</t>
  </si>
  <si>
    <t>INV00310</t>
  </si>
  <si>
    <t>ORD00311</t>
  </si>
  <si>
    <t>CUST0318</t>
  </si>
  <si>
    <t>PROD181</t>
  </si>
  <si>
    <t>INV00311</t>
  </si>
  <si>
    <t>ORD00312</t>
  </si>
  <si>
    <t>CUST0698</t>
  </si>
  <si>
    <t>INV00312</t>
  </si>
  <si>
    <t>ORD00313</t>
  </si>
  <si>
    <t>CUST0314</t>
  </si>
  <si>
    <t>INV00313</t>
  </si>
  <si>
    <t>ORD00314</t>
  </si>
  <si>
    <t>INV00314</t>
  </si>
  <si>
    <t>ORD00315</t>
  </si>
  <si>
    <t>CUST0075</t>
  </si>
  <si>
    <t>INV00315</t>
  </si>
  <si>
    <t>ORD00316</t>
  </si>
  <si>
    <t>CUST0582</t>
  </si>
  <si>
    <t>INV00316</t>
  </si>
  <si>
    <t>ORD00317</t>
  </si>
  <si>
    <t>INV00317</t>
  </si>
  <si>
    <t>ORD00318</t>
  </si>
  <si>
    <t>INV00318</t>
  </si>
  <si>
    <t>ORD00319</t>
  </si>
  <si>
    <t>INV00319</t>
  </si>
  <si>
    <t>ORD00320</t>
  </si>
  <si>
    <t>CUST0174</t>
  </si>
  <si>
    <t>INV00320</t>
  </si>
  <si>
    <t>ORD00321</t>
  </si>
  <si>
    <t>PROD102</t>
  </si>
  <si>
    <t>INV00321</t>
  </si>
  <si>
    <t>ORD00322</t>
  </si>
  <si>
    <t>PROD138</t>
  </si>
  <si>
    <t>INV00322</t>
  </si>
  <si>
    <t>ORD00323</t>
  </si>
  <si>
    <t>CUST0299</t>
  </si>
  <si>
    <t>INV00323</t>
  </si>
  <si>
    <t>ORD00324</t>
  </si>
  <si>
    <t>CUST0219</t>
  </si>
  <si>
    <t>PROD082</t>
  </si>
  <si>
    <t>INV00324</t>
  </si>
  <si>
    <t>ORD00325</t>
  </si>
  <si>
    <t>CUST0420</t>
  </si>
  <si>
    <t>INV00325</t>
  </si>
  <si>
    <t>ORD00326</t>
  </si>
  <si>
    <t>INV00326</t>
  </si>
  <si>
    <t>ORD00327</t>
  </si>
  <si>
    <t>CUST0160</t>
  </si>
  <si>
    <t>INV00327</t>
  </si>
  <si>
    <t>ORD00328</t>
  </si>
  <si>
    <t>CUST0218</t>
  </si>
  <si>
    <t>INV00328</t>
  </si>
  <si>
    <t>ORD00329</t>
  </si>
  <si>
    <t>CUST0444</t>
  </si>
  <si>
    <t>INV00329</t>
  </si>
  <si>
    <t>ORD00330</t>
  </si>
  <si>
    <t>INV00330</t>
  </si>
  <si>
    <t>ORD00331</t>
  </si>
  <si>
    <t>INV00331</t>
  </si>
  <si>
    <t>ORD00332</t>
  </si>
  <si>
    <t>INV00332</t>
  </si>
  <si>
    <t>ORD00333</t>
  </si>
  <si>
    <t>INV00333</t>
  </si>
  <si>
    <t>ORD00334</t>
  </si>
  <si>
    <t>CUST0102</t>
  </si>
  <si>
    <t>INV00334</t>
  </si>
  <si>
    <t>ORD00335</t>
  </si>
  <si>
    <t>PROD225</t>
  </si>
  <si>
    <t>INV00335</t>
  </si>
  <si>
    <t>ORD00336</t>
  </si>
  <si>
    <t>INV00336</t>
  </si>
  <si>
    <t>ORD00337</t>
  </si>
  <si>
    <t>INV00337</t>
  </si>
  <si>
    <t>ORD00338</t>
  </si>
  <si>
    <t>CUST0300</t>
  </si>
  <si>
    <t>INV00338</t>
  </si>
  <si>
    <t>ORD00339</t>
  </si>
  <si>
    <t>INV00339</t>
  </si>
  <si>
    <t>ORD00340</t>
  </si>
  <si>
    <t>PROD065</t>
  </si>
  <si>
    <t>INV00340</t>
  </si>
  <si>
    <t>ORD00341</t>
  </si>
  <si>
    <t>CUST0789</t>
  </si>
  <si>
    <t>INV00341</t>
  </si>
  <si>
    <t>ORD00342</t>
  </si>
  <si>
    <t>CUST0431</t>
  </si>
  <si>
    <t>INV00342</t>
  </si>
  <si>
    <t>ORD00343</t>
  </si>
  <si>
    <t>PROD052</t>
  </si>
  <si>
    <t>INV00343</t>
  </si>
  <si>
    <t>ORD00344</t>
  </si>
  <si>
    <t>CUST0617</t>
  </si>
  <si>
    <t>PROD291</t>
  </si>
  <si>
    <t>INV00344</t>
  </si>
  <si>
    <t>ORD00345</t>
  </si>
  <si>
    <t>CUST0241</t>
  </si>
  <si>
    <t>INV00345</t>
  </si>
  <si>
    <t>ORD00346</t>
  </si>
  <si>
    <t>CUST0554</t>
  </si>
  <si>
    <t>PROD287</t>
  </si>
  <si>
    <t>INV00346</t>
  </si>
  <si>
    <t>ORD00347</t>
  </si>
  <si>
    <t>CUST0653</t>
  </si>
  <si>
    <t>PROD159</t>
  </si>
  <si>
    <t>INV00347</t>
  </si>
  <si>
    <t>ORD00348</t>
  </si>
  <si>
    <t>INV00348</t>
  </si>
  <si>
    <t>ORD00349</t>
  </si>
  <si>
    <t>CUST0487</t>
  </si>
  <si>
    <t>PROD035</t>
  </si>
  <si>
    <t>INV00349</t>
  </si>
  <si>
    <t>ORD00350</t>
  </si>
  <si>
    <t>CUST0361</t>
  </si>
  <si>
    <t>INV00350</t>
  </si>
  <si>
    <t>ORD00351</t>
  </si>
  <si>
    <t>CUST0202</t>
  </si>
  <si>
    <t>PROD060</t>
  </si>
  <si>
    <t>INV00351</t>
  </si>
  <si>
    <t>ORD00352</t>
  </si>
  <si>
    <t>CUST0672</t>
  </si>
  <si>
    <t>INV00352</t>
  </si>
  <si>
    <t>ORD00353</t>
  </si>
  <si>
    <t>INV00353</t>
  </si>
  <si>
    <t>ORD00354</t>
  </si>
  <si>
    <t>CUST0524</t>
  </si>
  <si>
    <t>INV00354</t>
  </si>
  <si>
    <t>ORD00355</t>
  </si>
  <si>
    <t>PROD103</t>
  </si>
  <si>
    <t>INV00355</t>
  </si>
  <si>
    <t>ORD00356</t>
  </si>
  <si>
    <t>CUST0049</t>
  </si>
  <si>
    <t>INV00356</t>
  </si>
  <si>
    <t>ORD00357</t>
  </si>
  <si>
    <t>PROD155</t>
  </si>
  <si>
    <t>INV00357</t>
  </si>
  <si>
    <t>ORD00358</t>
  </si>
  <si>
    <t>CUST0322</t>
  </si>
  <si>
    <t>INV00358</t>
  </si>
  <si>
    <t>ORD00359</t>
  </si>
  <si>
    <t>CUST0427</t>
  </si>
  <si>
    <t>INV00359</t>
  </si>
  <si>
    <t>ORD00360</t>
  </si>
  <si>
    <t>CUST0781</t>
  </si>
  <si>
    <t>INV00360</t>
  </si>
  <si>
    <t>ORD00361</t>
  </si>
  <si>
    <t>CUST0034</t>
  </si>
  <si>
    <t>INV00361</t>
  </si>
  <si>
    <t>ORD00362</t>
  </si>
  <si>
    <t>PROD297</t>
  </si>
  <si>
    <t>INV00362</t>
  </si>
  <si>
    <t>ORD00363</t>
  </si>
  <si>
    <t>CUST0535</t>
  </si>
  <si>
    <t>PROD114</t>
  </si>
  <si>
    <t>INV00363</t>
  </si>
  <si>
    <t>ORD00364</t>
  </si>
  <si>
    <t>CUST0600</t>
  </si>
  <si>
    <t>PROD141</t>
  </si>
  <si>
    <t>INV00364</t>
  </si>
  <si>
    <t>ORD00365</t>
  </si>
  <si>
    <t>INV00365</t>
  </si>
  <si>
    <t>ORD00366</t>
  </si>
  <si>
    <t>CUST0176</t>
  </si>
  <si>
    <t>INV00366</t>
  </si>
  <si>
    <t>ORD00367</t>
  </si>
  <si>
    <t>INV00367</t>
  </si>
  <si>
    <t>ORD00368</t>
  </si>
  <si>
    <t>CUST0337</t>
  </si>
  <si>
    <t>INV00368</t>
  </si>
  <si>
    <t>ORD00369</t>
  </si>
  <si>
    <t>CUST0768</t>
  </si>
  <si>
    <t>INV00369</t>
  </si>
  <si>
    <t>ORD00370</t>
  </si>
  <si>
    <t>CUST0298</t>
  </si>
  <si>
    <t>INV00370</t>
  </si>
  <si>
    <t>ORD00371</t>
  </si>
  <si>
    <t>CUST0264</t>
  </si>
  <si>
    <t>PROD051</t>
  </si>
  <si>
    <t>INV00371</t>
  </si>
  <si>
    <t>ORD00372</t>
  </si>
  <si>
    <t>PROD226</t>
  </si>
  <si>
    <t>INV00372</t>
  </si>
  <si>
    <t>ORD00373</t>
  </si>
  <si>
    <t>CUST0539</t>
  </si>
  <si>
    <t>INV00373</t>
  </si>
  <si>
    <t>ORD00374</t>
  </si>
  <si>
    <t>CUST0465</t>
  </si>
  <si>
    <t>PROD044</t>
  </si>
  <si>
    <t>INV00374</t>
  </si>
  <si>
    <t>ORD00375</t>
  </si>
  <si>
    <t>CUST0497</t>
  </si>
  <si>
    <t>PROD026</t>
  </si>
  <si>
    <t>INV00375</t>
  </si>
  <si>
    <t>ORD00376</t>
  </si>
  <si>
    <t>CUST0557</t>
  </si>
  <si>
    <t>PROD274</t>
  </si>
  <si>
    <t>INV00376</t>
  </si>
  <si>
    <t>ORD00377</t>
  </si>
  <si>
    <t>CUST0189</t>
  </si>
  <si>
    <t>PROD135</t>
  </si>
  <si>
    <t>INV00377</t>
  </si>
  <si>
    <t>ORD00378</t>
  </si>
  <si>
    <t>CUST0041</t>
  </si>
  <si>
    <t>INV00378</t>
  </si>
  <si>
    <t>ORD00379</t>
  </si>
  <si>
    <t>CUST0343</t>
  </si>
  <si>
    <t>PROD172</t>
  </si>
  <si>
    <t>INV00379</t>
  </si>
  <si>
    <t>ORD00380</t>
  </si>
  <si>
    <t>PROD084</t>
  </si>
  <si>
    <t>INV00380</t>
  </si>
  <si>
    <t>ORD00381</t>
  </si>
  <si>
    <t>CUST0368</t>
  </si>
  <si>
    <t>INV00381</t>
  </si>
  <si>
    <t>ORD00382</t>
  </si>
  <si>
    <t>PROD281</t>
  </si>
  <si>
    <t>INV00382</t>
  </si>
  <si>
    <t>ORD00383</t>
  </si>
  <si>
    <t>CUST0357</t>
  </si>
  <si>
    <t>PROD091</t>
  </si>
  <si>
    <t>INV00383</t>
  </si>
  <si>
    <t>ORD00384</t>
  </si>
  <si>
    <t>INV00384</t>
  </si>
  <si>
    <t>ORD00385</t>
  </si>
  <si>
    <t>CUST0461</t>
  </si>
  <si>
    <t>INV00385</t>
  </si>
  <si>
    <t>ORD00386</t>
  </si>
  <si>
    <t>PROD006</t>
  </si>
  <si>
    <t>INV00386</t>
  </si>
  <si>
    <t>ORD00387</t>
  </si>
  <si>
    <t>CUST0004</t>
  </si>
  <si>
    <t>PROD190</t>
  </si>
  <si>
    <t>INV00387</t>
  </si>
  <si>
    <t>ORD00388</t>
  </si>
  <si>
    <t>CUST0413</t>
  </si>
  <si>
    <t>INV00388</t>
  </si>
  <si>
    <t>ORD00389</t>
  </si>
  <si>
    <t>INV00389</t>
  </si>
  <si>
    <t>ORD00390</t>
  </si>
  <si>
    <t>CUST0217</t>
  </si>
  <si>
    <t>INV00390</t>
  </si>
  <si>
    <t>ORD00391</t>
  </si>
  <si>
    <t>INV00391</t>
  </si>
  <si>
    <t>ORD00392</t>
  </si>
  <si>
    <t>PROD110</t>
  </si>
  <si>
    <t>INV00392</t>
  </si>
  <si>
    <t>ORD00393</t>
  </si>
  <si>
    <t>CUST0401</t>
  </si>
  <si>
    <t>INV00393</t>
  </si>
  <si>
    <t>ORD00394</t>
  </si>
  <si>
    <t>PROD212</t>
  </si>
  <si>
    <t>INV00394</t>
  </si>
  <si>
    <t>ORD00395</t>
  </si>
  <si>
    <t>CUST0603</t>
  </si>
  <si>
    <t>PROD020</t>
  </si>
  <si>
    <t>INV00395</t>
  </si>
  <si>
    <t>ORD00396</t>
  </si>
  <si>
    <t>CUST0619</t>
  </si>
  <si>
    <t>INV00396</t>
  </si>
  <si>
    <t>ORD00397</t>
  </si>
  <si>
    <t>INV00397</t>
  </si>
  <si>
    <t>ORD00398</t>
  </si>
  <si>
    <t>INV00398</t>
  </si>
  <si>
    <t>ORD00399</t>
  </si>
  <si>
    <t>CUST0785</t>
  </si>
  <si>
    <t>PROD184</t>
  </si>
  <si>
    <t>INV00399</t>
  </si>
  <si>
    <t>ORD00400</t>
  </si>
  <si>
    <t>INV00400</t>
  </si>
  <si>
    <t>ORD00401</t>
  </si>
  <si>
    <t>CUST0288</t>
  </si>
  <si>
    <t>INV00401</t>
  </si>
  <si>
    <t>ORD00402</t>
  </si>
  <si>
    <t>CUST0634</t>
  </si>
  <si>
    <t>INV00402</t>
  </si>
  <si>
    <t>ORD00403</t>
  </si>
  <si>
    <t>INV00403</t>
  </si>
  <si>
    <t>ORD00404</t>
  </si>
  <si>
    <t>CUST0211</t>
  </si>
  <si>
    <t>INV00404</t>
  </si>
  <si>
    <t>ORD00405</t>
  </si>
  <si>
    <t>CUST0227</t>
  </si>
  <si>
    <t>PROD153</t>
  </si>
  <si>
    <t>INV00405</t>
  </si>
  <si>
    <t>ORD00406</t>
  </si>
  <si>
    <t>CUST0223</t>
  </si>
  <si>
    <t>PROD265</t>
  </si>
  <si>
    <t>INV00406</t>
  </si>
  <si>
    <t>ORD00407</t>
  </si>
  <si>
    <t>CUST0283</t>
  </si>
  <si>
    <t>PROD256</t>
  </si>
  <si>
    <t>INV00407</t>
  </si>
  <si>
    <t>ORD00408</t>
  </si>
  <si>
    <t>CUST0389</t>
  </si>
  <si>
    <t>INV00408</t>
  </si>
  <si>
    <t>ORD00409</t>
  </si>
  <si>
    <t>CUST0530</t>
  </si>
  <si>
    <t>PROD096</t>
  </si>
  <si>
    <t>INV00409</t>
  </si>
  <si>
    <t>ORD00410</t>
  </si>
  <si>
    <t>CUST0191</t>
  </si>
  <si>
    <t>INV00410</t>
  </si>
  <si>
    <t>ORD00411</t>
  </si>
  <si>
    <t>INV00411</t>
  </si>
  <si>
    <t>ORD00412</t>
  </si>
  <si>
    <t>CUST0742</t>
  </si>
  <si>
    <t>INV00412</t>
  </si>
  <si>
    <t>ORD00413</t>
  </si>
  <si>
    <t>INV00413</t>
  </si>
  <si>
    <t>ORD00414</t>
  </si>
  <si>
    <t>CUST0046</t>
  </si>
  <si>
    <t>INV00414</t>
  </si>
  <si>
    <t>ORD00415</t>
  </si>
  <si>
    <t>INV00415</t>
  </si>
  <si>
    <t>ORD00416</t>
  </si>
  <si>
    <t>INV00416</t>
  </si>
  <si>
    <t>ORD00417</t>
  </si>
  <si>
    <t>INV00417</t>
  </si>
  <si>
    <t>ORD00418</t>
  </si>
  <si>
    <t>CUST0572</t>
  </si>
  <si>
    <t>PROD032</t>
  </si>
  <si>
    <t>INV00418</t>
  </si>
  <si>
    <t>ORD00419</t>
  </si>
  <si>
    <t>INV00419</t>
  </si>
  <si>
    <t>ORD00420</t>
  </si>
  <si>
    <t>PROD059</t>
  </si>
  <si>
    <t>INV00420</t>
  </si>
  <si>
    <t>ORD00421</t>
  </si>
  <si>
    <t>PROD200</t>
  </si>
  <si>
    <t>INV00421</t>
  </si>
  <si>
    <t>ORD00422</t>
  </si>
  <si>
    <t>CUST0072</t>
  </si>
  <si>
    <t>INV00422</t>
  </si>
  <si>
    <t>ORD00423</t>
  </si>
  <si>
    <t>CUST0522</t>
  </si>
  <si>
    <t>INV00423</t>
  </si>
  <si>
    <t>ORD00424</t>
  </si>
  <si>
    <t>PROD121</t>
  </si>
  <si>
    <t>INV00424</t>
  </si>
  <si>
    <t>ORD00425</t>
  </si>
  <si>
    <t>CUST0014</t>
  </si>
  <si>
    <t>INV00425</t>
  </si>
  <si>
    <t>ORD00426</t>
  </si>
  <si>
    <t>CUST0584</t>
  </si>
  <si>
    <t>PROD090</t>
  </si>
  <si>
    <t>INV00426</t>
  </si>
  <si>
    <t>ORD00427</t>
  </si>
  <si>
    <t>CUST0040</t>
  </si>
  <si>
    <t>INV00427</t>
  </si>
  <si>
    <t>ORD00428</t>
  </si>
  <si>
    <t>PROD178</t>
  </si>
  <si>
    <t>INV00428</t>
  </si>
  <si>
    <t>ORD00429</t>
  </si>
  <si>
    <t>CUST0689</t>
  </si>
  <si>
    <t>PROD240</t>
  </si>
  <si>
    <t>INV00429</t>
  </si>
  <si>
    <t>ORD00430</t>
  </si>
  <si>
    <t>INV00430</t>
  </si>
  <si>
    <t>ORD00431</t>
  </si>
  <si>
    <t>INV00431</t>
  </si>
  <si>
    <t>ORD00432</t>
  </si>
  <si>
    <t>CUST0674</t>
  </si>
  <si>
    <t>PROD234</t>
  </si>
  <si>
    <t>INV00432</t>
  </si>
  <si>
    <t>ORD00433</t>
  </si>
  <si>
    <t>CUST0076</t>
  </si>
  <si>
    <t>PROD126</t>
  </si>
  <si>
    <t>INV00433</t>
  </si>
  <si>
    <t>ORD00434</t>
  </si>
  <si>
    <t>CUST0032</t>
  </si>
  <si>
    <t>INV00434</t>
  </si>
  <si>
    <t>ORD00435</t>
  </si>
  <si>
    <t>INV00435</t>
  </si>
  <si>
    <t>ORD00436</t>
  </si>
  <si>
    <t>CUST0306</t>
  </si>
  <si>
    <t>PROD087</t>
  </si>
  <si>
    <t>INV00436</t>
  </si>
  <si>
    <t>ORD00437</t>
  </si>
  <si>
    <t>PROD049</t>
  </si>
  <si>
    <t>INV00437</t>
  </si>
  <si>
    <t>ORD00438</t>
  </si>
  <si>
    <t>INV00438</t>
  </si>
  <si>
    <t>ORD00439</t>
  </si>
  <si>
    <t>CUST0527</t>
  </si>
  <si>
    <t>INV00439</t>
  </si>
  <si>
    <t>ORD00440</t>
  </si>
  <si>
    <t>CUST0621</t>
  </si>
  <si>
    <t>INV00440</t>
  </si>
  <si>
    <t>ORD00441</t>
  </si>
  <si>
    <t>INV00441</t>
  </si>
  <si>
    <t>ORD00442</t>
  </si>
  <si>
    <t>INV00442</t>
  </si>
  <si>
    <t>ORD00443</t>
  </si>
  <si>
    <t>CUST0452</t>
  </si>
  <si>
    <t>INV00443</t>
  </si>
  <si>
    <t>ORD00444</t>
  </si>
  <si>
    <t>CUST0016</t>
  </si>
  <si>
    <t>INV00444</t>
  </si>
  <si>
    <t>ORD00445</t>
  </si>
  <si>
    <t>INV00445</t>
  </si>
  <si>
    <t>ORD00446</t>
  </si>
  <si>
    <t>PROD168</t>
  </si>
  <si>
    <t>INV00446</t>
  </si>
  <si>
    <t>ORD00447</t>
  </si>
  <si>
    <t>INV00447</t>
  </si>
  <si>
    <t>ORD00448</t>
  </si>
  <si>
    <t>INV00448</t>
  </si>
  <si>
    <t>ORD00449</t>
  </si>
  <si>
    <t>INV00449</t>
  </si>
  <si>
    <t>ORD00450</t>
  </si>
  <si>
    <t>CUST0094</t>
  </si>
  <si>
    <t>PROD188</t>
  </si>
  <si>
    <t>INV00450</t>
  </si>
  <si>
    <t>ORD00451</t>
  </si>
  <si>
    <t>INV00451</t>
  </si>
  <si>
    <t>ORD00452</t>
  </si>
  <si>
    <t>CUST0509</t>
  </si>
  <si>
    <t>INV00452</t>
  </si>
  <si>
    <t>ORD00453</t>
  </si>
  <si>
    <t>INV00453</t>
  </si>
  <si>
    <t>ORD00454</t>
  </si>
  <si>
    <t>CUST0162</t>
  </si>
  <si>
    <t>INV00454</t>
  </si>
  <si>
    <t>ORD00455</t>
  </si>
  <si>
    <t>INV00455</t>
  </si>
  <si>
    <t>ORD00456</t>
  </si>
  <si>
    <t>CUST0166</t>
  </si>
  <si>
    <t>INV00456</t>
  </si>
  <si>
    <t>ORD00457</t>
  </si>
  <si>
    <t>CUST0709</t>
  </si>
  <si>
    <t>INV00457</t>
  </si>
  <si>
    <t>ORD00458</t>
  </si>
  <si>
    <t>CUST0590</t>
  </si>
  <si>
    <t>INV00458</t>
  </si>
  <si>
    <t>ORD00459</t>
  </si>
  <si>
    <t>CUST0235</t>
  </si>
  <si>
    <t>INV00459</t>
  </si>
  <si>
    <t>ORD00460</t>
  </si>
  <si>
    <t>INV00460</t>
  </si>
  <si>
    <t>ORD00461</t>
  </si>
  <si>
    <t>CUST0481</t>
  </si>
  <si>
    <t>INV00461</t>
  </si>
  <si>
    <t>ORD00462</t>
  </si>
  <si>
    <t>CUST0106</t>
  </si>
  <si>
    <t>INV00462</t>
  </si>
  <si>
    <t>ORD00463</t>
  </si>
  <si>
    <t>CUST0592</t>
  </si>
  <si>
    <t>INV00463</t>
  </si>
  <si>
    <t>ORD00464</t>
  </si>
  <si>
    <t>PROD150</t>
  </si>
  <si>
    <t>INV00464</t>
  </si>
  <si>
    <t>ORD00465</t>
  </si>
  <si>
    <t>CUST0051</t>
  </si>
  <si>
    <t>INV00465</t>
  </si>
  <si>
    <t>ORD00466</t>
  </si>
  <si>
    <t>CUST0529</t>
  </si>
  <si>
    <t>INV00466</t>
  </si>
  <si>
    <t>ORD00467</t>
  </si>
  <si>
    <t>INV00467</t>
  </si>
  <si>
    <t>ORD00468</t>
  </si>
  <si>
    <t>CUST0501</t>
  </si>
  <si>
    <t>INV00468</t>
  </si>
  <si>
    <t>ORD00469</t>
  </si>
  <si>
    <t>INV00469</t>
  </si>
  <si>
    <t>ORD00470</t>
  </si>
  <si>
    <t>CUST0100</t>
  </si>
  <si>
    <t>PROD209</t>
  </si>
  <si>
    <t>INV00470</t>
  </si>
  <si>
    <t>ORD00471</t>
  </si>
  <si>
    <t>CUST0679</t>
  </si>
  <si>
    <t>INV00471</t>
  </si>
  <si>
    <t>ORD00472</t>
  </si>
  <si>
    <t>INV00472</t>
  </si>
  <si>
    <t>ORD00473</t>
  </si>
  <si>
    <t>CUST0369</t>
  </si>
  <si>
    <t>INV00473</t>
  </si>
  <si>
    <t>ORD00474</t>
  </si>
  <si>
    <t>CUST0595</t>
  </si>
  <si>
    <t>INV00474</t>
  </si>
  <si>
    <t>ORD00475</t>
  </si>
  <si>
    <t>CUST0350</t>
  </si>
  <si>
    <t>INV00475</t>
  </si>
  <si>
    <t>ORD00476</t>
  </si>
  <si>
    <t>CUST0500</t>
  </si>
  <si>
    <t>INV00476</t>
  </si>
  <si>
    <t>ORD00477</t>
  </si>
  <si>
    <t>INV00477</t>
  </si>
  <si>
    <t>ORD00478</t>
  </si>
  <si>
    <t>CUST0244</t>
  </si>
  <si>
    <t>INV00478</t>
  </si>
  <si>
    <t>ORD00479</t>
  </si>
  <si>
    <t>CUST0711</t>
  </si>
  <si>
    <t>INV00479</t>
  </si>
  <si>
    <t>ORD00480</t>
  </si>
  <si>
    <t>CUST0245</t>
  </si>
  <si>
    <t>INV00480</t>
  </si>
  <si>
    <t>ORD00481</t>
  </si>
  <si>
    <t>CUST0110</t>
  </si>
  <si>
    <t>INV00481</t>
  </si>
  <si>
    <t>ORD00482</t>
  </si>
  <si>
    <t>CUST0575</t>
  </si>
  <si>
    <t>PROD092</t>
  </si>
  <si>
    <t>INV00482</t>
  </si>
  <si>
    <t>ORD00483</t>
  </si>
  <si>
    <t>CUST0414</t>
  </si>
  <si>
    <t>INV00483</t>
  </si>
  <si>
    <t>ORD00484</t>
  </si>
  <si>
    <t>INV00484</t>
  </si>
  <si>
    <t>ORD00485</t>
  </si>
  <si>
    <t>INV00485</t>
  </si>
  <si>
    <t>ORD00486</t>
  </si>
  <si>
    <t>CUST0632</t>
  </si>
  <si>
    <t>PROD079</t>
  </si>
  <si>
    <t>INV00486</t>
  </si>
  <si>
    <t>ORD00487</t>
  </si>
  <si>
    <t>CUST0136</t>
  </si>
  <si>
    <t>INV00487</t>
  </si>
  <si>
    <t>ORD00488</t>
  </si>
  <si>
    <t>CUST0707</t>
  </si>
  <si>
    <t>INV00488</t>
  </si>
  <si>
    <t>ORD00489</t>
  </si>
  <si>
    <t>INV00489</t>
  </si>
  <si>
    <t>ORD00490</t>
  </si>
  <si>
    <t>CUST0296</t>
  </si>
  <si>
    <t>INV00490</t>
  </si>
  <si>
    <t>ORD00491</t>
  </si>
  <si>
    <t>CUST0002</t>
  </si>
  <si>
    <t>INV00491</t>
  </si>
  <si>
    <t>ORD00492</t>
  </si>
  <si>
    <t>CUST0432</t>
  </si>
  <si>
    <t>PROD266</t>
  </si>
  <si>
    <t>INV00492</t>
  </si>
  <si>
    <t>ORD00493</t>
  </si>
  <si>
    <t>CUST0135</t>
  </si>
  <si>
    <t>INV00493</t>
  </si>
  <si>
    <t>ORD00494</t>
  </si>
  <si>
    <t>CUST0559</t>
  </si>
  <si>
    <t>INV00494</t>
  </si>
  <si>
    <t>ORD00495</t>
  </si>
  <si>
    <t>CUST0453</t>
  </si>
  <si>
    <t>INV00495</t>
  </si>
  <si>
    <t>ORD00496</t>
  </si>
  <si>
    <t>CUST0063</t>
  </si>
  <si>
    <t>INV00496</t>
  </si>
  <si>
    <t>ORD00497</t>
  </si>
  <si>
    <t>CUST0445</t>
  </si>
  <si>
    <t>INV00497</t>
  </si>
  <si>
    <t>ORD00498</t>
  </si>
  <si>
    <t>CUST0377</t>
  </si>
  <si>
    <t>PROD028</t>
  </si>
  <si>
    <t>INV00498</t>
  </si>
  <si>
    <t>ORD00499</t>
  </si>
  <si>
    <t>CUST0589</t>
  </si>
  <si>
    <t>INV00499</t>
  </si>
  <si>
    <t>ORD00500</t>
  </si>
  <si>
    <t>CUST0752</t>
  </si>
  <si>
    <t>INV00500</t>
  </si>
  <si>
    <t>ORD00501</t>
  </si>
  <si>
    <t>INV00501</t>
  </si>
  <si>
    <t>ORD00502</t>
  </si>
  <si>
    <t>CUST0240</t>
  </si>
  <si>
    <t>INV00502</t>
  </si>
  <si>
    <t>ORD00503</t>
  </si>
  <si>
    <t>CUST0519</t>
  </si>
  <si>
    <t>INV00503</t>
  </si>
  <si>
    <t>ORD00504</t>
  </si>
  <si>
    <t>INV00504</t>
  </si>
  <si>
    <t>ORD00505</t>
  </si>
  <si>
    <t>INV00505</t>
  </si>
  <si>
    <t>ORD00506</t>
  </si>
  <si>
    <t>PROD099</t>
  </si>
  <si>
    <t>INV00506</t>
  </si>
  <si>
    <t>ORD00507</t>
  </si>
  <si>
    <t>CUST0499</t>
  </si>
  <si>
    <t>INV00507</t>
  </si>
  <si>
    <t>ORD00508</t>
  </si>
  <si>
    <t>CUST0154</t>
  </si>
  <si>
    <t>INV00508</t>
  </si>
  <si>
    <t>ORD00509</t>
  </si>
  <si>
    <t>CUST0104</t>
  </si>
  <si>
    <t>INV00509</t>
  </si>
  <si>
    <t>ORD00510</t>
  </si>
  <si>
    <t>INV00510</t>
  </si>
  <si>
    <t>ORD00511</t>
  </si>
  <si>
    <t>CUST0186</t>
  </si>
  <si>
    <t>INV00511</t>
  </si>
  <si>
    <t>ORD00512</t>
  </si>
  <si>
    <t>INV00512</t>
  </si>
  <si>
    <t>ORD00513</t>
  </si>
  <si>
    <t>PROD269</t>
  </si>
  <si>
    <t>INV00513</t>
  </si>
  <si>
    <t>ORD00514</t>
  </si>
  <si>
    <t>INV00514</t>
  </si>
  <si>
    <t>ORD00515</t>
  </si>
  <si>
    <t>INV00515</t>
  </si>
  <si>
    <t>ORD00516</t>
  </si>
  <si>
    <t>CUST0411</t>
  </si>
  <si>
    <t>PROD217</t>
  </si>
  <si>
    <t>INV00516</t>
  </si>
  <si>
    <t>ORD00517</t>
  </si>
  <si>
    <t>CUST0516</t>
  </si>
  <si>
    <t>INV00517</t>
  </si>
  <si>
    <t>ORD00518</t>
  </si>
  <si>
    <t>CUST0714</t>
  </si>
  <si>
    <t>INV00518</t>
  </si>
  <si>
    <t>ORD00519</t>
  </si>
  <si>
    <t>CUST0579</t>
  </si>
  <si>
    <t>PROD221</t>
  </si>
  <si>
    <t>INV00519</t>
  </si>
  <si>
    <t>ORD00520</t>
  </si>
  <si>
    <t>CUST0234</t>
  </si>
  <si>
    <t>INV00520</t>
  </si>
  <si>
    <t>ORD00521</t>
  </si>
  <si>
    <t>CUST0050</t>
  </si>
  <si>
    <t>INV00521</t>
  </si>
  <si>
    <t>ORD00522</t>
  </si>
  <si>
    <t>INV00522</t>
  </si>
  <si>
    <t>ORD00523</t>
  </si>
  <si>
    <t>INV00523</t>
  </si>
  <si>
    <t>ORD00524</t>
  </si>
  <si>
    <t>CUST0636</t>
  </si>
  <si>
    <t>INV00524</t>
  </si>
  <si>
    <t>ORD00525</t>
  </si>
  <si>
    <t>CUST0141</t>
  </si>
  <si>
    <t>INV00525</t>
  </si>
  <si>
    <t>ORD00526</t>
  </si>
  <si>
    <t>CUST0171</t>
  </si>
  <si>
    <t>INV00526</t>
  </si>
  <si>
    <t>ORD00527</t>
  </si>
  <si>
    <t>INV00527</t>
  </si>
  <si>
    <t>ORD00528</t>
  </si>
  <si>
    <t>INV00528</t>
  </si>
  <si>
    <t>ORD00529</t>
  </si>
  <si>
    <t>CUST0047</t>
  </si>
  <si>
    <t>INV00529</t>
  </si>
  <si>
    <t>ORD00530</t>
  </si>
  <si>
    <t>CUST0276</t>
  </si>
  <si>
    <t>INV00530</t>
  </si>
  <si>
    <t>ORD00531</t>
  </si>
  <si>
    <t>CUST0356</t>
  </si>
  <si>
    <t>PROD173</t>
  </si>
  <si>
    <t>INV00531</t>
  </si>
  <si>
    <t>ORD00532</t>
  </si>
  <si>
    <t>PROD042</t>
  </si>
  <si>
    <t>INV00532</t>
  </si>
  <si>
    <t>ORD00533</t>
  </si>
  <si>
    <t>CUST0172</t>
  </si>
  <si>
    <t>INV00533</t>
  </si>
  <si>
    <t>ORD00534</t>
  </si>
  <si>
    <t>INV00534</t>
  </si>
  <si>
    <t>ORD00535</t>
  </si>
  <si>
    <t>CUST0759</t>
  </si>
  <si>
    <t>INV00535</t>
  </si>
  <si>
    <t>ORD00536</t>
  </si>
  <si>
    <t>INV00536</t>
  </si>
  <si>
    <t>ORD00537</t>
  </si>
  <si>
    <t>CUST0270</t>
  </si>
  <si>
    <t>INV00537</t>
  </si>
  <si>
    <t>ORD00538</t>
  </si>
  <si>
    <t>INV00538</t>
  </si>
  <si>
    <t>ORD00539</t>
  </si>
  <si>
    <t>CUST0179</t>
  </si>
  <si>
    <t>INV00539</t>
  </si>
  <si>
    <t>ORD00540</t>
  </si>
  <si>
    <t>PROD068</t>
  </si>
  <si>
    <t>INV00540</t>
  </si>
  <si>
    <t>ORD00541</t>
  </si>
  <si>
    <t>CUST0421</t>
  </si>
  <si>
    <t>INV00541</t>
  </si>
  <si>
    <t>ORD00542</t>
  </si>
  <si>
    <t>CUST0280</t>
  </si>
  <si>
    <t>INV00542</t>
  </si>
  <si>
    <t>ORD00543</t>
  </si>
  <si>
    <t>PROD109</t>
  </si>
  <si>
    <t>INV00543</t>
  </si>
  <si>
    <t>ORD00544</t>
  </si>
  <si>
    <t>INV00544</t>
  </si>
  <si>
    <t>ORD00545</t>
  </si>
  <si>
    <t>CUST0224</t>
  </si>
  <si>
    <t>INV00545</t>
  </si>
  <si>
    <t>ORD00546</t>
  </si>
  <si>
    <t>PROD009</t>
  </si>
  <si>
    <t>INV00546</t>
  </si>
  <si>
    <t>ORD00547</t>
  </si>
  <si>
    <t>CUST0269</t>
  </si>
  <si>
    <t>INV00547</t>
  </si>
  <si>
    <t>ORD00548</t>
  </si>
  <si>
    <t>INV00548</t>
  </si>
  <si>
    <t>ORD00549</t>
  </si>
  <si>
    <t>INV00549</t>
  </si>
  <si>
    <t>ORD00550</t>
  </si>
  <si>
    <t>CUST0054</t>
  </si>
  <si>
    <t>INV00550</t>
  </si>
  <si>
    <t>ORD00551</t>
  </si>
  <si>
    <t>INV00551</t>
  </si>
  <si>
    <t>ORD00552</t>
  </si>
  <si>
    <t>INV00552</t>
  </si>
  <si>
    <t>ORD00553</t>
  </si>
  <si>
    <t>INV00553</t>
  </si>
  <si>
    <t>ORD00554</t>
  </si>
  <si>
    <t>CUST0045</t>
  </si>
  <si>
    <t>INV00554</t>
  </si>
  <si>
    <t>ORD00555</t>
  </si>
  <si>
    <t>CUST0699</t>
  </si>
  <si>
    <t>INV00555</t>
  </si>
  <si>
    <t>ORD00556</t>
  </si>
  <si>
    <t>CUST0751</t>
  </si>
  <si>
    <t>INV00556</t>
  </si>
  <si>
    <t>ORD00557</t>
  </si>
  <si>
    <t>INV00557</t>
  </si>
  <si>
    <t>ORD00558</t>
  </si>
  <si>
    <t>INV00558</t>
  </si>
  <si>
    <t>ORD00559</t>
  </si>
  <si>
    <t>INV00559</t>
  </si>
  <si>
    <t>ORD00560</t>
  </si>
  <si>
    <t>CUST0449</t>
  </si>
  <si>
    <t>INV00560</t>
  </si>
  <si>
    <t>ORD00561</t>
  </si>
  <si>
    <t>INV00561</t>
  </si>
  <si>
    <t>ORD00562</t>
  </si>
  <si>
    <t>CUST0409</t>
  </si>
  <si>
    <t>INV00562</t>
  </si>
  <si>
    <t>ORD00563</t>
  </si>
  <si>
    <t>CUST0637</t>
  </si>
  <si>
    <t>INV00563</t>
  </si>
  <si>
    <t>ORD00564</t>
  </si>
  <si>
    <t>INV00564</t>
  </si>
  <si>
    <t>ORD00565</t>
  </si>
  <si>
    <t>PROD241</t>
  </si>
  <si>
    <t>INV00565</t>
  </si>
  <si>
    <t>ORD00566</t>
  </si>
  <si>
    <t>CUST0181</t>
  </si>
  <si>
    <t>INV00566</t>
  </si>
  <si>
    <t>ORD00567</t>
  </si>
  <si>
    <t>INV00567</t>
  </si>
  <si>
    <t>ORD00568</t>
  </si>
  <si>
    <t>CUST0515</t>
  </si>
  <si>
    <t>INV00568</t>
  </si>
  <si>
    <t>ORD00569</t>
  </si>
  <si>
    <t>CUST0750</t>
  </si>
  <si>
    <t>PROD046</t>
  </si>
  <si>
    <t>INV00569</t>
  </si>
  <si>
    <t>ORD00570</t>
  </si>
  <si>
    <t>CUST0469</t>
  </si>
  <si>
    <t>INV00570</t>
  </si>
  <si>
    <t>ORD00571</t>
  </si>
  <si>
    <t>INV00571</t>
  </si>
  <si>
    <t>ORD00572</t>
  </si>
  <si>
    <t>CUST0249</t>
  </si>
  <si>
    <t>INV00572</t>
  </si>
  <si>
    <t>ORD00573</t>
  </si>
  <si>
    <t>INV00573</t>
  </si>
  <si>
    <t>ORD00574</t>
  </si>
  <si>
    <t>CUST0033</t>
  </si>
  <si>
    <t>INV00574</t>
  </si>
  <si>
    <t>ORD00575</t>
  </si>
  <si>
    <t>PROD165</t>
  </si>
  <si>
    <t>INV00575</t>
  </si>
  <si>
    <t>ORD00576</t>
  </si>
  <si>
    <t>CUST0652</t>
  </si>
  <si>
    <t>INV00576</t>
  </si>
  <si>
    <t>ORD00577</t>
  </si>
  <si>
    <t>CUST0466</t>
  </si>
  <si>
    <t>INV00577</t>
  </si>
  <si>
    <t>ORD00578</t>
  </si>
  <si>
    <t>CUST0704</t>
  </si>
  <si>
    <t>INV00578</t>
  </si>
  <si>
    <t>ORD00579</t>
  </si>
  <si>
    <t>INV00579</t>
  </si>
  <si>
    <t>ORD00580</t>
  </si>
  <si>
    <t>CUST0037</t>
  </si>
  <si>
    <t>INV00580</t>
  </si>
  <si>
    <t>ORD00581</t>
  </si>
  <si>
    <t>INV00581</t>
  </si>
  <si>
    <t>ORD00582</t>
  </si>
  <si>
    <t>INV00582</t>
  </si>
  <si>
    <t>ORD00583</t>
  </si>
  <si>
    <t>INV00583</t>
  </si>
  <si>
    <t>ORD00584</t>
  </si>
  <si>
    <t>CUST0340</t>
  </si>
  <si>
    <t>INV00584</t>
  </si>
  <si>
    <t>ORD00585</t>
  </si>
  <si>
    <t>CUST0747</t>
  </si>
  <si>
    <t>INV00585</t>
  </si>
  <si>
    <t>ORD00586</t>
  </si>
  <si>
    <t>CUST0791</t>
  </si>
  <si>
    <t>INV00586</t>
  </si>
  <si>
    <t>ORD00587</t>
  </si>
  <si>
    <t>CUST0253</t>
  </si>
  <si>
    <t>PROD061</t>
  </si>
  <si>
    <t>INV00587</t>
  </si>
  <si>
    <t>ORD00588</t>
  </si>
  <si>
    <t>CUST0624</t>
  </si>
  <si>
    <t>INV00588</t>
  </si>
  <si>
    <t>ORD00589</t>
  </si>
  <si>
    <t>CUST0400</t>
  </si>
  <si>
    <t>INV00589</t>
  </si>
  <si>
    <t>ORD00590</t>
  </si>
  <si>
    <t>INV00590</t>
  </si>
  <si>
    <t>ORD00591</t>
  </si>
  <si>
    <t>CUST0275</t>
  </si>
  <si>
    <t>INV00591</t>
  </si>
  <si>
    <t>ORD00592</t>
  </si>
  <si>
    <t>INV00592</t>
  </si>
  <si>
    <t>ORD00593</t>
  </si>
  <si>
    <t>CUST0607</t>
  </si>
  <si>
    <t>INV00593</t>
  </si>
  <si>
    <t>ORD00594</t>
  </si>
  <si>
    <t>INV00594</t>
  </si>
  <si>
    <t>ORD00595</t>
  </si>
  <si>
    <t>CUST0586</t>
  </si>
  <si>
    <t>INV00595</t>
  </si>
  <si>
    <t>ORD00596</t>
  </si>
  <si>
    <t>CUST0720</t>
  </si>
  <si>
    <t>INV00596</t>
  </si>
  <si>
    <t>ORD00597</t>
  </si>
  <si>
    <t>INV00597</t>
  </si>
  <si>
    <t>ORD00598</t>
  </si>
  <si>
    <t>PROD197</t>
  </si>
  <si>
    <t>INV00598</t>
  </si>
  <si>
    <t>ORD00599</t>
  </si>
  <si>
    <t>INV00599</t>
  </si>
  <si>
    <t>ORD00600</t>
  </si>
  <si>
    <t>CUST0641</t>
  </si>
  <si>
    <t>INV00600</t>
  </si>
  <si>
    <t>ORD00601</t>
  </si>
  <si>
    <t>CUST0549</t>
  </si>
  <si>
    <t>INV00601</t>
  </si>
  <si>
    <t>ORD00602</t>
  </si>
  <si>
    <t>CUST0344</t>
  </si>
  <si>
    <t>PROD296</t>
  </si>
  <si>
    <t>INV00602</t>
  </si>
  <si>
    <t>ORD00603</t>
  </si>
  <si>
    <t>CUST0558</t>
  </si>
  <si>
    <t>INV00603</t>
  </si>
  <si>
    <t>ORD00604</t>
  </si>
  <si>
    <t>INV00604</t>
  </si>
  <si>
    <t>ORD00605</t>
  </si>
  <si>
    <t>INV00605</t>
  </si>
  <si>
    <t>ORD00606</t>
  </si>
  <si>
    <t>PROD080</t>
  </si>
  <si>
    <t>INV00606</t>
  </si>
  <si>
    <t>ORD00607</t>
  </si>
  <si>
    <t>INV00607</t>
  </si>
  <si>
    <t>ORD00608</t>
  </si>
  <si>
    <t>PROD075</t>
  </si>
  <si>
    <t>INV00608</t>
  </si>
  <si>
    <t>ORD00609</t>
  </si>
  <si>
    <t>INV00609</t>
  </si>
  <si>
    <t>ORD00610</t>
  </si>
  <si>
    <t>INV00610</t>
  </si>
  <si>
    <t>ORD00611</t>
  </si>
  <si>
    <t>INV00611</t>
  </si>
  <si>
    <t>ORD00612</t>
  </si>
  <si>
    <t>INV00612</t>
  </si>
  <si>
    <t>ORD00613</t>
  </si>
  <si>
    <t>INV00613</t>
  </si>
  <si>
    <t>ORD00614</t>
  </si>
  <si>
    <t>CUST0020</t>
  </si>
  <si>
    <t>PROD253</t>
  </si>
  <si>
    <t>INV00614</t>
  </si>
  <si>
    <t>ORD00615</t>
  </si>
  <si>
    <t>CUST0277</t>
  </si>
  <si>
    <t>INV00615</t>
  </si>
  <si>
    <t>ORD00616</t>
  </si>
  <si>
    <t>INV00616</t>
  </si>
  <si>
    <t>ORD00617</t>
  </si>
  <si>
    <t>INV00617</t>
  </si>
  <si>
    <t>ORD00618</t>
  </si>
  <si>
    <t>INV00618</t>
  </si>
  <si>
    <t>ORD00619</t>
  </si>
  <si>
    <t>INV00619</t>
  </si>
  <si>
    <t>ORD00620</t>
  </si>
  <si>
    <t>INV00620</t>
  </si>
  <si>
    <t>ORD00621</t>
  </si>
  <si>
    <t>INV00621</t>
  </si>
  <si>
    <t>ORD00622</t>
  </si>
  <si>
    <t>INV00622</t>
  </si>
  <si>
    <t>ORD00623</t>
  </si>
  <si>
    <t>INV00623</t>
  </si>
  <si>
    <t>ORD00624</t>
  </si>
  <si>
    <t>CUST0760</t>
  </si>
  <si>
    <t>INV00624</t>
  </si>
  <si>
    <t>ORD00625</t>
  </si>
  <si>
    <t>INV00625</t>
  </si>
  <si>
    <t>ORD00626</t>
  </si>
  <si>
    <t>CUST0722</t>
  </si>
  <si>
    <t>INV00626</t>
  </si>
  <si>
    <t>ORD00627</t>
  </si>
  <si>
    <t>CUST0748</t>
  </si>
  <si>
    <t>INV00627</t>
  </si>
  <si>
    <t>ORD00628</t>
  </si>
  <si>
    <t>PROD169</t>
  </si>
  <si>
    <t>INV00628</t>
  </si>
  <si>
    <t>ORD00629</t>
  </si>
  <si>
    <t>CUST0404</t>
  </si>
  <si>
    <t>PROD010</t>
  </si>
  <si>
    <t>INV00629</t>
  </si>
  <si>
    <t>ORD00630</t>
  </si>
  <si>
    <t>CUST0207</t>
  </si>
  <si>
    <t>INV00630</t>
  </si>
  <si>
    <t>ORD00631</t>
  </si>
  <si>
    <t>INV00631</t>
  </si>
  <si>
    <t>ORD00632</t>
  </si>
  <si>
    <t>INV00632</t>
  </si>
  <si>
    <t>ORD00633</t>
  </si>
  <si>
    <t>INV00633</t>
  </si>
  <si>
    <t>ORD00634</t>
  </si>
  <si>
    <t>CUST0204</t>
  </si>
  <si>
    <t>INV00634</t>
  </si>
  <si>
    <t>ORD00635</t>
  </si>
  <si>
    <t>INV00635</t>
  </si>
  <si>
    <t>ORD00636</t>
  </si>
  <si>
    <t>INV00636</t>
  </si>
  <si>
    <t>ORD00637</t>
  </si>
  <si>
    <t>CUST0795</t>
  </si>
  <si>
    <t>INV00637</t>
  </si>
  <si>
    <t>ORD00638</t>
  </si>
  <si>
    <t>CUST0670</t>
  </si>
  <si>
    <t>INV00638</t>
  </si>
  <si>
    <t>ORD00639</t>
  </si>
  <si>
    <t>CUST0307</t>
  </si>
  <si>
    <t>INV00639</t>
  </si>
  <si>
    <t>ORD00640</t>
  </si>
  <si>
    <t>INV00640</t>
  </si>
  <si>
    <t>ORD00641</t>
  </si>
  <si>
    <t>CUST0782</t>
  </si>
  <si>
    <t>INV00641</t>
  </si>
  <si>
    <t>ORD00642</t>
  </si>
  <si>
    <t>CUST0163</t>
  </si>
  <si>
    <t>INV00642</t>
  </si>
  <si>
    <t>ORD00643</t>
  </si>
  <si>
    <t>INV00643</t>
  </si>
  <si>
    <t>ORD00644</t>
  </si>
  <si>
    <t>INV00644</t>
  </si>
  <si>
    <t>ORD00645</t>
  </si>
  <si>
    <t>INV00645</t>
  </si>
  <si>
    <t>ORD00646</t>
  </si>
  <si>
    <t>CUST0077</t>
  </si>
  <si>
    <t>INV00646</t>
  </si>
  <si>
    <t>ORD00647</t>
  </si>
  <si>
    <t>INV00647</t>
  </si>
  <si>
    <t>ORD00648</t>
  </si>
  <si>
    <t>INV00648</t>
  </si>
  <si>
    <t>ORD00649</t>
  </si>
  <si>
    <t>INV00649</t>
  </si>
  <si>
    <t>ORD00650</t>
  </si>
  <si>
    <t>CUST0336</t>
  </si>
  <si>
    <t>INV00650</t>
  </si>
  <si>
    <t>ORD00651</t>
  </si>
  <si>
    <t>INV00651</t>
  </si>
  <si>
    <t>ORD00652</t>
  </si>
  <si>
    <t>CUST0630</t>
  </si>
  <si>
    <t>INV00652</t>
  </si>
  <si>
    <t>ORD00653</t>
  </si>
  <si>
    <t>INV00653</t>
  </si>
  <si>
    <t>ORD00654</t>
  </si>
  <si>
    <t>CUST0086</t>
  </si>
  <si>
    <t>INV00654</t>
  </si>
  <si>
    <t>ORD00655</t>
  </si>
  <si>
    <t>CUST0053</t>
  </si>
  <si>
    <t>INV00655</t>
  </si>
  <si>
    <t>ORD00656</t>
  </si>
  <si>
    <t>CUST0779</t>
  </si>
  <si>
    <t>INV00656</t>
  </si>
  <si>
    <t>ORD00657</t>
  </si>
  <si>
    <t>INV00657</t>
  </si>
  <si>
    <t>ORD00658</t>
  </si>
  <si>
    <t>INV00658</t>
  </si>
  <si>
    <t>ORD00659</t>
  </si>
  <si>
    <t>CUST0113</t>
  </si>
  <si>
    <t>INV00659</t>
  </si>
  <si>
    <t>ORD00660</t>
  </si>
  <si>
    <t>INV00660</t>
  </si>
  <si>
    <t>ORD00661</t>
  </si>
  <si>
    <t>INV00661</t>
  </si>
  <si>
    <t>ORD00662</t>
  </si>
  <si>
    <t>INV00662</t>
  </si>
  <si>
    <t>ORD00663</t>
  </si>
  <si>
    <t>INV00663</t>
  </si>
  <si>
    <t>ORD00664</t>
  </si>
  <si>
    <t>CUST0710</t>
  </si>
  <si>
    <t>PROD122</t>
  </si>
  <si>
    <t>INV00664</t>
  </si>
  <si>
    <t>ORD00665</t>
  </si>
  <si>
    <t>CUST0514</t>
  </si>
  <si>
    <t>INV00665</t>
  </si>
  <si>
    <t>ORD00666</t>
  </si>
  <si>
    <t>INV00666</t>
  </si>
  <si>
    <t>ORD00667</t>
  </si>
  <si>
    <t>INV00667</t>
  </si>
  <si>
    <t>ORD00668</t>
  </si>
  <si>
    <t>CUST0543</t>
  </si>
  <si>
    <t>INV00668</t>
  </si>
  <si>
    <t>ORD00669</t>
  </si>
  <si>
    <t>CUST0693</t>
  </si>
  <si>
    <t>INV00669</t>
  </si>
  <si>
    <t>ORD00670</t>
  </si>
  <si>
    <t>INV00670</t>
  </si>
  <si>
    <t>ORD00671</t>
  </si>
  <si>
    <t>INV00671</t>
  </si>
  <si>
    <t>ORD00672</t>
  </si>
  <si>
    <t>CUST0185</t>
  </si>
  <si>
    <t>INV00672</t>
  </si>
  <si>
    <t>ORD00673</t>
  </si>
  <si>
    <t>CUST0397</t>
  </si>
  <si>
    <t>INV00673</t>
  </si>
  <si>
    <t>ORD00674</t>
  </si>
  <si>
    <t>INV00674</t>
  </si>
  <si>
    <t>ORD00675</t>
  </si>
  <si>
    <t>INV00675</t>
  </si>
  <si>
    <t>ORD00676</t>
  </si>
  <si>
    <t>CUST0384</t>
  </si>
  <si>
    <t>INV00676</t>
  </si>
  <si>
    <t>ORD00677</t>
  </si>
  <si>
    <t>INV00677</t>
  </si>
  <si>
    <t>ORD00678</t>
  </si>
  <si>
    <t>INV00678</t>
  </si>
  <si>
    <t>ORD00679</t>
  </si>
  <si>
    <t>INV00679</t>
  </si>
  <si>
    <t>ORD00680</t>
  </si>
  <si>
    <t>INV00680</t>
  </si>
  <si>
    <t>ORD00681</t>
  </si>
  <si>
    <t>CUST0319</t>
  </si>
  <si>
    <t>INV00681</t>
  </si>
  <si>
    <t>ORD00682</t>
  </si>
  <si>
    <t>CUST0039</t>
  </si>
  <si>
    <t>INV00682</t>
  </si>
  <si>
    <t>ORD00683</t>
  </si>
  <si>
    <t>INV00683</t>
  </si>
  <si>
    <t>ORD00684</t>
  </si>
  <si>
    <t>INV00684</t>
  </si>
  <si>
    <t>ORD00685</t>
  </si>
  <si>
    <t>INV00685</t>
  </si>
  <si>
    <t>ORD00686</t>
  </si>
  <si>
    <t>INV00686</t>
  </si>
  <si>
    <t>ORD00687</t>
  </si>
  <si>
    <t>CUST0766</t>
  </si>
  <si>
    <t>INV00687</t>
  </si>
  <si>
    <t>ORD00688</t>
  </si>
  <si>
    <t>PROD257</t>
  </si>
  <si>
    <t>INV00688</t>
  </si>
  <si>
    <t>ORD00689</t>
  </si>
  <si>
    <t>CUST0208</t>
  </si>
  <si>
    <t>INV00689</t>
  </si>
  <si>
    <t>ORD00690</t>
  </si>
  <si>
    <t>CUST0262</t>
  </si>
  <si>
    <t>INV00690</t>
  </si>
  <si>
    <t>ORD00691</t>
  </si>
  <si>
    <t>INV00691</t>
  </si>
  <si>
    <t>ORD00692</t>
  </si>
  <si>
    <t>INV00692</t>
  </si>
  <si>
    <t>ORD00693</t>
  </si>
  <si>
    <t>CUST0242</t>
  </si>
  <si>
    <t>INV00693</t>
  </si>
  <si>
    <t>ORD00694</t>
  </si>
  <si>
    <t>CUST0705</t>
  </si>
  <si>
    <t>INV00694</t>
  </si>
  <si>
    <t>ORD00695</t>
  </si>
  <si>
    <t>INV00695</t>
  </si>
  <si>
    <t>ORD00696</t>
  </si>
  <si>
    <t>INV00696</t>
  </si>
  <si>
    <t>ORD00697</t>
  </si>
  <si>
    <t>CUST0153</t>
  </si>
  <si>
    <t>INV00697</t>
  </si>
  <si>
    <t>ORD00698</t>
  </si>
  <si>
    <t>INV00698</t>
  </si>
  <si>
    <t>ORD00699</t>
  </si>
  <si>
    <t>CUST0139</t>
  </si>
  <si>
    <t>INV00699</t>
  </si>
  <si>
    <t>ORD00700</t>
  </si>
  <si>
    <t>INV00700</t>
  </si>
  <si>
    <t>ORD00701</t>
  </si>
  <si>
    <t>INV00701</t>
  </si>
  <si>
    <t>ORD00702</t>
  </si>
  <si>
    <t>CUST0746</t>
  </si>
  <si>
    <t>INV00702</t>
  </si>
  <si>
    <t>ORD00703</t>
  </si>
  <si>
    <t>PROD004</t>
  </si>
  <si>
    <t>INV00703</t>
  </si>
  <si>
    <t>ORD00704</t>
  </si>
  <si>
    <t>INV00704</t>
  </si>
  <si>
    <t>ORD00705</t>
  </si>
  <si>
    <t>CUST0753</t>
  </si>
  <si>
    <t>INV00705</t>
  </si>
  <si>
    <t>ORD00706</t>
  </si>
  <si>
    <t>CUST0620</t>
  </si>
  <si>
    <t>INV00706</t>
  </si>
  <si>
    <t>ORD00707</t>
  </si>
  <si>
    <t>INV00707</t>
  </si>
  <si>
    <t>ORD00708</t>
  </si>
  <si>
    <t>INV00708</t>
  </si>
  <si>
    <t>ORD00709</t>
  </si>
  <si>
    <t>CUST0440</t>
  </si>
  <si>
    <t>PROD294</t>
  </si>
  <si>
    <t>INV00709</t>
  </si>
  <si>
    <t>ORD00710</t>
  </si>
  <si>
    <t>CUST0770</t>
  </si>
  <si>
    <t>INV00710</t>
  </si>
  <si>
    <t>ORD00711</t>
  </si>
  <si>
    <t>CUST0170</t>
  </si>
  <si>
    <t>INV00711</t>
  </si>
  <si>
    <t>ORD00712</t>
  </si>
  <si>
    <t>INV00712</t>
  </si>
  <si>
    <t>ORD00713</t>
  </si>
  <si>
    <t>INV00713</t>
  </si>
  <si>
    <t>ORD00714</t>
  </si>
  <si>
    <t>INV00714</t>
  </si>
  <si>
    <t>ORD00715</t>
  </si>
  <si>
    <t>INV00715</t>
  </si>
  <si>
    <t>ORD00716</t>
  </si>
  <si>
    <t>INV00716</t>
  </si>
  <si>
    <t>ORD00717</t>
  </si>
  <si>
    <t>INV00717</t>
  </si>
  <si>
    <t>ORD00718</t>
  </si>
  <si>
    <t>CUST0608</t>
  </si>
  <si>
    <t>PROD152</t>
  </si>
  <si>
    <t>INV00718</t>
  </si>
  <si>
    <t>ORD00719</t>
  </si>
  <si>
    <t>INV00719</t>
  </si>
  <si>
    <t>ORD00720</t>
  </si>
  <si>
    <t>INV00720</t>
  </si>
  <si>
    <t>ORD00721</t>
  </si>
  <si>
    <t>INV00721</t>
  </si>
  <si>
    <t>ORD00722</t>
  </si>
  <si>
    <t>CUST0127</t>
  </si>
  <si>
    <t>PROD095</t>
  </si>
  <si>
    <t>INV00722</t>
  </si>
  <si>
    <t>ORD00723</t>
  </si>
  <si>
    <t>INV00723</t>
  </si>
  <si>
    <t>ORD00724</t>
  </si>
  <si>
    <t>CUST0156</t>
  </si>
  <si>
    <t>INV00724</t>
  </si>
  <si>
    <t>ORD00725</t>
  </si>
  <si>
    <t>INV00725</t>
  </si>
  <si>
    <t>ORD00726</t>
  </si>
  <si>
    <t>INV00726</t>
  </si>
  <si>
    <t>ORD00727</t>
  </si>
  <si>
    <t>CUST0566</t>
  </si>
  <si>
    <t>INV00727</t>
  </si>
  <si>
    <t>ORD00728</t>
  </si>
  <si>
    <t>CUST0157</t>
  </si>
  <si>
    <t>INV00728</t>
  </si>
  <si>
    <t>ORD00729</t>
  </si>
  <si>
    <t>CUST0648</t>
  </si>
  <si>
    <t>INV00729</t>
  </si>
  <si>
    <t>ORD00730</t>
  </si>
  <si>
    <t>CUST0328</t>
  </si>
  <si>
    <t>PROD039</t>
  </si>
  <si>
    <t>INV00730</t>
  </si>
  <si>
    <t>ORD00731</t>
  </si>
  <si>
    <t>CUST0184</t>
  </si>
  <si>
    <t>INV00731</t>
  </si>
  <si>
    <t>ORD00732</t>
  </si>
  <si>
    <t>CUST0612</t>
  </si>
  <si>
    <t>PROD104</t>
  </si>
  <si>
    <t>INV00732</t>
  </si>
  <si>
    <t>ORD00733</t>
  </si>
  <si>
    <t>INV00733</t>
  </si>
  <si>
    <t>ORD00734</t>
  </si>
  <si>
    <t>INV00734</t>
  </si>
  <si>
    <t>ORD00735</t>
  </si>
  <si>
    <t>CUST0666</t>
  </si>
  <si>
    <t>INV00735</t>
  </si>
  <si>
    <t>ORD00736</t>
  </si>
  <si>
    <t>PROD056</t>
  </si>
  <si>
    <t>INV00736</t>
  </si>
  <si>
    <t>ORD00737</t>
  </si>
  <si>
    <t>INV00737</t>
  </si>
  <si>
    <t>ORD00738</t>
  </si>
  <si>
    <t>CUST0107</t>
  </si>
  <si>
    <t>INV00738</t>
  </si>
  <si>
    <t>ORD00739</t>
  </si>
  <si>
    <t>CUST0193</t>
  </si>
  <si>
    <t>INV00739</t>
  </si>
  <si>
    <t>ORD00740</t>
  </si>
  <si>
    <t>INV00740</t>
  </si>
  <si>
    <t>ORD00741</t>
  </si>
  <si>
    <t>INV00741</t>
  </si>
  <si>
    <t>ORD00742</t>
  </si>
  <si>
    <t>INV00742</t>
  </si>
  <si>
    <t>ORD00743</t>
  </si>
  <si>
    <t>INV00743</t>
  </si>
  <si>
    <t>ORD00744</t>
  </si>
  <si>
    <t>CUST0027</t>
  </si>
  <si>
    <t>INV00744</t>
  </si>
  <si>
    <t>ORD00745</t>
  </si>
  <si>
    <t>INV00745</t>
  </si>
  <si>
    <t>ORD00746</t>
  </si>
  <si>
    <t>CUST0183</t>
  </si>
  <si>
    <t>INV00746</t>
  </si>
  <si>
    <t>ORD00747</t>
  </si>
  <si>
    <t>INV00747</t>
  </si>
  <si>
    <t>ORD00748</t>
  </si>
  <si>
    <t>INV00748</t>
  </si>
  <si>
    <t>ORD00749</t>
  </si>
  <si>
    <t>CUST0526</t>
  </si>
  <si>
    <t>INV00749</t>
  </si>
  <si>
    <t>ORD00750</t>
  </si>
  <si>
    <t>INV00750</t>
  </si>
  <si>
    <t>ORD00751</t>
  </si>
  <si>
    <t>INV00751</t>
  </si>
  <si>
    <t>ORD00752</t>
  </si>
  <si>
    <t>INV00752</t>
  </si>
  <si>
    <t>ORD00753</t>
  </si>
  <si>
    <t>INV00753</t>
  </si>
  <si>
    <t>ORD00754</t>
  </si>
  <si>
    <t>CUST0323</t>
  </si>
  <si>
    <t>INV00754</t>
  </si>
  <si>
    <t>ORD00755</t>
  </si>
  <si>
    <t>CUST0200</t>
  </si>
  <si>
    <t>INV00755</t>
  </si>
  <si>
    <t>ORD00756</t>
  </si>
  <si>
    <t>INV00756</t>
  </si>
  <si>
    <t>ORD00757</t>
  </si>
  <si>
    <t>CUST0358</t>
  </si>
  <si>
    <t>PROD174</t>
  </si>
  <si>
    <t>INV00757</t>
  </si>
  <si>
    <t>ORD00758</t>
  </si>
  <si>
    <t>INV00758</t>
  </si>
  <si>
    <t>ORD00759</t>
  </si>
  <si>
    <t>INV00759</t>
  </si>
  <si>
    <t>ORD00760</t>
  </si>
  <si>
    <t>INV00760</t>
  </si>
  <si>
    <t>ORD00761</t>
  </si>
  <si>
    <t>CUST0455</t>
  </si>
  <si>
    <t>INV00761</t>
  </si>
  <si>
    <t>ORD00762</t>
  </si>
  <si>
    <t>INV00762</t>
  </si>
  <si>
    <t>ORD00763</t>
  </si>
  <si>
    <t>INV00763</t>
  </si>
  <si>
    <t>ORD00764</t>
  </si>
  <si>
    <t>INV00764</t>
  </si>
  <si>
    <t>ORD00765</t>
  </si>
  <si>
    <t>INV00765</t>
  </si>
  <si>
    <t>ORD00766</t>
  </si>
  <si>
    <t>INV00766</t>
  </si>
  <si>
    <t>ORD00767</t>
  </si>
  <si>
    <t>CUST0728</t>
  </si>
  <si>
    <t>PROD132</t>
  </si>
  <si>
    <t>INV00767</t>
  </si>
  <si>
    <t>ORD00768</t>
  </si>
  <si>
    <t>INV00768</t>
  </si>
  <si>
    <t>ORD00769</t>
  </si>
  <si>
    <t>INV00769</t>
  </si>
  <si>
    <t>ORD00770</t>
  </si>
  <si>
    <t>CUST0446</t>
  </si>
  <si>
    <t>INV00770</t>
  </si>
  <si>
    <t>ORD00771</t>
  </si>
  <si>
    <t>INV00771</t>
  </si>
  <si>
    <t>ORD00772</t>
  </si>
  <si>
    <t>INV00772</t>
  </si>
  <si>
    <t>ORD00773</t>
  </si>
  <si>
    <t>INV00773</t>
  </si>
  <si>
    <t>ORD00774</t>
  </si>
  <si>
    <t>CUST0261</t>
  </si>
  <si>
    <t>INV00774</t>
  </si>
  <si>
    <t>ORD00775</t>
  </si>
  <si>
    <t>INV00775</t>
  </si>
  <si>
    <t>ORD00776</t>
  </si>
  <si>
    <t>INV00776</t>
  </si>
  <si>
    <t>ORD00777</t>
  </si>
  <si>
    <t>INV00777</t>
  </si>
  <si>
    <t>ORD00778</t>
  </si>
  <si>
    <t>INV00778</t>
  </si>
  <si>
    <t>ORD00779</t>
  </si>
  <si>
    <t>PROD085</t>
  </si>
  <si>
    <t>INV00779</t>
  </si>
  <si>
    <t>ORD00780</t>
  </si>
  <si>
    <t>INV00780</t>
  </si>
  <si>
    <t>ORD00781</t>
  </si>
  <si>
    <t>INV00781</t>
  </si>
  <si>
    <t>ORD00782</t>
  </si>
  <si>
    <t>CUST0090</t>
  </si>
  <si>
    <t>INV00782</t>
  </si>
  <si>
    <t>ORD00783</t>
  </si>
  <si>
    <t>INV00783</t>
  </si>
  <si>
    <t>ORD00784</t>
  </si>
  <si>
    <t>INV00784</t>
  </si>
  <si>
    <t>ORD00785</t>
  </si>
  <si>
    <t>CUST0713</t>
  </si>
  <si>
    <t>INV00785</t>
  </si>
  <si>
    <t>ORD00786</t>
  </si>
  <si>
    <t>CUST0503</t>
  </si>
  <si>
    <t>PROD249</t>
  </si>
  <si>
    <t>INV00786</t>
  </si>
  <si>
    <t>ORD00787</t>
  </si>
  <si>
    <t>INV00787</t>
  </si>
  <si>
    <t>ORD00788</t>
  </si>
  <si>
    <t>CUST0030</t>
  </si>
  <si>
    <t>INV00788</t>
  </si>
  <si>
    <t>ORD00789</t>
  </si>
  <si>
    <t>CUST0238</t>
  </si>
  <si>
    <t>INV00789</t>
  </si>
  <si>
    <t>ORD00790</t>
  </si>
  <si>
    <t>CUST0311</t>
  </si>
  <si>
    <t>INV00790</t>
  </si>
  <si>
    <t>ORD00791</t>
  </si>
  <si>
    <t>CUST0533</t>
  </si>
  <si>
    <t>INV00791</t>
  </si>
  <si>
    <t>ORD00792</t>
  </si>
  <si>
    <t>INV00792</t>
  </si>
  <si>
    <t>ORD00793</t>
  </si>
  <si>
    <t>INV00793</t>
  </si>
  <si>
    <t>ORD00794</t>
  </si>
  <si>
    <t>INV00794</t>
  </si>
  <si>
    <t>ORD00795</t>
  </si>
  <si>
    <t>INV00795</t>
  </si>
  <si>
    <t>ORD00796</t>
  </si>
  <si>
    <t>INV00796</t>
  </si>
  <si>
    <t>ORD00797</t>
  </si>
  <si>
    <t>INV00797</t>
  </si>
  <si>
    <t>ORD00798</t>
  </si>
  <si>
    <t>CUST0289</t>
  </si>
  <si>
    <t>INV00798</t>
  </si>
  <si>
    <t>ORD00799</t>
  </si>
  <si>
    <t>INV00799</t>
  </si>
  <si>
    <t>ORD00800</t>
  </si>
  <si>
    <t>INV00800</t>
  </si>
  <si>
    <t>ORD00801</t>
  </si>
  <si>
    <t>INV00801</t>
  </si>
  <si>
    <t>ORD00802</t>
  </si>
  <si>
    <t>INV00802</t>
  </si>
  <si>
    <t>ORD00803</t>
  </si>
  <si>
    <t>INV00803</t>
  </si>
  <si>
    <t>ORD00804</t>
  </si>
  <si>
    <t>INV00804</t>
  </si>
  <si>
    <t>ORD00805</t>
  </si>
  <si>
    <t>INV00805</t>
  </si>
  <si>
    <t>ORD00806</t>
  </si>
  <si>
    <t>CUST0308</t>
  </si>
  <si>
    <t>INV00806</t>
  </si>
  <si>
    <t>ORD00807</t>
  </si>
  <si>
    <t>INV00807</t>
  </si>
  <si>
    <t>ORD00808</t>
  </si>
  <si>
    <t>INV00808</t>
  </si>
  <si>
    <t>ORD00809</t>
  </si>
  <si>
    <t>CUST0006</t>
  </si>
  <si>
    <t>INV00809</t>
  </si>
  <si>
    <t>ORD00810</t>
  </si>
  <si>
    <t>INV00810</t>
  </si>
  <si>
    <t>ORD00811</t>
  </si>
  <si>
    <t>INV00811</t>
  </si>
  <si>
    <t>ORD00812</t>
  </si>
  <si>
    <t>CUST0131</t>
  </si>
  <si>
    <t>INV00812</t>
  </si>
  <si>
    <t>ORD00813</t>
  </si>
  <si>
    <t>CUST0479</t>
  </si>
  <si>
    <t>INV00813</t>
  </si>
  <si>
    <t>ORD00814</t>
  </si>
  <si>
    <t>INV00814</t>
  </si>
  <si>
    <t>ORD00815</t>
  </si>
  <si>
    <t>INV00815</t>
  </si>
  <si>
    <t>ORD00816</t>
  </si>
  <si>
    <t>INV00816</t>
  </si>
  <si>
    <t>ORD00817</t>
  </si>
  <si>
    <t>INV00817</t>
  </si>
  <si>
    <t>ORD00818</t>
  </si>
  <si>
    <t>PROD111</t>
  </si>
  <si>
    <t>INV00818</t>
  </si>
  <si>
    <t>ORD00819</t>
  </si>
  <si>
    <t>INV00819</t>
  </si>
  <si>
    <t>ORD00820</t>
  </si>
  <si>
    <t>PROD002</t>
  </si>
  <si>
    <t>INV00820</t>
  </si>
  <si>
    <t>ORD00821</t>
  </si>
  <si>
    <t>INV00821</t>
  </si>
  <si>
    <t>ORD00822</t>
  </si>
  <si>
    <t>INV00822</t>
  </si>
  <si>
    <t>ORD00823</t>
  </si>
  <si>
    <t>CUST0349</t>
  </si>
  <si>
    <t>INV00823</t>
  </si>
  <si>
    <t>ORD00824</t>
  </si>
  <si>
    <t>CUST0388</t>
  </si>
  <si>
    <t>INV00824</t>
  </si>
  <si>
    <t>ORD00825</t>
  </si>
  <si>
    <t>INV00825</t>
  </si>
  <si>
    <t>ORD00826</t>
  </si>
  <si>
    <t>PROD193</t>
  </si>
  <si>
    <t>INV00826</t>
  </si>
  <si>
    <t>ORD00827</t>
  </si>
  <si>
    <t>INV00827</t>
  </si>
  <si>
    <t>ORD00828</t>
  </si>
  <si>
    <t>INV00828</t>
  </si>
  <si>
    <t>ORD00829</t>
  </si>
  <si>
    <t>CUST0731</t>
  </si>
  <si>
    <t>INV00829</t>
  </si>
  <si>
    <t>ORD00830</t>
  </si>
  <si>
    <t>INV00830</t>
  </si>
  <si>
    <t>ORD00831</t>
  </si>
  <si>
    <t>CUST0456</t>
  </si>
  <si>
    <t>INV00831</t>
  </si>
  <si>
    <t>ORD00832</t>
  </si>
  <si>
    <t>CUST0765</t>
  </si>
  <si>
    <t>INV00832</t>
  </si>
  <si>
    <t>ORD00833</t>
  </si>
  <si>
    <t>INV00833</t>
  </si>
  <si>
    <t>ORD00834</t>
  </si>
  <si>
    <t>INV00834</t>
  </si>
  <si>
    <t>ORD00835</t>
  </si>
  <si>
    <t>PROD232</t>
  </si>
  <si>
    <t>INV00835</t>
  </si>
  <si>
    <t>ORD00836</t>
  </si>
  <si>
    <t>CUST0740</t>
  </si>
  <si>
    <t>INV00836</t>
  </si>
  <si>
    <t>ORD00837</t>
  </si>
  <si>
    <t>CUST0511</t>
  </si>
  <si>
    <t>INV00837</t>
  </si>
  <si>
    <t>ORD00838</t>
  </si>
  <si>
    <t>CUST0435</t>
  </si>
  <si>
    <t>INV00838</t>
  </si>
  <si>
    <t>ORD00839</t>
  </si>
  <si>
    <t>INV00839</t>
  </si>
  <si>
    <t>ORD00840</t>
  </si>
  <si>
    <t>CUST0351</t>
  </si>
  <si>
    <t>INV00840</t>
  </si>
  <si>
    <t>ORD00841</t>
  </si>
  <si>
    <t>PROD247</t>
  </si>
  <si>
    <t>INV00841</t>
  </si>
  <si>
    <t>ORD00842</t>
  </si>
  <si>
    <t>CUST0312</t>
  </si>
  <si>
    <t>INV00842</t>
  </si>
  <si>
    <t>ORD00843</t>
  </si>
  <si>
    <t>INV00843</t>
  </si>
  <si>
    <t>ORD00844</t>
  </si>
  <si>
    <t>INV00844</t>
  </si>
  <si>
    <t>ORD00845</t>
  </si>
  <si>
    <t>CUST0794</t>
  </si>
  <si>
    <t>INV00845</t>
  </si>
  <si>
    <t>ORD00846</t>
  </si>
  <si>
    <t>INV00846</t>
  </si>
  <si>
    <t>ORD00847</t>
  </si>
  <si>
    <t>INV00847</t>
  </si>
  <si>
    <t>ORD00848</t>
  </si>
  <si>
    <t>CUST0599</t>
  </si>
  <si>
    <t>INV00848</t>
  </si>
  <si>
    <t>ORD00849</t>
  </si>
  <si>
    <t>CUST0491</t>
  </si>
  <si>
    <t>INV00849</t>
  </si>
  <si>
    <t>ORD00850</t>
  </si>
  <si>
    <t>PROD180</t>
  </si>
  <si>
    <t>INV00850</t>
  </si>
  <si>
    <t>ORD00851</t>
  </si>
  <si>
    <t>INV00851</t>
  </si>
  <si>
    <t>ORD00852</t>
  </si>
  <si>
    <t>INV00852</t>
  </si>
  <si>
    <t>ORD00853</t>
  </si>
  <si>
    <t>CUST0721</t>
  </si>
  <si>
    <t>INV00853</t>
  </si>
  <si>
    <t>ORD00854</t>
  </si>
  <si>
    <t>CUST0101</t>
  </si>
  <si>
    <t>INV00854</t>
  </si>
  <si>
    <t>ORD00855</t>
  </si>
  <si>
    <t>INV00855</t>
  </si>
  <si>
    <t>ORD00856</t>
  </si>
  <si>
    <t>CUST0716</t>
  </si>
  <si>
    <t>INV00856</t>
  </si>
  <si>
    <t>ORD00857</t>
  </si>
  <si>
    <t>CUST0398</t>
  </si>
  <si>
    <t>INV00857</t>
  </si>
  <si>
    <t>ORD00858</t>
  </si>
  <si>
    <t>INV00858</t>
  </si>
  <si>
    <t>ORD00859</t>
  </si>
  <si>
    <t>CUST0258</t>
  </si>
  <si>
    <t>INV00859</t>
  </si>
  <si>
    <t>ORD00860</t>
  </si>
  <si>
    <t>INV00860</t>
  </si>
  <si>
    <t>ORD00861</t>
  </si>
  <si>
    <t>CUST0567</t>
  </si>
  <si>
    <t>INV00861</t>
  </si>
  <si>
    <t>ORD00862</t>
  </si>
  <si>
    <t>INV00862</t>
  </si>
  <si>
    <t>ORD00863</t>
  </si>
  <si>
    <t>CUST0210</t>
  </si>
  <si>
    <t>INV00863</t>
  </si>
  <si>
    <t>ORD00864</t>
  </si>
  <si>
    <t>CUST0118</t>
  </si>
  <si>
    <t>PROD227</t>
  </si>
  <si>
    <t>INV00864</t>
  </si>
  <si>
    <t>ORD00865</t>
  </si>
  <si>
    <t>INV00865</t>
  </si>
  <si>
    <t>ORD00866</t>
  </si>
  <si>
    <t>CUST0467</t>
  </si>
  <si>
    <t>INV00866</t>
  </si>
  <si>
    <t>ORD00867</t>
  </si>
  <si>
    <t>INV00867</t>
  </si>
  <si>
    <t>ORD00868</t>
  </si>
  <si>
    <t>CUST0507</t>
  </si>
  <si>
    <t>INV00868</t>
  </si>
  <si>
    <t>ORD00869</t>
  </si>
  <si>
    <t>INV00869</t>
  </si>
  <si>
    <t>ORD00870</t>
  </si>
  <si>
    <t>INV00870</t>
  </si>
  <si>
    <t>ORD00871</t>
  </si>
  <si>
    <t>INV00871</t>
  </si>
  <si>
    <t>ORD00872</t>
  </si>
  <si>
    <t>CUST0178</t>
  </si>
  <si>
    <t>INV00872</t>
  </si>
  <si>
    <t>ORD00873</t>
  </si>
  <si>
    <t>INV00873</t>
  </si>
  <si>
    <t>ORD00874</t>
  </si>
  <si>
    <t>INV00874</t>
  </si>
  <si>
    <t>ORD00875</t>
  </si>
  <si>
    <t>CUST0329</t>
  </si>
  <si>
    <t>INV00875</t>
  </si>
  <si>
    <t>ORD00876</t>
  </si>
  <si>
    <t>INV00876</t>
  </si>
  <si>
    <t>ORD00877</t>
  </si>
  <si>
    <t>INV00877</t>
  </si>
  <si>
    <t>ORD00878</t>
  </si>
  <si>
    <t>INV00878</t>
  </si>
  <si>
    <t>ORD00879</t>
  </si>
  <si>
    <t>INV00879</t>
  </si>
  <si>
    <t>ORD00880</t>
  </si>
  <si>
    <t>INV00880</t>
  </si>
  <si>
    <t>ORD00881</t>
  </si>
  <si>
    <t>INV00881</t>
  </si>
  <si>
    <t>ORD00882</t>
  </si>
  <si>
    <t>CUST0797</t>
  </si>
  <si>
    <t>INV00882</t>
  </si>
  <si>
    <t>ORD00883</t>
  </si>
  <si>
    <t>INV00883</t>
  </si>
  <si>
    <t>ORD00884</t>
  </si>
  <si>
    <t>INV00884</t>
  </si>
  <si>
    <t>ORD00885</t>
  </si>
  <si>
    <t>INV00885</t>
  </si>
  <si>
    <t>ORD00886</t>
  </si>
  <si>
    <t>INV00886</t>
  </si>
  <si>
    <t>ORD00887</t>
  </si>
  <si>
    <t>INV00887</t>
  </si>
  <si>
    <t>ORD00888</t>
  </si>
  <si>
    <t>INV00888</t>
  </si>
  <si>
    <t>ORD00889</t>
  </si>
  <si>
    <t>INV00889</t>
  </si>
  <si>
    <t>ORD00890</t>
  </si>
  <si>
    <t>INV00890</t>
  </si>
  <si>
    <t>ORD00891</t>
  </si>
  <si>
    <t>CUST0021</t>
  </si>
  <si>
    <t>INV00891</t>
  </si>
  <si>
    <t>ORD00892</t>
  </si>
  <si>
    <t>CUST0158</t>
  </si>
  <si>
    <t>INV00892</t>
  </si>
  <si>
    <t>ORD00893</t>
  </si>
  <si>
    <t>CUST0680</t>
  </si>
  <si>
    <t>INV00893</t>
  </si>
  <si>
    <t>ORD00894</t>
  </si>
  <si>
    <t>CUST0703</t>
  </si>
  <si>
    <t>INV00894</t>
  </si>
  <si>
    <t>ORD00895</t>
  </si>
  <si>
    <t>INV00895</t>
  </si>
  <si>
    <t>ORD00896</t>
  </si>
  <si>
    <t>INV00896</t>
  </si>
  <si>
    <t>ORD00897</t>
  </si>
  <si>
    <t>CUST0237</t>
  </si>
  <si>
    <t>INV00897</t>
  </si>
  <si>
    <t>ORD00898</t>
  </si>
  <si>
    <t>INV00898</t>
  </si>
  <si>
    <t>ORD00899</t>
  </si>
  <si>
    <t>INV00899</t>
  </si>
  <si>
    <t>ORD00900</t>
  </si>
  <si>
    <t>PROD029</t>
  </si>
  <si>
    <t>INV00900</t>
  </si>
  <si>
    <t>ORD00901</t>
  </si>
  <si>
    <t>CUST0116</t>
  </si>
  <si>
    <t>INV00901</t>
  </si>
  <si>
    <t>ORD00902</t>
  </si>
  <si>
    <t>INV00902</t>
  </si>
  <si>
    <t>ORD00903</t>
  </si>
  <si>
    <t>INV00903</t>
  </si>
  <si>
    <t>ORD00904</t>
  </si>
  <si>
    <t>CUST0764</t>
  </si>
  <si>
    <t>INV00904</t>
  </si>
  <si>
    <t>ORD00905</t>
  </si>
  <si>
    <t>CUST0159</t>
  </si>
  <si>
    <t>INV00905</t>
  </si>
  <si>
    <t>ORD00906</t>
  </si>
  <si>
    <t>INV00906</t>
  </si>
  <si>
    <t>ORD00907</t>
  </si>
  <si>
    <t>INV00907</t>
  </si>
  <si>
    <t>ORD00908</t>
  </si>
  <si>
    <t>INV00908</t>
  </si>
  <si>
    <t>ORD00909</t>
  </si>
  <si>
    <t>INV00909</t>
  </si>
  <si>
    <t>ORD00910</t>
  </si>
  <si>
    <t>CUST0638</t>
  </si>
  <si>
    <t>INV00910</t>
  </si>
  <si>
    <t>ORD00911</t>
  </si>
  <si>
    <t>INV00911</t>
  </si>
  <si>
    <t>ORD00912</t>
  </si>
  <si>
    <t>INV00912</t>
  </si>
  <si>
    <t>ORD00913</t>
  </si>
  <si>
    <t>CUST0787</t>
  </si>
  <si>
    <t>INV00913</t>
  </si>
  <si>
    <t>ORD00914</t>
  </si>
  <si>
    <t>INV00914</t>
  </si>
  <si>
    <t>ORD00915</t>
  </si>
  <si>
    <t>INV00915</t>
  </si>
  <si>
    <t>ORD00916</t>
  </si>
  <si>
    <t>INV00916</t>
  </si>
  <si>
    <t>ORD00917</t>
  </si>
  <si>
    <t>INV00917</t>
  </si>
  <si>
    <t>ORD00918</t>
  </si>
  <si>
    <t>INV00918</t>
  </si>
  <si>
    <t>ORD00919</t>
  </si>
  <si>
    <t>CUST0268</t>
  </si>
  <si>
    <t>INV00919</t>
  </si>
  <si>
    <t>ORD00920</t>
  </si>
  <si>
    <t>INV00920</t>
  </si>
  <si>
    <t>ORD00921</t>
  </si>
  <si>
    <t>CUST0583</t>
  </si>
  <si>
    <t>INV00921</t>
  </si>
  <si>
    <t>ORD00922</t>
  </si>
  <si>
    <t>INV00922</t>
  </si>
  <si>
    <t>ORD00923</t>
  </si>
  <si>
    <t>CUST0755</t>
  </si>
  <si>
    <t>INV00923</t>
  </si>
  <si>
    <t>ORD00924</t>
  </si>
  <si>
    <t>INV00924</t>
  </si>
  <si>
    <t>ORD00925</t>
  </si>
  <si>
    <t>INV00925</t>
  </si>
  <si>
    <t>ORD00926</t>
  </si>
  <si>
    <t>INV00926</t>
  </si>
  <si>
    <t>ORD00927</t>
  </si>
  <si>
    <t>INV00927</t>
  </si>
  <si>
    <t>ORD00928</t>
  </si>
  <si>
    <t>CUST0382</t>
  </si>
  <si>
    <t>INV00928</t>
  </si>
  <si>
    <t>ORD00929</t>
  </si>
  <si>
    <t>CUST0690</t>
  </si>
  <si>
    <t>INV00929</t>
  </si>
  <si>
    <t>ORD00930</t>
  </si>
  <si>
    <t>INV00930</t>
  </si>
  <si>
    <t>ORD00931</t>
  </si>
  <si>
    <t>INV00931</t>
  </si>
  <si>
    <t>ORD00932</t>
  </si>
  <si>
    <t>INV00932</t>
  </si>
  <si>
    <t>ORD00933</t>
  </si>
  <si>
    <t>INV00933</t>
  </si>
  <si>
    <t>ORD00934</t>
  </si>
  <si>
    <t>INV00934</t>
  </si>
  <si>
    <t>ORD00935</t>
  </si>
  <si>
    <t>INV00935</t>
  </si>
  <si>
    <t>ORD00936</t>
  </si>
  <si>
    <t>CUST0773</t>
  </si>
  <si>
    <t>INV00936</t>
  </si>
  <si>
    <t>ORD00937</t>
  </si>
  <si>
    <t>INV00937</t>
  </si>
  <si>
    <t>ORD00938</t>
  </si>
  <si>
    <t>PROD235</t>
  </si>
  <si>
    <t>INV00938</t>
  </si>
  <si>
    <t>ORD00939</t>
  </si>
  <si>
    <t>INV00939</t>
  </si>
  <si>
    <t>ORD00940</t>
  </si>
  <si>
    <t>INV00940</t>
  </si>
  <si>
    <t>ORD00941</t>
  </si>
  <si>
    <t>INV00941</t>
  </si>
  <si>
    <t>ORD00942</t>
  </si>
  <si>
    <t>INV00942</t>
  </si>
  <si>
    <t>ORD00943</t>
  </si>
  <si>
    <t>CUST0550</t>
  </si>
  <si>
    <t>INV00943</t>
  </si>
  <si>
    <t>ORD00944</t>
  </si>
  <si>
    <t>INV00944</t>
  </si>
  <si>
    <t>ORD00945</t>
  </si>
  <si>
    <t>INV00945</t>
  </si>
  <si>
    <t>ORD00946</t>
  </si>
  <si>
    <t>CUST0538</t>
  </si>
  <si>
    <t>INV00946</t>
  </si>
  <si>
    <t>ORD00947</t>
  </si>
  <si>
    <t>INV00947</t>
  </si>
  <si>
    <t>ORD00948</t>
  </si>
  <si>
    <t>INV00948</t>
  </si>
  <si>
    <t>ORD00949</t>
  </si>
  <si>
    <t>INV00949</t>
  </si>
  <si>
    <t>ORD00950</t>
  </si>
  <si>
    <t>INV00950</t>
  </si>
  <si>
    <t>ORD00951</t>
  </si>
  <si>
    <t>INV00951</t>
  </si>
  <si>
    <t>ORD00952</t>
  </si>
  <si>
    <t>CUST0254</t>
  </si>
  <si>
    <t>INV00952</t>
  </si>
  <si>
    <t>ORD00953</t>
  </si>
  <si>
    <t>INV00953</t>
  </si>
  <si>
    <t>ORD00954</t>
  </si>
  <si>
    <t>INV00954</t>
  </si>
  <si>
    <t>ORD00955</t>
  </si>
  <si>
    <t>INV00955</t>
  </si>
  <si>
    <t>ORD00956</t>
  </si>
  <si>
    <t>INV00956</t>
  </si>
  <si>
    <t>ORD00957</t>
  </si>
  <si>
    <t>INV00957</t>
  </si>
  <si>
    <t>ORD00958</t>
  </si>
  <si>
    <t>INV00958</t>
  </si>
  <si>
    <t>ORD00959</t>
  </si>
  <si>
    <t>CUST0354</t>
  </si>
  <si>
    <t>INV00959</t>
  </si>
  <si>
    <t>ORD00960</t>
  </si>
  <si>
    <t>CUST0124</t>
  </si>
  <si>
    <t>INV00960</t>
  </si>
  <si>
    <t>ORD00961</t>
  </si>
  <si>
    <t>INV00961</t>
  </si>
  <si>
    <t>ORD00962</t>
  </si>
  <si>
    <t>INV00962</t>
  </si>
  <si>
    <t>ORD00963</t>
  </si>
  <si>
    <t>INV00963</t>
  </si>
  <si>
    <t>ORD00964</t>
  </si>
  <si>
    <t>INV00964</t>
  </si>
  <si>
    <t>ORD00965</t>
  </si>
  <si>
    <t>INV00965</t>
  </si>
  <si>
    <t>ORD00966</t>
  </si>
  <si>
    <t>INV00966</t>
  </si>
  <si>
    <t>ORD00967</t>
  </si>
  <si>
    <t>CUST0783</t>
  </si>
  <si>
    <t>INV00967</t>
  </si>
  <si>
    <t>ORD00968</t>
  </si>
  <si>
    <t>CUST0272</t>
  </si>
  <si>
    <t>INV00968</t>
  </si>
  <si>
    <t>ORD00969</t>
  </si>
  <si>
    <t>INV00969</t>
  </si>
  <si>
    <t>ORD00970</t>
  </si>
  <si>
    <t>INV00970</t>
  </si>
  <si>
    <t>ORD00971</t>
  </si>
  <si>
    <t>INV00971</t>
  </si>
  <si>
    <t>ORD00972</t>
  </si>
  <si>
    <t>INV00972</t>
  </si>
  <si>
    <t>ORD00973</t>
  </si>
  <si>
    <t>INV00973</t>
  </si>
  <si>
    <t>ORD00974</t>
  </si>
  <si>
    <t>INV00974</t>
  </si>
  <si>
    <t>ORD00975</t>
  </si>
  <si>
    <t>INV00975</t>
  </si>
  <si>
    <t>ORD00976</t>
  </si>
  <si>
    <t>CUST0396</t>
  </si>
  <si>
    <t>INV00976</t>
  </si>
  <si>
    <t>ORD00977</t>
  </si>
  <si>
    <t>CUST0064</t>
  </si>
  <si>
    <t>INV00977</t>
  </si>
  <si>
    <t>ORD00978</t>
  </si>
  <si>
    <t>CUST0378</t>
  </si>
  <si>
    <t>INV00978</t>
  </si>
  <si>
    <t>ORD00979</t>
  </si>
  <si>
    <t>INV00979</t>
  </si>
  <si>
    <t>ORD00980</t>
  </si>
  <si>
    <t>INV00980</t>
  </si>
  <si>
    <t>ORD00981</t>
  </si>
  <si>
    <t>INV00981</t>
  </si>
  <si>
    <t>ORD00982</t>
  </si>
  <si>
    <t>INV00982</t>
  </si>
  <si>
    <t>ORD00983</t>
  </si>
  <si>
    <t>INV00983</t>
  </si>
  <si>
    <t>ORD00984</t>
  </si>
  <si>
    <t>INV00984</t>
  </si>
  <si>
    <t>ORD00985</t>
  </si>
  <si>
    <t>INV00985</t>
  </si>
  <si>
    <t>ORD00986</t>
  </si>
  <si>
    <t>INV00986</t>
  </si>
  <si>
    <t>ORD00987</t>
  </si>
  <si>
    <t>CUST0385</t>
  </si>
  <si>
    <t>INV00987</t>
  </si>
  <si>
    <t>ORD00988</t>
  </si>
  <si>
    <t>INV00988</t>
  </si>
  <si>
    <t>ORD00989</t>
  </si>
  <si>
    <t>INV00989</t>
  </si>
  <si>
    <t>ORD00990</t>
  </si>
  <si>
    <t>INV00990</t>
  </si>
  <si>
    <t>ORD00991</t>
  </si>
  <si>
    <t>CUST0213</t>
  </si>
  <si>
    <t>INV00991</t>
  </si>
  <si>
    <t>ORD00992</t>
  </si>
  <si>
    <t>INV00992</t>
  </si>
  <si>
    <t>ORD00993</t>
  </si>
  <si>
    <t>CUST0103</t>
  </si>
  <si>
    <t>INV00993</t>
  </si>
  <si>
    <t>ORD00994</t>
  </si>
  <si>
    <t>CUST0011</t>
  </si>
  <si>
    <t>INV00994</t>
  </si>
  <si>
    <t>ORD00995</t>
  </si>
  <si>
    <t>INV00995</t>
  </si>
  <si>
    <t>ORD00996</t>
  </si>
  <si>
    <t>INV00996</t>
  </si>
  <si>
    <t>ORD00997</t>
  </si>
  <si>
    <t>INV00997</t>
  </si>
  <si>
    <t>ORD00998</t>
  </si>
  <si>
    <t>INV00998</t>
  </si>
  <si>
    <t>ORD00999</t>
  </si>
  <si>
    <t>INV00999</t>
  </si>
  <si>
    <t>ORD01000</t>
  </si>
  <si>
    <t>INV01000</t>
  </si>
  <si>
    <t>ORD01001</t>
  </si>
  <si>
    <t>INV01001</t>
  </si>
  <si>
    <t>ORD01002</t>
  </si>
  <si>
    <t>INV01002</t>
  </si>
  <si>
    <t>ORD01003</t>
  </si>
  <si>
    <t>CUST0255</t>
  </si>
  <si>
    <t>INV01003</t>
  </si>
  <si>
    <t>ORD01004</t>
  </si>
  <si>
    <t>INV01004</t>
  </si>
  <si>
    <t>ORD01005</t>
  </si>
  <si>
    <t>CUST0279</t>
  </si>
  <si>
    <t>INV01005</t>
  </si>
  <si>
    <t>ORD01006</t>
  </si>
  <si>
    <t>PROD230</t>
  </si>
  <si>
    <t>INV01006</t>
  </si>
  <si>
    <t>ORD01007</t>
  </si>
  <si>
    <t>INV01007</t>
  </si>
  <si>
    <t>ORD01008</t>
  </si>
  <si>
    <t>CUST0598</t>
  </si>
  <si>
    <t>INV01008</t>
  </si>
  <si>
    <t>ORD01009</t>
  </si>
  <si>
    <t>INV01009</t>
  </si>
  <si>
    <t>ORD01010</t>
  </si>
  <si>
    <t>INV01010</t>
  </si>
  <si>
    <t>ORD01011</t>
  </si>
  <si>
    <t>INV01011</t>
  </si>
  <si>
    <t>ORD01012</t>
  </si>
  <si>
    <t>INV01012</t>
  </si>
  <si>
    <t>ORD01013</t>
  </si>
  <si>
    <t>INV01013</t>
  </si>
  <si>
    <t>ORD01014</t>
  </si>
  <si>
    <t>INV01014</t>
  </si>
  <si>
    <t>ORD01015</t>
  </si>
  <si>
    <t>INV01015</t>
  </si>
  <si>
    <t>ORD01016</t>
  </si>
  <si>
    <t>INV01016</t>
  </si>
  <si>
    <t>ORD01017</t>
  </si>
  <si>
    <t>CUST0112</t>
  </si>
  <si>
    <t>INV01017</t>
  </si>
  <si>
    <t>ORD01018</t>
  </si>
  <si>
    <t>CUST0513</t>
  </si>
  <si>
    <t>INV01018</t>
  </si>
  <si>
    <t>ORD01019</t>
  </si>
  <si>
    <t>PROD027</t>
  </si>
  <si>
    <t>INV01019</t>
  </si>
  <si>
    <t>ORD01020</t>
  </si>
  <si>
    <t>CUST0291</t>
  </si>
  <si>
    <t>INV01020</t>
  </si>
  <si>
    <t>ORD01021</t>
  </si>
  <si>
    <t>INV01021</t>
  </si>
  <si>
    <t>ORD01022</t>
  </si>
  <si>
    <t>INV01022</t>
  </si>
  <si>
    <t>ORD01023</t>
  </si>
  <si>
    <t>INV01023</t>
  </si>
  <si>
    <t>ORD01024</t>
  </si>
  <si>
    <t>CUST0650</t>
  </si>
  <si>
    <t>INV01024</t>
  </si>
  <si>
    <t>ORD01025</t>
  </si>
  <si>
    <t>CUST0022</t>
  </si>
  <si>
    <t>INV01025</t>
  </si>
  <si>
    <t>ORD01026</t>
  </si>
  <si>
    <t>INV01026</t>
  </si>
  <si>
    <t>ORD01027</t>
  </si>
  <si>
    <t>INV01027</t>
  </si>
  <si>
    <t>ORD01028</t>
  </si>
  <si>
    <t>INV01028</t>
  </si>
  <si>
    <t>ORD01029</t>
  </si>
  <si>
    <t>CUST0326</t>
  </si>
  <si>
    <t>INV01029</t>
  </si>
  <si>
    <t>ORD01030</t>
  </si>
  <si>
    <t>CUST0688</t>
  </si>
  <si>
    <t>INV01030</t>
  </si>
  <si>
    <t>ORD01031</t>
  </si>
  <si>
    <t>CUST0140</t>
  </si>
  <si>
    <t>INV01031</t>
  </si>
  <si>
    <t>ORD01032</t>
  </si>
  <si>
    <t>INV01032</t>
  </si>
  <si>
    <t>ORD01033</t>
  </si>
  <si>
    <t>INV01033</t>
  </si>
  <si>
    <t>ORD01034</t>
  </si>
  <si>
    <t>CUST0019</t>
  </si>
  <si>
    <t>INV01034</t>
  </si>
  <si>
    <t>ORD01035</t>
  </si>
  <si>
    <t>CUST0478</t>
  </si>
  <si>
    <t>INV01035</t>
  </si>
  <si>
    <t>ORD01036</t>
  </si>
  <si>
    <t>INV01036</t>
  </si>
  <si>
    <t>ORD01037</t>
  </si>
  <si>
    <t>CUST0059</t>
  </si>
  <si>
    <t>INV01037</t>
  </si>
  <si>
    <t>ORD01038</t>
  </si>
  <si>
    <t>CUST0468</t>
  </si>
  <si>
    <t>INV01038</t>
  </si>
  <si>
    <t>ORD01039</t>
  </si>
  <si>
    <t>CUST0732</t>
  </si>
  <si>
    <t>INV01039</t>
  </si>
  <si>
    <t>ORD01040</t>
  </si>
  <si>
    <t>INV01040</t>
  </si>
  <si>
    <t>ORD01041</t>
  </si>
  <si>
    <t>INV01041</t>
  </si>
  <si>
    <t>ORD01042</t>
  </si>
  <si>
    <t>INV01042</t>
  </si>
  <si>
    <t>ORD01043</t>
  </si>
  <si>
    <t>INV01043</t>
  </si>
  <si>
    <t>ORD01044</t>
  </si>
  <si>
    <t>INV01044</t>
  </si>
  <si>
    <t>ORD01045</t>
  </si>
  <si>
    <t>INV01045</t>
  </si>
  <si>
    <t>ORD01046</t>
  </si>
  <si>
    <t>INV01046</t>
  </si>
  <si>
    <t>ORD01047</t>
  </si>
  <si>
    <t>INV01047</t>
  </si>
  <si>
    <t>ORD01048</t>
  </si>
  <si>
    <t>INV01048</t>
  </si>
  <si>
    <t>ORD01049</t>
  </si>
  <si>
    <t>INV01049</t>
  </si>
  <si>
    <t>ORD01050</t>
  </si>
  <si>
    <t>INV01050</t>
  </si>
  <si>
    <t>ORD01051</t>
  </si>
  <si>
    <t>INV01051</t>
  </si>
  <si>
    <t>ORD01052</t>
  </si>
  <si>
    <t>INV01052</t>
  </si>
  <si>
    <t>ORD01053</t>
  </si>
  <si>
    <t>INV01053</t>
  </si>
  <si>
    <t>ORD01054</t>
  </si>
  <si>
    <t>INV01054</t>
  </si>
  <si>
    <t>ORD01055</t>
  </si>
  <si>
    <t>INV01055</t>
  </si>
  <si>
    <t>ORD01056</t>
  </si>
  <si>
    <t>INV01056</t>
  </si>
  <si>
    <t>ORD01057</t>
  </si>
  <si>
    <t>INV01057</t>
  </si>
  <si>
    <t>ORD01058</t>
  </si>
  <si>
    <t>INV01058</t>
  </si>
  <si>
    <t>ORD01059</t>
  </si>
  <si>
    <t>INV01059</t>
  </si>
  <si>
    <t>ORD01060</t>
  </si>
  <si>
    <t>INV01060</t>
  </si>
  <si>
    <t>ORD01061</t>
  </si>
  <si>
    <t>INV01061</t>
  </si>
  <si>
    <t>ORD01062</t>
  </si>
  <si>
    <t>INV01062</t>
  </si>
  <si>
    <t>ORD01063</t>
  </si>
  <si>
    <t>INV01063</t>
  </si>
  <si>
    <t>ORD01064</t>
  </si>
  <si>
    <t>INV01064</t>
  </si>
  <si>
    <t>ORD01065</t>
  </si>
  <si>
    <t>CUST0596</t>
  </si>
  <si>
    <t>INV01065</t>
  </si>
  <si>
    <t>ORD01066</t>
  </si>
  <si>
    <t>INV01066</t>
  </si>
  <si>
    <t>ORD01067</t>
  </si>
  <si>
    <t>CUST0643</t>
  </si>
  <si>
    <t>INV01067</t>
  </si>
  <si>
    <t>ORD01068</t>
  </si>
  <si>
    <t>CUST0310</t>
  </si>
  <si>
    <t>INV01068</t>
  </si>
  <si>
    <t>ORD01069</t>
  </si>
  <si>
    <t>INV01069</t>
  </si>
  <si>
    <t>ORD01070</t>
  </si>
  <si>
    <t>INV01070</t>
  </si>
  <si>
    <t>ORD01071</t>
  </si>
  <si>
    <t>INV01071</t>
  </si>
  <si>
    <t>ORD01072</t>
  </si>
  <si>
    <t>CUST0376</t>
  </si>
  <si>
    <t>INV01072</t>
  </si>
  <si>
    <t>ORD01073</t>
  </si>
  <si>
    <t>CUST0360</t>
  </si>
  <si>
    <t>INV01073</t>
  </si>
  <si>
    <t>ORD01074</t>
  </si>
  <si>
    <t>INV01074</t>
  </si>
  <si>
    <t>ORD01075</t>
  </si>
  <si>
    <t>INV01075</t>
  </si>
  <si>
    <t>ORD01076</t>
  </si>
  <si>
    <t>INV01076</t>
  </si>
  <si>
    <t>ORD01077</t>
  </si>
  <si>
    <t>INV01077</t>
  </si>
  <si>
    <t>ORD01078</t>
  </si>
  <si>
    <t>CUST0562</t>
  </si>
  <si>
    <t>INV01078</t>
  </si>
  <si>
    <t>ORD01079</t>
  </si>
  <si>
    <t>CUST0036</t>
  </si>
  <si>
    <t>INV01079</t>
  </si>
  <si>
    <t>ORD01080</t>
  </si>
  <si>
    <t>INV01080</t>
  </si>
  <si>
    <t>ORD01081</t>
  </si>
  <si>
    <t>INV01081</t>
  </si>
  <si>
    <t>ORD01082</t>
  </si>
  <si>
    <t>INV01082</t>
  </si>
  <si>
    <t>ORD01083</t>
  </si>
  <si>
    <t>INV01083</t>
  </si>
  <si>
    <t>ORD01084</t>
  </si>
  <si>
    <t>INV01084</t>
  </si>
  <si>
    <t>ORD01085</t>
  </si>
  <si>
    <t>INV01085</t>
  </si>
  <si>
    <t>ORD01086</t>
  </si>
  <si>
    <t>INV01086</t>
  </si>
  <si>
    <t>ORD01087</t>
  </si>
  <si>
    <t>INV01087</t>
  </si>
  <si>
    <t>ORD01088</t>
  </si>
  <si>
    <t>CUST0058</t>
  </si>
  <si>
    <t>INV01088</t>
  </si>
  <si>
    <t>ORD01089</t>
  </si>
  <si>
    <t>CUST0402</t>
  </si>
  <si>
    <t>INV01089</t>
  </si>
  <si>
    <t>ORD01090</t>
  </si>
  <si>
    <t>INV01090</t>
  </si>
  <si>
    <t>ORD01091</t>
  </si>
  <si>
    <t>INV01091</t>
  </si>
  <si>
    <t>ORD01092</t>
  </si>
  <si>
    <t>CUST0517</t>
  </si>
  <si>
    <t>INV01092</t>
  </si>
  <si>
    <t>ORD01093</t>
  </si>
  <si>
    <t>CUST0640</t>
  </si>
  <si>
    <t>INV01093</t>
  </si>
  <si>
    <t>ORD01094</t>
  </si>
  <si>
    <t>INV01094</t>
  </si>
  <si>
    <t>ORD01095</t>
  </si>
  <si>
    <t>INV01095</t>
  </si>
  <si>
    <t>ORD01096</t>
  </si>
  <si>
    <t>INV01096</t>
  </si>
  <si>
    <t>ORD01097</t>
  </si>
  <si>
    <t>INV01097</t>
  </si>
  <si>
    <t>ORD01098</t>
  </si>
  <si>
    <t>CUST0663</t>
  </si>
  <si>
    <t>INV01098</t>
  </si>
  <si>
    <t>ORD01099</t>
  </si>
  <si>
    <t>PROD055</t>
  </si>
  <si>
    <t>INV01099</t>
  </si>
  <si>
    <t>ORD01100</t>
  </si>
  <si>
    <t>INV01100</t>
  </si>
  <si>
    <t>ORD01101</t>
  </si>
  <si>
    <t>CUST0265</t>
  </si>
  <si>
    <t>INV01101</t>
  </si>
  <si>
    <t>ORD01102</t>
  </si>
  <si>
    <t>INV01102</t>
  </si>
  <si>
    <t>ORD01103</t>
  </si>
  <si>
    <t>INV01103</t>
  </si>
  <si>
    <t>ORD01104</t>
  </si>
  <si>
    <t>INV01104</t>
  </si>
  <si>
    <t>ORD01105</t>
  </si>
  <si>
    <t>INV01105</t>
  </si>
  <si>
    <t>ORD01106</t>
  </si>
  <si>
    <t>CUST0649</t>
  </si>
  <si>
    <t>INV01106</t>
  </si>
  <si>
    <t>ORD01107</t>
  </si>
  <si>
    <t>INV01107</t>
  </si>
  <si>
    <t>ORD01108</t>
  </si>
  <si>
    <t>INV01108</t>
  </si>
  <si>
    <t>ORD01109</t>
  </si>
  <si>
    <t>CUST0199</t>
  </si>
  <si>
    <t>INV01109</t>
  </si>
  <si>
    <t>ORD01110</t>
  </si>
  <si>
    <t>INV01110</t>
  </si>
  <si>
    <t>ORD01111</t>
  </si>
  <si>
    <t>INV01111</t>
  </si>
  <si>
    <t>ORD01112</t>
  </si>
  <si>
    <t>INV01112</t>
  </si>
  <si>
    <t>ORD01113</t>
  </si>
  <si>
    <t>INV01113</t>
  </si>
  <si>
    <t>ORD01114</t>
  </si>
  <si>
    <t>INV01114</t>
  </si>
  <si>
    <t>ORD01115</t>
  </si>
  <si>
    <t>PROD066</t>
  </si>
  <si>
    <t>INV01115</t>
  </si>
  <si>
    <t>ORD01116</t>
  </si>
  <si>
    <t>CUST0418</t>
  </si>
  <si>
    <t>INV01116</t>
  </si>
  <si>
    <t>ORD01117</t>
  </si>
  <si>
    <t>CUST0580</t>
  </si>
  <si>
    <t>INV01117</t>
  </si>
  <si>
    <t>ORD01118</t>
  </si>
  <si>
    <t>INV01118</t>
  </si>
  <si>
    <t>ORD01119</t>
  </si>
  <si>
    <t>CUST0060</t>
  </si>
  <si>
    <t>INV01119</t>
  </si>
  <si>
    <t>ORD01120</t>
  </si>
  <si>
    <t>INV01120</t>
  </si>
  <si>
    <t>ORD01121</t>
  </si>
  <si>
    <t>INV01121</t>
  </si>
  <si>
    <t>ORD01122</t>
  </si>
  <si>
    <t>INV01122</t>
  </si>
  <si>
    <t>ORD01123</t>
  </si>
  <si>
    <t>CUST0339</t>
  </si>
  <si>
    <t>INV01123</t>
  </si>
  <si>
    <t>ORD01124</t>
  </si>
  <si>
    <t>INV01124</t>
  </si>
  <si>
    <t>ORD01125</t>
  </si>
  <si>
    <t>INV01125</t>
  </si>
  <si>
    <t>ORD01126</t>
  </si>
  <si>
    <t>INV01126</t>
  </si>
  <si>
    <t>ORD01127</t>
  </si>
  <si>
    <t>INV01127</t>
  </si>
  <si>
    <t>ORD01128</t>
  </si>
  <si>
    <t>INV01128</t>
  </si>
  <si>
    <t>ORD01129</t>
  </si>
  <si>
    <t>INV01129</t>
  </si>
  <si>
    <t>ORD01130</t>
  </si>
  <si>
    <t>INV01130</t>
  </si>
  <si>
    <t>ORD01131</t>
  </si>
  <si>
    <t>CUST0395</t>
  </si>
  <si>
    <t>INV01131</t>
  </si>
  <si>
    <t>ORD01132</t>
  </si>
  <si>
    <t>CUST0057</t>
  </si>
  <si>
    <t>PROD040</t>
  </si>
  <si>
    <t>INV01132</t>
  </si>
  <si>
    <t>ORD01133</t>
  </si>
  <si>
    <t>INV01133</t>
  </si>
  <si>
    <t>ORD01134</t>
  </si>
  <si>
    <t>INV01134</t>
  </si>
  <si>
    <t>ORD01135</t>
  </si>
  <si>
    <t>CUST0745</t>
  </si>
  <si>
    <t>INV01135</t>
  </si>
  <si>
    <t>ORD01136</t>
  </si>
  <si>
    <t>INV01136</t>
  </si>
  <si>
    <t>ORD01137</t>
  </si>
  <si>
    <t>CUST0225</t>
  </si>
  <si>
    <t>INV01137</t>
  </si>
  <si>
    <t>ORD01138</t>
  </si>
  <si>
    <t>INV01138</t>
  </si>
  <si>
    <t>ORD01139</t>
  </si>
  <si>
    <t>CUST0537</t>
  </si>
  <si>
    <t>INV01139</t>
  </si>
  <si>
    <t>ORD01140</t>
  </si>
  <si>
    <t>INV01140</t>
  </si>
  <si>
    <t>ORD01141</t>
  </si>
  <si>
    <t>INV01141</t>
  </si>
  <si>
    <t>ORD01142</t>
  </si>
  <si>
    <t>INV01142</t>
  </si>
  <si>
    <t>ORD01143</t>
  </si>
  <si>
    <t>CUST0505</t>
  </si>
  <si>
    <t>INV01143</t>
  </si>
  <si>
    <t>ORD01144</t>
  </si>
  <si>
    <t>CUST0627</t>
  </si>
  <si>
    <t>INV01144</t>
  </si>
  <si>
    <t>ORD01145</t>
  </si>
  <si>
    <t>INV01145</t>
  </si>
  <si>
    <t>ORD01146</t>
  </si>
  <si>
    <t>INV01146</t>
  </si>
  <si>
    <t>ORD01147</t>
  </si>
  <si>
    <t>INV01147</t>
  </si>
  <si>
    <t>ORD01148</t>
  </si>
  <si>
    <t>INV01148</t>
  </si>
  <si>
    <t>ORD01149</t>
  </si>
  <si>
    <t>CUST0403</t>
  </si>
  <si>
    <t>INV01149</t>
  </si>
  <si>
    <t>ORD01150</t>
  </si>
  <si>
    <t>INV01150</t>
  </si>
  <si>
    <t>ORD01151</t>
  </si>
  <si>
    <t>INV01151</t>
  </si>
  <si>
    <t>ORD01152</t>
  </si>
  <si>
    <t>INV01152</t>
  </si>
  <si>
    <t>ORD01153</t>
  </si>
  <si>
    <t>INV01153</t>
  </si>
  <si>
    <t>ORD01154</t>
  </si>
  <si>
    <t>INV01154</t>
  </si>
  <si>
    <t>ORD01155</t>
  </si>
  <si>
    <t>CUST0121</t>
  </si>
  <si>
    <t>INV01155</t>
  </si>
  <si>
    <t>ORD01156</t>
  </si>
  <si>
    <t>INV01156</t>
  </si>
  <si>
    <t>ORD01157</t>
  </si>
  <si>
    <t>INV01157</t>
  </si>
  <si>
    <t>ORD01158</t>
  </si>
  <si>
    <t>INV01158</t>
  </si>
  <si>
    <t>ORD01159</t>
  </si>
  <si>
    <t>INV01159</t>
  </si>
  <si>
    <t>ORD01160</t>
  </si>
  <si>
    <t>INV01160</t>
  </si>
  <si>
    <t>ORD01161</t>
  </si>
  <si>
    <t>INV01161</t>
  </si>
  <si>
    <t>ORD01162</t>
  </si>
  <si>
    <t>CUST0257</t>
  </si>
  <si>
    <t>INV01162</t>
  </si>
  <si>
    <t>ORD01163</t>
  </si>
  <si>
    <t>INV01163</t>
  </si>
  <si>
    <t>ORD01164</t>
  </si>
  <si>
    <t>INV01164</t>
  </si>
  <si>
    <t>ORD01165</t>
  </si>
  <si>
    <t>INV01165</t>
  </si>
  <si>
    <t>ORD01166</t>
  </si>
  <si>
    <t>INV01166</t>
  </si>
  <si>
    <t>ORD01167</t>
  </si>
  <si>
    <t>INV01167</t>
  </si>
  <si>
    <t>ORD01168</t>
  </si>
  <si>
    <t>INV01168</t>
  </si>
  <si>
    <t>ORD01169</t>
  </si>
  <si>
    <t>INV01169</t>
  </si>
  <si>
    <t>ORD01170</t>
  </si>
  <si>
    <t>INV01170</t>
  </si>
  <si>
    <t>ORD01171</t>
  </si>
  <si>
    <t>INV01171</t>
  </si>
  <si>
    <t>ORD01172</t>
  </si>
  <si>
    <t>INV01172</t>
  </si>
  <si>
    <t>ORD01173</t>
  </si>
  <si>
    <t>CUST0148</t>
  </si>
  <si>
    <t>INV01173</t>
  </si>
  <si>
    <t>ORD01174</t>
  </si>
  <si>
    <t>INV01174</t>
  </si>
  <si>
    <t>ORD01175</t>
  </si>
  <si>
    <t>INV01175</t>
  </si>
  <si>
    <t>ORD01176</t>
  </si>
  <si>
    <t>INV01176</t>
  </si>
  <si>
    <t>ORD01177</t>
  </si>
  <si>
    <t>INV01177</t>
  </si>
  <si>
    <t>ORD01178</t>
  </si>
  <si>
    <t>INV01178</t>
  </si>
  <si>
    <t>ORD01179</t>
  </si>
  <si>
    <t>CUST0618</t>
  </si>
  <si>
    <t>INV01179</t>
  </si>
  <si>
    <t>ORD01180</t>
  </si>
  <si>
    <t>PROD201</t>
  </si>
  <si>
    <t>INV01180</t>
  </si>
  <si>
    <t>ORD01181</t>
  </si>
  <si>
    <t>INV01181</t>
  </si>
  <si>
    <t>ORD01182</t>
  </si>
  <si>
    <t>PROD262</t>
  </si>
  <si>
    <t>INV01182</t>
  </si>
  <si>
    <t>ORD01183</t>
  </si>
  <si>
    <t>INV01183</t>
  </si>
  <si>
    <t>ORD01184</t>
  </si>
  <si>
    <t>INV01184</t>
  </si>
  <si>
    <t>ORD01185</t>
  </si>
  <si>
    <t>INV01185</t>
  </si>
  <si>
    <t>ORD01186</t>
  </si>
  <si>
    <t>INV01186</t>
  </si>
  <si>
    <t>ORD01187</t>
  </si>
  <si>
    <t>INV01187</t>
  </si>
  <si>
    <t>ORD01188</t>
  </si>
  <si>
    <t>INV01188</t>
  </si>
  <si>
    <t>ORD01189</t>
  </si>
  <si>
    <t>INV01189</t>
  </si>
  <si>
    <t>ORD01190</t>
  </si>
  <si>
    <t>INV01190</t>
  </si>
  <si>
    <t>ORD01191</t>
  </si>
  <si>
    <t>INV01191</t>
  </si>
  <si>
    <t>ORD01192</t>
  </si>
  <si>
    <t>INV01192</t>
  </si>
  <si>
    <t>ORD01193</t>
  </si>
  <si>
    <t>INV01193</t>
  </si>
  <si>
    <t>ORD01194</t>
  </si>
  <si>
    <t>INV01194</t>
  </si>
  <si>
    <t>ORD01195</t>
  </si>
  <si>
    <t>CUST0482</t>
  </si>
  <si>
    <t>INV01195</t>
  </si>
  <si>
    <t>ORD01196</t>
  </si>
  <si>
    <t>INV01196</t>
  </si>
  <si>
    <t>ORD01197</t>
  </si>
  <si>
    <t>INV01197</t>
  </si>
  <si>
    <t>ORD01198</t>
  </si>
  <si>
    <t>CUST0044</t>
  </si>
  <si>
    <t>INV01198</t>
  </si>
  <si>
    <t>ORD01199</t>
  </si>
  <si>
    <t>INV01199</t>
  </si>
  <si>
    <t>ORD01200</t>
  </si>
  <si>
    <t>INV01200</t>
  </si>
  <si>
    <t>ORD01201</t>
  </si>
  <si>
    <t>CUST0316</t>
  </si>
  <si>
    <t>INV01201</t>
  </si>
  <si>
    <t>ORD01202</t>
  </si>
  <si>
    <t>INV01202</t>
  </si>
  <si>
    <t>ORD01203</t>
  </si>
  <si>
    <t>INV01203</t>
  </si>
  <si>
    <t>ORD01204</t>
  </si>
  <si>
    <t>INV01204</t>
  </si>
  <si>
    <t>ORD01205</t>
  </si>
  <si>
    <t>CUST0278</t>
  </si>
  <si>
    <t>INV01205</t>
  </si>
  <si>
    <t>ORD01206</t>
  </si>
  <si>
    <t>CUST0601</t>
  </si>
  <si>
    <t>INV01206</t>
  </si>
  <si>
    <t>ORD01207</t>
  </si>
  <si>
    <t>INV01207</t>
  </si>
  <si>
    <t>ORD01208</t>
  </si>
  <si>
    <t>INV01208</t>
  </si>
  <si>
    <t>ORD01209</t>
  </si>
  <si>
    <t>INV01209</t>
  </si>
  <si>
    <t>ORD01210</t>
  </si>
  <si>
    <t>INV01210</t>
  </si>
  <si>
    <t>ORD01211</t>
  </si>
  <si>
    <t>CUST0696</t>
  </si>
  <si>
    <t>INV01211</t>
  </si>
  <si>
    <t>ORD01212</t>
  </si>
  <si>
    <t>INV01212</t>
  </si>
  <si>
    <t>ORD01213</t>
  </si>
  <si>
    <t>INV01213</t>
  </si>
  <si>
    <t>ORD01214</t>
  </si>
  <si>
    <t>INV01214</t>
  </si>
  <si>
    <t>ORD01215</t>
  </si>
  <si>
    <t>INV01215</t>
  </si>
  <si>
    <t>ORD01216</t>
  </si>
  <si>
    <t>INV01216</t>
  </si>
  <si>
    <t>ORD01217</t>
  </si>
  <si>
    <t>INV01217</t>
  </si>
  <si>
    <t>ORD01218</t>
  </si>
  <si>
    <t>INV01218</t>
  </si>
  <si>
    <t>ORD01219</t>
  </si>
  <si>
    <t>INV01219</t>
  </si>
  <si>
    <t>ORD01220</t>
  </si>
  <si>
    <t>INV01220</t>
  </si>
  <si>
    <t>ORD01221</t>
  </si>
  <si>
    <t>INV01221</t>
  </si>
  <si>
    <t>ORD01222</t>
  </si>
  <si>
    <t>CUST0659</t>
  </si>
  <si>
    <t>INV01222</t>
  </si>
  <si>
    <t>ORD01223</t>
  </si>
  <si>
    <t>CUST0390</t>
  </si>
  <si>
    <t>INV01223</t>
  </si>
  <si>
    <t>ORD01224</t>
  </si>
  <si>
    <t>INV01224</t>
  </si>
  <si>
    <t>ORD01225</t>
  </si>
  <si>
    <t>INV01225</t>
  </si>
  <si>
    <t>ORD01226</t>
  </si>
  <si>
    <t>INV01226</t>
  </si>
  <si>
    <t>ORD01227</t>
  </si>
  <si>
    <t>INV01227</t>
  </si>
  <si>
    <t>ORD01228</t>
  </si>
  <si>
    <t>INV01228</t>
  </si>
  <si>
    <t>ORD01229</t>
  </si>
  <si>
    <t>INV01229</t>
  </si>
  <si>
    <t>ORD01230</t>
  </si>
  <si>
    <t>INV01230</t>
  </si>
  <si>
    <t>ORD01231</t>
  </si>
  <si>
    <t>CUST0297</t>
  </si>
  <si>
    <t>INV01231</t>
  </si>
  <si>
    <t>ORD01232</t>
  </si>
  <si>
    <t>CUST0697</t>
  </si>
  <si>
    <t>INV01232</t>
  </si>
  <si>
    <t>ORD01233</t>
  </si>
  <si>
    <t>CUST0678</t>
  </si>
  <si>
    <t>INV01233</t>
  </si>
  <si>
    <t>ORD01234</t>
  </si>
  <si>
    <t>CUST0471</t>
  </si>
  <si>
    <t>INV01234</t>
  </si>
  <si>
    <t>ORD01235</t>
  </si>
  <si>
    <t>INV01235</t>
  </si>
  <si>
    <t>ORD01236</t>
  </si>
  <si>
    <t>PROD045</t>
  </si>
  <si>
    <t>INV01236</t>
  </si>
  <si>
    <t>ORD01237</t>
  </si>
  <si>
    <t>INV01237</t>
  </si>
  <si>
    <t>ORD01238</t>
  </si>
  <si>
    <t>INV01238</t>
  </si>
  <si>
    <t>ORD01239</t>
  </si>
  <si>
    <t>CUST0664</t>
  </si>
  <si>
    <t>INV01239</t>
  </si>
  <si>
    <t>ORD01240</t>
  </si>
  <si>
    <t>INV01240</t>
  </si>
  <si>
    <t>ORD01241</t>
  </si>
  <si>
    <t>CUST0741</t>
  </si>
  <si>
    <t>INV01241</t>
  </si>
  <si>
    <t>ORD01242</t>
  </si>
  <si>
    <t>INV01242</t>
  </si>
  <si>
    <t>ORD01243</t>
  </si>
  <si>
    <t>INV01243</t>
  </si>
  <si>
    <t>ORD01244</t>
  </si>
  <si>
    <t>INV01244</t>
  </si>
  <si>
    <t>ORD01245</t>
  </si>
  <si>
    <t>INV01245</t>
  </si>
  <si>
    <t>ORD01246</t>
  </si>
  <si>
    <t>CUST0484</t>
  </si>
  <si>
    <t>INV01246</t>
  </si>
  <si>
    <t>ORD01247</t>
  </si>
  <si>
    <t>INV01247</t>
  </si>
  <si>
    <t>ORD01248</t>
  </si>
  <si>
    <t>INV01248</t>
  </si>
  <si>
    <t>ORD01249</t>
  </si>
  <si>
    <t>INV01249</t>
  </si>
  <si>
    <t>ORD01250</t>
  </si>
  <si>
    <t>CUST0407</t>
  </si>
  <si>
    <t>INV01250</t>
  </si>
  <si>
    <t>ORD01251</t>
  </si>
  <si>
    <t>CUST0394</t>
  </si>
  <si>
    <t>INV01251</t>
  </si>
  <si>
    <t>ORD01252</t>
  </si>
  <si>
    <t>INV01252</t>
  </si>
  <si>
    <t>ORD01253</t>
  </si>
  <si>
    <t>CUST0476</t>
  </si>
  <si>
    <t>INV01253</t>
  </si>
  <si>
    <t>ORD01254</t>
  </si>
  <si>
    <t>INV01254</t>
  </si>
  <si>
    <t>ORD01255</t>
  </si>
  <si>
    <t>CUST0424</t>
  </si>
  <si>
    <t>INV01255</t>
  </si>
  <si>
    <t>ORD01256</t>
  </si>
  <si>
    <t>INV01256</t>
  </si>
  <si>
    <t>ORD01257</t>
  </si>
  <si>
    <t>CUST0190</t>
  </si>
  <si>
    <t>INV01257</t>
  </si>
  <si>
    <t>ORD01258</t>
  </si>
  <si>
    <t>INV01258</t>
  </si>
  <si>
    <t>ORD01259</t>
  </si>
  <si>
    <t>INV01259</t>
  </si>
  <si>
    <t>ORD01260</t>
  </si>
  <si>
    <t>INV01260</t>
  </si>
  <si>
    <t>ORD01261</t>
  </si>
  <si>
    <t>CUST0730</t>
  </si>
  <si>
    <t>INV01261</t>
  </si>
  <si>
    <t>ORD01262</t>
  </si>
  <si>
    <t>INV01262</t>
  </si>
  <si>
    <t>ORD01263</t>
  </si>
  <si>
    <t>INV01263</t>
  </si>
  <si>
    <t>ORD01264</t>
  </si>
  <si>
    <t>INV01264</t>
  </si>
  <si>
    <t>ORD01265</t>
  </si>
  <si>
    <t>INV01265</t>
  </si>
  <si>
    <t>ORD01266</t>
  </si>
  <si>
    <t>INV01266</t>
  </si>
  <si>
    <t>ORD01267</t>
  </si>
  <si>
    <t>INV01267</t>
  </si>
  <si>
    <t>ORD01268</t>
  </si>
  <si>
    <t>CUST0430</t>
  </si>
  <si>
    <t>INV01268</t>
  </si>
  <si>
    <t>ORD01269</t>
  </si>
  <si>
    <t>CUST0563</t>
  </si>
  <si>
    <t>INV01269</t>
  </si>
  <si>
    <t>ORD01270</t>
  </si>
  <si>
    <t>INV01270</t>
  </si>
  <si>
    <t>ORD01271</t>
  </si>
  <si>
    <t>INV01271</t>
  </si>
  <si>
    <t>ORD01272</t>
  </si>
  <si>
    <t>CUST0089</t>
  </si>
  <si>
    <t>INV01272</t>
  </si>
  <si>
    <t>ORD01273</t>
  </si>
  <si>
    <t>INV01273</t>
  </si>
  <si>
    <t>ORD01274</t>
  </si>
  <si>
    <t>INV01274</t>
  </si>
  <si>
    <t>ORD01275</t>
  </si>
  <si>
    <t>CUST0081</t>
  </si>
  <si>
    <t>INV01275</t>
  </si>
  <si>
    <t>ORD01276</t>
  </si>
  <si>
    <t>PROD222</t>
  </si>
  <si>
    <t>INV01276</t>
  </si>
  <si>
    <t>ORD01277</t>
  </si>
  <si>
    <t>CUST0504</t>
  </si>
  <si>
    <t>INV01277</t>
  </si>
  <si>
    <t>ORD01278</t>
  </si>
  <si>
    <t>INV01278</t>
  </si>
  <si>
    <t>ORD01279</t>
  </si>
  <si>
    <t>CUST0212</t>
  </si>
  <si>
    <t>INV01279</t>
  </si>
  <si>
    <t>ORD01280</t>
  </si>
  <si>
    <t>INV01280</t>
  </si>
  <si>
    <t>ORD01281</t>
  </si>
  <si>
    <t>CUST0639</t>
  </si>
  <si>
    <t>INV01281</t>
  </si>
  <si>
    <t>ORD01282</t>
  </si>
  <si>
    <t>INV01282</t>
  </si>
  <si>
    <t>ORD01283</t>
  </si>
  <si>
    <t>INV01283</t>
  </si>
  <si>
    <t>ORD01284</t>
  </si>
  <si>
    <t>INV01284</t>
  </si>
  <si>
    <t>ORD01285</t>
  </si>
  <si>
    <t>CUST0079</t>
  </si>
  <si>
    <t>INV01285</t>
  </si>
  <si>
    <t>ORD01286</t>
  </si>
  <si>
    <t>INV01286</t>
  </si>
  <si>
    <t>ORD01287</t>
  </si>
  <si>
    <t>INV01287</t>
  </si>
  <si>
    <t>ORD01288</t>
  </si>
  <si>
    <t>CUST0137</t>
  </si>
  <si>
    <t>INV01288</t>
  </si>
  <si>
    <t>ORD01289</t>
  </si>
  <si>
    <t>INV01289</t>
  </si>
  <si>
    <t>ORD01290</t>
  </si>
  <si>
    <t>INV01290</t>
  </si>
  <si>
    <t>ORD01291</t>
  </si>
  <si>
    <t>INV01291</t>
  </si>
  <si>
    <t>ORD01292</t>
  </si>
  <si>
    <t>INV01292</t>
  </si>
  <si>
    <t>ORD01293</t>
  </si>
  <si>
    <t>CUST0793</t>
  </si>
  <si>
    <t>INV01293</t>
  </si>
  <si>
    <t>ORD01294</t>
  </si>
  <si>
    <t>INV01294</t>
  </si>
  <si>
    <t>ORD01295</t>
  </si>
  <si>
    <t>INV01295</t>
  </si>
  <si>
    <t>ORD01296</t>
  </si>
  <si>
    <t>INV01296</t>
  </si>
  <si>
    <t>ORD01297</t>
  </si>
  <si>
    <t>INV01297</t>
  </si>
  <si>
    <t>ORD01298</t>
  </si>
  <si>
    <t>INV01298</t>
  </si>
  <si>
    <t>ORD01299</t>
  </si>
  <si>
    <t>INV01299</t>
  </si>
  <si>
    <t>ORD01300</t>
  </si>
  <si>
    <t>INV01300</t>
  </si>
  <si>
    <t>ORD01301</t>
  </si>
  <si>
    <t>INV01301</t>
  </si>
  <si>
    <t>ORD01302</t>
  </si>
  <si>
    <t>INV01302</t>
  </si>
  <si>
    <t>ORD01303</t>
  </si>
  <si>
    <t>INV01303</t>
  </si>
  <si>
    <t>ORD01304</t>
  </si>
  <si>
    <t>CUST0667</t>
  </si>
  <si>
    <t>INV01304</t>
  </si>
  <si>
    <t>ORD01305</t>
  </si>
  <si>
    <t>INV01305</t>
  </si>
  <si>
    <t>ORD01306</t>
  </si>
  <si>
    <t>INV01306</t>
  </si>
  <si>
    <t>ORD01307</t>
  </si>
  <si>
    <t>INV01307</t>
  </si>
  <si>
    <t>ORD01308</t>
  </si>
  <si>
    <t>INV01308</t>
  </si>
  <si>
    <t>ORD01309</t>
  </si>
  <si>
    <t>INV01309</t>
  </si>
  <si>
    <t>ORD01310</t>
  </si>
  <si>
    <t>CUST0686</t>
  </si>
  <si>
    <t>INV01310</t>
  </si>
  <si>
    <t>ORD01311</t>
  </si>
  <si>
    <t>INV01311</t>
  </si>
  <si>
    <t>ORD01312</t>
  </si>
  <si>
    <t>INV01312</t>
  </si>
  <si>
    <t>ORD01313</t>
  </si>
  <si>
    <t>CUST0177</t>
  </si>
  <si>
    <t>INV01313</t>
  </si>
  <si>
    <t>ORD01314</t>
  </si>
  <si>
    <t>INV01314</t>
  </si>
  <si>
    <t>ORD01315</t>
  </si>
  <si>
    <t>INV01315</t>
  </si>
  <si>
    <t>ORD01316</t>
  </si>
  <si>
    <t>INV01316</t>
  </si>
  <si>
    <t>ORD01317</t>
  </si>
  <si>
    <t>INV01317</t>
  </si>
  <si>
    <t>ORD01318</t>
  </si>
  <si>
    <t>INV01318</t>
  </si>
  <si>
    <t>ORD01319</t>
  </si>
  <si>
    <t>INV01319</t>
  </si>
  <si>
    <t>ORD01320</t>
  </si>
  <si>
    <t>INV01320</t>
  </si>
  <si>
    <t>ORD01321</t>
  </si>
  <si>
    <t>INV01321</t>
  </si>
  <si>
    <t>ORD01322</t>
  </si>
  <si>
    <t>INV01322</t>
  </si>
  <si>
    <t>ORD01323</t>
  </si>
  <si>
    <t>CUST0587</t>
  </si>
  <si>
    <t>INV01323</t>
  </si>
  <si>
    <t>ORD01324</t>
  </si>
  <si>
    <t>CUST0327</t>
  </si>
  <si>
    <t>INV01324</t>
  </si>
  <si>
    <t>ORD01325</t>
  </si>
  <si>
    <t>INV01325</t>
  </si>
  <si>
    <t>ORD01326</t>
  </si>
  <si>
    <t>INV01326</t>
  </si>
  <si>
    <t>ORD01327</t>
  </si>
  <si>
    <t>INV01327</t>
  </si>
  <si>
    <t>ORD01328</t>
  </si>
  <si>
    <t>INV01328</t>
  </si>
  <si>
    <t>ORD01329</t>
  </si>
  <si>
    <t>INV01329</t>
  </si>
  <si>
    <t>ORD01330</t>
  </si>
  <si>
    <t>CUST0419</t>
  </si>
  <si>
    <t>INV01330</t>
  </si>
  <si>
    <t>ORD01331</t>
  </si>
  <si>
    <t>INV01331</t>
  </si>
  <si>
    <t>ORD01332</t>
  </si>
  <si>
    <t>CUST0548</t>
  </si>
  <si>
    <t>INV01332</t>
  </si>
  <si>
    <t>ORD01333</t>
  </si>
  <si>
    <t>INV01333</t>
  </si>
  <si>
    <t>ORD01334</t>
  </si>
  <si>
    <t>INV01334</t>
  </si>
  <si>
    <t>ORD01335</t>
  </si>
  <si>
    <t>INV01335</t>
  </si>
  <si>
    <t>ORD01336</t>
  </si>
  <si>
    <t>INV01336</t>
  </si>
  <si>
    <t>ORD01337</t>
  </si>
  <si>
    <t>INV01337</t>
  </si>
  <si>
    <t>ORD01338</t>
  </si>
  <si>
    <t>INV01338</t>
  </si>
  <si>
    <t>ORD01339</t>
  </si>
  <si>
    <t>INV01339</t>
  </si>
  <si>
    <t>ORD01340</t>
  </si>
  <si>
    <t>INV01340</t>
  </si>
  <si>
    <t>ORD01341</t>
  </si>
  <si>
    <t>INV01341</t>
  </si>
  <si>
    <t>ORD01342</t>
  </si>
  <si>
    <t>PROD250</t>
  </si>
  <si>
    <t>INV01342</t>
  </si>
  <si>
    <t>ORD01343</t>
  </si>
  <si>
    <t>INV01343</t>
  </si>
  <si>
    <t>ORD01344</t>
  </si>
  <si>
    <t>CUST0739</t>
  </si>
  <si>
    <t>INV01344</t>
  </si>
  <si>
    <t>ORD01345</t>
  </si>
  <si>
    <t>INV01345</t>
  </si>
  <si>
    <t>ORD01346</t>
  </si>
  <si>
    <t>INV01346</t>
  </si>
  <si>
    <t>ORD01347</t>
  </si>
  <si>
    <t>CUST0346</t>
  </si>
  <si>
    <t>INV01347</t>
  </si>
  <si>
    <t>ORD01348</t>
  </si>
  <si>
    <t>INV01348</t>
  </si>
  <si>
    <t>ORD01349</t>
  </si>
  <si>
    <t>INV01349</t>
  </si>
  <si>
    <t>ORD01350</t>
  </si>
  <si>
    <t>INV01350</t>
  </si>
  <si>
    <t>ORD01351</t>
  </si>
  <si>
    <t>INV01351</t>
  </si>
  <si>
    <t>ORD01352</t>
  </si>
  <si>
    <t>INV01352</t>
  </si>
  <si>
    <t>ORD01353</t>
  </si>
  <si>
    <t>INV01353</t>
  </si>
  <si>
    <t>ORD01354</t>
  </si>
  <si>
    <t>CUST0736</t>
  </si>
  <si>
    <t>INV01354</t>
  </si>
  <si>
    <t>ORD01355</t>
  </si>
  <si>
    <t>CUST0588</t>
  </si>
  <si>
    <t>INV01355</t>
  </si>
  <si>
    <t>ORD01356</t>
  </si>
  <si>
    <t>INV01356</t>
  </si>
  <si>
    <t>ORD01357</t>
  </si>
  <si>
    <t>CUST0015</t>
  </si>
  <si>
    <t>INV01357</t>
  </si>
  <si>
    <t>ORD01358</t>
  </si>
  <si>
    <t>INV01358</t>
  </si>
  <si>
    <t>ORD01359</t>
  </si>
  <si>
    <t>INV01359</t>
  </si>
  <si>
    <t>ORD01360</t>
  </si>
  <si>
    <t>INV01360</t>
  </si>
  <si>
    <t>ORD01361</t>
  </si>
  <si>
    <t>INV01361</t>
  </si>
  <si>
    <t>ORD01362</t>
  </si>
  <si>
    <t>INV01362</t>
  </si>
  <si>
    <t>ORD01363</t>
  </si>
  <si>
    <t>INV01363</t>
  </si>
  <si>
    <t>ORD01364</t>
  </si>
  <si>
    <t>CUST0715</t>
  </si>
  <si>
    <t>INV01364</t>
  </si>
  <si>
    <t>ORD01365</t>
  </si>
  <si>
    <t>INV01365</t>
  </si>
  <si>
    <t>ORD01366</t>
  </si>
  <si>
    <t>INV01366</t>
  </si>
  <si>
    <t>ORD01367</t>
  </si>
  <si>
    <t>INV01367</t>
  </si>
  <si>
    <t>ORD01368</t>
  </si>
  <si>
    <t>INV01368</t>
  </si>
  <si>
    <t>ORD01369</t>
  </si>
  <si>
    <t>INV01369</t>
  </si>
  <si>
    <t>ORD01370</t>
  </si>
  <si>
    <t>CUST0260</t>
  </si>
  <si>
    <t>INV01370</t>
  </si>
  <si>
    <t>ORD01371</t>
  </si>
  <si>
    <t>INV01371</t>
  </si>
  <si>
    <t>ORD01372</t>
  </si>
  <si>
    <t>CUST0673</t>
  </si>
  <si>
    <t>INV01372</t>
  </si>
  <si>
    <t>ORD01373</t>
  </si>
  <si>
    <t>INV01373</t>
  </si>
  <si>
    <t>ORD01374</t>
  </si>
  <si>
    <t>INV01374</t>
  </si>
  <si>
    <t>ORD01375</t>
  </si>
  <si>
    <t>INV01375</t>
  </si>
  <si>
    <t>ORD01376</t>
  </si>
  <si>
    <t>INV01376</t>
  </si>
  <si>
    <t>ORD01377</t>
  </si>
  <si>
    <t>INV01377</t>
  </si>
  <si>
    <t>ORD01378</t>
  </si>
  <si>
    <t>INV01378</t>
  </si>
  <si>
    <t>ORD01379</t>
  </si>
  <si>
    <t>INV01379</t>
  </si>
  <si>
    <t>ORD01380</t>
  </si>
  <si>
    <t>INV01380</t>
  </si>
  <si>
    <t>ORD01381</t>
  </si>
  <si>
    <t>INV01381</t>
  </si>
  <si>
    <t>ORD01382</t>
  </si>
  <si>
    <t>INV01382</t>
  </si>
  <si>
    <t>ORD01383</t>
  </si>
  <si>
    <t>INV01383</t>
  </si>
  <si>
    <t>ORD01384</t>
  </si>
  <si>
    <t>INV01384</t>
  </si>
  <si>
    <t>ORD01385</t>
  </si>
  <si>
    <t>INV01385</t>
  </si>
  <si>
    <t>ORD01386</t>
  </si>
  <si>
    <t>INV01386</t>
  </si>
  <si>
    <t>ORD01387</t>
  </si>
  <si>
    <t>INV01387</t>
  </si>
  <si>
    <t>ORD01388</t>
  </si>
  <si>
    <t>INV01388</t>
  </si>
  <si>
    <t>ORD01389</t>
  </si>
  <si>
    <t>INV01389</t>
  </si>
  <si>
    <t>ORD01390</t>
  </si>
  <si>
    <t>CUST0774</t>
  </si>
  <si>
    <t>INV01390</t>
  </si>
  <si>
    <t>ORD01391</t>
  </si>
  <si>
    <t>CUST0043</t>
  </si>
  <si>
    <t>INV01391</t>
  </si>
  <si>
    <t>ORD01392</t>
  </si>
  <si>
    <t>INV01392</t>
  </si>
  <si>
    <t>ORD01393</t>
  </si>
  <si>
    <t>INV01393</t>
  </si>
  <si>
    <t>ORD01394</t>
  </si>
  <si>
    <t>CUST0443</t>
  </si>
  <si>
    <t>INV01394</t>
  </si>
  <si>
    <t>ORD01395</t>
  </si>
  <si>
    <t>INV01395</t>
  </si>
  <si>
    <t>ORD01396</t>
  </si>
  <si>
    <t>INV01396</t>
  </si>
  <si>
    <t>ORD01397</t>
  </si>
  <si>
    <t>INV01397</t>
  </si>
  <si>
    <t>ORD01398</t>
  </si>
  <si>
    <t>INV01398</t>
  </si>
  <si>
    <t>ORD01399</t>
  </si>
  <si>
    <t>INV01399</t>
  </si>
  <si>
    <t>ORD01400</t>
  </si>
  <si>
    <t>INV01400</t>
  </si>
  <si>
    <t>ORD01401</t>
  </si>
  <si>
    <t>CUST0294</t>
  </si>
  <si>
    <t>INV01401</t>
  </si>
  <si>
    <t>ORD01402</t>
  </si>
  <si>
    <t>CUST0763</t>
  </si>
  <si>
    <t>INV01402</t>
  </si>
  <si>
    <t>ORD01403</t>
  </si>
  <si>
    <t>INV01403</t>
  </si>
  <si>
    <t>ORD01404</t>
  </si>
  <si>
    <t>INV01404</t>
  </si>
  <si>
    <t>ORD01405</t>
  </si>
  <si>
    <t>INV01405</t>
  </si>
  <si>
    <t>ORD01406</t>
  </si>
  <si>
    <t>CUST0576</t>
  </si>
  <si>
    <t>INV01406</t>
  </si>
  <si>
    <t>ORD01407</t>
  </si>
  <si>
    <t>INV01407</t>
  </si>
  <si>
    <t>ORD01408</t>
  </si>
  <si>
    <t>INV01408</t>
  </si>
  <si>
    <t>ORD01409</t>
  </si>
  <si>
    <t>INV01409</t>
  </si>
  <si>
    <t>ORD01410</t>
  </si>
  <si>
    <t>INV01410</t>
  </si>
  <si>
    <t>ORD01411</t>
  </si>
  <si>
    <t>CUST0719</t>
  </si>
  <si>
    <t>INV01411</t>
  </si>
  <si>
    <t>ORD01412</t>
  </si>
  <si>
    <t>INV01412</t>
  </si>
  <si>
    <t>ORD01413</t>
  </si>
  <si>
    <t>INV01413</t>
  </si>
  <si>
    <t>ORD01414</t>
  </si>
  <si>
    <t>INV01414</t>
  </si>
  <si>
    <t>ORD01415</t>
  </si>
  <si>
    <t>INV01415</t>
  </si>
  <si>
    <t>ORD01416</t>
  </si>
  <si>
    <t>INV01416</t>
  </si>
  <si>
    <t>ORD01417</t>
  </si>
  <si>
    <t>INV01417</t>
  </si>
  <si>
    <t>ORD01418</t>
  </si>
  <si>
    <t>INV01418</t>
  </si>
  <si>
    <t>ORD01419</t>
  </si>
  <si>
    <t>CUST0434</t>
  </si>
  <si>
    <t>INV01419</t>
  </si>
  <si>
    <t>ORD01420</t>
  </si>
  <si>
    <t>INV01420</t>
  </si>
  <si>
    <t>ORD01421</t>
  </si>
  <si>
    <t>INV01421</t>
  </si>
  <si>
    <t>ORD01422</t>
  </si>
  <si>
    <t>INV01422</t>
  </si>
  <si>
    <t>ORD01423</t>
  </si>
  <si>
    <t>CUST0194</t>
  </si>
  <si>
    <t>INV01423</t>
  </si>
  <si>
    <t>ORD01424</t>
  </si>
  <si>
    <t>INV01424</t>
  </si>
  <si>
    <t>ORD01425</t>
  </si>
  <si>
    <t>PROD207</t>
  </si>
  <si>
    <t>INV01425</t>
  </si>
  <si>
    <t>ORD01426</t>
  </si>
  <si>
    <t>INV01426</t>
  </si>
  <si>
    <t>ORD01427</t>
  </si>
  <si>
    <t>INV01427</t>
  </si>
  <si>
    <t>ORD01428</t>
  </si>
  <si>
    <t>INV01428</t>
  </si>
  <si>
    <t>ORD01429</t>
  </si>
  <si>
    <t>INV01429</t>
  </si>
  <si>
    <t>ORD01430</t>
  </si>
  <si>
    <t>INV01430</t>
  </si>
  <si>
    <t>ORD01431</t>
  </si>
  <si>
    <t>INV01431</t>
  </si>
  <si>
    <t>ORD01432</t>
  </si>
  <si>
    <t>INV01432</t>
  </si>
  <si>
    <t>ORD01433</t>
  </si>
  <si>
    <t>INV01433</t>
  </si>
  <si>
    <t>ORD01434</t>
  </si>
  <si>
    <t>INV01434</t>
  </si>
  <si>
    <t>ORD01435</t>
  </si>
  <si>
    <t>INV01435</t>
  </si>
  <si>
    <t>ORD01436</t>
  </si>
  <si>
    <t>INV01436</t>
  </si>
  <si>
    <t>ORD01437</t>
  </si>
  <si>
    <t>CUST0571</t>
  </si>
  <si>
    <t>INV01437</t>
  </si>
  <si>
    <t>ORD01438</t>
  </si>
  <si>
    <t>INV01438</t>
  </si>
  <si>
    <t>ORD01439</t>
  </si>
  <si>
    <t>INV01439</t>
  </si>
  <si>
    <t>ORD01440</t>
  </si>
  <si>
    <t>CUST0144</t>
  </si>
  <si>
    <t>INV01440</t>
  </si>
  <si>
    <t>ORD01441</t>
  </si>
  <si>
    <t>INV01441</t>
  </si>
  <si>
    <t>ORD01442</t>
  </si>
  <si>
    <t>INV01442</t>
  </si>
  <si>
    <t>ORD01443</t>
  </si>
  <si>
    <t>CUST0243</t>
  </si>
  <si>
    <t>INV01443</t>
  </si>
  <si>
    <t>ORD01444</t>
  </si>
  <si>
    <t>CUST0541</t>
  </si>
  <si>
    <t>INV01444</t>
  </si>
  <si>
    <t>ORD01445</t>
  </si>
  <si>
    <t>INV01445</t>
  </si>
  <si>
    <t>ORD01446</t>
  </si>
  <si>
    <t>INV01446</t>
  </si>
  <si>
    <t>ORD01447</t>
  </si>
  <si>
    <t>INV01447</t>
  </si>
  <si>
    <t>ORD01448</t>
  </si>
  <si>
    <t>INV01448</t>
  </si>
  <si>
    <t>ORD01449</t>
  </si>
  <si>
    <t>INV01449</t>
  </si>
  <si>
    <t>ORD01450</t>
  </si>
  <si>
    <t>INV01450</t>
  </si>
  <si>
    <t>ORD01451</t>
  </si>
  <si>
    <t>INV01451</t>
  </si>
  <si>
    <t>ORD01452</t>
  </si>
  <si>
    <t>INV01452</t>
  </si>
  <si>
    <t>ORD01453</t>
  </si>
  <si>
    <t>CUST0173</t>
  </si>
  <si>
    <t>INV01453</t>
  </si>
  <si>
    <t>ORD01454</t>
  </si>
  <si>
    <t>INV01454</t>
  </si>
  <si>
    <t>ORD01455</t>
  </si>
  <si>
    <t>INV01455</t>
  </si>
  <si>
    <t>ORD01456</t>
  </si>
  <si>
    <t>INV01456</t>
  </si>
  <si>
    <t>ORD01457</t>
  </si>
  <si>
    <t>INV01457</t>
  </si>
  <si>
    <t>ORD01458</t>
  </si>
  <si>
    <t>INV01458</t>
  </si>
  <si>
    <t>ORD01459</t>
  </si>
  <si>
    <t>INV01459</t>
  </si>
  <si>
    <t>ORD01460</t>
  </si>
  <si>
    <t>INV01460</t>
  </si>
  <si>
    <t>ORD01461</t>
  </si>
  <si>
    <t>INV01461</t>
  </si>
  <si>
    <t>ORD01462</t>
  </si>
  <si>
    <t>INV01462</t>
  </si>
  <si>
    <t>ORD01463</t>
  </si>
  <si>
    <t>INV01463</t>
  </si>
  <si>
    <t>ORD01464</t>
  </si>
  <si>
    <t>INV01464</t>
  </si>
  <si>
    <t>ORD01465</t>
  </si>
  <si>
    <t>CUST0520</t>
  </si>
  <si>
    <t>INV01465</t>
  </si>
  <si>
    <t>ORD01466</t>
  </si>
  <si>
    <t>INV01466</t>
  </si>
  <si>
    <t>ORD01467</t>
  </si>
  <si>
    <t>INV01467</t>
  </si>
  <si>
    <t>ORD01468</t>
  </si>
  <si>
    <t>INV01468</t>
  </si>
  <si>
    <t>ORD01469</t>
  </si>
  <si>
    <t>INV01469</t>
  </si>
  <si>
    <t>ORD01470</t>
  </si>
  <si>
    <t>INV01470</t>
  </si>
  <si>
    <t>ORD01471</t>
  </si>
  <si>
    <t>CUST0756</t>
  </si>
  <si>
    <t>INV01471</t>
  </si>
  <si>
    <t>ORD01472</t>
  </si>
  <si>
    <t>INV01472</t>
  </si>
  <si>
    <t>ORD01473</t>
  </si>
  <si>
    <t>INV01473</t>
  </si>
  <si>
    <t>ORD01474</t>
  </si>
  <si>
    <t>CUST0024</t>
  </si>
  <si>
    <t>INV01474</t>
  </si>
  <si>
    <t>ORD01475</t>
  </si>
  <si>
    <t>INV01475</t>
  </si>
  <si>
    <t>ORD01476</t>
  </si>
  <si>
    <t>INV01476</t>
  </si>
  <si>
    <t>ORD01477</t>
  </si>
  <si>
    <t>INV01477</t>
  </si>
  <si>
    <t>ORD01478</t>
  </si>
  <si>
    <t>INV01478</t>
  </si>
  <si>
    <t>ORD01479</t>
  </si>
  <si>
    <t>INV01479</t>
  </si>
  <si>
    <t>ORD01480</t>
  </si>
  <si>
    <t>INV01480</t>
  </si>
  <si>
    <t>ORD01481</t>
  </si>
  <si>
    <t>INV01481</t>
  </si>
  <si>
    <t>ORD01482</t>
  </si>
  <si>
    <t>INV01482</t>
  </si>
  <si>
    <t>ORD01483</t>
  </si>
  <si>
    <t>INV01483</t>
  </si>
  <si>
    <t>ORD01484</t>
  </si>
  <si>
    <t>INV01484</t>
  </si>
  <si>
    <t>ORD01485</t>
  </si>
  <si>
    <t>INV01485</t>
  </si>
  <si>
    <t>ORD01486</t>
  </si>
  <si>
    <t>INV01486</t>
  </si>
  <si>
    <t>ORD01487</t>
  </si>
  <si>
    <t>INV01487</t>
  </si>
  <si>
    <t>ORD01488</t>
  </si>
  <si>
    <t>CUST0220</t>
  </si>
  <si>
    <t>INV01488</t>
  </si>
  <si>
    <t>ORD01489</t>
  </si>
  <si>
    <t>INV01489</t>
  </si>
  <si>
    <t>ORD01490</t>
  </si>
  <si>
    <t>INV01490</t>
  </si>
  <si>
    <t>ORD01491</t>
  </si>
  <si>
    <t>CUST0216</t>
  </si>
  <si>
    <t>INV01491</t>
  </si>
  <si>
    <t>ORD01492</t>
  </si>
  <si>
    <t>CUST0029</t>
  </si>
  <si>
    <t>INV01492</t>
  </si>
  <si>
    <t>ORD01493</t>
  </si>
  <si>
    <t>INV01493</t>
  </si>
  <si>
    <t>ORD01494</t>
  </si>
  <si>
    <t>INV01494</t>
  </si>
  <si>
    <t>ORD01495</t>
  </si>
  <si>
    <t>INV01495</t>
  </si>
  <si>
    <t>ORD01496</t>
  </si>
  <si>
    <t>INV01496</t>
  </si>
  <si>
    <t>ORD01497</t>
  </si>
  <si>
    <t>CUST0644</t>
  </si>
  <si>
    <t>INV01497</t>
  </si>
  <si>
    <t>ORD01498</t>
  </si>
  <si>
    <t>INV01498</t>
  </si>
  <si>
    <t>ORD01499</t>
  </si>
  <si>
    <t>INV01499</t>
  </si>
  <si>
    <t>ORD01500</t>
  </si>
  <si>
    <t>CUST0315</t>
  </si>
  <si>
    <t>INV01500</t>
  </si>
  <si>
    <t>ORD01501</t>
  </si>
  <si>
    <t>INV01501</t>
  </si>
  <si>
    <t>ORD01502</t>
  </si>
  <si>
    <t>INV01502</t>
  </si>
  <si>
    <t>ORD01503</t>
  </si>
  <si>
    <t>CUST0734</t>
  </si>
  <si>
    <t>INV01503</t>
  </si>
  <si>
    <t>ORD01504</t>
  </si>
  <si>
    <t>INV01504</t>
  </si>
  <si>
    <t>ORD01505</t>
  </si>
  <si>
    <t>CUST0486</t>
  </si>
  <si>
    <t>INV01505</t>
  </si>
  <si>
    <t>ORD01506</t>
  </si>
  <si>
    <t>INV01506</t>
  </si>
  <si>
    <t>ORD01507</t>
  </si>
  <si>
    <t>INV01507</t>
  </si>
  <si>
    <t>ORD01508</t>
  </si>
  <si>
    <t>INV01508</t>
  </si>
  <si>
    <t>ORD01509</t>
  </si>
  <si>
    <t>INV01509</t>
  </si>
  <si>
    <t>ORD01510</t>
  </si>
  <si>
    <t>INV01510</t>
  </si>
  <si>
    <t>ORD01511</t>
  </si>
  <si>
    <t>INV01511</t>
  </si>
  <si>
    <t>ORD01512</t>
  </si>
  <si>
    <t>INV01512</t>
  </si>
  <si>
    <t>ORD01513</t>
  </si>
  <si>
    <t>INV01513</t>
  </si>
  <si>
    <t>ORD01514</t>
  </si>
  <si>
    <t>INV01514</t>
  </si>
  <si>
    <t>ORD01515</t>
  </si>
  <si>
    <t>INV01515</t>
  </si>
  <si>
    <t>ORD01516</t>
  </si>
  <si>
    <t>INV01516</t>
  </si>
  <si>
    <t>ORD01517</t>
  </si>
  <si>
    <t>INV01517</t>
  </si>
  <si>
    <t>ORD01518</t>
  </si>
  <si>
    <t>INV01518</t>
  </si>
  <si>
    <t>ORD01519</t>
  </si>
  <si>
    <t>CUST0725</t>
  </si>
  <si>
    <t>INV01519</t>
  </si>
  <si>
    <t>ORD01520</t>
  </si>
  <si>
    <t>INV01520</t>
  </si>
  <si>
    <t>ORD01521</t>
  </si>
  <si>
    <t>INV01521</t>
  </si>
  <si>
    <t>ORD01522</t>
  </si>
  <si>
    <t>INV01522</t>
  </si>
  <si>
    <t>ORD01523</t>
  </si>
  <si>
    <t>CUST0695</t>
  </si>
  <si>
    <t>INV01523</t>
  </si>
  <si>
    <t>ORD01524</t>
  </si>
  <si>
    <t>INV01524</t>
  </si>
  <si>
    <t>ORD01525</t>
  </si>
  <si>
    <t>INV01525</t>
  </si>
  <si>
    <t>ORD01526</t>
  </si>
  <si>
    <t>INV01526</t>
  </si>
  <si>
    <t>ORD01527</t>
  </si>
  <si>
    <t>INV01527</t>
  </si>
  <si>
    <t>ORD01528</t>
  </si>
  <si>
    <t>INV01528</t>
  </si>
  <si>
    <t>ORD01529</t>
  </si>
  <si>
    <t>INV01529</t>
  </si>
  <si>
    <t>ORD01530</t>
  </si>
  <si>
    <t>INV01530</t>
  </si>
  <si>
    <t>ORD01531</t>
  </si>
  <si>
    <t>INV01531</t>
  </si>
  <si>
    <t>ORD01532</t>
  </si>
  <si>
    <t>INV01532</t>
  </si>
  <si>
    <t>ORD01533</t>
  </si>
  <si>
    <t>INV01533</t>
  </si>
  <si>
    <t>ORD01534</t>
  </si>
  <si>
    <t>INV01534</t>
  </si>
  <si>
    <t>ORD01535</t>
  </si>
  <si>
    <t>CUST0726</t>
  </si>
  <si>
    <t>INV01535</t>
  </si>
  <si>
    <t>ORD01536</t>
  </si>
  <si>
    <t>CUST0167</t>
  </si>
  <si>
    <t>INV01536</t>
  </si>
  <si>
    <t>ORD01537</t>
  </si>
  <si>
    <t>CUST0429</t>
  </si>
  <si>
    <t>INV01537</t>
  </si>
  <si>
    <t>ORD01538</t>
  </si>
  <si>
    <t>INV01538</t>
  </si>
  <si>
    <t>ORD01539</t>
  </si>
  <si>
    <t>CUST0134</t>
  </si>
  <si>
    <t>INV01539</t>
  </si>
  <si>
    <t>ORD01540</t>
  </si>
  <si>
    <t>INV01540</t>
  </si>
  <si>
    <t>ORD01541</t>
  </si>
  <si>
    <t>INV01541</t>
  </si>
  <si>
    <t>ORD01542</t>
  </si>
  <si>
    <t>INV01542</t>
  </si>
  <si>
    <t>ORD01543</t>
  </si>
  <si>
    <t>CUST0408</t>
  </si>
  <si>
    <t>INV01543</t>
  </si>
  <si>
    <t>ORD01544</t>
  </si>
  <si>
    <t>INV01544</t>
  </si>
  <si>
    <t>ORD01545</t>
  </si>
  <si>
    <t>INV01545</t>
  </si>
  <si>
    <t>ORD01546</t>
  </si>
  <si>
    <t>INV01546</t>
  </si>
  <si>
    <t>ORD01547</t>
  </si>
  <si>
    <t>INV01547</t>
  </si>
  <si>
    <t>ORD01548</t>
  </si>
  <si>
    <t>INV01548</t>
  </si>
  <si>
    <t>ORD01549</t>
  </si>
  <si>
    <t>INV01549</t>
  </si>
  <si>
    <t>ORD01550</t>
  </si>
  <si>
    <t>INV01550</t>
  </si>
  <si>
    <t>ORD01551</t>
  </si>
  <si>
    <t>INV01551</t>
  </si>
  <si>
    <t>ORD01552</t>
  </si>
  <si>
    <t>CUST0489</t>
  </si>
  <si>
    <t>INV01552</t>
  </si>
  <si>
    <t>ORD01553</t>
  </si>
  <si>
    <t>INV01553</t>
  </si>
  <si>
    <t>ORD01554</t>
  </si>
  <si>
    <t>INV01554</t>
  </si>
  <si>
    <t>ORD01555</t>
  </si>
  <si>
    <t>INV01555</t>
  </si>
  <si>
    <t>ORD01556</t>
  </si>
  <si>
    <t>INV01556</t>
  </si>
  <si>
    <t>ORD01557</t>
  </si>
  <si>
    <t>INV01557</t>
  </si>
  <si>
    <t>ORD01558</t>
  </si>
  <si>
    <t>INV01558</t>
  </si>
  <si>
    <t>ORD01559</t>
  </si>
  <si>
    <t>INV01559</t>
  </si>
  <si>
    <t>ORD01560</t>
  </si>
  <si>
    <t>INV01560</t>
  </si>
  <si>
    <t>ORD01561</t>
  </si>
  <si>
    <t>INV01561</t>
  </si>
  <si>
    <t>ORD01562</t>
  </si>
  <si>
    <t>INV01562</t>
  </si>
  <si>
    <t>ORD01563</t>
  </si>
  <si>
    <t>INV01563</t>
  </si>
  <si>
    <t>ORD01564</t>
  </si>
  <si>
    <t>CUST0347</t>
  </si>
  <si>
    <t>INV01564</t>
  </si>
  <si>
    <t>ORD01565</t>
  </si>
  <si>
    <t>INV01565</t>
  </si>
  <si>
    <t>ORD01566</t>
  </si>
  <si>
    <t>INV01566</t>
  </si>
  <si>
    <t>ORD01567</t>
  </si>
  <si>
    <t>INV01567</t>
  </si>
  <si>
    <t>ORD01568</t>
  </si>
  <si>
    <t>CUST0544</t>
  </si>
  <si>
    <t>INV01568</t>
  </si>
  <si>
    <t>ORD01569</t>
  </si>
  <si>
    <t>INV01569</t>
  </si>
  <si>
    <t>ORD01570</t>
  </si>
  <si>
    <t>INV01570</t>
  </si>
  <si>
    <t>ORD01571</t>
  </si>
  <si>
    <t>INV01571</t>
  </si>
  <si>
    <t>ORD01572</t>
  </si>
  <si>
    <t>INV01572</t>
  </si>
  <si>
    <t>ORD01573</t>
  </si>
  <si>
    <t>INV01573</t>
  </si>
  <si>
    <t>ORD01574</t>
  </si>
  <si>
    <t>INV01574</t>
  </si>
  <si>
    <t>ORD01575</t>
  </si>
  <si>
    <t>INV01575</t>
  </si>
  <si>
    <t>ORD01576</t>
  </si>
  <si>
    <t>CUST0066</t>
  </si>
  <si>
    <t>INV01576</t>
  </si>
  <si>
    <t>ORD01577</t>
  </si>
  <si>
    <t>INV01577</t>
  </si>
  <si>
    <t>ORD01578</t>
  </si>
  <si>
    <t>INV01578</t>
  </si>
  <si>
    <t>ORD01579</t>
  </si>
  <si>
    <t>INV01579</t>
  </si>
  <si>
    <t>ORD01580</t>
  </si>
  <si>
    <t>INV01580</t>
  </si>
  <si>
    <t>ORD01581</t>
  </si>
  <si>
    <t>INV01581</t>
  </si>
  <si>
    <t>ORD01582</t>
  </si>
  <si>
    <t>INV01582</t>
  </si>
  <si>
    <t>ORD01583</t>
  </si>
  <si>
    <t>CUST0488</t>
  </si>
  <si>
    <t>INV01583</t>
  </si>
  <si>
    <t>ORD01584</t>
  </si>
  <si>
    <t>CUST0290</t>
  </si>
  <si>
    <t>INV01584</t>
  </si>
  <si>
    <t>ORD01585</t>
  </si>
  <si>
    <t>INV01585</t>
  </si>
  <si>
    <t>ORD01586</t>
  </si>
  <si>
    <t>INV01586</t>
  </si>
  <si>
    <t>ORD01587</t>
  </si>
  <si>
    <t>INV01587</t>
  </si>
  <si>
    <t>ORD01588</t>
  </si>
  <si>
    <t>INV01588</t>
  </si>
  <si>
    <t>ORD01589</t>
  </si>
  <si>
    <t>INV01589</t>
  </si>
  <si>
    <t>ORD01590</t>
  </si>
  <si>
    <t>INV01590</t>
  </si>
  <si>
    <t>ORD01591</t>
  </si>
  <si>
    <t>INV01591</t>
  </si>
  <si>
    <t>ORD01592</t>
  </si>
  <si>
    <t>CUST0084</t>
  </si>
  <si>
    <t>INV01592</t>
  </si>
  <si>
    <t>ORD01593</t>
  </si>
  <si>
    <t>INV01593</t>
  </si>
  <si>
    <t>ORD01594</t>
  </si>
  <si>
    <t>INV01594</t>
  </si>
  <si>
    <t>ORD01595</t>
  </si>
  <si>
    <t>INV01595</t>
  </si>
  <si>
    <t>ORD01596</t>
  </si>
  <si>
    <t>INV01596</t>
  </si>
  <si>
    <t>ORD01597</t>
  </si>
  <si>
    <t>INV01597</t>
  </si>
  <si>
    <t>ORD01598</t>
  </si>
  <si>
    <t>INV01598</t>
  </si>
  <si>
    <t>ORD01599</t>
  </si>
  <si>
    <t>INV01599</t>
  </si>
  <si>
    <t>ORD01600</t>
  </si>
  <si>
    <t>CUST0676</t>
  </si>
  <si>
    <t>INV01600</t>
  </si>
  <si>
    <t>ORD01601</t>
  </si>
  <si>
    <t>CUST0569</t>
  </si>
  <si>
    <t>INV01601</t>
  </si>
  <si>
    <t>ORD01602</t>
  </si>
  <si>
    <t>INV01602</t>
  </si>
  <si>
    <t>ORD01603</t>
  </si>
  <si>
    <t>INV01603</t>
  </si>
  <si>
    <t>ORD01604</t>
  </si>
  <si>
    <t>INV01604</t>
  </si>
  <si>
    <t>ORD01605</t>
  </si>
  <si>
    <t>INV01605</t>
  </si>
  <si>
    <t>ORD01606</t>
  </si>
  <si>
    <t>INV01606</t>
  </si>
  <si>
    <t>ORD01607</t>
  </si>
  <si>
    <t>INV01607</t>
  </si>
  <si>
    <t>ORD01608</t>
  </si>
  <si>
    <t>INV01608</t>
  </si>
  <si>
    <t>ORD01609</t>
  </si>
  <si>
    <t>INV01609</t>
  </si>
  <si>
    <t>ORD01610</t>
  </si>
  <si>
    <t>INV01610</t>
  </si>
  <si>
    <t>ORD01611</t>
  </si>
  <si>
    <t>INV01611</t>
  </si>
  <si>
    <t>ORD01612</t>
  </si>
  <si>
    <t>CUST0796</t>
  </si>
  <si>
    <t>INV01612</t>
  </si>
  <si>
    <t>ORD01613</t>
  </si>
  <si>
    <t>INV01613</t>
  </si>
  <si>
    <t>ORD01614</t>
  </si>
  <si>
    <t>INV01614</t>
  </si>
  <si>
    <t>ORD01615</t>
  </si>
  <si>
    <t>INV01615</t>
  </si>
  <si>
    <t>ORD01616</t>
  </si>
  <si>
    <t>INV01616</t>
  </si>
  <si>
    <t>ORD01617</t>
  </si>
  <si>
    <t>INV01617</t>
  </si>
  <si>
    <t>ORD01618</t>
  </si>
  <si>
    <t>INV01618</t>
  </si>
  <si>
    <t>ORD01619</t>
  </si>
  <si>
    <t>INV01619</t>
  </si>
  <si>
    <t>ORD01620</t>
  </si>
  <si>
    <t>INV01620</t>
  </si>
  <si>
    <t>ORD01621</t>
  </si>
  <si>
    <t>INV01621</t>
  </si>
  <si>
    <t>ORD01622</t>
  </si>
  <si>
    <t>CUST0761</t>
  </si>
  <si>
    <t>INV01622</t>
  </si>
  <si>
    <t>ORD01623</t>
  </si>
  <si>
    <t>INV01623</t>
  </si>
  <si>
    <t>ORD01624</t>
  </si>
  <si>
    <t>INV01624</t>
  </si>
  <si>
    <t>ORD01625</t>
  </si>
  <si>
    <t>INV01625</t>
  </si>
  <si>
    <t>ORD01626</t>
  </si>
  <si>
    <t>INV01626</t>
  </si>
  <si>
    <t>ORD01627</t>
  </si>
  <si>
    <t>CUST0573</t>
  </si>
  <si>
    <t>INV01627</t>
  </si>
  <si>
    <t>ORD01628</t>
  </si>
  <si>
    <t>INV01628</t>
  </si>
  <si>
    <t>ORD01629</t>
  </si>
  <si>
    <t>INV01629</t>
  </si>
  <si>
    <t>ORD01630</t>
  </si>
  <si>
    <t>INV01630</t>
  </si>
  <si>
    <t>ORD01631</t>
  </si>
  <si>
    <t>INV01631</t>
  </si>
  <si>
    <t>ORD01632</t>
  </si>
  <si>
    <t>INV01632</t>
  </si>
  <si>
    <t>ORD01633</t>
  </si>
  <si>
    <t>INV01633</t>
  </si>
  <si>
    <t>ORD01634</t>
  </si>
  <si>
    <t>CUST0205</t>
  </si>
  <si>
    <t>INV01634</t>
  </si>
  <si>
    <t>ORD01635</t>
  </si>
  <si>
    <t>INV01635</t>
  </si>
  <si>
    <t>ORD01636</t>
  </si>
  <si>
    <t>INV01636</t>
  </si>
  <si>
    <t>ORD01637</t>
  </si>
  <si>
    <t>INV01637</t>
  </si>
  <si>
    <t>ORD01638</t>
  </si>
  <si>
    <t>INV01638</t>
  </si>
  <si>
    <t>ORD01639</t>
  </si>
  <si>
    <t>INV01639</t>
  </si>
  <si>
    <t>ORD01640</t>
  </si>
  <si>
    <t>INV01640</t>
  </si>
  <si>
    <t>ORD01641</t>
  </si>
  <si>
    <t>INV01641</t>
  </si>
  <si>
    <t>ORD01642</t>
  </si>
  <si>
    <t>INV01642</t>
  </si>
  <si>
    <t>ORD01643</t>
  </si>
  <si>
    <t>INV01643</t>
  </si>
  <si>
    <t>ORD01644</t>
  </si>
  <si>
    <t>INV01644</t>
  </si>
  <si>
    <t>ORD01645</t>
  </si>
  <si>
    <t>INV01645</t>
  </si>
  <si>
    <t>ORD01646</t>
  </si>
  <si>
    <t>INV01646</t>
  </si>
  <si>
    <t>ORD01647</t>
  </si>
  <si>
    <t>INV01647</t>
  </si>
  <si>
    <t>ORD01648</t>
  </si>
  <si>
    <t>CUST0405</t>
  </si>
  <si>
    <t>INV01648</t>
  </si>
  <si>
    <t>ORD01649</t>
  </si>
  <si>
    <t>INV01649</t>
  </si>
  <si>
    <t>ORD01650</t>
  </si>
  <si>
    <t>INV01650</t>
  </si>
  <si>
    <t>ORD01651</t>
  </si>
  <si>
    <t>INV01651</t>
  </si>
  <si>
    <t>ORD01652</t>
  </si>
  <si>
    <t>INV01652</t>
  </si>
  <si>
    <t>ORD01653</t>
  </si>
  <si>
    <t>INV01653</t>
  </si>
  <si>
    <t>ORD01654</t>
  </si>
  <si>
    <t>INV01654</t>
  </si>
  <si>
    <t>ORD01655</t>
  </si>
  <si>
    <t>INV01655</t>
  </si>
  <si>
    <t>ORD01656</t>
  </si>
  <si>
    <t>CUST0331</t>
  </si>
  <si>
    <t>INV01656</t>
  </si>
  <si>
    <t>ORD01657</t>
  </si>
  <si>
    <t>INV01657</t>
  </si>
  <si>
    <t>ORD01658</t>
  </si>
  <si>
    <t>INV01658</t>
  </si>
  <si>
    <t>ORD01659</t>
  </si>
  <si>
    <t>INV01659</t>
  </si>
  <si>
    <t>ORD01660</t>
  </si>
  <si>
    <t>INV01660</t>
  </si>
  <si>
    <t>ORD01661</t>
  </si>
  <si>
    <t>INV01661</t>
  </si>
  <si>
    <t>ORD01662</t>
  </si>
  <si>
    <t>INV01662</t>
  </si>
  <si>
    <t>ORD01663</t>
  </si>
  <si>
    <t>INV01663</t>
  </si>
  <si>
    <t>ORD01664</t>
  </si>
  <si>
    <t>INV01664</t>
  </si>
  <si>
    <t>ORD01665</t>
  </si>
  <si>
    <t>INV01665</t>
  </si>
  <si>
    <t>ORD01666</t>
  </si>
  <si>
    <t>INV01666</t>
  </si>
  <si>
    <t>ORD01667</t>
  </si>
  <si>
    <t>INV01667</t>
  </si>
  <si>
    <t>ORD01668</t>
  </si>
  <si>
    <t>INV01668</t>
  </si>
  <si>
    <t>ORD01669</t>
  </si>
  <si>
    <t>INV01669</t>
  </si>
  <si>
    <t>ORD01670</t>
  </si>
  <si>
    <t>INV01670</t>
  </si>
  <si>
    <t>ORD01671</t>
  </si>
  <si>
    <t>INV01671</t>
  </si>
  <si>
    <t>ORD01672</t>
  </si>
  <si>
    <t>INV01672</t>
  </si>
  <si>
    <t>ORD01673</t>
  </si>
  <si>
    <t>INV01673</t>
  </si>
  <si>
    <t>ORD01674</t>
  </si>
  <si>
    <t>INV01674</t>
  </si>
  <si>
    <t>ORD01675</t>
  </si>
  <si>
    <t>INV01675</t>
  </si>
  <si>
    <t>ORD01676</t>
  </si>
  <si>
    <t>INV01676</t>
  </si>
  <si>
    <t>ORD01677</t>
  </si>
  <si>
    <t>INV01677</t>
  </si>
  <si>
    <t>ORD01678</t>
  </si>
  <si>
    <t>INV01678</t>
  </si>
  <si>
    <t>ORD01679</t>
  </si>
  <si>
    <t>INV01679</t>
  </si>
  <si>
    <t>ORD01680</t>
  </si>
  <si>
    <t>INV01680</t>
  </si>
  <si>
    <t>ORD01681</t>
  </si>
  <si>
    <t>INV01681</t>
  </si>
  <si>
    <t>ORD01682</t>
  </si>
  <si>
    <t>INV01682</t>
  </si>
  <si>
    <t>ORD01683</t>
  </si>
  <si>
    <t>PROD151</t>
  </si>
  <si>
    <t>INV01683</t>
  </si>
  <si>
    <t>ORD01684</t>
  </si>
  <si>
    <t>INV01684</t>
  </si>
  <si>
    <t>ORD01685</t>
  </si>
  <si>
    <t>INV01685</t>
  </si>
  <si>
    <t>ORD01686</t>
  </si>
  <si>
    <t>INV01686</t>
  </si>
  <si>
    <t>ORD01687</t>
  </si>
  <si>
    <t>INV01687</t>
  </si>
  <si>
    <t>ORD01688</t>
  </si>
  <si>
    <t>INV01688</t>
  </si>
  <si>
    <t>ORD01689</t>
  </si>
  <si>
    <t>INV01689</t>
  </si>
  <si>
    <t>ORD01690</t>
  </si>
  <si>
    <t>INV01690</t>
  </si>
  <si>
    <t>ORD01691</t>
  </si>
  <si>
    <t>INV01691</t>
  </si>
  <si>
    <t>ORD01692</t>
  </si>
  <si>
    <t>INV01692</t>
  </si>
  <si>
    <t>ORD01693</t>
  </si>
  <si>
    <t>INV01693</t>
  </si>
  <si>
    <t>ORD01694</t>
  </si>
  <si>
    <t>INV01694</t>
  </si>
  <si>
    <t>ORD01695</t>
  </si>
  <si>
    <t>INV01695</t>
  </si>
  <si>
    <t>ORD01696</t>
  </si>
  <si>
    <t>INV01696</t>
  </si>
  <si>
    <t>ORD01697</t>
  </si>
  <si>
    <t>INV01697</t>
  </si>
  <si>
    <t>ORD01698</t>
  </si>
  <si>
    <t>INV01698</t>
  </si>
  <si>
    <t>ORD01699</t>
  </si>
  <si>
    <t>INV01699</t>
  </si>
  <si>
    <t>ORD01700</t>
  </si>
  <si>
    <t>INV01700</t>
  </si>
  <si>
    <t>ORD01701</t>
  </si>
  <si>
    <t>INV01701</t>
  </si>
  <si>
    <t>ORD01702</t>
  </si>
  <si>
    <t>INV01702</t>
  </si>
  <si>
    <t>ORD01703</t>
  </si>
  <si>
    <t>INV01703</t>
  </si>
  <si>
    <t>ORD01704</t>
  </si>
  <si>
    <t>INV01704</t>
  </si>
  <si>
    <t>ORD01705</t>
  </si>
  <si>
    <t>INV01705</t>
  </si>
  <si>
    <t>ORD01706</t>
  </si>
  <si>
    <t>INV01706</t>
  </si>
  <si>
    <t>ORD01707</t>
  </si>
  <si>
    <t>INV01707</t>
  </si>
  <si>
    <t>ORD01708</t>
  </si>
  <si>
    <t>INV01708</t>
  </si>
  <si>
    <t>ORD01709</t>
  </si>
  <si>
    <t>INV01709</t>
  </si>
  <si>
    <t>ORD01710</t>
  </si>
  <si>
    <t>INV01710</t>
  </si>
  <si>
    <t>ORD01711</t>
  </si>
  <si>
    <t>INV01711</t>
  </si>
  <si>
    <t>ORD01712</t>
  </si>
  <si>
    <t>INV01712</t>
  </si>
  <si>
    <t>ORD01713</t>
  </si>
  <si>
    <t>INV01713</t>
  </si>
  <si>
    <t>ORD01714</t>
  </si>
  <si>
    <t>INV01714</t>
  </si>
  <si>
    <t>ORD01715</t>
  </si>
  <si>
    <t>INV01715</t>
  </si>
  <si>
    <t>ORD01716</t>
  </si>
  <si>
    <t>INV01716</t>
  </si>
  <si>
    <t>ORD01717</t>
  </si>
  <si>
    <t>INV01717</t>
  </si>
  <si>
    <t>ORD01718</t>
  </si>
  <si>
    <t>INV01718</t>
  </si>
  <si>
    <t>ORD01719</t>
  </si>
  <si>
    <t>INV01719</t>
  </si>
  <si>
    <t>ORD01720</t>
  </si>
  <si>
    <t>INV01720</t>
  </si>
  <si>
    <t>ORD01721</t>
  </si>
  <si>
    <t>INV01721</t>
  </si>
  <si>
    <t>ORD01722</t>
  </si>
  <si>
    <t>INV01722</t>
  </si>
  <si>
    <t>ORD01723</t>
  </si>
  <si>
    <t>INV01723</t>
  </si>
  <si>
    <t>ORD01724</t>
  </si>
  <si>
    <t>INV01724</t>
  </si>
  <si>
    <t>ORD01725</t>
  </si>
  <si>
    <t>INV01725</t>
  </si>
  <si>
    <t>ORD01726</t>
  </si>
  <si>
    <t>CUST0035</t>
  </si>
  <si>
    <t>INV01726</t>
  </si>
  <si>
    <t>ORD01727</t>
  </si>
  <si>
    <t>INV01727</t>
  </si>
  <si>
    <t>ORD01728</t>
  </si>
  <si>
    <t>INV01728</t>
  </si>
  <si>
    <t>ORD01729</t>
  </si>
  <si>
    <t>INV01729</t>
  </si>
  <si>
    <t>ORD01730</t>
  </si>
  <si>
    <t>INV01730</t>
  </si>
  <si>
    <t>ORD01731</t>
  </si>
  <si>
    <t>CUST0767</t>
  </si>
  <si>
    <t>PROD213</t>
  </si>
  <si>
    <t>INV01731</t>
  </si>
  <si>
    <t>ORD01732</t>
  </si>
  <si>
    <t>INV01732</t>
  </si>
  <si>
    <t>ORD01733</t>
  </si>
  <si>
    <t>INV01733</t>
  </si>
  <si>
    <t>ORD01734</t>
  </si>
  <si>
    <t>INV01734</t>
  </si>
  <si>
    <t>ORD01735</t>
  </si>
  <si>
    <t>INV01735</t>
  </si>
  <si>
    <t>ORD01736</t>
  </si>
  <si>
    <t>INV01736</t>
  </si>
  <si>
    <t>ORD01737</t>
  </si>
  <si>
    <t>INV01737</t>
  </si>
  <si>
    <t>ORD01738</t>
  </si>
  <si>
    <t>INV01738</t>
  </si>
  <si>
    <t>ORD01739</t>
  </si>
  <si>
    <t>INV01739</t>
  </si>
  <si>
    <t>ORD01740</t>
  </si>
  <si>
    <t>INV01740</t>
  </si>
  <si>
    <t>ORD01741</t>
  </si>
  <si>
    <t>INV01741</t>
  </si>
  <si>
    <t>ORD01742</t>
  </si>
  <si>
    <t>INV01742</t>
  </si>
  <si>
    <t>ORD01743</t>
  </si>
  <si>
    <t>INV01743</t>
  </si>
  <si>
    <t>ORD01744</t>
  </si>
  <si>
    <t>INV01744</t>
  </si>
  <si>
    <t>ORD01745</t>
  </si>
  <si>
    <t>INV01745</t>
  </si>
  <si>
    <t>ORD01746</t>
  </si>
  <si>
    <t>INV01746</t>
  </si>
  <si>
    <t>ORD01747</t>
  </si>
  <si>
    <t>INV01747</t>
  </si>
  <si>
    <t>ORD01748</t>
  </si>
  <si>
    <t>INV01748</t>
  </si>
  <si>
    <t>ORD01749</t>
  </si>
  <si>
    <t>INV01749</t>
  </si>
  <si>
    <t>ORD01750</t>
  </si>
  <si>
    <t>INV01750</t>
  </si>
  <si>
    <t>ORD01751</t>
  </si>
  <si>
    <t>INV01751</t>
  </si>
  <si>
    <t>ORD01752</t>
  </si>
  <si>
    <t>INV01752</t>
  </si>
  <si>
    <t>ORD01753</t>
  </si>
  <si>
    <t>INV01753</t>
  </si>
  <si>
    <t>ORD01754</t>
  </si>
  <si>
    <t>CUST0214</t>
  </si>
  <si>
    <t>INV01754</t>
  </si>
  <si>
    <t>ORD01755</t>
  </si>
  <si>
    <t>INV01755</t>
  </si>
  <si>
    <t>ORD01756</t>
  </si>
  <si>
    <t>INV01756</t>
  </si>
  <si>
    <t>ORD01757</t>
  </si>
  <si>
    <t>INV01757</t>
  </si>
  <si>
    <t>ORD01758</t>
  </si>
  <si>
    <t>INV01758</t>
  </si>
  <si>
    <t>ORD01759</t>
  </si>
  <si>
    <t>INV01759</t>
  </si>
  <si>
    <t>ORD01760</t>
  </si>
  <si>
    <t>INV01760</t>
  </si>
  <si>
    <t>ORD01761</t>
  </si>
  <si>
    <t>INV01761</t>
  </si>
  <si>
    <t>ORD01762</t>
  </si>
  <si>
    <t>INV01762</t>
  </si>
  <si>
    <t>ORD01763</t>
  </si>
  <si>
    <t>INV01763</t>
  </si>
  <si>
    <t>ORD01764</t>
  </si>
  <si>
    <t>INV01764</t>
  </si>
  <si>
    <t>ORD01765</t>
  </si>
  <si>
    <t>INV01765</t>
  </si>
  <si>
    <t>ORD01766</t>
  </si>
  <si>
    <t>INV01766</t>
  </si>
  <si>
    <t>ORD01767</t>
  </si>
  <si>
    <t>INV01767</t>
  </si>
  <si>
    <t>ORD01768</t>
  </si>
  <si>
    <t>INV01768</t>
  </si>
  <si>
    <t>ORD01769</t>
  </si>
  <si>
    <t>INV01769</t>
  </si>
  <si>
    <t>ORD01770</t>
  </si>
  <si>
    <t>INV01770</t>
  </si>
  <si>
    <t>ORD01771</t>
  </si>
  <si>
    <t>INV01771</t>
  </si>
  <si>
    <t>ORD01772</t>
  </si>
  <si>
    <t>INV01772</t>
  </si>
  <si>
    <t>ORD01773</t>
  </si>
  <si>
    <t>INV01773</t>
  </si>
  <si>
    <t>ORD01774</t>
  </si>
  <si>
    <t>INV01774</t>
  </si>
  <si>
    <t>ORD01775</t>
  </si>
  <si>
    <t>INV01775</t>
  </si>
  <si>
    <t>ORD01776</t>
  </si>
  <si>
    <t>CUST0130</t>
  </si>
  <si>
    <t>INV01776</t>
  </si>
  <si>
    <t>ORD01777</t>
  </si>
  <si>
    <t>INV01777</t>
  </si>
  <si>
    <t>ORD01778</t>
  </si>
  <si>
    <t>INV01778</t>
  </si>
  <si>
    <t>ORD01779</t>
  </si>
  <si>
    <t>INV01779</t>
  </si>
  <si>
    <t>ORD01780</t>
  </si>
  <si>
    <t>INV01780</t>
  </si>
  <si>
    <t>ORD01781</t>
  </si>
  <si>
    <t>CUST0635</t>
  </si>
  <si>
    <t>INV01781</t>
  </si>
  <si>
    <t>ORD01782</t>
  </si>
  <si>
    <t>INV01782</t>
  </si>
  <si>
    <t>ORD01783</t>
  </si>
  <si>
    <t>INV01783</t>
  </si>
  <si>
    <t>ORD01784</t>
  </si>
  <si>
    <t>INV01784</t>
  </si>
  <si>
    <t>ORD01785</t>
  </si>
  <si>
    <t>INV01785</t>
  </si>
  <si>
    <t>ORD01786</t>
  </si>
  <si>
    <t>INV01786</t>
  </si>
  <si>
    <t>ORD01787</t>
  </si>
  <si>
    <t>INV01787</t>
  </si>
  <si>
    <t>ORD01788</t>
  </si>
  <si>
    <t>INV01788</t>
  </si>
  <si>
    <t>ORD01789</t>
  </si>
  <si>
    <t>INV01789</t>
  </si>
  <si>
    <t>ORD01790</t>
  </si>
  <si>
    <t>INV01790</t>
  </si>
  <si>
    <t>ORD01791</t>
  </si>
  <si>
    <t>INV01791</t>
  </si>
  <si>
    <t>ORD01792</t>
  </si>
  <si>
    <t>INV01792</t>
  </si>
  <si>
    <t>ORD01793</t>
  </si>
  <si>
    <t>INV01793</t>
  </si>
  <si>
    <t>ORD01794</t>
  </si>
  <si>
    <t>INV01794</t>
  </si>
  <si>
    <t>ORD01795</t>
  </si>
  <si>
    <t>INV01795</t>
  </si>
  <si>
    <t>ORD01796</t>
  </si>
  <si>
    <t>INV01796</t>
  </si>
  <si>
    <t>ORD01797</t>
  </si>
  <si>
    <t>INV01797</t>
  </si>
  <si>
    <t>ORD01798</t>
  </si>
  <si>
    <t>INV01798</t>
  </si>
  <si>
    <t>ORD01799</t>
  </si>
  <si>
    <t>CUST0375</t>
  </si>
  <si>
    <t>INV01799</t>
  </si>
  <si>
    <t>ORD01800</t>
  </si>
  <si>
    <t>INV01800</t>
  </si>
  <si>
    <t>ORD01801</t>
  </si>
  <si>
    <t>INV01801</t>
  </si>
  <si>
    <t>ORD01802</t>
  </si>
  <si>
    <t>INV01802</t>
  </si>
  <si>
    <t>ORD01803</t>
  </si>
  <si>
    <t>INV01803</t>
  </si>
  <si>
    <t>ORD01804</t>
  </si>
  <si>
    <t>CUST0626</t>
  </si>
  <si>
    <t>INV01804</t>
  </si>
  <si>
    <t>ORD01805</t>
  </si>
  <si>
    <t>INV01805</t>
  </si>
  <si>
    <t>ORD01806</t>
  </si>
  <si>
    <t>INV01806</t>
  </si>
  <si>
    <t>ORD01807</t>
  </si>
  <si>
    <t>INV01807</t>
  </si>
  <si>
    <t>ORD01808</t>
  </si>
  <si>
    <t>INV01808</t>
  </si>
  <si>
    <t>ORD01809</t>
  </si>
  <si>
    <t>INV01809</t>
  </si>
  <si>
    <t>ORD01810</t>
  </si>
  <si>
    <t>CUST0001</t>
  </si>
  <si>
    <t>INV01810</t>
  </si>
  <si>
    <t>ORD01811</t>
  </si>
  <si>
    <t>INV01811</t>
  </si>
  <si>
    <t>ORD01812</t>
  </si>
  <si>
    <t>INV01812</t>
  </si>
  <si>
    <t>ORD01813</t>
  </si>
  <si>
    <t>INV01813</t>
  </si>
  <si>
    <t>ORD01814</t>
  </si>
  <si>
    <t>INV01814</t>
  </si>
  <si>
    <t>ORD01815</t>
  </si>
  <si>
    <t>INV01815</t>
  </si>
  <si>
    <t>ORD01816</t>
  </si>
  <si>
    <t>INV01816</t>
  </si>
  <si>
    <t>ORD01817</t>
  </si>
  <si>
    <t>INV01817</t>
  </si>
  <si>
    <t>ORD01818</t>
  </si>
  <si>
    <t>INV01818</t>
  </si>
  <si>
    <t>ORD01819</t>
  </si>
  <si>
    <t>INV01819</t>
  </si>
  <si>
    <t>ORD01820</t>
  </si>
  <si>
    <t>INV01820</t>
  </si>
  <si>
    <t>ORD01821</t>
  </si>
  <si>
    <t>INV01821</t>
  </si>
  <si>
    <t>ORD01822</t>
  </si>
  <si>
    <t>INV01822</t>
  </si>
  <si>
    <t>ORD01823</t>
  </si>
  <si>
    <t>INV01823</t>
  </si>
  <si>
    <t>ORD01824</t>
  </si>
  <si>
    <t>INV01824</t>
  </si>
  <si>
    <t>ORD01825</t>
  </si>
  <si>
    <t>INV01825</t>
  </si>
  <si>
    <t>ORD01826</t>
  </si>
  <si>
    <t>INV01826</t>
  </si>
  <si>
    <t>ORD01827</t>
  </si>
  <si>
    <t>INV01827</t>
  </si>
  <si>
    <t>ORD01828</t>
  </si>
  <si>
    <t>INV01828</t>
  </si>
  <si>
    <t>ORD01829</t>
  </si>
  <si>
    <t>INV01829</t>
  </si>
  <si>
    <t>ORD01830</t>
  </si>
  <si>
    <t>INV01830</t>
  </si>
  <si>
    <t>ORD01831</t>
  </si>
  <si>
    <t>INV01831</t>
  </si>
  <si>
    <t>ORD01832</t>
  </si>
  <si>
    <t>INV01832</t>
  </si>
  <si>
    <t>ORD01833</t>
  </si>
  <si>
    <t>INV01833</t>
  </si>
  <si>
    <t>ORD01834</t>
  </si>
  <si>
    <t>INV01834</t>
  </si>
  <si>
    <t>ORD01835</t>
  </si>
  <si>
    <t>INV01835</t>
  </si>
  <si>
    <t>ORD01836</t>
  </si>
  <si>
    <t>INV01836</t>
  </si>
  <si>
    <t>ORD01837</t>
  </si>
  <si>
    <t>INV01837</t>
  </si>
  <si>
    <t>ORD01838</t>
  </si>
  <si>
    <t>CUST0128</t>
  </si>
  <si>
    <t>INV01838</t>
  </si>
  <si>
    <t>ORD01839</t>
  </si>
  <si>
    <t>INV01839</t>
  </si>
  <si>
    <t>ORD01840</t>
  </si>
  <si>
    <t>INV01840</t>
  </si>
  <si>
    <t>ORD01841</t>
  </si>
  <si>
    <t>INV01841</t>
  </si>
  <si>
    <t>ORD01842</t>
  </si>
  <si>
    <t>INV01842</t>
  </si>
  <si>
    <t>ORD01843</t>
  </si>
  <si>
    <t>INV01843</t>
  </si>
  <si>
    <t>ORD01844</t>
  </si>
  <si>
    <t>CUST0692</t>
  </si>
  <si>
    <t>INV01844</t>
  </si>
  <si>
    <t>ORD01845</t>
  </si>
  <si>
    <t>INV01845</t>
  </si>
  <si>
    <t>ORD01846</t>
  </si>
  <si>
    <t>INV01846</t>
  </si>
  <si>
    <t>ORD01847</t>
  </si>
  <si>
    <t>CUST0093</t>
  </si>
  <si>
    <t>INV01847</t>
  </si>
  <si>
    <t>ORD01848</t>
  </si>
  <si>
    <t>INV01848</t>
  </si>
  <si>
    <t>ORD01849</t>
  </si>
  <si>
    <t>INV01849</t>
  </si>
  <si>
    <t>ORD01850</t>
  </si>
  <si>
    <t>INV01850</t>
  </si>
  <si>
    <t>ORD01851</t>
  </si>
  <si>
    <t>INV01851</t>
  </si>
  <si>
    <t>ORD01852</t>
  </si>
  <si>
    <t>INV01852</t>
  </si>
  <si>
    <t>ORD01853</t>
  </si>
  <si>
    <t>INV01853</t>
  </si>
  <si>
    <t>ORD01854</t>
  </si>
  <si>
    <t>INV01854</t>
  </si>
  <si>
    <t>ORD01855</t>
  </si>
  <si>
    <t>INV01855</t>
  </si>
  <si>
    <t>ORD01856</t>
  </si>
  <si>
    <t>INV01856</t>
  </si>
  <si>
    <t>ORD01857</t>
  </si>
  <si>
    <t>INV01857</t>
  </si>
  <si>
    <t>ORD01858</t>
  </si>
  <si>
    <t>INV01858</t>
  </si>
  <si>
    <t>ORD01859</t>
  </si>
  <si>
    <t>INV01859</t>
  </si>
  <si>
    <t>ORD01860</t>
  </si>
  <si>
    <t>CUST0095</t>
  </si>
  <si>
    <t>INV01860</t>
  </si>
  <si>
    <t>ORD01861</t>
  </si>
  <si>
    <t>CUST0302</t>
  </si>
  <si>
    <t>INV01861</t>
  </si>
  <si>
    <t>ORD01862</t>
  </si>
  <si>
    <t>INV01862</t>
  </si>
  <si>
    <t>ORD01863</t>
  </si>
  <si>
    <t>INV01863</t>
  </si>
  <si>
    <t>ORD01864</t>
  </si>
  <si>
    <t>INV01864</t>
  </si>
  <si>
    <t>ORD01865</t>
  </si>
  <si>
    <t>INV01865</t>
  </si>
  <si>
    <t>ORD01866</t>
  </si>
  <si>
    <t>INV01866</t>
  </si>
  <si>
    <t>ORD01867</t>
  </si>
  <si>
    <t>CUST0609</t>
  </si>
  <si>
    <t>INV01867</t>
  </si>
  <si>
    <t>ORD01868</t>
  </si>
  <si>
    <t>INV01868</t>
  </si>
  <si>
    <t>ORD01869</t>
  </si>
  <si>
    <t>CUST0681</t>
  </si>
  <si>
    <t>INV01869</t>
  </si>
  <si>
    <t>ORD01870</t>
  </si>
  <si>
    <t>INV01870</t>
  </si>
  <si>
    <t>ORD01871</t>
  </si>
  <si>
    <t>CUST0629</t>
  </si>
  <si>
    <t>INV01871</t>
  </si>
  <si>
    <t>ORD01872</t>
  </si>
  <si>
    <t>INV01872</t>
  </si>
  <si>
    <t>ORD01873</t>
  </si>
  <si>
    <t>INV01873</t>
  </si>
  <si>
    <t>ORD01874</t>
  </si>
  <si>
    <t>INV01874</t>
  </si>
  <si>
    <t>ORD01875</t>
  </si>
  <si>
    <t>INV01875</t>
  </si>
  <si>
    <t>ORD01876</t>
  </si>
  <si>
    <t>INV01876</t>
  </si>
  <si>
    <t>ORD01877</t>
  </si>
  <si>
    <t>CUST0152</t>
  </si>
  <si>
    <t>INV01877</t>
  </si>
  <si>
    <t>ORD01878</t>
  </si>
  <si>
    <t>INV01878</t>
  </si>
  <si>
    <t>ORD01879</t>
  </si>
  <si>
    <t>INV01879</t>
  </si>
  <si>
    <t>ORD01880</t>
  </si>
  <si>
    <t>INV01880</t>
  </si>
  <si>
    <t>ORD01881</t>
  </si>
  <si>
    <t>INV01881</t>
  </si>
  <si>
    <t>ORD01882</t>
  </si>
  <si>
    <t>INV01882</t>
  </si>
  <si>
    <t>ORD01883</t>
  </si>
  <si>
    <t>INV01883</t>
  </si>
  <si>
    <t>ORD01884</t>
  </si>
  <si>
    <t>INV01884</t>
  </si>
  <si>
    <t>ORD01885</t>
  </si>
  <si>
    <t>INV01885</t>
  </si>
  <si>
    <t>ORD01886</t>
  </si>
  <si>
    <t>INV01886</t>
  </si>
  <si>
    <t>ORD01887</t>
  </si>
  <si>
    <t>INV01887</t>
  </si>
  <si>
    <t>ORD01888</t>
  </si>
  <si>
    <t>INV01888</t>
  </si>
  <si>
    <t>ORD01889</t>
  </si>
  <si>
    <t>INV01889</t>
  </si>
  <si>
    <t>ORD01890</t>
  </si>
  <si>
    <t>INV01890</t>
  </si>
  <si>
    <t>ORD01891</t>
  </si>
  <si>
    <t>INV01891</t>
  </si>
  <si>
    <t>ORD01892</t>
  </si>
  <si>
    <t>CUST0685</t>
  </si>
  <si>
    <t>INV01892</t>
  </si>
  <si>
    <t>ORD01893</t>
  </si>
  <si>
    <t>INV01893</t>
  </si>
  <si>
    <t>ORD01894</t>
  </si>
  <si>
    <t>INV01894</t>
  </si>
  <si>
    <t>ORD01895</t>
  </si>
  <si>
    <t>INV01895</t>
  </si>
  <si>
    <t>ORD01896</t>
  </si>
  <si>
    <t>INV01896</t>
  </si>
  <si>
    <t>ORD01897</t>
  </si>
  <si>
    <t>INV01897</t>
  </si>
  <si>
    <t>ORD01898</t>
  </si>
  <si>
    <t>INV01898</t>
  </si>
  <si>
    <t>ORD01899</t>
  </si>
  <si>
    <t>INV01899</t>
  </si>
  <si>
    <t>ORD01900</t>
  </si>
  <si>
    <t>INV01900</t>
  </si>
  <si>
    <t>ORD01901</t>
  </si>
  <si>
    <t>INV01901</t>
  </si>
  <si>
    <t>ORD01902</t>
  </si>
  <si>
    <t>CUST0091</t>
  </si>
  <si>
    <t>INV01902</t>
  </si>
  <si>
    <t>ORD01903</t>
  </si>
  <si>
    <t>INV01903</t>
  </si>
  <si>
    <t>ORD01904</t>
  </si>
  <si>
    <t>INV01904</t>
  </si>
  <si>
    <t>ORD01905</t>
  </si>
  <si>
    <t>INV01905</t>
  </si>
  <si>
    <t>ORD01906</t>
  </si>
  <si>
    <t>INV01906</t>
  </si>
  <si>
    <t>ORD01907</t>
  </si>
  <si>
    <t>INV01907</t>
  </si>
  <si>
    <t>ORD01908</t>
  </si>
  <si>
    <t>INV01908</t>
  </si>
  <si>
    <t>ORD01909</t>
  </si>
  <si>
    <t>INV01909</t>
  </si>
  <si>
    <t>ORD01910</t>
  </si>
  <si>
    <t>INV01910</t>
  </si>
  <si>
    <t>ORD01911</t>
  </si>
  <si>
    <t>INV01911</t>
  </si>
  <si>
    <t>ORD01912</t>
  </si>
  <si>
    <t>INV01912</t>
  </si>
  <si>
    <t>ORD01913</t>
  </si>
  <si>
    <t>INV01913</t>
  </si>
  <si>
    <t>ORD01914</t>
  </si>
  <si>
    <t>CUST0392</t>
  </si>
  <si>
    <t>INV01914</t>
  </si>
  <si>
    <t>ORD01915</t>
  </si>
  <si>
    <t>INV01915</t>
  </si>
  <si>
    <t>ORD01916</t>
  </si>
  <si>
    <t>INV01916</t>
  </si>
  <si>
    <t>ORD01917</t>
  </si>
  <si>
    <t>INV01917</t>
  </si>
  <si>
    <t>ORD01918</t>
  </si>
  <si>
    <t>INV01918</t>
  </si>
  <si>
    <t>ORD01919</t>
  </si>
  <si>
    <t>INV01919</t>
  </si>
  <si>
    <t>ORD01920</t>
  </si>
  <si>
    <t>INV01920</t>
  </si>
  <si>
    <t>ORD01921</t>
  </si>
  <si>
    <t>INV01921</t>
  </si>
  <si>
    <t>ORD01922</t>
  </si>
  <si>
    <t>INV01922</t>
  </si>
  <si>
    <t>ORD01923</t>
  </si>
  <si>
    <t>CUST0267</t>
  </si>
  <si>
    <t>INV01923</t>
  </si>
  <si>
    <t>ORD01924</t>
  </si>
  <si>
    <t>CUST0457</t>
  </si>
  <si>
    <t>INV01924</t>
  </si>
  <si>
    <t>ORD01925</t>
  </si>
  <si>
    <t>INV01925</t>
  </si>
  <si>
    <t>ORD01926</t>
  </si>
  <si>
    <t>INV01926</t>
  </si>
  <si>
    <t>ORD01927</t>
  </si>
  <si>
    <t>INV01927</t>
  </si>
  <si>
    <t>ORD01928</t>
  </si>
  <si>
    <t>INV01928</t>
  </si>
  <si>
    <t>ORD01929</t>
  </si>
  <si>
    <t>INV01929</t>
  </si>
  <si>
    <t>ORD01930</t>
  </si>
  <si>
    <t>INV01930</t>
  </si>
  <si>
    <t>ORD01931</t>
  </si>
  <si>
    <t>INV01931</t>
  </si>
  <si>
    <t>ORD01932</t>
  </si>
  <si>
    <t>INV01932</t>
  </si>
  <si>
    <t>ORD01933</t>
  </si>
  <si>
    <t>CUST0564</t>
  </si>
  <si>
    <t>INV01933</t>
  </si>
  <si>
    <t>ORD01934</t>
  </si>
  <si>
    <t>INV01934</t>
  </si>
  <si>
    <t>ORD01935</t>
  </si>
  <si>
    <t>INV01935</t>
  </si>
  <si>
    <t>ORD01936</t>
  </si>
  <si>
    <t>INV01936</t>
  </si>
  <si>
    <t>ORD01937</t>
  </si>
  <si>
    <t>INV01937</t>
  </si>
  <si>
    <t>ORD01938</t>
  </si>
  <si>
    <t>INV01938</t>
  </si>
  <si>
    <t>ORD01939</t>
  </si>
  <si>
    <t>INV01939</t>
  </si>
  <si>
    <t>ORD01940</t>
  </si>
  <si>
    <t>INV01940</t>
  </si>
  <si>
    <t>ORD01941</t>
  </si>
  <si>
    <t>INV01941</t>
  </si>
  <si>
    <t>ORD01942</t>
  </si>
  <si>
    <t>INV01942</t>
  </si>
  <si>
    <t>ORD01943</t>
  </si>
  <si>
    <t>INV01943</t>
  </si>
  <si>
    <t>ORD01944</t>
  </si>
  <si>
    <t>INV01944</t>
  </si>
  <si>
    <t>ORD01945</t>
  </si>
  <si>
    <t>INV01945</t>
  </si>
  <si>
    <t>ORD01946</t>
  </si>
  <si>
    <t>INV01946</t>
  </si>
  <si>
    <t>ORD01947</t>
  </si>
  <si>
    <t>INV01947</t>
  </si>
  <si>
    <t>ORD01948</t>
  </si>
  <si>
    <t>INV01948</t>
  </si>
  <si>
    <t>ORD01949</t>
  </si>
  <si>
    <t>INV01949</t>
  </si>
  <si>
    <t>ORD01950</t>
  </si>
  <si>
    <t>INV01950</t>
  </si>
  <si>
    <t>ORD01951</t>
  </si>
  <si>
    <t>INV01951</t>
  </si>
  <si>
    <t>ORD01952</t>
  </si>
  <si>
    <t>INV01952</t>
  </si>
  <si>
    <t>ORD01953</t>
  </si>
  <si>
    <t>INV01953</t>
  </si>
  <si>
    <t>ORD01954</t>
  </si>
  <si>
    <t>CUST0613</t>
  </si>
  <si>
    <t>INV01954</t>
  </si>
  <si>
    <t>ORD01955</t>
  </si>
  <si>
    <t>INV01955</t>
  </si>
  <si>
    <t>ORD01956</t>
  </si>
  <si>
    <t>INV01956</t>
  </si>
  <si>
    <t>ORD01957</t>
  </si>
  <si>
    <t>CUST0451</t>
  </si>
  <si>
    <t>INV01957</t>
  </si>
  <si>
    <t>ORD01958</t>
  </si>
  <si>
    <t>INV01958</t>
  </si>
  <si>
    <t>ORD01959</t>
  </si>
  <si>
    <t>INV01959</t>
  </si>
  <si>
    <t>ORD01960</t>
  </si>
  <si>
    <t>INV01960</t>
  </si>
  <si>
    <t>ORD01961</t>
  </si>
  <si>
    <t>INV01961</t>
  </si>
  <si>
    <t>ORD01962</t>
  </si>
  <si>
    <t>INV01962</t>
  </si>
  <si>
    <t>ORD01963</t>
  </si>
  <si>
    <t>INV01963</t>
  </si>
  <si>
    <t>ORD01964</t>
  </si>
  <si>
    <t>INV01964</t>
  </si>
  <si>
    <t>ORD01965</t>
  </si>
  <si>
    <t>INV01965</t>
  </si>
  <si>
    <t>ORD01966</t>
  </si>
  <si>
    <t>INV01966</t>
  </si>
  <si>
    <t>ORD01967</t>
  </si>
  <si>
    <t>INV01967</t>
  </si>
  <si>
    <t>ORD01968</t>
  </si>
  <si>
    <t>INV01968</t>
  </si>
  <si>
    <t>ORD01969</t>
  </si>
  <si>
    <t>INV01969</t>
  </si>
  <si>
    <t>ORD01970</t>
  </si>
  <si>
    <t>CUST0494</t>
  </si>
  <si>
    <t>INV01970</t>
  </si>
  <si>
    <t>ORD01971</t>
  </si>
  <si>
    <t>INV01971</t>
  </si>
  <si>
    <t>ORD01972</t>
  </si>
  <si>
    <t>INV01972</t>
  </si>
  <si>
    <t>ORD01973</t>
  </si>
  <si>
    <t>INV01973</t>
  </si>
  <si>
    <t>ORD01974</t>
  </si>
  <si>
    <t>CUST0784</t>
  </si>
  <si>
    <t>INV01974</t>
  </si>
  <si>
    <t>ORD01975</t>
  </si>
  <si>
    <t>INV01975</t>
  </si>
  <si>
    <t>ORD01976</t>
  </si>
  <si>
    <t>INV01976</t>
  </si>
  <si>
    <t>ORD01977</t>
  </si>
  <si>
    <t>INV01977</t>
  </si>
  <si>
    <t>ORD01978</t>
  </si>
  <si>
    <t>INV01978</t>
  </si>
  <si>
    <t>ORD01979</t>
  </si>
  <si>
    <t>INV01979</t>
  </si>
  <si>
    <t>ORD01980</t>
  </si>
  <si>
    <t>INV01980</t>
  </si>
  <si>
    <t>ORD01981</t>
  </si>
  <si>
    <t>INV01981</t>
  </si>
  <si>
    <t>ORD01982</t>
  </si>
  <si>
    <t>INV01982</t>
  </si>
  <si>
    <t>ORD01983</t>
  </si>
  <si>
    <t>INV01983</t>
  </si>
  <si>
    <t>ORD01984</t>
  </si>
  <si>
    <t>INV01984</t>
  </si>
  <si>
    <t>ORD01985</t>
  </si>
  <si>
    <t>INV01985</t>
  </si>
  <si>
    <t>ORD01986</t>
  </si>
  <si>
    <t>INV01986</t>
  </si>
  <si>
    <t>ORD01987</t>
  </si>
  <si>
    <t>INV01987</t>
  </si>
  <si>
    <t>ORD01988</t>
  </si>
  <si>
    <t>INV01988</t>
  </si>
  <si>
    <t>ORD01989</t>
  </si>
  <si>
    <t>INV01989</t>
  </si>
  <si>
    <t>ORD01990</t>
  </si>
  <si>
    <t>INV01990</t>
  </si>
  <si>
    <t>ORD01991</t>
  </si>
  <si>
    <t>INV01991</t>
  </si>
  <si>
    <t>ORD01992</t>
  </si>
  <si>
    <t>INV01992</t>
  </si>
  <si>
    <t>ORD01993</t>
  </si>
  <si>
    <t>CUST0215</t>
  </si>
  <si>
    <t>INV01993</t>
  </si>
  <si>
    <t>ORD01994</t>
  </si>
  <si>
    <t>INV01994</t>
  </si>
  <si>
    <t>ORD01995</t>
  </si>
  <si>
    <t>INV01995</t>
  </si>
  <si>
    <t>ORD01996</t>
  </si>
  <si>
    <t>INV01996</t>
  </si>
  <si>
    <t>ORD01997</t>
  </si>
  <si>
    <t>INV01997</t>
  </si>
  <si>
    <t>ORD01998</t>
  </si>
  <si>
    <t>INV01998</t>
  </si>
  <si>
    <t>ORD01999</t>
  </si>
  <si>
    <t>INV01999</t>
  </si>
  <si>
    <t>ORD02000</t>
  </si>
  <si>
    <t>INV02000</t>
  </si>
  <si>
    <t>ORD02001</t>
  </si>
  <si>
    <t>INV02001</t>
  </si>
  <si>
    <t>ORD02002</t>
  </si>
  <si>
    <t>INV02002</t>
  </si>
  <si>
    <t>ORD02003</t>
  </si>
  <si>
    <t>INV02003</t>
  </si>
  <si>
    <t>ORD02004</t>
  </si>
  <si>
    <t>INV02004</t>
  </si>
  <si>
    <t>ORD02005</t>
  </si>
  <si>
    <t>INV02005</t>
  </si>
  <si>
    <t>ORD02006</t>
  </si>
  <si>
    <t>INV02006</t>
  </si>
  <si>
    <t>ORD02007</t>
  </si>
  <si>
    <t>CUST0380</t>
  </si>
  <si>
    <t>INV02007</t>
  </si>
  <si>
    <t>ORD02008</t>
  </si>
  <si>
    <t>INV02008</t>
  </si>
  <si>
    <t>ORD02009</t>
  </si>
  <si>
    <t>INV02009</t>
  </si>
  <si>
    <t>ORD02010</t>
  </si>
  <si>
    <t>CUST0334</t>
  </si>
  <si>
    <t>INV02010</t>
  </si>
  <si>
    <t>ORD02011</t>
  </si>
  <si>
    <t>INV02011</t>
  </si>
  <si>
    <t>ORD02012</t>
  </si>
  <si>
    <t>INV02012</t>
  </si>
  <si>
    <t>ORD02013</t>
  </si>
  <si>
    <t>INV02013</t>
  </si>
  <si>
    <t>ORD02014</t>
  </si>
  <si>
    <t>INV02014</t>
  </si>
  <si>
    <t>ORD02015</t>
  </si>
  <si>
    <t>INV02015</t>
  </si>
  <si>
    <t>ORD02016</t>
  </si>
  <si>
    <t>INV02016</t>
  </si>
  <si>
    <t>ORD02017</t>
  </si>
  <si>
    <t>INV02017</t>
  </si>
  <si>
    <t>ORD02018</t>
  </si>
  <si>
    <t>INV02018</t>
  </si>
  <si>
    <t>ORD02019</t>
  </si>
  <si>
    <t>INV02019</t>
  </si>
  <si>
    <t>ORD02020</t>
  </si>
  <si>
    <t>INV02020</t>
  </si>
  <si>
    <t>ORD02021</t>
  </si>
  <si>
    <t>INV02021</t>
  </si>
  <si>
    <t>ORD02022</t>
  </si>
  <si>
    <t>INV02022</t>
  </si>
  <si>
    <t>ORD02023</t>
  </si>
  <si>
    <t>INV02023</t>
  </si>
  <si>
    <t>ORD02024</t>
  </si>
  <si>
    <t>INV02024</t>
  </si>
  <si>
    <t>ORD02025</t>
  </si>
  <si>
    <t>INV02025</t>
  </si>
  <si>
    <t>ORD02026</t>
  </si>
  <si>
    <t>INV02026</t>
  </si>
  <si>
    <t>ORD02027</t>
  </si>
  <si>
    <t>INV02027</t>
  </si>
  <si>
    <t>ORD02028</t>
  </si>
  <si>
    <t>INV02028</t>
  </si>
  <si>
    <t>ORD02029</t>
  </si>
  <si>
    <t>INV02029</t>
  </si>
  <si>
    <t>ORD02030</t>
  </si>
  <si>
    <t>INV02030</t>
  </si>
  <si>
    <t>ORD02031</t>
  </si>
  <si>
    <t>INV02031</t>
  </si>
  <si>
    <t>ORD02032</t>
  </si>
  <si>
    <t>INV02032</t>
  </si>
  <si>
    <t>ORD02033</t>
  </si>
  <si>
    <t>INV02033</t>
  </si>
  <si>
    <t>ORD02034</t>
  </si>
  <si>
    <t>INV02034</t>
  </si>
  <si>
    <t>ORD02035</t>
  </si>
  <si>
    <t>INV02035</t>
  </si>
  <si>
    <t>ORD02036</t>
  </si>
  <si>
    <t>INV02036</t>
  </si>
  <si>
    <t>ORD02037</t>
  </si>
  <si>
    <t>INV02037</t>
  </si>
  <si>
    <t>ORD02038</t>
  </si>
  <si>
    <t>CUST0259</t>
  </si>
  <si>
    <t>INV02038</t>
  </si>
  <si>
    <t>ORD02039</t>
  </si>
  <si>
    <t>INV02039</t>
  </si>
  <si>
    <t>ORD02040</t>
  </si>
  <si>
    <t>INV02040</t>
  </si>
  <si>
    <t>ORD02041</t>
  </si>
  <si>
    <t>INV02041</t>
  </si>
  <si>
    <t>ORD02042</t>
  </si>
  <si>
    <t>INV02042</t>
  </si>
  <si>
    <t>ORD02043</t>
  </si>
  <si>
    <t>INV02043</t>
  </si>
  <si>
    <t>ORD02044</t>
  </si>
  <si>
    <t>CUST0677</t>
  </si>
  <si>
    <t>INV02044</t>
  </si>
  <si>
    <t>ORD02045</t>
  </si>
  <si>
    <t>INV02045</t>
  </si>
  <si>
    <t>ORD02046</t>
  </si>
  <si>
    <t>INV02046</t>
  </si>
  <si>
    <t>ORD02047</t>
  </si>
  <si>
    <t>INV02047</t>
  </si>
  <si>
    <t>ORD02048</t>
  </si>
  <si>
    <t>INV02048</t>
  </si>
  <si>
    <t>ORD02049</t>
  </si>
  <si>
    <t>INV02049</t>
  </si>
  <si>
    <t>ORD02050</t>
  </si>
  <si>
    <t>INV02050</t>
  </si>
  <si>
    <t>ORD02051</t>
  </si>
  <si>
    <t>INV02051</t>
  </si>
  <si>
    <t>ORD02052</t>
  </si>
  <si>
    <t>INV02052</t>
  </si>
  <si>
    <t>ORD02053</t>
  </si>
  <si>
    <t>INV02053</t>
  </si>
  <si>
    <t>ORD02054</t>
  </si>
  <si>
    <t>INV02054</t>
  </si>
  <si>
    <t>ORD02055</t>
  </si>
  <si>
    <t>INV02055</t>
  </si>
  <si>
    <t>ORD02056</t>
  </si>
  <si>
    <t>INV02056</t>
  </si>
  <si>
    <t>ORD02057</t>
  </si>
  <si>
    <t>INV02057</t>
  </si>
  <si>
    <t>ORD02058</t>
  </si>
  <si>
    <t>INV02058</t>
  </si>
  <si>
    <t>ORD02059</t>
  </si>
  <si>
    <t>INV02059</t>
  </si>
  <si>
    <t>ORD02060</t>
  </si>
  <si>
    <t>INV02060</t>
  </si>
  <si>
    <t>ORD02061</t>
  </si>
  <si>
    <t>INV02061</t>
  </si>
  <si>
    <t>ORD02062</t>
  </si>
  <si>
    <t>CUST0197</t>
  </si>
  <si>
    <t>INV02062</t>
  </si>
  <si>
    <t>ORD02063</t>
  </si>
  <si>
    <t>INV02063</t>
  </si>
  <si>
    <t>ORD02064</t>
  </si>
  <si>
    <t>INV02064</t>
  </si>
  <si>
    <t>ORD02065</t>
  </si>
  <si>
    <t>INV02065</t>
  </si>
  <si>
    <t>ORD02066</t>
  </si>
  <si>
    <t>INV02066</t>
  </si>
  <si>
    <t>ORD02067</t>
  </si>
  <si>
    <t>INV02067</t>
  </si>
  <si>
    <t>ORD02068</t>
  </si>
  <si>
    <t>INV02068</t>
  </si>
  <si>
    <t>ORD02069</t>
  </si>
  <si>
    <t>CUST0480</t>
  </si>
  <si>
    <t>INV02069</t>
  </si>
  <si>
    <t>ORD02070</t>
  </si>
  <si>
    <t>INV02070</t>
  </si>
  <si>
    <t>ORD02071</t>
  </si>
  <si>
    <t>INV02071</t>
  </si>
  <si>
    <t>ORD02072</t>
  </si>
  <si>
    <t>INV02072</t>
  </si>
  <si>
    <t>ORD02073</t>
  </si>
  <si>
    <t>INV02073</t>
  </si>
  <si>
    <t>ORD02074</t>
  </si>
  <si>
    <t>INV02074</t>
  </si>
  <si>
    <t>ORD02075</t>
  </si>
  <si>
    <t>INV02075</t>
  </si>
  <si>
    <t>ORD02076</t>
  </si>
  <si>
    <t>INV02076</t>
  </si>
  <si>
    <t>ORD02077</t>
  </si>
  <si>
    <t>INV02077</t>
  </si>
  <si>
    <t>ORD02078</t>
  </si>
  <si>
    <t>INV02078</t>
  </si>
  <si>
    <t>ORD02079</t>
  </si>
  <si>
    <t>INV02079</t>
  </si>
  <si>
    <t>ORD02080</t>
  </si>
  <si>
    <t>INV02080</t>
  </si>
  <si>
    <t>ORD02081</t>
  </si>
  <si>
    <t>INV02081</t>
  </si>
  <si>
    <t>ORD02082</t>
  </si>
  <si>
    <t>INV02082</t>
  </si>
  <si>
    <t>ORD02083</t>
  </si>
  <si>
    <t>INV02083</t>
  </si>
  <si>
    <t>ORD02084</t>
  </si>
  <si>
    <t>INV02084</t>
  </si>
  <si>
    <t>ORD02085</t>
  </si>
  <si>
    <t>INV02085</t>
  </si>
  <si>
    <t>ORD02086</t>
  </si>
  <si>
    <t>INV02086</t>
  </si>
  <si>
    <t>ORD02087</t>
  </si>
  <si>
    <t>INV02087</t>
  </si>
  <si>
    <t>ORD02088</t>
  </si>
  <si>
    <t>INV02088</t>
  </si>
  <si>
    <t>ORD02089</t>
  </si>
  <si>
    <t>INV02089</t>
  </si>
  <si>
    <t>ORD02090</t>
  </si>
  <si>
    <t>INV02090</t>
  </si>
  <si>
    <t>ORD02091</t>
  </si>
  <si>
    <t>INV02091</t>
  </si>
  <si>
    <t>ORD02092</t>
  </si>
  <si>
    <t>INV02092</t>
  </si>
  <si>
    <t>ORD02093</t>
  </si>
  <si>
    <t>INV02093</t>
  </si>
  <si>
    <t>ORD02094</t>
  </si>
  <si>
    <t>INV02094</t>
  </si>
  <si>
    <t>ORD02095</t>
  </si>
  <si>
    <t>INV02095</t>
  </si>
  <si>
    <t>ORD02096</t>
  </si>
  <si>
    <t>INV02096</t>
  </si>
  <si>
    <t>ORD02097</t>
  </si>
  <si>
    <t>INV02097</t>
  </si>
  <si>
    <t>ORD02098</t>
  </si>
  <si>
    <t>INV02098</t>
  </si>
  <si>
    <t>ORD02099</t>
  </si>
  <si>
    <t>INV02099</t>
  </si>
  <si>
    <t>ORD02100</t>
  </si>
  <si>
    <t>INV02100</t>
  </si>
  <si>
    <t>ORD02101</t>
  </si>
  <si>
    <t>INV02101</t>
  </si>
  <si>
    <t>ORD02102</t>
  </si>
  <si>
    <t>INV02102</t>
  </si>
  <si>
    <t>ORD02103</t>
  </si>
  <si>
    <t>INV02103</t>
  </si>
  <si>
    <t>ORD02104</t>
  </si>
  <si>
    <t>INV02104</t>
  </si>
  <si>
    <t>ORD02105</t>
  </si>
  <si>
    <t>INV02105</t>
  </si>
  <si>
    <t>ORD02106</t>
  </si>
  <si>
    <t>INV02106</t>
  </si>
  <si>
    <t>ORD02107</t>
  </si>
  <si>
    <t>CUST0510</t>
  </si>
  <si>
    <t>INV02107</t>
  </si>
  <si>
    <t>ORD02108</t>
  </si>
  <si>
    <t>INV02108</t>
  </si>
  <si>
    <t>ORD02109</t>
  </si>
  <si>
    <t>INV02109</t>
  </si>
  <si>
    <t>ORD02110</t>
  </si>
  <si>
    <t>INV02110</t>
  </si>
  <si>
    <t>ORD02111</t>
  </si>
  <si>
    <t>INV02111</t>
  </si>
  <si>
    <t>ORD02112</t>
  </si>
  <si>
    <t>INV02112</t>
  </si>
  <si>
    <t>ORD02113</t>
  </si>
  <si>
    <t>INV02113</t>
  </si>
  <si>
    <t>ORD02114</t>
  </si>
  <si>
    <t>INV02114</t>
  </si>
  <si>
    <t>ORD02115</t>
  </si>
  <si>
    <t>INV02115</t>
  </si>
  <si>
    <t>ORD02116</t>
  </si>
  <si>
    <t>INV02116</t>
  </si>
  <si>
    <t>ORD02117</t>
  </si>
  <si>
    <t>INV02117</t>
  </si>
  <si>
    <t>ORD02118</t>
  </si>
  <si>
    <t>INV02118</t>
  </si>
  <si>
    <t>ORD02119</t>
  </si>
  <si>
    <t>INV02119</t>
  </si>
  <si>
    <t>ORD02120</t>
  </si>
  <si>
    <t>INV02120</t>
  </si>
  <si>
    <t>ORD02121</t>
  </si>
  <si>
    <t>INV02121</t>
  </si>
  <si>
    <t>ORD02122</t>
  </si>
  <si>
    <t>INV02122</t>
  </si>
  <si>
    <t>ORD02123</t>
  </si>
  <si>
    <t>CUST0662</t>
  </si>
  <si>
    <t>INV02123</t>
  </si>
  <si>
    <t>ORD02124</t>
  </si>
  <si>
    <t>INV02124</t>
  </si>
  <si>
    <t>ORD02125</t>
  </si>
  <si>
    <t>INV02125</t>
  </si>
  <si>
    <t>ORD02126</t>
  </si>
  <si>
    <t>INV02126</t>
  </si>
  <si>
    <t>ORD02127</t>
  </si>
  <si>
    <t>INV02127</t>
  </si>
  <si>
    <t>ORD02128</t>
  </si>
  <si>
    <t>INV02128</t>
  </si>
  <si>
    <t>ORD02129</t>
  </si>
  <si>
    <t>INV02129</t>
  </si>
  <si>
    <t>ORD02130</t>
  </si>
  <si>
    <t>INV02130</t>
  </si>
  <si>
    <t>ORD02131</t>
  </si>
  <si>
    <t>INV02131</t>
  </si>
  <si>
    <t>ORD02132</t>
  </si>
  <si>
    <t>INV02132</t>
  </si>
  <si>
    <t>ORD02133</t>
  </si>
  <si>
    <t>INV02133</t>
  </si>
  <si>
    <t>ORD02134</t>
  </si>
  <si>
    <t>INV02134</t>
  </si>
  <si>
    <t>ORD02135</t>
  </si>
  <si>
    <t>INV02135</t>
  </si>
  <si>
    <t>ORD02136</t>
  </si>
  <si>
    <t>INV02136</t>
  </si>
  <si>
    <t>ORD02137</t>
  </si>
  <si>
    <t>INV02137</t>
  </si>
  <si>
    <t>ORD02138</t>
  </si>
  <si>
    <t>INV02138</t>
  </si>
  <si>
    <t>ORD02139</t>
  </si>
  <si>
    <t>INV02139</t>
  </si>
  <si>
    <t>ORD02140</t>
  </si>
  <si>
    <t>INV02140</t>
  </si>
  <si>
    <t>ORD02141</t>
  </si>
  <si>
    <t>INV02141</t>
  </si>
  <si>
    <t>ORD02142</t>
  </si>
  <si>
    <t>CUST0437</t>
  </si>
  <si>
    <t>INV02142</t>
  </si>
  <si>
    <t>ORD02143</t>
  </si>
  <si>
    <t>INV02143</t>
  </si>
  <si>
    <t>ORD02144</t>
  </si>
  <si>
    <t>INV02144</t>
  </si>
  <si>
    <t>ORD02145</t>
  </si>
  <si>
    <t>INV02145</t>
  </si>
  <si>
    <t>ORD02146</t>
  </si>
  <si>
    <t>INV02146</t>
  </si>
  <si>
    <t>ORD02147</t>
  </si>
  <si>
    <t>INV02147</t>
  </si>
  <si>
    <t>ORD02148</t>
  </si>
  <si>
    <t>INV02148</t>
  </si>
  <si>
    <t>ORD02149</t>
  </si>
  <si>
    <t>INV02149</t>
  </si>
  <si>
    <t>ORD02150</t>
  </si>
  <si>
    <t>INV02150</t>
  </si>
  <si>
    <t>ORD02151</t>
  </si>
  <si>
    <t>INV02151</t>
  </si>
  <si>
    <t>ORD02152</t>
  </si>
  <si>
    <t>INV02152</t>
  </si>
  <si>
    <t>ORD02153</t>
  </si>
  <si>
    <t>INV02153</t>
  </si>
  <si>
    <t>ORD02154</t>
  </si>
  <si>
    <t>INV02154</t>
  </si>
  <si>
    <t>ORD02155</t>
  </si>
  <si>
    <t>INV02155</t>
  </si>
  <si>
    <t>ORD02156</t>
  </si>
  <si>
    <t>INV02156</t>
  </si>
  <si>
    <t>ORD02157</t>
  </si>
  <si>
    <t>INV02157</t>
  </si>
  <si>
    <t>ORD02158</t>
  </si>
  <si>
    <t>INV02158</t>
  </si>
  <si>
    <t>ORD02159</t>
  </si>
  <si>
    <t>INV02159</t>
  </si>
  <si>
    <t>ORD02160</t>
  </si>
  <si>
    <t>INV02160</t>
  </si>
  <si>
    <t>ORD02161</t>
  </si>
  <si>
    <t>INV02161</t>
  </si>
  <si>
    <t>ORD02162</t>
  </si>
  <si>
    <t>INV02162</t>
  </si>
  <si>
    <t>ORD02163</t>
  </si>
  <si>
    <t>INV02163</t>
  </si>
  <si>
    <t>ORD02164</t>
  </si>
  <si>
    <t>INV02164</t>
  </si>
  <si>
    <t>ORD02165</t>
  </si>
  <si>
    <t>INV02165</t>
  </si>
  <si>
    <t>ORD02166</t>
  </si>
  <si>
    <t>INV02166</t>
  </si>
  <si>
    <t>ORD02167</t>
  </si>
  <si>
    <t>INV02167</t>
  </si>
  <si>
    <t>ORD02168</t>
  </si>
  <si>
    <t>INV02168</t>
  </si>
  <si>
    <t>ORD02169</t>
  </si>
  <si>
    <t>INV02169</t>
  </si>
  <si>
    <t>ORD02170</t>
  </si>
  <si>
    <t>INV02170</t>
  </si>
  <si>
    <t>ORD02171</t>
  </si>
  <si>
    <t>INV02171</t>
  </si>
  <si>
    <t>ORD02172</t>
  </si>
  <si>
    <t>INV02172</t>
  </si>
  <si>
    <t>ORD02173</t>
  </si>
  <si>
    <t>INV02173</t>
  </si>
  <si>
    <t>ORD02174</t>
  </si>
  <si>
    <t>INV02174</t>
  </si>
  <si>
    <t>ORD02175</t>
  </si>
  <si>
    <t>INV02175</t>
  </si>
  <si>
    <t>ORD02176</t>
  </si>
  <si>
    <t>INV02176</t>
  </si>
  <si>
    <t>ORD02177</t>
  </si>
  <si>
    <t>INV02177</t>
  </si>
  <si>
    <t>ORD02178</t>
  </si>
  <si>
    <t>INV02178</t>
  </si>
  <si>
    <t>ORD02179</t>
  </si>
  <si>
    <t>INV02179</t>
  </si>
  <si>
    <t>ORD02180</t>
  </si>
  <si>
    <t>INV02180</t>
  </si>
  <si>
    <t>ORD02181</t>
  </si>
  <si>
    <t>INV02181</t>
  </si>
  <si>
    <t>ORD02182</t>
  </si>
  <si>
    <t>INV02182</t>
  </si>
  <si>
    <t>ORD02183</t>
  </si>
  <si>
    <t>INV02183</t>
  </si>
  <si>
    <t>ORD02184</t>
  </si>
  <si>
    <t>INV02184</t>
  </si>
  <si>
    <t>ORD02185</t>
  </si>
  <si>
    <t>INV02185</t>
  </si>
  <si>
    <t>ORD02186</t>
  </si>
  <si>
    <t>INV02186</t>
  </si>
  <si>
    <t>ORD02187</t>
  </si>
  <si>
    <t>INV02187</t>
  </si>
  <si>
    <t>ORD02188</t>
  </si>
  <si>
    <t>INV02188</t>
  </si>
  <si>
    <t>ORD02189</t>
  </si>
  <si>
    <t>INV02189</t>
  </si>
  <si>
    <t>ORD02190</t>
  </si>
  <si>
    <t>INV02190</t>
  </si>
  <si>
    <t>ORD02191</t>
  </si>
  <si>
    <t>INV02191</t>
  </si>
  <si>
    <t>ORD02192</t>
  </si>
  <si>
    <t>INV02192</t>
  </si>
  <si>
    <t>ORD02193</t>
  </si>
  <si>
    <t>INV02193</t>
  </si>
  <si>
    <t>ORD02194</t>
  </si>
  <si>
    <t>INV02194</t>
  </si>
  <si>
    <t>ORD02195</t>
  </si>
  <si>
    <t>INV02195</t>
  </si>
  <si>
    <t>ORD02196</t>
  </si>
  <si>
    <t>INV02196</t>
  </si>
  <si>
    <t>ORD02197</t>
  </si>
  <si>
    <t>INV02197</t>
  </si>
  <si>
    <t>ORD02198</t>
  </si>
  <si>
    <t>INV02198</t>
  </si>
  <si>
    <t>ORD02199</t>
  </si>
  <si>
    <t>INV02199</t>
  </si>
  <si>
    <t>ORD02200</t>
  </si>
  <si>
    <t>INV02200</t>
  </si>
  <si>
    <t>ORD02201</t>
  </si>
  <si>
    <t>INV02201</t>
  </si>
  <si>
    <t>ORD02202</t>
  </si>
  <si>
    <t>INV02202</t>
  </si>
  <si>
    <t>ORD02203</t>
  </si>
  <si>
    <t>INV02203</t>
  </si>
  <si>
    <t>ORD02204</t>
  </si>
  <si>
    <t>INV02204</t>
  </si>
  <si>
    <t>ORD02205</t>
  </si>
  <si>
    <t>CUST0647</t>
  </si>
  <si>
    <t>INV02205</t>
  </si>
  <si>
    <t>ORD02206</t>
  </si>
  <si>
    <t>INV02206</t>
  </si>
  <si>
    <t>ORD02207</t>
  </si>
  <si>
    <t>INV02207</t>
  </si>
  <si>
    <t>ORD02208</t>
  </si>
  <si>
    <t>INV02208</t>
  </si>
  <si>
    <t>ORD02209</t>
  </si>
  <si>
    <t>INV02209</t>
  </si>
  <si>
    <t>ORD02210</t>
  </si>
  <si>
    <t>INV02210</t>
  </si>
  <si>
    <t>ORD02211</t>
  </si>
  <si>
    <t>INV02211</t>
  </si>
  <si>
    <t>ORD02212</t>
  </si>
  <si>
    <t>CUST0502</t>
  </si>
  <si>
    <t>INV02212</t>
  </si>
  <si>
    <t>ORD02213</t>
  </si>
  <si>
    <t>INV02213</t>
  </si>
  <si>
    <t>ORD02214</t>
  </si>
  <si>
    <t>INV02214</t>
  </si>
  <si>
    <t>ORD02215</t>
  </si>
  <si>
    <t>INV02215</t>
  </si>
  <si>
    <t>ORD02216</t>
  </si>
  <si>
    <t>CUST0474</t>
  </si>
  <si>
    <t>INV02216</t>
  </si>
  <si>
    <t>ORD02217</t>
  </si>
  <si>
    <t>INV02217</t>
  </si>
  <si>
    <t>ORD02218</t>
  </si>
  <si>
    <t>INV02218</t>
  </si>
  <si>
    <t>ORD02219</t>
  </si>
  <si>
    <t>INV02219</t>
  </si>
  <si>
    <t>ORD02220</t>
  </si>
  <si>
    <t>CUST0561</t>
  </si>
  <si>
    <t>INV02220</t>
  </si>
  <si>
    <t>ORD02221</t>
  </si>
  <si>
    <t>INV02221</t>
  </si>
  <si>
    <t>ORD02222</t>
  </si>
  <si>
    <t>INV02222</t>
  </si>
  <si>
    <t>ORD02223</t>
  </si>
  <si>
    <t>CUST0175</t>
  </si>
  <si>
    <t>INV02223</t>
  </si>
  <si>
    <t>ORD02224</t>
  </si>
  <si>
    <t>INV02224</t>
  </si>
  <si>
    <t>ORD02225</t>
  </si>
  <si>
    <t>INV02225</t>
  </si>
  <si>
    <t>ORD02226</t>
  </si>
  <si>
    <t>INV02226</t>
  </si>
  <si>
    <t>ORD02227</t>
  </si>
  <si>
    <t>INV02227</t>
  </si>
  <si>
    <t>ORD02228</t>
  </si>
  <si>
    <t>INV02228</t>
  </si>
  <si>
    <t>ORD02229</t>
  </si>
  <si>
    <t>INV02229</t>
  </si>
  <si>
    <t>ORD02230</t>
  </si>
  <si>
    <t>INV02230</t>
  </si>
  <si>
    <t>ORD02231</t>
  </si>
  <si>
    <t>INV02231</t>
  </si>
  <si>
    <t>ORD02232</t>
  </si>
  <si>
    <t>INV02232</t>
  </si>
  <si>
    <t>ORD02233</t>
  </si>
  <si>
    <t>INV02233</t>
  </si>
  <si>
    <t>ORD02234</t>
  </si>
  <si>
    <t>INV02234</t>
  </si>
  <si>
    <t>ORD02235</t>
  </si>
  <si>
    <t>INV02235</t>
  </si>
  <si>
    <t>ORD02236</t>
  </si>
  <si>
    <t>INV02236</t>
  </si>
  <si>
    <t>ORD02237</t>
  </si>
  <si>
    <t>INV02237</t>
  </si>
  <si>
    <t>ORD02238</t>
  </si>
  <si>
    <t>INV02238</t>
  </si>
  <si>
    <t>ORD02239</t>
  </si>
  <si>
    <t>INV02239</t>
  </si>
  <si>
    <t>ORD02240</t>
  </si>
  <si>
    <t>INV02240</t>
  </si>
  <si>
    <t>ORD02241</t>
  </si>
  <si>
    <t>INV02241</t>
  </si>
  <si>
    <t>ORD02242</t>
  </si>
  <si>
    <t>INV02242</t>
  </si>
  <si>
    <t>ORD02243</t>
  </si>
  <si>
    <t>INV02243</t>
  </si>
  <si>
    <t>ORD02244</t>
  </si>
  <si>
    <t>INV02244</t>
  </si>
  <si>
    <t>ORD02245</t>
  </si>
  <si>
    <t>INV02245</t>
  </si>
  <si>
    <t>ORD02246</t>
  </si>
  <si>
    <t>INV02246</t>
  </si>
  <si>
    <t>ORD02247</t>
  </si>
  <si>
    <t>INV02247</t>
  </si>
  <si>
    <t>ORD02248</t>
  </si>
  <si>
    <t>INV02248</t>
  </si>
  <si>
    <t>ORD02249</t>
  </si>
  <si>
    <t>INV02249</t>
  </si>
  <si>
    <t>ORD02250</t>
  </si>
  <si>
    <t>CUST0691</t>
  </si>
  <si>
    <t>INV02250</t>
  </si>
  <si>
    <t>ORD02251</t>
  </si>
  <si>
    <t>INV02251</t>
  </si>
  <si>
    <t>ORD02252</t>
  </si>
  <si>
    <t>INV02252</t>
  </si>
  <si>
    <t>ORD02253</t>
  </si>
  <si>
    <t>INV02253</t>
  </si>
  <si>
    <t>ORD02254</t>
  </si>
  <si>
    <t>INV02254</t>
  </si>
  <si>
    <t>ORD02255</t>
  </si>
  <si>
    <t>INV02255</t>
  </si>
  <si>
    <t>ORD02256</t>
  </si>
  <si>
    <t>INV02256</t>
  </si>
  <si>
    <t>ORD02257</t>
  </si>
  <si>
    <t>INV02257</t>
  </si>
  <si>
    <t>ORD02258</t>
  </si>
  <si>
    <t>INV02258</t>
  </si>
  <si>
    <t>ORD02259</t>
  </si>
  <si>
    <t>INV02259</t>
  </si>
  <si>
    <t>ORD02260</t>
  </si>
  <si>
    <t>INV02260</t>
  </si>
  <si>
    <t>ORD02261</t>
  </si>
  <si>
    <t>INV02261</t>
  </si>
  <si>
    <t>ORD02262</t>
  </si>
  <si>
    <t>INV02262</t>
  </si>
  <si>
    <t>ORD02263</t>
  </si>
  <si>
    <t>INV02263</t>
  </si>
  <si>
    <t>ORD02264</t>
  </si>
  <si>
    <t>INV02264</t>
  </si>
  <si>
    <t>ORD02265</t>
  </si>
  <si>
    <t>INV02265</t>
  </si>
  <si>
    <t>ORD02266</t>
  </si>
  <si>
    <t>INV02266</t>
  </si>
  <si>
    <t>ORD02267</t>
  </si>
  <si>
    <t>INV02267</t>
  </si>
  <si>
    <t>ORD02268</t>
  </si>
  <si>
    <t>INV02268</t>
  </si>
  <si>
    <t>ORD02269</t>
  </si>
  <si>
    <t>INV02269</t>
  </si>
  <si>
    <t>ORD02270</t>
  </si>
  <si>
    <t>INV02270</t>
  </si>
  <si>
    <t>ORD02271</t>
  </si>
  <si>
    <t>INV02271</t>
  </si>
  <si>
    <t>ORD02272</t>
  </si>
  <si>
    <t>INV02272</t>
  </si>
  <si>
    <t>ORD02273</t>
  </si>
  <si>
    <t>INV02273</t>
  </si>
  <si>
    <t>ORD02274</t>
  </si>
  <si>
    <t>INV02274</t>
  </si>
  <si>
    <t>ORD02275</t>
  </si>
  <si>
    <t>INV02275</t>
  </si>
  <si>
    <t>ORD02276</t>
  </si>
  <si>
    <t>INV02276</t>
  </si>
  <si>
    <t>ORD02277</t>
  </si>
  <si>
    <t>INV02277</t>
  </si>
  <si>
    <t>ORD02278</t>
  </si>
  <si>
    <t>INV02278</t>
  </si>
  <si>
    <t>ORD02279</t>
  </si>
  <si>
    <t>INV02279</t>
  </si>
  <si>
    <t>ORD02280</t>
  </si>
  <si>
    <t>INV02280</t>
  </si>
  <si>
    <t>ORD02281</t>
  </si>
  <si>
    <t>INV02281</t>
  </si>
  <si>
    <t>ORD02282</t>
  </si>
  <si>
    <t>INV02282</t>
  </si>
  <si>
    <t>ORD02283</t>
  </si>
  <si>
    <t>INV02283</t>
  </si>
  <si>
    <t>ORD02284</t>
  </si>
  <si>
    <t>INV02284</t>
  </si>
  <si>
    <t>ORD02285</t>
  </si>
  <si>
    <t>INV02285</t>
  </si>
  <si>
    <t>ORD02286</t>
  </si>
  <si>
    <t>INV02286</t>
  </si>
  <si>
    <t>ORD02287</t>
  </si>
  <si>
    <t>INV02287</t>
  </si>
  <si>
    <t>ORD02288</t>
  </si>
  <si>
    <t>INV02288</t>
  </si>
  <si>
    <t>ORD02289</t>
  </si>
  <si>
    <t>INV02289</t>
  </si>
  <si>
    <t>ORD02290</t>
  </si>
  <si>
    <t>INV02290</t>
  </si>
  <si>
    <t>ORD02291</t>
  </si>
  <si>
    <t>INV02291</t>
  </si>
  <si>
    <t>ORD02292</t>
  </si>
  <si>
    <t>INV02292</t>
  </si>
  <si>
    <t>ORD02293</t>
  </si>
  <si>
    <t>INV02293</t>
  </si>
  <si>
    <t>ORD02294</t>
  </si>
  <si>
    <t>INV02294</t>
  </si>
  <si>
    <t>ORD02295</t>
  </si>
  <si>
    <t>INV02295</t>
  </si>
  <si>
    <t>ORD02296</t>
  </si>
  <si>
    <t>INV02296</t>
  </si>
  <si>
    <t>ORD02297</t>
  </si>
  <si>
    <t>INV02297</t>
  </si>
  <si>
    <t>ORD02298</t>
  </si>
  <si>
    <t>INV02298</t>
  </si>
  <si>
    <t>ORD02299</t>
  </si>
  <si>
    <t>INV02299</t>
  </si>
  <si>
    <t>ORD02300</t>
  </si>
  <si>
    <t>INV02300</t>
  </si>
  <si>
    <t>ORD02301</t>
  </si>
  <si>
    <t>INV02301</t>
  </si>
  <si>
    <t>ORD02302</t>
  </si>
  <si>
    <t>CUST0149</t>
  </si>
  <si>
    <t>INV02302</t>
  </si>
  <si>
    <t>ORD02303</t>
  </si>
  <si>
    <t>INV02303</t>
  </si>
  <si>
    <t>ORD02304</t>
  </si>
  <si>
    <t>INV02304</t>
  </si>
  <si>
    <t>ORD02305</t>
  </si>
  <si>
    <t>INV02305</t>
  </si>
  <si>
    <t>ORD02306</t>
  </si>
  <si>
    <t>INV02306</t>
  </si>
  <si>
    <t>ORD02307</t>
  </si>
  <si>
    <t>INV02307</t>
  </si>
  <si>
    <t>ORD02308</t>
  </si>
  <si>
    <t>INV02308</t>
  </si>
  <si>
    <t>ORD02309</t>
  </si>
  <si>
    <t>INV02309</t>
  </si>
  <si>
    <t>ORD02310</t>
  </si>
  <si>
    <t>INV02310</t>
  </si>
  <si>
    <t>ORD02311</t>
  </si>
  <si>
    <t>INV02311</t>
  </si>
  <si>
    <t>ORD02312</t>
  </si>
  <si>
    <t>INV02312</t>
  </si>
  <si>
    <t>ORD02313</t>
  </si>
  <si>
    <t>INV02313</t>
  </si>
  <si>
    <t>ORD02314</t>
  </si>
  <si>
    <t>INV02314</t>
  </si>
  <si>
    <t>ORD02315</t>
  </si>
  <si>
    <t>INV02315</t>
  </si>
  <si>
    <t>ORD02316</t>
  </si>
  <si>
    <t>INV02316</t>
  </si>
  <si>
    <t>ORD02317</t>
  </si>
  <si>
    <t>INV02317</t>
  </si>
  <si>
    <t>ORD02318</t>
  </si>
  <si>
    <t>INV02318</t>
  </si>
  <si>
    <t>ORD02319</t>
  </si>
  <si>
    <t>INV02319</t>
  </si>
  <si>
    <t>ORD02320</t>
  </si>
  <si>
    <t>INV02320</t>
  </si>
  <si>
    <t>ORD02321</t>
  </si>
  <si>
    <t>INV02321</t>
  </si>
  <si>
    <t>ORD02322</t>
  </si>
  <si>
    <t>INV02322</t>
  </si>
  <si>
    <t>ORD02323</t>
  </si>
  <si>
    <t>INV02323</t>
  </si>
  <si>
    <t>ORD02324</t>
  </si>
  <si>
    <t>INV02324</t>
  </si>
  <si>
    <t>ORD02325</t>
  </si>
  <si>
    <t>INV02325</t>
  </si>
  <si>
    <t>ORD02326</t>
  </si>
  <si>
    <t>INV02326</t>
  </si>
  <si>
    <t>ORD02327</t>
  </si>
  <si>
    <t>INV02327</t>
  </si>
  <si>
    <t>ORD02328</t>
  </si>
  <si>
    <t>INV02328</t>
  </si>
  <si>
    <t>ORD02329</t>
  </si>
  <si>
    <t>INV02329</t>
  </si>
  <si>
    <t>ORD02330</t>
  </si>
  <si>
    <t>INV02330</t>
  </si>
  <si>
    <t>ORD02331</t>
  </si>
  <si>
    <t>INV02331</t>
  </si>
  <si>
    <t>ORD02332</t>
  </si>
  <si>
    <t>INV02332</t>
  </si>
  <si>
    <t>ORD02333</t>
  </si>
  <si>
    <t>INV02333</t>
  </si>
  <si>
    <t>ORD02334</t>
  </si>
  <si>
    <t>INV02334</t>
  </si>
  <si>
    <t>ORD02335</t>
  </si>
  <si>
    <t>INV02335</t>
  </si>
  <si>
    <t>ORD02336</t>
  </si>
  <si>
    <t>INV02336</t>
  </si>
  <si>
    <t>ORD02337</t>
  </si>
  <si>
    <t>INV02337</t>
  </si>
  <si>
    <t>ORD02338</t>
  </si>
  <si>
    <t>INV02338</t>
  </si>
  <si>
    <t>ORD02339</t>
  </si>
  <si>
    <t>INV02339</t>
  </si>
  <si>
    <t>ORD02340</t>
  </si>
  <si>
    <t>INV02340</t>
  </si>
  <si>
    <t>ORD02341</t>
  </si>
  <si>
    <t>INV02341</t>
  </si>
  <si>
    <t>ORD02342</t>
  </si>
  <si>
    <t>INV02342</t>
  </si>
  <si>
    <t>ORD02343</t>
  </si>
  <si>
    <t>INV02343</t>
  </si>
  <si>
    <t>ORD02344</t>
  </si>
  <si>
    <t>CUST0615</t>
  </si>
  <si>
    <t>INV02344</t>
  </si>
  <si>
    <t>ORD02345</t>
  </si>
  <si>
    <t>INV02345</t>
  </si>
  <si>
    <t>ORD02346</t>
  </si>
  <si>
    <t>INV02346</t>
  </si>
  <si>
    <t>ORD02347</t>
  </si>
  <si>
    <t>INV02347</t>
  </si>
  <si>
    <t>ORD02348</t>
  </si>
  <si>
    <t>INV02348</t>
  </si>
  <si>
    <t>ORD02349</t>
  </si>
  <si>
    <t>INV02349</t>
  </si>
  <si>
    <t>ORD02350</t>
  </si>
  <si>
    <t>INV02350</t>
  </si>
  <si>
    <t>ORD02351</t>
  </si>
  <si>
    <t>INV02351</t>
  </si>
  <si>
    <t>ORD02352</t>
  </si>
  <si>
    <t>INV02352</t>
  </si>
  <si>
    <t>ORD02353</t>
  </si>
  <si>
    <t>INV02353</t>
  </si>
  <si>
    <t>ORD02354</t>
  </si>
  <si>
    <t>INV02354</t>
  </si>
  <si>
    <t>ORD02355</t>
  </si>
  <si>
    <t>INV02355</t>
  </si>
  <si>
    <t>ORD02356</t>
  </si>
  <si>
    <t>INV02356</t>
  </si>
  <si>
    <t>ORD02357</t>
  </si>
  <si>
    <t>INV02357</t>
  </si>
  <si>
    <t>ORD02358</t>
  </si>
  <si>
    <t>INV02358</t>
  </si>
  <si>
    <t>ORD02359</t>
  </si>
  <si>
    <t>INV02359</t>
  </si>
  <si>
    <t>ORD02360</t>
  </si>
  <si>
    <t>INV02360</t>
  </si>
  <si>
    <t>ORD02361</t>
  </si>
  <si>
    <t>INV02361</t>
  </si>
  <si>
    <t>ORD02362</t>
  </si>
  <si>
    <t>INV02362</t>
  </si>
  <si>
    <t>ORD02363</t>
  </si>
  <si>
    <t>INV02363</t>
  </si>
  <si>
    <t>ORD02364</t>
  </si>
  <si>
    <t>INV02364</t>
  </si>
  <si>
    <t>ORD02365</t>
  </si>
  <si>
    <t>INV02365</t>
  </si>
  <si>
    <t>ORD02366</t>
  </si>
  <si>
    <t>INV02366</t>
  </si>
  <si>
    <t>ORD02367</t>
  </si>
  <si>
    <t>INV02367</t>
  </si>
  <si>
    <t>ORD02368</t>
  </si>
  <si>
    <t>INV02368</t>
  </si>
  <si>
    <t>ORD02369</t>
  </si>
  <si>
    <t>INV02369</t>
  </si>
  <si>
    <t>ORD02370</t>
  </si>
  <si>
    <t>INV02370</t>
  </si>
  <si>
    <t>ORD02371</t>
  </si>
  <si>
    <t>INV02371</t>
  </si>
  <si>
    <t>ORD02372</t>
  </si>
  <si>
    <t>INV02372</t>
  </si>
  <si>
    <t>ORD02373</t>
  </si>
  <si>
    <t>INV02373</t>
  </si>
  <si>
    <t>ORD02374</t>
  </si>
  <si>
    <t>INV02374</t>
  </si>
  <si>
    <t>ORD02375</t>
  </si>
  <si>
    <t>INV02375</t>
  </si>
  <si>
    <t>ORD02376</t>
  </si>
  <si>
    <t>INV02376</t>
  </si>
  <si>
    <t>ORD02377</t>
  </si>
  <si>
    <t>INV02377</t>
  </si>
  <si>
    <t>ORD02378</t>
  </si>
  <si>
    <t>INV02378</t>
  </si>
  <si>
    <t>ORD02379</t>
  </si>
  <si>
    <t>INV02379</t>
  </si>
  <si>
    <t>ORD02380</t>
  </si>
  <si>
    <t>INV02380</t>
  </si>
  <si>
    <t>ORD02381</t>
  </si>
  <si>
    <t>INV02381</t>
  </si>
  <si>
    <t>ORD02382</t>
  </si>
  <si>
    <t>INV02382</t>
  </si>
  <si>
    <t>ORD02383</t>
  </si>
  <si>
    <t>INV02383</t>
  </si>
  <si>
    <t>ORD02384</t>
  </si>
  <si>
    <t>INV02384</t>
  </si>
  <si>
    <t>ORD02385</t>
  </si>
  <si>
    <t>INV02385</t>
  </si>
  <si>
    <t>ORD02386</t>
  </si>
  <si>
    <t>CUST0552</t>
  </si>
  <si>
    <t>INV02386</t>
  </si>
  <si>
    <t>ORD02387</t>
  </si>
  <si>
    <t>INV02387</t>
  </si>
  <si>
    <t>ORD02388</t>
  </si>
  <si>
    <t>INV02388</t>
  </si>
  <si>
    <t>ORD02389</t>
  </si>
  <si>
    <t>INV02389</t>
  </si>
  <si>
    <t>ORD02390</t>
  </si>
  <si>
    <t>INV02390</t>
  </si>
  <si>
    <t>ORD02391</t>
  </si>
  <si>
    <t>INV02391</t>
  </si>
  <si>
    <t>ORD02392</t>
  </si>
  <si>
    <t>INV02392</t>
  </si>
  <si>
    <t>ORD02393</t>
  </si>
  <si>
    <t>INV02393</t>
  </si>
  <si>
    <t>ORD02394</t>
  </si>
  <si>
    <t>INV02394</t>
  </si>
  <si>
    <t>ORD02395</t>
  </si>
  <si>
    <t>INV02395</t>
  </si>
  <si>
    <t>ORD02396</t>
  </si>
  <si>
    <t>INV02396</t>
  </si>
  <si>
    <t>ORD02397</t>
  </si>
  <si>
    <t>INV02397</t>
  </si>
  <si>
    <t>ORD02398</t>
  </si>
  <si>
    <t>INV02398</t>
  </si>
  <si>
    <t>ORD02399</t>
  </si>
  <si>
    <t>INV02399</t>
  </si>
  <si>
    <t>ORD02400</t>
  </si>
  <si>
    <t>INV02400</t>
  </si>
  <si>
    <t>ORD02401</t>
  </si>
  <si>
    <t>INV02401</t>
  </si>
  <si>
    <t>ORD02402</t>
  </si>
  <si>
    <t>INV02402</t>
  </si>
  <si>
    <t>ORD02403</t>
  </si>
  <si>
    <t>INV02403</t>
  </si>
  <si>
    <t>ORD02404</t>
  </si>
  <si>
    <t>INV02404</t>
  </si>
  <si>
    <t>ORD02405</t>
  </si>
  <si>
    <t>INV02405</t>
  </si>
  <si>
    <t>ORD02406</t>
  </si>
  <si>
    <t>CUST0532</t>
  </si>
  <si>
    <t>INV02406</t>
  </si>
  <si>
    <t>ORD02407</t>
  </si>
  <si>
    <t>INV02407</t>
  </si>
  <si>
    <t>ORD02408</t>
  </si>
  <si>
    <t>INV02408</t>
  </si>
  <si>
    <t>ORD02409</t>
  </si>
  <si>
    <t>INV02409</t>
  </si>
  <si>
    <t>ORD02410</t>
  </si>
  <si>
    <t>INV02410</t>
  </si>
  <si>
    <t>ORD02411</t>
  </si>
  <si>
    <t>INV02411</t>
  </si>
  <si>
    <t>ORD02412</t>
  </si>
  <si>
    <t>INV02412</t>
  </si>
  <si>
    <t>ORD02413</t>
  </si>
  <si>
    <t>INV02413</t>
  </si>
  <si>
    <t>ORD02414</t>
  </si>
  <si>
    <t>INV02414</t>
  </si>
  <si>
    <t>ORD02415</t>
  </si>
  <si>
    <t>INV02415</t>
  </si>
  <si>
    <t>ORD02416</t>
  </si>
  <si>
    <t>CUST0109</t>
  </si>
  <si>
    <t>INV02416</t>
  </si>
  <si>
    <t>ORD02417</t>
  </si>
  <si>
    <t>INV02417</t>
  </si>
  <si>
    <t>ORD02418</t>
  </si>
  <si>
    <t>INV02418</t>
  </si>
  <si>
    <t>ORD02419</t>
  </si>
  <si>
    <t>INV02419</t>
  </si>
  <si>
    <t>ORD02420</t>
  </si>
  <si>
    <t>INV02420</t>
  </si>
  <si>
    <t>ORD02421</t>
  </si>
  <si>
    <t>INV02421</t>
  </si>
  <si>
    <t>ORD02422</t>
  </si>
  <si>
    <t>CUST0646</t>
  </si>
  <si>
    <t>INV02422</t>
  </si>
  <si>
    <t>ORD02423</t>
  </si>
  <si>
    <t>INV02423</t>
  </si>
  <si>
    <t>ORD02424</t>
  </si>
  <si>
    <t>INV02424</t>
  </si>
  <si>
    <t>ORD02425</t>
  </si>
  <si>
    <t>INV02425</t>
  </si>
  <si>
    <t>ORD02426</t>
  </si>
  <si>
    <t>INV02426</t>
  </si>
  <si>
    <t>ORD02427</t>
  </si>
  <si>
    <t>INV02427</t>
  </si>
  <si>
    <t>ORD02428</t>
  </si>
  <si>
    <t>INV02428</t>
  </si>
  <si>
    <t>ORD02429</t>
  </si>
  <si>
    <t>CUST0061</t>
  </si>
  <si>
    <t>INV02429</t>
  </si>
  <si>
    <t>ORD02430</t>
  </si>
  <si>
    <t>CUST0083</t>
  </si>
  <si>
    <t>INV02430</t>
  </si>
  <si>
    <t>ORD02431</t>
  </si>
  <si>
    <t>INV02431</t>
  </si>
  <si>
    <t>ORD02432</t>
  </si>
  <si>
    <t>INV02432</t>
  </si>
  <si>
    <t>ORD02433</t>
  </si>
  <si>
    <t>INV02433</t>
  </si>
  <si>
    <t>ORD02434</t>
  </si>
  <si>
    <t>INV02434</t>
  </si>
  <si>
    <t>ORD02435</t>
  </si>
  <si>
    <t>INV02435</t>
  </si>
  <si>
    <t>ORD02436</t>
  </si>
  <si>
    <t>INV02436</t>
  </si>
  <si>
    <t>ORD02437</t>
  </si>
  <si>
    <t>INV02437</t>
  </si>
  <si>
    <t>ORD02438</t>
  </si>
  <si>
    <t>INV02438</t>
  </si>
  <si>
    <t>ORD02439</t>
  </si>
  <si>
    <t>INV02439</t>
  </si>
  <si>
    <t>ORD02440</t>
  </si>
  <si>
    <t>INV02440</t>
  </si>
  <si>
    <t>ORD02441</t>
  </si>
  <si>
    <t>INV02441</t>
  </si>
  <si>
    <t>ORD02442</t>
  </si>
  <si>
    <t>INV02442</t>
  </si>
  <si>
    <t>ORD02443</t>
  </si>
  <si>
    <t>INV02443</t>
  </si>
  <si>
    <t>ORD02444</t>
  </si>
  <si>
    <t>INV02444</t>
  </si>
  <si>
    <t>ORD02445</t>
  </si>
  <si>
    <t>INV02445</t>
  </si>
  <si>
    <t>ORD02446</t>
  </si>
  <si>
    <t>INV02446</t>
  </si>
  <si>
    <t>ORD02447</t>
  </si>
  <si>
    <t>INV02447</t>
  </si>
  <si>
    <t>ORD02448</t>
  </si>
  <si>
    <t>INV02448</t>
  </si>
  <si>
    <t>ORD02449</t>
  </si>
  <si>
    <t>INV02449</t>
  </si>
  <si>
    <t>ORD02450</t>
  </si>
  <si>
    <t>INV02450</t>
  </si>
  <si>
    <t>ORD02451</t>
  </si>
  <si>
    <t>INV02451</t>
  </si>
  <si>
    <t>ORD02452</t>
  </si>
  <si>
    <t>INV02452</t>
  </si>
  <si>
    <t>ORD02453</t>
  </si>
  <si>
    <t>INV02453</t>
  </si>
  <si>
    <t>ORD02454</t>
  </si>
  <si>
    <t>INV02454</t>
  </si>
  <si>
    <t>ORD02455</t>
  </si>
  <si>
    <t>INV02455</t>
  </si>
  <si>
    <t>ORD02456</t>
  </si>
  <si>
    <t>INV02456</t>
  </si>
  <si>
    <t>ORD02457</t>
  </si>
  <si>
    <t>INV02457</t>
  </si>
  <si>
    <t>ORD02458</t>
  </si>
  <si>
    <t>INV02458</t>
  </si>
  <si>
    <t>ORD02459</t>
  </si>
  <si>
    <t>INV02459</t>
  </si>
  <si>
    <t>ORD02460</t>
  </si>
  <si>
    <t>INV02460</t>
  </si>
  <si>
    <t>ORD02461</t>
  </si>
  <si>
    <t>INV02461</t>
  </si>
  <si>
    <t>ORD02462</t>
  </si>
  <si>
    <t>INV02462</t>
  </si>
  <si>
    <t>ORD02463</t>
  </si>
  <si>
    <t>CUST0123</t>
  </si>
  <si>
    <t>INV02463</t>
  </si>
  <si>
    <t>ORD02464</t>
  </si>
  <si>
    <t>INV02464</t>
  </si>
  <si>
    <t>ORD02465</t>
  </si>
  <si>
    <t>INV02465</t>
  </si>
  <si>
    <t>ORD02466</t>
  </si>
  <si>
    <t>INV02466</t>
  </si>
  <si>
    <t>ORD02467</t>
  </si>
  <si>
    <t>INV02467</t>
  </si>
  <si>
    <t>ORD02468</t>
  </si>
  <si>
    <t>INV02468</t>
  </si>
  <si>
    <t>ORD02469</t>
  </si>
  <si>
    <t>CUST0463</t>
  </si>
  <si>
    <t>INV02469</t>
  </si>
  <si>
    <t>ORD02470</t>
  </si>
  <si>
    <t>INV02470</t>
  </si>
  <si>
    <t>ORD02471</t>
  </si>
  <si>
    <t>INV02471</t>
  </si>
  <si>
    <t>ORD02472</t>
  </si>
  <si>
    <t>INV02472</t>
  </si>
  <si>
    <t>ORD02473</t>
  </si>
  <si>
    <t>INV02473</t>
  </si>
  <si>
    <t>ORD02474</t>
  </si>
  <si>
    <t>INV02474</t>
  </si>
  <si>
    <t>ORD02475</t>
  </si>
  <si>
    <t>INV02475</t>
  </si>
  <si>
    <t>ORD02476</t>
  </si>
  <si>
    <t>INV02476</t>
  </si>
  <si>
    <t>ORD02477</t>
  </si>
  <si>
    <t>INV02477</t>
  </si>
  <si>
    <t>ORD02478</t>
  </si>
  <si>
    <t>CUST0556</t>
  </si>
  <si>
    <t>INV02478</t>
  </si>
  <si>
    <t>ORD02479</t>
  </si>
  <si>
    <t>CUST0733</t>
  </si>
  <si>
    <t>INV02479</t>
  </si>
  <si>
    <t>ORD02480</t>
  </si>
  <si>
    <t>INV02480</t>
  </si>
  <si>
    <t>ORD02481</t>
  </si>
  <si>
    <t>INV02481</t>
  </si>
  <si>
    <t>ORD02482</t>
  </si>
  <si>
    <t>INV02482</t>
  </si>
  <si>
    <t>ORD02483</t>
  </si>
  <si>
    <t>INV02483</t>
  </si>
  <si>
    <t>ORD02484</t>
  </si>
  <si>
    <t>INV02484</t>
  </si>
  <si>
    <t>ORD02485</t>
  </si>
  <si>
    <t>INV02485</t>
  </si>
  <si>
    <t>ORD02486</t>
  </si>
  <si>
    <t>INV02486</t>
  </si>
  <si>
    <t>ORD02487</t>
  </si>
  <si>
    <t>INV02487</t>
  </si>
  <si>
    <t>ORD02488</t>
  </si>
  <si>
    <t>INV02488</t>
  </si>
  <si>
    <t>ORD02489</t>
  </si>
  <si>
    <t>INV02489</t>
  </si>
  <si>
    <t>ORD02490</t>
  </si>
  <si>
    <t>INV02490</t>
  </si>
  <si>
    <t>ORD02491</t>
  </si>
  <si>
    <t>INV02491</t>
  </si>
  <si>
    <t>ORD02492</t>
  </si>
  <si>
    <t>INV02492</t>
  </si>
  <si>
    <t>ORD02493</t>
  </si>
  <si>
    <t>INV02493</t>
  </si>
  <si>
    <t>ORD02494</t>
  </si>
  <si>
    <t>INV02494</t>
  </si>
  <si>
    <t>ORD02495</t>
  </si>
  <si>
    <t>INV02495</t>
  </si>
  <si>
    <t>ORD02496</t>
  </si>
  <si>
    <t>INV02496</t>
  </si>
  <si>
    <t>ORD02497</t>
  </si>
  <si>
    <t>INV02497</t>
  </si>
  <si>
    <t>ORD02498</t>
  </si>
  <si>
    <t>INV02498</t>
  </si>
  <si>
    <t>ORD02499</t>
  </si>
  <si>
    <t>INV02499</t>
  </si>
  <si>
    <t>ORD02500</t>
  </si>
  <si>
    <t>INV02500</t>
  </si>
  <si>
    <t>ORD02501</t>
  </si>
  <si>
    <t>INV02501</t>
  </si>
  <si>
    <t>ORD02502</t>
  </si>
  <si>
    <t>INV02502</t>
  </si>
  <si>
    <t>ORD02503</t>
  </si>
  <si>
    <t>INV02503</t>
  </si>
  <si>
    <t>ORD02504</t>
  </si>
  <si>
    <t>INV02504</t>
  </si>
  <si>
    <t>ORD02505</t>
  </si>
  <si>
    <t>INV02505</t>
  </si>
  <si>
    <t>ORD02506</t>
  </si>
  <si>
    <t>INV02506</t>
  </si>
  <si>
    <t>ORD02507</t>
  </si>
  <si>
    <t>INV02507</t>
  </si>
  <si>
    <t>ORD02508</t>
  </si>
  <si>
    <t>INV02508</t>
  </si>
  <si>
    <t>ORD02509</t>
  </si>
  <si>
    <t>INV02509</t>
  </si>
  <si>
    <t>ORD02510</t>
  </si>
  <si>
    <t>INV02510</t>
  </si>
  <si>
    <t>ORD02511</t>
  </si>
  <si>
    <t>INV02511</t>
  </si>
  <si>
    <t>ORD02512</t>
  </si>
  <si>
    <t>INV02512</t>
  </si>
  <si>
    <t>ORD02513</t>
  </si>
  <si>
    <t>INV02513</t>
  </si>
  <si>
    <t>ORD02514</t>
  </si>
  <si>
    <t>INV02514</t>
  </si>
  <si>
    <t>ORD02515</t>
  </si>
  <si>
    <t>INV02515</t>
  </si>
  <si>
    <t>ORD02516</t>
  </si>
  <si>
    <t>INV02516</t>
  </si>
  <si>
    <t>ORD02517</t>
  </si>
  <si>
    <t>INV02517</t>
  </si>
  <si>
    <t>ORD02518</t>
  </si>
  <si>
    <t>INV02518</t>
  </si>
  <si>
    <t>ORD02519</t>
  </si>
  <si>
    <t>INV02519</t>
  </si>
  <si>
    <t>ORD02520</t>
  </si>
  <si>
    <t>INV02520</t>
  </si>
  <si>
    <t>ORD02521</t>
  </si>
  <si>
    <t>INV02521</t>
  </si>
  <si>
    <t>ORD02522</t>
  </si>
  <si>
    <t>INV02522</t>
  </si>
  <si>
    <t>ORD02523</t>
  </si>
  <si>
    <t>INV02523</t>
  </si>
  <si>
    <t>ORD02524</t>
  </si>
  <si>
    <t>INV02524</t>
  </si>
  <si>
    <t>ORD02525</t>
  </si>
  <si>
    <t>INV02525</t>
  </si>
  <si>
    <t>ORD02526</t>
  </si>
  <si>
    <t>CUST0373</t>
  </si>
  <si>
    <t>INV02526</t>
  </si>
  <si>
    <t>ORD02527</t>
  </si>
  <si>
    <t>INV02527</t>
  </si>
  <si>
    <t>ORD02528</t>
  </si>
  <si>
    <t>INV02528</t>
  </si>
  <si>
    <t>ORD02529</t>
  </si>
  <si>
    <t>INV02529</t>
  </si>
  <si>
    <t>ORD02530</t>
  </si>
  <si>
    <t>INV02530</t>
  </si>
  <si>
    <t>ORD02531</t>
  </si>
  <si>
    <t>INV02531</t>
  </si>
  <si>
    <t>ORD02532</t>
  </si>
  <si>
    <t>INV02532</t>
  </si>
  <si>
    <t>ORD02533</t>
  </si>
  <si>
    <t>INV02533</t>
  </si>
  <si>
    <t>ORD02534</t>
  </si>
  <si>
    <t>INV02534</t>
  </si>
  <si>
    <t>ORD02535</t>
  </si>
  <si>
    <t>INV02535</t>
  </si>
  <si>
    <t>ORD02536</t>
  </si>
  <si>
    <t>INV02536</t>
  </si>
  <si>
    <t>ORD02537</t>
  </si>
  <si>
    <t>INV02537</t>
  </si>
  <si>
    <t>ORD02538</t>
  </si>
  <si>
    <t>INV02538</t>
  </si>
  <si>
    <t>ORD02539</t>
  </si>
  <si>
    <t>INV02539</t>
  </si>
  <si>
    <t>ORD02540</t>
  </si>
  <si>
    <t>INV02540</t>
  </si>
  <si>
    <t>ORD02541</t>
  </si>
  <si>
    <t>INV02541</t>
  </si>
  <si>
    <t>ORD02542</t>
  </si>
  <si>
    <t>INV02542</t>
  </si>
  <si>
    <t>ORD02543</t>
  </si>
  <si>
    <t>INV02543</t>
  </si>
  <si>
    <t>ORD02544</t>
  </si>
  <si>
    <t>INV02544</t>
  </si>
  <si>
    <t>ORD02545</t>
  </si>
  <si>
    <t>INV02545</t>
  </si>
  <si>
    <t>ORD02546</t>
  </si>
  <si>
    <t>INV02546</t>
  </si>
  <si>
    <t>ORD02547</t>
  </si>
  <si>
    <t>CUST0512</t>
  </si>
  <si>
    <t>INV02547</t>
  </si>
  <si>
    <t>ORD02548</t>
  </si>
  <si>
    <t>INV02548</t>
  </si>
  <si>
    <t>ORD02549</t>
  </si>
  <si>
    <t>INV02549</t>
  </si>
  <si>
    <t>ORD02550</t>
  </si>
  <si>
    <t>INV02550</t>
  </si>
  <si>
    <t>ORD02551</t>
  </si>
  <si>
    <t>INV02551</t>
  </si>
  <si>
    <t>ORD02552</t>
  </si>
  <si>
    <t>INV02552</t>
  </si>
  <si>
    <t>ORD02553</t>
  </si>
  <si>
    <t>INV02553</t>
  </si>
  <si>
    <t>ORD02554</t>
  </si>
  <si>
    <t>INV02554</t>
  </si>
  <si>
    <t>ORD02555</t>
  </si>
  <si>
    <t>INV02555</t>
  </si>
  <si>
    <t>ORD02556</t>
  </si>
  <si>
    <t>INV02556</t>
  </si>
  <si>
    <t>ORD02557</t>
  </si>
  <si>
    <t>INV02557</t>
  </si>
  <si>
    <t>ORD02558</t>
  </si>
  <si>
    <t>INV02558</t>
  </si>
  <si>
    <t>ORD02559</t>
  </si>
  <si>
    <t>INV02559</t>
  </si>
  <si>
    <t>ORD02560</t>
  </si>
  <si>
    <t>INV02560</t>
  </si>
  <si>
    <t>ORD02561</t>
  </si>
  <si>
    <t>INV02561</t>
  </si>
  <si>
    <t>ORD02562</t>
  </si>
  <si>
    <t>INV02562</t>
  </si>
  <si>
    <t>ORD02563</t>
  </si>
  <si>
    <t>INV02563</t>
  </si>
  <si>
    <t>ORD02564</t>
  </si>
  <si>
    <t>INV02564</t>
  </si>
  <si>
    <t>ORD02565</t>
  </si>
  <si>
    <t>INV02565</t>
  </si>
  <si>
    <t>ORD02566</t>
  </si>
  <si>
    <t>INV02566</t>
  </si>
  <si>
    <t>ORD02567</t>
  </si>
  <si>
    <t>INV02567</t>
  </si>
  <si>
    <t>ORD02568</t>
  </si>
  <si>
    <t>INV02568</t>
  </si>
  <si>
    <t>ORD02569</t>
  </si>
  <si>
    <t>INV02569</t>
  </si>
  <si>
    <t>ORD02570</t>
  </si>
  <si>
    <t>INV02570</t>
  </si>
  <si>
    <t>ORD02571</t>
  </si>
  <si>
    <t>INV02571</t>
  </si>
  <si>
    <t>ORD02572</t>
  </si>
  <si>
    <t>INV02572</t>
  </si>
  <si>
    <t>ORD02573</t>
  </si>
  <si>
    <t>INV02573</t>
  </si>
  <si>
    <t>ORD02574</t>
  </si>
  <si>
    <t>INV02574</t>
  </si>
  <si>
    <t>ORD02575</t>
  </si>
  <si>
    <t>INV02575</t>
  </si>
  <si>
    <t>ORD02576</t>
  </si>
  <si>
    <t>INV02576</t>
  </si>
  <si>
    <t>ORD02577</t>
  </si>
  <si>
    <t>INV02577</t>
  </si>
  <si>
    <t>ORD02578</t>
  </si>
  <si>
    <t>INV02578</t>
  </si>
  <si>
    <t>ORD02579</t>
  </si>
  <si>
    <t>INV02579</t>
  </si>
  <si>
    <t>ORD02580</t>
  </si>
  <si>
    <t>INV02580</t>
  </si>
  <si>
    <t>ORD02581</t>
  </si>
  <si>
    <t>INV02581</t>
  </si>
  <si>
    <t>ORD02582</t>
  </si>
  <si>
    <t>INV02582</t>
  </si>
  <si>
    <t>ORD02583</t>
  </si>
  <si>
    <t>INV02583</t>
  </si>
  <si>
    <t>ORD02584</t>
  </si>
  <si>
    <t>INV02584</t>
  </si>
  <si>
    <t>ORD02585</t>
  </si>
  <si>
    <t>INV02585</t>
  </si>
  <si>
    <t>ORD02586</t>
  </si>
  <si>
    <t>INV02586</t>
  </si>
  <si>
    <t>ORD02587</t>
  </si>
  <si>
    <t>INV02587</t>
  </si>
  <si>
    <t>ORD02588</t>
  </si>
  <si>
    <t>INV02588</t>
  </si>
  <si>
    <t>ORD02589</t>
  </si>
  <si>
    <t>INV02589</t>
  </si>
  <si>
    <t>ORD02590</t>
  </si>
  <si>
    <t>INV02590</t>
  </si>
  <si>
    <t>ORD02591</t>
  </si>
  <si>
    <t>INV02591</t>
  </si>
  <si>
    <t>ORD02592</t>
  </si>
  <si>
    <t>INV02592</t>
  </si>
  <si>
    <t>ORD02593</t>
  </si>
  <si>
    <t>INV02593</t>
  </si>
  <si>
    <t>ORD02594</t>
  </si>
  <si>
    <t>INV02594</t>
  </si>
  <si>
    <t>ORD02595</t>
  </si>
  <si>
    <t>INV02595</t>
  </si>
  <si>
    <t>ORD02596</t>
  </si>
  <si>
    <t>INV02596</t>
  </si>
  <si>
    <t>ORD02597</t>
  </si>
  <si>
    <t>INV02597</t>
  </si>
  <si>
    <t>ORD02598</t>
  </si>
  <si>
    <t>INV02598</t>
  </si>
  <si>
    <t>ORD02599</t>
  </si>
  <si>
    <t>INV02599</t>
  </si>
  <si>
    <t>ORD02600</t>
  </si>
  <si>
    <t>CUST0547</t>
  </si>
  <si>
    <t>INV02600</t>
  </si>
  <si>
    <t>ORD02601</t>
  </si>
  <si>
    <t>INV02601</t>
  </si>
  <si>
    <t>ORD02602</t>
  </si>
  <si>
    <t>INV02602</t>
  </si>
  <si>
    <t>ORD02603</t>
  </si>
  <si>
    <t>INV02603</t>
  </si>
  <si>
    <t>ORD02604</t>
  </si>
  <si>
    <t>INV02604</t>
  </si>
  <si>
    <t>ORD02605</t>
  </si>
  <si>
    <t>INV02605</t>
  </si>
  <si>
    <t>ORD02606</t>
  </si>
  <si>
    <t>INV02606</t>
  </si>
  <si>
    <t>ORD02607</t>
  </si>
  <si>
    <t>INV02607</t>
  </si>
  <si>
    <t>ORD02608</t>
  </si>
  <si>
    <t>INV02608</t>
  </si>
  <si>
    <t>ORD02609</t>
  </si>
  <si>
    <t>INV02609</t>
  </si>
  <si>
    <t>ORD02610</t>
  </si>
  <si>
    <t>INV02610</t>
  </si>
  <si>
    <t>ORD02611</t>
  </si>
  <si>
    <t>INV02611</t>
  </si>
  <si>
    <t>ORD02612</t>
  </si>
  <si>
    <t>INV02612</t>
  </si>
  <si>
    <t>ORD02613</t>
  </si>
  <si>
    <t>INV02613</t>
  </si>
  <si>
    <t>ORD02614</t>
  </si>
  <si>
    <t>INV02614</t>
  </si>
  <si>
    <t>ORD02615</t>
  </si>
  <si>
    <t>INV02615</t>
  </si>
  <si>
    <t>ORD02616</t>
  </si>
  <si>
    <t>INV02616</t>
  </si>
  <si>
    <t>ORD02617</t>
  </si>
  <si>
    <t>INV02617</t>
  </si>
  <si>
    <t>ORD02618</t>
  </si>
  <si>
    <t>INV02618</t>
  </si>
  <si>
    <t>ORD02619</t>
  </si>
  <si>
    <t>INV02619</t>
  </si>
  <si>
    <t>ORD02620</t>
  </si>
  <si>
    <t>INV02620</t>
  </si>
  <si>
    <t>ORD02621</t>
  </si>
  <si>
    <t>INV02621</t>
  </si>
  <si>
    <t>ORD02622</t>
  </si>
  <si>
    <t>INV02622</t>
  </si>
  <si>
    <t>ORD02623</t>
  </si>
  <si>
    <t>INV02623</t>
  </si>
  <si>
    <t>ORD02624</t>
  </si>
  <si>
    <t>INV02624</t>
  </si>
  <si>
    <t>ORD02625</t>
  </si>
  <si>
    <t>INV02625</t>
  </si>
  <si>
    <t>ORD02626</t>
  </si>
  <si>
    <t>INV02626</t>
  </si>
  <si>
    <t>ORD02627</t>
  </si>
  <si>
    <t>INV02627</t>
  </si>
  <si>
    <t>ORD02628</t>
  </si>
  <si>
    <t>INV02628</t>
  </si>
  <si>
    <t>ORD02629</t>
  </si>
  <si>
    <t>INV02629</t>
  </si>
  <si>
    <t>ORD02630</t>
  </si>
  <si>
    <t>INV02630</t>
  </si>
  <si>
    <t>ORD02631</t>
  </si>
  <si>
    <t>INV02631</t>
  </si>
  <si>
    <t>ORD02632</t>
  </si>
  <si>
    <t>INV02632</t>
  </si>
  <si>
    <t>ORD02633</t>
  </si>
  <si>
    <t>INV02633</t>
  </si>
  <si>
    <t>ORD02634</t>
  </si>
  <si>
    <t>INV02634</t>
  </si>
  <si>
    <t>ORD02635</t>
  </si>
  <si>
    <t>INV02635</t>
  </si>
  <si>
    <t>ORD02636</t>
  </si>
  <si>
    <t>INV02636</t>
  </si>
  <si>
    <t>ORD02637</t>
  </si>
  <si>
    <t>INV02637</t>
  </si>
  <si>
    <t>ORD02638</t>
  </si>
  <si>
    <t>INV02638</t>
  </si>
  <si>
    <t>ORD02639</t>
  </si>
  <si>
    <t>INV02639</t>
  </si>
  <si>
    <t>ORD02640</t>
  </si>
  <si>
    <t>INV02640</t>
  </si>
  <si>
    <t>ORD02641</t>
  </si>
  <si>
    <t>INV02641</t>
  </si>
  <si>
    <t>ORD02642</t>
  </si>
  <si>
    <t>INV02642</t>
  </si>
  <si>
    <t>ORD02643</t>
  </si>
  <si>
    <t>INV02643</t>
  </si>
  <si>
    <t>ORD02644</t>
  </si>
  <si>
    <t>INV02644</t>
  </si>
  <si>
    <t>ORD02645</t>
  </si>
  <si>
    <t>INV02645</t>
  </si>
  <si>
    <t>ORD02646</t>
  </si>
  <si>
    <t>INV02646</t>
  </si>
  <si>
    <t>ORD02647</t>
  </si>
  <si>
    <t>INV02647</t>
  </si>
  <si>
    <t>ORD02648</t>
  </si>
  <si>
    <t>INV02648</t>
  </si>
  <si>
    <t>ORD02649</t>
  </si>
  <si>
    <t>INV02649</t>
  </si>
  <si>
    <t>ORD02650</t>
  </si>
  <si>
    <t>INV02650</t>
  </si>
  <si>
    <t>ORD02651</t>
  </si>
  <si>
    <t>INV02651</t>
  </si>
  <si>
    <t>ORD02652</t>
  </si>
  <si>
    <t>INV02652</t>
  </si>
  <si>
    <t>ORD02653</t>
  </si>
  <si>
    <t>INV02653</t>
  </si>
  <si>
    <t>ORD02654</t>
  </si>
  <si>
    <t>INV02654</t>
  </si>
  <si>
    <t>ORD02655</t>
  </si>
  <si>
    <t>INV02655</t>
  </si>
  <si>
    <t>ORD02656</t>
  </si>
  <si>
    <t>INV02656</t>
  </si>
  <si>
    <t>ORD02657</t>
  </si>
  <si>
    <t>CUST0531</t>
  </si>
  <si>
    <t>INV02657</t>
  </si>
  <si>
    <t>ORD02658</t>
  </si>
  <si>
    <t>INV02658</t>
  </si>
  <si>
    <t>ORD02659</t>
  </si>
  <si>
    <t>INV02659</t>
  </si>
  <si>
    <t>ORD02660</t>
  </si>
  <si>
    <t>INV02660</t>
  </si>
  <si>
    <t>ORD02661</t>
  </si>
  <si>
    <t>INV02661</t>
  </si>
  <si>
    <t>ORD02662</t>
  </si>
  <si>
    <t>INV02662</t>
  </si>
  <si>
    <t>ORD02663</t>
  </si>
  <si>
    <t>INV02663</t>
  </si>
  <si>
    <t>ORD02664</t>
  </si>
  <si>
    <t>INV02664</t>
  </si>
  <si>
    <t>ORD02665</t>
  </si>
  <si>
    <t>INV02665</t>
  </si>
  <si>
    <t>ORD02666</t>
  </si>
  <si>
    <t>INV02666</t>
  </si>
  <si>
    <t>ORD02667</t>
  </si>
  <si>
    <t>INV02667</t>
  </si>
  <si>
    <t>ORD02668</t>
  </si>
  <si>
    <t>INV02668</t>
  </si>
  <si>
    <t>ORD02669</t>
  </si>
  <si>
    <t>INV02669</t>
  </si>
  <si>
    <t>ORD02670</t>
  </si>
  <si>
    <t>INV02670</t>
  </si>
  <si>
    <t>ORD02671</t>
  </si>
  <si>
    <t>CUST0406</t>
  </si>
  <si>
    <t>INV02671</t>
  </si>
  <si>
    <t>ORD02672</t>
  </si>
  <si>
    <t>INV02672</t>
  </si>
  <si>
    <t>ORD02673</t>
  </si>
  <si>
    <t>INV02673</t>
  </si>
  <si>
    <t>ORD02674</t>
  </si>
  <si>
    <t>INV02674</t>
  </si>
  <si>
    <t>ORD02675</t>
  </si>
  <si>
    <t>INV02675</t>
  </si>
  <si>
    <t>ORD02676</t>
  </si>
  <si>
    <t>INV02676</t>
  </si>
  <si>
    <t>ORD02677</t>
  </si>
  <si>
    <t>INV02677</t>
  </si>
  <si>
    <t>ORD02678</t>
  </si>
  <si>
    <t>INV02678</t>
  </si>
  <si>
    <t>ORD02679</t>
  </si>
  <si>
    <t>INV02679</t>
  </si>
  <si>
    <t>ORD02680</t>
  </si>
  <si>
    <t>INV02680</t>
  </si>
  <si>
    <t>ORD02681</t>
  </si>
  <si>
    <t>INV02681</t>
  </si>
  <si>
    <t>ORD02682</t>
  </si>
  <si>
    <t>INV02682</t>
  </si>
  <si>
    <t>ORD02683</t>
  </si>
  <si>
    <t>INV02683</t>
  </si>
  <si>
    <t>ORD02684</t>
  </si>
  <si>
    <t>INV02684</t>
  </si>
  <si>
    <t>ORD02685</t>
  </si>
  <si>
    <t>INV02685</t>
  </si>
  <si>
    <t>ORD02686</t>
  </si>
  <si>
    <t>INV02686</t>
  </si>
  <si>
    <t>ORD02687</t>
  </si>
  <si>
    <t>INV02687</t>
  </si>
  <si>
    <t>ORD02688</t>
  </si>
  <si>
    <t>INV02688</t>
  </si>
  <si>
    <t>ORD02689</t>
  </si>
  <si>
    <t>INV02689</t>
  </si>
  <si>
    <t>ORD02690</t>
  </si>
  <si>
    <t>INV02690</t>
  </si>
  <si>
    <t>ORD02691</t>
  </si>
  <si>
    <t>INV02691</t>
  </si>
  <si>
    <t>ORD02692</t>
  </si>
  <si>
    <t>INV02692</t>
  </si>
  <si>
    <t>ORD02693</t>
  </si>
  <si>
    <t>INV02693</t>
  </si>
  <si>
    <t>ORD02694</t>
  </si>
  <si>
    <t>INV02694</t>
  </si>
  <si>
    <t>ORD02695</t>
  </si>
  <si>
    <t>INV02695</t>
  </si>
  <si>
    <t>ORD02696</t>
  </si>
  <si>
    <t>INV02696</t>
  </si>
  <si>
    <t>ORD02697</t>
  </si>
  <si>
    <t>INV02697</t>
  </si>
  <si>
    <t>ORD02698</t>
  </si>
  <si>
    <t>INV02698</t>
  </si>
  <si>
    <t>ORD02699</t>
  </si>
  <si>
    <t>INV02699</t>
  </si>
  <si>
    <t>ORD02700</t>
  </si>
  <si>
    <t>INV02700</t>
  </si>
  <si>
    <t>ORD02701</t>
  </si>
  <si>
    <t>INV02701</t>
  </si>
  <si>
    <t>ORD02702</t>
  </si>
  <si>
    <t>INV02702</t>
  </si>
  <si>
    <t>ORD02703</t>
  </si>
  <si>
    <t>INV02703</t>
  </si>
  <si>
    <t>ORD02704</t>
  </si>
  <si>
    <t>CUST0758</t>
  </si>
  <si>
    <t>INV02704</t>
  </si>
  <si>
    <t>ORD02705</t>
  </si>
  <si>
    <t>INV02705</t>
  </si>
  <si>
    <t>ORD02706</t>
  </si>
  <si>
    <t>INV02706</t>
  </si>
  <si>
    <t>ORD02707</t>
  </si>
  <si>
    <t>INV02707</t>
  </si>
  <si>
    <t>ORD02708</t>
  </si>
  <si>
    <t>INV02708</t>
  </si>
  <si>
    <t>ORD02709</t>
  </si>
  <si>
    <t>INV02709</t>
  </si>
  <si>
    <t>ORD02710</t>
  </si>
  <si>
    <t>INV02710</t>
  </si>
  <si>
    <t>ORD02711</t>
  </si>
  <si>
    <t>INV02711</t>
  </si>
  <si>
    <t>ORD02712</t>
  </si>
  <si>
    <t>INV02712</t>
  </si>
  <si>
    <t>ORD02713</t>
  </si>
  <si>
    <t>CUST0433</t>
  </si>
  <si>
    <t>INV02713</t>
  </si>
  <si>
    <t>ORD02714</t>
  </si>
  <si>
    <t>INV02714</t>
  </si>
  <si>
    <t>ORD02715</t>
  </si>
  <si>
    <t>INV02715</t>
  </si>
  <si>
    <t>ORD02716</t>
  </si>
  <si>
    <t>INV02716</t>
  </si>
  <si>
    <t>ORD02717</t>
  </si>
  <si>
    <t>INV02717</t>
  </si>
  <si>
    <t>ORD02718</t>
  </si>
  <si>
    <t>INV02718</t>
  </si>
  <si>
    <t>ORD02719</t>
  </si>
  <si>
    <t>INV02719</t>
  </si>
  <si>
    <t>ORD02720</t>
  </si>
  <si>
    <t>INV02720</t>
  </si>
  <si>
    <t>ORD02721</t>
  </si>
  <si>
    <t>INV02721</t>
  </si>
  <si>
    <t>ORD02722</t>
  </si>
  <si>
    <t>INV02722</t>
  </si>
  <si>
    <t>ORD02723</t>
  </si>
  <si>
    <t>INV02723</t>
  </si>
  <si>
    <t>ORD02724</t>
  </si>
  <si>
    <t>INV02724</t>
  </si>
  <si>
    <t>ORD02725</t>
  </si>
  <si>
    <t>INV02725</t>
  </si>
  <si>
    <t>ORD02726</t>
  </si>
  <si>
    <t>INV02726</t>
  </si>
  <si>
    <t>ORD02727</t>
  </si>
  <si>
    <t>INV02727</t>
  </si>
  <si>
    <t>ORD02728</t>
  </si>
  <si>
    <t>INV02728</t>
  </si>
  <si>
    <t>ORD02729</t>
  </si>
  <si>
    <t>INV02729</t>
  </si>
  <si>
    <t>ORD02730</t>
  </si>
  <si>
    <t>INV02730</t>
  </si>
  <si>
    <t>ORD02731</t>
  </si>
  <si>
    <t>INV02731</t>
  </si>
  <si>
    <t>ORD02732</t>
  </si>
  <si>
    <t>INV02732</t>
  </si>
  <si>
    <t>ORD02733</t>
  </si>
  <si>
    <t>INV02733</t>
  </si>
  <si>
    <t>ORD02734</t>
  </si>
  <si>
    <t>CUST0048</t>
  </si>
  <si>
    <t>INV02734</t>
  </si>
  <si>
    <t>ORD02735</t>
  </si>
  <si>
    <t>INV02735</t>
  </si>
  <si>
    <t>ORD02736</t>
  </si>
  <si>
    <t>INV02736</t>
  </si>
  <si>
    <t>ORD02737</t>
  </si>
  <si>
    <t>INV02737</t>
  </si>
  <si>
    <t>ORD02738</t>
  </si>
  <si>
    <t>INV02738</t>
  </si>
  <si>
    <t>ORD02739</t>
  </si>
  <si>
    <t>INV02739</t>
  </si>
  <si>
    <t>ORD02740</t>
  </si>
  <si>
    <t>INV02740</t>
  </si>
  <si>
    <t>ORD02741</t>
  </si>
  <si>
    <t>INV02741</t>
  </si>
  <si>
    <t>ORD02742</t>
  </si>
  <si>
    <t>INV02742</t>
  </si>
  <si>
    <t>ORD02743</t>
  </si>
  <si>
    <t>INV02743</t>
  </si>
  <si>
    <t>ORD02744</t>
  </si>
  <si>
    <t>INV02744</t>
  </si>
  <si>
    <t>ORD02745</t>
  </si>
  <si>
    <t>INV02745</t>
  </si>
  <si>
    <t>ORD02746</t>
  </si>
  <si>
    <t>INV02746</t>
  </si>
  <si>
    <t>ORD02747</t>
  </si>
  <si>
    <t>CUST0008</t>
  </si>
  <si>
    <t>INV02747</t>
  </si>
  <si>
    <t>ORD02748</t>
  </si>
  <si>
    <t>INV02748</t>
  </si>
  <si>
    <t>ORD02749</t>
  </si>
  <si>
    <t>INV02749</t>
  </si>
  <si>
    <t>ORD02750</t>
  </si>
  <si>
    <t>INV02750</t>
  </si>
  <si>
    <t>ORD02751</t>
  </si>
  <si>
    <t>CUST0545</t>
  </si>
  <si>
    <t>INV02751</t>
  </si>
  <si>
    <t>ORD02752</t>
  </si>
  <si>
    <t>INV02752</t>
  </si>
  <si>
    <t>ORD02753</t>
  </si>
  <si>
    <t>INV02753</t>
  </si>
  <si>
    <t>ORD02754</t>
  </si>
  <si>
    <t>INV02754</t>
  </si>
  <si>
    <t>ORD02755</t>
  </si>
  <si>
    <t>INV02755</t>
  </si>
  <si>
    <t>ORD02756</t>
  </si>
  <si>
    <t>INV02756</t>
  </si>
  <si>
    <t>ORD02757</t>
  </si>
  <si>
    <t>INV02757</t>
  </si>
  <si>
    <t>ORD02758</t>
  </si>
  <si>
    <t>INV02758</t>
  </si>
  <si>
    <t>ORD02759</t>
  </si>
  <si>
    <t>INV02759</t>
  </si>
  <si>
    <t>ORD02760</t>
  </si>
  <si>
    <t>INV02760</t>
  </si>
  <si>
    <t>ORD02761</t>
  </si>
  <si>
    <t>INV02761</t>
  </si>
  <si>
    <t>ORD02762</t>
  </si>
  <si>
    <t>INV02762</t>
  </si>
  <si>
    <t>ORD02763</t>
  </si>
  <si>
    <t>INV02763</t>
  </si>
  <si>
    <t>ORD02764</t>
  </si>
  <si>
    <t>CUST0325</t>
  </si>
  <si>
    <t>INV02764</t>
  </si>
  <si>
    <t>ORD02765</t>
  </si>
  <si>
    <t>INV02765</t>
  </si>
  <si>
    <t>ORD02766</t>
  </si>
  <si>
    <t>INV02766</t>
  </si>
  <si>
    <t>ORD02767</t>
  </si>
  <si>
    <t>INV02767</t>
  </si>
  <si>
    <t>ORD02768</t>
  </si>
  <si>
    <t>INV02768</t>
  </si>
  <si>
    <t>ORD02769</t>
  </si>
  <si>
    <t>INV02769</t>
  </si>
  <si>
    <t>ORD02770</t>
  </si>
  <si>
    <t>INV02770</t>
  </si>
  <si>
    <t>ORD02771</t>
  </si>
  <si>
    <t>INV02771</t>
  </si>
  <si>
    <t>ORD02772</t>
  </si>
  <si>
    <t>INV02772</t>
  </si>
  <si>
    <t>ORD02773</t>
  </si>
  <si>
    <t>INV02773</t>
  </si>
  <si>
    <t>ORD02774</t>
  </si>
  <si>
    <t>INV02774</t>
  </si>
  <si>
    <t>ORD02775</t>
  </si>
  <si>
    <t>INV02775</t>
  </si>
  <si>
    <t>ORD02776</t>
  </si>
  <si>
    <t>INV02776</t>
  </si>
  <si>
    <t>ORD02777</t>
  </si>
  <si>
    <t>INV02777</t>
  </si>
  <si>
    <t>ORD02778</t>
  </si>
  <si>
    <t>INV02778</t>
  </si>
  <si>
    <t>ORD02779</t>
  </si>
  <si>
    <t>INV02779</t>
  </si>
  <si>
    <t>ORD02780</t>
  </si>
  <si>
    <t>INV02780</t>
  </si>
  <si>
    <t>ORD02781</t>
  </si>
  <si>
    <t>INV02781</t>
  </si>
  <si>
    <t>ORD02782</t>
  </si>
  <si>
    <t>INV02782</t>
  </si>
  <si>
    <t>ORD02783</t>
  </si>
  <si>
    <t>INV02783</t>
  </si>
  <si>
    <t>ORD02784</t>
  </si>
  <si>
    <t>INV02784</t>
  </si>
  <si>
    <t>ORD02785</t>
  </si>
  <si>
    <t>INV02785</t>
  </si>
  <si>
    <t>ORD02786</t>
  </si>
  <si>
    <t>INV02786</t>
  </si>
  <si>
    <t>ORD02787</t>
  </si>
  <si>
    <t>INV02787</t>
  </si>
  <si>
    <t>ORD02788</t>
  </si>
  <si>
    <t>INV02788</t>
  </si>
  <si>
    <t>ORD02789</t>
  </si>
  <si>
    <t>INV02789</t>
  </si>
  <si>
    <t>ORD02790</t>
  </si>
  <si>
    <t>INV02790</t>
  </si>
  <si>
    <t>ORD02791</t>
  </si>
  <si>
    <t>INV02791</t>
  </si>
  <si>
    <t>ORD02792</t>
  </si>
  <si>
    <t>INV02792</t>
  </si>
  <si>
    <t>ORD02793</t>
  </si>
  <si>
    <t>CUST0250</t>
  </si>
  <si>
    <t>INV02793</t>
  </si>
  <si>
    <t>ORD02794</t>
  </si>
  <si>
    <t>INV02794</t>
  </si>
  <si>
    <t>ORD02795</t>
  </si>
  <si>
    <t>INV02795</t>
  </si>
  <si>
    <t>ORD02796</t>
  </si>
  <si>
    <t>INV02796</t>
  </si>
  <si>
    <t>ORD02797</t>
  </si>
  <si>
    <t>INV02797</t>
  </si>
  <si>
    <t>ORD02798</t>
  </si>
  <si>
    <t>INV02798</t>
  </si>
  <si>
    <t>ORD02799</t>
  </si>
  <si>
    <t>INV02799</t>
  </si>
  <si>
    <t>ORD02800</t>
  </si>
  <si>
    <t>INV02800</t>
  </si>
  <si>
    <t>ORD02801</t>
  </si>
  <si>
    <t>INV02801</t>
  </si>
  <si>
    <t>ORD02802</t>
  </si>
  <si>
    <t>INV02802</t>
  </si>
  <si>
    <t>ORD02803</t>
  </si>
  <si>
    <t>INV02803</t>
  </si>
  <si>
    <t>ORD02804</t>
  </si>
  <si>
    <t>INV02804</t>
  </si>
  <si>
    <t>ORD02805</t>
  </si>
  <si>
    <t>INV02805</t>
  </si>
  <si>
    <t>ORD02806</t>
  </si>
  <si>
    <t>INV02806</t>
  </si>
  <si>
    <t>ORD02807</t>
  </si>
  <si>
    <t>INV02807</t>
  </si>
  <si>
    <t>ORD02808</t>
  </si>
  <si>
    <t>INV02808</t>
  </si>
  <si>
    <t>ORD02809</t>
  </si>
  <si>
    <t>INV02809</t>
  </si>
  <si>
    <t>ORD02810</t>
  </si>
  <si>
    <t>INV02810</t>
  </si>
  <si>
    <t>ORD02811</t>
  </si>
  <si>
    <t>INV02811</t>
  </si>
  <si>
    <t>ORD02812</t>
  </si>
  <si>
    <t>INV02812</t>
  </si>
  <si>
    <t>ORD02813</t>
  </si>
  <si>
    <t>INV02813</t>
  </si>
  <si>
    <t>ORD02814</t>
  </si>
  <si>
    <t>INV02814</t>
  </si>
  <si>
    <t>ORD02815</t>
  </si>
  <si>
    <t>INV02815</t>
  </si>
  <si>
    <t>ORD02816</t>
  </si>
  <si>
    <t>INV02816</t>
  </si>
  <si>
    <t>ORD02817</t>
  </si>
  <si>
    <t>INV02817</t>
  </si>
  <si>
    <t>ORD02818</t>
  </si>
  <si>
    <t>INV02818</t>
  </si>
  <si>
    <t>ORD02819</t>
  </si>
  <si>
    <t>INV02819</t>
  </si>
  <si>
    <t>ORD02820</t>
  </si>
  <si>
    <t>INV02820</t>
  </si>
  <si>
    <t>ORD02821</t>
  </si>
  <si>
    <t>INV02821</t>
  </si>
  <si>
    <t>ORD02822</t>
  </si>
  <si>
    <t>INV02822</t>
  </si>
  <si>
    <t>ORD02823</t>
  </si>
  <si>
    <t>INV02823</t>
  </si>
  <si>
    <t>ORD02824</t>
  </si>
  <si>
    <t>INV02824</t>
  </si>
  <si>
    <t>ORD02825</t>
  </si>
  <si>
    <t>INV02825</t>
  </si>
  <si>
    <t>ORD02826</t>
  </si>
  <si>
    <t>INV02826</t>
  </si>
  <si>
    <t>ORD02827</t>
  </si>
  <si>
    <t>INV02827</t>
  </si>
  <si>
    <t>ORD02828</t>
  </si>
  <si>
    <t>INV02828</t>
  </si>
  <si>
    <t>ORD02829</t>
  </si>
  <si>
    <t>INV02829</t>
  </si>
  <si>
    <t>ORD02830</t>
  </si>
  <si>
    <t>INV02830</t>
  </si>
  <si>
    <t>ORD02831</t>
  </si>
  <si>
    <t>INV02831</t>
  </si>
  <si>
    <t>ORD02832</t>
  </si>
  <si>
    <t>INV02832</t>
  </si>
  <si>
    <t>ORD02833</t>
  </si>
  <si>
    <t>INV02833</t>
  </si>
  <si>
    <t>ORD02834</t>
  </si>
  <si>
    <t>INV02834</t>
  </si>
  <si>
    <t>ORD02835</t>
  </si>
  <si>
    <t>INV02835</t>
  </si>
  <si>
    <t>ORD02836</t>
  </si>
  <si>
    <t>INV02836</t>
  </si>
  <si>
    <t>ORD02837</t>
  </si>
  <si>
    <t>INV02837</t>
  </si>
  <si>
    <t>ORD02838</t>
  </si>
  <si>
    <t>INV02838</t>
  </si>
  <si>
    <t>ORD02839</t>
  </si>
  <si>
    <t>INV02839</t>
  </si>
  <si>
    <t>ORD02840</t>
  </si>
  <si>
    <t>INV02840</t>
  </si>
  <si>
    <t>ORD02841</t>
  </si>
  <si>
    <t>INV02841</t>
  </si>
  <si>
    <t>ORD02842</t>
  </si>
  <si>
    <t>INV02842</t>
  </si>
  <si>
    <t>ORD02843</t>
  </si>
  <si>
    <t>INV02843</t>
  </si>
  <si>
    <t>ORD02844</t>
  </si>
  <si>
    <t>INV02844</t>
  </si>
  <si>
    <t>ORD02845</t>
  </si>
  <si>
    <t>INV02845</t>
  </si>
  <si>
    <t>ORD02846</t>
  </si>
  <si>
    <t>INV02846</t>
  </si>
  <si>
    <t>ORD02847</t>
  </si>
  <si>
    <t>INV02847</t>
  </si>
  <si>
    <t>ORD02848</t>
  </si>
  <si>
    <t>INV02848</t>
  </si>
  <si>
    <t>ORD02849</t>
  </si>
  <si>
    <t>INV02849</t>
  </si>
  <si>
    <t>ORD02850</t>
  </si>
  <si>
    <t>INV02850</t>
  </si>
  <si>
    <t>ORD02851</t>
  </si>
  <si>
    <t>INV02851</t>
  </si>
  <si>
    <t>ORD02852</t>
  </si>
  <si>
    <t>INV02852</t>
  </si>
  <si>
    <t>ORD02853</t>
  </si>
  <si>
    <t>INV02853</t>
  </si>
  <si>
    <t>ORD02854</t>
  </si>
  <si>
    <t>INV02854</t>
  </si>
  <si>
    <t>ORD02855</t>
  </si>
  <si>
    <t>INV02855</t>
  </si>
  <si>
    <t>ORD02856</t>
  </si>
  <si>
    <t>INV02856</t>
  </si>
  <si>
    <t>ORD02857</t>
  </si>
  <si>
    <t>INV02857</t>
  </si>
  <si>
    <t>ORD02858</t>
  </si>
  <si>
    <t>INV02858</t>
  </si>
  <si>
    <t>ORD02859</t>
  </si>
  <si>
    <t>INV02859</t>
  </si>
  <si>
    <t>ORD02860</t>
  </si>
  <si>
    <t>INV02860</t>
  </si>
  <si>
    <t>ORD02861</t>
  </si>
  <si>
    <t>INV02861</t>
  </si>
  <si>
    <t>ORD02862</t>
  </si>
  <si>
    <t>INV02862</t>
  </si>
  <si>
    <t>ORD02863</t>
  </si>
  <si>
    <t>INV02863</t>
  </si>
  <si>
    <t>ORD02864</t>
  </si>
  <si>
    <t>INV02864</t>
  </si>
  <si>
    <t>ORD02865</t>
  </si>
  <si>
    <t>INV02865</t>
  </si>
  <si>
    <t>ORD02866</t>
  </si>
  <si>
    <t>INV02866</t>
  </si>
  <si>
    <t>ORD02867</t>
  </si>
  <si>
    <t>INV02867</t>
  </si>
  <si>
    <t>ORD02868</t>
  </si>
  <si>
    <t>INV02868</t>
  </si>
  <si>
    <t>ORD02869</t>
  </si>
  <si>
    <t>INV02869</t>
  </si>
  <si>
    <t>ORD02870</t>
  </si>
  <si>
    <t>INV02870</t>
  </si>
  <si>
    <t>ORD02871</t>
  </si>
  <si>
    <t>CUST0416</t>
  </si>
  <si>
    <t>INV02871</t>
  </si>
  <si>
    <t>ORD02872</t>
  </si>
  <si>
    <t>INV02872</t>
  </si>
  <si>
    <t>ORD02873</t>
  </si>
  <si>
    <t>INV02873</t>
  </si>
  <si>
    <t>ORD02874</t>
  </si>
  <si>
    <t>INV02874</t>
  </si>
  <si>
    <t>ORD02875</t>
  </si>
  <si>
    <t>CUST0365</t>
  </si>
  <si>
    <t>INV02875</t>
  </si>
  <si>
    <t>ORD02876</t>
  </si>
  <si>
    <t>INV02876</t>
  </si>
  <si>
    <t>ORD02877</t>
  </si>
  <si>
    <t>INV02877</t>
  </si>
  <si>
    <t>ORD02878</t>
  </si>
  <si>
    <t>INV02878</t>
  </si>
  <si>
    <t>ORD02879</t>
  </si>
  <si>
    <t>INV02879</t>
  </si>
  <si>
    <t>ORD02880</t>
  </si>
  <si>
    <t>INV02880</t>
  </si>
  <si>
    <t>ORD02881</t>
  </si>
  <si>
    <t>INV02881</t>
  </si>
  <si>
    <t>ORD02882</t>
  </si>
  <si>
    <t>INV02882</t>
  </si>
  <si>
    <t>ORD02883</t>
  </si>
  <si>
    <t>INV02883</t>
  </si>
  <si>
    <t>ORD02884</t>
  </si>
  <si>
    <t>INV02884</t>
  </si>
  <si>
    <t>ORD02885</t>
  </si>
  <si>
    <t>INV02885</t>
  </si>
  <si>
    <t>ORD02886</t>
  </si>
  <si>
    <t>INV02886</t>
  </si>
  <si>
    <t>ORD02887</t>
  </si>
  <si>
    <t>INV02887</t>
  </si>
  <si>
    <t>ORD02888</t>
  </si>
  <si>
    <t>INV02888</t>
  </si>
  <si>
    <t>ORD02889</t>
  </si>
  <si>
    <t>INV02889</t>
  </si>
  <si>
    <t>ORD02890</t>
  </si>
  <si>
    <t>INV02890</t>
  </si>
  <si>
    <t>ORD02891</t>
  </si>
  <si>
    <t>INV02891</t>
  </si>
  <si>
    <t>ORD02892</t>
  </si>
  <si>
    <t>INV02892</t>
  </si>
  <si>
    <t>ORD02893</t>
  </si>
  <si>
    <t>INV02893</t>
  </si>
  <si>
    <t>ORD02894</t>
  </si>
  <si>
    <t>INV02894</t>
  </si>
  <si>
    <t>ORD02895</t>
  </si>
  <si>
    <t>INV02895</t>
  </si>
  <si>
    <t>ORD02896</t>
  </si>
  <si>
    <t>INV02896</t>
  </si>
  <si>
    <t>ORD02897</t>
  </si>
  <si>
    <t>INV02897</t>
  </si>
  <si>
    <t>ORD02898</t>
  </si>
  <si>
    <t>INV02898</t>
  </si>
  <si>
    <t>ORD02899</t>
  </si>
  <si>
    <t>INV02899</t>
  </si>
  <si>
    <t>ORD02900</t>
  </si>
  <si>
    <t>INV02900</t>
  </si>
  <si>
    <t>ORD02901</t>
  </si>
  <si>
    <t>INV02901</t>
  </si>
  <si>
    <t>ORD02902</t>
  </si>
  <si>
    <t>INV02902</t>
  </si>
  <si>
    <t>ORD02903</t>
  </si>
  <si>
    <t>INV02903</t>
  </si>
  <si>
    <t>ORD02904</t>
  </si>
  <si>
    <t>INV02904</t>
  </si>
  <si>
    <t>ORD02905</t>
  </si>
  <si>
    <t>INV02905</t>
  </si>
  <si>
    <t>ORD02906</t>
  </si>
  <si>
    <t>INV02906</t>
  </si>
  <si>
    <t>ORD02907</t>
  </si>
  <si>
    <t>INV02907</t>
  </si>
  <si>
    <t>ORD02908</t>
  </si>
  <si>
    <t>INV02908</t>
  </si>
  <si>
    <t>ORD02909</t>
  </si>
  <si>
    <t>INV02909</t>
  </si>
  <si>
    <t>ORD02910</t>
  </si>
  <si>
    <t>INV02910</t>
  </si>
  <si>
    <t>ORD02911</t>
  </si>
  <si>
    <t>INV02911</t>
  </si>
  <si>
    <t>ORD02912</t>
  </si>
  <si>
    <t>INV02912</t>
  </si>
  <si>
    <t>ORD02913</t>
  </si>
  <si>
    <t>INV02913</t>
  </si>
  <si>
    <t>ORD02914</t>
  </si>
  <si>
    <t>INV02914</t>
  </si>
  <si>
    <t>ORD02915</t>
  </si>
  <si>
    <t>INV02915</t>
  </si>
  <si>
    <t>ORD02916</t>
  </si>
  <si>
    <t>INV02916</t>
  </si>
  <si>
    <t>ORD02917</t>
  </si>
  <si>
    <t>INV02917</t>
  </si>
  <si>
    <t>ORD02918</t>
  </si>
  <si>
    <t>INV02918</t>
  </si>
  <si>
    <t>ORD02919</t>
  </si>
  <si>
    <t>INV02919</t>
  </si>
  <si>
    <t>ORD02920</t>
  </si>
  <si>
    <t>INV02920</t>
  </si>
  <si>
    <t>ORD02921</t>
  </si>
  <si>
    <t>INV02921</t>
  </si>
  <si>
    <t>ORD02922</t>
  </si>
  <si>
    <t>INV02922</t>
  </si>
  <si>
    <t>ORD02923</t>
  </si>
  <si>
    <t>INV02923</t>
  </si>
  <si>
    <t>ORD02924</t>
  </si>
  <si>
    <t>INV02924</t>
  </si>
  <si>
    <t>ORD02925</t>
  </si>
  <si>
    <t>INV02925</t>
  </si>
  <si>
    <t>ORD02926</t>
  </si>
  <si>
    <t>INV02926</t>
  </si>
  <si>
    <t>ORD02927</t>
  </si>
  <si>
    <t>INV02927</t>
  </si>
  <si>
    <t>ORD02928</t>
  </si>
  <si>
    <t>INV02928</t>
  </si>
  <si>
    <t>ORD02929</t>
  </si>
  <si>
    <t>INV02929</t>
  </si>
  <si>
    <t>ORD02930</t>
  </si>
  <si>
    <t>INV02930</t>
  </si>
  <si>
    <t>ORD02931</t>
  </si>
  <si>
    <t>INV02931</t>
  </si>
  <si>
    <t>ORD02932</t>
  </si>
  <si>
    <t>INV02932</t>
  </si>
  <si>
    <t>ORD02933</t>
  </si>
  <si>
    <t>INV02933</t>
  </si>
  <si>
    <t>ORD02934</t>
  </si>
  <si>
    <t>INV02934</t>
  </si>
  <si>
    <t>ORD02935</t>
  </si>
  <si>
    <t>INV02935</t>
  </si>
  <si>
    <t>ORD02936</t>
  </si>
  <si>
    <t>INV02936</t>
  </si>
  <si>
    <t>ORD02937</t>
  </si>
  <si>
    <t>INV02937</t>
  </si>
  <si>
    <t>ORD02938</t>
  </si>
  <si>
    <t>INV02938</t>
  </si>
  <si>
    <t>ORD02939</t>
  </si>
  <si>
    <t>INV02939</t>
  </si>
  <si>
    <t>ORD02940</t>
  </si>
  <si>
    <t>INV02940</t>
  </si>
  <si>
    <t>ORD02941</t>
  </si>
  <si>
    <t>INV02941</t>
  </si>
  <si>
    <t>ORD02942</t>
  </si>
  <si>
    <t>INV02942</t>
  </si>
  <si>
    <t>ORD02943</t>
  </si>
  <si>
    <t>INV02943</t>
  </si>
  <si>
    <t>ORD02944</t>
  </si>
  <si>
    <t>INV02944</t>
  </si>
  <si>
    <t>ORD02945</t>
  </si>
  <si>
    <t>INV02945</t>
  </si>
  <si>
    <t>ORD02946</t>
  </si>
  <si>
    <t>INV02946</t>
  </si>
  <si>
    <t>ORD02947</t>
  </si>
  <si>
    <t>INV02947</t>
  </si>
  <si>
    <t>ORD02948</t>
  </si>
  <si>
    <t>INV02948</t>
  </si>
  <si>
    <t>ORD02949</t>
  </si>
  <si>
    <t>INV02949</t>
  </si>
  <si>
    <t>ORD02950</t>
  </si>
  <si>
    <t>INV02950</t>
  </si>
  <si>
    <t>ORD02951</t>
  </si>
  <si>
    <t>INV02951</t>
  </si>
  <si>
    <t>ORD02952</t>
  </si>
  <si>
    <t>INV02952</t>
  </si>
  <si>
    <t>ORD02953</t>
  </si>
  <si>
    <t>INV02953</t>
  </si>
  <si>
    <t>ORD02954</t>
  </si>
  <si>
    <t>INV02954</t>
  </si>
  <si>
    <t>ORD02955</t>
  </si>
  <si>
    <t>INV02955</t>
  </si>
  <si>
    <t>ORD02956</t>
  </si>
  <si>
    <t>INV02956</t>
  </si>
  <si>
    <t>ORD02957</t>
  </si>
  <si>
    <t>INV02957</t>
  </si>
  <si>
    <t>ORD02958</t>
  </si>
  <si>
    <t>INV02958</t>
  </si>
  <si>
    <t>ORD02959</t>
  </si>
  <si>
    <t>INV02959</t>
  </si>
  <si>
    <t>ORD02960</t>
  </si>
  <si>
    <t>INV02960</t>
  </si>
  <si>
    <t>ORD02961</t>
  </si>
  <si>
    <t>INV02961</t>
  </si>
  <si>
    <t>ORD02962</t>
  </si>
  <si>
    <t>INV02962</t>
  </si>
  <si>
    <t>ORD02963</t>
  </si>
  <si>
    <t>INV02963</t>
  </si>
  <si>
    <t>ORD02964</t>
  </si>
  <si>
    <t>INV02964</t>
  </si>
  <si>
    <t>ORD02965</t>
  </si>
  <si>
    <t>INV02965</t>
  </si>
  <si>
    <t>ORD02966</t>
  </si>
  <si>
    <t>INV02966</t>
  </si>
  <si>
    <t>ORD02967</t>
  </si>
  <si>
    <t>INV02967</t>
  </si>
  <si>
    <t>ORD02968</t>
  </si>
  <si>
    <t>INV02968</t>
  </si>
  <si>
    <t>ORD02969</t>
  </si>
  <si>
    <t>INV02969</t>
  </si>
  <si>
    <t>ORD02970</t>
  </si>
  <si>
    <t>INV02970</t>
  </si>
  <si>
    <t>ORD02971</t>
  </si>
  <si>
    <t>INV02971</t>
  </si>
  <si>
    <t>ORD02972</t>
  </si>
  <si>
    <t>INV02972</t>
  </si>
  <si>
    <t>ORD02973</t>
  </si>
  <si>
    <t>INV02973</t>
  </si>
  <si>
    <t>ORD02974</t>
  </si>
  <si>
    <t>INV02974</t>
  </si>
  <si>
    <t>ORD02975</t>
  </si>
  <si>
    <t>CUST0415</t>
  </si>
  <si>
    <t>INV02975</t>
  </si>
  <si>
    <t>ORD02976</t>
  </si>
  <si>
    <t>INV02976</t>
  </si>
  <si>
    <t>ORD02977</t>
  </si>
  <si>
    <t>INV02977</t>
  </si>
  <si>
    <t>ORD02978</t>
  </si>
  <si>
    <t>INV02978</t>
  </si>
  <si>
    <t>ORD02979</t>
  </si>
  <si>
    <t>INV02979</t>
  </si>
  <si>
    <t>ORD02980</t>
  </si>
  <si>
    <t>INV02980</t>
  </si>
  <si>
    <t>ORD02981</t>
  </si>
  <si>
    <t>INV02981</t>
  </si>
  <si>
    <t>ORD02982</t>
  </si>
  <si>
    <t>INV02982</t>
  </si>
  <si>
    <t>ORD02983</t>
  </si>
  <si>
    <t>INV02983</t>
  </si>
  <si>
    <t>ORD02984</t>
  </si>
  <si>
    <t>INV02984</t>
  </si>
  <si>
    <t>ORD02985</t>
  </si>
  <si>
    <t>INV02985</t>
  </si>
  <si>
    <t>ORD02986</t>
  </si>
  <si>
    <t>INV02986</t>
  </si>
  <si>
    <t>ORD02987</t>
  </si>
  <si>
    <t>INV02987</t>
  </si>
  <si>
    <t>ORD02988</t>
  </si>
  <si>
    <t>INV02988</t>
  </si>
  <si>
    <t>ORD02989</t>
  </si>
  <si>
    <t>INV02989</t>
  </si>
  <si>
    <t>ORD02990</t>
  </si>
  <si>
    <t>INV02990</t>
  </si>
  <si>
    <t>ORD02991</t>
  </si>
  <si>
    <t>INV02991</t>
  </si>
  <si>
    <t>ORD02992</t>
  </si>
  <si>
    <t>INV02992</t>
  </si>
  <si>
    <t>ORD02993</t>
  </si>
  <si>
    <t>CUST0391</t>
  </si>
  <si>
    <t>INV02993</t>
  </si>
  <si>
    <t>ORD02994</t>
  </si>
  <si>
    <t>INV02994</t>
  </si>
  <si>
    <t>ORD02995</t>
  </si>
  <si>
    <t>INV02995</t>
  </si>
  <si>
    <t>ORD02996</t>
  </si>
  <si>
    <t>INV02996</t>
  </si>
  <si>
    <t>ORD02997</t>
  </si>
  <si>
    <t>INV02997</t>
  </si>
  <si>
    <t>ORD02998</t>
  </si>
  <si>
    <t>INV02998</t>
  </si>
  <si>
    <t>ORD02999</t>
  </si>
  <si>
    <t>INV02999</t>
  </si>
  <si>
    <t>ORD03000</t>
  </si>
  <si>
    <t>INV03000</t>
  </si>
  <si>
    <t>ORD03001</t>
  </si>
  <si>
    <t>INV03001</t>
  </si>
  <si>
    <t>ORD03002</t>
  </si>
  <si>
    <t>INV03002</t>
  </si>
  <si>
    <t>ORD03003</t>
  </si>
  <si>
    <t>INV03003</t>
  </si>
  <si>
    <t>ORD03004</t>
  </si>
  <si>
    <t>INV03004</t>
  </si>
  <si>
    <t>ORD03005</t>
  </si>
  <si>
    <t>INV03005</t>
  </si>
  <si>
    <t>ORD03006</t>
  </si>
  <si>
    <t>INV03006</t>
  </si>
  <si>
    <t>ORD03007</t>
  </si>
  <si>
    <t>INV03007</t>
  </si>
  <si>
    <t>ORD03008</t>
  </si>
  <si>
    <t>INV03008</t>
  </si>
  <si>
    <t>ORD03009</t>
  </si>
  <si>
    <t>INV03009</t>
  </si>
  <si>
    <t>ORD03010</t>
  </si>
  <si>
    <t>INV03010</t>
  </si>
  <si>
    <t>ORD03011</t>
  </si>
  <si>
    <t>INV03011</t>
  </si>
  <si>
    <t>ORD03012</t>
  </si>
  <si>
    <t>INV03012</t>
  </si>
  <si>
    <t>ORD03013</t>
  </si>
  <si>
    <t>INV03013</t>
  </si>
  <si>
    <t>ORD03014</t>
  </si>
  <si>
    <t>INV03014</t>
  </si>
  <si>
    <t>ORD03015</t>
  </si>
  <si>
    <t>INV03015</t>
  </si>
  <si>
    <t>ORD03016</t>
  </si>
  <si>
    <t>INV03016</t>
  </si>
  <si>
    <t>ORD03017</t>
  </si>
  <si>
    <t>INV03017</t>
  </si>
  <si>
    <t>ORD03018</t>
  </si>
  <si>
    <t>INV03018</t>
  </si>
  <si>
    <t>ORD03019</t>
  </si>
  <si>
    <t>INV03019</t>
  </si>
  <si>
    <t>ORD03020</t>
  </si>
  <si>
    <t>INV03020</t>
  </si>
  <si>
    <t>ORD03021</t>
  </si>
  <si>
    <t>INV03021</t>
  </si>
  <si>
    <t>ORD03022</t>
  </si>
  <si>
    <t>INV03022</t>
  </si>
  <si>
    <t>ORD03023</t>
  </si>
  <si>
    <t>INV03023</t>
  </si>
  <si>
    <t>ORD03024</t>
  </si>
  <si>
    <t>INV03024</t>
  </si>
  <si>
    <t>ORD03025</t>
  </si>
  <si>
    <t>INV03025</t>
  </si>
  <si>
    <t>ORD03026</t>
  </si>
  <si>
    <t>INV03026</t>
  </si>
  <si>
    <t>ORD03027</t>
  </si>
  <si>
    <t>INV03027</t>
  </si>
  <si>
    <t>ORD03028</t>
  </si>
  <si>
    <t>INV03028</t>
  </si>
  <si>
    <t>ORD03029</t>
  </si>
  <si>
    <t>INV03029</t>
  </si>
  <si>
    <t>ORD03030</t>
  </si>
  <si>
    <t>INV03030</t>
  </si>
  <si>
    <t>ORD03031</t>
  </si>
  <si>
    <t>INV03031</t>
  </si>
  <si>
    <t>ORD03032</t>
  </si>
  <si>
    <t>INV03032</t>
  </si>
  <si>
    <t>ORD03033</t>
  </si>
  <si>
    <t>INV03033</t>
  </si>
  <si>
    <t>ORD03034</t>
  </si>
  <si>
    <t>INV03034</t>
  </si>
  <si>
    <t>ORD03035</t>
  </si>
  <si>
    <t>INV03035</t>
  </si>
  <si>
    <t>ORD03036</t>
  </si>
  <si>
    <t>INV03036</t>
  </si>
  <si>
    <t>ORD03037</t>
  </si>
  <si>
    <t>INV03037</t>
  </si>
  <si>
    <t>ORD03038</t>
  </si>
  <si>
    <t>INV03038</t>
  </si>
  <si>
    <t>ORD03039</t>
  </si>
  <si>
    <t>INV03039</t>
  </si>
  <si>
    <t>ORD03040</t>
  </si>
  <si>
    <t>INV03040</t>
  </si>
  <si>
    <t>ORD03041</t>
  </si>
  <si>
    <t>INV03041</t>
  </si>
  <si>
    <t>ORD03042</t>
  </si>
  <si>
    <t>INV03042</t>
  </si>
  <si>
    <t>ORD03043</t>
  </si>
  <si>
    <t>INV03043</t>
  </si>
  <si>
    <t>ORD03044</t>
  </si>
  <si>
    <t>INV03044</t>
  </si>
  <si>
    <t>ORD03045</t>
  </si>
  <si>
    <t>INV03045</t>
  </si>
  <si>
    <t>ORD03046</t>
  </si>
  <si>
    <t>INV03046</t>
  </si>
  <si>
    <t>ORD03047</t>
  </si>
  <si>
    <t>INV03047</t>
  </si>
  <si>
    <t>ORD03048</t>
  </si>
  <si>
    <t>INV03048</t>
  </si>
  <si>
    <t>ORD03049</t>
  </si>
  <si>
    <t>INV03049</t>
  </si>
  <si>
    <t>ORD03050</t>
  </si>
  <si>
    <t>INV03050</t>
  </si>
  <si>
    <t>ORD03051</t>
  </si>
  <si>
    <t>INV03051</t>
  </si>
  <si>
    <t>ORD03052</t>
  </si>
  <si>
    <t>INV03052</t>
  </si>
  <si>
    <t>ORD03053</t>
  </si>
  <si>
    <t>INV03053</t>
  </si>
  <si>
    <t>ORD03054</t>
  </si>
  <si>
    <t>INV03054</t>
  </si>
  <si>
    <t>ORD03055</t>
  </si>
  <si>
    <t>INV03055</t>
  </si>
  <si>
    <t>ORD03056</t>
  </si>
  <si>
    <t>INV03056</t>
  </si>
  <si>
    <t>ORD03057</t>
  </si>
  <si>
    <t>INV03057</t>
  </si>
  <si>
    <t>ORD03058</t>
  </si>
  <si>
    <t>INV03058</t>
  </si>
  <si>
    <t>ORD03059</t>
  </si>
  <si>
    <t>INV03059</t>
  </si>
  <si>
    <t>ORD03060</t>
  </si>
  <si>
    <t>INV03060</t>
  </si>
  <si>
    <t>ORD03061</t>
  </si>
  <si>
    <t>INV03061</t>
  </si>
  <si>
    <t>ORD03062</t>
  </si>
  <si>
    <t>CUST0150</t>
  </si>
  <si>
    <t>INV03062</t>
  </si>
  <si>
    <t>ORD03063</t>
  </si>
  <si>
    <t>INV03063</t>
  </si>
  <si>
    <t>ORD03064</t>
  </si>
  <si>
    <t>INV03064</t>
  </si>
  <si>
    <t>ORD03065</t>
  </si>
  <si>
    <t>INV03065</t>
  </si>
  <si>
    <t>ORD03066</t>
  </si>
  <si>
    <t>INV03066</t>
  </si>
  <si>
    <t>ORD03067</t>
  </si>
  <si>
    <t>INV03067</t>
  </si>
  <si>
    <t>ORD03068</t>
  </si>
  <si>
    <t>INV03068</t>
  </si>
  <si>
    <t>ORD03069</t>
  </si>
  <si>
    <t>INV03069</t>
  </si>
  <si>
    <t>ORD03070</t>
  </si>
  <si>
    <t>INV03070</t>
  </si>
  <si>
    <t>ORD03071</t>
  </si>
  <si>
    <t>INV03071</t>
  </si>
  <si>
    <t>ORD03072</t>
  </si>
  <si>
    <t>INV03072</t>
  </si>
  <si>
    <t>ORD03073</t>
  </si>
  <si>
    <t>INV03073</t>
  </si>
  <si>
    <t>ORD03074</t>
  </si>
  <si>
    <t>INV03074</t>
  </si>
  <si>
    <t>ORD03075</t>
  </si>
  <si>
    <t>INV03075</t>
  </si>
  <si>
    <t>ORD03076</t>
  </si>
  <si>
    <t>INV03076</t>
  </si>
  <si>
    <t>ORD03077</t>
  </si>
  <si>
    <t>INV03077</t>
  </si>
  <si>
    <t>ORD03078</t>
  </si>
  <si>
    <t>INV03078</t>
  </si>
  <si>
    <t>ORD03079</t>
  </si>
  <si>
    <t>INV03079</t>
  </si>
  <si>
    <t>ORD03080</t>
  </si>
  <si>
    <t>INV03080</t>
  </si>
  <si>
    <t>ORD03081</t>
  </si>
  <si>
    <t>INV03081</t>
  </si>
  <si>
    <t>ORD03082</t>
  </si>
  <si>
    <t>INV03082</t>
  </si>
  <si>
    <t>ORD03083</t>
  </si>
  <si>
    <t>INV03083</t>
  </si>
  <si>
    <t>ORD03084</t>
  </si>
  <si>
    <t>INV03084</t>
  </si>
  <si>
    <t>ORD03085</t>
  </si>
  <si>
    <t>INV03085</t>
  </si>
  <si>
    <t>ORD03086</t>
  </si>
  <si>
    <t>INV03086</t>
  </si>
  <si>
    <t>ORD03087</t>
  </si>
  <si>
    <t>INV03087</t>
  </si>
  <si>
    <t>ORD03088</t>
  </si>
  <si>
    <t>INV03088</t>
  </si>
  <si>
    <t>ORD03089</t>
  </si>
  <si>
    <t>INV03089</t>
  </si>
  <si>
    <t>ORD03090</t>
  </si>
  <si>
    <t>INV03090</t>
  </si>
  <si>
    <t>ORD03091</t>
  </si>
  <si>
    <t>INV03091</t>
  </si>
  <si>
    <t>ORD03092</t>
  </si>
  <si>
    <t>INV03092</t>
  </si>
  <si>
    <t>ORD03093</t>
  </si>
  <si>
    <t>INV03093</t>
  </si>
  <si>
    <t>ORD03094</t>
  </si>
  <si>
    <t>INV03094</t>
  </si>
  <si>
    <t>ORD03095</t>
  </si>
  <si>
    <t>INV03095</t>
  </si>
  <si>
    <t>ORD03096</t>
  </si>
  <si>
    <t>INV03096</t>
  </si>
  <si>
    <t>ORD03097</t>
  </si>
  <si>
    <t>INV03097</t>
  </si>
  <si>
    <t>ORD03098</t>
  </si>
  <si>
    <t>INV03098</t>
  </si>
  <si>
    <t>ORD03099</t>
  </si>
  <si>
    <t>INV03099</t>
  </si>
  <si>
    <t>ORD03100</t>
  </si>
  <si>
    <t>INV03100</t>
  </si>
  <si>
    <t>ORD03101</t>
  </si>
  <si>
    <t>INV03101</t>
  </si>
  <si>
    <t>ORD03102</t>
  </si>
  <si>
    <t>INV03102</t>
  </si>
  <si>
    <t>ORD03103</t>
  </si>
  <si>
    <t>INV03103</t>
  </si>
  <si>
    <t>ORD03104</t>
  </si>
  <si>
    <t>INV03104</t>
  </si>
  <si>
    <t>ORD03105</t>
  </si>
  <si>
    <t>INV03105</t>
  </si>
  <si>
    <t>ORD03106</t>
  </si>
  <si>
    <t>INV03106</t>
  </si>
  <si>
    <t>ORD03107</t>
  </si>
  <si>
    <t>INV03107</t>
  </si>
  <si>
    <t>ORD03108</t>
  </si>
  <si>
    <t>INV03108</t>
  </si>
  <si>
    <t>ORD03109</t>
  </si>
  <si>
    <t>INV03109</t>
  </si>
  <si>
    <t>ORD03110</t>
  </si>
  <si>
    <t>INV03110</t>
  </si>
  <si>
    <t>ORD03111</t>
  </si>
  <si>
    <t>INV03111</t>
  </si>
  <si>
    <t>ORD03112</t>
  </si>
  <si>
    <t>INV03112</t>
  </si>
  <si>
    <t>ORD03113</t>
  </si>
  <si>
    <t>INV03113</t>
  </si>
  <si>
    <t>ORD03114</t>
  </si>
  <si>
    <t>INV03114</t>
  </si>
  <si>
    <t>ORD03115</t>
  </si>
  <si>
    <t>INV03115</t>
  </si>
  <si>
    <t>ORD03116</t>
  </si>
  <si>
    <t>INV03116</t>
  </si>
  <si>
    <t>ORD03117</t>
  </si>
  <si>
    <t>INV03117</t>
  </si>
  <si>
    <t>ORD03118</t>
  </si>
  <si>
    <t>INV03118</t>
  </si>
  <si>
    <t>ORD03119</t>
  </si>
  <si>
    <t>INV03119</t>
  </si>
  <si>
    <t>ORD03120</t>
  </si>
  <si>
    <t>INV03120</t>
  </si>
  <si>
    <t>ORD03121</t>
  </si>
  <si>
    <t>INV03121</t>
  </si>
  <si>
    <t>ORD03122</t>
  </si>
  <si>
    <t>INV03122</t>
  </si>
  <si>
    <t>ORD03123</t>
  </si>
  <si>
    <t>INV03123</t>
  </si>
  <si>
    <t>ORD03124</t>
  </si>
  <si>
    <t>INV03124</t>
  </si>
  <si>
    <t>ORD03125</t>
  </si>
  <si>
    <t>INV03125</t>
  </si>
  <si>
    <t>ORD03126</t>
  </si>
  <si>
    <t>INV03126</t>
  </si>
  <si>
    <t>ORD03127</t>
  </si>
  <si>
    <t>INV03127</t>
  </si>
  <si>
    <t>ORD03128</t>
  </si>
  <si>
    <t>INV03128</t>
  </si>
  <si>
    <t>ORD03129</t>
  </si>
  <si>
    <t>INV03129</t>
  </si>
  <si>
    <t>ORD03130</t>
  </si>
  <si>
    <t>INV03130</t>
  </si>
  <si>
    <t>ORD03131</t>
  </si>
  <si>
    <t>INV03131</t>
  </si>
  <si>
    <t>ORD03132</t>
  </si>
  <si>
    <t>INV03132</t>
  </si>
  <si>
    <t>ORD03133</t>
  </si>
  <si>
    <t>CUST0645</t>
  </si>
  <si>
    <t>INV03133</t>
  </si>
  <si>
    <t>ORD03134</t>
  </si>
  <si>
    <t>INV03134</t>
  </si>
  <si>
    <t>ORD03135</t>
  </si>
  <si>
    <t>INV03135</t>
  </si>
  <si>
    <t>ORD03136</t>
  </si>
  <si>
    <t>INV03136</t>
  </si>
  <si>
    <t>ORD03137</t>
  </si>
  <si>
    <t>INV03137</t>
  </si>
  <si>
    <t>ORD03138</t>
  </si>
  <si>
    <t>INV03138</t>
  </si>
  <si>
    <t>ORD03139</t>
  </si>
  <si>
    <t>INV03139</t>
  </si>
  <si>
    <t>ORD03140</t>
  </si>
  <si>
    <t>INV03140</t>
  </si>
  <si>
    <t>ORD03141</t>
  </si>
  <si>
    <t>INV03141</t>
  </si>
  <si>
    <t>ORD03142</t>
  </si>
  <si>
    <t>INV03142</t>
  </si>
  <si>
    <t>ORD03143</t>
  </si>
  <si>
    <t>INV03143</t>
  </si>
  <si>
    <t>ORD03144</t>
  </si>
  <si>
    <t>INV03144</t>
  </si>
  <si>
    <t>ORD03145</t>
  </si>
  <si>
    <t>INV03145</t>
  </si>
  <si>
    <t>ORD03146</t>
  </si>
  <si>
    <t>INV03146</t>
  </si>
  <si>
    <t>ORD03147</t>
  </si>
  <si>
    <t>INV03147</t>
  </si>
  <si>
    <t>ORD03148</t>
  </si>
  <si>
    <t>INV03148</t>
  </si>
  <si>
    <t>ORD03149</t>
  </si>
  <si>
    <t>INV03149</t>
  </si>
  <si>
    <t>ORD03150</t>
  </si>
  <si>
    <t>INV03150</t>
  </si>
  <si>
    <t>ORD03151</t>
  </si>
  <si>
    <t>INV03151</t>
  </si>
  <si>
    <t>ORD03152</t>
  </si>
  <si>
    <t>INV03152</t>
  </si>
  <si>
    <t>ORD03153</t>
  </si>
  <si>
    <t>CUST0192</t>
  </si>
  <si>
    <t>INV03153</t>
  </si>
  <si>
    <t>ORD03154</t>
  </si>
  <si>
    <t>INV03154</t>
  </si>
  <si>
    <t>ORD03155</t>
  </si>
  <si>
    <t>INV03155</t>
  </si>
  <si>
    <t>ORD03156</t>
  </si>
  <si>
    <t>INV03156</t>
  </si>
  <si>
    <t>ORD03157</t>
  </si>
  <si>
    <t>INV03157</t>
  </si>
  <si>
    <t>ORD03158</t>
  </si>
  <si>
    <t>CUST0273</t>
  </si>
  <si>
    <t>INV03158</t>
  </si>
  <si>
    <t>ORD03159</t>
  </si>
  <si>
    <t>INV03159</t>
  </si>
  <si>
    <t>ORD03160</t>
  </si>
  <si>
    <t>INV03160</t>
  </si>
  <si>
    <t>ORD03161</t>
  </si>
  <si>
    <t>INV03161</t>
  </si>
  <si>
    <t>ORD03162</t>
  </si>
  <si>
    <t>INV03162</t>
  </si>
  <si>
    <t>ORD03163</t>
  </si>
  <si>
    <t>INV03163</t>
  </si>
  <si>
    <t>ORD03164</t>
  </si>
  <si>
    <t>INV03164</t>
  </si>
  <si>
    <t>ORD03165</t>
  </si>
  <si>
    <t>INV03165</t>
  </si>
  <si>
    <t>ORD03166</t>
  </si>
  <si>
    <t>INV03166</t>
  </si>
  <si>
    <t>ORD03167</t>
  </si>
  <si>
    <t>INV03167</t>
  </si>
  <si>
    <t>ORD03168</t>
  </si>
  <si>
    <t>INV03168</t>
  </si>
  <si>
    <t>ORD03169</t>
  </si>
  <si>
    <t>INV03169</t>
  </si>
  <si>
    <t>ORD03170</t>
  </si>
  <si>
    <t>INV03170</t>
  </si>
  <si>
    <t>ORD03171</t>
  </si>
  <si>
    <t>INV03171</t>
  </si>
  <si>
    <t>ORD03172</t>
  </si>
  <si>
    <t>INV03172</t>
  </si>
  <si>
    <t>ORD03173</t>
  </si>
  <si>
    <t>INV03173</t>
  </si>
  <si>
    <t>ORD03174</t>
  </si>
  <si>
    <t>INV03174</t>
  </si>
  <si>
    <t>ORD03175</t>
  </si>
  <si>
    <t>INV03175</t>
  </si>
  <si>
    <t>ORD03176</t>
  </si>
  <si>
    <t>INV03176</t>
  </si>
  <si>
    <t>ORD03177</t>
  </si>
  <si>
    <t>INV03177</t>
  </si>
  <si>
    <t>ORD03178</t>
  </si>
  <si>
    <t>INV03178</t>
  </si>
  <si>
    <t>ORD03179</t>
  </si>
  <si>
    <t>INV03179</t>
  </si>
  <si>
    <t>ORD03180</t>
  </si>
  <si>
    <t>INV03180</t>
  </si>
  <si>
    <t>ORD03181</t>
  </si>
  <si>
    <t>INV03181</t>
  </si>
  <si>
    <t>ORD03182</t>
  </si>
  <si>
    <t>INV03182</t>
  </si>
  <si>
    <t>ORD03183</t>
  </si>
  <si>
    <t>INV03183</t>
  </si>
  <si>
    <t>ORD03184</t>
  </si>
  <si>
    <t>INV03184</t>
  </si>
  <si>
    <t>ORD03185</t>
  </si>
  <si>
    <t>INV03185</t>
  </si>
  <si>
    <t>ORD03186</t>
  </si>
  <si>
    <t>INV03186</t>
  </si>
  <si>
    <t>ORD03187</t>
  </si>
  <si>
    <t>INV03187</t>
  </si>
  <si>
    <t>ORD03188</t>
  </si>
  <si>
    <t>INV03188</t>
  </si>
  <si>
    <t>ORD03189</t>
  </si>
  <si>
    <t>INV03189</t>
  </si>
  <si>
    <t>ORD03190</t>
  </si>
  <si>
    <t>INV03190</t>
  </si>
  <si>
    <t>ORD03191</t>
  </si>
  <si>
    <t>INV03191</t>
  </si>
  <si>
    <t>ORD03192</t>
  </si>
  <si>
    <t>INV03192</t>
  </si>
  <si>
    <t>ORD03193</t>
  </si>
  <si>
    <t>INV03193</t>
  </si>
  <si>
    <t>ORD03194</t>
  </si>
  <si>
    <t>INV03194</t>
  </si>
  <si>
    <t>ORD03195</t>
  </si>
  <si>
    <t>INV03195</t>
  </si>
  <si>
    <t>ORD03196</t>
  </si>
  <si>
    <t>INV03196</t>
  </si>
  <si>
    <t>ORD03197</t>
  </si>
  <si>
    <t>INV03197</t>
  </si>
  <si>
    <t>ORD03198</t>
  </si>
  <si>
    <t>INV03198</t>
  </si>
  <si>
    <t>ORD03199</t>
  </si>
  <si>
    <t>INV03199</t>
  </si>
  <si>
    <t>ORD03200</t>
  </si>
  <si>
    <t>INV03200</t>
  </si>
  <si>
    <t>ORD03201</t>
  </si>
  <si>
    <t>INV03201</t>
  </si>
  <si>
    <t>ORD03202</t>
  </si>
  <si>
    <t>INV03202</t>
  </si>
  <si>
    <t>ORD03203</t>
  </si>
  <si>
    <t>INV03203</t>
  </si>
  <si>
    <t>ORD03204</t>
  </si>
  <si>
    <t>INV03204</t>
  </si>
  <si>
    <t>ORD03205</t>
  </si>
  <si>
    <t>INV03205</t>
  </si>
  <si>
    <t>ORD03206</t>
  </si>
  <si>
    <t>INV03206</t>
  </si>
  <si>
    <t>ORD03207</t>
  </si>
  <si>
    <t>INV03207</t>
  </si>
  <si>
    <t>ORD03208</t>
  </si>
  <si>
    <t>INV03208</t>
  </si>
  <si>
    <t>ORD03209</t>
  </si>
  <si>
    <t>INV03209</t>
  </si>
  <si>
    <t>ORD03210</t>
  </si>
  <si>
    <t>INV03210</t>
  </si>
  <si>
    <t>ORD03211</t>
  </si>
  <si>
    <t>INV03211</t>
  </si>
  <si>
    <t>ORD03212</t>
  </si>
  <si>
    <t>INV03212</t>
  </si>
  <si>
    <t>ORD03213</t>
  </si>
  <si>
    <t>INV03213</t>
  </si>
  <si>
    <t>ORD03214</t>
  </si>
  <si>
    <t>INV03214</t>
  </si>
  <si>
    <t>ORD03215</t>
  </si>
  <si>
    <t>INV03215</t>
  </si>
  <si>
    <t>ORD03216</t>
  </si>
  <si>
    <t>INV03216</t>
  </si>
  <si>
    <t>ORD03217</t>
  </si>
  <si>
    <t>INV03217</t>
  </si>
  <si>
    <t>ORD03218</t>
  </si>
  <si>
    <t>INV03218</t>
  </si>
  <si>
    <t>ORD03219</t>
  </si>
  <si>
    <t>INV03219</t>
  </si>
  <si>
    <t>ORD03220</t>
  </si>
  <si>
    <t>INV03220</t>
  </si>
  <si>
    <t>ORD03221</t>
  </si>
  <si>
    <t>INV03221</t>
  </si>
  <si>
    <t>ORD03222</t>
  </si>
  <si>
    <t>INV03222</t>
  </si>
  <si>
    <t>ORD03223</t>
  </si>
  <si>
    <t>INV03223</t>
  </si>
  <si>
    <t>ORD03224</t>
  </si>
  <si>
    <t>INV03224</t>
  </si>
  <si>
    <t>ORD03225</t>
  </si>
  <si>
    <t>INV03225</t>
  </si>
  <si>
    <t>ORD03226</t>
  </si>
  <si>
    <t>INV03226</t>
  </si>
  <si>
    <t>ORD03227</t>
  </si>
  <si>
    <t>INV03227</t>
  </si>
  <si>
    <t>ORD03228</t>
  </si>
  <si>
    <t>INV03228</t>
  </si>
  <si>
    <t>ORD03229</t>
  </si>
  <si>
    <t>INV03229</t>
  </si>
  <si>
    <t>ORD03230</t>
  </si>
  <si>
    <t>CUST0362</t>
  </si>
  <si>
    <t>INV03230</t>
  </si>
  <si>
    <t>ORD03231</t>
  </si>
  <si>
    <t>INV03231</t>
  </si>
  <si>
    <t>ORD03232</t>
  </si>
  <si>
    <t>INV03232</t>
  </si>
  <si>
    <t>ORD03233</t>
  </si>
  <si>
    <t>INV03233</t>
  </si>
  <si>
    <t>ORD03234</t>
  </si>
  <si>
    <t>INV03234</t>
  </si>
  <si>
    <t>ORD03235</t>
  </si>
  <si>
    <t>INV03235</t>
  </si>
  <si>
    <t>ORD03236</t>
  </si>
  <si>
    <t>INV03236</t>
  </si>
  <si>
    <t>ORD03237</t>
  </si>
  <si>
    <t>INV03237</t>
  </si>
  <si>
    <t>ORD03238</t>
  </si>
  <si>
    <t>INV03238</t>
  </si>
  <si>
    <t>ORD03239</t>
  </si>
  <si>
    <t>INV03239</t>
  </si>
  <si>
    <t>ORD03240</t>
  </si>
  <si>
    <t>INV03240</t>
  </si>
  <si>
    <t>ORD03241</t>
  </si>
  <si>
    <t>INV03241</t>
  </si>
  <si>
    <t>ORD03242</t>
  </si>
  <si>
    <t>INV03242</t>
  </si>
  <si>
    <t>ORD03243</t>
  </si>
  <si>
    <t>INV03243</t>
  </si>
  <si>
    <t>ORD03244</t>
  </si>
  <si>
    <t>INV03244</t>
  </si>
  <si>
    <t>ORD03245</t>
  </si>
  <si>
    <t>INV03245</t>
  </si>
  <si>
    <t>ORD03246</t>
  </si>
  <si>
    <t>INV03246</t>
  </si>
  <si>
    <t>ORD03247</t>
  </si>
  <si>
    <t>INV03247</t>
  </si>
  <si>
    <t>ORD03248</t>
  </si>
  <si>
    <t>INV03248</t>
  </si>
  <si>
    <t>ORD03249</t>
  </si>
  <si>
    <t>INV03249</t>
  </si>
  <si>
    <t>ORD03250</t>
  </si>
  <si>
    <t>INV03250</t>
  </si>
  <si>
    <t>ORD03251</t>
  </si>
  <si>
    <t>INV03251</t>
  </si>
  <si>
    <t>ORD03252</t>
  </si>
  <si>
    <t>INV03252</t>
  </si>
  <si>
    <t>ORD03253</t>
  </si>
  <si>
    <t>INV03253</t>
  </si>
  <si>
    <t>ORD03254</t>
  </si>
  <si>
    <t>INV03254</t>
  </si>
  <si>
    <t>ORD03255</t>
  </si>
  <si>
    <t>INV03255</t>
  </si>
  <si>
    <t>ORD03256</t>
  </si>
  <si>
    <t>INV03256</t>
  </si>
  <si>
    <t>ORD03257</t>
  </si>
  <si>
    <t>INV03257</t>
  </si>
  <si>
    <t>ORD03258</t>
  </si>
  <si>
    <t>INV03258</t>
  </si>
  <si>
    <t>ORD03259</t>
  </si>
  <si>
    <t>INV03259</t>
  </si>
  <si>
    <t>ORD03260</t>
  </si>
  <si>
    <t>INV03260</t>
  </si>
  <si>
    <t>ORD03261</t>
  </si>
  <si>
    <t>INV03261</t>
  </si>
  <si>
    <t>ORD03262</t>
  </si>
  <si>
    <t>INV03262</t>
  </si>
  <si>
    <t>ORD03263</t>
  </si>
  <si>
    <t>INV03263</t>
  </si>
  <si>
    <t>ORD03264</t>
  </si>
  <si>
    <t>INV03264</t>
  </si>
  <si>
    <t>ORD03265</t>
  </si>
  <si>
    <t>INV03265</t>
  </si>
  <si>
    <t>ORD03266</t>
  </si>
  <si>
    <t>INV03266</t>
  </si>
  <si>
    <t>ORD03267</t>
  </si>
  <si>
    <t>INV03267</t>
  </si>
  <si>
    <t>ORD03268</t>
  </si>
  <si>
    <t>INV03268</t>
  </si>
  <si>
    <t>ORD03269</t>
  </si>
  <si>
    <t>INV03269</t>
  </si>
  <si>
    <t>ORD03270</t>
  </si>
  <si>
    <t>INV03270</t>
  </si>
  <si>
    <t>ORD03271</t>
  </si>
  <si>
    <t>INV03271</t>
  </si>
  <si>
    <t>ORD03272</t>
  </si>
  <si>
    <t>INV03272</t>
  </si>
  <si>
    <t>ORD03273</t>
  </si>
  <si>
    <t>INV03273</t>
  </si>
  <si>
    <t>ORD03274</t>
  </si>
  <si>
    <t>INV03274</t>
  </si>
  <si>
    <t>ORD03275</t>
  </si>
  <si>
    <t>INV03275</t>
  </si>
  <si>
    <t>ORD03276</t>
  </si>
  <si>
    <t>INV03276</t>
  </si>
  <si>
    <t>ORD03277</t>
  </si>
  <si>
    <t>INV03277</t>
  </si>
  <si>
    <t>ORD03278</t>
  </si>
  <si>
    <t>INV03278</t>
  </si>
  <si>
    <t>ORD03279</t>
  </si>
  <si>
    <t>INV03279</t>
  </si>
  <si>
    <t>ORD03280</t>
  </si>
  <si>
    <t>INV03280</t>
  </si>
  <si>
    <t>ORD03281</t>
  </si>
  <si>
    <t>INV03281</t>
  </si>
  <si>
    <t>ORD03282</t>
  </si>
  <si>
    <t>INV03282</t>
  </si>
  <si>
    <t>ORD03283</t>
  </si>
  <si>
    <t>INV03283</t>
  </si>
  <si>
    <t>ORD03284</t>
  </si>
  <si>
    <t>INV03284</t>
  </si>
  <si>
    <t>ORD03285</t>
  </si>
  <si>
    <t>INV03285</t>
  </si>
  <si>
    <t>ORD03286</t>
  </si>
  <si>
    <t>INV03286</t>
  </si>
  <si>
    <t>ORD03287</t>
  </si>
  <si>
    <t>INV03287</t>
  </si>
  <si>
    <t>ORD03288</t>
  </si>
  <si>
    <t>INV03288</t>
  </si>
  <si>
    <t>ORD03289</t>
  </si>
  <si>
    <t>INV03289</t>
  </si>
  <si>
    <t>ORD03290</t>
  </si>
  <si>
    <t>INV03290</t>
  </si>
  <si>
    <t>ORD03291</t>
  </si>
  <si>
    <t>INV03291</t>
  </si>
  <si>
    <t>ORD03292</t>
  </si>
  <si>
    <t>INV03292</t>
  </si>
  <si>
    <t>ORD03293</t>
  </si>
  <si>
    <t>INV03293</t>
  </si>
  <si>
    <t>ORD03294</t>
  </si>
  <si>
    <t>INV03294</t>
  </si>
  <si>
    <t>ORD03295</t>
  </si>
  <si>
    <t>INV03295</t>
  </si>
  <si>
    <t>ORD03296</t>
  </si>
  <si>
    <t>INV03296</t>
  </si>
  <si>
    <t>ORD03297</t>
  </si>
  <si>
    <t>INV03297</t>
  </si>
  <si>
    <t>ORD03298</t>
  </si>
  <si>
    <t>INV03298</t>
  </si>
  <si>
    <t>ORD03299</t>
  </si>
  <si>
    <t>INV03299</t>
  </si>
  <si>
    <t>ORD03300</t>
  </si>
  <si>
    <t>INV03300</t>
  </si>
  <si>
    <t>ORD03301</t>
  </si>
  <si>
    <t>INV03301</t>
  </si>
  <si>
    <t>ORD03302</t>
  </si>
  <si>
    <t>INV03302</t>
  </si>
  <si>
    <t>ORD03303</t>
  </si>
  <si>
    <t>INV03303</t>
  </si>
  <si>
    <t>ORD03304</t>
  </si>
  <si>
    <t>INV03304</t>
  </si>
  <si>
    <t>ORD03305</t>
  </si>
  <si>
    <t>INV03305</t>
  </si>
  <si>
    <t>ORD03306</t>
  </si>
  <si>
    <t>INV03306</t>
  </si>
  <si>
    <t>ORD03307</t>
  </si>
  <si>
    <t>INV03307</t>
  </si>
  <si>
    <t>ORD03308</t>
  </si>
  <si>
    <t>INV03308</t>
  </si>
  <si>
    <t>ORD03309</t>
  </si>
  <si>
    <t>INV03309</t>
  </si>
  <si>
    <t>ORD03310</t>
  </si>
  <si>
    <t>INV03310</t>
  </si>
  <si>
    <t>ORD03311</t>
  </si>
  <si>
    <t>INV03311</t>
  </si>
  <si>
    <t>ORD03312</t>
  </si>
  <si>
    <t>INV03312</t>
  </si>
  <si>
    <t>ORD03313</t>
  </si>
  <si>
    <t>INV03313</t>
  </si>
  <si>
    <t>ORD03314</t>
  </si>
  <si>
    <t>INV03314</t>
  </si>
  <si>
    <t>ORD03315</t>
  </si>
  <si>
    <t>INV03315</t>
  </si>
  <si>
    <t>ORD03316</t>
  </si>
  <si>
    <t>INV03316</t>
  </si>
  <si>
    <t>ORD03317</t>
  </si>
  <si>
    <t>INV03317</t>
  </si>
  <si>
    <t>ORD03318</t>
  </si>
  <si>
    <t>INV03318</t>
  </si>
  <si>
    <t>ORD03319</t>
  </si>
  <si>
    <t>INV03319</t>
  </si>
  <si>
    <t>ORD03320</t>
  </si>
  <si>
    <t>INV03320</t>
  </si>
  <si>
    <t>ORD03321</t>
  </si>
  <si>
    <t>INV03321</t>
  </si>
  <si>
    <t>ORD03322</t>
  </si>
  <si>
    <t>INV03322</t>
  </si>
  <si>
    <t>ORD03323</t>
  </si>
  <si>
    <t>INV03323</t>
  </si>
  <si>
    <t>ORD03324</t>
  </si>
  <si>
    <t>INV03324</t>
  </si>
  <si>
    <t>ORD03325</t>
  </si>
  <si>
    <t>INV03325</t>
  </si>
  <si>
    <t>ORD03326</t>
  </si>
  <si>
    <t>INV03326</t>
  </si>
  <si>
    <t>ORD03327</t>
  </si>
  <si>
    <t>INV03327</t>
  </si>
  <si>
    <t>ORD03328</t>
  </si>
  <si>
    <t>INV03328</t>
  </si>
  <si>
    <t>ORD03329</t>
  </si>
  <si>
    <t>INV03329</t>
  </si>
  <si>
    <t>ORD03330</t>
  </si>
  <si>
    <t>INV03330</t>
  </si>
  <si>
    <t>ORD03331</t>
  </si>
  <si>
    <t>INV03331</t>
  </si>
  <si>
    <t>ORD03332</t>
  </si>
  <si>
    <t>INV03332</t>
  </si>
  <si>
    <t>ORD03333</t>
  </si>
  <si>
    <t>INV03333</t>
  </si>
  <si>
    <t>ORD03334</t>
  </si>
  <si>
    <t>INV03334</t>
  </si>
  <si>
    <t>ORD03335</t>
  </si>
  <si>
    <t>INV03335</t>
  </si>
  <si>
    <t>ORD03336</t>
  </si>
  <si>
    <t>INV03336</t>
  </si>
  <si>
    <t>ORD03337</t>
  </si>
  <si>
    <t>INV03337</t>
  </si>
  <si>
    <t>ORD03338</t>
  </si>
  <si>
    <t>INV03338</t>
  </si>
  <si>
    <t>ORD03339</t>
  </si>
  <si>
    <t>INV03339</t>
  </si>
  <si>
    <t>ORD03340</t>
  </si>
  <si>
    <t>INV03340</t>
  </si>
  <si>
    <t>ORD03341</t>
  </si>
  <si>
    <t>INV03341</t>
  </si>
  <si>
    <t>ORD03342</t>
  </si>
  <si>
    <t>INV03342</t>
  </si>
  <si>
    <t>ORD03343</t>
  </si>
  <si>
    <t>INV03343</t>
  </si>
  <si>
    <t>ORD03344</t>
  </si>
  <si>
    <t>CUST0161</t>
  </si>
  <si>
    <t>INV03344</t>
  </si>
  <si>
    <t>ORD03345</t>
  </si>
  <si>
    <t>INV03345</t>
  </si>
  <si>
    <t>ORD03346</t>
  </si>
  <si>
    <t>INV03346</t>
  </si>
  <si>
    <t>ORD03347</t>
  </si>
  <si>
    <t>INV03347</t>
  </si>
  <si>
    <t>ORD03348</t>
  </si>
  <si>
    <t>INV03348</t>
  </si>
  <si>
    <t>ORD03349</t>
  </si>
  <si>
    <t>INV03349</t>
  </si>
  <si>
    <t>ORD03350</t>
  </si>
  <si>
    <t>INV03350</t>
  </si>
  <si>
    <t>ORD03351</t>
  </si>
  <si>
    <t>INV03351</t>
  </si>
  <si>
    <t>ORD03352</t>
  </si>
  <si>
    <t>INV03352</t>
  </si>
  <si>
    <t>ORD03353</t>
  </si>
  <si>
    <t>INV03353</t>
  </si>
  <si>
    <t>ORD03354</t>
  </si>
  <si>
    <t>INV03354</t>
  </si>
  <si>
    <t>ORD03355</t>
  </si>
  <si>
    <t>INV03355</t>
  </si>
  <si>
    <t>ORD03356</t>
  </si>
  <si>
    <t>INV03356</t>
  </si>
  <si>
    <t>ORD03357</t>
  </si>
  <si>
    <t>INV03357</t>
  </si>
  <si>
    <t>ORD03358</t>
  </si>
  <si>
    <t>INV03358</t>
  </si>
  <si>
    <t>ORD03359</t>
  </si>
  <si>
    <t>INV03359</t>
  </si>
  <si>
    <t>ORD03360</t>
  </si>
  <si>
    <t>INV03360</t>
  </si>
  <si>
    <t>ORD03361</t>
  </si>
  <si>
    <t>INV03361</t>
  </si>
  <si>
    <t>ORD03362</t>
  </si>
  <si>
    <t>INV03362</t>
  </si>
  <si>
    <t>ORD03363</t>
  </si>
  <si>
    <t>INV03363</t>
  </si>
  <si>
    <t>ORD03364</t>
  </si>
  <si>
    <t>INV03364</t>
  </si>
  <si>
    <t>ORD03365</t>
  </si>
  <si>
    <t>INV03365</t>
  </si>
  <si>
    <t>ORD03366</t>
  </si>
  <si>
    <t>INV03366</t>
  </si>
  <si>
    <t>ORD03367</t>
  </si>
  <si>
    <t>INV03367</t>
  </si>
  <si>
    <t>ORD03368</t>
  </si>
  <si>
    <t>INV03368</t>
  </si>
  <si>
    <t>ORD03369</t>
  </si>
  <si>
    <t>INV03369</t>
  </si>
  <si>
    <t>ORD03370</t>
  </si>
  <si>
    <t>INV03370</t>
  </si>
  <si>
    <t>ORD03371</t>
  </si>
  <si>
    <t>INV03371</t>
  </si>
  <si>
    <t>ORD03372</t>
  </si>
  <si>
    <t>INV03372</t>
  </si>
  <si>
    <t>ORD03373</t>
  </si>
  <si>
    <t>INV03373</t>
  </si>
  <si>
    <t>ORD03374</t>
  </si>
  <si>
    <t>INV03374</t>
  </si>
  <si>
    <t>ORD03375</t>
  </si>
  <si>
    <t>INV03375</t>
  </si>
  <si>
    <t>ORD03376</t>
  </si>
  <si>
    <t>INV03376</t>
  </si>
  <si>
    <t>ORD03377</t>
  </si>
  <si>
    <t>INV03377</t>
  </si>
  <si>
    <t>ORD03378</t>
  </si>
  <si>
    <t>INV03378</t>
  </si>
  <si>
    <t>ORD03379</t>
  </si>
  <si>
    <t>INV03379</t>
  </si>
  <si>
    <t>ORD03380</t>
  </si>
  <si>
    <t>INV03380</t>
  </si>
  <si>
    <t>ORD03381</t>
  </si>
  <si>
    <t>INV03381</t>
  </si>
  <si>
    <t>ORD03382</t>
  </si>
  <si>
    <t>INV03382</t>
  </si>
  <si>
    <t>ORD03383</t>
  </si>
  <si>
    <t>INV03383</t>
  </si>
  <si>
    <t>ORD03384</t>
  </si>
  <si>
    <t>INV03384</t>
  </si>
  <si>
    <t>ORD03385</t>
  </si>
  <si>
    <t>INV03385</t>
  </si>
  <si>
    <t>ORD03386</t>
  </si>
  <si>
    <t>INV03386</t>
  </si>
  <si>
    <t>ORD03387</t>
  </si>
  <si>
    <t>INV03387</t>
  </si>
  <si>
    <t>ORD03388</t>
  </si>
  <si>
    <t>INV03388</t>
  </si>
  <si>
    <t>ORD03389</t>
  </si>
  <si>
    <t>INV03389</t>
  </si>
  <si>
    <t>ORD03390</t>
  </si>
  <si>
    <t>INV03390</t>
  </si>
  <si>
    <t>ORD03391</t>
  </si>
  <si>
    <t>INV03391</t>
  </si>
  <si>
    <t>ORD03392</t>
  </si>
  <si>
    <t>INV03392</t>
  </si>
  <si>
    <t>ORD03393</t>
  </si>
  <si>
    <t>INV03393</t>
  </si>
  <si>
    <t>ORD03394</t>
  </si>
  <si>
    <t>INV03394</t>
  </si>
  <si>
    <t>ORD03395</t>
  </si>
  <si>
    <t>INV03395</t>
  </si>
  <si>
    <t>ORD03396</t>
  </si>
  <si>
    <t>INV03396</t>
  </si>
  <si>
    <t>ORD03397</t>
  </si>
  <si>
    <t>INV03397</t>
  </si>
  <si>
    <t>ORD03398</t>
  </si>
  <si>
    <t>INV03398</t>
  </si>
  <si>
    <t>ORD03399</t>
  </si>
  <si>
    <t>INV03399</t>
  </si>
  <si>
    <t>ORD03400</t>
  </si>
  <si>
    <t>INV03400</t>
  </si>
  <si>
    <t>ORD03401</t>
  </si>
  <si>
    <t>INV03401</t>
  </si>
  <si>
    <t>ORD03402</t>
  </si>
  <si>
    <t>INV03402</t>
  </si>
  <si>
    <t>ORD03403</t>
  </si>
  <si>
    <t>INV03403</t>
  </si>
  <si>
    <t>ORD03404</t>
  </si>
  <si>
    <t>INV03404</t>
  </si>
  <si>
    <t>ORD03405</t>
  </si>
  <si>
    <t>INV03405</t>
  </si>
  <si>
    <t>ORD03406</t>
  </si>
  <si>
    <t>INV03406</t>
  </si>
  <si>
    <t>ORD03407</t>
  </si>
  <si>
    <t>INV03407</t>
  </si>
  <si>
    <t>ORD03408</t>
  </si>
  <si>
    <t>INV03408</t>
  </si>
  <si>
    <t>ORD03409</t>
  </si>
  <si>
    <t>INV03409</t>
  </si>
  <si>
    <t>ORD03410</t>
  </si>
  <si>
    <t>INV03410</t>
  </si>
  <si>
    <t>ORD03411</t>
  </si>
  <si>
    <t>INV03411</t>
  </si>
  <si>
    <t>ORD03412</t>
  </si>
  <si>
    <t>INV03412</t>
  </si>
  <si>
    <t>ORD03413</t>
  </si>
  <si>
    <t>INV03413</t>
  </si>
  <si>
    <t>ORD03414</t>
  </si>
  <si>
    <t>INV03414</t>
  </si>
  <si>
    <t>ORD03415</t>
  </si>
  <si>
    <t>INV03415</t>
  </si>
  <si>
    <t>ORD03416</t>
  </si>
  <si>
    <t>INV03416</t>
  </si>
  <si>
    <t>ORD03417</t>
  </si>
  <si>
    <t>INV03417</t>
  </si>
  <si>
    <t>ORD03418</t>
  </si>
  <si>
    <t>INV03418</t>
  </si>
  <si>
    <t>ORD03419</t>
  </si>
  <si>
    <t>INV03419</t>
  </si>
  <si>
    <t>ORD03420</t>
  </si>
  <si>
    <t>INV03420</t>
  </si>
  <si>
    <t>ORD03421</t>
  </si>
  <si>
    <t>INV03421</t>
  </si>
  <si>
    <t>ORD03422</t>
  </si>
  <si>
    <t>INV03422</t>
  </si>
  <si>
    <t>ORD03423</t>
  </si>
  <si>
    <t>INV03423</t>
  </si>
  <si>
    <t>ORD03424</t>
  </si>
  <si>
    <t>INV03424</t>
  </si>
  <si>
    <t>ORD03425</t>
  </si>
  <si>
    <t>INV03425</t>
  </si>
  <si>
    <t>ORD03426</t>
  </si>
  <si>
    <t>INV03426</t>
  </si>
  <si>
    <t>ORD03427</t>
  </si>
  <si>
    <t>INV03427</t>
  </si>
  <si>
    <t>ORD03428</t>
  </si>
  <si>
    <t>INV03428</t>
  </si>
  <si>
    <t>ORD03429</t>
  </si>
  <si>
    <t>INV03429</t>
  </si>
  <si>
    <t>ORD03430</t>
  </si>
  <si>
    <t>INV03430</t>
  </si>
  <si>
    <t>ORD03431</t>
  </si>
  <si>
    <t>INV03431</t>
  </si>
  <si>
    <t>ORD03432</t>
  </si>
  <si>
    <t>INV03432</t>
  </si>
  <si>
    <t>ORD03433</t>
  </si>
  <si>
    <t>INV03433</t>
  </si>
  <si>
    <t>ORD03434</t>
  </si>
  <si>
    <t>INV03434</t>
  </si>
  <si>
    <t>ORD03435</t>
  </si>
  <si>
    <t>INV03435</t>
  </si>
  <si>
    <t>ORD03436</t>
  </si>
  <si>
    <t>INV03436</t>
  </si>
  <si>
    <t>ORD03437</t>
  </si>
  <si>
    <t>INV03437</t>
  </si>
  <si>
    <t>ORD03438</t>
  </si>
  <si>
    <t>INV03438</t>
  </si>
  <si>
    <t>ORD03439</t>
  </si>
  <si>
    <t>INV03439</t>
  </si>
  <si>
    <t>ORD03440</t>
  </si>
  <si>
    <t>INV03440</t>
  </si>
  <si>
    <t>ORD03441</t>
  </si>
  <si>
    <t>INV03441</t>
  </si>
  <si>
    <t>ORD03442</t>
  </si>
  <si>
    <t>INV03442</t>
  </si>
  <si>
    <t>ORD03443</t>
  </si>
  <si>
    <t>INV03443</t>
  </si>
  <si>
    <t>ORD03444</t>
  </si>
  <si>
    <t>INV03444</t>
  </si>
  <si>
    <t>ORD03445</t>
  </si>
  <si>
    <t>INV03445</t>
  </si>
  <si>
    <t>ORD03446</t>
  </si>
  <si>
    <t>INV03446</t>
  </si>
  <si>
    <t>ORD03447</t>
  </si>
  <si>
    <t>INV03447</t>
  </si>
  <si>
    <t>ORD03448</t>
  </si>
  <si>
    <t>INV03448</t>
  </si>
  <si>
    <t>ORD03449</t>
  </si>
  <si>
    <t>INV03449</t>
  </si>
  <si>
    <t>ORD03450</t>
  </si>
  <si>
    <t>INV03450</t>
  </si>
  <si>
    <t>ORD03451</t>
  </si>
  <si>
    <t>INV03451</t>
  </si>
  <si>
    <t>ORD03452</t>
  </si>
  <si>
    <t>INV03452</t>
  </si>
  <si>
    <t>ORD03453</t>
  </si>
  <si>
    <t>INV03453</t>
  </si>
  <si>
    <t>ORD03454</t>
  </si>
  <si>
    <t>INV03454</t>
  </si>
  <si>
    <t>ORD03455</t>
  </si>
  <si>
    <t>INV03455</t>
  </si>
  <si>
    <t>ORD03456</t>
  </si>
  <si>
    <t>INV03456</t>
  </si>
  <si>
    <t>ORD03457</t>
  </si>
  <si>
    <t>INV03457</t>
  </si>
  <si>
    <t>ORD03458</t>
  </si>
  <si>
    <t>INV03458</t>
  </si>
  <si>
    <t>ORD03459</t>
  </si>
  <si>
    <t>INV03459</t>
  </si>
  <si>
    <t>ORD03460</t>
  </si>
  <si>
    <t>INV03460</t>
  </si>
  <si>
    <t>ORD03461</t>
  </si>
  <si>
    <t>INV03461</t>
  </si>
  <si>
    <t>ORD03462</t>
  </si>
  <si>
    <t>INV03462</t>
  </si>
  <si>
    <t>ORD03463</t>
  </si>
  <si>
    <t>INV03463</t>
  </si>
  <si>
    <t>ORD03464</t>
  </si>
  <si>
    <t>INV03464</t>
  </si>
  <si>
    <t>ORD03465</t>
  </si>
  <si>
    <t>INV03465</t>
  </si>
  <si>
    <t>ORD03466</t>
  </si>
  <si>
    <t>INV03466</t>
  </si>
  <si>
    <t>ORD03467</t>
  </si>
  <si>
    <t>CUST0366</t>
  </si>
  <si>
    <t>INV03467</t>
  </si>
  <si>
    <t>ORD03468</t>
  </si>
  <si>
    <t>INV03468</t>
  </si>
  <si>
    <t>ORD03469</t>
  </si>
  <si>
    <t>INV03469</t>
  </si>
  <si>
    <t>ORD03470</t>
  </si>
  <si>
    <t>INV03470</t>
  </si>
  <si>
    <t>ORD03471</t>
  </si>
  <si>
    <t>INV03471</t>
  </si>
  <si>
    <t>ORD03472</t>
  </si>
  <si>
    <t>INV03472</t>
  </si>
  <si>
    <t>ORD03473</t>
  </si>
  <si>
    <t>INV03473</t>
  </si>
  <si>
    <t>ORD03474</t>
  </si>
  <si>
    <t>INV03474</t>
  </si>
  <si>
    <t>ORD03475</t>
  </si>
  <si>
    <t>INV03475</t>
  </si>
  <si>
    <t>ORD03476</t>
  </si>
  <si>
    <t>INV03476</t>
  </si>
  <si>
    <t>ORD03477</t>
  </si>
  <si>
    <t>INV03477</t>
  </si>
  <si>
    <t>ORD03478</t>
  </si>
  <si>
    <t>INV03478</t>
  </si>
  <si>
    <t>ORD03479</t>
  </si>
  <si>
    <t>INV03479</t>
  </si>
  <si>
    <t>ORD03480</t>
  </si>
  <si>
    <t>INV03480</t>
  </si>
  <si>
    <t>ORD03481</t>
  </si>
  <si>
    <t>INV03481</t>
  </si>
  <si>
    <t>ORD03482</t>
  </si>
  <si>
    <t>INV03482</t>
  </si>
  <si>
    <t>ORD03483</t>
  </si>
  <si>
    <t>INV03483</t>
  </si>
  <si>
    <t>ORD03484</t>
  </si>
  <si>
    <t>INV03484</t>
  </si>
  <si>
    <t>ORD03485</t>
  </si>
  <si>
    <t>INV03485</t>
  </si>
  <si>
    <t>ORD03486</t>
  </si>
  <si>
    <t>INV03486</t>
  </si>
  <si>
    <t>ORD03487</t>
  </si>
  <si>
    <t>INV03487</t>
  </si>
  <si>
    <t>ORD03488</t>
  </si>
  <si>
    <t>INV03488</t>
  </si>
  <si>
    <t>ORD03489</t>
  </si>
  <si>
    <t>INV03489</t>
  </si>
  <si>
    <t>ORD03490</t>
  </si>
  <si>
    <t>INV03490</t>
  </si>
  <si>
    <t>ORD03491</t>
  </si>
  <si>
    <t>INV03491</t>
  </si>
  <si>
    <t>ORD03492</t>
  </si>
  <si>
    <t>CUST0379</t>
  </si>
  <si>
    <t>INV03492</t>
  </si>
  <si>
    <t>ORD03493</t>
  </si>
  <si>
    <t>INV03493</t>
  </si>
  <si>
    <t>ORD03494</t>
  </si>
  <si>
    <t>INV03494</t>
  </si>
  <si>
    <t>ORD03495</t>
  </si>
  <si>
    <t>INV03495</t>
  </si>
  <si>
    <t>ORD03496</t>
  </si>
  <si>
    <t>INV03496</t>
  </si>
  <si>
    <t>ORD03497</t>
  </si>
  <si>
    <t>INV03497</t>
  </si>
  <si>
    <t>ORD03498</t>
  </si>
  <si>
    <t>INV03498</t>
  </si>
  <si>
    <t>ORD03499</t>
  </si>
  <si>
    <t>INV03499</t>
  </si>
  <si>
    <t>ORD03500</t>
  </si>
  <si>
    <t>INV03500</t>
  </si>
  <si>
    <t>ORD03501</t>
  </si>
  <si>
    <t>INV03501</t>
  </si>
  <si>
    <t>ORD03502</t>
  </si>
  <si>
    <t>INV03502</t>
  </si>
  <si>
    <t>ORD03503</t>
  </si>
  <si>
    <t>INV03503</t>
  </si>
  <si>
    <t>ORD03504</t>
  </si>
  <si>
    <t>INV03504</t>
  </si>
  <si>
    <t>ORD03505</t>
  </si>
  <si>
    <t>INV03505</t>
  </si>
  <si>
    <t>ORD03506</t>
  </si>
  <si>
    <t>INV03506</t>
  </si>
  <si>
    <t>ORD03507</t>
  </si>
  <si>
    <t>INV03507</t>
  </si>
  <si>
    <t>ORD03508</t>
  </si>
  <si>
    <t>INV03508</t>
  </si>
  <si>
    <t>ORD03509</t>
  </si>
  <si>
    <t>INV03509</t>
  </si>
  <si>
    <t>ORD03510</t>
  </si>
  <si>
    <t>INV03510</t>
  </si>
  <si>
    <t>ORD03511</t>
  </si>
  <si>
    <t>INV03511</t>
  </si>
  <si>
    <t>ORD03512</t>
  </si>
  <si>
    <t>INV03512</t>
  </si>
  <si>
    <t>ORD03513</t>
  </si>
  <si>
    <t>INV03513</t>
  </si>
  <si>
    <t>ORD03514</t>
  </si>
  <si>
    <t>INV03514</t>
  </si>
  <si>
    <t>ORD03515</t>
  </si>
  <si>
    <t>INV03515</t>
  </si>
  <si>
    <t>ORD03516</t>
  </si>
  <si>
    <t>INV03516</t>
  </si>
  <si>
    <t>ORD03517</t>
  </si>
  <si>
    <t>INV03517</t>
  </si>
  <si>
    <t>ORD03518</t>
  </si>
  <si>
    <t>INV03518</t>
  </si>
  <si>
    <t>ORD03519</t>
  </si>
  <si>
    <t>INV03519</t>
  </si>
  <si>
    <t>ORD03520</t>
  </si>
  <si>
    <t>INV03520</t>
  </si>
  <si>
    <t>ORD03521</t>
  </si>
  <si>
    <t>INV03521</t>
  </si>
  <si>
    <t>ORD03522</t>
  </si>
  <si>
    <t>INV03522</t>
  </si>
  <si>
    <t>ORD03523</t>
  </si>
  <si>
    <t>INV03523</t>
  </si>
  <si>
    <t>ORD03524</t>
  </si>
  <si>
    <t>INV03524</t>
  </si>
  <si>
    <t>ORD03525</t>
  </si>
  <si>
    <t>INV03525</t>
  </si>
  <si>
    <t>ORD03526</t>
  </si>
  <si>
    <t>INV03526</t>
  </si>
  <si>
    <t>ORD03527</t>
  </si>
  <si>
    <t>INV03527</t>
  </si>
  <si>
    <t>ORD03528</t>
  </si>
  <si>
    <t>INV03528</t>
  </si>
  <si>
    <t>ORD03529</t>
  </si>
  <si>
    <t>INV03529</t>
  </si>
  <si>
    <t>ORD03530</t>
  </si>
  <si>
    <t>INV03530</t>
  </si>
  <si>
    <t>ORD03531</t>
  </si>
  <si>
    <t>INV03531</t>
  </si>
  <si>
    <t>ORD03532</t>
  </si>
  <si>
    <t>INV03532</t>
  </si>
  <si>
    <t>ORD03533</t>
  </si>
  <si>
    <t>INV03533</t>
  </si>
  <si>
    <t>ORD03534</t>
  </si>
  <si>
    <t>INV03534</t>
  </si>
  <si>
    <t>ORD03535</t>
  </si>
  <si>
    <t>INV03535</t>
  </si>
  <si>
    <t>ORD03536</t>
  </si>
  <si>
    <t>INV03536</t>
  </si>
  <si>
    <t>ORD03537</t>
  </si>
  <si>
    <t>INV03537</t>
  </si>
  <si>
    <t>ORD03538</t>
  </si>
  <si>
    <t>INV03538</t>
  </si>
  <si>
    <t>ORD03539</t>
  </si>
  <si>
    <t>INV03539</t>
  </si>
  <si>
    <t>ORD03540</t>
  </si>
  <si>
    <t>INV03540</t>
  </si>
  <si>
    <t>ORD03541</t>
  </si>
  <si>
    <t>INV03541</t>
  </si>
  <si>
    <t>ORD03542</t>
  </si>
  <si>
    <t>INV03542</t>
  </si>
  <si>
    <t>ORD03543</t>
  </si>
  <si>
    <t>INV03543</t>
  </si>
  <si>
    <t>ORD03544</t>
  </si>
  <si>
    <t>INV03544</t>
  </si>
  <si>
    <t>ORD03545</t>
  </si>
  <si>
    <t>INV03545</t>
  </si>
  <si>
    <t>ORD03546</t>
  </si>
  <si>
    <t>INV03546</t>
  </si>
  <si>
    <t>ORD03547</t>
  </si>
  <si>
    <t>INV03547</t>
  </si>
  <si>
    <t>ORD03548</t>
  </si>
  <si>
    <t>INV03548</t>
  </si>
  <si>
    <t>ORD03549</t>
  </si>
  <si>
    <t>INV03549</t>
  </si>
  <si>
    <t>ORD03550</t>
  </si>
  <si>
    <t>INV03550</t>
  </si>
  <si>
    <t>ORD03551</t>
  </si>
  <si>
    <t>INV03551</t>
  </si>
  <si>
    <t>ORD03552</t>
  </si>
  <si>
    <t>INV03552</t>
  </si>
  <si>
    <t>ORD03553</t>
  </si>
  <si>
    <t>INV03553</t>
  </si>
  <si>
    <t>ORD03554</t>
  </si>
  <si>
    <t>INV03554</t>
  </si>
  <si>
    <t>ORD03555</t>
  </si>
  <si>
    <t>INV03555</t>
  </si>
  <si>
    <t>ORD03556</t>
  </si>
  <si>
    <t>INV03556</t>
  </si>
  <si>
    <t>ORD03557</t>
  </si>
  <si>
    <t>INV03557</t>
  </si>
  <si>
    <t>ORD03558</t>
  </si>
  <si>
    <t>INV03558</t>
  </si>
  <si>
    <t>ORD03559</t>
  </si>
  <si>
    <t>INV03559</t>
  </si>
  <si>
    <t>ORD03560</t>
  </si>
  <si>
    <t>INV03560</t>
  </si>
  <si>
    <t>ORD03561</t>
  </si>
  <si>
    <t>INV03561</t>
  </si>
  <si>
    <t>ORD03562</t>
  </si>
  <si>
    <t>INV03562</t>
  </si>
  <si>
    <t>ORD03563</t>
  </si>
  <si>
    <t>INV03563</t>
  </si>
  <si>
    <t>ORD03564</t>
  </si>
  <si>
    <t>INV03564</t>
  </si>
  <si>
    <t>ORD03565</t>
  </si>
  <si>
    <t>INV03565</t>
  </si>
  <si>
    <t>ORD03566</t>
  </si>
  <si>
    <t>INV03566</t>
  </si>
  <si>
    <t>ORD03567</t>
  </si>
  <si>
    <t>INV03567</t>
  </si>
  <si>
    <t>ORD03568</t>
  </si>
  <si>
    <t>INV03568</t>
  </si>
  <si>
    <t>ORD03569</t>
  </si>
  <si>
    <t>INV03569</t>
  </si>
  <si>
    <t>ORD03570</t>
  </si>
  <si>
    <t>INV03570</t>
  </si>
  <si>
    <t>ORD03571</t>
  </si>
  <si>
    <t>INV03571</t>
  </si>
  <si>
    <t>ORD03572</t>
  </si>
  <si>
    <t>INV03572</t>
  </si>
  <si>
    <t>ORD03573</t>
  </si>
  <si>
    <t>INV03573</t>
  </si>
  <si>
    <t>ORD03574</t>
  </si>
  <si>
    <t>INV03574</t>
  </si>
  <si>
    <t>ORD03575</t>
  </si>
  <si>
    <t>INV03575</t>
  </si>
  <si>
    <t>ORD03576</t>
  </si>
  <si>
    <t>INV03576</t>
  </si>
  <si>
    <t>ORD03577</t>
  </si>
  <si>
    <t>INV03577</t>
  </si>
  <si>
    <t>ORD03578</t>
  </si>
  <si>
    <t>INV03578</t>
  </si>
  <si>
    <t>ORD03579</t>
  </si>
  <si>
    <t>INV03579</t>
  </si>
  <si>
    <t>ORD03580</t>
  </si>
  <si>
    <t>INV03580</t>
  </si>
  <si>
    <t>ORD03581</t>
  </si>
  <si>
    <t>INV03581</t>
  </si>
  <si>
    <t>ORD03582</t>
  </si>
  <si>
    <t>INV03582</t>
  </si>
  <si>
    <t>ORD03583</t>
  </si>
  <si>
    <t>INV03583</t>
  </si>
  <si>
    <t>ORD03584</t>
  </si>
  <si>
    <t>INV03584</t>
  </si>
  <si>
    <t>ORD03585</t>
  </si>
  <si>
    <t>INV03585</t>
  </si>
  <si>
    <t>ORD03586</t>
  </si>
  <si>
    <t>INV03586</t>
  </si>
  <si>
    <t>ORD03587</t>
  </si>
  <si>
    <t>INV03587</t>
  </si>
  <si>
    <t>ORD03588</t>
  </si>
  <si>
    <t>INV03588</t>
  </si>
  <si>
    <t>ORD03589</t>
  </si>
  <si>
    <t>INV03589</t>
  </si>
  <si>
    <t>ORD03590</t>
  </si>
  <si>
    <t>INV03590</t>
  </si>
  <si>
    <t>ORD03591</t>
  </si>
  <si>
    <t>INV03591</t>
  </si>
  <si>
    <t>ORD03592</t>
  </si>
  <si>
    <t>INV03592</t>
  </si>
  <si>
    <t>ORD03593</t>
  </si>
  <si>
    <t>INV03593</t>
  </si>
  <si>
    <t>ORD03594</t>
  </si>
  <si>
    <t>INV03594</t>
  </si>
  <si>
    <t>ORD03595</t>
  </si>
  <si>
    <t>INV03595</t>
  </si>
  <si>
    <t>ORD03596</t>
  </si>
  <si>
    <t>INV03596</t>
  </si>
  <si>
    <t>ORD03597</t>
  </si>
  <si>
    <t>INV03597</t>
  </si>
  <si>
    <t>ORD03598</t>
  </si>
  <si>
    <t>INV03598</t>
  </si>
  <si>
    <t>ORD03599</t>
  </si>
  <si>
    <t>INV03599</t>
  </si>
  <si>
    <t>ORD03600</t>
  </si>
  <si>
    <t>INV03600</t>
  </si>
  <si>
    <t>ORD03601</t>
  </si>
  <si>
    <t>INV03601</t>
  </si>
  <si>
    <t>ORD03602</t>
  </si>
  <si>
    <t>INV03602</t>
  </si>
  <si>
    <t>ORD03603</t>
  </si>
  <si>
    <t>INV03603</t>
  </si>
  <si>
    <t>ORD03604</t>
  </si>
  <si>
    <t>INV03604</t>
  </si>
  <si>
    <t>ORD03605</t>
  </si>
  <si>
    <t>INV03605</t>
  </si>
  <si>
    <t>ORD03606</t>
  </si>
  <si>
    <t>INV03606</t>
  </si>
  <si>
    <t>ORD03607</t>
  </si>
  <si>
    <t>INV03607</t>
  </si>
  <si>
    <t>ORD03608</t>
  </si>
  <si>
    <t>INV03608</t>
  </si>
  <si>
    <t>ORD03609</t>
  </si>
  <si>
    <t>INV03609</t>
  </si>
  <si>
    <t>ORD03610</t>
  </si>
  <si>
    <t>INV03610</t>
  </si>
  <si>
    <t>ORD03611</t>
  </si>
  <si>
    <t>INV03611</t>
  </si>
  <si>
    <t>ORD03612</t>
  </si>
  <si>
    <t>INV03612</t>
  </si>
  <si>
    <t>ORD03613</t>
  </si>
  <si>
    <t>INV03613</t>
  </si>
  <si>
    <t>ORD03614</t>
  </si>
  <si>
    <t>INV03614</t>
  </si>
  <si>
    <t>ORD03615</t>
  </si>
  <si>
    <t>INV03615</t>
  </si>
  <si>
    <t>ORD03616</t>
  </si>
  <si>
    <t>INV03616</t>
  </si>
  <si>
    <t>ORD03617</t>
  </si>
  <si>
    <t>INV03617</t>
  </si>
  <si>
    <t>ORD03618</t>
  </si>
  <si>
    <t>INV03618</t>
  </si>
  <si>
    <t>ORD03619</t>
  </si>
  <si>
    <t>INV03619</t>
  </si>
  <si>
    <t>ORD03620</t>
  </si>
  <si>
    <t>INV03620</t>
  </si>
  <si>
    <t>ORD03621</t>
  </si>
  <si>
    <t>INV03621</t>
  </si>
  <si>
    <t>ORD03622</t>
  </si>
  <si>
    <t>INV03622</t>
  </si>
  <si>
    <t>ORD03623</t>
  </si>
  <si>
    <t>INV03623</t>
  </si>
  <si>
    <t>ORD03624</t>
  </si>
  <si>
    <t>INV03624</t>
  </si>
  <si>
    <t>ORD03625</t>
  </si>
  <si>
    <t>INV03625</t>
  </si>
  <si>
    <t>ORD03626</t>
  </si>
  <si>
    <t>INV03626</t>
  </si>
  <si>
    <t>ORD03627</t>
  </si>
  <si>
    <t>INV03627</t>
  </si>
  <si>
    <t>ORD03628</t>
  </si>
  <si>
    <t>INV03628</t>
  </si>
  <si>
    <t>ORD03629</t>
  </si>
  <si>
    <t>INV03629</t>
  </si>
  <si>
    <t>ORD03630</t>
  </si>
  <si>
    <t>INV03630</t>
  </si>
  <si>
    <t>ORD03631</t>
  </si>
  <si>
    <t>INV03631</t>
  </si>
  <si>
    <t>ORD03632</t>
  </si>
  <si>
    <t>INV03632</t>
  </si>
  <si>
    <t>ORD03633</t>
  </si>
  <si>
    <t>INV03633</t>
  </si>
  <si>
    <t>ORD03634</t>
  </si>
  <si>
    <t>INV03634</t>
  </si>
  <si>
    <t>ORD03635</t>
  </si>
  <si>
    <t>INV03635</t>
  </si>
  <si>
    <t>ORD03636</t>
  </si>
  <si>
    <t>INV03636</t>
  </si>
  <si>
    <t>ORD03637</t>
  </si>
  <si>
    <t>INV03637</t>
  </si>
  <si>
    <t>ORD03638</t>
  </si>
  <si>
    <t>INV03638</t>
  </si>
  <si>
    <t>ORD03639</t>
  </si>
  <si>
    <t>INV03639</t>
  </si>
  <si>
    <t>ORD03640</t>
  </si>
  <si>
    <t>CUST0661</t>
  </si>
  <si>
    <t>INV03640</t>
  </si>
  <si>
    <t>ORD03641</t>
  </si>
  <si>
    <t>INV03641</t>
  </si>
  <si>
    <t>ORD03642</t>
  </si>
  <si>
    <t>INV03642</t>
  </si>
  <si>
    <t>ORD03643</t>
  </si>
  <si>
    <t>INV03643</t>
  </si>
  <si>
    <t>ORD03644</t>
  </si>
  <si>
    <t>INV03644</t>
  </si>
  <si>
    <t>ORD03645</t>
  </si>
  <si>
    <t>INV03645</t>
  </si>
  <si>
    <t>ORD03646</t>
  </si>
  <si>
    <t>INV03646</t>
  </si>
  <si>
    <t>ORD03647</t>
  </si>
  <si>
    <t>INV03647</t>
  </si>
  <si>
    <t>ORD03648</t>
  </si>
  <si>
    <t>INV03648</t>
  </si>
  <si>
    <t>ORD03649</t>
  </si>
  <si>
    <t>INV03649</t>
  </si>
  <si>
    <t>ORD03650</t>
  </si>
  <si>
    <t>INV03650</t>
  </si>
  <si>
    <t>ORD03651</t>
  </si>
  <si>
    <t>INV03651</t>
  </si>
  <si>
    <t>ORD03652</t>
  </si>
  <si>
    <t>INV03652</t>
  </si>
  <si>
    <t>ORD03653</t>
  </si>
  <si>
    <t>INV03653</t>
  </si>
  <si>
    <t>ORD03654</t>
  </si>
  <si>
    <t>INV03654</t>
  </si>
  <si>
    <t>ORD03655</t>
  </si>
  <si>
    <t>INV03655</t>
  </si>
  <si>
    <t>ORD03656</t>
  </si>
  <si>
    <t>INV03656</t>
  </si>
  <si>
    <t>ORD03657</t>
  </si>
  <si>
    <t>INV03657</t>
  </si>
  <si>
    <t>ORD03658</t>
  </si>
  <si>
    <t>INV03658</t>
  </si>
  <si>
    <t>ORD03659</t>
  </si>
  <si>
    <t>INV03659</t>
  </si>
  <si>
    <t>ORD03660</t>
  </si>
  <si>
    <t>INV03660</t>
  </si>
  <si>
    <t>ORD03661</t>
  </si>
  <si>
    <t>INV03661</t>
  </si>
  <si>
    <t>ORD03662</t>
  </si>
  <si>
    <t>INV03662</t>
  </si>
  <si>
    <t>ORD03663</t>
  </si>
  <si>
    <t>INV03663</t>
  </si>
  <si>
    <t>ORD03664</t>
  </si>
  <si>
    <t>INV03664</t>
  </si>
  <si>
    <t>ORD03665</t>
  </si>
  <si>
    <t>INV03665</t>
  </si>
  <si>
    <t>ORD03666</t>
  </si>
  <si>
    <t>INV03666</t>
  </si>
  <si>
    <t>ORD03667</t>
  </si>
  <si>
    <t>INV03667</t>
  </si>
  <si>
    <t>ORD03668</t>
  </si>
  <si>
    <t>INV03668</t>
  </si>
  <si>
    <t>ORD03669</t>
  </si>
  <si>
    <t>INV03669</t>
  </si>
  <si>
    <t>ORD03670</t>
  </si>
  <si>
    <t>INV03670</t>
  </si>
  <si>
    <t>ORD03671</t>
  </si>
  <si>
    <t>INV03671</t>
  </si>
  <si>
    <t>ORD03672</t>
  </si>
  <si>
    <t>INV03672</t>
  </si>
  <si>
    <t>ORD03673</t>
  </si>
  <si>
    <t>INV03673</t>
  </si>
  <si>
    <t>ORD03674</t>
  </si>
  <si>
    <t>INV03674</t>
  </si>
  <si>
    <t>ORD03675</t>
  </si>
  <si>
    <t>INV03675</t>
  </si>
  <si>
    <t>ORD03676</t>
  </si>
  <si>
    <t>INV03676</t>
  </si>
  <si>
    <t>ORD03677</t>
  </si>
  <si>
    <t>INV03677</t>
  </si>
  <si>
    <t>ORD03678</t>
  </si>
  <si>
    <t>INV03678</t>
  </si>
  <si>
    <t>ORD03679</t>
  </si>
  <si>
    <t>INV03679</t>
  </si>
  <si>
    <t>ORD03680</t>
  </si>
  <si>
    <t>INV03680</t>
  </si>
  <si>
    <t>ORD03681</t>
  </si>
  <si>
    <t>INV03681</t>
  </si>
  <si>
    <t>ORD03682</t>
  </si>
  <si>
    <t>INV03682</t>
  </si>
  <si>
    <t>ORD03683</t>
  </si>
  <si>
    <t>INV03683</t>
  </si>
  <si>
    <t>ORD03684</t>
  </si>
  <si>
    <t>INV03684</t>
  </si>
  <si>
    <t>ORD03685</t>
  </si>
  <si>
    <t>INV03685</t>
  </si>
  <si>
    <t>ORD03686</t>
  </si>
  <si>
    <t>INV03686</t>
  </si>
  <si>
    <t>ORD03687</t>
  </si>
  <si>
    <t>INV03687</t>
  </si>
  <si>
    <t>ORD03688</t>
  </si>
  <si>
    <t>INV03688</t>
  </si>
  <si>
    <t>ORD03689</t>
  </si>
  <si>
    <t>INV03689</t>
  </si>
  <si>
    <t>ORD03690</t>
  </si>
  <si>
    <t>INV03690</t>
  </si>
  <si>
    <t>ORD03691</t>
  </si>
  <si>
    <t>INV03691</t>
  </si>
  <si>
    <t>ORD03692</t>
  </si>
  <si>
    <t>INV03692</t>
  </si>
  <si>
    <t>ORD03693</t>
  </si>
  <si>
    <t>INV03693</t>
  </si>
  <si>
    <t>ORD03694</t>
  </si>
  <si>
    <t>INV03694</t>
  </si>
  <si>
    <t>ORD03695</t>
  </si>
  <si>
    <t>INV03695</t>
  </si>
  <si>
    <t>ORD03696</t>
  </si>
  <si>
    <t>INV03696</t>
  </si>
  <si>
    <t>ORD03697</t>
  </si>
  <si>
    <t>INV03697</t>
  </si>
  <si>
    <t>ORD03698</t>
  </si>
  <si>
    <t>INV03698</t>
  </si>
  <si>
    <t>ORD03699</t>
  </si>
  <si>
    <t>INV03699</t>
  </si>
  <si>
    <t>ORD03700</t>
  </si>
  <si>
    <t>INV03700</t>
  </si>
  <si>
    <t>ORD03701</t>
  </si>
  <si>
    <t>INV03701</t>
  </si>
  <si>
    <t>ORD03702</t>
  </si>
  <si>
    <t>INV03702</t>
  </si>
  <si>
    <t>ORD03703</t>
  </si>
  <si>
    <t>INV03703</t>
  </si>
  <si>
    <t>ORD03704</t>
  </si>
  <si>
    <t>INV03704</t>
  </si>
  <si>
    <t>ORD03705</t>
  </si>
  <si>
    <t>INV03705</t>
  </si>
  <si>
    <t>ORD03706</t>
  </si>
  <si>
    <t>INV03706</t>
  </si>
  <si>
    <t>ORD03707</t>
  </si>
  <si>
    <t>INV03707</t>
  </si>
  <si>
    <t>ORD03708</t>
  </si>
  <si>
    <t>INV03708</t>
  </si>
  <si>
    <t>ORD03709</t>
  </si>
  <si>
    <t>INV03709</t>
  </si>
  <si>
    <t>ORD03710</t>
  </si>
  <si>
    <t>INV03710</t>
  </si>
  <si>
    <t>ORD03711</t>
  </si>
  <si>
    <t>INV03711</t>
  </si>
  <si>
    <t>ORD03712</t>
  </si>
  <si>
    <t>INV03712</t>
  </si>
  <si>
    <t>ORD03713</t>
  </si>
  <si>
    <t>INV03713</t>
  </si>
  <si>
    <t>ORD03714</t>
  </si>
  <si>
    <t>INV03714</t>
  </si>
  <si>
    <t>ORD03715</t>
  </si>
  <si>
    <t>INV03715</t>
  </si>
  <si>
    <t>ORD03716</t>
  </si>
  <si>
    <t>INV03716</t>
  </si>
  <si>
    <t>ORD03717</t>
  </si>
  <si>
    <t>INV03717</t>
  </si>
  <si>
    <t>ORD03718</t>
  </si>
  <si>
    <t>INV03718</t>
  </si>
  <si>
    <t>ORD03719</t>
  </si>
  <si>
    <t>INV03719</t>
  </si>
  <si>
    <t>ORD03720</t>
  </si>
  <si>
    <t>INV03720</t>
  </si>
  <si>
    <t>ORD03721</t>
  </si>
  <si>
    <t>INV03721</t>
  </si>
  <si>
    <t>ORD03722</t>
  </si>
  <si>
    <t>INV03722</t>
  </si>
  <si>
    <t>ORD03723</t>
  </si>
  <si>
    <t>INV03723</t>
  </si>
  <si>
    <t>ORD03724</t>
  </si>
  <si>
    <t>INV03724</t>
  </si>
  <si>
    <t>ORD03725</t>
  </si>
  <si>
    <t>INV03725</t>
  </si>
  <si>
    <t>ORD03726</t>
  </si>
  <si>
    <t>INV03726</t>
  </si>
  <si>
    <t>ORD03727</t>
  </si>
  <si>
    <t>INV03727</t>
  </si>
  <si>
    <t>ORD03728</t>
  </si>
  <si>
    <t>INV03728</t>
  </si>
  <si>
    <t>ORD03729</t>
  </si>
  <si>
    <t>INV03729</t>
  </si>
  <si>
    <t>ORD03730</t>
  </si>
  <si>
    <t>INV03730</t>
  </si>
  <si>
    <t>ORD03731</t>
  </si>
  <si>
    <t>INV03731</t>
  </si>
  <si>
    <t>ORD03732</t>
  </si>
  <si>
    <t>INV03732</t>
  </si>
  <si>
    <t>ORD03733</t>
  </si>
  <si>
    <t>INV03733</t>
  </si>
  <si>
    <t>ORD03734</t>
  </si>
  <si>
    <t>INV03734</t>
  </si>
  <si>
    <t>ORD03735</t>
  </si>
  <si>
    <t>INV03735</t>
  </si>
  <si>
    <t>ORD03736</t>
  </si>
  <si>
    <t>INV03736</t>
  </si>
  <si>
    <t>ORD03737</t>
  </si>
  <si>
    <t>INV03737</t>
  </si>
  <si>
    <t>ORD03738</t>
  </si>
  <si>
    <t>INV03738</t>
  </si>
  <si>
    <t>ORD03739</t>
  </si>
  <si>
    <t>INV03739</t>
  </si>
  <si>
    <t>ORD03740</t>
  </si>
  <si>
    <t>INV03740</t>
  </si>
  <si>
    <t>ORD03741</t>
  </si>
  <si>
    <t>INV03741</t>
  </si>
  <si>
    <t>ORD03742</t>
  </si>
  <si>
    <t>INV03742</t>
  </si>
  <si>
    <t>ORD03743</t>
  </si>
  <si>
    <t>INV03743</t>
  </si>
  <si>
    <t>ORD03744</t>
  </si>
  <si>
    <t>INV03744</t>
  </si>
  <si>
    <t>ORD03745</t>
  </si>
  <si>
    <t>INV03745</t>
  </si>
  <si>
    <t>ORD03746</t>
  </si>
  <si>
    <t>INV03746</t>
  </si>
  <si>
    <t>ORD03747</t>
  </si>
  <si>
    <t>INV03747</t>
  </si>
  <si>
    <t>ORD03748</t>
  </si>
  <si>
    <t>INV03748</t>
  </si>
  <si>
    <t>ORD03749</t>
  </si>
  <si>
    <t>INV03749</t>
  </si>
  <si>
    <t>ORD03750</t>
  </si>
  <si>
    <t>INV03750</t>
  </si>
  <si>
    <t>ORD03751</t>
  </si>
  <si>
    <t>INV03751</t>
  </si>
  <si>
    <t>ORD03752</t>
  </si>
  <si>
    <t>INV03752</t>
  </si>
  <si>
    <t>ORD03753</t>
  </si>
  <si>
    <t>INV03753</t>
  </si>
  <si>
    <t>ORD03754</t>
  </si>
  <si>
    <t>INV03754</t>
  </si>
  <si>
    <t>ORD03755</t>
  </si>
  <si>
    <t>INV03755</t>
  </si>
  <si>
    <t>ORD03756</t>
  </si>
  <si>
    <t>INV03756</t>
  </si>
  <si>
    <t>ORD03757</t>
  </si>
  <si>
    <t>INV03757</t>
  </si>
  <si>
    <t>ORD03758</t>
  </si>
  <si>
    <t>INV03758</t>
  </si>
  <si>
    <t>ORD03759</t>
  </si>
  <si>
    <t>INV03759</t>
  </si>
  <si>
    <t>ORD03760</t>
  </si>
  <si>
    <t>INV03760</t>
  </si>
  <si>
    <t>ORD03761</t>
  </si>
  <si>
    <t>INV03761</t>
  </si>
  <si>
    <t>ORD03762</t>
  </si>
  <si>
    <t>INV03762</t>
  </si>
  <si>
    <t>ORD03763</t>
  </si>
  <si>
    <t>INV03763</t>
  </si>
  <si>
    <t>ORD03764</t>
  </si>
  <si>
    <t>INV03764</t>
  </si>
  <si>
    <t>ORD03765</t>
  </si>
  <si>
    <t>INV03765</t>
  </si>
  <si>
    <t>ORD03766</t>
  </si>
  <si>
    <t>INV03766</t>
  </si>
  <si>
    <t>ORD03767</t>
  </si>
  <si>
    <t>INV03767</t>
  </si>
  <si>
    <t>ORD03768</t>
  </si>
  <si>
    <t>INV03768</t>
  </si>
  <si>
    <t>ORD03769</t>
  </si>
  <si>
    <t>INV03769</t>
  </si>
  <si>
    <t>ORD03770</t>
  </si>
  <si>
    <t>INV03770</t>
  </si>
  <si>
    <t>ORD03771</t>
  </si>
  <si>
    <t>INV03771</t>
  </si>
  <si>
    <t>ORD03772</t>
  </si>
  <si>
    <t>INV03772</t>
  </si>
  <si>
    <t>ORD03773</t>
  </si>
  <si>
    <t>INV03773</t>
  </si>
  <si>
    <t>ORD03774</t>
  </si>
  <si>
    <t>INV03774</t>
  </si>
  <si>
    <t>ORD03775</t>
  </si>
  <si>
    <t>INV03775</t>
  </si>
  <si>
    <t>ORD03776</t>
  </si>
  <si>
    <t>INV03776</t>
  </si>
  <si>
    <t>ORD03777</t>
  </si>
  <si>
    <t>INV03777</t>
  </si>
  <si>
    <t>ORD03778</t>
  </si>
  <si>
    <t>INV03778</t>
  </si>
  <si>
    <t>ORD03779</t>
  </si>
  <si>
    <t>INV03779</t>
  </si>
  <si>
    <t>ORD03780</t>
  </si>
  <si>
    <t>INV03780</t>
  </si>
  <si>
    <t>ORD03781</t>
  </si>
  <si>
    <t>INV03781</t>
  </si>
  <si>
    <t>ORD03782</t>
  </si>
  <si>
    <t>INV03782</t>
  </si>
  <si>
    <t>ORD03783</t>
  </si>
  <si>
    <t>INV03783</t>
  </si>
  <si>
    <t>ORD03784</t>
  </si>
  <si>
    <t>INV03784</t>
  </si>
  <si>
    <t>ORD03785</t>
  </si>
  <si>
    <t>INV03785</t>
  </si>
  <si>
    <t>ORD03786</t>
  </si>
  <si>
    <t>INV03786</t>
  </si>
  <si>
    <t>ORD03787</t>
  </si>
  <si>
    <t>INV03787</t>
  </si>
  <si>
    <t>ORD03788</t>
  </si>
  <si>
    <t>INV03788</t>
  </si>
  <si>
    <t>ORD03789</t>
  </si>
  <si>
    <t>INV03789</t>
  </si>
  <si>
    <t>ORD03790</t>
  </si>
  <si>
    <t>INV03790</t>
  </si>
  <si>
    <t>ORD03791</t>
  </si>
  <si>
    <t>INV03791</t>
  </si>
  <si>
    <t>ORD03792</t>
  </si>
  <si>
    <t>INV03792</t>
  </si>
  <si>
    <t>ORD03793</t>
  </si>
  <si>
    <t>INV03793</t>
  </si>
  <si>
    <t>ORD03794</t>
  </si>
  <si>
    <t>INV03794</t>
  </si>
  <si>
    <t>ORD03795</t>
  </si>
  <si>
    <t>INV03795</t>
  </si>
  <si>
    <t>ORD03796</t>
  </si>
  <si>
    <t>INV03796</t>
  </si>
  <si>
    <t>ORD03797</t>
  </si>
  <si>
    <t>INV03797</t>
  </si>
  <si>
    <t>ORD03798</t>
  </si>
  <si>
    <t>INV03798</t>
  </si>
  <si>
    <t>ORD03799</t>
  </si>
  <si>
    <t>INV03799</t>
  </si>
  <si>
    <t>ORD03800</t>
  </si>
  <si>
    <t>INV03800</t>
  </si>
  <si>
    <t>ORD03801</t>
  </si>
  <si>
    <t>INV03801</t>
  </si>
  <si>
    <t>ORD03802</t>
  </si>
  <si>
    <t>INV03802</t>
  </si>
  <si>
    <t>ORD03803</t>
  </si>
  <si>
    <t>INV03803</t>
  </si>
  <si>
    <t>ORD03804</t>
  </si>
  <si>
    <t>INV03804</t>
  </si>
  <si>
    <t>ORD03805</t>
  </si>
  <si>
    <t>INV03805</t>
  </si>
  <si>
    <t>ORD03806</t>
  </si>
  <si>
    <t>INV03806</t>
  </si>
  <si>
    <t>ORD03807</t>
  </si>
  <si>
    <t>INV03807</t>
  </si>
  <si>
    <t>ORD03808</t>
  </si>
  <si>
    <t>INV03808</t>
  </si>
  <si>
    <t>ORD03809</t>
  </si>
  <si>
    <t>INV03809</t>
  </si>
  <si>
    <t>ORD03810</t>
  </si>
  <si>
    <t>INV03810</t>
  </si>
  <si>
    <t>ORD03811</t>
  </si>
  <si>
    <t>INV03811</t>
  </si>
  <si>
    <t>ORD03812</t>
  </si>
  <si>
    <t>INV03812</t>
  </si>
  <si>
    <t>ORD03813</t>
  </si>
  <si>
    <t>INV03813</t>
  </si>
  <si>
    <t>ORD03814</t>
  </si>
  <si>
    <t>INV03814</t>
  </si>
  <si>
    <t>ORD03815</t>
  </si>
  <si>
    <t>INV03815</t>
  </si>
  <si>
    <t>ORD03816</t>
  </si>
  <si>
    <t>INV03816</t>
  </si>
  <si>
    <t>ORD03817</t>
  </si>
  <si>
    <t>INV03817</t>
  </si>
  <si>
    <t>ORD03818</t>
  </si>
  <si>
    <t>INV03818</t>
  </si>
  <si>
    <t>ORD03819</t>
  </si>
  <si>
    <t>INV03819</t>
  </si>
  <si>
    <t>ORD03820</t>
  </si>
  <si>
    <t>CUST0578</t>
  </si>
  <si>
    <t>INV03820</t>
  </si>
  <si>
    <t>ORD03821</t>
  </si>
  <si>
    <t>INV03821</t>
  </si>
  <si>
    <t>ORD03822</t>
  </si>
  <si>
    <t>INV03822</t>
  </si>
  <si>
    <t>ORD03823</t>
  </si>
  <si>
    <t>INV03823</t>
  </si>
  <si>
    <t>ORD03824</t>
  </si>
  <si>
    <t>INV03824</t>
  </si>
  <si>
    <t>ORD03825</t>
  </si>
  <si>
    <t>INV03825</t>
  </si>
  <si>
    <t>ORD03826</t>
  </si>
  <si>
    <t>INV03826</t>
  </si>
  <si>
    <t>ORD03827</t>
  </si>
  <si>
    <t>INV03827</t>
  </si>
  <si>
    <t>ORD03828</t>
  </si>
  <si>
    <t>INV03828</t>
  </si>
  <si>
    <t>ORD03829</t>
  </si>
  <si>
    <t>INV03829</t>
  </si>
  <si>
    <t>ORD03830</t>
  </si>
  <si>
    <t>INV03830</t>
  </si>
  <si>
    <t>ORD03831</t>
  </si>
  <si>
    <t>INV03831</t>
  </si>
  <si>
    <t>ORD03832</t>
  </si>
  <si>
    <t>INV03832</t>
  </si>
  <si>
    <t>ORD03833</t>
  </si>
  <si>
    <t>INV03833</t>
  </si>
  <si>
    <t>ORD03834</t>
  </si>
  <si>
    <t>INV03834</t>
  </si>
  <si>
    <t>ORD03835</t>
  </si>
  <si>
    <t>INV03835</t>
  </si>
  <si>
    <t>ORD03836</t>
  </si>
  <si>
    <t>INV03836</t>
  </si>
  <si>
    <t>ORD03837</t>
  </si>
  <si>
    <t>INV03837</t>
  </si>
  <si>
    <t>ORD03838</t>
  </si>
  <si>
    <t>INV03838</t>
  </si>
  <si>
    <t>ORD03839</t>
  </si>
  <si>
    <t>INV03839</t>
  </si>
  <si>
    <t>ORD03840</t>
  </si>
  <si>
    <t>INV03840</t>
  </si>
  <si>
    <t>ORD03841</t>
  </si>
  <si>
    <t>INV03841</t>
  </si>
  <si>
    <t>ORD03842</t>
  </si>
  <si>
    <t>INV03842</t>
  </si>
  <si>
    <t>ORD03843</t>
  </si>
  <si>
    <t>INV03843</t>
  </si>
  <si>
    <t>ORD03844</t>
  </si>
  <si>
    <t>INV03844</t>
  </si>
  <si>
    <t>ORD03845</t>
  </si>
  <si>
    <t>INV03845</t>
  </si>
  <si>
    <t>ORD03846</t>
  </si>
  <si>
    <t>INV03846</t>
  </si>
  <si>
    <t>ORD03847</t>
  </si>
  <si>
    <t>INV03847</t>
  </si>
  <si>
    <t>ORD03848</t>
  </si>
  <si>
    <t>INV03848</t>
  </si>
  <si>
    <t>ORD03849</t>
  </si>
  <si>
    <t>INV03849</t>
  </si>
  <si>
    <t>ORD03850</t>
  </si>
  <si>
    <t>INV03850</t>
  </si>
  <si>
    <t>ORD03851</t>
  </si>
  <si>
    <t>INV03851</t>
  </si>
  <si>
    <t>ORD03852</t>
  </si>
  <si>
    <t>INV03852</t>
  </si>
  <si>
    <t>ORD03853</t>
  </si>
  <si>
    <t>INV03853</t>
  </si>
  <si>
    <t>ORD03854</t>
  </si>
  <si>
    <t>INV03854</t>
  </si>
  <si>
    <t>ORD03855</t>
  </si>
  <si>
    <t>INV03855</t>
  </si>
  <si>
    <t>ORD03856</t>
  </si>
  <si>
    <t>INV03856</t>
  </si>
  <si>
    <t>ORD03857</t>
  </si>
  <si>
    <t>INV03857</t>
  </si>
  <si>
    <t>ORD03858</t>
  </si>
  <si>
    <t>INV03858</t>
  </si>
  <si>
    <t>ORD03859</t>
  </si>
  <si>
    <t>INV03859</t>
  </si>
  <si>
    <t>ORD03860</t>
  </si>
  <si>
    <t>INV03860</t>
  </si>
  <si>
    <t>ORD03861</t>
  </si>
  <si>
    <t>INV03861</t>
  </si>
  <si>
    <t>ORD03862</t>
  </si>
  <si>
    <t>INV03862</t>
  </si>
  <si>
    <t>ORD03863</t>
  </si>
  <si>
    <t>INV03863</t>
  </si>
  <si>
    <t>ORD03864</t>
  </si>
  <si>
    <t>INV03864</t>
  </si>
  <si>
    <t>ORD03865</t>
  </si>
  <si>
    <t>INV03865</t>
  </si>
  <si>
    <t>ORD03866</t>
  </si>
  <si>
    <t>INV03866</t>
  </si>
  <si>
    <t>ORD03867</t>
  </si>
  <si>
    <t>INV03867</t>
  </si>
  <si>
    <t>ORD03868</t>
  </si>
  <si>
    <t>INV03868</t>
  </si>
  <si>
    <t>ORD03869</t>
  </si>
  <si>
    <t>INV03869</t>
  </si>
  <si>
    <t>ORD03870</t>
  </si>
  <si>
    <t>INV03870</t>
  </si>
  <si>
    <t>ORD03871</t>
  </si>
  <si>
    <t>INV03871</t>
  </si>
  <si>
    <t>ORD03872</t>
  </si>
  <si>
    <t>INV03872</t>
  </si>
  <si>
    <t>ORD03873</t>
  </si>
  <si>
    <t>INV03873</t>
  </si>
  <si>
    <t>ORD03874</t>
  </si>
  <si>
    <t>INV03874</t>
  </si>
  <si>
    <t>ORD03875</t>
  </si>
  <si>
    <t>INV03875</t>
  </si>
  <si>
    <t>ORD03876</t>
  </si>
  <si>
    <t>INV03876</t>
  </si>
  <si>
    <t>ORD03877</t>
  </si>
  <si>
    <t>INV03877</t>
  </si>
  <si>
    <t>ORD03878</t>
  </si>
  <si>
    <t>INV03878</t>
  </si>
  <si>
    <t>ORD03879</t>
  </si>
  <si>
    <t>INV03879</t>
  </si>
  <si>
    <t>ORD03880</t>
  </si>
  <si>
    <t>INV03880</t>
  </si>
  <si>
    <t>ORD03881</t>
  </si>
  <si>
    <t>INV03881</t>
  </si>
  <si>
    <t>ORD03882</t>
  </si>
  <si>
    <t>INV03882</t>
  </si>
  <si>
    <t>ORD03883</t>
  </si>
  <si>
    <t>INV03883</t>
  </si>
  <si>
    <t>ORD03884</t>
  </si>
  <si>
    <t>INV03884</t>
  </si>
  <si>
    <t>ORD03885</t>
  </si>
  <si>
    <t>INV03885</t>
  </si>
  <si>
    <t>ORD03886</t>
  </si>
  <si>
    <t>INV03886</t>
  </si>
  <si>
    <t>ORD03887</t>
  </si>
  <si>
    <t>INV03887</t>
  </si>
  <si>
    <t>ORD03888</t>
  </si>
  <si>
    <t>INV03888</t>
  </si>
  <si>
    <t>ORD03889</t>
  </si>
  <si>
    <t>INV03889</t>
  </si>
  <si>
    <t>ORD03890</t>
  </si>
  <si>
    <t>INV03890</t>
  </si>
  <si>
    <t>ORD03891</t>
  </si>
  <si>
    <t>INV03891</t>
  </si>
  <si>
    <t>ORD03892</t>
  </si>
  <si>
    <t>INV03892</t>
  </si>
  <si>
    <t>ORD03893</t>
  </si>
  <si>
    <t>INV03893</t>
  </si>
  <si>
    <t>ORD03894</t>
  </si>
  <si>
    <t>INV03894</t>
  </si>
  <si>
    <t>ORD03895</t>
  </si>
  <si>
    <t>INV03895</t>
  </si>
  <si>
    <t>ORD03896</t>
  </si>
  <si>
    <t>INV03896</t>
  </si>
  <si>
    <t>ORD03897</t>
  </si>
  <si>
    <t>INV03897</t>
  </si>
  <si>
    <t>ORD03898</t>
  </si>
  <si>
    <t>INV03898</t>
  </si>
  <si>
    <t>ORD03899</t>
  </si>
  <si>
    <t>INV03899</t>
  </si>
  <si>
    <t>ORD03900</t>
  </si>
  <si>
    <t>INV03900</t>
  </si>
  <si>
    <t>ORD03901</t>
  </si>
  <si>
    <t>INV03901</t>
  </si>
  <si>
    <t>ORD03902</t>
  </si>
  <si>
    <t>INV03902</t>
  </si>
  <si>
    <t>ORD03903</t>
  </si>
  <si>
    <t>INV03903</t>
  </si>
  <si>
    <t>ORD03904</t>
  </si>
  <si>
    <t>INV03904</t>
  </si>
  <si>
    <t>ORD03905</t>
  </si>
  <si>
    <t>INV03905</t>
  </si>
  <si>
    <t>ORD03906</t>
  </si>
  <si>
    <t>INV03906</t>
  </si>
  <si>
    <t>ORD03907</t>
  </si>
  <si>
    <t>INV03907</t>
  </si>
  <si>
    <t>ORD03908</t>
  </si>
  <si>
    <t>INV03908</t>
  </si>
  <si>
    <t>ORD03909</t>
  </si>
  <si>
    <t>INV03909</t>
  </si>
  <si>
    <t>ORD03910</t>
  </si>
  <si>
    <t>INV03910</t>
  </si>
  <si>
    <t>ORD03911</t>
  </si>
  <si>
    <t>INV03911</t>
  </si>
  <si>
    <t>ORD03912</t>
  </si>
  <si>
    <t>INV03912</t>
  </si>
  <si>
    <t>ORD03913</t>
  </si>
  <si>
    <t>INV03913</t>
  </si>
  <si>
    <t>ORD03914</t>
  </si>
  <si>
    <t>INV03914</t>
  </si>
  <si>
    <t>ORD03915</t>
  </si>
  <si>
    <t>INV03915</t>
  </si>
  <si>
    <t>ORD03916</t>
  </si>
  <si>
    <t>INV03916</t>
  </si>
  <si>
    <t>ORD03917</t>
  </si>
  <si>
    <t>INV03917</t>
  </si>
  <si>
    <t>ORD03918</t>
  </si>
  <si>
    <t>INV03918</t>
  </si>
  <si>
    <t>ORD03919</t>
  </si>
  <si>
    <t>INV03919</t>
  </si>
  <si>
    <t>ORD03920</t>
  </si>
  <si>
    <t>INV03920</t>
  </si>
  <si>
    <t>ORD03921</t>
  </si>
  <si>
    <t>INV03921</t>
  </si>
  <si>
    <t>ORD03922</t>
  </si>
  <si>
    <t>INV03922</t>
  </si>
  <si>
    <t>ORD03923</t>
  </si>
  <si>
    <t>INV03923</t>
  </si>
  <si>
    <t>ORD03924</t>
  </si>
  <si>
    <t>INV03924</t>
  </si>
  <si>
    <t>ORD03925</t>
  </si>
  <si>
    <t>INV03925</t>
  </si>
  <si>
    <t>ORD03926</t>
  </si>
  <si>
    <t>INV03926</t>
  </si>
  <si>
    <t>ORD03927</t>
  </si>
  <si>
    <t>INV03927</t>
  </si>
  <si>
    <t>ORD03928</t>
  </si>
  <si>
    <t>INV03928</t>
  </si>
  <si>
    <t>ORD03929</t>
  </si>
  <si>
    <t>INV03929</t>
  </si>
  <si>
    <t>ORD03930</t>
  </si>
  <si>
    <t>INV03930</t>
  </si>
  <si>
    <t>ORD03931</t>
  </si>
  <si>
    <t>INV03931</t>
  </si>
  <si>
    <t>ORD03932</t>
  </si>
  <si>
    <t>INV03932</t>
  </si>
  <si>
    <t>ORD03933</t>
  </si>
  <si>
    <t>INV03933</t>
  </si>
  <si>
    <t>ORD03934</t>
  </si>
  <si>
    <t>INV03934</t>
  </si>
  <si>
    <t>ORD03935</t>
  </si>
  <si>
    <t>INV03935</t>
  </si>
  <si>
    <t>ORD03936</t>
  </si>
  <si>
    <t>INV03936</t>
  </si>
  <si>
    <t>ORD03937</t>
  </si>
  <si>
    <t>INV03937</t>
  </si>
  <si>
    <t>ORD03938</t>
  </si>
  <si>
    <t>INV03938</t>
  </si>
  <si>
    <t>ORD03939</t>
  </si>
  <si>
    <t>INV03939</t>
  </si>
  <si>
    <t>ORD03940</t>
  </si>
  <si>
    <t>INV03940</t>
  </si>
  <si>
    <t>ORD03941</t>
  </si>
  <si>
    <t>INV03941</t>
  </si>
  <si>
    <t>ORD03942</t>
  </si>
  <si>
    <t>INV03942</t>
  </si>
  <si>
    <t>ORD03943</t>
  </si>
  <si>
    <t>INV03943</t>
  </si>
  <si>
    <t>ORD03944</t>
  </si>
  <si>
    <t>INV03944</t>
  </si>
  <si>
    <t>ORD03945</t>
  </si>
  <si>
    <t>INV03945</t>
  </si>
  <si>
    <t>ORD03946</t>
  </si>
  <si>
    <t>INV03946</t>
  </si>
  <si>
    <t>ORD03947</t>
  </si>
  <si>
    <t>INV03947</t>
  </si>
  <si>
    <t>ORD03948</t>
  </si>
  <si>
    <t>INV03948</t>
  </si>
  <si>
    <t>ORD03949</t>
  </si>
  <si>
    <t>INV03949</t>
  </si>
  <si>
    <t>ORD03950</t>
  </si>
  <si>
    <t>INV03950</t>
  </si>
  <si>
    <t>ORD03951</t>
  </si>
  <si>
    <t>INV03951</t>
  </si>
  <si>
    <t>ORD03952</t>
  </si>
  <si>
    <t>INV03952</t>
  </si>
  <si>
    <t>ORD03953</t>
  </si>
  <si>
    <t>INV03953</t>
  </si>
  <si>
    <t>ORD03954</t>
  </si>
  <si>
    <t>INV03954</t>
  </si>
  <si>
    <t>ORD03955</t>
  </si>
  <si>
    <t>INV03955</t>
  </si>
  <si>
    <t>ORD03956</t>
  </si>
  <si>
    <t>INV03956</t>
  </si>
  <si>
    <t>ORD03957</t>
  </si>
  <si>
    <t>INV03957</t>
  </si>
  <si>
    <t>ORD03958</t>
  </si>
  <si>
    <t>INV03958</t>
  </si>
  <si>
    <t>ORD03959</t>
  </si>
  <si>
    <t>INV03959</t>
  </si>
  <si>
    <t>ORD03960</t>
  </si>
  <si>
    <t>INV03960</t>
  </si>
  <si>
    <t>ORD03961</t>
  </si>
  <si>
    <t>INV03961</t>
  </si>
  <si>
    <t>ORD03962</t>
  </si>
  <si>
    <t>INV03962</t>
  </si>
  <si>
    <t>ORD03963</t>
  </si>
  <si>
    <t>INV03963</t>
  </si>
  <si>
    <t>ORD03964</t>
  </si>
  <si>
    <t>INV03964</t>
  </si>
  <si>
    <t>ORD03965</t>
  </si>
  <si>
    <t>INV03965</t>
  </si>
  <si>
    <t>ORD03966</t>
  </si>
  <si>
    <t>INV03966</t>
  </si>
  <si>
    <t>ORD03967</t>
  </si>
  <si>
    <t>INV03967</t>
  </si>
  <si>
    <t>ORD03968</t>
  </si>
  <si>
    <t>INV03968</t>
  </si>
  <si>
    <t>ORD03969</t>
  </si>
  <si>
    <t>INV03969</t>
  </si>
  <si>
    <t>ORD03970</t>
  </si>
  <si>
    <t>INV03970</t>
  </si>
  <si>
    <t>ORD03971</t>
  </si>
  <si>
    <t>INV03971</t>
  </si>
  <si>
    <t>ORD03972</t>
  </si>
  <si>
    <t>INV03972</t>
  </si>
  <si>
    <t>ORD03973</t>
  </si>
  <si>
    <t>INV03973</t>
  </si>
  <si>
    <t>ORD03974</t>
  </si>
  <si>
    <t>INV03974</t>
  </si>
  <si>
    <t>ORD03975</t>
  </si>
  <si>
    <t>INV03975</t>
  </si>
  <si>
    <t>ORD03976</t>
  </si>
  <si>
    <t>INV03976</t>
  </si>
  <si>
    <t>ORD03977</t>
  </si>
  <si>
    <t>INV03977</t>
  </si>
  <si>
    <t>ORD03978</t>
  </si>
  <si>
    <t>INV03978</t>
  </si>
  <si>
    <t>ORD03979</t>
  </si>
  <si>
    <t>INV03979</t>
  </si>
  <si>
    <t>ORD03980</t>
  </si>
  <si>
    <t>INV03980</t>
  </si>
  <si>
    <t>ORD03981</t>
  </si>
  <si>
    <t>INV03981</t>
  </si>
  <si>
    <t>ORD03982</t>
  </si>
  <si>
    <t>INV03982</t>
  </si>
  <si>
    <t>ORD03983</t>
  </si>
  <si>
    <t>INV03983</t>
  </si>
  <si>
    <t>ORD03984</t>
  </si>
  <si>
    <t>INV03984</t>
  </si>
  <si>
    <t>ORD03985</t>
  </si>
  <si>
    <t>INV03985</t>
  </si>
  <si>
    <t>ORD03986</t>
  </si>
  <si>
    <t>INV03986</t>
  </si>
  <si>
    <t>ORD03987</t>
  </si>
  <si>
    <t>INV03987</t>
  </si>
  <si>
    <t>ORD03988</t>
  </si>
  <si>
    <t>INV03988</t>
  </si>
  <si>
    <t>ORD03989</t>
  </si>
  <si>
    <t>INV03989</t>
  </si>
  <si>
    <t>ORD03990</t>
  </si>
  <si>
    <t>INV03990</t>
  </si>
  <si>
    <t>ORD03991</t>
  </si>
  <si>
    <t>INV03991</t>
  </si>
  <si>
    <t>ORD03992</t>
  </si>
  <si>
    <t>INV03992</t>
  </si>
  <si>
    <t>ORD03993</t>
  </si>
  <si>
    <t>INV03993</t>
  </si>
  <si>
    <t>ORD03994</t>
  </si>
  <si>
    <t>INV03994</t>
  </si>
  <si>
    <t>ORD03995</t>
  </si>
  <si>
    <t>INV03995</t>
  </si>
  <si>
    <t>ORD03996</t>
  </si>
  <si>
    <t>INV03996</t>
  </si>
  <si>
    <t>ORD03997</t>
  </si>
  <si>
    <t>INV03997</t>
  </si>
  <si>
    <t>ORD03998</t>
  </si>
  <si>
    <t>INV03998</t>
  </si>
  <si>
    <t>ORD03999</t>
  </si>
  <si>
    <t>INV03999</t>
  </si>
  <si>
    <t>ORD04000</t>
  </si>
  <si>
    <t>INV04000</t>
  </si>
  <si>
    <t>REVENUE VARIANCE ANALYSIS - KEY DRIVERS</t>
  </si>
  <si>
    <t>OVERALL SUMMARY</t>
  </si>
  <si>
    <t>VARIANCE BY SEVERITY SCORE</t>
  </si>
  <si>
    <t>Severity Score</t>
  </si>
  <si>
    <t>Total Orders</t>
  </si>
  <si>
    <t>0 (No Issues)</t>
  </si>
  <si>
    <t>Total Revenue Variance</t>
  </si>
  <si>
    <t>Orders with Positive Variance</t>
  </si>
  <si>
    <t>Orders with Negative Variance</t>
  </si>
  <si>
    <t>Orders with Zero Variance</t>
  </si>
  <si>
    <t>8 (High)</t>
  </si>
  <si>
    <t>Max Positive Variance</t>
  </si>
  <si>
    <t>Max Negative Variance</t>
  </si>
  <si>
    <t>Average Variance (Non-Zero)</t>
  </si>
  <si>
    <t>UNIT MISMATCH IMPACT ANALYSIS</t>
  </si>
  <si>
    <t>FAIL Status Count</t>
  </si>
  <si>
    <t>PASS Status Count</t>
  </si>
  <si>
    <t>Total Unit Mismatches</t>
  </si>
  <si>
    <t>Variance from Unit Mismatch</t>
  </si>
  <si>
    <t>Avg Variance per Mismatch</t>
  </si>
  <si>
    <t>VARIANCE BY ISSUE TYPE (KEY DRIVERS)</t>
  </si>
  <si>
    <t>% of Total Variance</t>
  </si>
  <si>
    <t>Flag Count</t>
  </si>
  <si>
    <t>Avg Variance per Flag</t>
  </si>
  <si>
    <t>Positive Variances (Overbilled)</t>
  </si>
  <si>
    <t>Unit Mismatch</t>
  </si>
  <si>
    <t>Negative Variances (Underbilled)</t>
  </si>
  <si>
    <t>List Price Mismatch</t>
  </si>
  <si>
    <t>Contract Price Mismatch</t>
  </si>
  <si>
    <t>Late Return</t>
  </si>
  <si>
    <t>LIST PRICE MISMATCH IMPACT</t>
  </si>
  <si>
    <t>Over Return</t>
  </si>
  <si>
    <t>Missing Invoice</t>
  </si>
  <si>
    <t>Total List Price Mismatches</t>
  </si>
  <si>
    <t>Expired Contract</t>
  </si>
  <si>
    <t>Variance from List Price Mismatch</t>
  </si>
  <si>
    <t>VARIANCE BY RISK LEVEL</t>
  </si>
  <si>
    <t>All Positive (Overbilled)?</t>
  </si>
  <si>
    <t>KEY FINDINGS SUMMARY</t>
  </si>
  <si>
    <t>#1 DRIVER: Unit Mismatch</t>
  </si>
  <si>
    <t xml:space="preserve">   - Accounts for ~98.9% of total variance</t>
  </si>
  <si>
    <t xml:space="preserve">   - 197 occurrences generating $363,390 variance</t>
  </si>
  <si>
    <t>VARIANCE DIRECTION ANALYSIS</t>
  </si>
  <si>
    <t xml:space="preserve">   - 132 cases of overbilling, 65 underbilling</t>
  </si>
  <si>
    <t>Direction</t>
  </si>
  <si>
    <t>Count</t>
  </si>
  <si>
    <t>Positive (Overbilled)</t>
  </si>
  <si>
    <t>#2 DRIVER: List Price Mismatch</t>
  </si>
  <si>
    <t>Negative (Underbilled)</t>
  </si>
  <si>
    <t xml:space="preserve">   - Accounts for ~9.9% of total variance</t>
  </si>
  <si>
    <t>Zero (No Variance)</t>
  </si>
  <si>
    <t xml:space="preserve">   - 123 occurrences generating $36,253 variance</t>
  </si>
  <si>
    <t xml:space="preserve">   - Average variance of $295 per mismatch</t>
  </si>
  <si>
    <t>#3 DRIVER: Late Returns</t>
  </si>
  <si>
    <t xml:space="preserve">   - 191 late return flags</t>
  </si>
  <si>
    <t xml:space="preserve">   - Associated with $28,458 variance</t>
  </si>
  <si>
    <t>HIGH RISK IMPACT:</t>
  </si>
  <si>
    <t xml:space="preserve">   - 181 HIGH risk orders (4.5% of total)</t>
  </si>
  <si>
    <t xml:space="preserve">   - Generate $361,777 variance (98% of total)</t>
  </si>
  <si>
    <t xml:space="preserve">   - Avg variance: $1,999 per HIGH risk order</t>
  </si>
  <si>
    <t>VARIANCE DIRECTION:</t>
  </si>
  <si>
    <t xml:space="preserve">   - Net overbilling of $367,473</t>
  </si>
  <si>
    <t xml:space="preserve">   - 245 overbilled orders (+$493,354)</t>
  </si>
  <si>
    <t>TOP 10 CUSTOMERS BY ABSOLUTE REVENUE VARIANCE</t>
  </si>
  <si>
    <t>Rank</t>
  </si>
  <si>
    <t>Abs Variance</t>
  </si>
  <si>
    <t>Positive Variance Orders</t>
  </si>
  <si>
    <t>Negative Variance Orders</t>
  </si>
  <si>
    <t>Unit Mismatches</t>
  </si>
  <si>
    <t>List Price Mismatches</t>
  </si>
  <si>
    <t>Contract Price Mismatches</t>
  </si>
  <si>
    <t>Late Returns</t>
  </si>
  <si>
    <t>Over Returns</t>
  </si>
  <si>
    <t>HIGH Risk Orders</t>
  </si>
  <si>
    <t>FAIL Status Orders</t>
  </si>
  <si>
    <t>Avg Variance/Order</t>
  </si>
  <si>
    <t>SUMMARY STATISTICS FOR TOP 10 CUSTOMERS</t>
  </si>
  <si>
    <t>Formula Reference</t>
  </si>
  <si>
    <t>Total Abs Variance (Top 10)</t>
  </si>
  <si>
    <t>% of Total Dataset Variance</t>
  </si>
  <si>
    <t>Total Orders (Top 10)</t>
  </si>
  <si>
    <t>Total HIGH Risk Orders</t>
  </si>
  <si>
    <t>Avg Abs Variance per Customer</t>
  </si>
  <si>
    <t>Max Single Customer Variance</t>
  </si>
  <si>
    <t>Min (of Top 10) Variance</t>
  </si>
  <si>
    <t>PATTERN ANALYSIS</t>
  </si>
  <si>
    <t>Pattern Metric</t>
  </si>
  <si>
    <t>1. DOMINANT DRIVER: Unit mismatches are the primary cause of variance</t>
  </si>
  <si>
    <t>Customers with Unit Mismatch</t>
  </si>
  <si>
    <t>Primary issue indicator</t>
  </si>
  <si>
    <t>Customers with List Price Mismatch</t>
  </si>
  <si>
    <t>Pricing system issue</t>
  </si>
  <si>
    <t>Customers with Both Issues</t>
  </si>
  <si>
    <t>Multiple system failures</t>
  </si>
  <si>
    <t>Avg Orders per Top 10 Customer</t>
  </si>
  <si>
    <t>Order volume indicator</t>
  </si>
  <si>
    <t>% Orders with FAIL Status</t>
  </si>
  <si>
    <t>Quality issue rate</t>
  </si>
  <si>
    <t>RISK LEVEL BREAKDOWN ANALYSIS</t>
  </si>
  <si>
    <t>RISK LEVEL DISTRIBUTION</t>
  </si>
  <si>
    <t>HIGH RISK ORDER CHARACTERISTICS</t>
  </si>
  <si>
    <t>Avg Billed Revenue</t>
  </si>
  <si>
    <t>Characteristic</t>
  </si>
  <si>
    <t>HIGH Risk Avg</t>
  </si>
  <si>
    <t>Overall Avg</t>
  </si>
  <si>
    <t>Difference</t>
  </si>
  <si>
    <t>Avg Ordered Units</t>
  </si>
  <si>
    <t>Avg Billed Units</t>
  </si>
  <si>
    <t>Avg Unit Difference</t>
  </si>
  <si>
    <t>Avg Billed Price</t>
  </si>
  <si>
    <t>Avg Revenue Variance</t>
  </si>
  <si>
    <t>FACTORS ASSOCIATED WITH HIGH RISK</t>
  </si>
  <si>
    <t>Avg Severity Score</t>
  </si>
  <si>
    <t>Issue Flag</t>
  </si>
  <si>
    <t>HIGH Risk Count</t>
  </si>
  <si>
    <t>HIGH Risk Rate</t>
  </si>
  <si>
    <t>Total with Flag</t>
  </si>
  <si>
    <t>% of HIGH with Flag</t>
  </si>
  <si>
    <t>Correlation Strength</t>
  </si>
  <si>
    <t>Unit Mismatch (Q=1)</t>
  </si>
  <si>
    <t>List Price Mismatch (R=1)</t>
  </si>
  <si>
    <t>RECONCILIATION STATUS BY RISK LEVEL</t>
  </si>
  <si>
    <t>Contract Price Mismatch (S=1)</t>
  </si>
  <si>
    <t>PASS Count</t>
  </si>
  <si>
    <t>FAIL Count</t>
  </si>
  <si>
    <t>FAIL Rate</t>
  </si>
  <si>
    <t>Expired Contract (T=1)</t>
  </si>
  <si>
    <t>Late Return (U=1)</t>
  </si>
  <si>
    <t>Over Return (V=1)</t>
  </si>
  <si>
    <t>Missing Invoice (P=1)</t>
  </si>
  <si>
    <t>KEY FINDINGS: FACTORS DRIVING HIGH RISK</t>
  </si>
  <si>
    <t>SEVERITY SCORE DISTRIBUTION BY RISK LEVEL</t>
  </si>
  <si>
    <t>HIGH Risk</t>
  </si>
  <si>
    <t>MEDIUM Risk</t>
  </si>
  <si>
    <t>LOW Risk</t>
  </si>
  <si>
    <t>Total</t>
  </si>
  <si>
    <t>% HIGH</t>
  </si>
  <si>
    <t>#1 UNIT MISMATCH - PRIMARY DRIVER</t>
  </si>
  <si>
    <t xml:space="preserve">   • Orders with unit mismatch are classified as HIGH risk</t>
  </si>
  <si>
    <t xml:space="preserve">   • This is the dominant factor determining HIGH risk</t>
  </si>
  <si>
    <t>#2 SEVERITY SCORE = 8</t>
  </si>
  <si>
    <t xml:space="preserve">   • Severity score 8 is almost exclusively HIGH risk</t>
  </si>
  <si>
    <t xml:space="preserve">   • Strong predictor of HIGH risk classification</t>
  </si>
  <si>
    <t>#3 FAIL RECONCILIATION STATUS</t>
  </si>
  <si>
    <t xml:space="preserve">   • 100% of HIGH risk orders have FAIL status</t>
  </si>
  <si>
    <t xml:space="preserve">   • All LOW risk orders have PASS status</t>
  </si>
  <si>
    <t>LATE RETURN ANALYSIS</t>
  </si>
  <si>
    <t>TOP 15 CUSTOMERS WITH MOST LATE RETURNS</t>
  </si>
  <si>
    <t>OVERALL LATE RETURN SUMMARY</t>
  </si>
  <si>
    <t>Late Return Count</t>
  </si>
  <si>
    <t>Late Return Rate</t>
  </si>
  <si>
    <t>Total Late Returns</t>
  </si>
  <si>
    <t>% of All Orders with Late Return</t>
  </si>
  <si>
    <t>Total Variance from Late Return Orders</t>
  </si>
  <si>
    <t>Avg Variance per Late Return Order</t>
  </si>
  <si>
    <t>Late Returns with Unit Mismatch</t>
  </si>
  <si>
    <t>Late Returns with HIGH Risk</t>
  </si>
  <si>
    <t>Late Returns with FAIL Status</t>
  </si>
  <si>
    <t>LATE RETURNS BY MONTH (TIME TREND)</t>
  </si>
  <si>
    <t>Total Orders in Month</t>
  </si>
  <si>
    <t>Variance from Late Returns</t>
  </si>
  <si>
    <t>2023-01</t>
  </si>
  <si>
    <t>2023-02</t>
  </si>
  <si>
    <t>2023-03</t>
  </si>
  <si>
    <t>2023-04</t>
  </si>
  <si>
    <t>2023-05</t>
  </si>
  <si>
    <t>2023-06</t>
  </si>
  <si>
    <t>2023-07</t>
  </si>
  <si>
    <t>TOP 15 PRODUCTS WITH MOST LATE RETURNS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</si>
  <si>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</si>
  <si>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</si>
  <si>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</si>
  <si>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</si>
  <si>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</si>
  <si>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</si>
  <si>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</si>
  <si>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</si>
  <si>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</si>
  <si>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</si>
  <si>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</si>
  <si>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</si>
  <si>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</si>
  <si>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</si>
  <si>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</si>
  <si>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</si>
  <si>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</si>
  <si>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TOTAL/AVG</t>
  </si>
  <si>
    <t>LATE RETURN CROSS-ANALYSIS WITH OTHER ISSUES</t>
  </si>
  <si>
    <t>KEY FINDINGS &amp; TRENDS</t>
  </si>
  <si>
    <t>Issue Combination</t>
  </si>
  <si>
    <t>% of Late Returns</t>
  </si>
  <si>
    <t>Late Return Only (no other issues)</t>
  </si>
  <si>
    <t>TIME TRENDS:</t>
  </si>
  <si>
    <t>Late Return + Unit Mismatch</t>
  </si>
  <si>
    <t xml:space="preserve">  Max Month Late Returns</t>
  </si>
  <si>
    <t>Late Return + List Price Mismatch</t>
  </si>
  <si>
    <t xml:space="preserve">  Min Month Late Returns</t>
  </si>
  <si>
    <t>Late Return + Over Return</t>
  </si>
  <si>
    <t xml:space="preserve">  Avg Monthly Late Returns</t>
  </si>
  <si>
    <t>Late Return + Expired Contract</t>
  </si>
  <si>
    <t xml:space="preserve">  Month with Max Late Returns</t>
  </si>
  <si>
    <t xml:space="preserve">  Month with Min Late Returns</t>
  </si>
  <si>
    <t>LATE RETURNS BY RISK LEVEL</t>
  </si>
  <si>
    <t>2023 Total Late Returns</t>
  </si>
  <si>
    <t>% of Risk Level</t>
  </si>
  <si>
    <t>2024 Total Late Returns</t>
  </si>
  <si>
    <t>Year-over-Year Change</t>
  </si>
  <si>
    <t>VARIANCE IMPACT:</t>
  </si>
  <si>
    <t>Late Returns with Positive Variance</t>
  </si>
  <si>
    <t>Late Returns with Negative Variance</t>
  </si>
  <si>
    <t>Late Returns with Zero Variance</t>
  </si>
  <si>
    <t>% of Late Returns with Variance</t>
  </si>
  <si>
    <t>RETURN TIMING ANALYSIS</t>
  </si>
  <si>
    <t>Orders with Return Date</t>
  </si>
  <si>
    <t>Orders Flagged as Late Return</t>
  </si>
  <si>
    <t>% Returns Flagged as Late</t>
  </si>
  <si>
    <t>MONTHLY REVENUE VARIANCE TREND ANALYSIS</t>
  </si>
  <si>
    <t>MONTHLY VARIANCE SUMMARY</t>
  </si>
  <si>
    <t>Orders with Variance</t>
  </si>
  <si>
    <t>% Orders with Variance</t>
  </si>
  <si>
    <t>Positive Variance</t>
  </si>
  <si>
    <t>Negative Variance</t>
  </si>
  <si>
    <t>ANOMALY DETECTION STATISTICS</t>
  </si>
  <si>
    <t>Mean Monthly Variance</t>
  </si>
  <si>
    <t>Average variance per month</t>
  </si>
  <si>
    <t>Std Deviation of Variance</t>
  </si>
  <si>
    <t>Spread of variance values</t>
  </si>
  <si>
    <t>Upper Threshold (Mean + 2*SD)</t>
  </si>
  <si>
    <t>Anomaly threshold (high)</t>
  </si>
  <si>
    <t>Lower Threshold (Mean - 2*SD)</t>
  </si>
  <si>
    <t>Anomaly threshold (low)</t>
  </si>
  <si>
    <t>Max Monthly Variance</t>
  </si>
  <si>
    <t>Highest variance month</t>
  </si>
  <si>
    <t>Min Monthly Variance</t>
  </si>
  <si>
    <t>Lowest variance month</t>
  </si>
  <si>
    <t>Month with Max Variance</t>
  </si>
  <si>
    <t>Peak anomaly month</t>
  </si>
  <si>
    <t>Month with Min Variance</t>
  </si>
  <si>
    <t>Coefficient of Variation</t>
  </si>
  <si>
    <t>Relative variability measure</t>
  </si>
  <si>
    <t>MONTHLY ANOMALY FLAGS</t>
  </si>
  <si>
    <t>Deviation from Mean</t>
  </si>
  <si>
    <t>Z-Score</t>
  </si>
  <si>
    <t>Anomaly Flag</t>
  </si>
  <si>
    <t>Anomaly Type</t>
  </si>
  <si>
    <t>YEAR-OVER-YEAR COMPARISON</t>
  </si>
  <si>
    <t>Months with Anomalies</t>
  </si>
  <si>
    <t>KEY FINDINGS &amp; INSIGHTS</t>
  </si>
  <si>
    <t>TREND ANALYSIS:</t>
  </si>
  <si>
    <t xml:space="preserve">   • Peak variance month can be identified in the Anomaly Flags section above</t>
  </si>
  <si>
    <t xml:space="preserve">   • Months with Z-Score &gt; 2 or &lt; -2 are statistical anomalies</t>
  </si>
  <si>
    <t xml:space="preserve">   • Compare 2023 vs 2024 patterns in Year-over-Year section</t>
  </si>
  <si>
    <t>ANOMALY INTERPRETATION:</t>
  </si>
  <si>
    <t xml:space="preserve">   • HIGH SPIKE: Variance significantly above average (potential billing surge)</t>
  </si>
  <si>
    <t xml:space="preserve">   • LOW DIP: Variance significantly below average (potential correction period)</t>
  </si>
  <si>
    <t xml:space="preserve">   • Elevated: Above average but within normal range</t>
  </si>
  <si>
    <t xml:space="preserve">   • Below Avg: Below average but within normal range</t>
  </si>
  <si>
    <t>RECOMMENDED ACTIONS:</t>
  </si>
  <si>
    <t xml:space="preserve">   • Investigate months flagged as ANOMALY for root causes</t>
  </si>
  <si>
    <t xml:space="preserve">   • Cross-reference anomaly months with unit mismatch patterns</t>
  </si>
  <si>
    <t xml:space="preserve">   • Review operational changes during spike months</t>
  </si>
  <si>
    <t>RECONCILIATION FLAGS &amp; REVENUE VARIANCE RELATIONSHIP ANALYSIS</t>
  </si>
  <si>
    <t>FLAG OCCURRENCE SUMMARY</t>
  </si>
  <si>
    <t>KEY RELATIONSHIP METRICS</t>
  </si>
  <si>
    <t>Flag Type</t>
  </si>
  <si>
    <t>Positive Var</t>
  </si>
  <si>
    <t>Negative Var</t>
  </si>
  <si>
    <t>Zero Var Count</t>
  </si>
  <si>
    <t>Unit Mismatch % of Variance</t>
  </si>
  <si>
    <t>Share of total variance</t>
  </si>
  <si>
    <t>List Price Mismatch % of Variance</t>
  </si>
  <si>
    <t>Variance Impact Ratio (Unit:List)</t>
  </si>
  <si>
    <t>Unit mismatch impact multiplier</t>
  </si>
  <si>
    <t>Unit Mismatch HIGH Risk Rate</t>
  </si>
  <si>
    <t>% classified as HIGH risk</t>
  </si>
  <si>
    <t>List Price Mismatch HIGH Risk Rate</t>
  </si>
  <si>
    <t>Late Return Variance Rate</t>
  </si>
  <si>
    <t>% of late returns with variance</t>
  </si>
  <si>
    <t>Unit Mismatch Overbilling Bias</t>
  </si>
  <si>
    <t>% resulting in overbilling</t>
  </si>
  <si>
    <t>Total Orders w/ Any Flag</t>
  </si>
  <si>
    <t>Total FAIL Orders</t>
  </si>
  <si>
    <t>Orders with any flag</t>
  </si>
  <si>
    <t>Clean Order Rate</t>
  </si>
  <si>
    <t>Orders with PASS status</t>
  </si>
  <si>
    <t>VARIANCE DIRECTION BY FLAG TYPE</t>
  </si>
  <si>
    <t>Overbilled Count</t>
  </si>
  <si>
    <t>Underbilled Count</t>
  </si>
  <si>
    <t>Zero Count</t>
  </si>
  <si>
    <t>Overbilled %</t>
  </si>
  <si>
    <t>Underbilled %</t>
  </si>
  <si>
    <t>Bias Direction</t>
  </si>
  <si>
    <t>#1 UNIT MISMATCH DOMINATES</t>
  </si>
  <si>
    <t xml:space="preserve">   • Accounts for ~99% of total revenue variance</t>
  </si>
  <si>
    <t xml:space="preserve">   • Avg $1,845 variance per occurrence</t>
  </si>
  <si>
    <t xml:space="preserve">   • 87.8% → HIGH risk classification</t>
  </si>
  <si>
    <t>#2 VARIANCE DIRECTION PATTERNS</t>
  </si>
  <si>
    <t xml:space="preserve">   • Unit mismatch: ~67% overbilling bias</t>
  </si>
  <si>
    <t>FLAG-TO-RISK LEVEL CORRELATION</t>
  </si>
  <si>
    <t xml:space="preserve">   • Creates both overbilling AND underbilling</t>
  </si>
  <si>
    <t>Avg Var/HIGH</t>
  </si>
  <si>
    <t>Avg Var/MED</t>
  </si>
  <si>
    <t xml:space="preserve">   • Net effect: significant overbilling</t>
  </si>
  <si>
    <t>#3 LATE RETURNS = LOW IMPACT</t>
  </si>
  <si>
    <t xml:space="preserve">   • 94% of late returns = zero variance</t>
  </si>
  <si>
    <t xml:space="preserve">   • Only causes variance when combined</t>
  </si>
  <si>
    <t xml:space="preserve">   • with unit mismatch</t>
  </si>
  <si>
    <t>#4 FLAG-RISK CORRELATION</t>
  </si>
  <si>
    <t xml:space="preserve">   • Unit mismatch = strongest HIGH risk predictor</t>
  </si>
  <si>
    <t xml:space="preserve">   • List price mismatch = mostly MEDIUM risk</t>
  </si>
  <si>
    <t xml:space="preserve">   • Late return alone = MEDIUM risk only</t>
  </si>
  <si>
    <t>REVENUE VARIANCE BY CUSTOMER (TOP 25)</t>
  </si>
  <si>
    <t>Revenue Variance</t>
  </si>
  <si>
    <t>NOTE: Chart shows Top 25 customers by absolute revenue variance</t>
  </si>
  <si>
    <t>Positive values = Overbilled | Negative values = Underbilled</t>
  </si>
  <si>
    <t>SUMMARY STATISTICS</t>
  </si>
  <si>
    <t>Total Customers Shown</t>
  </si>
  <si>
    <t>Total Positive Variance</t>
  </si>
  <si>
    <t>Total Negative Variance</t>
  </si>
  <si>
    <t>Net Variance (Top 25)</t>
  </si>
  <si>
    <t>Avg Variance per Customer</t>
  </si>
  <si>
    <t>MONTHLY REVENUE VARIANCE TREND</t>
  </si>
  <si>
    <t>Total Months</t>
  </si>
  <si>
    <t>Peak Month</t>
  </si>
  <si>
    <t>Lowest Month</t>
  </si>
  <si>
    <t>Total Variance (All Months)</t>
  </si>
  <si>
    <t>⚠️ ANOMALY HIGHLIGHT</t>
  </si>
  <si>
    <t>June 2023 shows a significant spike ($43,272) - Z-Score: +2.68</t>
  </si>
  <si>
    <t>This is the only statistically significant anomaly in the dataset.</t>
  </si>
  <si>
    <t>KEY INSIGHTS</t>
  </si>
  <si>
    <t>📊 DISTRIBUTION SUMMARY</t>
  </si>
  <si>
    <t>HIGH Risk Orders:</t>
  </si>
  <si>
    <t>MEDIUM Risk Orders:</t>
  </si>
  <si>
    <t>LOW Risk Orders:</t>
  </si>
  <si>
    <t>HIGH Risk Variance Share:</t>
  </si>
  <si>
    <t>📈 VARIANCE CONCENTRATION</t>
  </si>
  <si>
    <t>HIGH Risk Variance Share</t>
  </si>
  <si>
    <t>MEDIUM Risk Variance Share</t>
  </si>
  <si>
    <t>LOW Risk Variance Share</t>
  </si>
  <si>
    <t>HIGH:MEDIUM Variance Ratio</t>
  </si>
  <si>
    <t>REVENUE VARIANCE CALCULATIONS</t>
  </si>
  <si>
    <t>Average Variance per Order</t>
  </si>
  <si>
    <t>ADDITIONAL METRICS</t>
  </si>
  <si>
    <t>Orders with Non-Zero Variance</t>
  </si>
  <si>
    <t>Average Variance (Non-Zero Orders Only)</t>
  </si>
  <si>
    <t>Maximum Variance</t>
  </si>
  <si>
    <t>Minimum Variance</t>
  </si>
  <si>
    <t>Variance as % of Total Billed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</si>
</sst>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.0"/>
    <numFmt numFmtId="166" formatCode="0.0%"/>
    <numFmt numFmtId="167" formatCode="&quot;$&quot;#,##0"/>
    <numFmt numFmtId="168" formatCode="0.0&quot;x&quot;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D93D"/>
        <bgColor indexed="64"/>
      </patternFill>
    </fill>
    <fill>
      <patternFill patternType="solid">
        <fgColor rgb="FF6BCB77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15" fontId="0" fillId="0" borderId="0" xfId="0" applyNumberFormat="1"/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4" fontId="0" fillId="0" borderId="0" xfId="0" applyNumberFormat="1"/>
    <xf numFmtId="10" fontId="0" fillId="0" borderId="0" xfId="0" applyNumberFormat="1"/>
    <xf numFmtId="0" fontId="3" fillId="3" borderId="0" xfId="0" applyFont="1" applyFill="1"/>
    <xf numFmtId="0" fontId="3" fillId="4" borderId="0" xfId="0" applyFont="1" applyFill="1"/>
    <xf numFmtId="164" fontId="0" fillId="0" borderId="0" xfId="0" applyNumberFormat="1"/>
    <xf numFmtId="0" fontId="0" fillId="6" borderId="0" xfId="0" applyFill="1"/>
    <xf numFmtId="164" fontId="0" fillId="6" borderId="0" xfId="0" applyNumberFormat="1" applyFill="1"/>
    <xf numFmtId="0" fontId="4" fillId="0" borderId="0" xfId="0" applyFont="1"/>
    <xf numFmtId="3" fontId="0" fillId="0" borderId="0" xfId="0" applyNumberFormat="1"/>
    <xf numFmtId="165" fontId="0" fillId="0" borderId="0" xfId="0" applyNumberFormat="1"/>
    <xf numFmtId="0" fontId="1" fillId="6" borderId="0" xfId="0" applyFont="1" applyFill="1"/>
    <xf numFmtId="10" fontId="1" fillId="6" borderId="0" xfId="0" applyNumberFormat="1" applyFont="1" applyFill="1"/>
    <xf numFmtId="164" fontId="1" fillId="6" borderId="0" xfId="0" applyNumberFormat="1" applyFont="1" applyFill="1"/>
    <xf numFmtId="0" fontId="3" fillId="7" borderId="0" xfId="0" applyFont="1" applyFill="1"/>
    <xf numFmtId="164" fontId="1" fillId="0" borderId="0" xfId="0" applyNumberFormat="1" applyFont="1"/>
    <xf numFmtId="10" fontId="1" fillId="0" borderId="0" xfId="0" applyNumberFormat="1" applyFon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10" fontId="0" fillId="0" borderId="2" xfId="0" applyNumberFormat="1" applyBorder="1"/>
    <xf numFmtId="164" fontId="0" fillId="0" borderId="2" xfId="0" applyNumberFormat="1" applyBorder="1"/>
    <xf numFmtId="10" fontId="0" fillId="0" borderId="3" xfId="0" applyNumberFormat="1" applyBorder="1"/>
    <xf numFmtId="0" fontId="0" fillId="0" borderId="3" xfId="0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6" borderId="0" xfId="0" applyFont="1" applyFill="1"/>
    <xf numFmtId="0" fontId="1" fillId="0" borderId="2" xfId="0" applyFont="1" applyBorder="1"/>
    <xf numFmtId="166" fontId="0" fillId="0" borderId="2" xfId="0" applyNumberFormat="1" applyBorder="1"/>
    <xf numFmtId="0" fontId="0" fillId="8" borderId="2" xfId="0" applyFill="1" applyBorder="1"/>
    <xf numFmtId="166" fontId="0" fillId="8" borderId="2" xfId="0" applyNumberFormat="1" applyFill="1" applyBorder="1"/>
    <xf numFmtId="164" fontId="0" fillId="8" borderId="2" xfId="0" applyNumberFormat="1" applyFill="1" applyBorder="1"/>
    <xf numFmtId="0" fontId="0" fillId="9" borderId="2" xfId="0" applyFill="1" applyBorder="1"/>
    <xf numFmtId="166" fontId="0" fillId="9" borderId="2" xfId="0" applyNumberFormat="1" applyFill="1" applyBorder="1"/>
    <xf numFmtId="164" fontId="0" fillId="9" borderId="2" xfId="0" applyNumberFormat="1" applyFill="1" applyBorder="1"/>
    <xf numFmtId="0" fontId="0" fillId="10" borderId="2" xfId="0" applyFill="1" applyBorder="1"/>
    <xf numFmtId="166" fontId="0" fillId="10" borderId="2" xfId="0" applyNumberFormat="1" applyFill="1" applyBorder="1"/>
    <xf numFmtId="164" fontId="0" fillId="10" borderId="2" xfId="0" applyNumberFormat="1" applyFill="1" applyBorder="1"/>
    <xf numFmtId="17" fontId="0" fillId="0" borderId="2" xfId="0" applyNumberFormat="1" applyBorder="1"/>
    <xf numFmtId="0" fontId="6" fillId="5" borderId="0" xfId="0" applyFont="1" applyFill="1" applyAlignment="1"/>
    <xf numFmtId="0" fontId="4" fillId="6" borderId="0" xfId="0" applyFont="1" applyFill="1" applyAlignment="1"/>
    <xf numFmtId="0" fontId="4" fillId="8" borderId="0" xfId="0" applyFont="1" applyFill="1" applyAlignment="1"/>
    <xf numFmtId="0" fontId="5" fillId="5" borderId="0" xfId="0" applyFont="1" applyFill="1" applyAlignment="1"/>
    <xf numFmtId="0" fontId="4" fillId="0" borderId="0" xfId="0" applyFont="1" applyAlignment="1"/>
    <xf numFmtId="0" fontId="0" fillId="0" borderId="0" xfId="0" applyAlignment="1"/>
    <xf numFmtId="0" fontId="3" fillId="7" borderId="0" xfId="0" applyFont="1" applyFill="1" applyAlignment="1"/>
    <xf numFmtId="0" fontId="1" fillId="0" borderId="0" xfId="0" applyFont="1" applyAlignment="1"/>
    <xf numFmtId="0" fontId="7" fillId="0" borderId="0" xfId="0" applyFont="1"/>
    <xf numFmtId="166" fontId="0" fillId="0" borderId="0" xfId="0" applyNumberFormat="1"/>
    <xf numFmtId="0" fontId="0" fillId="11" borderId="2" xfId="0" applyFill="1" applyBorder="1"/>
    <xf numFmtId="3" fontId="0" fillId="0" borderId="2" xfId="0" applyNumberFormat="1" applyBorder="1"/>
    <xf numFmtId="0" fontId="0" fillId="12" borderId="2" xfId="0" applyFill="1" applyBorder="1"/>
    <xf numFmtId="0" fontId="0" fillId="13" borderId="2" xfId="0" applyFill="1" applyBorder="1"/>
    <xf numFmtId="0" fontId="1" fillId="6" borderId="2" xfId="0" applyFont="1" applyFill="1" applyBorder="1"/>
    <xf numFmtId="3" fontId="1" fillId="6" borderId="2" xfId="0" applyNumberFormat="1" applyFont="1" applyFill="1" applyBorder="1"/>
    <xf numFmtId="166" fontId="1" fillId="6" borderId="2" xfId="0" applyNumberFormat="1" applyFont="1" applyFill="1" applyBorder="1"/>
    <xf numFmtId="164" fontId="1" fillId="6" borderId="2" xfId="0" applyNumberFormat="1" applyFont="1" applyFill="1" applyBorder="1"/>
    <xf numFmtId="167" fontId="0" fillId="0" borderId="0" xfId="0" applyNumberFormat="1"/>
    <xf numFmtId="168" fontId="0" fillId="0" borderId="0" xfId="0" applyNumberFormat="1"/>
    <xf numFmtId="0" fontId="8" fillId="0" borderId="2" xfId="0" applyFont="1" applyBorder="1"/>
  </cellXfs>
  <cellStyles count="1">
    <cellStyle name="Normal" xfId="0" builtinId="0"/>
  </cellStyles>
  <dxfs count="18">
    <dxf>
      <font>
        <color rgb="FF8B0000"/>
      </font>
      <fill>
        <patternFill patternType="solid">
          <fgColor indexed="64"/>
          <bgColor rgb="FFFFC7CE"/>
        </patternFill>
      </fill>
    </dxf>
    <dxf>
      <font>
        <color rgb="FF006400"/>
      </font>
      <fill>
        <patternFill patternType="solid">
          <fgColor indexed="64"/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Variance by Customer (Top 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Variance Chart'!$B$3</c:f>
              <c:strCache>
                <c:ptCount val="1"/>
                <c:pt idx="0">
                  <c:v>Revenue Variance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Variance Chart'!$A$4:$A$28</c:f>
              <c:strCache>
                <c:ptCount val="25"/>
                <c:pt idx="0">
                  <c:v>CUST0341</c:v>
                </c:pt>
                <c:pt idx="1">
                  <c:v>CUST0792</c:v>
                </c:pt>
                <c:pt idx="2">
                  <c:v>CUST0414</c:v>
                </c:pt>
                <c:pt idx="3">
                  <c:v>CUST0309</c:v>
                </c:pt>
                <c:pt idx="4">
                  <c:v>CUST0503</c:v>
                </c:pt>
                <c:pt idx="5">
                  <c:v>CUST0141</c:v>
                </c:pt>
                <c:pt idx="6">
                  <c:v>CUST0734</c:v>
                </c:pt>
                <c:pt idx="7">
                  <c:v>CUST0271</c:v>
                </c:pt>
                <c:pt idx="8">
                  <c:v>CUST0093</c:v>
                </c:pt>
                <c:pt idx="9">
                  <c:v>CUST0555</c:v>
                </c:pt>
                <c:pt idx="10">
                  <c:v>CUST0109</c:v>
                </c:pt>
                <c:pt idx="11">
                  <c:v>CUST0258</c:v>
                </c:pt>
                <c:pt idx="12">
                  <c:v>CUST0222</c:v>
                </c:pt>
                <c:pt idx="13">
                  <c:v>CUST0014</c:v>
                </c:pt>
                <c:pt idx="14">
                  <c:v>CUST0278</c:v>
                </c:pt>
                <c:pt idx="15">
                  <c:v>CUST0800</c:v>
                </c:pt>
                <c:pt idx="16">
                  <c:v>CUST0730</c:v>
                </c:pt>
                <c:pt idx="17">
                  <c:v>CUST0488</c:v>
                </c:pt>
                <c:pt idx="18">
                  <c:v>CUST0013</c:v>
                </c:pt>
                <c:pt idx="19">
                  <c:v>CUST0406</c:v>
                </c:pt>
                <c:pt idx="20">
                  <c:v>CUST0026</c:v>
                </c:pt>
                <c:pt idx="21">
                  <c:v>CUST0567</c:v>
                </c:pt>
                <c:pt idx="22">
                  <c:v>CUST0312</c:v>
                </c:pt>
                <c:pt idx="23">
                  <c:v>CUST0173</c:v>
                </c:pt>
                <c:pt idx="24">
                  <c:v>CUST0440</c:v>
                </c:pt>
              </c:strCache>
            </c:strRef>
          </c:cat>
          <c:val>
            <c:numRef>
              <c:f>'Customer Variance Chart'!$B$4:$B$28</c:f>
              <c:numCache>
                <c:formatCode>"$"#,##0.00</c:formatCode>
                <c:ptCount val="25"/>
                <c:pt idx="0">
                  <c:v>12319.933000000001</c:v>
                </c:pt>
                <c:pt idx="1">
                  <c:v>11787.51019999999</c:v>
                </c:pt>
                <c:pt idx="2">
                  <c:v>11441.683999999999</c:v>
                </c:pt>
                <c:pt idx="3">
                  <c:v>11151.405056208894</c:v>
                </c:pt>
                <c:pt idx="4">
                  <c:v>10939.257600000001</c:v>
                </c:pt>
                <c:pt idx="5">
                  <c:v>10185.939899999999</c:v>
                </c:pt>
                <c:pt idx="6">
                  <c:v>9867.9842000000008</c:v>
                </c:pt>
                <c:pt idx="7">
                  <c:v>9795.7440000000006</c:v>
                </c:pt>
                <c:pt idx="8">
                  <c:v>9564.1029999999992</c:v>
                </c:pt>
                <c:pt idx="9">
                  <c:v>9419.4899999999907</c:v>
                </c:pt>
                <c:pt idx="10">
                  <c:v>9338.2110000000102</c:v>
                </c:pt>
                <c:pt idx="11">
                  <c:v>9317.6055000000106</c:v>
                </c:pt>
                <c:pt idx="12">
                  <c:v>9200.6692000000075</c:v>
                </c:pt>
                <c:pt idx="13">
                  <c:v>9100.3500619945389</c:v>
                </c:pt>
                <c:pt idx="14">
                  <c:v>8744.9599999999991</c:v>
                </c:pt>
                <c:pt idx="15">
                  <c:v>8558.3359999999993</c:v>
                </c:pt>
                <c:pt idx="16">
                  <c:v>8541.54000000001</c:v>
                </c:pt>
                <c:pt idx="17">
                  <c:v>8303.1990782202301</c:v>
                </c:pt>
                <c:pt idx="18">
                  <c:v>8246.3616000000002</c:v>
                </c:pt>
                <c:pt idx="19">
                  <c:v>8124.97</c:v>
                </c:pt>
                <c:pt idx="20">
                  <c:v>7644.9555</c:v>
                </c:pt>
                <c:pt idx="21">
                  <c:v>7573.9888000000101</c:v>
                </c:pt>
                <c:pt idx="22">
                  <c:v>7438.1760000000004</c:v>
                </c:pt>
                <c:pt idx="23">
                  <c:v>7147.0483342827602</c:v>
                </c:pt>
                <c:pt idx="24">
                  <c:v>6940.2362725877074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6-457B-9AF1-40616C703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8411143"/>
        <c:axId val="1422725640"/>
      </c:barChart>
      <c:catAx>
        <c:axId val="2128411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725640"/>
        <c:crosses val="autoZero"/>
        <c:auto val="1"/>
        <c:lblAlgn val="ctr"/>
        <c:lblOffset val="100"/>
        <c:noMultiLvlLbl val="0"/>
      </c:catAx>
      <c:valAx>
        <c:axId val="1422725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Variance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411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Variance Trend (2023-2024)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 Chart'!$B$3</c:f>
              <c:strCache>
                <c:ptCount val="1"/>
                <c:pt idx="0">
                  <c:v>Total Variance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FFFF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'Monthly Trend Chart'!$A$4:$A$27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'Monthly Trend Chart'!$B$4:$B$27</c:f>
              <c:numCache>
                <c:formatCode>"$"#,##0.00</c:formatCode>
                <c:ptCount val="24"/>
                <c:pt idx="0">
                  <c:v>19943.954389508701</c:v>
                </c:pt>
                <c:pt idx="1">
                  <c:v>12721.8345115587</c:v>
                </c:pt>
                <c:pt idx="2">
                  <c:v>21830.6413819513</c:v>
                </c:pt>
                <c:pt idx="3">
                  <c:v>8814.6874507986995</c:v>
                </c:pt>
                <c:pt idx="4">
                  <c:v>10275.373402060501</c:v>
                </c:pt>
                <c:pt idx="5">
                  <c:v>43272.063542537901</c:v>
                </c:pt>
                <c:pt idx="6">
                  <c:v>18193.777059087701</c:v>
                </c:pt>
                <c:pt idx="7">
                  <c:v>13710.7907963949</c:v>
                </c:pt>
                <c:pt idx="8">
                  <c:v>2237.74910936673</c:v>
                </c:pt>
                <c:pt idx="9">
                  <c:v>5901.1419038254398</c:v>
                </c:pt>
                <c:pt idx="10">
                  <c:v>17827.248096763102</c:v>
                </c:pt>
                <c:pt idx="11">
                  <c:v>15537.118982756499</c:v>
                </c:pt>
                <c:pt idx="12">
                  <c:v>644.76793831904001</c:v>
                </c:pt>
                <c:pt idx="13">
                  <c:v>8121.4517786345596</c:v>
                </c:pt>
                <c:pt idx="14">
                  <c:v>8237.1297225171602</c:v>
                </c:pt>
                <c:pt idx="15">
                  <c:v>23321.794619150001</c:v>
                </c:pt>
                <c:pt idx="16">
                  <c:v>13942.6915492957</c:v>
                </c:pt>
                <c:pt idx="17">
                  <c:v>10223.253776415801</c:v>
                </c:pt>
                <c:pt idx="18">
                  <c:v>34338.3559592112</c:v>
                </c:pt>
                <c:pt idx="19">
                  <c:v>12520.224512058199</c:v>
                </c:pt>
                <c:pt idx="20">
                  <c:v>1747.6036402145601</c:v>
                </c:pt>
                <c:pt idx="21">
                  <c:v>23076.621397726401</c:v>
                </c:pt>
                <c:pt idx="22">
                  <c:v>31289.044674894099</c:v>
                </c:pt>
                <c:pt idx="23">
                  <c:v>9743.5312541310195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6-4B4E-AFE7-41AE4FCA9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037511"/>
        <c:axId val="580195848"/>
      </c:lineChart>
      <c:catAx>
        <c:axId val="446037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195848"/>
        <c:crosses val="autoZero"/>
        <c:auto val="1"/>
        <c:lblAlgn val="ctr"/>
        <c:lblOffset val="100"/>
        <c:noMultiLvlLbl val="0"/>
      </c:catAx>
      <c:valAx>
        <c:axId val="58019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Variance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37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Level Distribution by Order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'Risk Distribution Chart'!$B$3</c:f>
              <c:strCache>
                <c:ptCount val="1"/>
                <c:pt idx="0">
                  <c:v>Order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'Risk Distribution Chart'!$A$4:$A$6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'Risk Distribution Chart'!$B$4:$B$6</c:f>
              <c:numCache>
                <c:formatCode>#,##0</c:formatCode>
                <c:ptCount val="3"/>
                <c:pt idx="0">
                  <c:v>181</c:v>
                </c:pt>
                <c:pt idx="1">
                  <c:v>322</c:v>
                </c:pt>
                <c:pt idx="2">
                  <c:v>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C-47A8-9A11-F6C4A8E6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Variance by Risk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Distribution Chart'!$H$21</c:f>
              <c:strCache>
                <c:ptCount val="1"/>
                <c:pt idx="0">
                  <c:v>Total Variance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Distribution Chart'!$G$22:$G$24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'Risk Distribution Chart'!$H$22:$H$24</c:f>
              <c:numCache>
                <c:formatCode>"$"#,##0</c:formatCode>
                <c:ptCount val="3"/>
                <c:pt idx="0">
                  <c:v>361776.79629486887</c:v>
                </c:pt>
                <c:pt idx="1">
                  <c:v>5696.0551543089632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A-4467-8DE9-16E34581E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226376"/>
        <c:axId val="559278088"/>
      </c:barChart>
      <c:catAx>
        <c:axId val="559226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78088"/>
        <c:crosses val="autoZero"/>
        <c:auto val="1"/>
        <c:lblAlgn val="ctr"/>
        <c:lblOffset val="100"/>
        <c:noMultiLvlLbl val="0"/>
      </c:catAx>
      <c:valAx>
        <c:axId val="55927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26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886AD-7414-1BB0-979A-7AAA0F25F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B9D51F-187D-9C6A-6770-7C563145F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E530C-AC70-E286-9952-836F334EA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5A5F5A-2E26-B509-337B-8606720DA3B8}"/>
            </a:ext>
            <a:ext uri="{147F2762-F138-4A5C-976F-8EAC2B608ADB}">
              <a16:predDERef xmlns:a16="http://schemas.microsoft.com/office/drawing/2014/main" pred="{828E530C-AC70-E286-9952-836F334EA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Reed" refreshedDate="46105.535897222224" createdVersion="8" refreshedVersion="8" minRefreshableVersion="3" recordCount="4000" xr:uid="{949CDD27-15D2-4296-86EF-6F6819B3D889}">
  <cacheSource type="worksheet">
    <worksheetSource name="ReconciliationData"/>
  </cacheSource>
  <cacheFields count="29">
    <cacheField name="Order_ID" numFmtId="0">
      <sharedItems/>
    </cacheField>
    <cacheField name="Order_Date" numFmtId="15">
      <sharedItems containsSemiMixedTypes="0" containsNonDate="0" containsDate="1" containsString="0" minDate="2023-01-01T00:00:00" maxDate="2025-01-01T00:00:00"/>
    </cacheField>
    <cacheField name="Customer_ID" numFmtId="0">
      <sharedItems count="794">
        <s v="CUST0281"/>
        <s v="CUST0591"/>
        <s v="CUST0187"/>
        <s v="CUST0442"/>
        <s v="CUST0010"/>
        <s v="CUST0658"/>
        <s v="CUST0056"/>
        <s v="CUST0799"/>
        <s v="CUST0180"/>
        <s v="CUST0423"/>
        <s v="CUST0498"/>
        <s v="CUST0495"/>
        <s v="CUST0610"/>
        <s v="CUST0447"/>
        <s v="CUST0133"/>
        <s v="CUST0286"/>
        <s v="CUST0304"/>
        <s v="CUST0675"/>
        <s v="CUST0195"/>
        <s v="CUST0126"/>
        <s v="CUST0450"/>
        <s v="CUST0458"/>
        <s v="CUST0028"/>
        <s v="CUST0164"/>
        <s v="CUST0108"/>
        <s v="CUST0332"/>
        <s v="CUST0655"/>
        <s v="CUST0581"/>
        <s v="CUST0292"/>
        <s v="CUST0605"/>
        <s v="CUST0226"/>
        <s v="CUST0754"/>
        <s v="CUST0012"/>
        <s v="CUST0668"/>
        <s v="CUST0119"/>
        <s v="CUST0412"/>
        <s v="CUST0762"/>
        <s v="CUST0585"/>
        <s v="CUST0082"/>
        <s v="CUST0656"/>
        <s v="CUST0777"/>
        <s v="CUST0052"/>
        <s v="CUST0122"/>
        <s v="CUST0521"/>
        <s v="CUST0387"/>
        <s v="CUST0454"/>
        <s v="CUST0338"/>
        <s v="CUST0263"/>
        <s v="CUST0353"/>
        <s v="CUST0417"/>
        <s v="CUST0348"/>
        <s v="CUST0309"/>
        <s v="CUST0301"/>
        <s v="CUST0271"/>
        <s v="CUST0743"/>
        <s v="CUST0099"/>
        <s v="CUST0772"/>
        <s v="CUST0371"/>
        <s v="CUST0096"/>
        <s v="CUST0252"/>
        <s v="CUST0702"/>
        <s v="CUST0436"/>
        <s v="CUST0788"/>
        <s v="CUST0574"/>
        <s v="CUST0606"/>
        <s v="CUST0246"/>
        <s v="CUST0623"/>
        <s v="CUST0143"/>
        <s v="CUST0657"/>
        <s v="CUST0201"/>
        <s v="CUST0428"/>
        <s v="CUST0221"/>
        <s v="CUST0247"/>
        <s v="CUST0798"/>
        <s v="CUST0248"/>
        <s v="CUST0074"/>
        <s v="CUST0317"/>
        <s v="CUST0165"/>
        <s v="CUST0749"/>
        <s v="CUST0114"/>
        <s v="CUST0780"/>
        <s v="CUST0324"/>
        <s v="CUST0142"/>
        <s v="CUST0282"/>
        <s v="CUST0614"/>
        <s v="CUST0005"/>
        <s v="CUST0120"/>
        <s v="CUST0682"/>
        <s v="CUST0625"/>
        <s v="CUST0155"/>
        <s v="CUST0790"/>
        <s v="CUST0069"/>
        <s v="CUST0009"/>
        <s v="CUST0251"/>
        <s v="CUST0577"/>
        <s v="CUST0441"/>
        <s v="CUST0496"/>
        <s v="CUST0483"/>
        <s v="CUST0383"/>
        <s v="CUST0684"/>
        <s v="CUST0735"/>
        <s v="CUST0718"/>
        <s v="CUST0616"/>
        <s v="CUST0540"/>
        <s v="CUST0111"/>
        <s v="CUST0168"/>
        <s v="CUST0236"/>
        <s v="CUST0132"/>
        <s v="CUST0565"/>
        <s v="CUST0738"/>
        <s v="CUST0370"/>
        <s v="CUST0073"/>
        <s v="CUST0410"/>
        <s v="CUST0792"/>
        <s v="CUST0222"/>
        <s v="CUST0342"/>
        <s v="CUST0665"/>
        <s v="CUST0701"/>
        <s v="CUST0425"/>
        <s v="CUST0660"/>
        <s v="CUST0038"/>
        <s v="CUST0209"/>
        <s v="CUST0115"/>
        <s v="CUST0737"/>
        <s v="CUST0386"/>
        <s v="CUST0188"/>
        <s v="CUST0706"/>
        <s v="CUST0303"/>
        <s v="CUST0508"/>
        <s v="CUST0013"/>
        <s v="CUST0602"/>
        <s v="CUST0769"/>
        <s v="CUST0593"/>
        <s v="CUST0462"/>
        <s v="CUST0026"/>
        <s v="CUST0067"/>
        <s v="CUST0129"/>
        <s v="CUST0744"/>
        <s v="CUST0622"/>
        <s v="CUST0475"/>
        <s v="CUST0320"/>
        <s v="CUST0597"/>
        <s v="CUST0654"/>
        <s v="CUST0560"/>
        <s v="CUST0671"/>
        <s v="CUST0472"/>
        <s v="CUST0230"/>
        <s v="CUST0438"/>
        <s v="CUST0633"/>
        <s v="CUST0266"/>
        <s v="CUST0105"/>
        <s v="CUST0757"/>
        <s v="CUST0345"/>
        <s v="CUST0085"/>
        <s v="CUST0206"/>
        <s v="CUST0712"/>
        <s v="CUST0727"/>
        <s v="CUST0771"/>
        <s v="CUST0231"/>
        <s v="CUST0700"/>
        <s v="CUST0381"/>
        <s v="CUST0003"/>
        <s v="CUST0151"/>
        <s v="CUST0459"/>
        <s v="CUST0068"/>
        <s v="CUST0570"/>
        <s v="CUST0169"/>
        <s v="CUST0233"/>
        <s v="CUST0642"/>
        <s v="CUST0198"/>
        <s v="CUST0295"/>
        <s v="CUST0031"/>
        <s v="CUST0717"/>
        <s v="CUST0097"/>
        <s v="CUST0422"/>
        <s v="CUST0374"/>
        <s v="CUST0555"/>
        <s v="CUST0611"/>
        <s v="CUST0687"/>
        <s v="CUST0071"/>
        <s v="CUST0023"/>
        <s v="CUST0694"/>
        <s v="CUST0525"/>
        <s v="CUST0196"/>
        <s v="CUST0473"/>
        <s v="CUST0604"/>
        <s v="CUST0399"/>
        <s v="CUST0477"/>
        <s v="CUST0007"/>
        <s v="CUST0359"/>
        <s v="CUST0729"/>
        <s v="CUST0080"/>
        <s v="CUST0293"/>
        <s v="CUST0125"/>
        <s v="CUST0330"/>
        <s v="CUST0055"/>
        <s v="CUST0018"/>
        <s v="CUST0256"/>
        <s v="CUST0448"/>
        <s v="CUST0078"/>
        <s v="CUST0146"/>
        <s v="CUST0724"/>
        <s v="CUST0723"/>
        <s v="CUST0363"/>
        <s v="CUST0542"/>
        <s v="CUST0460"/>
        <s v="CUST0367"/>
        <s v="CUST0651"/>
        <s v="CUST0393"/>
        <s v="CUST0087"/>
        <s v="CUST0147"/>
        <s v="CUST0088"/>
        <s v="CUST0786"/>
        <s v="CUST0228"/>
        <s v="CUST0490"/>
        <s v="CUST0305"/>
        <s v="CUST0470"/>
        <s v="CUST0070"/>
        <s v="CUST0341"/>
        <s v="CUST0321"/>
        <s v="CUST0138"/>
        <s v="CUST0117"/>
        <s v="CUST0285"/>
        <s v="CUST0546"/>
        <s v="CUST0778"/>
        <s v="CUST0439"/>
        <s v="CUST0025"/>
        <s v="CUST0274"/>
        <s v="CUST0464"/>
        <s v="CUST0229"/>
        <s v="CUST0355"/>
        <s v="CUST0776"/>
        <s v="CUST0372"/>
        <s v="CUST0333"/>
        <s v="CUST0553"/>
        <s v="CUST0098"/>
        <s v="CUST0182"/>
        <s v="CUST0523"/>
        <s v="CUST0518"/>
        <s v="CUST0017"/>
        <s v="CUST0287"/>
        <s v="CUST0708"/>
        <s v="CUST0493"/>
        <s v="CUST0426"/>
        <s v="CUST0062"/>
        <s v="CUST0775"/>
        <s v="CUST0042"/>
        <s v="CUST0313"/>
        <s v="CUST0534"/>
        <s v="CUST0335"/>
        <s v="CUST0232"/>
        <s v="CUST0506"/>
        <s v="CUST0145"/>
        <s v="CUST0683"/>
        <s v="CUST0528"/>
        <s v="CUST0800"/>
        <s v="CUST0364"/>
        <s v="CUST0631"/>
        <s v="CUST0536"/>
        <s v="CUST0492"/>
        <s v="CUST0594"/>
        <s v="CUST0669"/>
        <s v="CUST0092"/>
        <s v="CUST0485"/>
        <s v="CUST0065"/>
        <s v="CUST0568"/>
        <s v="CUST0318"/>
        <s v="CUST0698"/>
        <s v="CUST0314"/>
        <s v="CUST0075"/>
        <s v="CUST0582"/>
        <s v="CUST0174"/>
        <s v="CUST0299"/>
        <s v="CUST0219"/>
        <s v="CUST0420"/>
        <s v="CUST0160"/>
        <s v="CUST0218"/>
        <s v="CUST0444"/>
        <s v="CUST0102"/>
        <s v="CUST0300"/>
        <s v="CUST0789"/>
        <s v="CUST0431"/>
        <s v="CUST0617"/>
        <s v="CUST0241"/>
        <s v="CUST0554"/>
        <s v="CUST0653"/>
        <s v="CUST0487"/>
        <s v="CUST0361"/>
        <s v="CUST0202"/>
        <s v="CUST0672"/>
        <s v="CUST0524"/>
        <s v="CUST0049"/>
        <s v="CUST0322"/>
        <s v="CUST0427"/>
        <s v="CUST0781"/>
        <s v="CUST0034"/>
        <s v="CUST0535"/>
        <s v="CUST0600"/>
        <s v="CUST0176"/>
        <s v="CUST0337"/>
        <s v="CUST0768"/>
        <s v="CUST0298"/>
        <s v="CUST0264"/>
        <s v="CUST0539"/>
        <s v="CUST0465"/>
        <s v="CUST0497"/>
        <s v="CUST0557"/>
        <s v="CUST0189"/>
        <s v="CUST0041"/>
        <s v="CUST0343"/>
        <s v="CUST0368"/>
        <s v="CUST0357"/>
        <s v="CUST0461"/>
        <s v="CUST0004"/>
        <s v="CUST0413"/>
        <s v="CUST0217"/>
        <s v="CUST0401"/>
        <s v="CUST0603"/>
        <s v="CUST0619"/>
        <s v="CUST0785"/>
        <s v="CUST0288"/>
        <s v="CUST0634"/>
        <s v="CUST0211"/>
        <s v="CUST0227"/>
        <s v="CUST0223"/>
        <s v="CUST0283"/>
        <s v="CUST0389"/>
        <s v="CUST0530"/>
        <s v="CUST0191"/>
        <s v="CUST0742"/>
        <s v="CUST0046"/>
        <s v="CUST0572"/>
        <s v="CUST0072"/>
        <s v="CUST0522"/>
        <s v="CUST0014"/>
        <s v="CUST0584"/>
        <s v="CUST0040"/>
        <s v="CUST0689"/>
        <s v="CUST0674"/>
        <s v="CUST0076"/>
        <s v="CUST0032"/>
        <s v="CUST0306"/>
        <s v="CUST0527"/>
        <s v="CUST0621"/>
        <s v="CUST0452"/>
        <s v="CUST0016"/>
        <s v="CUST0094"/>
        <s v="CUST0509"/>
        <s v="CUST0162"/>
        <s v="CUST0166"/>
        <s v="CUST0709"/>
        <s v="CUST0590"/>
        <s v="CUST0235"/>
        <s v="CUST0481"/>
        <s v="CUST0106"/>
        <s v="CUST0592"/>
        <s v="CUST0051"/>
        <s v="CUST0529"/>
        <s v="CUST0501"/>
        <s v="CUST0100"/>
        <s v="CUST0679"/>
        <s v="CUST0369"/>
        <s v="CUST0595"/>
        <s v="CUST0350"/>
        <s v="CUST0500"/>
        <s v="CUST0244"/>
        <s v="CUST0711"/>
        <s v="CUST0245"/>
        <s v="CUST0110"/>
        <s v="CUST0575"/>
        <s v="CUST0414"/>
        <s v="CUST0632"/>
        <s v="CUST0136"/>
        <s v="CUST0707"/>
        <s v="CUST0296"/>
        <s v="CUST0002"/>
        <s v="CUST0432"/>
        <s v="CUST0135"/>
        <s v="CUST0559"/>
        <s v="CUST0453"/>
        <s v="CUST0063"/>
        <s v="CUST0445"/>
        <s v="CUST0377"/>
        <s v="CUST0589"/>
        <s v="CUST0752"/>
        <s v="CUST0240"/>
        <s v="CUST0519"/>
        <s v="CUST0499"/>
        <s v="CUST0154"/>
        <s v="CUST0104"/>
        <s v="CUST0186"/>
        <s v="CUST0411"/>
        <s v="CUST0516"/>
        <s v="CUST0714"/>
        <s v="CUST0579"/>
        <s v="CUST0234"/>
        <s v="CUST0050"/>
        <s v="CUST0636"/>
        <s v="CUST0141"/>
        <s v="CUST0171"/>
        <s v="CUST0047"/>
        <s v="CUST0276"/>
        <s v="CUST0356"/>
        <s v="CUST0172"/>
        <s v="CUST0759"/>
        <s v="CUST0270"/>
        <s v="CUST0179"/>
        <s v="CUST0421"/>
        <s v="CUST0280"/>
        <s v="CUST0224"/>
        <s v="CUST0269"/>
        <s v="CUST0054"/>
        <s v="CUST0045"/>
        <s v="CUST0699"/>
        <s v="CUST0751"/>
        <s v="CUST0449"/>
        <s v="CUST0409"/>
        <s v="CUST0637"/>
        <s v="CUST0181"/>
        <s v="CUST0515"/>
        <s v="CUST0750"/>
        <s v="CUST0469"/>
        <s v="CUST0249"/>
        <s v="CUST0033"/>
        <s v="CUST0652"/>
        <s v="CUST0466"/>
        <s v="CUST0704"/>
        <s v="CUST0037"/>
        <s v="CUST0340"/>
        <s v="CUST0747"/>
        <s v="CUST0791"/>
        <s v="CUST0253"/>
        <s v="CUST0624"/>
        <s v="CUST0400"/>
        <s v="CUST0275"/>
        <s v="CUST0607"/>
        <s v="CUST0586"/>
        <s v="CUST0720"/>
        <s v="CUST0641"/>
        <s v="CUST0549"/>
        <s v="CUST0344"/>
        <s v="CUST0558"/>
        <s v="CUST0020"/>
        <s v="CUST0277"/>
        <s v="CUST0760"/>
        <s v="CUST0722"/>
        <s v="CUST0748"/>
        <s v="CUST0404"/>
        <s v="CUST0207"/>
        <s v="CUST0204"/>
        <s v="CUST0795"/>
        <s v="CUST0670"/>
        <s v="CUST0307"/>
        <s v="CUST0782"/>
        <s v="CUST0163"/>
        <s v="CUST0077"/>
        <s v="CUST0336"/>
        <s v="CUST0630"/>
        <s v="CUST0086"/>
        <s v="CUST0053"/>
        <s v="CUST0779"/>
        <s v="CUST0113"/>
        <s v="CUST0710"/>
        <s v="CUST0514"/>
        <s v="CUST0543"/>
        <s v="CUST0693"/>
        <s v="CUST0185"/>
        <s v="CUST0397"/>
        <s v="CUST0384"/>
        <s v="CUST0319"/>
        <s v="CUST0039"/>
        <s v="CUST0766"/>
        <s v="CUST0208"/>
        <s v="CUST0262"/>
        <s v="CUST0242"/>
        <s v="CUST0705"/>
        <s v="CUST0153"/>
        <s v="CUST0139"/>
        <s v="CUST0746"/>
        <s v="CUST0753"/>
        <s v="CUST0620"/>
        <s v="CUST0440"/>
        <s v="CUST0770"/>
        <s v="CUST0170"/>
        <s v="CUST0608"/>
        <s v="CUST0127"/>
        <s v="CUST0156"/>
        <s v="CUST0566"/>
        <s v="CUST0157"/>
        <s v="CUST0648"/>
        <s v="CUST0328"/>
        <s v="CUST0184"/>
        <s v="CUST0612"/>
        <s v="CUST0666"/>
        <s v="CUST0107"/>
        <s v="CUST0193"/>
        <s v="CUST0027"/>
        <s v="CUST0183"/>
        <s v="CUST0526"/>
        <s v="CUST0323"/>
        <s v="CUST0200"/>
        <s v="CUST0358"/>
        <s v="CUST0455"/>
        <s v="CUST0728"/>
        <s v="CUST0446"/>
        <s v="CUST0261"/>
        <s v="CUST0090"/>
        <s v="CUST0713"/>
        <s v="CUST0503"/>
        <s v="CUST0030"/>
        <s v="CUST0238"/>
        <s v="CUST0311"/>
        <s v="CUST0533"/>
        <s v="CUST0289"/>
        <s v="CUST0308"/>
        <s v="CUST0006"/>
        <s v="CUST0131"/>
        <s v="CUST0479"/>
        <s v="CUST0349"/>
        <s v="CUST0388"/>
        <s v="CUST0731"/>
        <s v="CUST0456"/>
        <s v="CUST0765"/>
        <s v="CUST0740"/>
        <s v="CUST0511"/>
        <s v="CUST0435"/>
        <s v="CUST0351"/>
        <s v="CUST0312"/>
        <s v="CUST0794"/>
        <s v="CUST0599"/>
        <s v="CUST0491"/>
        <s v="CUST0721"/>
        <s v="CUST0101"/>
        <s v="CUST0716"/>
        <s v="CUST0398"/>
        <s v="CUST0258"/>
        <s v="CUST0567"/>
        <s v="CUST0210"/>
        <s v="CUST0118"/>
        <s v="CUST0467"/>
        <s v="CUST0507"/>
        <s v="CUST0178"/>
        <s v="CUST0329"/>
        <s v="CUST0797"/>
        <s v="CUST0021"/>
        <s v="CUST0158"/>
        <s v="CUST0680"/>
        <s v="CUST0703"/>
        <s v="CUST0237"/>
        <s v="CUST0116"/>
        <s v="CUST0764"/>
        <s v="CUST0159"/>
        <s v="CUST0638"/>
        <s v="CUST0787"/>
        <s v="CUST0268"/>
        <s v="CUST0583"/>
        <s v="CUST0755"/>
        <s v="CUST0382"/>
        <s v="CUST0690"/>
        <s v="CUST0773"/>
        <s v="CUST0550"/>
        <s v="CUST0538"/>
        <s v="CUST0254"/>
        <s v="CUST0354"/>
        <s v="CUST0124"/>
        <s v="CUST0783"/>
        <s v="CUST0272"/>
        <s v="CUST0396"/>
        <s v="CUST0064"/>
        <s v="CUST0378"/>
        <s v="CUST0385"/>
        <s v="CUST0213"/>
        <s v="CUST0103"/>
        <s v="CUST0011"/>
        <s v="CUST0255"/>
        <s v="CUST0279"/>
        <s v="CUST0598"/>
        <s v="CUST0112"/>
        <s v="CUST0513"/>
        <s v="CUST0291"/>
        <s v="CUST0650"/>
        <s v="CUST0022"/>
        <s v="CUST0326"/>
        <s v="CUST0688"/>
        <s v="CUST0140"/>
        <s v="CUST0019"/>
        <s v="CUST0478"/>
        <s v="CUST0059"/>
        <s v="CUST0468"/>
        <s v="CUST0732"/>
        <s v="CUST0596"/>
        <s v="CUST0643"/>
        <s v="CUST0310"/>
        <s v="CUST0376"/>
        <s v="CUST0360"/>
        <s v="CUST0562"/>
        <s v="CUST0036"/>
        <s v="CUST0058"/>
        <s v="CUST0402"/>
        <s v="CUST0517"/>
        <s v="CUST0640"/>
        <s v="CUST0663"/>
        <s v="CUST0265"/>
        <s v="CUST0649"/>
        <s v="CUST0199"/>
        <s v="CUST0418"/>
        <s v="CUST0580"/>
        <s v="CUST0060"/>
        <s v="CUST0339"/>
        <s v="CUST0395"/>
        <s v="CUST0057"/>
        <s v="CUST0745"/>
        <s v="CUST0225"/>
        <s v="CUST0537"/>
        <s v="CUST0505"/>
        <s v="CUST0627"/>
        <s v="CUST0403"/>
        <s v="CUST0121"/>
        <s v="CUST0257"/>
        <s v="CUST0148"/>
        <s v="CUST0618"/>
        <s v="CUST0482"/>
        <s v="CUST0044"/>
        <s v="CUST0316"/>
        <s v="CUST0278"/>
        <s v="CUST0601"/>
        <s v="CUST0696"/>
        <s v="CUST0659"/>
        <s v="CUST0390"/>
        <s v="CUST0297"/>
        <s v="CUST0697"/>
        <s v="CUST0678"/>
        <s v="CUST0471"/>
        <s v="CUST0664"/>
        <s v="CUST0741"/>
        <s v="CUST0484"/>
        <s v="CUST0407"/>
        <s v="CUST0394"/>
        <s v="CUST0476"/>
        <s v="CUST0424"/>
        <s v="CUST0190"/>
        <s v="CUST0730"/>
        <s v="CUST0430"/>
        <s v="CUST0563"/>
        <s v="CUST0089"/>
        <s v="CUST0081"/>
        <s v="CUST0504"/>
        <s v="CUST0212"/>
        <s v="CUST0639"/>
        <s v="CUST0079"/>
        <s v="CUST0137"/>
        <s v="CUST0793"/>
        <s v="CUST0667"/>
        <s v="CUST0686"/>
        <s v="CUST0177"/>
        <s v="CUST0587"/>
        <s v="CUST0327"/>
        <s v="CUST0419"/>
        <s v="CUST0548"/>
        <s v="CUST0739"/>
        <s v="CUST0346"/>
        <s v="CUST0736"/>
        <s v="CUST0588"/>
        <s v="CUST0015"/>
        <s v="CUST0715"/>
        <s v="CUST0260"/>
        <s v="CUST0673"/>
        <s v="CUST0774"/>
        <s v="CUST0043"/>
        <s v="CUST0443"/>
        <s v="CUST0294"/>
        <s v="CUST0763"/>
        <s v="CUST0576"/>
        <s v="CUST0719"/>
        <s v="CUST0434"/>
        <s v="CUST0194"/>
        <s v="CUST0571"/>
        <s v="CUST0144"/>
        <s v="CUST0243"/>
        <s v="CUST0541"/>
        <s v="CUST0173"/>
        <s v="CUST0520"/>
        <s v="CUST0756"/>
        <s v="CUST0024"/>
        <s v="CUST0220"/>
        <s v="CUST0216"/>
        <s v="CUST0029"/>
        <s v="CUST0644"/>
        <s v="CUST0315"/>
        <s v="CUST0734"/>
        <s v="CUST0486"/>
        <s v="CUST0725"/>
        <s v="CUST0695"/>
        <s v="CUST0726"/>
        <s v="CUST0167"/>
        <s v="CUST0429"/>
        <s v="CUST0134"/>
        <s v="CUST0408"/>
        <s v="CUST0489"/>
        <s v="CUST0347"/>
        <s v="CUST0544"/>
        <s v="CUST0066"/>
        <s v="CUST0488"/>
        <s v="CUST0290"/>
        <s v="CUST0084"/>
        <s v="CUST0676"/>
        <s v="CUST0569"/>
        <s v="CUST0796"/>
        <s v="CUST0761"/>
        <s v="CUST0573"/>
        <s v="CUST0205"/>
        <s v="CUST0405"/>
        <s v="CUST0331"/>
        <s v="CUST0035"/>
        <s v="CUST0767"/>
        <s v="CUST0214"/>
        <s v="CUST0130"/>
        <s v="CUST0635"/>
        <s v="CUST0375"/>
        <s v="CUST0626"/>
        <s v="CUST0001"/>
        <s v="CUST0128"/>
        <s v="CUST0692"/>
        <s v="CUST0093"/>
        <s v="CUST0095"/>
        <s v="CUST0302"/>
        <s v="CUST0609"/>
        <s v="CUST0681"/>
        <s v="CUST0629"/>
        <s v="CUST0152"/>
        <s v="CUST0685"/>
        <s v="CUST0091"/>
        <s v="CUST0392"/>
        <s v="CUST0267"/>
        <s v="CUST0457"/>
        <s v="CUST0564"/>
        <s v="CUST0613"/>
        <s v="CUST0451"/>
        <s v="CUST0494"/>
        <s v="CUST0784"/>
        <s v="CUST0215"/>
        <s v="CUST0380"/>
        <s v="CUST0334"/>
        <s v="CUST0259"/>
        <s v="CUST0677"/>
        <s v="CUST0197"/>
        <s v="CUST0480"/>
        <s v="CUST0510"/>
        <s v="CUST0662"/>
        <s v="CUST0437"/>
        <s v="CUST0647"/>
        <s v="CUST0502"/>
        <s v="CUST0474"/>
        <s v="CUST0561"/>
        <s v="CUST0175"/>
        <s v="CUST0691"/>
        <s v="CUST0149"/>
        <s v="CUST0615"/>
        <s v="CUST0552"/>
        <s v="CUST0532"/>
        <s v="CUST0109"/>
        <s v="CUST0646"/>
        <s v="CUST0061"/>
        <s v="CUST0083"/>
        <s v="CUST0123"/>
        <s v="CUST0463"/>
        <s v="CUST0556"/>
        <s v="CUST0733"/>
        <s v="CUST0373"/>
        <s v="CUST0512"/>
        <s v="CUST0547"/>
        <s v="CUST0531"/>
        <s v="CUST0406"/>
        <s v="CUST0758"/>
        <s v="CUST0433"/>
        <s v="CUST0048"/>
        <s v="CUST0008"/>
        <s v="CUST0545"/>
        <s v="CUST0325"/>
        <s v="CUST0250"/>
        <s v="CUST0416"/>
        <s v="CUST0365"/>
        <s v="CUST0415"/>
        <s v="CUST0391"/>
        <s v="CUST0150"/>
        <s v="CUST0645"/>
        <s v="CUST0192"/>
        <s v="CUST0273"/>
        <s v="CUST0362"/>
        <s v="CUST0161"/>
        <s v="CUST0366"/>
        <s v="CUST0379"/>
        <s v="CUST0661"/>
        <s v="CUST0578"/>
      </sharedItems>
    </cacheField>
    <cacheField name="Product_ID" numFmtId="0">
      <sharedItems count="300">
        <s v="PROD031"/>
        <s v="PROD252"/>
        <s v="PROD288"/>
        <s v="PROD145"/>
        <s v="PROD088"/>
        <s v="PROD214"/>
        <s v="PROD279"/>
        <s v="PROD083"/>
        <s v="PROD268"/>
        <s v="PROD140"/>
        <s v="PROD215"/>
        <s v="PROD156"/>
        <s v="PROD246"/>
        <s v="PROD199"/>
        <s v="PROD115"/>
        <s v="PROD003"/>
        <s v="PROD057"/>
        <s v="PROD024"/>
        <s v="PROD033"/>
        <s v="PROD005"/>
        <s v="PROD053"/>
        <s v="PROD093"/>
        <s v="PROD290"/>
        <s v="PROD013"/>
        <s v="PROD054"/>
        <s v="PROD219"/>
        <s v="PROD285"/>
        <s v="PROD251"/>
        <s v="PROD177"/>
        <s v="PROD223"/>
        <s v="PROD198"/>
        <s v="PROD300"/>
        <s v="PROD139"/>
        <s v="PROD160"/>
        <s v="PROD129"/>
        <s v="PROD018"/>
        <s v="PROD048"/>
        <s v="PROD158"/>
        <s v="PROD229"/>
        <s v="PROD231"/>
        <s v="PROD050"/>
        <s v="PROD284"/>
        <s v="PROD203"/>
        <s v="PROD254"/>
        <s v="PROD248"/>
        <s v="PROD101"/>
        <s v="PROD011"/>
        <s v="PROD036"/>
        <s v="PROD142"/>
        <s v="PROD089"/>
        <s v="PROD034"/>
        <s v="PROD019"/>
        <s v="PROD220"/>
        <s v="PROD146"/>
        <s v="PROD263"/>
        <s v="PROD270"/>
        <s v="PROD259"/>
        <s v="PROD081"/>
        <s v="PROD143"/>
        <s v="PROD022"/>
        <s v="PROD275"/>
        <s v="PROD196"/>
        <s v="PROD237"/>
        <s v="PROD299"/>
        <s v="PROD123"/>
        <s v="PROD182"/>
        <s v="PROD086"/>
        <s v="PROD030"/>
        <s v="PROD098"/>
        <s v="PROD137"/>
        <s v="PROD283"/>
        <s v="PROD258"/>
        <s v="PROD179"/>
        <s v="PROD171"/>
        <s v="PROD216"/>
        <s v="PROD264"/>
        <s v="PROD239"/>
        <s v="PROD073"/>
        <s v="PROD133"/>
        <s v="PROD277"/>
        <s v="PROD224"/>
        <s v="PROD076"/>
        <s v="PROD108"/>
        <s v="PROD038"/>
        <s v="PROD162"/>
        <s v="PROD008"/>
        <s v="PROD041"/>
        <s v="PROD186"/>
        <s v="PROD298"/>
        <s v="PROD118"/>
        <s v="PROD130"/>
        <s v="PROD015"/>
        <s v="PROD191"/>
        <s v="PROD233"/>
        <s v="PROD292"/>
        <s v="PROD144"/>
        <s v="PROD025"/>
        <s v="PROD280"/>
        <s v="PROD194"/>
        <s v="PROD267"/>
        <s v="PROD023"/>
        <s v="PROD107"/>
        <s v="PROD236"/>
        <s v="PROD112"/>
        <s v="PROD116"/>
        <s v="PROD136"/>
        <s v="PROD208"/>
        <s v="PROD117"/>
        <s v="PROD157"/>
        <s v="PROD242"/>
        <s v="PROD097"/>
        <s v="PROD260"/>
        <s v="PROD164"/>
        <s v="PROD185"/>
        <s v="PROD069"/>
        <s v="PROD062"/>
        <s v="PROD218"/>
        <s v="PROD105"/>
        <s v="PROD293"/>
        <s v="PROD078"/>
        <s v="PROD261"/>
        <s v="PROD206"/>
        <s v="PROD063"/>
        <s v="PROD131"/>
        <s v="PROD001"/>
        <s v="PROD167"/>
        <s v="PROD106"/>
        <s v="PROD243"/>
        <s v="PROD047"/>
        <s v="PROD067"/>
        <s v="PROD120"/>
        <s v="PROD276"/>
        <s v="PROD072"/>
        <s v="PROD204"/>
        <s v="PROD286"/>
        <s v="PROD163"/>
        <s v="PROD149"/>
        <s v="PROD189"/>
        <s v="PROD195"/>
        <s v="PROD124"/>
        <s v="PROD228"/>
        <s v="PROD272"/>
        <s v="PROD077"/>
        <s v="PROD255"/>
        <s v="PROD094"/>
        <s v="PROD014"/>
        <s v="PROD070"/>
        <s v="PROD271"/>
        <s v="PROD183"/>
        <s v="PROD238"/>
        <s v="PROD125"/>
        <s v="PROD205"/>
        <s v="PROD154"/>
        <s v="PROD211"/>
        <s v="PROD278"/>
        <s v="PROD245"/>
        <s v="PROD043"/>
        <s v="PROD064"/>
        <s v="PROD100"/>
        <s v="PROD244"/>
        <s v="PROD170"/>
        <s v="PROD127"/>
        <s v="PROD192"/>
        <s v="PROD113"/>
        <s v="PROD295"/>
        <s v="PROD161"/>
        <s v="PROD148"/>
        <s v="PROD273"/>
        <s v="PROD282"/>
        <s v="PROD210"/>
        <s v="PROD007"/>
        <s v="PROD037"/>
        <s v="PROD021"/>
        <s v="PROD176"/>
        <s v="PROD016"/>
        <s v="PROD289"/>
        <s v="PROD058"/>
        <s v="PROD147"/>
        <s v="PROD202"/>
        <s v="PROD128"/>
        <s v="PROD134"/>
        <s v="PROD166"/>
        <s v="PROD012"/>
        <s v="PROD074"/>
        <s v="PROD187"/>
        <s v="PROD119"/>
        <s v="PROD071"/>
        <s v="PROD017"/>
        <s v="PROD175"/>
        <s v="PROD181"/>
        <s v="PROD102"/>
        <s v="PROD138"/>
        <s v="PROD082"/>
        <s v="PROD225"/>
        <s v="PROD065"/>
        <s v="PROD052"/>
        <s v="PROD291"/>
        <s v="PROD287"/>
        <s v="PROD159"/>
        <s v="PROD035"/>
        <s v="PROD060"/>
        <s v="PROD103"/>
        <s v="PROD155"/>
        <s v="PROD297"/>
        <s v="PROD114"/>
        <s v="PROD141"/>
        <s v="PROD051"/>
        <s v="PROD226"/>
        <s v="PROD044"/>
        <s v="PROD026"/>
        <s v="PROD274"/>
        <s v="PROD135"/>
        <s v="PROD172"/>
        <s v="PROD084"/>
        <s v="PROD281"/>
        <s v="PROD091"/>
        <s v="PROD006"/>
        <s v="PROD190"/>
        <s v="PROD110"/>
        <s v="PROD212"/>
        <s v="PROD020"/>
        <s v="PROD184"/>
        <s v="PROD153"/>
        <s v="PROD265"/>
        <s v="PROD256"/>
        <s v="PROD096"/>
        <s v="PROD032"/>
        <s v="PROD059"/>
        <s v="PROD200"/>
        <s v="PROD121"/>
        <s v="PROD090"/>
        <s v="PROD178"/>
        <s v="PROD240"/>
        <s v="PROD234"/>
        <s v="PROD126"/>
        <s v="PROD087"/>
        <s v="PROD049"/>
        <s v="PROD168"/>
        <s v="PROD188"/>
        <s v="PROD150"/>
        <s v="PROD209"/>
        <s v="PROD092"/>
        <s v="PROD079"/>
        <s v="PROD266"/>
        <s v="PROD028"/>
        <s v="PROD099"/>
        <s v="PROD269"/>
        <s v="PROD217"/>
        <s v="PROD221"/>
        <s v="PROD173"/>
        <s v="PROD042"/>
        <s v="PROD068"/>
        <s v="PROD109"/>
        <s v="PROD009"/>
        <s v="PROD241"/>
        <s v="PROD046"/>
        <s v="PROD165"/>
        <s v="PROD061"/>
        <s v="PROD197"/>
        <s v="PROD296"/>
        <s v="PROD080"/>
        <s v="PROD075"/>
        <s v="PROD253"/>
        <s v="PROD169"/>
        <s v="PROD010"/>
        <s v="PROD122"/>
        <s v="PROD257"/>
        <s v="PROD004"/>
        <s v="PROD294"/>
        <s v="PROD152"/>
        <s v="PROD095"/>
        <s v="PROD039"/>
        <s v="PROD104"/>
        <s v="PROD056"/>
        <s v="PROD174"/>
        <s v="PROD132"/>
        <s v="PROD085"/>
        <s v="PROD249"/>
        <s v="PROD111"/>
        <s v="PROD002"/>
        <s v="PROD193"/>
        <s v="PROD232"/>
        <s v="PROD247"/>
        <s v="PROD180"/>
        <s v="PROD227"/>
        <s v="PROD029"/>
        <s v="PROD235"/>
        <s v="PROD230"/>
        <s v="PROD027"/>
        <s v="PROD055"/>
        <s v="PROD066"/>
        <s v="PROD040"/>
        <s v="PROD201"/>
        <s v="PROD262"/>
        <s v="PROD045"/>
        <s v="PROD222"/>
        <s v="PROD250"/>
        <s v="PROD207"/>
        <s v="PROD151"/>
        <s v="PROD213"/>
      </sharedItems>
    </cacheField>
    <cacheField name="ordered_units" numFmtId="0">
      <sharedItems containsSemiMixedTypes="0" containsString="0" containsNumber="1" containsInteger="1" minValue="1" maxValue="200"/>
    </cacheField>
    <cacheField name="Invoice_ID" numFmtId="0">
      <sharedItems/>
    </cacheField>
    <cacheField name="Billed_Units" numFmtId="0">
      <sharedItems containsSemiMixedTypes="0" containsString="0" containsNumber="1" containsInteger="1" minValue="-4" maxValue="210"/>
    </cacheField>
    <cacheField name="Billed_Price" numFmtId="0">
      <sharedItems containsSemiMixedTypes="0" containsString="0" containsNumber="1" minValue="47.936999999999998" maxValue="1280.9556"/>
    </cacheField>
    <cacheField name="total_returned_units" numFmtId="0">
      <sharedItems containsString="0" containsBlank="1" containsNumber="1" containsInteger="1" minValue="1" maxValue="39"/>
    </cacheField>
    <cacheField name="last_return_date" numFmtId="0">
      <sharedItems containsNonDate="0" containsDate="1" containsString="0" containsBlank="1" minDate="2023-01-22T00:00:00" maxDate="2025-03-01T00:00:00"/>
    </cacheField>
    <cacheField name="Contract_Price" numFmtId="0">
      <sharedItems containsString="0" containsBlank="1" containsNumber="1" minValue="353.97" maxValue="984.57"/>
    </cacheField>
    <cacheField name="Start_Date" numFmtId="0">
      <sharedItems containsNonDate="0" containsDate="1" containsString="0" containsBlank="1" minDate="2022-04-19T00:00:00" maxDate="2023-10-03T00:00:00"/>
    </cacheField>
    <cacheField name="End_Date" numFmtId="0">
      <sharedItems containsNonDate="0" containsDate="1" containsString="0" containsBlank="1" minDate="2023-02-06T00:00:00" maxDate="2024-03-08T00:00:00"/>
    </cacheField>
    <cacheField name="List_Price" numFmtId="0">
      <sharedItems containsSemiMixedTypes="0" containsString="0" containsNumber="1" minValue="47.936999999999998" maxValue="1280.9556"/>
    </cacheField>
    <cacheField name="Effective_Date" numFmtId="15">
      <sharedItems containsSemiMixedTypes="0" containsNonDate="0" containsDate="1" containsString="0" minDate="2022-01-03T00:00:00" maxDate="2023-10-29T00:00:00"/>
    </cacheField>
    <cacheField name="missing_invoice" numFmtId="0">
      <sharedItems containsSemiMixedTypes="0" containsString="0" containsNumber="1" containsInteger="1" minValue="0" maxValue="0"/>
    </cacheField>
    <cacheField name="unit_mismatch" numFmtId="0">
      <sharedItems containsSemiMixedTypes="0" containsString="0" containsNumber="1" containsInteger="1" minValue="0" maxValue="1"/>
    </cacheField>
    <cacheField name="list_price_mismatch" numFmtId="0">
      <sharedItems containsSemiMixedTypes="0" containsString="0" containsNumber="1" containsInteger="1" minValue="0" maxValue="1"/>
    </cacheField>
    <cacheField name="contract_price_mismatch" numFmtId="0">
      <sharedItems containsSemiMixedTypes="0" containsString="0" containsNumber="1" containsInteger="1" minValue="0" maxValue="1"/>
    </cacheField>
    <cacheField name="expired_contract" numFmtId="0">
      <sharedItems containsSemiMixedTypes="0" containsString="0" containsNumber="1" containsInteger="1" minValue="0" maxValue="1"/>
    </cacheField>
    <cacheField name="late_return" numFmtId="0">
      <sharedItems containsSemiMixedTypes="0" containsString="0" containsNumber="1" containsInteger="1" minValue="0" maxValue="1"/>
    </cacheField>
    <cacheField name="over_return" numFmtId="0">
      <sharedItems containsSemiMixedTypes="0" containsString="0" containsNumber="1" containsInteger="1" minValue="0" maxValue="1"/>
    </cacheField>
    <cacheField name="recon_status" numFmtId="0">
      <sharedItems count="2">
        <s v="PASS"/>
        <s v="FAIL"/>
      </sharedItems>
    </cacheField>
    <cacheField name="billed_revenue" numFmtId="0">
      <sharedItems containsSemiMixedTypes="0" containsString="0" containsNumber="1" minValue="-3771.76" maxValue="255022.61310000002"/>
    </cacheField>
    <cacheField name="expected_revenue" numFmtId="0">
      <sharedItems containsSemiMixedTypes="0" containsString="0" containsNumber="1" minValue="54.580199999999998" maxValue="246363.60000000003"/>
    </cacheField>
    <cacheField name="revenue_variance" numFmtId="0">
      <sharedItems containsSemiMixedTypes="0" containsString="0" containsNumber="1" minValue="-6159.9664999999804" maxValue="12319.93299999999"/>
    </cacheField>
    <cacheField name="severity_score" numFmtId="0">
      <sharedItems containsSemiMixedTypes="0" containsString="0" containsNumber="1" containsInteger="1" minValue="0" maxValue="16"/>
    </cacheField>
    <cacheField name="risk_level" numFmtId="0">
      <sharedItems count="3">
        <s v="LOW"/>
        <s v="MEDIUM"/>
        <s v="HIGH"/>
      </sharedItems>
    </cacheField>
    <cacheField name="month" numFmtId="0">
      <sharedItems count="24">
        <s v="2023-11"/>
        <s v="2024-12"/>
        <s v="2024-09"/>
        <s v="2024-02"/>
        <s v="2024-11"/>
        <s v="2024-10"/>
        <s v="2024-03"/>
        <s v="2023-05"/>
        <s v="2023-01"/>
        <s v="2024-04"/>
        <s v="2023-07"/>
        <s v="2023-02"/>
        <s v="2023-08"/>
        <s v="2024-05"/>
        <s v="2023-06"/>
        <s v="2024-01"/>
        <s v="2024-06"/>
        <s v="2023-03"/>
        <s v="2023-09"/>
        <s v="2023-10"/>
        <s v="2023-12"/>
        <s v="2024-07"/>
        <s v="2024-08"/>
        <s v="2023-04"/>
      </sharedItems>
    </cacheField>
  </cacheFields>
  <extLst>
    <ext xmlns:x14="http://schemas.microsoft.com/office/spreadsheetml/2009/9/main" uri="{725AE2AE-9491-48be-B2B4-4EB974FC3084}">
      <x14:pivotCacheDefinition pivotCacheId="5658046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s v="ORD00001"/>
    <d v="2023-11-09T00:00:00"/>
    <x v="0"/>
    <x v="0"/>
    <n v="26"/>
    <s v="INV00001"/>
    <n v="26"/>
    <n v="446.4905"/>
    <m/>
    <m/>
    <m/>
    <m/>
    <m/>
    <n v="446.4905"/>
    <d v="2023-08-23T00:00:00"/>
    <n v="0"/>
    <n v="0"/>
    <n v="0"/>
    <n v="0"/>
    <n v="0"/>
    <n v="0"/>
    <n v="0"/>
    <x v="0"/>
    <n v="11608.753000000001"/>
    <n v="11608.753000000001"/>
    <n v="0"/>
    <n v="0"/>
    <x v="0"/>
    <x v="0"/>
  </r>
  <r>
    <s v="ORD00002"/>
    <d v="2024-12-11T00:00:00"/>
    <x v="1"/>
    <x v="1"/>
    <n v="139"/>
    <s v="INV00002"/>
    <n v="139"/>
    <n v="444.22"/>
    <m/>
    <m/>
    <m/>
    <m/>
    <m/>
    <n v="444.22"/>
    <d v="2023-05-28T00:00:00"/>
    <n v="0"/>
    <n v="0"/>
    <n v="0"/>
    <n v="0"/>
    <n v="0"/>
    <n v="0"/>
    <n v="0"/>
    <x v="0"/>
    <n v="61746.58"/>
    <n v="61746.58"/>
    <n v="0"/>
    <n v="0"/>
    <x v="0"/>
    <x v="1"/>
  </r>
  <r>
    <s v="ORD00003"/>
    <d v="2024-09-07T00:00:00"/>
    <x v="2"/>
    <x v="2"/>
    <n v="9"/>
    <s v="INV00003"/>
    <n v="9"/>
    <n v="189.1498"/>
    <m/>
    <m/>
    <m/>
    <m/>
    <m/>
    <n v="189.1498"/>
    <d v="2023-07-01T00:00:00"/>
    <n v="0"/>
    <n v="0"/>
    <n v="0"/>
    <n v="0"/>
    <n v="0"/>
    <n v="0"/>
    <n v="0"/>
    <x v="0"/>
    <n v="1702.3481999999999"/>
    <n v="1702.3481999999999"/>
    <n v="0"/>
    <n v="0"/>
    <x v="0"/>
    <x v="2"/>
  </r>
  <r>
    <s v="ORD00004"/>
    <d v="2024-02-12T00:00:00"/>
    <x v="3"/>
    <x v="3"/>
    <n v="185"/>
    <s v="INV00004"/>
    <n v="185"/>
    <n v="849.43949999999995"/>
    <n v="15"/>
    <d v="2024-05-16T00:00:00"/>
    <m/>
    <m/>
    <m/>
    <n v="849.43949999999995"/>
    <d v="2023-07-07T00:00:00"/>
    <n v="0"/>
    <n v="0"/>
    <n v="0"/>
    <n v="0"/>
    <n v="0"/>
    <n v="1"/>
    <n v="0"/>
    <x v="1"/>
    <n v="157146.3075"/>
    <n v="157146.3075"/>
    <n v="0"/>
    <n v="2"/>
    <x v="1"/>
    <x v="3"/>
  </r>
  <r>
    <s v="ORD00005"/>
    <d v="2024-11-02T00:00:00"/>
    <x v="4"/>
    <x v="4"/>
    <n v="192"/>
    <s v="INV00005"/>
    <n v="192"/>
    <n v="353.52719999999999"/>
    <n v="18"/>
    <d v="2024-06-07T00:00:00"/>
    <m/>
    <m/>
    <m/>
    <n v="353.52719999999999"/>
    <d v="2023-09-13T00:00:00"/>
    <n v="0"/>
    <n v="0"/>
    <n v="0"/>
    <n v="0"/>
    <n v="0"/>
    <n v="0"/>
    <n v="0"/>
    <x v="0"/>
    <n v="67877.222399999999"/>
    <n v="67877.222399999999"/>
    <n v="0"/>
    <n v="0"/>
    <x v="0"/>
    <x v="4"/>
  </r>
  <r>
    <s v="ORD00006"/>
    <d v="2024-10-05T00:00:00"/>
    <x v="5"/>
    <x v="5"/>
    <n v="38"/>
    <s v="INV00006"/>
    <n v="38"/>
    <n v="1058.3499999999999"/>
    <m/>
    <m/>
    <m/>
    <m/>
    <m/>
    <n v="1058.3499999999999"/>
    <d v="2023-07-29T00:00:00"/>
    <n v="0"/>
    <n v="0"/>
    <n v="0"/>
    <n v="0"/>
    <n v="0"/>
    <n v="0"/>
    <n v="0"/>
    <x v="0"/>
    <n v="40217.299999999996"/>
    <n v="40217.299999999996"/>
    <n v="0"/>
    <n v="0"/>
    <x v="0"/>
    <x v="5"/>
  </r>
  <r>
    <s v="ORD00007"/>
    <d v="2024-11-16T00:00:00"/>
    <x v="6"/>
    <x v="6"/>
    <n v="144"/>
    <s v="INV00007"/>
    <n v="144"/>
    <n v="700.93560000000002"/>
    <n v="4"/>
    <d v="2024-01-02T00:00:00"/>
    <m/>
    <m/>
    <m/>
    <n v="700.93560000000002"/>
    <d v="2023-05-31T00:00:00"/>
    <n v="0"/>
    <n v="0"/>
    <n v="0"/>
    <n v="0"/>
    <n v="0"/>
    <n v="0"/>
    <n v="0"/>
    <x v="0"/>
    <n v="100934.7264"/>
    <n v="100934.7264"/>
    <n v="0"/>
    <n v="0"/>
    <x v="0"/>
    <x v="4"/>
  </r>
  <r>
    <s v="ORD00008"/>
    <d v="2024-03-15T00:00:00"/>
    <x v="7"/>
    <x v="7"/>
    <n v="172"/>
    <s v="INV00008"/>
    <n v="169"/>
    <n v="510.91840000000002"/>
    <m/>
    <m/>
    <m/>
    <m/>
    <m/>
    <n v="510.91840000000002"/>
    <d v="2023-02-24T00:00:00"/>
    <n v="0"/>
    <n v="1"/>
    <n v="0"/>
    <n v="0"/>
    <n v="0"/>
    <n v="0"/>
    <n v="0"/>
    <x v="1"/>
    <n v="86345.209600000002"/>
    <n v="87877.964800000002"/>
    <n v="-1532.7551999999996"/>
    <n v="8"/>
    <x v="2"/>
    <x v="6"/>
  </r>
  <r>
    <s v="ORD00009"/>
    <d v="2023-05-01T00:00:00"/>
    <x v="8"/>
    <x v="8"/>
    <n v="15"/>
    <s v="INV00009"/>
    <n v="15"/>
    <n v="365.95330000000001"/>
    <m/>
    <m/>
    <m/>
    <m/>
    <m/>
    <n v="365.95330000000001"/>
    <d v="2022-09-20T00:00:00"/>
    <n v="0"/>
    <n v="0"/>
    <n v="0"/>
    <n v="0"/>
    <n v="0"/>
    <n v="0"/>
    <n v="0"/>
    <x v="0"/>
    <n v="5489.2995000000001"/>
    <n v="5489.2995000000001"/>
    <n v="0"/>
    <n v="0"/>
    <x v="0"/>
    <x v="7"/>
  </r>
  <r>
    <s v="ORD00010"/>
    <d v="2023-01-19T00:00:00"/>
    <x v="9"/>
    <x v="9"/>
    <n v="160"/>
    <s v="INV00010"/>
    <n v="160"/>
    <n v="426.37880000000001"/>
    <m/>
    <m/>
    <m/>
    <m/>
    <m/>
    <n v="426.37880000000001"/>
    <d v="2022-12-28T00:00:00"/>
    <n v="0"/>
    <n v="0"/>
    <n v="0"/>
    <n v="0"/>
    <n v="0"/>
    <n v="0"/>
    <n v="0"/>
    <x v="0"/>
    <n v="68220.608000000007"/>
    <n v="68220.608000000007"/>
    <n v="0"/>
    <n v="0"/>
    <x v="0"/>
    <x v="8"/>
  </r>
  <r>
    <s v="ORD00011"/>
    <d v="2024-12-21T00:00:00"/>
    <x v="10"/>
    <x v="10"/>
    <n v="112"/>
    <s v="INV00011"/>
    <n v="112"/>
    <n v="461.69279999999998"/>
    <m/>
    <m/>
    <m/>
    <m/>
    <m/>
    <n v="461.69279999999998"/>
    <d v="2023-04-15T00:00:00"/>
    <n v="0"/>
    <n v="0"/>
    <n v="0"/>
    <n v="0"/>
    <n v="0"/>
    <n v="0"/>
    <n v="0"/>
    <x v="0"/>
    <n v="51709.5936"/>
    <n v="51709.5936"/>
    <n v="0"/>
    <n v="0"/>
    <x v="0"/>
    <x v="1"/>
  </r>
  <r>
    <s v="ORD00012"/>
    <d v="2024-04-12T00:00:00"/>
    <x v="11"/>
    <x v="11"/>
    <n v="43"/>
    <s v="INV00012"/>
    <n v="43"/>
    <n v="687.65840000000003"/>
    <n v="13"/>
    <d v="2024-12-13T00:00:00"/>
    <m/>
    <m/>
    <m/>
    <n v="687.65840000000003"/>
    <d v="2023-08-01T00:00:00"/>
    <n v="0"/>
    <n v="0"/>
    <n v="0"/>
    <n v="0"/>
    <n v="0"/>
    <n v="1"/>
    <n v="0"/>
    <x v="1"/>
    <n v="29569.3112"/>
    <n v="29569.3112"/>
    <n v="0"/>
    <n v="2"/>
    <x v="1"/>
    <x v="9"/>
  </r>
  <r>
    <s v="ORD00013"/>
    <d v="2023-07-09T00:00:00"/>
    <x v="12"/>
    <x v="12"/>
    <n v="178"/>
    <s v="INV00013"/>
    <n v="178"/>
    <n v="725.50320000000011"/>
    <m/>
    <m/>
    <m/>
    <m/>
    <m/>
    <n v="725.50320000000011"/>
    <d v="2022-10-24T00:00:00"/>
    <n v="0"/>
    <n v="0"/>
    <n v="0"/>
    <n v="0"/>
    <n v="0"/>
    <n v="0"/>
    <n v="0"/>
    <x v="0"/>
    <n v="129139.56960000002"/>
    <n v="129139.56960000002"/>
    <n v="0"/>
    <n v="0"/>
    <x v="0"/>
    <x v="10"/>
  </r>
  <r>
    <s v="ORD00014"/>
    <d v="2023-02-14T00:00:00"/>
    <x v="13"/>
    <x v="13"/>
    <n v="79"/>
    <s v="INV00014"/>
    <n v="79"/>
    <n v="248.24449999999999"/>
    <m/>
    <m/>
    <m/>
    <m/>
    <m/>
    <n v="248.24449999999999"/>
    <d v="2023-01-07T00:00:00"/>
    <n v="0"/>
    <n v="0"/>
    <n v="0"/>
    <n v="0"/>
    <n v="0"/>
    <n v="0"/>
    <n v="0"/>
    <x v="0"/>
    <n v="19611.315500000001"/>
    <n v="19611.315500000001"/>
    <n v="0"/>
    <n v="0"/>
    <x v="0"/>
    <x v="11"/>
  </r>
  <r>
    <s v="ORD00015"/>
    <d v="2024-09-28T00:00:00"/>
    <x v="14"/>
    <x v="14"/>
    <n v="143"/>
    <s v="INV00015"/>
    <n v="143"/>
    <n v="265.44960000000003"/>
    <m/>
    <m/>
    <m/>
    <m/>
    <m/>
    <n v="265.44960000000003"/>
    <d v="2023-03-14T00:00:00"/>
    <n v="0"/>
    <n v="0"/>
    <n v="0"/>
    <n v="0"/>
    <n v="0"/>
    <n v="0"/>
    <n v="0"/>
    <x v="0"/>
    <n v="37959.292800000003"/>
    <n v="37959.292800000003"/>
    <n v="0"/>
    <n v="0"/>
    <x v="0"/>
    <x v="2"/>
  </r>
  <r>
    <s v="ORD00016"/>
    <d v="2023-08-20T00:00:00"/>
    <x v="15"/>
    <x v="15"/>
    <n v="83"/>
    <s v="INV00016"/>
    <n v="83"/>
    <n v="1039.0536"/>
    <m/>
    <m/>
    <m/>
    <m/>
    <m/>
    <n v="1039.0536"/>
    <d v="2023-05-08T00:00:00"/>
    <n v="0"/>
    <n v="0"/>
    <n v="0"/>
    <n v="0"/>
    <n v="0"/>
    <n v="0"/>
    <n v="0"/>
    <x v="0"/>
    <n v="86241.448799999998"/>
    <n v="86241.448799999998"/>
    <n v="0"/>
    <n v="0"/>
    <x v="0"/>
    <x v="12"/>
  </r>
  <r>
    <s v="ORD00017"/>
    <d v="2024-03-06T00:00:00"/>
    <x v="16"/>
    <x v="16"/>
    <n v="27"/>
    <s v="INV00017"/>
    <n v="27"/>
    <n v="78.696099999999987"/>
    <m/>
    <m/>
    <m/>
    <m/>
    <m/>
    <n v="78.696099999999987"/>
    <d v="2023-06-06T00:00:00"/>
    <n v="0"/>
    <n v="0"/>
    <n v="0"/>
    <n v="0"/>
    <n v="0"/>
    <n v="0"/>
    <n v="0"/>
    <x v="0"/>
    <n v="2124.7946999999995"/>
    <n v="2124.7946999999995"/>
    <n v="0"/>
    <n v="0"/>
    <x v="0"/>
    <x v="6"/>
  </r>
  <r>
    <s v="ORD00018"/>
    <d v="2024-05-07T00:00:00"/>
    <x v="17"/>
    <x v="17"/>
    <n v="44"/>
    <s v="INV00018"/>
    <n v="44"/>
    <n v="761.50400000000002"/>
    <m/>
    <m/>
    <m/>
    <m/>
    <m/>
    <n v="761.50400000000002"/>
    <d v="2023-08-23T00:00:00"/>
    <n v="0"/>
    <n v="0"/>
    <n v="0"/>
    <n v="0"/>
    <n v="0"/>
    <n v="0"/>
    <n v="0"/>
    <x v="0"/>
    <n v="33506.175999999999"/>
    <n v="33506.175999999999"/>
    <n v="0"/>
    <n v="0"/>
    <x v="0"/>
    <x v="13"/>
  </r>
  <r>
    <s v="ORD00019"/>
    <d v="2023-06-01T00:00:00"/>
    <x v="18"/>
    <x v="18"/>
    <n v="62"/>
    <s v="INV00019"/>
    <n v="62"/>
    <n v="361.57799999999997"/>
    <m/>
    <m/>
    <m/>
    <m/>
    <m/>
    <n v="361.57799999999997"/>
    <d v="2023-01-06T00:00:00"/>
    <n v="0"/>
    <n v="0"/>
    <n v="0"/>
    <n v="0"/>
    <n v="0"/>
    <n v="0"/>
    <n v="0"/>
    <x v="0"/>
    <n v="22417.835999999999"/>
    <n v="22417.835999999999"/>
    <n v="0"/>
    <n v="0"/>
    <x v="0"/>
    <x v="14"/>
  </r>
  <r>
    <s v="ORD00020"/>
    <d v="2024-01-31T00:00:00"/>
    <x v="19"/>
    <x v="3"/>
    <n v="147"/>
    <s v="INV00020"/>
    <n v="147"/>
    <n v="849.43949999999995"/>
    <m/>
    <m/>
    <m/>
    <m/>
    <m/>
    <n v="849.43949999999995"/>
    <d v="2023-07-07T00:00:00"/>
    <n v="0"/>
    <n v="0"/>
    <n v="0"/>
    <n v="0"/>
    <n v="0"/>
    <n v="0"/>
    <n v="0"/>
    <x v="0"/>
    <n v="124867.60649999999"/>
    <n v="124867.60649999999"/>
    <n v="0"/>
    <n v="0"/>
    <x v="0"/>
    <x v="15"/>
  </r>
  <r>
    <s v="ORD00021"/>
    <d v="2024-04-10T00:00:00"/>
    <x v="9"/>
    <x v="19"/>
    <n v="3"/>
    <s v="INV00021"/>
    <n v="3"/>
    <n v="833.41650000000004"/>
    <m/>
    <m/>
    <m/>
    <m/>
    <m/>
    <n v="833.41650000000004"/>
    <d v="2023-09-25T00:00:00"/>
    <n v="0"/>
    <n v="0"/>
    <n v="0"/>
    <n v="0"/>
    <n v="0"/>
    <n v="0"/>
    <n v="0"/>
    <x v="0"/>
    <n v="2500.2494999999999"/>
    <n v="2500.2494999999999"/>
    <n v="0"/>
    <n v="0"/>
    <x v="0"/>
    <x v="9"/>
  </r>
  <r>
    <s v="ORD00022"/>
    <d v="2024-06-26T00:00:00"/>
    <x v="20"/>
    <x v="20"/>
    <n v="167"/>
    <s v="INV00022"/>
    <n v="167"/>
    <n v="1046.6099999999999"/>
    <m/>
    <m/>
    <m/>
    <m/>
    <m/>
    <n v="1046.6099999999999"/>
    <d v="2023-01-14T00:00:00"/>
    <n v="0"/>
    <n v="0"/>
    <n v="0"/>
    <n v="0"/>
    <n v="0"/>
    <n v="0"/>
    <n v="0"/>
    <x v="0"/>
    <n v="174783.87"/>
    <n v="174783.87"/>
    <n v="0"/>
    <n v="0"/>
    <x v="0"/>
    <x v="16"/>
  </r>
  <r>
    <s v="ORD00023"/>
    <d v="2024-05-16T00:00:00"/>
    <x v="21"/>
    <x v="8"/>
    <n v="52"/>
    <s v="INV00023"/>
    <n v="52"/>
    <n v="376.82319999999999"/>
    <n v="13"/>
    <d v="2023-10-01T00:00:00"/>
    <m/>
    <m/>
    <m/>
    <n v="376.82319999999999"/>
    <d v="2023-09-02T00:00:00"/>
    <n v="0"/>
    <n v="0"/>
    <n v="0"/>
    <n v="0"/>
    <n v="0"/>
    <n v="0"/>
    <n v="0"/>
    <x v="0"/>
    <n v="19594.806399999998"/>
    <n v="19594.806399999998"/>
    <n v="0"/>
    <n v="0"/>
    <x v="0"/>
    <x v="13"/>
  </r>
  <r>
    <s v="ORD00024"/>
    <d v="2024-04-17T00:00:00"/>
    <x v="22"/>
    <x v="21"/>
    <n v="83"/>
    <s v="INV00024"/>
    <n v="83"/>
    <n v="561.4076"/>
    <m/>
    <m/>
    <m/>
    <m/>
    <m/>
    <n v="561.4076"/>
    <d v="2023-03-21T00:00:00"/>
    <n v="0"/>
    <n v="0"/>
    <n v="0"/>
    <n v="0"/>
    <n v="0"/>
    <n v="0"/>
    <n v="0"/>
    <x v="0"/>
    <n v="46596.830800000003"/>
    <n v="46596.830800000003"/>
    <n v="0"/>
    <n v="0"/>
    <x v="0"/>
    <x v="9"/>
  </r>
  <r>
    <s v="ORD00025"/>
    <d v="2023-08-13T00:00:00"/>
    <x v="23"/>
    <x v="22"/>
    <n v="143"/>
    <s v="INV00025"/>
    <n v="143"/>
    <n v="626.68790000000001"/>
    <m/>
    <m/>
    <m/>
    <m/>
    <m/>
    <n v="626.68790000000001"/>
    <d v="2023-06-26T00:00:00"/>
    <n v="0"/>
    <n v="0"/>
    <n v="0"/>
    <n v="0"/>
    <n v="0"/>
    <n v="0"/>
    <n v="0"/>
    <x v="0"/>
    <n v="89616.369699999996"/>
    <n v="89616.369699999996"/>
    <n v="0"/>
    <n v="0"/>
    <x v="0"/>
    <x v="12"/>
  </r>
  <r>
    <s v="ORD00026"/>
    <d v="2024-02-20T00:00:00"/>
    <x v="24"/>
    <x v="23"/>
    <n v="115"/>
    <s v="INV00026"/>
    <n v="115"/>
    <n v="77.398200000000003"/>
    <m/>
    <m/>
    <m/>
    <m/>
    <m/>
    <n v="77.398200000000003"/>
    <d v="2023-04-16T00:00:00"/>
    <n v="0"/>
    <n v="0"/>
    <n v="0"/>
    <n v="0"/>
    <n v="0"/>
    <n v="0"/>
    <n v="0"/>
    <x v="0"/>
    <n v="8900.7929999999997"/>
    <n v="8900.7929999999997"/>
    <n v="0"/>
    <n v="0"/>
    <x v="0"/>
    <x v="3"/>
  </r>
  <r>
    <s v="ORD00027"/>
    <d v="2023-03-13T00:00:00"/>
    <x v="25"/>
    <x v="24"/>
    <n v="136"/>
    <s v="INV00027"/>
    <n v="136"/>
    <n v="421.92750000000001"/>
    <m/>
    <m/>
    <m/>
    <m/>
    <m/>
    <n v="421.92750000000001"/>
    <d v="2023-02-12T00:00:00"/>
    <n v="0"/>
    <n v="0"/>
    <n v="0"/>
    <n v="0"/>
    <n v="0"/>
    <n v="0"/>
    <n v="0"/>
    <x v="0"/>
    <n v="57382.14"/>
    <n v="57382.14"/>
    <n v="0"/>
    <n v="0"/>
    <x v="0"/>
    <x v="17"/>
  </r>
  <r>
    <s v="ORD00028"/>
    <d v="2024-10-11T00:00:00"/>
    <x v="26"/>
    <x v="25"/>
    <n v="80"/>
    <s v="INV00028"/>
    <n v="80"/>
    <n v="1218.568"/>
    <m/>
    <m/>
    <m/>
    <m/>
    <m/>
    <n v="1218.568"/>
    <d v="2023-05-15T00:00:00"/>
    <n v="0"/>
    <n v="0"/>
    <n v="0"/>
    <n v="0"/>
    <n v="0"/>
    <n v="0"/>
    <n v="0"/>
    <x v="0"/>
    <n v="97485.440000000002"/>
    <n v="97485.440000000002"/>
    <n v="0"/>
    <n v="0"/>
    <x v="0"/>
    <x v="5"/>
  </r>
  <r>
    <s v="ORD00029"/>
    <d v="2024-10-29T00:00:00"/>
    <x v="27"/>
    <x v="26"/>
    <n v="63"/>
    <s v="INV00029"/>
    <n v="63"/>
    <n v="129.17519999999999"/>
    <m/>
    <m/>
    <m/>
    <m/>
    <m/>
    <n v="129.17519999999999"/>
    <d v="2023-09-15T00:00:00"/>
    <n v="0"/>
    <n v="0"/>
    <n v="0"/>
    <n v="0"/>
    <n v="0"/>
    <n v="0"/>
    <n v="0"/>
    <x v="0"/>
    <n v="8138.0375999999997"/>
    <n v="8138.0375999999997"/>
    <n v="0"/>
    <n v="0"/>
    <x v="0"/>
    <x v="5"/>
  </r>
  <r>
    <s v="ORD00030"/>
    <d v="2023-03-24T00:00:00"/>
    <x v="28"/>
    <x v="27"/>
    <n v="14"/>
    <s v="INV00030"/>
    <n v="14"/>
    <n v="723.1"/>
    <m/>
    <m/>
    <m/>
    <m/>
    <m/>
    <n v="723.1"/>
    <d v="2023-02-13T00:00:00"/>
    <n v="0"/>
    <n v="0"/>
    <n v="0"/>
    <n v="0"/>
    <n v="0"/>
    <n v="0"/>
    <n v="0"/>
    <x v="0"/>
    <n v="10123.4"/>
    <n v="10123.4"/>
    <n v="0"/>
    <n v="0"/>
    <x v="0"/>
    <x v="17"/>
  </r>
  <r>
    <s v="ORD00031"/>
    <d v="2023-09-11T00:00:00"/>
    <x v="29"/>
    <x v="28"/>
    <n v="3"/>
    <s v="INV00031"/>
    <n v="3"/>
    <n v="957.65700000000015"/>
    <n v="8"/>
    <d v="2025-02-25T00:00:00"/>
    <m/>
    <m/>
    <m/>
    <n v="957.65700000000015"/>
    <d v="2023-05-11T00:00:00"/>
    <n v="0"/>
    <n v="0"/>
    <n v="0"/>
    <n v="0"/>
    <n v="0"/>
    <n v="1"/>
    <n v="1"/>
    <x v="1"/>
    <n v="2872.9710000000005"/>
    <n v="2872.9710000000005"/>
    <n v="0"/>
    <n v="5"/>
    <x v="1"/>
    <x v="18"/>
  </r>
  <r>
    <s v="ORD00032"/>
    <d v="2023-05-01T00:00:00"/>
    <x v="30"/>
    <x v="29"/>
    <n v="54"/>
    <s v="INV00032"/>
    <n v="54"/>
    <n v="1040.9124222603796"/>
    <m/>
    <m/>
    <m/>
    <m/>
    <m/>
    <n v="1040.6099999999999"/>
    <d v="2022-05-01T00:00:00"/>
    <n v="0"/>
    <n v="0"/>
    <n v="1"/>
    <n v="0"/>
    <n v="0"/>
    <n v="0"/>
    <n v="0"/>
    <x v="1"/>
    <n v="56209.270802060499"/>
    <n v="56192.939999999995"/>
    <n v="16.330802060503629"/>
    <n v="4"/>
    <x v="1"/>
    <x v="7"/>
  </r>
  <r>
    <s v="ORD00033"/>
    <d v="2023-10-25T00:00:00"/>
    <x v="31"/>
    <x v="30"/>
    <n v="57"/>
    <s v="INV00033"/>
    <n v="57"/>
    <n v="360.68479999999994"/>
    <m/>
    <m/>
    <m/>
    <m/>
    <m/>
    <n v="360.68479999999994"/>
    <d v="2023-05-26T00:00:00"/>
    <n v="0"/>
    <n v="0"/>
    <n v="0"/>
    <n v="0"/>
    <n v="0"/>
    <n v="0"/>
    <n v="0"/>
    <x v="0"/>
    <n v="20559.033599999995"/>
    <n v="20559.033599999995"/>
    <n v="0"/>
    <n v="0"/>
    <x v="0"/>
    <x v="19"/>
  </r>
  <r>
    <s v="ORD00034"/>
    <d v="2023-12-27T00:00:00"/>
    <x v="32"/>
    <x v="31"/>
    <n v="35"/>
    <s v="INV00034"/>
    <n v="35"/>
    <n v="1147.3289"/>
    <m/>
    <m/>
    <m/>
    <m/>
    <m/>
    <n v="1147.3289"/>
    <d v="2023-01-19T00:00:00"/>
    <n v="0"/>
    <n v="0"/>
    <n v="0"/>
    <n v="0"/>
    <n v="0"/>
    <n v="0"/>
    <n v="0"/>
    <x v="0"/>
    <n v="40156.511500000001"/>
    <n v="40156.511500000001"/>
    <n v="0"/>
    <n v="0"/>
    <x v="0"/>
    <x v="20"/>
  </r>
  <r>
    <s v="ORD00035"/>
    <d v="2023-10-17T00:00:00"/>
    <x v="33"/>
    <x v="32"/>
    <n v="7"/>
    <s v="INV00035"/>
    <n v="7"/>
    <n v="973.43799999999999"/>
    <m/>
    <m/>
    <m/>
    <m/>
    <m/>
    <n v="973.43799999999999"/>
    <d v="2023-03-26T00:00:00"/>
    <n v="0"/>
    <n v="0"/>
    <n v="0"/>
    <n v="0"/>
    <n v="0"/>
    <n v="0"/>
    <n v="0"/>
    <x v="0"/>
    <n v="6814.0659999999998"/>
    <n v="6814.0659999999998"/>
    <n v="0"/>
    <n v="0"/>
    <x v="0"/>
    <x v="19"/>
  </r>
  <r>
    <s v="ORD00036"/>
    <d v="2023-07-31T00:00:00"/>
    <x v="34"/>
    <x v="33"/>
    <n v="53"/>
    <s v="INV00036"/>
    <n v="53"/>
    <n v="54.580199999999998"/>
    <m/>
    <m/>
    <m/>
    <m/>
    <m/>
    <n v="54.580199999999998"/>
    <d v="2023-02-27T00:00:00"/>
    <n v="0"/>
    <n v="0"/>
    <n v="0"/>
    <n v="0"/>
    <n v="0"/>
    <n v="0"/>
    <n v="0"/>
    <x v="0"/>
    <n v="2892.7505999999998"/>
    <n v="2892.7505999999998"/>
    <n v="0"/>
    <n v="0"/>
    <x v="0"/>
    <x v="10"/>
  </r>
  <r>
    <s v="ORD00037"/>
    <d v="2024-02-04T00:00:00"/>
    <x v="35"/>
    <x v="34"/>
    <n v="43"/>
    <s v="INV00037"/>
    <n v="43"/>
    <n v="397.19560000000001"/>
    <m/>
    <m/>
    <m/>
    <m/>
    <m/>
    <n v="397.19560000000001"/>
    <d v="2023-01-06T00:00:00"/>
    <n v="0"/>
    <n v="0"/>
    <n v="0"/>
    <n v="0"/>
    <n v="0"/>
    <n v="0"/>
    <n v="0"/>
    <x v="0"/>
    <n v="17079.410800000001"/>
    <n v="17079.410800000001"/>
    <n v="0"/>
    <n v="0"/>
    <x v="0"/>
    <x v="3"/>
  </r>
  <r>
    <s v="ORD00038"/>
    <d v="2024-07-02T00:00:00"/>
    <x v="36"/>
    <x v="35"/>
    <n v="44"/>
    <s v="INV00038"/>
    <n v="44"/>
    <n v="1120.6556"/>
    <m/>
    <m/>
    <m/>
    <m/>
    <m/>
    <n v="1120.6556"/>
    <d v="2023-04-10T00:00:00"/>
    <n v="0"/>
    <n v="0"/>
    <n v="0"/>
    <n v="0"/>
    <n v="0"/>
    <n v="0"/>
    <n v="0"/>
    <x v="0"/>
    <n v="49308.846400000002"/>
    <n v="49308.846400000002"/>
    <n v="0"/>
    <n v="0"/>
    <x v="0"/>
    <x v="21"/>
  </r>
  <r>
    <s v="ORD00039"/>
    <d v="2023-02-24T00:00:00"/>
    <x v="37"/>
    <x v="36"/>
    <n v="87"/>
    <s v="INV00039"/>
    <n v="87"/>
    <n v="399.24229999999994"/>
    <n v="6"/>
    <d v="2024-01-01T00:00:00"/>
    <m/>
    <m/>
    <m/>
    <n v="399.24229999999994"/>
    <d v="2022-11-09T00:00:00"/>
    <n v="0"/>
    <n v="0"/>
    <n v="0"/>
    <n v="0"/>
    <n v="0"/>
    <n v="1"/>
    <n v="0"/>
    <x v="1"/>
    <n v="34734.080099999992"/>
    <n v="34734.080099999992"/>
    <n v="0"/>
    <n v="2"/>
    <x v="1"/>
    <x v="11"/>
  </r>
  <r>
    <s v="ORD00040"/>
    <d v="2024-11-23T00:00:00"/>
    <x v="38"/>
    <x v="37"/>
    <n v="196"/>
    <s v="INV00040"/>
    <n v="196"/>
    <n v="637.18399999999997"/>
    <m/>
    <m/>
    <m/>
    <m/>
    <m/>
    <n v="637.18399999999997"/>
    <d v="2023-09-06T00:00:00"/>
    <n v="0"/>
    <n v="0"/>
    <n v="0"/>
    <n v="0"/>
    <n v="0"/>
    <n v="0"/>
    <n v="0"/>
    <x v="0"/>
    <n v="124888.064"/>
    <n v="124888.064"/>
    <n v="0"/>
    <n v="0"/>
    <x v="0"/>
    <x v="4"/>
  </r>
  <r>
    <s v="ORD00041"/>
    <d v="2024-07-16T00:00:00"/>
    <x v="39"/>
    <x v="38"/>
    <n v="189"/>
    <s v="INV00041"/>
    <n v="189"/>
    <n v="454.98379999999997"/>
    <m/>
    <m/>
    <m/>
    <m/>
    <m/>
    <n v="454.98379999999997"/>
    <d v="2023-03-26T00:00:00"/>
    <n v="0"/>
    <n v="0"/>
    <n v="0"/>
    <n v="0"/>
    <n v="0"/>
    <n v="0"/>
    <n v="0"/>
    <x v="0"/>
    <n v="85991.93819999999"/>
    <n v="85991.93819999999"/>
    <n v="0"/>
    <n v="0"/>
    <x v="0"/>
    <x v="21"/>
  </r>
  <r>
    <s v="ORD00042"/>
    <d v="2024-05-04T00:00:00"/>
    <x v="40"/>
    <x v="39"/>
    <n v="128"/>
    <s v="INV00042"/>
    <n v="128"/>
    <n v="862.73640000000012"/>
    <m/>
    <m/>
    <m/>
    <m/>
    <m/>
    <n v="862.73640000000012"/>
    <d v="2023-10-24T00:00:00"/>
    <n v="0"/>
    <n v="0"/>
    <n v="0"/>
    <n v="0"/>
    <n v="0"/>
    <n v="0"/>
    <n v="0"/>
    <x v="0"/>
    <n v="110430.25920000001"/>
    <n v="110430.25920000001"/>
    <n v="0"/>
    <n v="0"/>
    <x v="0"/>
    <x v="13"/>
  </r>
  <r>
    <s v="ORD00043"/>
    <d v="2024-12-31T00:00:00"/>
    <x v="41"/>
    <x v="40"/>
    <n v="4"/>
    <s v="INV00043"/>
    <n v="4"/>
    <n v="182.4273"/>
    <m/>
    <m/>
    <m/>
    <m/>
    <m/>
    <n v="182.4273"/>
    <d v="2023-03-04T00:00:00"/>
    <n v="0"/>
    <n v="0"/>
    <n v="0"/>
    <n v="0"/>
    <n v="0"/>
    <n v="0"/>
    <n v="0"/>
    <x v="0"/>
    <n v="729.70920000000001"/>
    <n v="729.70920000000001"/>
    <n v="0"/>
    <n v="0"/>
    <x v="0"/>
    <x v="1"/>
  </r>
  <r>
    <s v="ORD00044"/>
    <d v="2024-10-15T00:00:00"/>
    <x v="42"/>
    <x v="26"/>
    <n v="114"/>
    <s v="INV00044"/>
    <n v="114"/>
    <n v="129.17519999999999"/>
    <m/>
    <m/>
    <m/>
    <m/>
    <m/>
    <n v="129.17519999999999"/>
    <d v="2023-09-15T00:00:00"/>
    <n v="0"/>
    <n v="0"/>
    <n v="0"/>
    <n v="0"/>
    <n v="0"/>
    <n v="0"/>
    <n v="0"/>
    <x v="0"/>
    <n v="14725.9728"/>
    <n v="14725.9728"/>
    <n v="0"/>
    <n v="0"/>
    <x v="0"/>
    <x v="5"/>
  </r>
  <r>
    <s v="ORD00045"/>
    <d v="2023-07-10T00:00:00"/>
    <x v="43"/>
    <x v="41"/>
    <n v="162"/>
    <s v="INV00045"/>
    <n v="162"/>
    <n v="1065.9095"/>
    <m/>
    <m/>
    <m/>
    <m/>
    <m/>
    <n v="1065.9095"/>
    <d v="2023-02-06T00:00:00"/>
    <n v="0"/>
    <n v="0"/>
    <n v="0"/>
    <n v="0"/>
    <n v="0"/>
    <n v="0"/>
    <n v="0"/>
    <x v="0"/>
    <n v="172677.33900000001"/>
    <n v="172677.33900000001"/>
    <n v="0"/>
    <n v="0"/>
    <x v="0"/>
    <x v="10"/>
  </r>
  <r>
    <s v="ORD00046"/>
    <d v="2023-10-19T00:00:00"/>
    <x v="4"/>
    <x v="42"/>
    <n v="42"/>
    <s v="INV00046"/>
    <n v="42"/>
    <n v="946.74860000000001"/>
    <m/>
    <m/>
    <m/>
    <m/>
    <m/>
    <n v="946.74860000000001"/>
    <d v="2023-04-22T00:00:00"/>
    <n v="0"/>
    <n v="0"/>
    <n v="0"/>
    <n v="0"/>
    <n v="0"/>
    <n v="0"/>
    <n v="0"/>
    <x v="0"/>
    <n v="39763.441200000001"/>
    <n v="39763.441200000001"/>
    <n v="0"/>
    <n v="0"/>
    <x v="0"/>
    <x v="19"/>
  </r>
  <r>
    <s v="ORD00047"/>
    <d v="2024-08-16T00:00:00"/>
    <x v="44"/>
    <x v="43"/>
    <n v="17"/>
    <s v="INV00047"/>
    <n v="17"/>
    <n v="1190.6054999999999"/>
    <m/>
    <m/>
    <m/>
    <m/>
    <m/>
    <n v="1190.6054999999999"/>
    <d v="2023-02-27T00:00:00"/>
    <n v="0"/>
    <n v="0"/>
    <n v="0"/>
    <n v="0"/>
    <n v="0"/>
    <n v="0"/>
    <n v="0"/>
    <x v="0"/>
    <n v="20240.2935"/>
    <n v="20240.2935"/>
    <n v="0"/>
    <n v="0"/>
    <x v="0"/>
    <x v="22"/>
  </r>
  <r>
    <s v="ORD00048"/>
    <d v="2023-09-21T00:00:00"/>
    <x v="45"/>
    <x v="44"/>
    <n v="191"/>
    <s v="INV00048"/>
    <n v="191"/>
    <n v="1119.3012000000001"/>
    <m/>
    <m/>
    <m/>
    <m/>
    <m/>
    <n v="1119.3012000000001"/>
    <d v="2023-06-14T00:00:00"/>
    <n v="0"/>
    <n v="0"/>
    <n v="0"/>
    <n v="0"/>
    <n v="0"/>
    <n v="0"/>
    <n v="0"/>
    <x v="0"/>
    <n v="213786.52920000002"/>
    <n v="213786.52920000002"/>
    <n v="0"/>
    <n v="0"/>
    <x v="0"/>
    <x v="18"/>
  </r>
  <r>
    <s v="ORD00049"/>
    <d v="2024-11-09T00:00:00"/>
    <x v="46"/>
    <x v="45"/>
    <n v="118"/>
    <s v="INV00049"/>
    <n v="118"/>
    <n v="169.49265768404308"/>
    <m/>
    <m/>
    <m/>
    <m/>
    <m/>
    <n v="169.22900000000001"/>
    <d v="2023-04-23T00:00:00"/>
    <n v="0"/>
    <n v="0"/>
    <n v="1"/>
    <n v="0"/>
    <n v="0"/>
    <n v="0"/>
    <n v="0"/>
    <x v="1"/>
    <n v="20000.133606717085"/>
    <n v="19969.022000000001"/>
    <n v="31.111606717084214"/>
    <n v="4"/>
    <x v="1"/>
    <x v="4"/>
  </r>
  <r>
    <s v="ORD00050"/>
    <d v="2023-06-09T00:00:00"/>
    <x v="47"/>
    <x v="46"/>
    <n v="162"/>
    <s v="INV00050"/>
    <n v="162"/>
    <n v="499.27679999999998"/>
    <m/>
    <m/>
    <m/>
    <m/>
    <m/>
    <n v="499.27679999999998"/>
    <d v="2022-10-06T00:00:00"/>
    <n v="0"/>
    <n v="0"/>
    <n v="0"/>
    <n v="0"/>
    <n v="0"/>
    <n v="0"/>
    <n v="0"/>
    <x v="0"/>
    <n v="80882.8416"/>
    <n v="80882.8416"/>
    <n v="0"/>
    <n v="0"/>
    <x v="0"/>
    <x v="14"/>
  </r>
  <r>
    <s v="ORD00051"/>
    <d v="2023-01-04T00:00:00"/>
    <x v="48"/>
    <x v="47"/>
    <n v="92"/>
    <s v="INV00051"/>
    <n v="92"/>
    <n v="412.95450000000005"/>
    <m/>
    <m/>
    <m/>
    <m/>
    <m/>
    <n v="412.95450000000005"/>
    <d v="2022-08-12T00:00:00"/>
    <n v="0"/>
    <n v="0"/>
    <n v="0"/>
    <n v="0"/>
    <n v="0"/>
    <n v="0"/>
    <n v="0"/>
    <x v="0"/>
    <n v="37991.814000000006"/>
    <n v="37991.814000000006"/>
    <n v="0"/>
    <n v="0"/>
    <x v="0"/>
    <x v="8"/>
  </r>
  <r>
    <s v="ORD00052"/>
    <d v="2023-04-04T00:00:00"/>
    <x v="49"/>
    <x v="48"/>
    <n v="166"/>
    <s v="INV00052"/>
    <n v="166"/>
    <n v="1144.1684"/>
    <m/>
    <m/>
    <m/>
    <m/>
    <m/>
    <n v="1144.1684"/>
    <d v="2023-01-29T00:00:00"/>
    <n v="0"/>
    <n v="0"/>
    <n v="0"/>
    <n v="0"/>
    <n v="0"/>
    <n v="0"/>
    <n v="0"/>
    <x v="0"/>
    <n v="189931.95440000002"/>
    <n v="189931.95440000002"/>
    <n v="0"/>
    <n v="0"/>
    <x v="0"/>
    <x v="23"/>
  </r>
  <r>
    <s v="ORD00053"/>
    <d v="2023-08-16T00:00:00"/>
    <x v="50"/>
    <x v="49"/>
    <n v="110"/>
    <s v="INV00053"/>
    <n v="110"/>
    <n v="1040.9412"/>
    <m/>
    <m/>
    <m/>
    <m/>
    <m/>
    <n v="1040.9412"/>
    <d v="2023-02-26T00:00:00"/>
    <n v="0"/>
    <n v="0"/>
    <n v="0"/>
    <n v="0"/>
    <n v="0"/>
    <n v="0"/>
    <n v="0"/>
    <x v="0"/>
    <n v="114503.53199999999"/>
    <n v="114503.53199999999"/>
    <n v="0"/>
    <n v="0"/>
    <x v="0"/>
    <x v="12"/>
  </r>
  <r>
    <s v="ORD00054"/>
    <d v="2023-02-19T00:00:00"/>
    <x v="51"/>
    <x v="50"/>
    <n v="180"/>
    <s v="INV00054"/>
    <n v="180"/>
    <n v="47.936999999999998"/>
    <m/>
    <m/>
    <m/>
    <m/>
    <m/>
    <n v="47.936999999999998"/>
    <d v="2023-01-08T00:00:00"/>
    <n v="0"/>
    <n v="0"/>
    <n v="0"/>
    <n v="0"/>
    <n v="0"/>
    <n v="0"/>
    <n v="0"/>
    <x v="0"/>
    <n v="8628.66"/>
    <n v="8628.66"/>
    <n v="0"/>
    <n v="0"/>
    <x v="0"/>
    <x v="11"/>
  </r>
  <r>
    <s v="ORD00055"/>
    <d v="2024-03-14T00:00:00"/>
    <x v="52"/>
    <x v="51"/>
    <n v="64"/>
    <s v="INV00055"/>
    <n v="62"/>
    <n v="580.38720000000001"/>
    <m/>
    <m/>
    <m/>
    <m/>
    <m/>
    <n v="580.38720000000001"/>
    <d v="2023-09-11T00:00:00"/>
    <n v="0"/>
    <n v="1"/>
    <n v="0"/>
    <n v="0"/>
    <n v="0"/>
    <n v="0"/>
    <n v="0"/>
    <x v="1"/>
    <n v="35984.006399999998"/>
    <n v="37144.7808"/>
    <n v="-1160.7744000000021"/>
    <n v="8"/>
    <x v="2"/>
    <x v="6"/>
  </r>
  <r>
    <s v="ORD00056"/>
    <d v="2024-08-08T00:00:00"/>
    <x v="53"/>
    <x v="52"/>
    <n v="175"/>
    <s v="INV00056"/>
    <n v="175"/>
    <n v="61.845300000000002"/>
    <m/>
    <m/>
    <m/>
    <m/>
    <m/>
    <n v="61.845300000000002"/>
    <d v="2023-10-27T00:00:00"/>
    <n v="0"/>
    <n v="0"/>
    <n v="0"/>
    <n v="0"/>
    <n v="0"/>
    <n v="0"/>
    <n v="0"/>
    <x v="0"/>
    <n v="10822.9275"/>
    <n v="10822.9275"/>
    <n v="0"/>
    <n v="0"/>
    <x v="0"/>
    <x v="22"/>
  </r>
  <r>
    <s v="ORD00057"/>
    <d v="2023-06-19T00:00:00"/>
    <x v="54"/>
    <x v="49"/>
    <n v="106"/>
    <s v="INV00057"/>
    <n v="106"/>
    <n v="1040.9412"/>
    <m/>
    <m/>
    <m/>
    <m/>
    <m/>
    <n v="1040.9412"/>
    <d v="2023-02-26T00:00:00"/>
    <n v="0"/>
    <n v="0"/>
    <n v="0"/>
    <n v="0"/>
    <n v="0"/>
    <n v="0"/>
    <n v="0"/>
    <x v="0"/>
    <n v="110339.7672"/>
    <n v="110339.7672"/>
    <n v="0"/>
    <n v="0"/>
    <x v="0"/>
    <x v="14"/>
  </r>
  <r>
    <s v="ORD00058"/>
    <d v="2024-08-12T00:00:00"/>
    <x v="55"/>
    <x v="53"/>
    <n v="48"/>
    <s v="INV00058"/>
    <n v="48"/>
    <n v="393.40140000000002"/>
    <m/>
    <m/>
    <m/>
    <m/>
    <m/>
    <n v="393.40140000000002"/>
    <d v="2023-08-08T00:00:00"/>
    <n v="0"/>
    <n v="0"/>
    <n v="0"/>
    <n v="0"/>
    <n v="0"/>
    <n v="0"/>
    <n v="0"/>
    <x v="0"/>
    <n v="18883.267200000002"/>
    <n v="18883.267200000002"/>
    <n v="0"/>
    <n v="0"/>
    <x v="0"/>
    <x v="22"/>
  </r>
  <r>
    <s v="ORD00059"/>
    <d v="2023-01-26T00:00:00"/>
    <x v="56"/>
    <x v="54"/>
    <n v="95"/>
    <s v="INV00059"/>
    <n v="101"/>
    <n v="456.09"/>
    <m/>
    <m/>
    <m/>
    <m/>
    <m/>
    <n v="456.09"/>
    <d v="2022-04-27T00:00:00"/>
    <n v="0"/>
    <n v="1"/>
    <n v="0"/>
    <n v="0"/>
    <n v="0"/>
    <n v="0"/>
    <n v="0"/>
    <x v="1"/>
    <n v="46065.09"/>
    <n v="43328.549999999996"/>
    <n v="2736.5400000000009"/>
    <n v="8"/>
    <x v="2"/>
    <x v="8"/>
  </r>
  <r>
    <s v="ORD00060"/>
    <d v="2023-01-08T00:00:00"/>
    <x v="56"/>
    <x v="21"/>
    <n v="111"/>
    <s v="INV00060"/>
    <n v="111"/>
    <n v="524.67999999999995"/>
    <n v="13"/>
    <d v="2024-11-21T00:00:00"/>
    <m/>
    <m/>
    <m/>
    <n v="524.67999999999995"/>
    <d v="2022-02-23T00:00:00"/>
    <n v="0"/>
    <n v="0"/>
    <n v="0"/>
    <n v="0"/>
    <n v="0"/>
    <n v="1"/>
    <n v="0"/>
    <x v="1"/>
    <n v="58239.479999999996"/>
    <n v="58239.479999999996"/>
    <n v="0"/>
    <n v="2"/>
    <x v="1"/>
    <x v="8"/>
  </r>
  <r>
    <s v="ORD00061"/>
    <d v="2023-01-23T00:00:00"/>
    <x v="57"/>
    <x v="55"/>
    <n v="94"/>
    <s v="INV00061"/>
    <n v="94"/>
    <n v="525.45000000000005"/>
    <m/>
    <m/>
    <m/>
    <m/>
    <m/>
    <n v="525.45000000000005"/>
    <d v="2022-03-03T00:00:00"/>
    <n v="0"/>
    <n v="0"/>
    <n v="0"/>
    <n v="0"/>
    <n v="0"/>
    <n v="0"/>
    <n v="0"/>
    <x v="0"/>
    <n v="49392.3"/>
    <n v="49392.3"/>
    <n v="0"/>
    <n v="0"/>
    <x v="0"/>
    <x v="8"/>
  </r>
  <r>
    <s v="ORD00062"/>
    <d v="2023-03-15T00:00:00"/>
    <x v="58"/>
    <x v="56"/>
    <n v="64"/>
    <s v="INV00062"/>
    <n v="64"/>
    <n v="639.91840000000002"/>
    <m/>
    <m/>
    <m/>
    <m/>
    <m/>
    <n v="639.91840000000002"/>
    <d v="2023-01-04T00:00:00"/>
    <n v="0"/>
    <n v="0"/>
    <n v="0"/>
    <n v="0"/>
    <n v="0"/>
    <n v="0"/>
    <n v="0"/>
    <x v="0"/>
    <n v="40954.777600000001"/>
    <n v="40954.777600000001"/>
    <n v="0"/>
    <n v="0"/>
    <x v="0"/>
    <x v="17"/>
  </r>
  <r>
    <s v="ORD00063"/>
    <d v="2023-10-13T00:00:00"/>
    <x v="59"/>
    <x v="57"/>
    <n v="33"/>
    <s v="INV00063"/>
    <n v="33"/>
    <n v="517.39100000000008"/>
    <m/>
    <m/>
    <m/>
    <m/>
    <m/>
    <n v="517.39100000000008"/>
    <d v="2023-04-29T00:00:00"/>
    <n v="0"/>
    <n v="0"/>
    <n v="0"/>
    <n v="0"/>
    <n v="0"/>
    <n v="0"/>
    <n v="0"/>
    <x v="0"/>
    <n v="17073.903000000002"/>
    <n v="17073.903000000002"/>
    <n v="0"/>
    <n v="0"/>
    <x v="0"/>
    <x v="19"/>
  </r>
  <r>
    <s v="ORD00064"/>
    <d v="2023-10-15T00:00:00"/>
    <x v="60"/>
    <x v="58"/>
    <n v="111"/>
    <s v="INV00064"/>
    <n v="111"/>
    <n v="601.32929999999999"/>
    <m/>
    <m/>
    <m/>
    <m/>
    <m/>
    <n v="601.32929999999999"/>
    <d v="2023-02-05T00:00:00"/>
    <n v="0"/>
    <n v="0"/>
    <n v="0"/>
    <n v="0"/>
    <n v="0"/>
    <n v="0"/>
    <n v="0"/>
    <x v="0"/>
    <n v="66747.552299999996"/>
    <n v="66747.552299999996"/>
    <n v="0"/>
    <n v="0"/>
    <x v="0"/>
    <x v="19"/>
  </r>
  <r>
    <s v="ORD00065"/>
    <d v="2023-06-13T00:00:00"/>
    <x v="10"/>
    <x v="59"/>
    <n v="193"/>
    <s v="INV00065"/>
    <n v="193"/>
    <n v="942.54840000000013"/>
    <m/>
    <m/>
    <m/>
    <m/>
    <m/>
    <n v="942.54840000000013"/>
    <d v="2023-06-09T00:00:00"/>
    <n v="0"/>
    <n v="0"/>
    <n v="0"/>
    <n v="0"/>
    <n v="0"/>
    <n v="0"/>
    <n v="0"/>
    <x v="0"/>
    <n v="181911.84120000002"/>
    <n v="181911.84120000002"/>
    <n v="0"/>
    <n v="0"/>
    <x v="0"/>
    <x v="14"/>
  </r>
  <r>
    <s v="ORD00066"/>
    <d v="2023-04-24T00:00:00"/>
    <x v="61"/>
    <x v="60"/>
    <n v="89"/>
    <s v="INV00066"/>
    <n v="89"/>
    <n v="1087.8191999999999"/>
    <m/>
    <m/>
    <m/>
    <m/>
    <m/>
    <n v="1087.8191999999999"/>
    <d v="2022-10-10T00:00:00"/>
    <n v="0"/>
    <n v="0"/>
    <n v="0"/>
    <n v="0"/>
    <n v="0"/>
    <n v="0"/>
    <n v="0"/>
    <x v="0"/>
    <n v="96815.90879999999"/>
    <n v="96815.90879999999"/>
    <n v="0"/>
    <n v="0"/>
    <x v="0"/>
    <x v="23"/>
  </r>
  <r>
    <s v="ORD00067"/>
    <d v="2024-08-17T00:00:00"/>
    <x v="62"/>
    <x v="61"/>
    <n v="174"/>
    <s v="INV00067"/>
    <n v="174"/>
    <n v="759.48969999999997"/>
    <m/>
    <m/>
    <m/>
    <m/>
    <m/>
    <n v="759.48969999999997"/>
    <d v="2023-07-31T00:00:00"/>
    <n v="0"/>
    <n v="0"/>
    <n v="0"/>
    <n v="0"/>
    <n v="0"/>
    <n v="0"/>
    <n v="0"/>
    <x v="0"/>
    <n v="132151.2078"/>
    <n v="132151.2078"/>
    <n v="0"/>
    <n v="0"/>
    <x v="0"/>
    <x v="22"/>
  </r>
  <r>
    <s v="ORD00068"/>
    <d v="2023-11-06T00:00:00"/>
    <x v="63"/>
    <x v="62"/>
    <n v="4"/>
    <s v="INV00068"/>
    <n v="4"/>
    <n v="1080.0740000000001"/>
    <m/>
    <m/>
    <m/>
    <m/>
    <m/>
    <n v="1080.0740000000001"/>
    <d v="2023-05-12T00:00:00"/>
    <n v="0"/>
    <n v="0"/>
    <n v="0"/>
    <n v="0"/>
    <n v="0"/>
    <n v="0"/>
    <n v="0"/>
    <x v="0"/>
    <n v="4320.2960000000003"/>
    <n v="4320.2960000000003"/>
    <n v="0"/>
    <n v="0"/>
    <x v="0"/>
    <x v="0"/>
  </r>
  <r>
    <s v="ORD00069"/>
    <d v="2023-10-04T00:00:00"/>
    <x v="64"/>
    <x v="63"/>
    <n v="71"/>
    <s v="INV00069"/>
    <n v="71"/>
    <n v="96.6"/>
    <m/>
    <m/>
    <m/>
    <m/>
    <m/>
    <n v="96.6"/>
    <d v="2023-06-28T00:00:00"/>
    <n v="0"/>
    <n v="0"/>
    <n v="0"/>
    <n v="0"/>
    <n v="0"/>
    <n v="0"/>
    <n v="0"/>
    <x v="0"/>
    <n v="6858.5999999999995"/>
    <n v="6858.5999999999995"/>
    <n v="0"/>
    <n v="0"/>
    <x v="0"/>
    <x v="19"/>
  </r>
  <r>
    <s v="ORD00070"/>
    <d v="2023-05-29T00:00:00"/>
    <x v="65"/>
    <x v="13"/>
    <n v="6"/>
    <s v="INV00070"/>
    <n v="6"/>
    <n v="248.24449999999999"/>
    <m/>
    <m/>
    <m/>
    <m/>
    <m/>
    <n v="248.24449999999999"/>
    <d v="2023-01-07T00:00:00"/>
    <n v="0"/>
    <n v="0"/>
    <n v="0"/>
    <n v="0"/>
    <n v="0"/>
    <n v="0"/>
    <n v="0"/>
    <x v="0"/>
    <n v="1489.4669999999999"/>
    <n v="1489.4669999999999"/>
    <n v="0"/>
    <n v="0"/>
    <x v="0"/>
    <x v="7"/>
  </r>
  <r>
    <s v="ORD00071"/>
    <d v="2024-06-09T00:00:00"/>
    <x v="66"/>
    <x v="64"/>
    <n v="194"/>
    <s v="INV00071"/>
    <n v="194"/>
    <n v="1129.6166000000001"/>
    <m/>
    <m/>
    <m/>
    <m/>
    <m/>
    <n v="1129.6166000000001"/>
    <d v="2023-02-03T00:00:00"/>
    <n v="0"/>
    <n v="0"/>
    <n v="0"/>
    <n v="0"/>
    <n v="0"/>
    <n v="0"/>
    <n v="0"/>
    <x v="0"/>
    <n v="219145.62040000001"/>
    <n v="219145.62040000001"/>
    <n v="0"/>
    <n v="0"/>
    <x v="0"/>
    <x v="16"/>
  </r>
  <r>
    <s v="ORD00072"/>
    <d v="2024-07-14T00:00:00"/>
    <x v="67"/>
    <x v="65"/>
    <n v="167"/>
    <s v="INV00072"/>
    <n v="167"/>
    <n v="660.96040000000005"/>
    <m/>
    <m/>
    <m/>
    <m/>
    <m/>
    <n v="660.96040000000005"/>
    <d v="2023-01-21T00:00:00"/>
    <n v="0"/>
    <n v="0"/>
    <n v="0"/>
    <n v="0"/>
    <n v="0"/>
    <n v="0"/>
    <n v="0"/>
    <x v="0"/>
    <n v="110380.38680000001"/>
    <n v="110380.38680000001"/>
    <n v="0"/>
    <n v="0"/>
    <x v="0"/>
    <x v="21"/>
  </r>
  <r>
    <s v="ORD00073"/>
    <d v="2024-03-26T00:00:00"/>
    <x v="68"/>
    <x v="66"/>
    <n v="84"/>
    <s v="INV00073"/>
    <n v="84"/>
    <n v="1160.5650000000001"/>
    <m/>
    <m/>
    <m/>
    <m/>
    <m/>
    <n v="1160.5650000000001"/>
    <d v="2023-05-09T00:00:00"/>
    <n v="0"/>
    <n v="0"/>
    <n v="0"/>
    <n v="0"/>
    <n v="0"/>
    <n v="0"/>
    <n v="0"/>
    <x v="0"/>
    <n v="97487.46"/>
    <n v="97487.46"/>
    <n v="0"/>
    <n v="0"/>
    <x v="0"/>
    <x v="6"/>
  </r>
  <r>
    <s v="ORD00074"/>
    <d v="2024-08-31T00:00:00"/>
    <x v="69"/>
    <x v="23"/>
    <n v="75"/>
    <s v="INV00074"/>
    <n v="75"/>
    <n v="77.398200000000003"/>
    <m/>
    <m/>
    <m/>
    <m/>
    <m/>
    <n v="77.398200000000003"/>
    <d v="2023-04-16T00:00:00"/>
    <n v="0"/>
    <n v="0"/>
    <n v="0"/>
    <n v="0"/>
    <n v="0"/>
    <n v="0"/>
    <n v="0"/>
    <x v="0"/>
    <n v="5804.8649999999998"/>
    <n v="5804.8649999999998"/>
    <n v="0"/>
    <n v="0"/>
    <x v="0"/>
    <x v="22"/>
  </r>
  <r>
    <s v="ORD00075"/>
    <d v="2023-01-24T00:00:00"/>
    <x v="70"/>
    <x v="67"/>
    <n v="96"/>
    <s v="INV00075"/>
    <n v="96"/>
    <n v="977.87"/>
    <m/>
    <m/>
    <m/>
    <m/>
    <m/>
    <n v="977.87"/>
    <d v="2022-04-17T00:00:00"/>
    <n v="0"/>
    <n v="0"/>
    <n v="0"/>
    <n v="0"/>
    <n v="0"/>
    <n v="0"/>
    <n v="0"/>
    <x v="0"/>
    <n v="93875.520000000004"/>
    <n v="93875.520000000004"/>
    <n v="0"/>
    <n v="0"/>
    <x v="0"/>
    <x v="8"/>
  </r>
  <r>
    <s v="ORD00076"/>
    <d v="2024-12-28T00:00:00"/>
    <x v="71"/>
    <x v="68"/>
    <n v="13"/>
    <s v="INV00076"/>
    <n v="13"/>
    <n v="168.12909999999999"/>
    <m/>
    <m/>
    <m/>
    <m/>
    <m/>
    <n v="168.12909999999999"/>
    <d v="2023-03-28T00:00:00"/>
    <n v="0"/>
    <n v="0"/>
    <n v="0"/>
    <n v="0"/>
    <n v="0"/>
    <n v="0"/>
    <n v="0"/>
    <x v="0"/>
    <n v="2185.6783"/>
    <n v="2185.6783"/>
    <n v="0"/>
    <n v="0"/>
    <x v="0"/>
    <x v="1"/>
  </r>
  <r>
    <s v="ORD00077"/>
    <d v="2024-12-04T00:00:00"/>
    <x v="72"/>
    <x v="34"/>
    <n v="26"/>
    <s v="INV00077"/>
    <n v="26"/>
    <n v="397.19560000000001"/>
    <m/>
    <m/>
    <m/>
    <m/>
    <m/>
    <n v="397.19560000000001"/>
    <d v="2023-01-06T00:00:00"/>
    <n v="0"/>
    <n v="0"/>
    <n v="0"/>
    <n v="0"/>
    <n v="0"/>
    <n v="0"/>
    <n v="0"/>
    <x v="0"/>
    <n v="10327.0856"/>
    <n v="10327.0856"/>
    <n v="0"/>
    <n v="0"/>
    <x v="0"/>
    <x v="1"/>
  </r>
  <r>
    <s v="ORD00078"/>
    <d v="2023-01-02T00:00:00"/>
    <x v="73"/>
    <x v="69"/>
    <n v="139"/>
    <s v="INV00078"/>
    <n v="139"/>
    <n v="904.00099999999998"/>
    <m/>
    <m/>
    <m/>
    <m/>
    <m/>
    <n v="904.00099999999998"/>
    <d v="2022-09-27T00:00:00"/>
    <n v="0"/>
    <n v="0"/>
    <n v="0"/>
    <n v="0"/>
    <n v="0"/>
    <n v="0"/>
    <n v="0"/>
    <x v="0"/>
    <n v="125656.139"/>
    <n v="125656.139"/>
    <n v="0"/>
    <n v="0"/>
    <x v="0"/>
    <x v="8"/>
  </r>
  <r>
    <s v="ORD00079"/>
    <d v="2023-03-21T00:00:00"/>
    <x v="74"/>
    <x v="70"/>
    <n v="55"/>
    <s v="INV00079"/>
    <n v="55"/>
    <n v="72.858600000000024"/>
    <m/>
    <m/>
    <m/>
    <m/>
    <m/>
    <n v="72.858600000000024"/>
    <d v="2022-11-17T00:00:00"/>
    <n v="0"/>
    <n v="0"/>
    <n v="0"/>
    <n v="0"/>
    <n v="0"/>
    <n v="0"/>
    <n v="0"/>
    <x v="0"/>
    <n v="4007.2230000000013"/>
    <n v="4007.2230000000013"/>
    <n v="0"/>
    <n v="0"/>
    <x v="0"/>
    <x v="17"/>
  </r>
  <r>
    <s v="ORD00080"/>
    <d v="2023-11-07T00:00:00"/>
    <x v="75"/>
    <x v="11"/>
    <n v="156"/>
    <s v="INV00080"/>
    <n v="156"/>
    <n v="687.65840000000003"/>
    <m/>
    <m/>
    <m/>
    <m/>
    <m/>
    <n v="687.65840000000003"/>
    <d v="2023-08-01T00:00:00"/>
    <n v="0"/>
    <n v="0"/>
    <n v="0"/>
    <n v="0"/>
    <n v="0"/>
    <n v="0"/>
    <n v="0"/>
    <x v="0"/>
    <n v="107274.71040000001"/>
    <n v="107274.71040000001"/>
    <n v="0"/>
    <n v="0"/>
    <x v="0"/>
    <x v="0"/>
  </r>
  <r>
    <s v="ORD00081"/>
    <d v="2023-07-04T00:00:00"/>
    <x v="76"/>
    <x v="71"/>
    <n v="139"/>
    <s v="INV00081"/>
    <n v="139"/>
    <n v="238.7328"/>
    <m/>
    <m/>
    <m/>
    <m/>
    <m/>
    <n v="238.7328"/>
    <d v="2023-03-02T00:00:00"/>
    <n v="0"/>
    <n v="0"/>
    <n v="0"/>
    <n v="0"/>
    <n v="0"/>
    <n v="0"/>
    <n v="0"/>
    <x v="0"/>
    <n v="33183.859199999999"/>
    <n v="33183.859199999999"/>
    <n v="0"/>
    <n v="0"/>
    <x v="0"/>
    <x v="10"/>
  </r>
  <r>
    <s v="ORD00082"/>
    <d v="2023-10-27T00:00:00"/>
    <x v="77"/>
    <x v="72"/>
    <n v="89"/>
    <s v="INV00082"/>
    <n v="89"/>
    <n v="791.35360000000003"/>
    <m/>
    <m/>
    <m/>
    <m/>
    <m/>
    <n v="791.35360000000003"/>
    <d v="2023-06-20T00:00:00"/>
    <n v="0"/>
    <n v="0"/>
    <n v="0"/>
    <n v="0"/>
    <n v="0"/>
    <n v="0"/>
    <n v="0"/>
    <x v="0"/>
    <n v="70430.470400000006"/>
    <n v="70430.470400000006"/>
    <n v="0"/>
    <n v="0"/>
    <x v="0"/>
    <x v="19"/>
  </r>
  <r>
    <s v="ORD00083"/>
    <d v="2023-07-30T00:00:00"/>
    <x v="78"/>
    <x v="73"/>
    <n v="53"/>
    <s v="INV00083"/>
    <n v="53"/>
    <n v="1006.5033"/>
    <n v="2"/>
    <d v="2024-12-27T00:00:00"/>
    <m/>
    <m/>
    <m/>
    <n v="1006.5033"/>
    <d v="2023-07-16T00:00:00"/>
    <n v="0"/>
    <n v="0"/>
    <n v="0"/>
    <n v="0"/>
    <n v="0"/>
    <n v="1"/>
    <n v="0"/>
    <x v="1"/>
    <n v="53344.674899999998"/>
    <n v="53344.674899999998"/>
    <n v="0"/>
    <n v="2"/>
    <x v="1"/>
    <x v="10"/>
  </r>
  <r>
    <s v="ORD00084"/>
    <d v="2023-03-23T00:00:00"/>
    <x v="79"/>
    <x v="74"/>
    <n v="35"/>
    <s v="INV00084"/>
    <n v="35"/>
    <n v="1138.4856"/>
    <m/>
    <m/>
    <m/>
    <m/>
    <m/>
    <n v="1138.4856"/>
    <d v="2022-10-31T00:00:00"/>
    <n v="0"/>
    <n v="0"/>
    <n v="0"/>
    <n v="0"/>
    <n v="0"/>
    <n v="0"/>
    <n v="0"/>
    <x v="0"/>
    <n v="39846.995999999999"/>
    <n v="39846.995999999999"/>
    <n v="0"/>
    <n v="0"/>
    <x v="0"/>
    <x v="17"/>
  </r>
  <r>
    <s v="ORD00085"/>
    <d v="2024-06-22T00:00:00"/>
    <x v="80"/>
    <x v="75"/>
    <n v="86"/>
    <s v="INV00085"/>
    <n v="86"/>
    <n v="492.38400000000001"/>
    <n v="10"/>
    <d v="2023-06-19T00:00:00"/>
    <m/>
    <m/>
    <m/>
    <n v="492.38400000000001"/>
    <d v="2023-02-09T00:00:00"/>
    <n v="0"/>
    <n v="0"/>
    <n v="0"/>
    <n v="0"/>
    <n v="0"/>
    <n v="0"/>
    <n v="0"/>
    <x v="0"/>
    <n v="42345.024000000005"/>
    <n v="42345.024000000005"/>
    <n v="0"/>
    <n v="0"/>
    <x v="0"/>
    <x v="16"/>
  </r>
  <r>
    <s v="ORD00086"/>
    <d v="2023-01-30T00:00:00"/>
    <x v="81"/>
    <x v="76"/>
    <n v="66"/>
    <s v="INV00086"/>
    <n v="66"/>
    <n v="1218.6930000000002"/>
    <m/>
    <m/>
    <m/>
    <m/>
    <m/>
    <n v="1218.6930000000002"/>
    <d v="2022-12-31T00:00:00"/>
    <n v="0"/>
    <n v="0"/>
    <n v="0"/>
    <n v="0"/>
    <n v="0"/>
    <n v="0"/>
    <n v="0"/>
    <x v="0"/>
    <n v="80433.738000000012"/>
    <n v="80433.738000000012"/>
    <n v="0"/>
    <n v="0"/>
    <x v="0"/>
    <x v="8"/>
  </r>
  <r>
    <s v="ORD00087"/>
    <d v="2024-06-12T00:00:00"/>
    <x v="44"/>
    <x v="77"/>
    <n v="173"/>
    <s v="INV00087"/>
    <n v="173"/>
    <n v="798.14160000000004"/>
    <m/>
    <m/>
    <m/>
    <m/>
    <m/>
    <n v="798.14160000000004"/>
    <d v="2023-08-11T00:00:00"/>
    <n v="0"/>
    <n v="0"/>
    <n v="0"/>
    <n v="0"/>
    <n v="0"/>
    <n v="0"/>
    <n v="0"/>
    <x v="0"/>
    <n v="138078.49679999999"/>
    <n v="138078.49679999999"/>
    <n v="0"/>
    <n v="0"/>
    <x v="0"/>
    <x v="16"/>
  </r>
  <r>
    <s v="ORD00088"/>
    <d v="2023-12-25T00:00:00"/>
    <x v="82"/>
    <x v="78"/>
    <n v="197"/>
    <s v="INV00088"/>
    <n v="203"/>
    <n v="372.85379999999998"/>
    <m/>
    <m/>
    <m/>
    <m/>
    <m/>
    <n v="372.85379999999998"/>
    <d v="2023-09-06T00:00:00"/>
    <n v="0"/>
    <n v="1"/>
    <n v="0"/>
    <n v="0"/>
    <n v="0"/>
    <n v="0"/>
    <n v="0"/>
    <x v="1"/>
    <n v="75689.321400000001"/>
    <n v="73452.198599999989"/>
    <n v="2237.1228000000119"/>
    <n v="8"/>
    <x v="2"/>
    <x v="20"/>
  </r>
  <r>
    <s v="ORD00089"/>
    <d v="2023-02-08T00:00:00"/>
    <x v="83"/>
    <x v="79"/>
    <n v="58"/>
    <s v="INV00089"/>
    <n v="58"/>
    <n v="682.98"/>
    <m/>
    <m/>
    <m/>
    <m/>
    <m/>
    <n v="682.98"/>
    <d v="2022-03-09T00:00:00"/>
    <n v="0"/>
    <n v="0"/>
    <n v="0"/>
    <n v="0"/>
    <n v="0"/>
    <n v="0"/>
    <n v="0"/>
    <x v="0"/>
    <n v="39612.840000000004"/>
    <n v="39612.840000000004"/>
    <n v="0"/>
    <n v="0"/>
    <x v="0"/>
    <x v="11"/>
  </r>
  <r>
    <s v="ORD00090"/>
    <d v="2023-06-06T00:00:00"/>
    <x v="84"/>
    <x v="58"/>
    <n v="69"/>
    <s v="INV00090"/>
    <n v="69"/>
    <n v="601.32929999999999"/>
    <m/>
    <m/>
    <m/>
    <m/>
    <m/>
    <n v="601.32929999999999"/>
    <d v="2023-02-05T00:00:00"/>
    <n v="0"/>
    <n v="0"/>
    <n v="0"/>
    <n v="0"/>
    <n v="0"/>
    <n v="0"/>
    <n v="0"/>
    <x v="0"/>
    <n v="41491.721700000002"/>
    <n v="41491.721700000002"/>
    <n v="0"/>
    <n v="0"/>
    <x v="0"/>
    <x v="14"/>
  </r>
  <r>
    <s v="ORD00091"/>
    <d v="2024-11-25T00:00:00"/>
    <x v="85"/>
    <x v="80"/>
    <n v="50"/>
    <s v="INV00091"/>
    <n v="50"/>
    <n v="1014.5718000000001"/>
    <m/>
    <m/>
    <m/>
    <m/>
    <m/>
    <n v="1014.5718000000001"/>
    <d v="2023-04-19T00:00:00"/>
    <n v="0"/>
    <n v="0"/>
    <n v="0"/>
    <n v="0"/>
    <n v="0"/>
    <n v="0"/>
    <n v="0"/>
    <x v="0"/>
    <n v="50728.590000000004"/>
    <n v="50728.590000000004"/>
    <n v="0"/>
    <n v="0"/>
    <x v="0"/>
    <x v="4"/>
  </r>
  <r>
    <s v="ORD00092"/>
    <d v="2023-03-01T00:00:00"/>
    <x v="86"/>
    <x v="81"/>
    <n v="85"/>
    <s v="INV00092"/>
    <n v="85"/>
    <n v="263.89999999999998"/>
    <m/>
    <m/>
    <m/>
    <m/>
    <m/>
    <n v="263.89999999999998"/>
    <d v="2022-10-21T00:00:00"/>
    <n v="0"/>
    <n v="0"/>
    <n v="0"/>
    <n v="0"/>
    <n v="0"/>
    <n v="0"/>
    <n v="0"/>
    <x v="0"/>
    <n v="22431.499999999996"/>
    <n v="22431.499999999996"/>
    <n v="0"/>
    <n v="0"/>
    <x v="0"/>
    <x v="17"/>
  </r>
  <r>
    <s v="ORD00093"/>
    <d v="2024-10-20T00:00:00"/>
    <x v="87"/>
    <x v="82"/>
    <n v="152"/>
    <s v="INV00093"/>
    <n v="152"/>
    <n v="280.03500000000003"/>
    <m/>
    <m/>
    <m/>
    <m/>
    <m/>
    <n v="280.03500000000003"/>
    <d v="2023-08-08T00:00:00"/>
    <n v="0"/>
    <n v="0"/>
    <n v="0"/>
    <n v="0"/>
    <n v="0"/>
    <n v="0"/>
    <n v="0"/>
    <x v="0"/>
    <n v="42565.320000000007"/>
    <n v="42565.320000000007"/>
    <n v="0"/>
    <n v="0"/>
    <x v="0"/>
    <x v="5"/>
  </r>
  <r>
    <s v="ORD00094"/>
    <d v="2024-05-30T00:00:00"/>
    <x v="78"/>
    <x v="83"/>
    <n v="198"/>
    <s v="INV00094"/>
    <n v="198"/>
    <n v="1157.6343999999999"/>
    <m/>
    <m/>
    <m/>
    <m/>
    <m/>
    <n v="1157.6343999999999"/>
    <d v="2023-02-02T00:00:00"/>
    <n v="0"/>
    <n v="0"/>
    <n v="0"/>
    <n v="0"/>
    <n v="0"/>
    <n v="0"/>
    <n v="0"/>
    <x v="0"/>
    <n v="229211.61119999998"/>
    <n v="229211.61119999998"/>
    <n v="0"/>
    <n v="0"/>
    <x v="0"/>
    <x v="13"/>
  </r>
  <r>
    <s v="ORD00095"/>
    <d v="2024-03-23T00:00:00"/>
    <x v="88"/>
    <x v="84"/>
    <n v="181"/>
    <s v="INV00095"/>
    <n v="181"/>
    <n v="262.37120000000004"/>
    <m/>
    <m/>
    <m/>
    <m/>
    <m/>
    <n v="262.37120000000004"/>
    <d v="2023-06-28T00:00:00"/>
    <n v="0"/>
    <n v="0"/>
    <n v="0"/>
    <n v="0"/>
    <n v="0"/>
    <n v="0"/>
    <n v="0"/>
    <x v="0"/>
    <n v="47489.187200000008"/>
    <n v="47489.187200000008"/>
    <n v="0"/>
    <n v="0"/>
    <x v="0"/>
    <x v="6"/>
  </r>
  <r>
    <s v="ORD00096"/>
    <d v="2023-09-02T00:00:00"/>
    <x v="68"/>
    <x v="25"/>
    <n v="94"/>
    <s v="INV00096"/>
    <n v="94"/>
    <n v="1218.568"/>
    <n v="6"/>
    <d v="2024-11-02T00:00:00"/>
    <m/>
    <m/>
    <m/>
    <n v="1218.568"/>
    <d v="2023-05-15T00:00:00"/>
    <n v="0"/>
    <n v="0"/>
    <n v="0"/>
    <n v="0"/>
    <n v="0"/>
    <n v="1"/>
    <n v="0"/>
    <x v="1"/>
    <n v="114545.39199999999"/>
    <n v="114545.39199999999"/>
    <n v="0"/>
    <n v="2"/>
    <x v="1"/>
    <x v="18"/>
  </r>
  <r>
    <s v="ORD00097"/>
    <d v="2024-03-16T00:00:00"/>
    <x v="89"/>
    <x v="85"/>
    <n v="89"/>
    <s v="INV00097"/>
    <n v="89"/>
    <n v="1086.3648000000001"/>
    <m/>
    <m/>
    <m/>
    <m/>
    <m/>
    <n v="1086.3648000000001"/>
    <d v="2023-01-14T00:00:00"/>
    <n v="0"/>
    <n v="0"/>
    <n v="0"/>
    <n v="0"/>
    <n v="0"/>
    <n v="0"/>
    <n v="0"/>
    <x v="0"/>
    <n v="96686.467199999999"/>
    <n v="96686.467199999999"/>
    <n v="0"/>
    <n v="0"/>
    <x v="0"/>
    <x v="6"/>
  </r>
  <r>
    <s v="ORD00098"/>
    <d v="2023-06-06T00:00:00"/>
    <x v="90"/>
    <x v="86"/>
    <n v="86"/>
    <s v="INV00098"/>
    <n v="86"/>
    <n v="245.8853"/>
    <m/>
    <m/>
    <m/>
    <m/>
    <m/>
    <n v="245.8853"/>
    <d v="2023-04-09T00:00:00"/>
    <n v="0"/>
    <n v="0"/>
    <n v="0"/>
    <n v="0"/>
    <n v="0"/>
    <n v="0"/>
    <n v="0"/>
    <x v="0"/>
    <n v="21146.1358"/>
    <n v="21146.1358"/>
    <n v="0"/>
    <n v="0"/>
    <x v="0"/>
    <x v="14"/>
  </r>
  <r>
    <s v="ORD00099"/>
    <d v="2024-06-28T00:00:00"/>
    <x v="91"/>
    <x v="87"/>
    <n v="118"/>
    <s v="INV00099"/>
    <n v="118"/>
    <n v="443.27359999999999"/>
    <m/>
    <m/>
    <m/>
    <m/>
    <m/>
    <n v="443.27359999999999"/>
    <d v="2023-02-15T00:00:00"/>
    <n v="0"/>
    <n v="0"/>
    <n v="0"/>
    <n v="0"/>
    <n v="0"/>
    <n v="0"/>
    <n v="0"/>
    <x v="0"/>
    <n v="52306.284800000001"/>
    <n v="52306.284800000001"/>
    <n v="0"/>
    <n v="0"/>
    <x v="0"/>
    <x v="16"/>
  </r>
  <r>
    <s v="ORD00100"/>
    <d v="2023-07-11T00:00:00"/>
    <x v="92"/>
    <x v="88"/>
    <n v="105"/>
    <s v="INV00100"/>
    <n v="105"/>
    <n v="209.48449999999997"/>
    <m/>
    <m/>
    <m/>
    <m/>
    <m/>
    <n v="209.48449999999997"/>
    <d v="2023-01-30T00:00:00"/>
    <n v="0"/>
    <n v="0"/>
    <n v="0"/>
    <n v="0"/>
    <n v="0"/>
    <n v="0"/>
    <n v="0"/>
    <x v="0"/>
    <n v="21995.872499999998"/>
    <n v="21995.872499999998"/>
    <n v="0"/>
    <n v="0"/>
    <x v="0"/>
    <x v="10"/>
  </r>
  <r>
    <s v="ORD00101"/>
    <d v="2024-01-01T00:00:00"/>
    <x v="93"/>
    <x v="45"/>
    <n v="191"/>
    <s v="INV00101"/>
    <n v="191"/>
    <n v="169.22900000000001"/>
    <m/>
    <m/>
    <m/>
    <m/>
    <m/>
    <n v="169.22900000000001"/>
    <d v="2023-04-23T00:00:00"/>
    <n v="0"/>
    <n v="0"/>
    <n v="0"/>
    <n v="0"/>
    <n v="0"/>
    <n v="0"/>
    <n v="0"/>
    <x v="0"/>
    <n v="32322.739000000001"/>
    <n v="32322.739000000001"/>
    <n v="0"/>
    <n v="0"/>
    <x v="0"/>
    <x v="15"/>
  </r>
  <r>
    <s v="ORD00102"/>
    <d v="2023-01-15T00:00:00"/>
    <x v="94"/>
    <x v="84"/>
    <n v="72"/>
    <s v="INV00102"/>
    <n v="72"/>
    <n v="264.84640000000002"/>
    <m/>
    <m/>
    <m/>
    <m/>
    <m/>
    <n v="264.84640000000002"/>
    <d v="2022-11-05T00:00:00"/>
    <n v="0"/>
    <n v="0"/>
    <n v="0"/>
    <n v="0"/>
    <n v="0"/>
    <n v="0"/>
    <n v="0"/>
    <x v="0"/>
    <n v="19068.9408"/>
    <n v="19068.9408"/>
    <n v="0"/>
    <n v="0"/>
    <x v="0"/>
    <x v="8"/>
  </r>
  <r>
    <s v="ORD00103"/>
    <d v="2023-09-01T00:00:00"/>
    <x v="95"/>
    <x v="89"/>
    <n v="8"/>
    <s v="INV00103"/>
    <n v="8"/>
    <n v="826.46400000000006"/>
    <m/>
    <m/>
    <m/>
    <m/>
    <m/>
    <n v="826.46400000000006"/>
    <d v="2023-07-21T00:00:00"/>
    <n v="0"/>
    <n v="0"/>
    <n v="0"/>
    <n v="0"/>
    <n v="0"/>
    <n v="0"/>
    <n v="0"/>
    <x v="0"/>
    <n v="6611.7120000000004"/>
    <n v="6611.7120000000004"/>
    <n v="0"/>
    <n v="0"/>
    <x v="0"/>
    <x v="18"/>
  </r>
  <r>
    <s v="ORD00104"/>
    <d v="2023-08-10T00:00:00"/>
    <x v="81"/>
    <x v="90"/>
    <n v="3"/>
    <s v="INV00104"/>
    <n v="3"/>
    <n v="249.1748"/>
    <m/>
    <m/>
    <m/>
    <m/>
    <m/>
    <n v="249.1748"/>
    <d v="2023-08-03T00:00:00"/>
    <n v="0"/>
    <n v="0"/>
    <n v="0"/>
    <n v="0"/>
    <n v="0"/>
    <n v="0"/>
    <n v="0"/>
    <x v="0"/>
    <n v="747.52440000000001"/>
    <n v="747.52440000000001"/>
    <n v="0"/>
    <n v="0"/>
    <x v="0"/>
    <x v="12"/>
  </r>
  <r>
    <s v="ORD00105"/>
    <d v="2023-09-08T00:00:00"/>
    <x v="96"/>
    <x v="91"/>
    <n v="135"/>
    <s v="INV00105"/>
    <n v="135"/>
    <n v="560.37830000000008"/>
    <m/>
    <m/>
    <m/>
    <m/>
    <m/>
    <n v="560.37830000000008"/>
    <d v="2023-06-12T00:00:00"/>
    <n v="0"/>
    <n v="0"/>
    <n v="0"/>
    <n v="0"/>
    <n v="0"/>
    <n v="0"/>
    <n v="0"/>
    <x v="0"/>
    <n v="75651.070500000016"/>
    <n v="75651.070500000016"/>
    <n v="0"/>
    <n v="0"/>
    <x v="0"/>
    <x v="18"/>
  </r>
  <r>
    <s v="ORD00106"/>
    <d v="2023-08-09T00:00:00"/>
    <x v="97"/>
    <x v="92"/>
    <n v="115"/>
    <s v="INV00106"/>
    <n v="115"/>
    <n v="859.25750000000005"/>
    <m/>
    <m/>
    <m/>
    <m/>
    <m/>
    <n v="859.25750000000005"/>
    <d v="2022-08-09T00:00:00"/>
    <n v="0"/>
    <n v="0"/>
    <n v="0"/>
    <n v="0"/>
    <n v="0"/>
    <n v="0"/>
    <n v="0"/>
    <x v="0"/>
    <n v="98814.612500000003"/>
    <n v="98814.612500000003"/>
    <n v="0"/>
    <n v="0"/>
    <x v="0"/>
    <x v="12"/>
  </r>
  <r>
    <s v="ORD00107"/>
    <d v="2023-02-22T00:00:00"/>
    <x v="98"/>
    <x v="93"/>
    <n v="146"/>
    <s v="INV00107"/>
    <n v="146"/>
    <n v="437.39519999999999"/>
    <m/>
    <m/>
    <m/>
    <m/>
    <m/>
    <n v="437.39519999999999"/>
    <d v="2023-01-09T00:00:00"/>
    <n v="0"/>
    <n v="0"/>
    <n v="0"/>
    <n v="0"/>
    <n v="0"/>
    <n v="0"/>
    <n v="0"/>
    <x v="0"/>
    <n v="63859.699199999995"/>
    <n v="63859.699199999995"/>
    <n v="0"/>
    <n v="0"/>
    <x v="0"/>
    <x v="11"/>
  </r>
  <r>
    <s v="ORD00108"/>
    <d v="2024-06-30T00:00:00"/>
    <x v="99"/>
    <x v="14"/>
    <n v="14"/>
    <s v="INV00108"/>
    <n v="9"/>
    <n v="265.44960000000003"/>
    <m/>
    <m/>
    <m/>
    <m/>
    <m/>
    <n v="265.44960000000003"/>
    <d v="2023-03-14T00:00:00"/>
    <n v="0"/>
    <n v="1"/>
    <n v="0"/>
    <n v="0"/>
    <n v="0"/>
    <n v="0"/>
    <n v="0"/>
    <x v="1"/>
    <n v="2389.0464000000002"/>
    <n v="3716.2944000000007"/>
    <n v="-1327.2480000000005"/>
    <n v="8"/>
    <x v="2"/>
    <x v="16"/>
  </r>
  <r>
    <s v="ORD00109"/>
    <d v="2024-02-23T00:00:00"/>
    <x v="100"/>
    <x v="94"/>
    <n v="106"/>
    <s v="INV00109"/>
    <n v="106"/>
    <n v="765.52319999999997"/>
    <m/>
    <m/>
    <m/>
    <m/>
    <m/>
    <n v="765.52319999999997"/>
    <d v="2023-09-05T00:00:00"/>
    <n v="0"/>
    <n v="0"/>
    <n v="0"/>
    <n v="0"/>
    <n v="0"/>
    <n v="0"/>
    <n v="0"/>
    <x v="0"/>
    <n v="81145.459199999998"/>
    <n v="81145.459199999998"/>
    <n v="0"/>
    <n v="0"/>
    <x v="0"/>
    <x v="3"/>
  </r>
  <r>
    <s v="ORD00110"/>
    <d v="2023-11-07T00:00:00"/>
    <x v="101"/>
    <x v="95"/>
    <n v="137"/>
    <s v="INV00110"/>
    <n v="137"/>
    <n v="1072.1079000000002"/>
    <n v="1"/>
    <d v="2025-01-28T00:00:00"/>
    <m/>
    <m/>
    <m/>
    <n v="1072.1079000000002"/>
    <d v="2023-04-19T00:00:00"/>
    <n v="0"/>
    <n v="0"/>
    <n v="0"/>
    <n v="0"/>
    <n v="0"/>
    <n v="1"/>
    <n v="0"/>
    <x v="1"/>
    <n v="146878.78230000002"/>
    <n v="146878.78230000002"/>
    <n v="0"/>
    <n v="2"/>
    <x v="1"/>
    <x v="0"/>
  </r>
  <r>
    <s v="ORD00111"/>
    <d v="2024-03-01T00:00:00"/>
    <x v="102"/>
    <x v="96"/>
    <n v="155"/>
    <s v="INV00111"/>
    <n v="155"/>
    <n v="497.4264"/>
    <m/>
    <m/>
    <m/>
    <m/>
    <m/>
    <n v="497.4264"/>
    <d v="2023-10-13T00:00:00"/>
    <n v="0"/>
    <n v="0"/>
    <n v="0"/>
    <n v="0"/>
    <n v="0"/>
    <n v="0"/>
    <n v="0"/>
    <x v="0"/>
    <n v="77101.092000000004"/>
    <n v="77101.092000000004"/>
    <n v="0"/>
    <n v="0"/>
    <x v="0"/>
    <x v="6"/>
  </r>
  <r>
    <s v="ORD00112"/>
    <d v="2024-09-30T00:00:00"/>
    <x v="103"/>
    <x v="97"/>
    <n v="70"/>
    <s v="INV00112"/>
    <n v="70"/>
    <n v="664.57040000000006"/>
    <m/>
    <m/>
    <m/>
    <m/>
    <m/>
    <n v="664.57040000000006"/>
    <d v="2023-05-20T00:00:00"/>
    <n v="0"/>
    <n v="0"/>
    <n v="0"/>
    <n v="0"/>
    <n v="0"/>
    <n v="0"/>
    <n v="0"/>
    <x v="0"/>
    <n v="46519.928000000007"/>
    <n v="46519.928000000007"/>
    <n v="0"/>
    <n v="0"/>
    <x v="0"/>
    <x v="2"/>
  </r>
  <r>
    <s v="ORD00113"/>
    <d v="2023-09-13T00:00:00"/>
    <x v="104"/>
    <x v="98"/>
    <n v="50"/>
    <s v="INV00113"/>
    <n v="50"/>
    <n v="1119.6587000000002"/>
    <m/>
    <m/>
    <m/>
    <m/>
    <m/>
    <n v="1119.6587000000002"/>
    <d v="2023-08-09T00:00:00"/>
    <n v="0"/>
    <n v="0"/>
    <n v="0"/>
    <n v="0"/>
    <n v="0"/>
    <n v="0"/>
    <n v="0"/>
    <x v="0"/>
    <n v="55982.935000000012"/>
    <n v="55982.935000000012"/>
    <n v="0"/>
    <n v="0"/>
    <x v="0"/>
    <x v="18"/>
  </r>
  <r>
    <s v="ORD00114"/>
    <d v="2024-07-25T00:00:00"/>
    <x v="105"/>
    <x v="99"/>
    <n v="139"/>
    <s v="INV00114"/>
    <n v="139"/>
    <n v="1171.7046"/>
    <m/>
    <m/>
    <m/>
    <m/>
    <m/>
    <n v="1171.7046"/>
    <d v="2023-05-31T00:00:00"/>
    <n v="0"/>
    <n v="0"/>
    <n v="0"/>
    <n v="0"/>
    <n v="0"/>
    <n v="0"/>
    <n v="0"/>
    <x v="0"/>
    <n v="162866.9394"/>
    <n v="162866.9394"/>
    <n v="0"/>
    <n v="0"/>
    <x v="0"/>
    <x v="21"/>
  </r>
  <r>
    <s v="ORD00115"/>
    <d v="2024-01-18T00:00:00"/>
    <x v="51"/>
    <x v="16"/>
    <n v="70"/>
    <s v="INV00115"/>
    <n v="70"/>
    <n v="78.696099999999987"/>
    <n v="6"/>
    <d v="2024-12-16T00:00:00"/>
    <m/>
    <m/>
    <m/>
    <n v="78.696099999999987"/>
    <d v="2023-06-06T00:00:00"/>
    <n v="0"/>
    <n v="0"/>
    <n v="0"/>
    <n v="0"/>
    <n v="0"/>
    <n v="1"/>
    <n v="0"/>
    <x v="1"/>
    <n v="5508.726999999999"/>
    <n v="5508.726999999999"/>
    <n v="0"/>
    <n v="2"/>
    <x v="1"/>
    <x v="15"/>
  </r>
  <r>
    <s v="ORD00116"/>
    <d v="2024-01-02T00:00:00"/>
    <x v="15"/>
    <x v="100"/>
    <n v="136"/>
    <s v="INV00116"/>
    <n v="136"/>
    <n v="1232.1033839987899"/>
    <m/>
    <m/>
    <m/>
    <m/>
    <m/>
    <n v="1231.9933000000001"/>
    <d v="2023-01-08T00:00:00"/>
    <n v="0"/>
    <n v="0"/>
    <n v="1"/>
    <n v="0"/>
    <n v="0"/>
    <n v="0"/>
    <n v="0"/>
    <x v="1"/>
    <n v="167566.06022383543"/>
    <n v="167551.08880000003"/>
    <n v="14.971423835406313"/>
    <n v="4"/>
    <x v="1"/>
    <x v="15"/>
  </r>
  <r>
    <s v="ORD00117"/>
    <d v="2024-08-01T00:00:00"/>
    <x v="106"/>
    <x v="101"/>
    <n v="84"/>
    <s v="INV00117"/>
    <n v="84"/>
    <n v="1223.9694"/>
    <m/>
    <m/>
    <m/>
    <m/>
    <m/>
    <n v="1223.9694"/>
    <d v="2023-08-16T00:00:00"/>
    <n v="0"/>
    <n v="0"/>
    <n v="0"/>
    <n v="0"/>
    <n v="0"/>
    <n v="0"/>
    <n v="0"/>
    <x v="0"/>
    <n v="102813.4296"/>
    <n v="102813.4296"/>
    <n v="0"/>
    <n v="0"/>
    <x v="0"/>
    <x v="22"/>
  </r>
  <r>
    <s v="ORD00118"/>
    <d v="2023-05-26T00:00:00"/>
    <x v="107"/>
    <x v="102"/>
    <n v="70"/>
    <s v="INV00118"/>
    <n v="70"/>
    <n v="1093.1199999999999"/>
    <m/>
    <m/>
    <m/>
    <m/>
    <m/>
    <n v="1093.1199999999999"/>
    <d v="2023-04-19T00:00:00"/>
    <n v="0"/>
    <n v="0"/>
    <n v="0"/>
    <n v="0"/>
    <n v="0"/>
    <n v="0"/>
    <n v="0"/>
    <x v="0"/>
    <n v="76518.399999999994"/>
    <n v="76518.399999999994"/>
    <n v="0"/>
    <n v="0"/>
    <x v="0"/>
    <x v="7"/>
  </r>
  <r>
    <s v="ORD00119"/>
    <d v="2024-08-22T00:00:00"/>
    <x v="108"/>
    <x v="103"/>
    <n v="182"/>
    <s v="INV00119"/>
    <n v="182"/>
    <n v="697.85279999999989"/>
    <m/>
    <m/>
    <m/>
    <m/>
    <m/>
    <n v="697.85279999999989"/>
    <d v="2023-08-31T00:00:00"/>
    <n v="0"/>
    <n v="0"/>
    <n v="0"/>
    <n v="0"/>
    <n v="0"/>
    <n v="0"/>
    <n v="0"/>
    <x v="0"/>
    <n v="127009.20959999997"/>
    <n v="127009.20959999997"/>
    <n v="0"/>
    <n v="0"/>
    <x v="0"/>
    <x v="22"/>
  </r>
  <r>
    <s v="ORD00120"/>
    <d v="2023-01-31T00:00:00"/>
    <x v="109"/>
    <x v="104"/>
    <n v="182"/>
    <s v="INV00120"/>
    <n v="182"/>
    <n v="916.35"/>
    <m/>
    <m/>
    <m/>
    <m/>
    <m/>
    <n v="916.35"/>
    <d v="2022-02-24T00:00:00"/>
    <n v="0"/>
    <n v="0"/>
    <n v="0"/>
    <n v="0"/>
    <n v="0"/>
    <n v="0"/>
    <n v="0"/>
    <x v="0"/>
    <n v="166775.70000000001"/>
    <n v="166775.70000000001"/>
    <n v="0"/>
    <n v="0"/>
    <x v="0"/>
    <x v="8"/>
  </r>
  <r>
    <s v="ORD00121"/>
    <d v="2024-07-20T00:00:00"/>
    <x v="110"/>
    <x v="105"/>
    <n v="58"/>
    <s v="INV00121"/>
    <n v="58"/>
    <n v="1085.8974999999998"/>
    <m/>
    <m/>
    <m/>
    <m/>
    <m/>
    <n v="1085.8974999999998"/>
    <d v="2023-08-09T00:00:00"/>
    <n v="0"/>
    <n v="0"/>
    <n v="0"/>
    <n v="0"/>
    <n v="0"/>
    <n v="0"/>
    <n v="0"/>
    <x v="0"/>
    <n v="62982.054999999986"/>
    <n v="62982.054999999986"/>
    <n v="0"/>
    <n v="0"/>
    <x v="0"/>
    <x v="21"/>
  </r>
  <r>
    <s v="ORD00122"/>
    <d v="2024-12-31T00:00:00"/>
    <x v="111"/>
    <x v="50"/>
    <n v="189"/>
    <s v="INV00122"/>
    <n v="189"/>
    <n v="49.450800000000001"/>
    <m/>
    <m/>
    <m/>
    <m/>
    <m/>
    <n v="49.450800000000001"/>
    <d v="2023-08-30T00:00:00"/>
    <n v="0"/>
    <n v="0"/>
    <n v="0"/>
    <n v="0"/>
    <n v="0"/>
    <n v="0"/>
    <n v="0"/>
    <x v="0"/>
    <n v="9346.2011999999995"/>
    <n v="9346.2011999999995"/>
    <n v="0"/>
    <n v="0"/>
    <x v="0"/>
    <x v="1"/>
  </r>
  <r>
    <s v="ORD00123"/>
    <d v="2024-05-03T00:00:00"/>
    <x v="112"/>
    <x v="106"/>
    <n v="148"/>
    <s v="INV00123"/>
    <n v="147"/>
    <n v="652.1472"/>
    <m/>
    <m/>
    <m/>
    <m/>
    <m/>
    <n v="652.1472"/>
    <d v="2023-02-02T00:00:00"/>
    <n v="0"/>
    <n v="1"/>
    <n v="0"/>
    <n v="0"/>
    <n v="0"/>
    <n v="0"/>
    <n v="0"/>
    <x v="1"/>
    <n v="95865.638399999996"/>
    <n v="96517.785600000003"/>
    <n v="-652.14720000000671"/>
    <n v="8"/>
    <x v="2"/>
    <x v="13"/>
  </r>
  <r>
    <s v="ORD00124"/>
    <d v="2023-05-06T00:00:00"/>
    <x v="113"/>
    <x v="107"/>
    <n v="102"/>
    <s v="INV00124"/>
    <n v="102"/>
    <n v="52.185000000000002"/>
    <m/>
    <m/>
    <m/>
    <m/>
    <m/>
    <n v="52.185000000000002"/>
    <d v="2023-03-13T00:00:00"/>
    <n v="0"/>
    <n v="0"/>
    <n v="0"/>
    <n v="0"/>
    <n v="0"/>
    <n v="0"/>
    <n v="0"/>
    <x v="0"/>
    <n v="5322.87"/>
    <n v="5322.87"/>
    <n v="0"/>
    <n v="0"/>
    <x v="0"/>
    <x v="7"/>
  </r>
  <r>
    <s v="ORD00125"/>
    <d v="2024-02-07T00:00:00"/>
    <x v="114"/>
    <x v="108"/>
    <n v="124"/>
    <s v="INV00125"/>
    <n v="124"/>
    <n v="1072.5387000000001"/>
    <m/>
    <m/>
    <m/>
    <m/>
    <m/>
    <n v="1072.5387000000001"/>
    <d v="2023-04-07T00:00:00"/>
    <n v="0"/>
    <n v="0"/>
    <n v="0"/>
    <n v="0"/>
    <n v="0"/>
    <n v="0"/>
    <n v="0"/>
    <x v="0"/>
    <n v="132994.79880000002"/>
    <n v="132994.79880000002"/>
    <n v="0"/>
    <n v="0"/>
    <x v="0"/>
    <x v="3"/>
  </r>
  <r>
    <s v="ORD00126"/>
    <d v="2023-12-13T00:00:00"/>
    <x v="40"/>
    <x v="0"/>
    <n v="2"/>
    <s v="INV00126"/>
    <n v="2"/>
    <n v="446.4905"/>
    <m/>
    <m/>
    <m/>
    <m/>
    <m/>
    <n v="446.4905"/>
    <d v="2023-08-23T00:00:00"/>
    <n v="0"/>
    <n v="0"/>
    <n v="0"/>
    <n v="0"/>
    <n v="0"/>
    <n v="0"/>
    <n v="0"/>
    <x v="0"/>
    <n v="892.98099999999999"/>
    <n v="892.98099999999999"/>
    <n v="0"/>
    <n v="0"/>
    <x v="0"/>
    <x v="20"/>
  </r>
  <r>
    <s v="ORD00127"/>
    <d v="2023-08-19T00:00:00"/>
    <x v="115"/>
    <x v="109"/>
    <n v="153"/>
    <s v="INV00127"/>
    <n v="153"/>
    <n v="457.65019999999998"/>
    <m/>
    <m/>
    <m/>
    <m/>
    <m/>
    <n v="457.65019999999998"/>
    <d v="2023-01-24T00:00:00"/>
    <n v="0"/>
    <n v="0"/>
    <n v="0"/>
    <n v="0"/>
    <n v="0"/>
    <n v="0"/>
    <n v="0"/>
    <x v="0"/>
    <n v="70020.480599999995"/>
    <n v="70020.480599999995"/>
    <n v="0"/>
    <n v="0"/>
    <x v="0"/>
    <x v="12"/>
  </r>
  <r>
    <s v="ORD00128"/>
    <d v="2023-05-27T00:00:00"/>
    <x v="116"/>
    <x v="110"/>
    <n v="111"/>
    <s v="INV00128"/>
    <n v="111"/>
    <n v="1021.8869999999999"/>
    <n v="9"/>
    <d v="2023-12-26T00:00:00"/>
    <m/>
    <m/>
    <m/>
    <n v="1021.8869999999999"/>
    <d v="2023-04-04T00:00:00"/>
    <n v="0"/>
    <n v="0"/>
    <n v="0"/>
    <n v="0"/>
    <n v="0"/>
    <n v="1"/>
    <n v="0"/>
    <x v="1"/>
    <n v="113429.45699999999"/>
    <n v="113429.45699999999"/>
    <n v="0"/>
    <n v="2"/>
    <x v="1"/>
    <x v="7"/>
  </r>
  <r>
    <s v="ORD00129"/>
    <d v="2023-09-11T00:00:00"/>
    <x v="117"/>
    <x v="94"/>
    <n v="49"/>
    <s v="INV00129"/>
    <n v="49"/>
    <n v="765.52319999999997"/>
    <m/>
    <m/>
    <m/>
    <m/>
    <m/>
    <n v="765.52319999999997"/>
    <d v="2023-09-05T00:00:00"/>
    <n v="0"/>
    <n v="0"/>
    <n v="0"/>
    <n v="0"/>
    <n v="0"/>
    <n v="0"/>
    <n v="0"/>
    <x v="0"/>
    <n v="37510.6368"/>
    <n v="37510.6368"/>
    <n v="0"/>
    <n v="0"/>
    <x v="0"/>
    <x v="18"/>
  </r>
  <r>
    <s v="ORD00130"/>
    <d v="2023-04-19T00:00:00"/>
    <x v="118"/>
    <x v="28"/>
    <n v="41"/>
    <s v="INV00130"/>
    <n v="41"/>
    <n v="975.72600000000011"/>
    <m/>
    <m/>
    <m/>
    <m/>
    <m/>
    <n v="975.72600000000011"/>
    <d v="2022-10-30T00:00:00"/>
    <n v="0"/>
    <n v="0"/>
    <n v="0"/>
    <n v="0"/>
    <n v="0"/>
    <n v="0"/>
    <n v="0"/>
    <x v="0"/>
    <n v="40004.766000000003"/>
    <n v="40004.766000000003"/>
    <n v="0"/>
    <n v="0"/>
    <x v="0"/>
    <x v="23"/>
  </r>
  <r>
    <s v="ORD00131"/>
    <d v="2024-03-08T00:00:00"/>
    <x v="119"/>
    <x v="111"/>
    <n v="75"/>
    <s v="INV00131"/>
    <n v="75"/>
    <n v="147.17669999999998"/>
    <m/>
    <m/>
    <m/>
    <m/>
    <m/>
    <n v="147.17669999999998"/>
    <d v="2023-04-23T00:00:00"/>
    <n v="0"/>
    <n v="0"/>
    <n v="0"/>
    <n v="0"/>
    <n v="0"/>
    <n v="0"/>
    <n v="0"/>
    <x v="0"/>
    <n v="11038.252499999999"/>
    <n v="11038.252499999999"/>
    <n v="0"/>
    <n v="0"/>
    <x v="0"/>
    <x v="6"/>
  </r>
  <r>
    <s v="ORD00132"/>
    <d v="2024-08-02T00:00:00"/>
    <x v="120"/>
    <x v="112"/>
    <n v="120"/>
    <s v="INV00132"/>
    <n v="120"/>
    <n v="322.71780000000001"/>
    <m/>
    <m/>
    <m/>
    <m/>
    <m/>
    <n v="322.71780000000001"/>
    <d v="2023-08-31T00:00:00"/>
    <n v="0"/>
    <n v="0"/>
    <n v="0"/>
    <n v="0"/>
    <n v="0"/>
    <n v="0"/>
    <n v="0"/>
    <x v="0"/>
    <n v="38726.135999999999"/>
    <n v="38726.135999999999"/>
    <n v="0"/>
    <n v="0"/>
    <x v="0"/>
    <x v="22"/>
  </r>
  <r>
    <s v="ORD00133"/>
    <d v="2024-10-07T00:00:00"/>
    <x v="121"/>
    <x v="50"/>
    <n v="89"/>
    <s v="INV00133"/>
    <n v="89"/>
    <n v="49.450800000000001"/>
    <m/>
    <m/>
    <m/>
    <m/>
    <m/>
    <n v="49.450800000000001"/>
    <d v="2023-08-30T00:00:00"/>
    <n v="0"/>
    <n v="0"/>
    <n v="0"/>
    <n v="0"/>
    <n v="0"/>
    <n v="0"/>
    <n v="0"/>
    <x v="0"/>
    <n v="4401.1212000000005"/>
    <n v="4401.1212000000005"/>
    <n v="0"/>
    <n v="0"/>
    <x v="0"/>
    <x v="5"/>
  </r>
  <r>
    <s v="ORD00134"/>
    <d v="2024-11-19T00:00:00"/>
    <x v="122"/>
    <x v="113"/>
    <n v="87"/>
    <s v="INV00134"/>
    <n v="87"/>
    <n v="951.54780000000005"/>
    <m/>
    <m/>
    <m/>
    <m/>
    <m/>
    <n v="951.54780000000005"/>
    <d v="2023-02-07T00:00:00"/>
    <n v="0"/>
    <n v="0"/>
    <n v="0"/>
    <n v="0"/>
    <n v="0"/>
    <n v="0"/>
    <n v="0"/>
    <x v="0"/>
    <n v="82784.65860000001"/>
    <n v="82784.65860000001"/>
    <n v="0"/>
    <n v="0"/>
    <x v="0"/>
    <x v="4"/>
  </r>
  <r>
    <s v="ORD00135"/>
    <d v="2023-08-03T00:00:00"/>
    <x v="123"/>
    <x v="114"/>
    <n v="135"/>
    <s v="INV00135"/>
    <n v="135"/>
    <n v="945.38850000000002"/>
    <m/>
    <m/>
    <m/>
    <m/>
    <m/>
    <n v="945.38850000000002"/>
    <d v="2023-05-01T00:00:00"/>
    <n v="0"/>
    <n v="0"/>
    <n v="0"/>
    <n v="0"/>
    <n v="0"/>
    <n v="0"/>
    <n v="0"/>
    <x v="0"/>
    <n v="127627.44750000001"/>
    <n v="127627.44750000001"/>
    <n v="0"/>
    <n v="0"/>
    <x v="0"/>
    <x v="12"/>
  </r>
  <r>
    <s v="ORD00136"/>
    <d v="2023-12-22T00:00:00"/>
    <x v="124"/>
    <x v="115"/>
    <n v="166"/>
    <s v="INV00136"/>
    <n v="166"/>
    <n v="208.65799999999999"/>
    <m/>
    <m/>
    <m/>
    <m/>
    <m/>
    <n v="208.65799999999999"/>
    <d v="2023-02-14T00:00:00"/>
    <n v="0"/>
    <n v="0"/>
    <n v="0"/>
    <n v="0"/>
    <n v="0"/>
    <n v="0"/>
    <n v="0"/>
    <x v="0"/>
    <n v="34637.227999999996"/>
    <n v="34637.227999999996"/>
    <n v="0"/>
    <n v="0"/>
    <x v="0"/>
    <x v="20"/>
  </r>
  <r>
    <s v="ORD00137"/>
    <d v="2024-05-02T00:00:00"/>
    <x v="125"/>
    <x v="116"/>
    <n v="124"/>
    <s v="INV00137"/>
    <n v="124"/>
    <n v="279.42789999999997"/>
    <m/>
    <m/>
    <m/>
    <m/>
    <m/>
    <n v="279.42789999999997"/>
    <d v="2023-06-26T00:00:00"/>
    <n v="0"/>
    <n v="0"/>
    <n v="0"/>
    <n v="0"/>
    <n v="0"/>
    <n v="0"/>
    <n v="0"/>
    <x v="0"/>
    <n v="34649.059599999993"/>
    <n v="34649.059599999993"/>
    <n v="0"/>
    <n v="0"/>
    <x v="0"/>
    <x v="13"/>
  </r>
  <r>
    <s v="ORD00138"/>
    <d v="2023-05-07T00:00:00"/>
    <x v="126"/>
    <x v="117"/>
    <n v="141"/>
    <s v="INV00138"/>
    <n v="141"/>
    <n v="199.8895"/>
    <m/>
    <m/>
    <m/>
    <m/>
    <m/>
    <n v="199.8895"/>
    <d v="2022-09-03T00:00:00"/>
    <n v="0"/>
    <n v="0"/>
    <n v="0"/>
    <n v="0"/>
    <n v="0"/>
    <n v="0"/>
    <n v="0"/>
    <x v="0"/>
    <n v="28184.4195"/>
    <n v="28184.4195"/>
    <n v="0"/>
    <n v="0"/>
    <x v="0"/>
    <x v="7"/>
  </r>
  <r>
    <s v="ORD00139"/>
    <d v="2023-09-22T00:00:00"/>
    <x v="127"/>
    <x v="118"/>
    <n v="108"/>
    <s v="INV00139"/>
    <n v="108"/>
    <n v="130.87360000000001"/>
    <m/>
    <m/>
    <m/>
    <m/>
    <m/>
    <n v="130.87360000000001"/>
    <d v="2023-05-28T00:00:00"/>
    <n v="0"/>
    <n v="0"/>
    <n v="0"/>
    <n v="0"/>
    <n v="0"/>
    <n v="0"/>
    <n v="0"/>
    <x v="0"/>
    <n v="14134.348800000002"/>
    <n v="14134.348800000002"/>
    <n v="0"/>
    <n v="0"/>
    <x v="0"/>
    <x v="18"/>
  </r>
  <r>
    <s v="ORD00140"/>
    <d v="2023-01-31T00:00:00"/>
    <x v="76"/>
    <x v="119"/>
    <n v="12"/>
    <s v="INV00140"/>
    <n v="12"/>
    <n v="80.141999999999996"/>
    <m/>
    <m/>
    <m/>
    <m/>
    <m/>
    <n v="80.141999999999996"/>
    <d v="2022-11-05T00:00:00"/>
    <n v="0"/>
    <n v="0"/>
    <n v="0"/>
    <n v="0"/>
    <n v="0"/>
    <n v="0"/>
    <n v="0"/>
    <x v="0"/>
    <n v="961.70399999999995"/>
    <n v="961.70399999999995"/>
    <n v="0"/>
    <n v="0"/>
    <x v="0"/>
    <x v="8"/>
  </r>
  <r>
    <s v="ORD00141"/>
    <d v="2024-10-19T00:00:00"/>
    <x v="128"/>
    <x v="74"/>
    <n v="189"/>
    <s v="INV00141"/>
    <n v="189"/>
    <n v="1184.9544000000001"/>
    <m/>
    <m/>
    <m/>
    <m/>
    <m/>
    <n v="1184.9544000000001"/>
    <d v="2023-09-02T00:00:00"/>
    <n v="0"/>
    <n v="0"/>
    <n v="0"/>
    <n v="0"/>
    <n v="0"/>
    <n v="0"/>
    <n v="0"/>
    <x v="0"/>
    <n v="223956.38160000002"/>
    <n v="223956.38160000002"/>
    <n v="0"/>
    <n v="0"/>
    <x v="0"/>
    <x v="5"/>
  </r>
  <r>
    <s v="ORD00142"/>
    <d v="2024-01-25T00:00:00"/>
    <x v="33"/>
    <x v="104"/>
    <n v="156"/>
    <s v="INV00142"/>
    <n v="156"/>
    <n v="898.02300000000002"/>
    <m/>
    <m/>
    <m/>
    <m/>
    <m/>
    <n v="898.02300000000002"/>
    <d v="2023-04-10T00:00:00"/>
    <n v="0"/>
    <n v="0"/>
    <n v="0"/>
    <n v="0"/>
    <n v="0"/>
    <n v="0"/>
    <n v="0"/>
    <x v="0"/>
    <n v="140091.58800000002"/>
    <n v="140091.58800000002"/>
    <n v="0"/>
    <n v="0"/>
    <x v="0"/>
    <x v="15"/>
  </r>
  <r>
    <s v="ORD00143"/>
    <d v="2023-10-14T00:00:00"/>
    <x v="129"/>
    <x v="120"/>
    <n v="142"/>
    <s v="INV00143"/>
    <n v="142"/>
    <n v="989.96579999999994"/>
    <m/>
    <m/>
    <m/>
    <m/>
    <m/>
    <n v="989.96579999999994"/>
    <d v="2023-02-18T00:00:00"/>
    <n v="0"/>
    <n v="0"/>
    <n v="0"/>
    <n v="0"/>
    <n v="0"/>
    <n v="0"/>
    <n v="0"/>
    <x v="0"/>
    <n v="140575.14359999998"/>
    <n v="140575.14359999998"/>
    <n v="0"/>
    <n v="0"/>
    <x v="0"/>
    <x v="19"/>
  </r>
  <r>
    <s v="ORD00144"/>
    <d v="2023-02-12T00:00:00"/>
    <x v="130"/>
    <x v="98"/>
    <n v="184"/>
    <s v="INV00144"/>
    <n v="184"/>
    <n v="1088.2664000000002"/>
    <m/>
    <m/>
    <m/>
    <m/>
    <m/>
    <n v="1088.2664000000002"/>
    <d v="2022-12-23T00:00:00"/>
    <n v="0"/>
    <n v="0"/>
    <n v="0"/>
    <n v="0"/>
    <n v="0"/>
    <n v="0"/>
    <n v="0"/>
    <x v="0"/>
    <n v="200241.01760000005"/>
    <n v="200241.01760000005"/>
    <n v="0"/>
    <n v="0"/>
    <x v="0"/>
    <x v="11"/>
  </r>
  <r>
    <s v="ORD00145"/>
    <d v="2024-04-18T00:00:00"/>
    <x v="131"/>
    <x v="121"/>
    <n v="14"/>
    <s v="INV00145"/>
    <n v="14"/>
    <n v="1061.8169845306111"/>
    <m/>
    <m/>
    <m/>
    <m/>
    <m/>
    <n v="1061.7264"/>
    <d v="2023-09-11T00:00:00"/>
    <n v="0"/>
    <n v="0"/>
    <n v="1"/>
    <n v="0"/>
    <n v="0"/>
    <n v="0"/>
    <n v="0"/>
    <x v="1"/>
    <n v="14865.437783428555"/>
    <n v="14864.169600000001"/>
    <n v="1.268183428554039"/>
    <n v="4"/>
    <x v="1"/>
    <x v="9"/>
  </r>
  <r>
    <s v="ORD00146"/>
    <d v="2024-04-21T00:00:00"/>
    <x v="132"/>
    <x v="117"/>
    <n v="42"/>
    <s v="INV00146"/>
    <n v="42"/>
    <n v="214.6182"/>
    <m/>
    <m/>
    <m/>
    <m/>
    <m/>
    <n v="214.6182"/>
    <d v="2023-07-09T00:00:00"/>
    <n v="0"/>
    <n v="0"/>
    <n v="0"/>
    <n v="0"/>
    <n v="0"/>
    <n v="0"/>
    <n v="0"/>
    <x v="0"/>
    <n v="9013.9644000000008"/>
    <n v="9013.9644000000008"/>
    <n v="0"/>
    <n v="0"/>
    <x v="0"/>
    <x v="9"/>
  </r>
  <r>
    <s v="ORD00147"/>
    <d v="2024-12-21T00:00:00"/>
    <x v="133"/>
    <x v="23"/>
    <n v="171"/>
    <s v="INV00147"/>
    <n v="171"/>
    <n v="77.398200000000003"/>
    <m/>
    <m/>
    <m/>
    <m/>
    <m/>
    <n v="77.398200000000003"/>
    <d v="2023-04-16T00:00:00"/>
    <n v="0"/>
    <n v="0"/>
    <n v="0"/>
    <n v="0"/>
    <n v="0"/>
    <n v="0"/>
    <n v="0"/>
    <x v="0"/>
    <n v="13235.092200000001"/>
    <n v="13235.092200000001"/>
    <n v="0"/>
    <n v="0"/>
    <x v="0"/>
    <x v="1"/>
  </r>
  <r>
    <s v="ORD00148"/>
    <d v="2023-11-17T00:00:00"/>
    <x v="134"/>
    <x v="122"/>
    <n v="82"/>
    <s v="INV00148"/>
    <n v="82"/>
    <n v="75.620999999999995"/>
    <m/>
    <m/>
    <m/>
    <m/>
    <m/>
    <n v="75.620999999999995"/>
    <d v="2023-07-01T00:00:00"/>
    <n v="0"/>
    <n v="0"/>
    <n v="0"/>
    <n v="0"/>
    <n v="0"/>
    <n v="0"/>
    <n v="0"/>
    <x v="0"/>
    <n v="6200.9219999999996"/>
    <n v="6200.9219999999996"/>
    <n v="0"/>
    <n v="0"/>
    <x v="0"/>
    <x v="0"/>
  </r>
  <r>
    <s v="ORD00149"/>
    <d v="2023-06-20T00:00:00"/>
    <x v="135"/>
    <x v="65"/>
    <n v="93"/>
    <s v="INV00149"/>
    <n v="93"/>
    <n v="660.96040000000005"/>
    <m/>
    <m/>
    <m/>
    <m/>
    <m/>
    <n v="660.96040000000005"/>
    <d v="2023-01-21T00:00:00"/>
    <n v="0"/>
    <n v="0"/>
    <n v="0"/>
    <n v="0"/>
    <n v="0"/>
    <n v="0"/>
    <n v="0"/>
    <x v="0"/>
    <n v="61469.317200000005"/>
    <n v="61469.317200000005"/>
    <n v="0"/>
    <n v="0"/>
    <x v="0"/>
    <x v="14"/>
  </r>
  <r>
    <s v="ORD00150"/>
    <d v="2024-01-27T00:00:00"/>
    <x v="136"/>
    <x v="64"/>
    <n v="43"/>
    <s v="INV00150"/>
    <n v="43"/>
    <n v="1129.6166000000001"/>
    <n v="7"/>
    <d v="2023-09-25T00:00:00"/>
    <m/>
    <m/>
    <m/>
    <n v="1129.6166000000001"/>
    <d v="2023-02-03T00:00:00"/>
    <n v="0"/>
    <n v="0"/>
    <n v="0"/>
    <n v="0"/>
    <n v="0"/>
    <n v="0"/>
    <n v="0"/>
    <x v="0"/>
    <n v="48573.513800000001"/>
    <n v="48573.513800000001"/>
    <n v="0"/>
    <n v="0"/>
    <x v="0"/>
    <x v="15"/>
  </r>
  <r>
    <s v="ORD00151"/>
    <d v="2023-07-18T00:00:00"/>
    <x v="137"/>
    <x v="123"/>
    <n v="150"/>
    <s v="INV00151"/>
    <n v="150"/>
    <n v="618.375"/>
    <m/>
    <m/>
    <m/>
    <m/>
    <m/>
    <n v="618.375"/>
    <d v="2023-07-17T00:00:00"/>
    <n v="0"/>
    <n v="0"/>
    <n v="0"/>
    <n v="0"/>
    <n v="0"/>
    <n v="0"/>
    <n v="0"/>
    <x v="0"/>
    <n v="92756.25"/>
    <n v="92756.25"/>
    <n v="0"/>
    <n v="0"/>
    <x v="0"/>
    <x v="10"/>
  </r>
  <r>
    <s v="ORD00152"/>
    <d v="2023-12-06T00:00:00"/>
    <x v="138"/>
    <x v="100"/>
    <n v="33"/>
    <s v="INV00152"/>
    <n v="33"/>
    <n v="1231.9933000000001"/>
    <m/>
    <m/>
    <m/>
    <m/>
    <m/>
    <n v="1231.9933000000001"/>
    <d v="2023-01-08T00:00:00"/>
    <n v="0"/>
    <n v="0"/>
    <n v="0"/>
    <n v="0"/>
    <n v="0"/>
    <n v="0"/>
    <n v="0"/>
    <x v="0"/>
    <n v="40655.778900000005"/>
    <n v="40655.778900000005"/>
    <n v="0"/>
    <n v="0"/>
    <x v="0"/>
    <x v="20"/>
  </r>
  <r>
    <s v="ORD00153"/>
    <d v="2024-04-08T00:00:00"/>
    <x v="139"/>
    <x v="92"/>
    <n v="156"/>
    <s v="INV00153"/>
    <n v="156"/>
    <n v="833.73500000000001"/>
    <m/>
    <m/>
    <m/>
    <m/>
    <m/>
    <n v="833.73500000000001"/>
    <d v="2023-08-29T00:00:00"/>
    <n v="0"/>
    <n v="0"/>
    <n v="0"/>
    <n v="0"/>
    <n v="0"/>
    <n v="0"/>
    <n v="0"/>
    <x v="0"/>
    <n v="130062.66"/>
    <n v="130062.66"/>
    <n v="0"/>
    <n v="0"/>
    <x v="0"/>
    <x v="9"/>
  </r>
  <r>
    <s v="ORD00154"/>
    <d v="2024-04-26T00:00:00"/>
    <x v="140"/>
    <x v="31"/>
    <n v="59"/>
    <s v="INV00154"/>
    <n v="59"/>
    <n v="1147.3289"/>
    <m/>
    <m/>
    <m/>
    <m/>
    <m/>
    <n v="1147.3289"/>
    <d v="2023-01-19T00:00:00"/>
    <n v="0"/>
    <n v="0"/>
    <n v="0"/>
    <n v="0"/>
    <n v="0"/>
    <n v="0"/>
    <n v="0"/>
    <x v="0"/>
    <n v="67692.405100000004"/>
    <n v="67692.405100000004"/>
    <n v="0"/>
    <n v="0"/>
    <x v="0"/>
    <x v="9"/>
  </r>
  <r>
    <s v="ORD00155"/>
    <d v="2023-10-27T00:00:00"/>
    <x v="141"/>
    <x v="124"/>
    <n v="87"/>
    <s v="INV00155"/>
    <n v="87"/>
    <n v="381.97550000000001"/>
    <m/>
    <m/>
    <m/>
    <m/>
    <m/>
    <n v="381.97550000000001"/>
    <d v="2023-05-19T00:00:00"/>
    <n v="0"/>
    <n v="0"/>
    <n v="0"/>
    <n v="0"/>
    <n v="0"/>
    <n v="0"/>
    <n v="0"/>
    <x v="0"/>
    <n v="33231.868500000004"/>
    <n v="33231.868500000004"/>
    <n v="0"/>
    <n v="0"/>
    <x v="0"/>
    <x v="19"/>
  </r>
  <r>
    <s v="ORD00156"/>
    <d v="2024-10-25T00:00:00"/>
    <x v="142"/>
    <x v="125"/>
    <n v="9"/>
    <s v="INV00156"/>
    <n v="9"/>
    <n v="405.98"/>
    <m/>
    <m/>
    <m/>
    <m/>
    <m/>
    <n v="405.98"/>
    <d v="2023-08-14T00:00:00"/>
    <n v="0"/>
    <n v="0"/>
    <n v="0"/>
    <n v="0"/>
    <n v="0"/>
    <n v="0"/>
    <n v="0"/>
    <x v="0"/>
    <n v="3653.82"/>
    <n v="3653.82"/>
    <n v="0"/>
    <n v="0"/>
    <x v="0"/>
    <x v="5"/>
  </r>
  <r>
    <s v="ORD00157"/>
    <d v="2024-04-08T00:00:00"/>
    <x v="143"/>
    <x v="27"/>
    <n v="199"/>
    <s v="INV00157"/>
    <n v="199"/>
    <n v="715.86900000000003"/>
    <m/>
    <m/>
    <m/>
    <m/>
    <m/>
    <n v="715.86900000000003"/>
    <d v="2023-08-02T00:00:00"/>
    <n v="0"/>
    <n v="0"/>
    <n v="0"/>
    <n v="0"/>
    <n v="0"/>
    <n v="0"/>
    <n v="0"/>
    <x v="0"/>
    <n v="142457.93100000001"/>
    <n v="142457.93100000001"/>
    <n v="0"/>
    <n v="0"/>
    <x v="0"/>
    <x v="9"/>
  </r>
  <r>
    <s v="ORD00158"/>
    <d v="2023-04-06T00:00:00"/>
    <x v="144"/>
    <x v="126"/>
    <n v="59"/>
    <s v="INV00158"/>
    <n v="59"/>
    <n v="287.16503427653129"/>
    <m/>
    <m/>
    <m/>
    <m/>
    <m/>
    <n v="287.14"/>
    <d v="2023-02-20T00:00:00"/>
    <n v="0"/>
    <n v="0"/>
    <n v="1"/>
    <n v="0"/>
    <n v="0"/>
    <n v="0"/>
    <n v="0"/>
    <x v="1"/>
    <n v="16942.737022315345"/>
    <n v="16941.259999999998"/>
    <n v="1.477022315346403"/>
    <n v="4"/>
    <x v="1"/>
    <x v="23"/>
  </r>
  <r>
    <s v="ORD00159"/>
    <d v="2024-03-01T00:00:00"/>
    <x v="145"/>
    <x v="127"/>
    <n v="150"/>
    <s v="INV00159"/>
    <n v="150"/>
    <n v="343.34190000000001"/>
    <m/>
    <m/>
    <m/>
    <m/>
    <m/>
    <n v="343.34190000000001"/>
    <d v="2023-07-19T00:00:00"/>
    <n v="0"/>
    <n v="0"/>
    <n v="0"/>
    <n v="0"/>
    <n v="0"/>
    <n v="0"/>
    <n v="0"/>
    <x v="0"/>
    <n v="51501.285000000003"/>
    <n v="51501.285000000003"/>
    <n v="0"/>
    <n v="0"/>
    <x v="0"/>
    <x v="6"/>
  </r>
  <r>
    <s v="ORD00160"/>
    <d v="2024-02-14T00:00:00"/>
    <x v="146"/>
    <x v="109"/>
    <n v="167"/>
    <s v="INV00160"/>
    <n v="167"/>
    <n v="457.65019999999998"/>
    <m/>
    <m/>
    <m/>
    <m/>
    <m/>
    <n v="457.65019999999998"/>
    <d v="2023-01-24T00:00:00"/>
    <n v="0"/>
    <n v="0"/>
    <n v="0"/>
    <n v="0"/>
    <n v="0"/>
    <n v="0"/>
    <n v="0"/>
    <x v="0"/>
    <n v="76427.583400000003"/>
    <n v="76427.583400000003"/>
    <n v="0"/>
    <n v="0"/>
    <x v="0"/>
    <x v="3"/>
  </r>
  <r>
    <s v="ORD00161"/>
    <d v="2023-03-07T00:00:00"/>
    <x v="147"/>
    <x v="32"/>
    <n v="91"/>
    <s v="INV00161"/>
    <n v="91"/>
    <n v="983.07600000000002"/>
    <m/>
    <m/>
    <m/>
    <m/>
    <m/>
    <n v="983.07600000000002"/>
    <d v="2022-08-02T00:00:00"/>
    <n v="0"/>
    <n v="0"/>
    <n v="0"/>
    <n v="0"/>
    <n v="0"/>
    <n v="0"/>
    <n v="0"/>
    <x v="0"/>
    <n v="89459.915999999997"/>
    <n v="89459.915999999997"/>
    <n v="0"/>
    <n v="0"/>
    <x v="0"/>
    <x v="17"/>
  </r>
  <r>
    <s v="ORD00162"/>
    <d v="2024-07-19T00:00:00"/>
    <x v="148"/>
    <x v="128"/>
    <n v="196"/>
    <s v="INV00162"/>
    <n v="196"/>
    <n v="440.38799999999998"/>
    <m/>
    <m/>
    <m/>
    <m/>
    <m/>
    <n v="440.38799999999998"/>
    <d v="2023-03-31T00:00:00"/>
    <n v="0"/>
    <n v="0"/>
    <n v="0"/>
    <n v="0"/>
    <n v="0"/>
    <n v="0"/>
    <n v="0"/>
    <x v="0"/>
    <n v="86316.047999999995"/>
    <n v="86316.047999999995"/>
    <n v="0"/>
    <n v="0"/>
    <x v="0"/>
    <x v="21"/>
  </r>
  <r>
    <s v="ORD00163"/>
    <d v="2023-01-20T00:00:00"/>
    <x v="43"/>
    <x v="35"/>
    <n v="147"/>
    <s v="INV00163"/>
    <n v="147"/>
    <n v="1131.7511999999999"/>
    <m/>
    <m/>
    <m/>
    <m/>
    <m/>
    <n v="1131.7511999999999"/>
    <d v="2022-09-02T00:00:00"/>
    <n v="0"/>
    <n v="0"/>
    <n v="0"/>
    <n v="0"/>
    <n v="0"/>
    <n v="0"/>
    <n v="0"/>
    <x v="0"/>
    <n v="166367.4264"/>
    <n v="166367.4264"/>
    <n v="0"/>
    <n v="0"/>
    <x v="0"/>
    <x v="8"/>
  </r>
  <r>
    <s v="ORD00164"/>
    <d v="2023-02-12T00:00:00"/>
    <x v="149"/>
    <x v="129"/>
    <n v="97"/>
    <s v="INV00164"/>
    <n v="100"/>
    <n v="733.42080000000021"/>
    <m/>
    <m/>
    <m/>
    <m/>
    <m/>
    <n v="733.42080000000021"/>
    <d v="2022-10-22T00:00:00"/>
    <n v="0"/>
    <n v="1"/>
    <n v="0"/>
    <n v="0"/>
    <n v="0"/>
    <n v="0"/>
    <n v="0"/>
    <x v="1"/>
    <n v="73342.080000000016"/>
    <n v="71141.817600000024"/>
    <n v="2200.2623999999923"/>
    <n v="8"/>
    <x v="2"/>
    <x v="11"/>
  </r>
  <r>
    <s v="ORD00165"/>
    <d v="2023-12-10T00:00:00"/>
    <x v="150"/>
    <x v="116"/>
    <n v="30"/>
    <s v="INV00165"/>
    <n v="30"/>
    <n v="279.42789999999997"/>
    <m/>
    <m/>
    <m/>
    <m/>
    <m/>
    <n v="279.42789999999997"/>
    <d v="2023-06-26T00:00:00"/>
    <n v="0"/>
    <n v="0"/>
    <n v="0"/>
    <n v="0"/>
    <n v="0"/>
    <n v="0"/>
    <n v="0"/>
    <x v="0"/>
    <n v="8382.8369999999995"/>
    <n v="8382.8369999999995"/>
    <n v="0"/>
    <n v="0"/>
    <x v="0"/>
    <x v="20"/>
  </r>
  <r>
    <s v="ORD00166"/>
    <d v="2024-03-05T00:00:00"/>
    <x v="21"/>
    <x v="29"/>
    <n v="43"/>
    <s v="INV00166"/>
    <n v="43"/>
    <n v="1103.0465999999999"/>
    <m/>
    <m/>
    <m/>
    <m/>
    <m/>
    <n v="1103.0465999999999"/>
    <d v="2023-10-15T00:00:00"/>
    <n v="0"/>
    <n v="0"/>
    <n v="0"/>
    <n v="0"/>
    <n v="0"/>
    <n v="0"/>
    <n v="0"/>
    <x v="0"/>
    <n v="47431.003799999999"/>
    <n v="47431.003799999999"/>
    <n v="0"/>
    <n v="0"/>
    <x v="0"/>
    <x v="6"/>
  </r>
  <r>
    <s v="ORD00167"/>
    <d v="2023-02-27T00:00:00"/>
    <x v="151"/>
    <x v="130"/>
    <n v="47"/>
    <s v="INV00167"/>
    <n v="47"/>
    <n v="58.98"/>
    <m/>
    <m/>
    <m/>
    <m/>
    <m/>
    <n v="58.98"/>
    <d v="2023-01-08T00:00:00"/>
    <n v="0"/>
    <n v="0"/>
    <n v="0"/>
    <n v="0"/>
    <n v="0"/>
    <n v="0"/>
    <n v="0"/>
    <x v="0"/>
    <n v="2772.06"/>
    <n v="2772.06"/>
    <n v="0"/>
    <n v="0"/>
    <x v="0"/>
    <x v="11"/>
  </r>
  <r>
    <s v="ORD00168"/>
    <d v="2024-10-31T00:00:00"/>
    <x v="152"/>
    <x v="38"/>
    <n v="14"/>
    <s v="INV00168"/>
    <n v="14"/>
    <n v="454.98379999999997"/>
    <m/>
    <m/>
    <m/>
    <m/>
    <m/>
    <n v="454.98379999999997"/>
    <d v="2023-03-26T00:00:00"/>
    <n v="0"/>
    <n v="0"/>
    <n v="0"/>
    <n v="0"/>
    <n v="0"/>
    <n v="0"/>
    <n v="0"/>
    <x v="0"/>
    <n v="6369.7731999999996"/>
    <n v="6369.7731999999996"/>
    <n v="0"/>
    <n v="0"/>
    <x v="0"/>
    <x v="5"/>
  </r>
  <r>
    <s v="ORD00169"/>
    <d v="2024-03-12T00:00:00"/>
    <x v="3"/>
    <x v="131"/>
    <n v="116"/>
    <s v="INV00169"/>
    <n v="116"/>
    <n v="741.88620000000003"/>
    <m/>
    <m/>
    <m/>
    <m/>
    <m/>
    <n v="741.88620000000003"/>
    <d v="2023-01-04T00:00:00"/>
    <n v="0"/>
    <n v="0"/>
    <n v="0"/>
    <n v="0"/>
    <n v="0"/>
    <n v="0"/>
    <n v="0"/>
    <x v="0"/>
    <n v="86058.799200000009"/>
    <n v="86058.799200000009"/>
    <n v="0"/>
    <n v="0"/>
    <x v="0"/>
    <x v="6"/>
  </r>
  <r>
    <s v="ORD00170"/>
    <d v="2023-10-26T00:00:00"/>
    <x v="153"/>
    <x v="132"/>
    <n v="48"/>
    <s v="INV00170"/>
    <n v="48"/>
    <n v="744.44590000000005"/>
    <m/>
    <m/>
    <m/>
    <m/>
    <m/>
    <n v="744.44590000000005"/>
    <d v="2023-03-23T00:00:00"/>
    <n v="0"/>
    <n v="0"/>
    <n v="0"/>
    <n v="0"/>
    <n v="0"/>
    <n v="0"/>
    <n v="0"/>
    <x v="0"/>
    <n v="35733.403200000001"/>
    <n v="35733.403200000001"/>
    <n v="0"/>
    <n v="0"/>
    <x v="0"/>
    <x v="19"/>
  </r>
  <r>
    <s v="ORD00171"/>
    <d v="2024-04-16T00:00:00"/>
    <x v="154"/>
    <x v="102"/>
    <n v="95"/>
    <s v="INV00171"/>
    <n v="95"/>
    <n v="1093.1199999999999"/>
    <m/>
    <m/>
    <m/>
    <m/>
    <m/>
    <n v="1093.1199999999999"/>
    <d v="2023-04-19T00:00:00"/>
    <n v="0"/>
    <n v="0"/>
    <n v="0"/>
    <n v="0"/>
    <n v="0"/>
    <n v="0"/>
    <n v="0"/>
    <x v="0"/>
    <n v="103846.39999999999"/>
    <n v="103846.39999999999"/>
    <n v="0"/>
    <n v="0"/>
    <x v="0"/>
    <x v="9"/>
  </r>
  <r>
    <s v="ORD00172"/>
    <d v="2024-03-19T00:00:00"/>
    <x v="155"/>
    <x v="133"/>
    <n v="189"/>
    <s v="INV00172"/>
    <n v="189"/>
    <n v="1220.5917999999999"/>
    <m/>
    <m/>
    <m/>
    <m/>
    <m/>
    <n v="1220.5917999999999"/>
    <d v="2023-08-15T00:00:00"/>
    <n v="0"/>
    <n v="0"/>
    <n v="0"/>
    <n v="0"/>
    <n v="0"/>
    <n v="0"/>
    <n v="0"/>
    <x v="0"/>
    <n v="230691.85019999999"/>
    <n v="230691.85019999999"/>
    <n v="0"/>
    <n v="0"/>
    <x v="0"/>
    <x v="6"/>
  </r>
  <r>
    <s v="ORD00173"/>
    <d v="2023-05-29T00:00:00"/>
    <x v="156"/>
    <x v="134"/>
    <n v="157"/>
    <s v="INV00173"/>
    <n v="157"/>
    <n v="410.02"/>
    <m/>
    <m/>
    <m/>
    <m/>
    <m/>
    <n v="410.02"/>
    <d v="2023-04-01T00:00:00"/>
    <n v="0"/>
    <n v="0"/>
    <n v="0"/>
    <n v="0"/>
    <n v="0"/>
    <n v="0"/>
    <n v="0"/>
    <x v="0"/>
    <n v="64373.14"/>
    <n v="64373.14"/>
    <n v="0"/>
    <n v="0"/>
    <x v="0"/>
    <x v="7"/>
  </r>
  <r>
    <s v="ORD00174"/>
    <d v="2023-02-17T00:00:00"/>
    <x v="157"/>
    <x v="34"/>
    <n v="79"/>
    <s v="INV00174"/>
    <n v="79"/>
    <n v="397.19560000000001"/>
    <m/>
    <m/>
    <m/>
    <m/>
    <m/>
    <n v="397.19560000000001"/>
    <d v="2023-01-06T00:00:00"/>
    <n v="0"/>
    <n v="0"/>
    <n v="0"/>
    <n v="0"/>
    <n v="0"/>
    <n v="0"/>
    <n v="0"/>
    <x v="0"/>
    <n v="31378.452400000002"/>
    <n v="31378.452400000002"/>
    <n v="0"/>
    <n v="0"/>
    <x v="0"/>
    <x v="11"/>
  </r>
  <r>
    <s v="ORD00175"/>
    <d v="2024-12-21T00:00:00"/>
    <x v="158"/>
    <x v="135"/>
    <n v="200"/>
    <s v="INV00175"/>
    <n v="200"/>
    <n v="1231.8180000000002"/>
    <m/>
    <m/>
    <m/>
    <m/>
    <m/>
    <n v="1231.8180000000002"/>
    <d v="2023-05-02T00:00:00"/>
    <n v="0"/>
    <n v="0"/>
    <n v="0"/>
    <n v="0"/>
    <n v="0"/>
    <n v="0"/>
    <n v="0"/>
    <x v="0"/>
    <n v="246363.60000000003"/>
    <n v="246363.60000000003"/>
    <n v="0"/>
    <n v="0"/>
    <x v="0"/>
    <x v="1"/>
  </r>
  <r>
    <s v="ORD00176"/>
    <d v="2023-12-16T00:00:00"/>
    <x v="159"/>
    <x v="83"/>
    <n v="153"/>
    <s v="INV00176"/>
    <n v="153"/>
    <n v="1157.6343999999999"/>
    <m/>
    <m/>
    <m/>
    <m/>
    <m/>
    <n v="1157.6343999999999"/>
    <d v="2023-02-02T00:00:00"/>
    <n v="0"/>
    <n v="0"/>
    <n v="0"/>
    <n v="0"/>
    <n v="0"/>
    <n v="0"/>
    <n v="0"/>
    <x v="0"/>
    <n v="177118.06319999998"/>
    <n v="177118.06319999998"/>
    <n v="0"/>
    <n v="0"/>
    <x v="0"/>
    <x v="20"/>
  </r>
  <r>
    <s v="ORD00177"/>
    <d v="2023-02-11T00:00:00"/>
    <x v="160"/>
    <x v="136"/>
    <n v="144"/>
    <s v="INV00177"/>
    <n v="144"/>
    <n v="216.2484"/>
    <m/>
    <m/>
    <m/>
    <m/>
    <m/>
    <n v="216.2484"/>
    <d v="2023-01-18T00:00:00"/>
    <n v="0"/>
    <n v="0"/>
    <n v="0"/>
    <n v="0"/>
    <n v="0"/>
    <n v="0"/>
    <n v="0"/>
    <x v="0"/>
    <n v="31139.7696"/>
    <n v="31139.7696"/>
    <n v="0"/>
    <n v="0"/>
    <x v="0"/>
    <x v="11"/>
  </r>
  <r>
    <s v="ORD00178"/>
    <d v="2023-08-27T00:00:00"/>
    <x v="161"/>
    <x v="116"/>
    <n v="31"/>
    <s v="INV00178"/>
    <n v="31"/>
    <n v="279.42789999999997"/>
    <m/>
    <m/>
    <m/>
    <m/>
    <m/>
    <n v="279.42789999999997"/>
    <d v="2023-06-26T00:00:00"/>
    <n v="0"/>
    <n v="0"/>
    <n v="0"/>
    <n v="0"/>
    <n v="0"/>
    <n v="0"/>
    <n v="0"/>
    <x v="0"/>
    <n v="8662.2648999999983"/>
    <n v="8662.2648999999983"/>
    <n v="0"/>
    <n v="0"/>
    <x v="0"/>
    <x v="12"/>
  </r>
  <r>
    <s v="ORD00179"/>
    <d v="2023-01-29T00:00:00"/>
    <x v="162"/>
    <x v="137"/>
    <n v="4"/>
    <s v="INV00179"/>
    <n v="4"/>
    <n v="1142.8668"/>
    <m/>
    <m/>
    <m/>
    <m/>
    <m/>
    <n v="1142.8668"/>
    <d v="2022-09-01T00:00:00"/>
    <n v="0"/>
    <n v="0"/>
    <n v="0"/>
    <n v="0"/>
    <n v="0"/>
    <n v="0"/>
    <n v="0"/>
    <x v="0"/>
    <n v="4571.4672"/>
    <n v="4571.4672"/>
    <n v="0"/>
    <n v="0"/>
    <x v="0"/>
    <x v="8"/>
  </r>
  <r>
    <s v="ORD00180"/>
    <d v="2024-08-05T00:00:00"/>
    <x v="99"/>
    <x v="70"/>
    <n v="177"/>
    <s v="INV00180"/>
    <n v="177"/>
    <n v="68.572800000000001"/>
    <m/>
    <m/>
    <m/>
    <m/>
    <m/>
    <n v="68.572800000000001"/>
    <d v="2023-06-21T00:00:00"/>
    <n v="0"/>
    <n v="0"/>
    <n v="0"/>
    <n v="0"/>
    <n v="0"/>
    <n v="0"/>
    <n v="0"/>
    <x v="0"/>
    <n v="12137.3856"/>
    <n v="12137.3856"/>
    <n v="0"/>
    <n v="0"/>
    <x v="0"/>
    <x v="22"/>
  </r>
  <r>
    <s v="ORD00181"/>
    <d v="2024-03-30T00:00:00"/>
    <x v="163"/>
    <x v="24"/>
    <n v="161"/>
    <s v="INV00181"/>
    <n v="161"/>
    <n v="426.10500000000002"/>
    <m/>
    <m/>
    <m/>
    <m/>
    <m/>
    <n v="426.10500000000002"/>
    <d v="2023-10-16T00:00:00"/>
    <n v="0"/>
    <n v="0"/>
    <n v="0"/>
    <n v="0"/>
    <n v="0"/>
    <n v="0"/>
    <n v="0"/>
    <x v="0"/>
    <n v="68602.904999999999"/>
    <n v="68602.904999999999"/>
    <n v="0"/>
    <n v="0"/>
    <x v="0"/>
    <x v="6"/>
  </r>
  <r>
    <s v="ORD00182"/>
    <d v="2024-06-18T00:00:00"/>
    <x v="164"/>
    <x v="138"/>
    <n v="57"/>
    <s v="INV00182"/>
    <n v="57"/>
    <n v="153.01650000000001"/>
    <m/>
    <m/>
    <m/>
    <m/>
    <m/>
    <n v="153.01650000000001"/>
    <d v="2023-05-18T00:00:00"/>
    <n v="0"/>
    <n v="0"/>
    <n v="0"/>
    <n v="0"/>
    <n v="0"/>
    <n v="0"/>
    <n v="0"/>
    <x v="0"/>
    <n v="8721.9405000000006"/>
    <n v="8721.9405000000006"/>
    <n v="0"/>
    <n v="0"/>
    <x v="0"/>
    <x v="16"/>
  </r>
  <r>
    <s v="ORD00183"/>
    <d v="2024-05-23T00:00:00"/>
    <x v="69"/>
    <x v="100"/>
    <n v="37"/>
    <s v="INV00183"/>
    <n v="37"/>
    <n v="1231.9933000000001"/>
    <m/>
    <m/>
    <m/>
    <m/>
    <m/>
    <n v="1231.9933000000001"/>
    <d v="2023-01-08T00:00:00"/>
    <n v="0"/>
    <n v="0"/>
    <n v="0"/>
    <n v="0"/>
    <n v="0"/>
    <n v="0"/>
    <n v="0"/>
    <x v="0"/>
    <n v="45583.752100000005"/>
    <n v="45583.752100000005"/>
    <n v="0"/>
    <n v="0"/>
    <x v="0"/>
    <x v="13"/>
  </r>
  <r>
    <s v="ORD00184"/>
    <d v="2023-12-20T00:00:00"/>
    <x v="165"/>
    <x v="16"/>
    <n v="162"/>
    <s v="INV00184"/>
    <n v="162"/>
    <n v="78.696099999999987"/>
    <n v="19"/>
    <d v="2024-11-20T00:00:00"/>
    <m/>
    <m/>
    <m/>
    <n v="78.696099999999987"/>
    <d v="2023-06-06T00:00:00"/>
    <n v="0"/>
    <n v="0"/>
    <n v="0"/>
    <n v="0"/>
    <n v="0"/>
    <n v="1"/>
    <n v="0"/>
    <x v="1"/>
    <n v="12748.768199999999"/>
    <n v="12748.768199999999"/>
    <n v="0"/>
    <n v="2"/>
    <x v="1"/>
    <x v="20"/>
  </r>
  <r>
    <s v="ORD00185"/>
    <d v="2023-08-05T00:00:00"/>
    <x v="166"/>
    <x v="139"/>
    <n v="173"/>
    <s v="INV00185"/>
    <n v="173"/>
    <n v="414.32040000000001"/>
    <m/>
    <m/>
    <m/>
    <m/>
    <m/>
    <n v="414.32040000000001"/>
    <d v="2022-12-10T00:00:00"/>
    <n v="0"/>
    <n v="0"/>
    <n v="0"/>
    <n v="0"/>
    <n v="0"/>
    <n v="0"/>
    <n v="0"/>
    <x v="0"/>
    <n v="71677.429199999999"/>
    <n v="71677.429199999999"/>
    <n v="0"/>
    <n v="0"/>
    <x v="0"/>
    <x v="12"/>
  </r>
  <r>
    <s v="ORD00186"/>
    <d v="2024-04-05T00:00:00"/>
    <x v="167"/>
    <x v="60"/>
    <n v="1"/>
    <s v="INV00186"/>
    <n v="1"/>
    <n v="1087.8191999999999"/>
    <m/>
    <m/>
    <m/>
    <m/>
    <m/>
    <n v="1087.8191999999999"/>
    <d v="2023-08-22T00:00:00"/>
    <n v="0"/>
    <n v="0"/>
    <n v="0"/>
    <n v="0"/>
    <n v="0"/>
    <n v="0"/>
    <n v="0"/>
    <x v="0"/>
    <n v="1087.8191999999999"/>
    <n v="1087.8191999999999"/>
    <n v="0"/>
    <n v="0"/>
    <x v="0"/>
    <x v="9"/>
  </r>
  <r>
    <s v="ORD00187"/>
    <d v="2024-09-26T00:00:00"/>
    <x v="168"/>
    <x v="140"/>
    <n v="165"/>
    <s v="INV00187"/>
    <n v="165"/>
    <n v="521.54959999999994"/>
    <m/>
    <m/>
    <m/>
    <m/>
    <m/>
    <n v="521.54959999999994"/>
    <d v="2023-03-09T00:00:00"/>
    <n v="0"/>
    <n v="0"/>
    <n v="0"/>
    <n v="0"/>
    <n v="0"/>
    <n v="0"/>
    <n v="0"/>
    <x v="0"/>
    <n v="86055.683999999994"/>
    <n v="86055.683999999994"/>
    <n v="0"/>
    <n v="0"/>
    <x v="0"/>
    <x v="2"/>
  </r>
  <r>
    <s v="ORD00188"/>
    <d v="2024-09-18T00:00:00"/>
    <x v="169"/>
    <x v="3"/>
    <n v="151"/>
    <s v="INV00188"/>
    <n v="151"/>
    <n v="849.43949999999995"/>
    <m/>
    <m/>
    <m/>
    <m/>
    <m/>
    <n v="849.43949999999995"/>
    <d v="2023-07-07T00:00:00"/>
    <n v="0"/>
    <n v="0"/>
    <n v="0"/>
    <n v="0"/>
    <n v="0"/>
    <n v="0"/>
    <n v="0"/>
    <x v="0"/>
    <n v="128265.3645"/>
    <n v="128265.3645"/>
    <n v="0"/>
    <n v="0"/>
    <x v="0"/>
    <x v="2"/>
  </r>
  <r>
    <s v="ORD00189"/>
    <d v="2024-05-23T00:00:00"/>
    <x v="170"/>
    <x v="141"/>
    <n v="14"/>
    <s v="INV00189"/>
    <n v="14"/>
    <n v="785.89"/>
    <m/>
    <m/>
    <m/>
    <m/>
    <m/>
    <n v="785.89"/>
    <d v="2023-03-04T00:00:00"/>
    <n v="0"/>
    <n v="0"/>
    <n v="0"/>
    <n v="0"/>
    <n v="0"/>
    <n v="0"/>
    <n v="0"/>
    <x v="0"/>
    <n v="11002.46"/>
    <n v="11002.46"/>
    <n v="0"/>
    <n v="0"/>
    <x v="0"/>
    <x v="13"/>
  </r>
  <r>
    <s v="ORD00190"/>
    <d v="2024-11-21T00:00:00"/>
    <x v="171"/>
    <x v="142"/>
    <n v="147"/>
    <s v="INV00190"/>
    <n v="147"/>
    <n v="752.48910000000001"/>
    <m/>
    <m/>
    <m/>
    <m/>
    <m/>
    <n v="752.48910000000001"/>
    <d v="2023-01-27T00:00:00"/>
    <n v="0"/>
    <n v="0"/>
    <n v="0"/>
    <n v="0"/>
    <n v="0"/>
    <n v="0"/>
    <n v="0"/>
    <x v="0"/>
    <n v="110615.8977"/>
    <n v="110615.8977"/>
    <n v="0"/>
    <n v="0"/>
    <x v="0"/>
    <x v="4"/>
  </r>
  <r>
    <s v="ORD00191"/>
    <d v="2023-08-20T00:00:00"/>
    <x v="125"/>
    <x v="143"/>
    <n v="89"/>
    <s v="INV00191"/>
    <n v="89"/>
    <n v="893.8972"/>
    <m/>
    <m/>
    <m/>
    <m/>
    <m/>
    <n v="893.8972"/>
    <d v="2023-05-03T00:00:00"/>
    <n v="0"/>
    <n v="0"/>
    <n v="0"/>
    <n v="0"/>
    <n v="0"/>
    <n v="0"/>
    <n v="0"/>
    <x v="0"/>
    <n v="79556.8508"/>
    <n v="79556.8508"/>
    <n v="0"/>
    <n v="0"/>
    <x v="0"/>
    <x v="12"/>
  </r>
  <r>
    <s v="ORD00192"/>
    <d v="2024-01-19T00:00:00"/>
    <x v="172"/>
    <x v="144"/>
    <n v="127"/>
    <s v="INV00192"/>
    <n v="127"/>
    <n v="324.52350000000001"/>
    <n v="15"/>
    <d v="2023-12-10T00:00:00"/>
    <m/>
    <m/>
    <m/>
    <n v="324.52350000000001"/>
    <d v="2023-06-23T00:00:00"/>
    <n v="0"/>
    <n v="0"/>
    <n v="0"/>
    <n v="0"/>
    <n v="0"/>
    <n v="0"/>
    <n v="0"/>
    <x v="0"/>
    <n v="41214.484499999999"/>
    <n v="41214.484499999999"/>
    <n v="0"/>
    <n v="0"/>
    <x v="0"/>
    <x v="15"/>
  </r>
  <r>
    <s v="ORD00193"/>
    <d v="2023-02-19T00:00:00"/>
    <x v="173"/>
    <x v="1"/>
    <n v="89"/>
    <s v="INV00193"/>
    <n v="89"/>
    <n v="466.43099999999998"/>
    <m/>
    <m/>
    <m/>
    <m/>
    <m/>
    <n v="466.43099999999998"/>
    <d v="2022-11-17T00:00:00"/>
    <n v="0"/>
    <n v="0"/>
    <n v="0"/>
    <n v="0"/>
    <n v="0"/>
    <n v="0"/>
    <n v="0"/>
    <x v="0"/>
    <n v="41512.358999999997"/>
    <n v="41512.358999999997"/>
    <n v="0"/>
    <n v="0"/>
    <x v="0"/>
    <x v="11"/>
  </r>
  <r>
    <s v="ORD00194"/>
    <d v="2023-02-27T00:00:00"/>
    <x v="174"/>
    <x v="49"/>
    <n v="196"/>
    <s v="INV00194"/>
    <n v="196"/>
    <n v="1040.9412"/>
    <m/>
    <m/>
    <m/>
    <m/>
    <m/>
    <n v="1040.9412"/>
    <d v="2023-02-26T00:00:00"/>
    <n v="0"/>
    <n v="0"/>
    <n v="0"/>
    <n v="0"/>
    <n v="0"/>
    <n v="0"/>
    <n v="0"/>
    <x v="0"/>
    <n v="204024.47519999999"/>
    <n v="204024.47519999999"/>
    <n v="0"/>
    <n v="0"/>
    <x v="0"/>
    <x v="11"/>
  </r>
  <r>
    <s v="ORD00195"/>
    <d v="2024-02-10T00:00:00"/>
    <x v="52"/>
    <x v="145"/>
    <n v="4"/>
    <s v="INV00195"/>
    <n v="4"/>
    <n v="185.5224"/>
    <m/>
    <m/>
    <m/>
    <m/>
    <m/>
    <n v="185.5224"/>
    <d v="2023-05-17T00:00:00"/>
    <n v="0"/>
    <n v="0"/>
    <n v="0"/>
    <n v="0"/>
    <n v="0"/>
    <n v="0"/>
    <n v="0"/>
    <x v="0"/>
    <n v="742.08960000000002"/>
    <n v="742.08960000000002"/>
    <n v="0"/>
    <n v="0"/>
    <x v="0"/>
    <x v="3"/>
  </r>
  <r>
    <s v="ORD00196"/>
    <d v="2023-01-06T00:00:00"/>
    <x v="175"/>
    <x v="58"/>
    <n v="59"/>
    <s v="INV00196"/>
    <n v="59"/>
    <n v="561.99"/>
    <m/>
    <m/>
    <m/>
    <m/>
    <m/>
    <n v="561.99"/>
    <d v="2022-05-08T00:00:00"/>
    <n v="0"/>
    <n v="0"/>
    <n v="0"/>
    <n v="0"/>
    <n v="0"/>
    <n v="0"/>
    <n v="0"/>
    <x v="0"/>
    <n v="33157.410000000003"/>
    <n v="33157.410000000003"/>
    <n v="0"/>
    <n v="0"/>
    <x v="0"/>
    <x v="8"/>
  </r>
  <r>
    <s v="ORD00197"/>
    <d v="2024-10-04T00:00:00"/>
    <x v="42"/>
    <x v="120"/>
    <n v="200"/>
    <s v="INV00197"/>
    <n v="199"/>
    <n v="989.96579999999994"/>
    <m/>
    <m/>
    <m/>
    <m/>
    <m/>
    <n v="989.96579999999994"/>
    <d v="2023-02-18T00:00:00"/>
    <n v="0"/>
    <n v="1"/>
    <n v="0"/>
    <n v="0"/>
    <n v="0"/>
    <n v="0"/>
    <n v="0"/>
    <x v="1"/>
    <n v="197003.1942"/>
    <n v="197993.15999999997"/>
    <n v="-989.9657999999763"/>
    <n v="8"/>
    <x v="2"/>
    <x v="5"/>
  </r>
  <r>
    <s v="ORD00198"/>
    <d v="2024-07-23T00:00:00"/>
    <x v="14"/>
    <x v="146"/>
    <n v="132"/>
    <s v="INV00198"/>
    <n v="132"/>
    <n v="428.46220000000005"/>
    <n v="19"/>
    <d v="2024-04-22T00:00:00"/>
    <m/>
    <m/>
    <m/>
    <n v="428.46220000000005"/>
    <d v="2023-06-25T00:00:00"/>
    <n v="0"/>
    <n v="0"/>
    <n v="0"/>
    <n v="0"/>
    <n v="0"/>
    <n v="0"/>
    <n v="0"/>
    <x v="0"/>
    <n v="56557.010400000006"/>
    <n v="56557.010400000006"/>
    <n v="0"/>
    <n v="0"/>
    <x v="0"/>
    <x v="21"/>
  </r>
  <r>
    <s v="ORD00199"/>
    <d v="2023-06-17T00:00:00"/>
    <x v="176"/>
    <x v="110"/>
    <n v="88"/>
    <s v="INV00199"/>
    <n v="88"/>
    <n v="1021.8869999999999"/>
    <n v="4"/>
    <d v="2023-06-22T00:00:00"/>
    <m/>
    <m/>
    <m/>
    <n v="1021.8869999999999"/>
    <d v="2023-04-04T00:00:00"/>
    <n v="0"/>
    <n v="0"/>
    <n v="0"/>
    <n v="0"/>
    <n v="0"/>
    <n v="0"/>
    <n v="0"/>
    <x v="0"/>
    <n v="89926.055999999997"/>
    <n v="89926.055999999997"/>
    <n v="0"/>
    <n v="0"/>
    <x v="0"/>
    <x v="14"/>
  </r>
  <r>
    <s v="ORD00200"/>
    <d v="2024-04-28T00:00:00"/>
    <x v="177"/>
    <x v="147"/>
    <n v="178"/>
    <s v="INV00200"/>
    <n v="178"/>
    <n v="1195.6769999999999"/>
    <m/>
    <m/>
    <m/>
    <m/>
    <m/>
    <n v="1195.6769999999999"/>
    <d v="2023-03-25T00:00:00"/>
    <n v="0"/>
    <n v="0"/>
    <n v="0"/>
    <n v="0"/>
    <n v="0"/>
    <n v="0"/>
    <n v="0"/>
    <x v="0"/>
    <n v="212830.50599999999"/>
    <n v="212830.50599999999"/>
    <n v="0"/>
    <n v="0"/>
    <x v="0"/>
    <x v="9"/>
  </r>
  <r>
    <s v="ORD00201"/>
    <d v="2024-02-21T00:00:00"/>
    <x v="178"/>
    <x v="141"/>
    <n v="63"/>
    <s v="INV00201"/>
    <n v="63"/>
    <n v="785.89"/>
    <m/>
    <m/>
    <m/>
    <m/>
    <m/>
    <n v="785.89"/>
    <d v="2023-03-04T00:00:00"/>
    <n v="0"/>
    <n v="0"/>
    <n v="0"/>
    <n v="0"/>
    <n v="0"/>
    <n v="0"/>
    <n v="0"/>
    <x v="0"/>
    <n v="49511.07"/>
    <n v="49511.07"/>
    <n v="0"/>
    <n v="0"/>
    <x v="0"/>
    <x v="3"/>
  </r>
  <r>
    <s v="ORD00202"/>
    <d v="2023-07-09T00:00:00"/>
    <x v="179"/>
    <x v="148"/>
    <n v="77"/>
    <s v="INV00202"/>
    <n v="80"/>
    <n v="815.61373977507617"/>
    <n v="6"/>
    <d v="2024-10-16T00:00:00"/>
    <m/>
    <m/>
    <m/>
    <n v="815.08680000000004"/>
    <d v="2023-05-16T00:00:00"/>
    <n v="0"/>
    <n v="1"/>
    <n v="1"/>
    <n v="0"/>
    <n v="0"/>
    <n v="1"/>
    <n v="0"/>
    <x v="1"/>
    <n v="65249.099182006095"/>
    <n v="62761.683600000004"/>
    <n v="2487.4155820060914"/>
    <n v="14"/>
    <x v="2"/>
    <x v="10"/>
  </r>
  <r>
    <s v="ORD00203"/>
    <d v="2023-09-05T00:00:00"/>
    <x v="180"/>
    <x v="149"/>
    <n v="91"/>
    <s v="INV00203"/>
    <n v="91"/>
    <n v="1146.7456000000002"/>
    <m/>
    <m/>
    <m/>
    <m/>
    <m/>
    <n v="1146.7456000000002"/>
    <d v="2023-08-10T00:00:00"/>
    <n v="0"/>
    <n v="0"/>
    <n v="0"/>
    <n v="0"/>
    <n v="0"/>
    <n v="0"/>
    <n v="0"/>
    <x v="0"/>
    <n v="104353.84960000002"/>
    <n v="104353.84960000002"/>
    <n v="0"/>
    <n v="0"/>
    <x v="0"/>
    <x v="18"/>
  </r>
  <r>
    <s v="ORD00204"/>
    <d v="2024-04-20T00:00:00"/>
    <x v="159"/>
    <x v="32"/>
    <n v="148"/>
    <s v="INV00204"/>
    <n v="148"/>
    <n v="973.43799999999999"/>
    <m/>
    <m/>
    <m/>
    <m/>
    <m/>
    <n v="973.43799999999999"/>
    <d v="2023-03-26T00:00:00"/>
    <n v="0"/>
    <n v="0"/>
    <n v="0"/>
    <n v="0"/>
    <n v="0"/>
    <n v="0"/>
    <n v="0"/>
    <x v="0"/>
    <n v="144068.82399999999"/>
    <n v="144068.82399999999"/>
    <n v="0"/>
    <n v="0"/>
    <x v="0"/>
    <x v="9"/>
  </r>
  <r>
    <s v="ORD00205"/>
    <d v="2024-12-16T00:00:00"/>
    <x v="181"/>
    <x v="150"/>
    <n v="187"/>
    <s v="INV00205"/>
    <n v="187"/>
    <n v="956.41030000000001"/>
    <m/>
    <m/>
    <m/>
    <m/>
    <m/>
    <n v="956.41030000000001"/>
    <d v="2023-08-30T00:00:00"/>
    <n v="0"/>
    <n v="0"/>
    <n v="0"/>
    <n v="0"/>
    <n v="0"/>
    <n v="0"/>
    <n v="0"/>
    <x v="0"/>
    <n v="178848.7261"/>
    <n v="178848.7261"/>
    <n v="0"/>
    <n v="0"/>
    <x v="0"/>
    <x v="1"/>
  </r>
  <r>
    <s v="ORD00206"/>
    <d v="2023-11-25T00:00:00"/>
    <x v="182"/>
    <x v="6"/>
    <n v="37"/>
    <s v="INV00206"/>
    <n v="37"/>
    <n v="700.93560000000002"/>
    <m/>
    <m/>
    <m/>
    <m/>
    <m/>
    <n v="700.93560000000002"/>
    <d v="2023-05-31T00:00:00"/>
    <n v="0"/>
    <n v="0"/>
    <n v="0"/>
    <n v="0"/>
    <n v="0"/>
    <n v="0"/>
    <n v="0"/>
    <x v="0"/>
    <n v="25934.617200000001"/>
    <n v="25934.617200000001"/>
    <n v="0"/>
    <n v="0"/>
    <x v="0"/>
    <x v="0"/>
  </r>
  <r>
    <s v="ORD00207"/>
    <d v="2024-11-14T00:00:00"/>
    <x v="183"/>
    <x v="151"/>
    <n v="66"/>
    <s v="INV00207"/>
    <n v="66"/>
    <n v="212.73140000000001"/>
    <m/>
    <m/>
    <m/>
    <m/>
    <m/>
    <n v="212.73140000000001"/>
    <d v="2023-08-06T00:00:00"/>
    <n v="0"/>
    <n v="0"/>
    <n v="0"/>
    <n v="0"/>
    <n v="0"/>
    <n v="0"/>
    <n v="0"/>
    <x v="0"/>
    <n v="14040.2724"/>
    <n v="14040.2724"/>
    <n v="0"/>
    <n v="0"/>
    <x v="0"/>
    <x v="4"/>
  </r>
  <r>
    <s v="ORD00208"/>
    <d v="2023-06-10T00:00:00"/>
    <x v="39"/>
    <x v="152"/>
    <n v="131"/>
    <s v="INV00208"/>
    <n v="131"/>
    <n v="403.01909999999998"/>
    <m/>
    <m/>
    <m/>
    <m/>
    <m/>
    <n v="403.01909999999998"/>
    <d v="2023-05-10T00:00:00"/>
    <n v="0"/>
    <n v="0"/>
    <n v="0"/>
    <n v="0"/>
    <n v="0"/>
    <n v="0"/>
    <n v="0"/>
    <x v="0"/>
    <n v="52795.502099999998"/>
    <n v="52795.502099999998"/>
    <n v="0"/>
    <n v="0"/>
    <x v="0"/>
    <x v="14"/>
  </r>
  <r>
    <s v="ORD00209"/>
    <d v="2024-04-08T00:00:00"/>
    <x v="166"/>
    <x v="122"/>
    <n v="198"/>
    <s v="INV00209"/>
    <n v="198"/>
    <n v="75.620999999999995"/>
    <m/>
    <m/>
    <m/>
    <m/>
    <m/>
    <n v="75.620999999999995"/>
    <d v="2023-07-01T00:00:00"/>
    <n v="0"/>
    <n v="0"/>
    <n v="0"/>
    <n v="0"/>
    <n v="0"/>
    <n v="0"/>
    <n v="0"/>
    <x v="0"/>
    <n v="14972.957999999999"/>
    <n v="14972.957999999999"/>
    <n v="0"/>
    <n v="0"/>
    <x v="0"/>
    <x v="9"/>
  </r>
  <r>
    <s v="ORD00210"/>
    <d v="2024-10-29T00:00:00"/>
    <x v="184"/>
    <x v="20"/>
    <n v="95"/>
    <s v="INV00210"/>
    <n v="95"/>
    <n v="1046.6099999999999"/>
    <n v="13"/>
    <d v="2024-03-08T00:00:00"/>
    <m/>
    <m/>
    <m/>
    <n v="1046.6099999999999"/>
    <d v="2023-01-14T00:00:00"/>
    <n v="0"/>
    <n v="0"/>
    <n v="0"/>
    <n v="0"/>
    <n v="0"/>
    <n v="0"/>
    <n v="0"/>
    <x v="0"/>
    <n v="99427.95"/>
    <n v="99427.95"/>
    <n v="0"/>
    <n v="0"/>
    <x v="0"/>
    <x v="5"/>
  </r>
  <r>
    <s v="ORD00211"/>
    <d v="2023-02-12T00:00:00"/>
    <x v="182"/>
    <x v="153"/>
    <n v="130"/>
    <s v="INV00211"/>
    <n v="132"/>
    <n v="680.30940000000021"/>
    <m/>
    <m/>
    <m/>
    <m/>
    <m/>
    <n v="680.30940000000021"/>
    <d v="2023-01-08T00:00:00"/>
    <n v="0"/>
    <n v="1"/>
    <n v="0"/>
    <n v="0"/>
    <n v="0"/>
    <n v="0"/>
    <n v="0"/>
    <x v="1"/>
    <n v="89800.840800000035"/>
    <n v="88440.222000000023"/>
    <n v="1360.6188000000111"/>
    <n v="8"/>
    <x v="2"/>
    <x v="11"/>
  </r>
  <r>
    <s v="ORD00212"/>
    <d v="2024-11-08T00:00:00"/>
    <x v="185"/>
    <x v="66"/>
    <n v="19"/>
    <s v="INV00212"/>
    <n v="19"/>
    <n v="1160.5650000000001"/>
    <m/>
    <m/>
    <m/>
    <m/>
    <m/>
    <n v="1160.5650000000001"/>
    <d v="2023-05-09T00:00:00"/>
    <n v="0"/>
    <n v="0"/>
    <n v="0"/>
    <n v="0"/>
    <n v="0"/>
    <n v="0"/>
    <n v="0"/>
    <x v="0"/>
    <n v="22050.735000000001"/>
    <n v="22050.735000000001"/>
    <n v="0"/>
    <n v="0"/>
    <x v="0"/>
    <x v="4"/>
  </r>
  <r>
    <s v="ORD00213"/>
    <d v="2024-01-06T00:00:00"/>
    <x v="186"/>
    <x v="154"/>
    <n v="109"/>
    <s v="INV00213"/>
    <n v="109"/>
    <n v="744.98490000000004"/>
    <m/>
    <m/>
    <m/>
    <m/>
    <m/>
    <n v="744.98490000000004"/>
    <d v="2023-07-31T00:00:00"/>
    <n v="0"/>
    <n v="0"/>
    <n v="0"/>
    <n v="0"/>
    <n v="0"/>
    <n v="0"/>
    <n v="0"/>
    <x v="0"/>
    <n v="81203.354100000011"/>
    <n v="81203.354100000011"/>
    <n v="0"/>
    <n v="0"/>
    <x v="0"/>
    <x v="15"/>
  </r>
  <r>
    <s v="ORD00214"/>
    <d v="2024-07-29T00:00:00"/>
    <x v="187"/>
    <x v="36"/>
    <n v="72"/>
    <s v="INV00214"/>
    <n v="72"/>
    <n v="415.70589999999999"/>
    <n v="13"/>
    <d v="2024-08-19T00:00:00"/>
    <m/>
    <m/>
    <m/>
    <n v="415.70589999999999"/>
    <d v="2023-03-04T00:00:00"/>
    <n v="0"/>
    <n v="0"/>
    <n v="0"/>
    <n v="0"/>
    <n v="0"/>
    <n v="0"/>
    <n v="0"/>
    <x v="0"/>
    <n v="29930.824799999999"/>
    <n v="29930.824799999999"/>
    <n v="0"/>
    <n v="0"/>
    <x v="0"/>
    <x v="21"/>
  </r>
  <r>
    <s v="ORD00215"/>
    <d v="2024-02-27T00:00:00"/>
    <x v="188"/>
    <x v="22"/>
    <n v="33"/>
    <s v="INV00215"/>
    <n v="33"/>
    <n v="626.68790000000001"/>
    <m/>
    <m/>
    <m/>
    <m/>
    <m/>
    <n v="626.68790000000001"/>
    <d v="2023-06-26T00:00:00"/>
    <n v="0"/>
    <n v="0"/>
    <n v="0"/>
    <n v="0"/>
    <n v="0"/>
    <n v="0"/>
    <n v="0"/>
    <x v="0"/>
    <n v="20680.700700000001"/>
    <n v="20680.700700000001"/>
    <n v="0"/>
    <n v="0"/>
    <x v="0"/>
    <x v="3"/>
  </r>
  <r>
    <s v="ORD00216"/>
    <d v="2023-06-06T00:00:00"/>
    <x v="189"/>
    <x v="155"/>
    <n v="88"/>
    <s v="INV00216"/>
    <n v="88"/>
    <n v="565.82459999999992"/>
    <m/>
    <m/>
    <m/>
    <m/>
    <m/>
    <n v="565.82459999999992"/>
    <d v="2023-03-28T00:00:00"/>
    <n v="0"/>
    <n v="0"/>
    <n v="0"/>
    <n v="0"/>
    <n v="0"/>
    <n v="0"/>
    <n v="0"/>
    <x v="0"/>
    <n v="49792.564799999993"/>
    <n v="49792.564799999993"/>
    <n v="0"/>
    <n v="0"/>
    <x v="0"/>
    <x v="14"/>
  </r>
  <r>
    <s v="ORD00217"/>
    <d v="2023-09-02T00:00:00"/>
    <x v="190"/>
    <x v="156"/>
    <n v="157"/>
    <s v="INV00217"/>
    <n v="157"/>
    <n v="376.38049999999998"/>
    <m/>
    <m/>
    <m/>
    <m/>
    <m/>
    <n v="376.38049999999998"/>
    <d v="2023-02-27T00:00:00"/>
    <n v="0"/>
    <n v="0"/>
    <n v="0"/>
    <n v="0"/>
    <n v="0"/>
    <n v="0"/>
    <n v="0"/>
    <x v="0"/>
    <n v="59091.738499999999"/>
    <n v="59091.738499999999"/>
    <n v="0"/>
    <n v="0"/>
    <x v="0"/>
    <x v="18"/>
  </r>
  <r>
    <s v="ORD00218"/>
    <d v="2023-05-17T00:00:00"/>
    <x v="191"/>
    <x v="157"/>
    <n v="52"/>
    <s v="INV00218"/>
    <n v="52"/>
    <n v="1158.2643"/>
    <m/>
    <m/>
    <m/>
    <m/>
    <m/>
    <n v="1158.2643"/>
    <d v="2022-07-29T00:00:00"/>
    <n v="0"/>
    <n v="0"/>
    <n v="0"/>
    <n v="0"/>
    <n v="0"/>
    <n v="0"/>
    <n v="0"/>
    <x v="0"/>
    <n v="60229.743600000002"/>
    <n v="60229.743600000002"/>
    <n v="0"/>
    <n v="0"/>
    <x v="0"/>
    <x v="7"/>
  </r>
  <r>
    <s v="ORD00219"/>
    <d v="2023-07-24T00:00:00"/>
    <x v="192"/>
    <x v="119"/>
    <n v="57"/>
    <s v="INV00219"/>
    <n v="57"/>
    <n v="88.578000000000003"/>
    <m/>
    <m/>
    <m/>
    <m/>
    <m/>
    <n v="88.578000000000003"/>
    <d v="2023-06-30T00:00:00"/>
    <n v="0"/>
    <n v="0"/>
    <n v="0"/>
    <n v="0"/>
    <n v="0"/>
    <n v="0"/>
    <n v="0"/>
    <x v="0"/>
    <n v="5048.9459999999999"/>
    <n v="5048.9459999999999"/>
    <n v="0"/>
    <n v="0"/>
    <x v="0"/>
    <x v="10"/>
  </r>
  <r>
    <s v="ORD00220"/>
    <d v="2024-10-10T00:00:00"/>
    <x v="193"/>
    <x v="158"/>
    <n v="47"/>
    <s v="INV00220"/>
    <n v="47"/>
    <n v="754.20799999999997"/>
    <m/>
    <m/>
    <m/>
    <m/>
    <m/>
    <n v="754.20799999999997"/>
    <d v="2023-05-23T00:00:00"/>
    <n v="0"/>
    <n v="0"/>
    <n v="0"/>
    <n v="0"/>
    <n v="0"/>
    <n v="0"/>
    <n v="0"/>
    <x v="0"/>
    <n v="35447.775999999998"/>
    <n v="35447.775999999998"/>
    <n v="0"/>
    <n v="0"/>
    <x v="0"/>
    <x v="5"/>
  </r>
  <r>
    <s v="ORD00221"/>
    <d v="2024-11-28T00:00:00"/>
    <x v="194"/>
    <x v="124"/>
    <n v="93"/>
    <s v="INV00221"/>
    <n v="93"/>
    <n v="381.97550000000001"/>
    <m/>
    <m/>
    <m/>
    <m/>
    <m/>
    <n v="381.97550000000001"/>
    <d v="2023-05-19T00:00:00"/>
    <n v="0"/>
    <n v="0"/>
    <n v="0"/>
    <n v="0"/>
    <n v="0"/>
    <n v="0"/>
    <n v="0"/>
    <x v="0"/>
    <n v="35523.7215"/>
    <n v="35523.7215"/>
    <n v="0"/>
    <n v="0"/>
    <x v="0"/>
    <x v="4"/>
  </r>
  <r>
    <s v="ORD00222"/>
    <d v="2023-10-02T00:00:00"/>
    <x v="195"/>
    <x v="159"/>
    <n v="5"/>
    <s v="INV00222"/>
    <n v="5"/>
    <n v="159.06059999999999"/>
    <m/>
    <m/>
    <m/>
    <m/>
    <m/>
    <n v="159.06059999999999"/>
    <d v="2023-01-18T00:00:00"/>
    <n v="0"/>
    <n v="0"/>
    <n v="0"/>
    <n v="0"/>
    <n v="0"/>
    <n v="0"/>
    <n v="0"/>
    <x v="0"/>
    <n v="795.303"/>
    <n v="795.303"/>
    <n v="0"/>
    <n v="0"/>
    <x v="0"/>
    <x v="19"/>
  </r>
  <r>
    <s v="ORD00223"/>
    <d v="2024-05-06T00:00:00"/>
    <x v="196"/>
    <x v="109"/>
    <n v="121"/>
    <s v="INV00223"/>
    <n v="121"/>
    <n v="457.65019999999998"/>
    <m/>
    <m/>
    <m/>
    <m/>
    <m/>
    <n v="457.65019999999998"/>
    <d v="2023-01-24T00:00:00"/>
    <n v="0"/>
    <n v="0"/>
    <n v="0"/>
    <n v="0"/>
    <n v="0"/>
    <n v="0"/>
    <n v="0"/>
    <x v="0"/>
    <n v="55375.674200000001"/>
    <n v="55375.674200000001"/>
    <n v="0"/>
    <n v="0"/>
    <x v="0"/>
    <x v="13"/>
  </r>
  <r>
    <s v="ORD00224"/>
    <d v="2023-11-29T00:00:00"/>
    <x v="197"/>
    <x v="160"/>
    <n v="20"/>
    <s v="INV00224"/>
    <n v="20"/>
    <n v="419.71280000000002"/>
    <n v="7"/>
    <d v="2023-09-17T00:00:00"/>
    <m/>
    <m/>
    <m/>
    <n v="419.71280000000002"/>
    <d v="2023-10-15T00:00:00"/>
    <n v="0"/>
    <n v="0"/>
    <n v="0"/>
    <n v="0"/>
    <n v="0"/>
    <n v="0"/>
    <n v="0"/>
    <x v="0"/>
    <n v="8394.2560000000012"/>
    <n v="8394.2560000000012"/>
    <n v="0"/>
    <n v="0"/>
    <x v="0"/>
    <x v="0"/>
  </r>
  <r>
    <s v="ORD00225"/>
    <d v="2023-03-05T00:00:00"/>
    <x v="198"/>
    <x v="44"/>
    <n v="122"/>
    <s v="INV00225"/>
    <n v="122"/>
    <n v="1015.6622"/>
    <n v="20"/>
    <d v="2024-05-25T00:00:00"/>
    <m/>
    <m/>
    <m/>
    <n v="1015.6622"/>
    <d v="2022-08-24T00:00:00"/>
    <n v="0"/>
    <n v="0"/>
    <n v="0"/>
    <n v="0"/>
    <n v="0"/>
    <n v="1"/>
    <n v="0"/>
    <x v="1"/>
    <n v="123910.7884"/>
    <n v="123910.7884"/>
    <n v="0"/>
    <n v="2"/>
    <x v="1"/>
    <x v="17"/>
  </r>
  <r>
    <s v="ORD00226"/>
    <d v="2023-08-22T00:00:00"/>
    <x v="199"/>
    <x v="161"/>
    <n v="114"/>
    <s v="INV00226"/>
    <n v="114"/>
    <n v="1016.7027"/>
    <m/>
    <m/>
    <m/>
    <m/>
    <m/>
    <n v="1016.7027"/>
    <d v="2023-01-29T00:00:00"/>
    <n v="0"/>
    <n v="0"/>
    <n v="0"/>
    <n v="0"/>
    <n v="0"/>
    <n v="0"/>
    <n v="0"/>
    <x v="0"/>
    <n v="115904.10780000001"/>
    <n v="115904.10780000001"/>
    <n v="0"/>
    <n v="0"/>
    <x v="0"/>
    <x v="12"/>
  </r>
  <r>
    <s v="ORD00227"/>
    <d v="2024-09-11T00:00:00"/>
    <x v="200"/>
    <x v="37"/>
    <n v="173"/>
    <s v="INV00227"/>
    <n v="173"/>
    <n v="637.18399999999997"/>
    <m/>
    <m/>
    <m/>
    <m/>
    <m/>
    <n v="637.18399999999997"/>
    <d v="2023-09-06T00:00:00"/>
    <n v="0"/>
    <n v="0"/>
    <n v="0"/>
    <n v="0"/>
    <n v="0"/>
    <n v="0"/>
    <n v="0"/>
    <x v="0"/>
    <n v="110232.83199999999"/>
    <n v="110232.83199999999"/>
    <n v="0"/>
    <n v="0"/>
    <x v="0"/>
    <x v="2"/>
  </r>
  <r>
    <s v="ORD00228"/>
    <d v="2024-02-25T00:00:00"/>
    <x v="201"/>
    <x v="162"/>
    <n v="160"/>
    <s v="INV00228"/>
    <n v="160"/>
    <n v="571.32999999999993"/>
    <m/>
    <m/>
    <m/>
    <m/>
    <m/>
    <n v="571.32999999999993"/>
    <d v="2023-10-07T00:00:00"/>
    <n v="0"/>
    <n v="0"/>
    <n v="0"/>
    <n v="0"/>
    <n v="0"/>
    <n v="0"/>
    <n v="0"/>
    <x v="0"/>
    <n v="91412.799999999988"/>
    <n v="91412.799999999988"/>
    <n v="0"/>
    <n v="0"/>
    <x v="0"/>
    <x v="3"/>
  </r>
  <r>
    <s v="ORD00229"/>
    <d v="2024-08-20T00:00:00"/>
    <x v="202"/>
    <x v="25"/>
    <n v="97"/>
    <s v="INV00229"/>
    <n v="97"/>
    <n v="1218.568"/>
    <m/>
    <m/>
    <m/>
    <m/>
    <m/>
    <n v="1218.568"/>
    <d v="2023-05-15T00:00:00"/>
    <n v="0"/>
    <n v="0"/>
    <n v="0"/>
    <n v="0"/>
    <n v="0"/>
    <n v="0"/>
    <n v="0"/>
    <x v="0"/>
    <n v="118201.09600000001"/>
    <n v="118201.09600000001"/>
    <n v="0"/>
    <n v="0"/>
    <x v="0"/>
    <x v="22"/>
  </r>
  <r>
    <s v="ORD00230"/>
    <d v="2023-11-03T00:00:00"/>
    <x v="203"/>
    <x v="163"/>
    <n v="129"/>
    <s v="INV00230"/>
    <n v="129"/>
    <n v="147.87150000000003"/>
    <m/>
    <m/>
    <m/>
    <m/>
    <m/>
    <n v="147.87150000000003"/>
    <d v="2023-02-15T00:00:00"/>
    <n v="0"/>
    <n v="0"/>
    <n v="0"/>
    <n v="0"/>
    <n v="0"/>
    <n v="0"/>
    <n v="0"/>
    <x v="0"/>
    <n v="19075.423500000004"/>
    <n v="19075.423500000004"/>
    <n v="0"/>
    <n v="0"/>
    <x v="0"/>
    <x v="0"/>
  </r>
  <r>
    <s v="ORD00231"/>
    <d v="2024-04-15T00:00:00"/>
    <x v="204"/>
    <x v="164"/>
    <n v="149"/>
    <s v="INV00231"/>
    <n v="149"/>
    <n v="709.52"/>
    <m/>
    <m/>
    <m/>
    <m/>
    <m/>
    <n v="709.52"/>
    <d v="2023-01-26T00:00:00"/>
    <n v="0"/>
    <n v="0"/>
    <n v="0"/>
    <n v="0"/>
    <n v="0"/>
    <n v="0"/>
    <n v="0"/>
    <x v="0"/>
    <n v="105718.48"/>
    <n v="105718.48"/>
    <n v="0"/>
    <n v="0"/>
    <x v="0"/>
    <x v="9"/>
  </r>
  <r>
    <s v="ORD00232"/>
    <d v="2024-09-14T00:00:00"/>
    <x v="205"/>
    <x v="111"/>
    <n v="134"/>
    <s v="INV00232"/>
    <n v="134"/>
    <n v="147.17669999999998"/>
    <m/>
    <m/>
    <m/>
    <m/>
    <m/>
    <n v="147.17669999999998"/>
    <d v="2023-04-23T00:00:00"/>
    <n v="0"/>
    <n v="0"/>
    <n v="0"/>
    <n v="0"/>
    <n v="0"/>
    <n v="0"/>
    <n v="0"/>
    <x v="0"/>
    <n v="19721.677799999998"/>
    <n v="19721.677799999998"/>
    <n v="0"/>
    <n v="0"/>
    <x v="0"/>
    <x v="2"/>
  </r>
  <r>
    <s v="ORD00233"/>
    <d v="2024-03-20T00:00:00"/>
    <x v="206"/>
    <x v="165"/>
    <n v="9"/>
    <s v="INV00233"/>
    <n v="9"/>
    <n v="991.99"/>
    <m/>
    <m/>
    <m/>
    <m/>
    <m/>
    <n v="991.99"/>
    <d v="2023-02-19T00:00:00"/>
    <n v="0"/>
    <n v="0"/>
    <n v="0"/>
    <n v="0"/>
    <n v="0"/>
    <n v="0"/>
    <n v="0"/>
    <x v="0"/>
    <n v="8927.91"/>
    <n v="8927.91"/>
    <n v="0"/>
    <n v="0"/>
    <x v="0"/>
    <x v="6"/>
  </r>
  <r>
    <s v="ORD00234"/>
    <d v="2024-11-13T00:00:00"/>
    <x v="207"/>
    <x v="166"/>
    <n v="46"/>
    <s v="INV00234"/>
    <n v="46"/>
    <n v="156.39675125522808"/>
    <m/>
    <m/>
    <m/>
    <m/>
    <m/>
    <n v="156.37459999999999"/>
    <d v="2023-06-13T00:00:00"/>
    <n v="0"/>
    <n v="0"/>
    <n v="1"/>
    <n v="0"/>
    <n v="0"/>
    <n v="0"/>
    <n v="0"/>
    <x v="1"/>
    <n v="7194.2505577404918"/>
    <n v="7193.2315999999992"/>
    <n v="1.018957740492624"/>
    <n v="4"/>
    <x v="1"/>
    <x v="4"/>
  </r>
  <r>
    <s v="ORD00235"/>
    <d v="2024-05-18T00:00:00"/>
    <x v="203"/>
    <x v="156"/>
    <n v="9"/>
    <s v="INV00235"/>
    <n v="9"/>
    <n v="376.38049999999998"/>
    <m/>
    <m/>
    <m/>
    <m/>
    <m/>
    <n v="376.38049999999998"/>
    <d v="2023-02-27T00:00:00"/>
    <n v="0"/>
    <n v="0"/>
    <n v="0"/>
    <n v="0"/>
    <n v="0"/>
    <n v="0"/>
    <n v="0"/>
    <x v="0"/>
    <n v="3387.4245000000001"/>
    <n v="3387.4245000000001"/>
    <n v="0"/>
    <n v="0"/>
    <x v="0"/>
    <x v="13"/>
  </r>
  <r>
    <s v="ORD00236"/>
    <d v="2023-12-16T00:00:00"/>
    <x v="208"/>
    <x v="34"/>
    <n v="102"/>
    <s v="INV00236"/>
    <n v="102"/>
    <n v="397.19560000000001"/>
    <n v="16"/>
    <d v="2024-03-29T00:00:00"/>
    <m/>
    <m/>
    <m/>
    <n v="397.19560000000001"/>
    <d v="2023-01-06T00:00:00"/>
    <n v="0"/>
    <n v="0"/>
    <n v="0"/>
    <n v="0"/>
    <n v="0"/>
    <n v="1"/>
    <n v="0"/>
    <x v="1"/>
    <n v="40513.951200000003"/>
    <n v="40513.951200000003"/>
    <n v="0"/>
    <n v="2"/>
    <x v="1"/>
    <x v="20"/>
  </r>
  <r>
    <s v="ORD00237"/>
    <d v="2023-03-19T00:00:00"/>
    <x v="104"/>
    <x v="70"/>
    <n v="181"/>
    <s v="INV00237"/>
    <n v="181"/>
    <n v="72.858600000000024"/>
    <m/>
    <m/>
    <m/>
    <m/>
    <m/>
    <n v="72.858600000000024"/>
    <d v="2022-11-17T00:00:00"/>
    <n v="0"/>
    <n v="0"/>
    <n v="0"/>
    <n v="0"/>
    <n v="0"/>
    <n v="0"/>
    <n v="0"/>
    <x v="0"/>
    <n v="13187.406600000004"/>
    <n v="13187.406600000004"/>
    <n v="0"/>
    <n v="0"/>
    <x v="0"/>
    <x v="17"/>
  </r>
  <r>
    <s v="ORD00238"/>
    <d v="2023-07-07T00:00:00"/>
    <x v="104"/>
    <x v="167"/>
    <n v="152"/>
    <s v="INV00238"/>
    <n v="152"/>
    <n v="249.2424"/>
    <m/>
    <m/>
    <m/>
    <m/>
    <m/>
    <n v="249.2424"/>
    <d v="2023-03-21T00:00:00"/>
    <n v="0"/>
    <n v="0"/>
    <n v="0"/>
    <n v="0"/>
    <n v="0"/>
    <n v="0"/>
    <n v="0"/>
    <x v="0"/>
    <n v="37884.844799999999"/>
    <n v="37884.844799999999"/>
    <n v="0"/>
    <n v="0"/>
    <x v="0"/>
    <x v="10"/>
  </r>
  <r>
    <s v="ORD00239"/>
    <d v="2023-08-29T00:00:00"/>
    <x v="209"/>
    <x v="168"/>
    <n v="38"/>
    <s v="INV00239"/>
    <n v="38"/>
    <n v="232.3732"/>
    <m/>
    <m/>
    <m/>
    <m/>
    <m/>
    <n v="232.3732"/>
    <d v="2023-05-19T00:00:00"/>
    <n v="0"/>
    <n v="0"/>
    <n v="0"/>
    <n v="0"/>
    <n v="0"/>
    <n v="0"/>
    <n v="0"/>
    <x v="0"/>
    <n v="8830.1815999999999"/>
    <n v="8830.1815999999999"/>
    <n v="0"/>
    <n v="0"/>
    <x v="0"/>
    <x v="12"/>
  </r>
  <r>
    <s v="ORD00240"/>
    <d v="2024-10-05T00:00:00"/>
    <x v="210"/>
    <x v="90"/>
    <n v="26"/>
    <s v="INV00240"/>
    <n v="26"/>
    <n v="249.1748"/>
    <m/>
    <m/>
    <m/>
    <m/>
    <m/>
    <n v="249.1748"/>
    <d v="2023-08-03T00:00:00"/>
    <n v="0"/>
    <n v="0"/>
    <n v="0"/>
    <n v="0"/>
    <n v="0"/>
    <n v="0"/>
    <n v="0"/>
    <x v="0"/>
    <n v="6478.5447999999997"/>
    <n v="6478.5447999999997"/>
    <n v="0"/>
    <n v="0"/>
    <x v="0"/>
    <x v="5"/>
  </r>
  <r>
    <s v="ORD00241"/>
    <d v="2024-03-24T00:00:00"/>
    <x v="211"/>
    <x v="137"/>
    <n v="143"/>
    <s v="INV00241"/>
    <n v="143"/>
    <n v="1026.4637"/>
    <m/>
    <m/>
    <m/>
    <m/>
    <m/>
    <n v="1026.4637"/>
    <d v="2023-02-10T00:00:00"/>
    <n v="0"/>
    <n v="0"/>
    <n v="0"/>
    <n v="0"/>
    <n v="0"/>
    <n v="0"/>
    <n v="0"/>
    <x v="0"/>
    <n v="146784.30910000001"/>
    <n v="146784.30910000001"/>
    <n v="0"/>
    <n v="0"/>
    <x v="0"/>
    <x v="6"/>
  </r>
  <r>
    <s v="ORD00242"/>
    <d v="2024-12-19T00:00:00"/>
    <x v="212"/>
    <x v="169"/>
    <n v="105"/>
    <s v="INV00242"/>
    <n v="105"/>
    <n v="1153.4984999999999"/>
    <m/>
    <m/>
    <m/>
    <m/>
    <m/>
    <n v="1153.4984999999999"/>
    <d v="2023-02-05T00:00:00"/>
    <n v="0"/>
    <n v="0"/>
    <n v="0"/>
    <n v="0"/>
    <n v="0"/>
    <n v="0"/>
    <n v="0"/>
    <x v="0"/>
    <n v="121117.3425"/>
    <n v="121117.3425"/>
    <n v="0"/>
    <n v="0"/>
    <x v="0"/>
    <x v="1"/>
  </r>
  <r>
    <s v="ORD00243"/>
    <d v="2023-12-20T00:00:00"/>
    <x v="213"/>
    <x v="94"/>
    <n v="28"/>
    <s v="INV00243"/>
    <n v="28"/>
    <n v="765.52319999999997"/>
    <m/>
    <m/>
    <m/>
    <m/>
    <m/>
    <n v="765.52319999999997"/>
    <d v="2023-09-05T00:00:00"/>
    <n v="0"/>
    <n v="0"/>
    <n v="0"/>
    <n v="0"/>
    <n v="0"/>
    <n v="0"/>
    <n v="0"/>
    <x v="0"/>
    <n v="21434.649600000001"/>
    <n v="21434.649600000001"/>
    <n v="0"/>
    <n v="0"/>
    <x v="0"/>
    <x v="20"/>
  </r>
  <r>
    <s v="ORD00244"/>
    <d v="2023-07-17T00:00:00"/>
    <x v="160"/>
    <x v="170"/>
    <n v="81"/>
    <s v="INV00244"/>
    <n v="81"/>
    <n v="825.13580000000002"/>
    <m/>
    <m/>
    <m/>
    <m/>
    <m/>
    <n v="825.13580000000002"/>
    <d v="2023-03-13T00:00:00"/>
    <n v="0"/>
    <n v="0"/>
    <n v="0"/>
    <n v="0"/>
    <n v="0"/>
    <n v="0"/>
    <n v="0"/>
    <x v="0"/>
    <n v="66835.999800000005"/>
    <n v="66835.999800000005"/>
    <n v="0"/>
    <n v="0"/>
    <x v="0"/>
    <x v="10"/>
  </r>
  <r>
    <s v="ORD00245"/>
    <d v="2024-10-22T00:00:00"/>
    <x v="214"/>
    <x v="171"/>
    <n v="112"/>
    <s v="INV00245"/>
    <n v="112"/>
    <n v="115.0735"/>
    <n v="10"/>
    <d v="2024-07-08T00:00:00"/>
    <m/>
    <m/>
    <m/>
    <n v="115.0735"/>
    <d v="2023-10-28T00:00:00"/>
    <n v="0"/>
    <n v="0"/>
    <n v="0"/>
    <n v="0"/>
    <n v="0"/>
    <n v="0"/>
    <n v="0"/>
    <x v="0"/>
    <n v="12888.232"/>
    <n v="12888.232"/>
    <n v="0"/>
    <n v="0"/>
    <x v="0"/>
    <x v="5"/>
  </r>
  <r>
    <s v="ORD00246"/>
    <d v="2024-05-02T00:00:00"/>
    <x v="215"/>
    <x v="118"/>
    <n v="23"/>
    <s v="INV00246"/>
    <n v="23"/>
    <n v="130.87360000000001"/>
    <m/>
    <m/>
    <m/>
    <m/>
    <m/>
    <n v="130.87360000000001"/>
    <d v="2023-05-28T00:00:00"/>
    <n v="0"/>
    <n v="0"/>
    <n v="0"/>
    <n v="0"/>
    <n v="0"/>
    <n v="0"/>
    <n v="0"/>
    <x v="0"/>
    <n v="3010.0928000000004"/>
    <n v="3010.0928000000004"/>
    <n v="0"/>
    <n v="0"/>
    <x v="0"/>
    <x v="13"/>
  </r>
  <r>
    <s v="ORD00247"/>
    <d v="2023-12-09T00:00:00"/>
    <x v="216"/>
    <x v="149"/>
    <n v="24"/>
    <s v="INV00247"/>
    <n v="24"/>
    <n v="1146.7456000000002"/>
    <m/>
    <m/>
    <m/>
    <m/>
    <m/>
    <n v="1146.7456000000002"/>
    <d v="2023-08-10T00:00:00"/>
    <n v="0"/>
    <n v="0"/>
    <n v="0"/>
    <n v="0"/>
    <n v="0"/>
    <n v="0"/>
    <n v="0"/>
    <x v="0"/>
    <n v="27521.894400000005"/>
    <n v="27521.894400000005"/>
    <n v="0"/>
    <n v="0"/>
    <x v="0"/>
    <x v="20"/>
  </r>
  <r>
    <s v="ORD00248"/>
    <d v="2024-02-14T00:00:00"/>
    <x v="217"/>
    <x v="8"/>
    <n v="27"/>
    <s v="INV00248"/>
    <n v="27"/>
    <n v="376.82319999999999"/>
    <m/>
    <m/>
    <m/>
    <m/>
    <m/>
    <n v="376.82319999999999"/>
    <d v="2023-09-02T00:00:00"/>
    <n v="0"/>
    <n v="0"/>
    <n v="0"/>
    <n v="0"/>
    <n v="0"/>
    <n v="0"/>
    <n v="0"/>
    <x v="0"/>
    <n v="10174.2264"/>
    <n v="10174.2264"/>
    <n v="0"/>
    <n v="0"/>
    <x v="0"/>
    <x v="3"/>
  </r>
  <r>
    <s v="ORD00249"/>
    <d v="2023-05-31T00:00:00"/>
    <x v="208"/>
    <x v="24"/>
    <n v="136"/>
    <s v="INV00249"/>
    <n v="136"/>
    <n v="421.92750000000001"/>
    <m/>
    <m/>
    <m/>
    <m/>
    <m/>
    <n v="421.92750000000001"/>
    <d v="2023-02-12T00:00:00"/>
    <n v="0"/>
    <n v="0"/>
    <n v="0"/>
    <n v="0"/>
    <n v="0"/>
    <n v="0"/>
    <n v="0"/>
    <x v="0"/>
    <n v="57382.14"/>
    <n v="57382.14"/>
    <n v="0"/>
    <n v="0"/>
    <x v="0"/>
    <x v="7"/>
  </r>
  <r>
    <s v="ORD00250"/>
    <d v="2024-10-11T00:00:00"/>
    <x v="218"/>
    <x v="126"/>
    <n v="188"/>
    <s v="INV00250"/>
    <n v="188"/>
    <n v="287.14"/>
    <m/>
    <m/>
    <m/>
    <m/>
    <m/>
    <n v="287.14"/>
    <d v="2023-02-20T00:00:00"/>
    <n v="0"/>
    <n v="0"/>
    <n v="0"/>
    <n v="0"/>
    <n v="0"/>
    <n v="0"/>
    <n v="0"/>
    <x v="0"/>
    <n v="53982.32"/>
    <n v="53982.32"/>
    <n v="0"/>
    <n v="0"/>
    <x v="0"/>
    <x v="5"/>
  </r>
  <r>
    <s v="ORD00251"/>
    <d v="2024-03-16T00:00:00"/>
    <x v="219"/>
    <x v="148"/>
    <n v="82"/>
    <s v="INV00251"/>
    <n v="82"/>
    <n v="815.08680000000004"/>
    <m/>
    <m/>
    <m/>
    <m/>
    <m/>
    <n v="815.08680000000004"/>
    <d v="2023-05-16T00:00:00"/>
    <n v="0"/>
    <n v="0"/>
    <n v="0"/>
    <n v="0"/>
    <n v="0"/>
    <n v="0"/>
    <n v="0"/>
    <x v="0"/>
    <n v="66837.117599999998"/>
    <n v="66837.117599999998"/>
    <n v="0"/>
    <n v="0"/>
    <x v="0"/>
    <x v="6"/>
  </r>
  <r>
    <s v="ORD00252"/>
    <d v="2023-12-07T00:00:00"/>
    <x v="220"/>
    <x v="112"/>
    <n v="147"/>
    <s v="INV00252"/>
    <n v="147"/>
    <n v="322.71780000000001"/>
    <m/>
    <m/>
    <m/>
    <m/>
    <m/>
    <n v="322.71780000000001"/>
    <d v="2023-08-31T00:00:00"/>
    <n v="0"/>
    <n v="0"/>
    <n v="0"/>
    <n v="0"/>
    <n v="0"/>
    <n v="0"/>
    <n v="0"/>
    <x v="0"/>
    <n v="47439.516600000003"/>
    <n v="47439.516600000003"/>
    <n v="0"/>
    <n v="0"/>
    <x v="0"/>
    <x v="20"/>
  </r>
  <r>
    <s v="ORD00253"/>
    <d v="2024-08-25T00:00:00"/>
    <x v="8"/>
    <x v="172"/>
    <n v="6"/>
    <s v="INV00253"/>
    <n v="6"/>
    <n v="370.82850000000002"/>
    <m/>
    <m/>
    <m/>
    <m/>
    <m/>
    <n v="370.82850000000002"/>
    <d v="2023-09-18T00:00:00"/>
    <n v="0"/>
    <n v="0"/>
    <n v="0"/>
    <n v="0"/>
    <n v="0"/>
    <n v="0"/>
    <n v="0"/>
    <x v="0"/>
    <n v="2224.971"/>
    <n v="2224.971"/>
    <n v="0"/>
    <n v="0"/>
    <x v="0"/>
    <x v="22"/>
  </r>
  <r>
    <s v="ORD00254"/>
    <d v="2023-04-16T00:00:00"/>
    <x v="221"/>
    <x v="118"/>
    <n v="167"/>
    <s v="INV00254"/>
    <n v="167"/>
    <n v="134.64880000000002"/>
    <m/>
    <m/>
    <m/>
    <m/>
    <m/>
    <n v="134.64880000000002"/>
    <d v="2023-03-06T00:00:00"/>
    <n v="0"/>
    <n v="0"/>
    <n v="0"/>
    <n v="0"/>
    <n v="0"/>
    <n v="0"/>
    <n v="0"/>
    <x v="0"/>
    <n v="22486.349600000005"/>
    <n v="22486.349600000005"/>
    <n v="0"/>
    <n v="0"/>
    <x v="0"/>
    <x v="23"/>
  </r>
  <r>
    <s v="ORD00255"/>
    <d v="2023-07-06T00:00:00"/>
    <x v="222"/>
    <x v="173"/>
    <n v="106"/>
    <s v="INV00255"/>
    <n v="106"/>
    <n v="579.32940000000008"/>
    <m/>
    <m/>
    <m/>
    <m/>
    <m/>
    <n v="579.32940000000008"/>
    <d v="2022-12-14T00:00:00"/>
    <n v="0"/>
    <n v="0"/>
    <n v="0"/>
    <n v="0"/>
    <n v="0"/>
    <n v="0"/>
    <n v="0"/>
    <x v="0"/>
    <n v="61408.916400000009"/>
    <n v="61408.916400000009"/>
    <n v="0"/>
    <n v="0"/>
    <x v="0"/>
    <x v="10"/>
  </r>
  <r>
    <s v="ORD00256"/>
    <d v="2023-06-16T00:00:00"/>
    <x v="223"/>
    <x v="93"/>
    <n v="200"/>
    <s v="INV00256"/>
    <n v="200"/>
    <n v="432.839"/>
    <m/>
    <m/>
    <m/>
    <m/>
    <m/>
    <n v="432.839"/>
    <d v="2023-05-02T00:00:00"/>
    <n v="0"/>
    <n v="0"/>
    <n v="0"/>
    <n v="0"/>
    <n v="0"/>
    <n v="0"/>
    <n v="0"/>
    <x v="0"/>
    <n v="86567.8"/>
    <n v="86567.8"/>
    <n v="0"/>
    <n v="0"/>
    <x v="0"/>
    <x v="14"/>
  </r>
  <r>
    <s v="ORD00257"/>
    <d v="2023-08-24T00:00:00"/>
    <x v="224"/>
    <x v="144"/>
    <n v="199"/>
    <s v="INV00257"/>
    <n v="199"/>
    <n v="324.52350000000001"/>
    <m/>
    <m/>
    <m/>
    <m/>
    <m/>
    <n v="324.52350000000001"/>
    <d v="2023-06-23T00:00:00"/>
    <n v="0"/>
    <n v="0"/>
    <n v="0"/>
    <n v="0"/>
    <n v="0"/>
    <n v="0"/>
    <n v="0"/>
    <x v="0"/>
    <n v="64580.176500000001"/>
    <n v="64580.176500000001"/>
    <n v="0"/>
    <n v="0"/>
    <x v="0"/>
    <x v="12"/>
  </r>
  <r>
    <s v="ORD00258"/>
    <d v="2024-11-19T00:00:00"/>
    <x v="225"/>
    <x v="53"/>
    <n v="179"/>
    <s v="INV00258"/>
    <n v="179"/>
    <n v="393.40140000000002"/>
    <m/>
    <m/>
    <m/>
    <m/>
    <m/>
    <n v="393.40140000000002"/>
    <d v="2023-08-08T00:00:00"/>
    <n v="0"/>
    <n v="0"/>
    <n v="0"/>
    <n v="0"/>
    <n v="0"/>
    <n v="0"/>
    <n v="0"/>
    <x v="0"/>
    <n v="70418.850600000005"/>
    <n v="70418.850600000005"/>
    <n v="0"/>
    <n v="0"/>
    <x v="0"/>
    <x v="4"/>
  </r>
  <r>
    <s v="ORD00259"/>
    <d v="2023-03-23T00:00:00"/>
    <x v="226"/>
    <x v="174"/>
    <n v="66"/>
    <s v="INV00259"/>
    <n v="64"/>
    <n v="575.53650000000005"/>
    <m/>
    <m/>
    <m/>
    <m/>
    <m/>
    <n v="575.53650000000005"/>
    <d v="2022-08-27T00:00:00"/>
    <n v="0"/>
    <n v="1"/>
    <n v="0"/>
    <n v="0"/>
    <n v="0"/>
    <n v="0"/>
    <n v="0"/>
    <x v="1"/>
    <n v="36834.336000000003"/>
    <n v="37985.409"/>
    <n v="-1151.0729999999967"/>
    <n v="8"/>
    <x v="2"/>
    <x v="17"/>
  </r>
  <r>
    <s v="ORD00260"/>
    <d v="2023-10-29T00:00:00"/>
    <x v="227"/>
    <x v="111"/>
    <n v="51"/>
    <s v="INV00260"/>
    <n v="51"/>
    <n v="147.17669999999998"/>
    <n v="18"/>
    <d v="2024-09-16T00:00:00"/>
    <m/>
    <m/>
    <m/>
    <n v="147.17669999999998"/>
    <d v="2023-04-23T00:00:00"/>
    <n v="0"/>
    <n v="0"/>
    <n v="0"/>
    <n v="0"/>
    <n v="0"/>
    <n v="1"/>
    <n v="0"/>
    <x v="1"/>
    <n v="7506.0116999999991"/>
    <n v="7506.0116999999991"/>
    <n v="0"/>
    <n v="2"/>
    <x v="1"/>
    <x v="19"/>
  </r>
  <r>
    <s v="ORD00261"/>
    <d v="2024-12-15T00:00:00"/>
    <x v="228"/>
    <x v="175"/>
    <n v="68"/>
    <s v="INV00261"/>
    <n v="68"/>
    <n v="212.07900000000001"/>
    <m/>
    <m/>
    <m/>
    <m/>
    <m/>
    <n v="212.07900000000001"/>
    <d v="2023-05-11T00:00:00"/>
    <n v="0"/>
    <n v="0"/>
    <n v="0"/>
    <n v="0"/>
    <n v="0"/>
    <n v="0"/>
    <n v="0"/>
    <x v="0"/>
    <n v="14421.372000000001"/>
    <n v="14421.372000000001"/>
    <n v="0"/>
    <n v="0"/>
    <x v="0"/>
    <x v="1"/>
  </r>
  <r>
    <s v="ORD00262"/>
    <d v="2023-03-21T00:00:00"/>
    <x v="229"/>
    <x v="176"/>
    <n v="11"/>
    <s v="INV00262"/>
    <n v="7"/>
    <n v="78.298400000000001"/>
    <m/>
    <m/>
    <m/>
    <m/>
    <m/>
    <n v="78.298400000000001"/>
    <d v="2022-12-24T00:00:00"/>
    <n v="0"/>
    <n v="1"/>
    <n v="0"/>
    <n v="0"/>
    <n v="0"/>
    <n v="0"/>
    <n v="0"/>
    <x v="1"/>
    <n v="548.08879999999999"/>
    <n v="861.28240000000005"/>
    <n v="-313.19360000000006"/>
    <n v="3"/>
    <x v="1"/>
    <x v="17"/>
  </r>
  <r>
    <s v="ORD00263"/>
    <d v="2023-05-30T00:00:00"/>
    <x v="230"/>
    <x v="171"/>
    <n v="27"/>
    <s v="INV00263"/>
    <n v="27"/>
    <n v="121.13"/>
    <n v="13"/>
    <d v="2024-05-21T00:00:00"/>
    <m/>
    <m/>
    <m/>
    <n v="121.13"/>
    <d v="2023-01-31T00:00:00"/>
    <n v="0"/>
    <n v="0"/>
    <n v="0"/>
    <n v="0"/>
    <n v="0"/>
    <n v="1"/>
    <n v="0"/>
    <x v="1"/>
    <n v="3270.5099999999998"/>
    <n v="3270.5099999999998"/>
    <n v="0"/>
    <n v="2"/>
    <x v="1"/>
    <x v="7"/>
  </r>
  <r>
    <s v="ORD00264"/>
    <d v="2023-12-31T00:00:00"/>
    <x v="231"/>
    <x v="109"/>
    <n v="79"/>
    <s v="INV00264"/>
    <n v="85"/>
    <n v="457.65019999999998"/>
    <m/>
    <m/>
    <m/>
    <m/>
    <m/>
    <n v="457.65019999999998"/>
    <d v="2023-01-24T00:00:00"/>
    <n v="0"/>
    <n v="1"/>
    <n v="0"/>
    <n v="0"/>
    <n v="0"/>
    <n v="0"/>
    <n v="0"/>
    <x v="1"/>
    <n v="38900.267"/>
    <n v="36154.3658"/>
    <n v="2745.9012000000002"/>
    <n v="8"/>
    <x v="2"/>
    <x v="20"/>
  </r>
  <r>
    <s v="ORD00265"/>
    <d v="2023-05-10T00:00:00"/>
    <x v="232"/>
    <x v="177"/>
    <n v="155"/>
    <s v="INV00265"/>
    <n v="155"/>
    <n v="335.39150000000001"/>
    <m/>
    <m/>
    <m/>
    <m/>
    <m/>
    <n v="335.39150000000001"/>
    <d v="2023-03-01T00:00:00"/>
    <n v="0"/>
    <n v="0"/>
    <n v="0"/>
    <n v="0"/>
    <n v="0"/>
    <n v="0"/>
    <n v="0"/>
    <x v="0"/>
    <n v="51985.682500000003"/>
    <n v="51985.682500000003"/>
    <n v="0"/>
    <n v="0"/>
    <x v="0"/>
    <x v="7"/>
  </r>
  <r>
    <s v="ORD00266"/>
    <d v="2023-08-17T00:00:00"/>
    <x v="233"/>
    <x v="14"/>
    <n v="37"/>
    <s v="INV00266"/>
    <n v="37"/>
    <n v="265.44960000000003"/>
    <m/>
    <m/>
    <m/>
    <m/>
    <m/>
    <n v="265.44960000000003"/>
    <d v="2023-03-14T00:00:00"/>
    <n v="0"/>
    <n v="0"/>
    <n v="0"/>
    <n v="0"/>
    <n v="0"/>
    <n v="0"/>
    <n v="0"/>
    <x v="0"/>
    <n v="9821.6352000000006"/>
    <n v="9821.6352000000006"/>
    <n v="0"/>
    <n v="0"/>
    <x v="0"/>
    <x v="12"/>
  </r>
  <r>
    <s v="ORD00267"/>
    <d v="2024-04-15T00:00:00"/>
    <x v="234"/>
    <x v="10"/>
    <n v="111"/>
    <s v="INV00267"/>
    <n v="111"/>
    <n v="461.69279999999998"/>
    <n v="11"/>
    <d v="2024-01-16T00:00:00"/>
    <m/>
    <m/>
    <m/>
    <n v="461.69279999999998"/>
    <d v="2023-04-15T00:00:00"/>
    <n v="0"/>
    <n v="0"/>
    <n v="0"/>
    <n v="0"/>
    <n v="0"/>
    <n v="0"/>
    <n v="0"/>
    <x v="0"/>
    <n v="51247.900799999996"/>
    <n v="51247.900799999996"/>
    <n v="0"/>
    <n v="0"/>
    <x v="0"/>
    <x v="9"/>
  </r>
  <r>
    <s v="ORD00268"/>
    <d v="2023-03-22T00:00:00"/>
    <x v="156"/>
    <x v="10"/>
    <n v="142"/>
    <s v="INV00268"/>
    <n v="142"/>
    <n v="452.64"/>
    <m/>
    <m/>
    <m/>
    <m/>
    <m/>
    <n v="452.64"/>
    <d v="2022-05-13T00:00:00"/>
    <n v="0"/>
    <n v="0"/>
    <n v="0"/>
    <n v="0"/>
    <n v="0"/>
    <n v="0"/>
    <n v="0"/>
    <x v="0"/>
    <n v="64274.879999999997"/>
    <n v="64274.879999999997"/>
    <n v="0"/>
    <n v="0"/>
    <x v="0"/>
    <x v="17"/>
  </r>
  <r>
    <s v="ORD00269"/>
    <d v="2024-07-13T00:00:00"/>
    <x v="235"/>
    <x v="178"/>
    <n v="171"/>
    <s v="INV00269"/>
    <n v="171"/>
    <n v="479.40280000000007"/>
    <m/>
    <m/>
    <m/>
    <m/>
    <m/>
    <n v="479.40280000000007"/>
    <d v="2023-01-15T00:00:00"/>
    <n v="0"/>
    <n v="0"/>
    <n v="0"/>
    <n v="0"/>
    <n v="0"/>
    <n v="0"/>
    <n v="0"/>
    <x v="0"/>
    <n v="81977.878800000006"/>
    <n v="81977.878800000006"/>
    <n v="0"/>
    <n v="0"/>
    <x v="0"/>
    <x v="21"/>
  </r>
  <r>
    <s v="ORD00270"/>
    <d v="2023-02-02T00:00:00"/>
    <x v="7"/>
    <x v="31"/>
    <n v="60"/>
    <s v="INV00270"/>
    <n v="60"/>
    <n v="1147.3289"/>
    <m/>
    <m/>
    <m/>
    <m/>
    <m/>
    <n v="1147.3289"/>
    <d v="2023-01-19T00:00:00"/>
    <n v="0"/>
    <n v="0"/>
    <n v="0"/>
    <n v="0"/>
    <n v="0"/>
    <n v="0"/>
    <n v="0"/>
    <x v="0"/>
    <n v="68839.733999999997"/>
    <n v="68839.733999999997"/>
    <n v="0"/>
    <n v="0"/>
    <x v="0"/>
    <x v="11"/>
  </r>
  <r>
    <s v="ORD00271"/>
    <d v="2023-02-22T00:00:00"/>
    <x v="19"/>
    <x v="179"/>
    <n v="128"/>
    <s v="INV00271"/>
    <n v="128"/>
    <n v="72.63"/>
    <m/>
    <m/>
    <m/>
    <m/>
    <m/>
    <n v="72.63"/>
    <d v="2023-01-30T00:00:00"/>
    <n v="0"/>
    <n v="0"/>
    <n v="0"/>
    <n v="0"/>
    <n v="0"/>
    <n v="0"/>
    <n v="0"/>
    <x v="0"/>
    <n v="9296.64"/>
    <n v="9296.64"/>
    <n v="0"/>
    <n v="0"/>
    <x v="0"/>
    <x v="11"/>
  </r>
  <r>
    <s v="ORD00272"/>
    <d v="2024-09-07T00:00:00"/>
    <x v="96"/>
    <x v="42"/>
    <n v="3"/>
    <s v="INV00272"/>
    <n v="3"/>
    <n v="946.74860000000001"/>
    <n v="18"/>
    <d v="2024-08-24T00:00:00"/>
    <m/>
    <m/>
    <m/>
    <n v="946.74860000000001"/>
    <d v="2023-04-22T00:00:00"/>
    <n v="0"/>
    <n v="0"/>
    <n v="0"/>
    <n v="0"/>
    <n v="0"/>
    <n v="0"/>
    <n v="1"/>
    <x v="1"/>
    <n v="2840.2458000000001"/>
    <n v="2840.2458000000001"/>
    <n v="0"/>
    <n v="3"/>
    <x v="1"/>
    <x v="2"/>
  </r>
  <r>
    <s v="ORD00273"/>
    <d v="2023-01-21T00:00:00"/>
    <x v="236"/>
    <x v="180"/>
    <n v="62"/>
    <s v="INV00273"/>
    <n v="62"/>
    <n v="986.71040000000005"/>
    <m/>
    <m/>
    <m/>
    <m/>
    <m/>
    <n v="986.71040000000005"/>
    <d v="2022-11-27T00:00:00"/>
    <n v="0"/>
    <n v="0"/>
    <n v="0"/>
    <n v="0"/>
    <n v="0"/>
    <n v="0"/>
    <n v="0"/>
    <x v="0"/>
    <n v="61176.044800000003"/>
    <n v="61176.044800000003"/>
    <n v="0"/>
    <n v="0"/>
    <x v="0"/>
    <x v="8"/>
  </r>
  <r>
    <s v="ORD00274"/>
    <d v="2024-04-22T00:00:00"/>
    <x v="145"/>
    <x v="4"/>
    <n v="129"/>
    <s v="INV00274"/>
    <n v="129"/>
    <n v="353.58063817289542"/>
    <m/>
    <m/>
    <m/>
    <m/>
    <m/>
    <n v="353.52719999999999"/>
    <d v="2023-09-13T00:00:00"/>
    <n v="0"/>
    <n v="0"/>
    <n v="1"/>
    <n v="0"/>
    <n v="0"/>
    <n v="0"/>
    <n v="0"/>
    <x v="1"/>
    <n v="45611.902324303512"/>
    <n v="45605.008799999996"/>
    <n v="6.8935243035157328"/>
    <n v="4"/>
    <x v="1"/>
    <x v="9"/>
  </r>
  <r>
    <s v="ORD00275"/>
    <d v="2023-02-21T00:00:00"/>
    <x v="33"/>
    <x v="27"/>
    <n v="148"/>
    <s v="INV00275"/>
    <n v="148"/>
    <n v="723.1"/>
    <m/>
    <m/>
    <m/>
    <m/>
    <m/>
    <n v="723.1"/>
    <d v="2023-02-13T00:00:00"/>
    <n v="0"/>
    <n v="0"/>
    <n v="0"/>
    <n v="0"/>
    <n v="0"/>
    <n v="0"/>
    <n v="0"/>
    <x v="0"/>
    <n v="107018.8"/>
    <n v="107018.8"/>
    <n v="0"/>
    <n v="0"/>
    <x v="0"/>
    <x v="11"/>
  </r>
  <r>
    <s v="ORD00276"/>
    <d v="2024-07-07T00:00:00"/>
    <x v="237"/>
    <x v="24"/>
    <n v="192"/>
    <s v="INV00276"/>
    <n v="192"/>
    <n v="426.10500000000002"/>
    <m/>
    <m/>
    <m/>
    <m/>
    <m/>
    <n v="426.10500000000002"/>
    <d v="2023-10-16T00:00:00"/>
    <n v="0"/>
    <n v="0"/>
    <n v="0"/>
    <n v="0"/>
    <n v="0"/>
    <n v="0"/>
    <n v="0"/>
    <x v="0"/>
    <n v="81812.160000000003"/>
    <n v="81812.160000000003"/>
    <n v="0"/>
    <n v="0"/>
    <x v="0"/>
    <x v="21"/>
  </r>
  <r>
    <s v="ORD00277"/>
    <d v="2023-03-30T00:00:00"/>
    <x v="238"/>
    <x v="181"/>
    <n v="24"/>
    <s v="INV00277"/>
    <n v="24"/>
    <n v="860.25239999999997"/>
    <n v="6"/>
    <d v="2023-04-02T00:00:00"/>
    <m/>
    <m/>
    <m/>
    <n v="860.25239999999997"/>
    <d v="2022-08-01T00:00:00"/>
    <n v="0"/>
    <n v="0"/>
    <n v="0"/>
    <n v="0"/>
    <n v="0"/>
    <n v="0"/>
    <n v="0"/>
    <x v="0"/>
    <n v="20646.0576"/>
    <n v="20646.0576"/>
    <n v="0"/>
    <n v="0"/>
    <x v="0"/>
    <x v="17"/>
  </r>
  <r>
    <s v="ORD00278"/>
    <d v="2024-12-07T00:00:00"/>
    <x v="239"/>
    <x v="16"/>
    <n v="194"/>
    <s v="INV00278"/>
    <n v="197"/>
    <n v="78.696099999999987"/>
    <m/>
    <m/>
    <m/>
    <m/>
    <m/>
    <n v="78.696099999999987"/>
    <d v="2023-06-06T00:00:00"/>
    <n v="0"/>
    <n v="1"/>
    <n v="0"/>
    <n v="0"/>
    <n v="0"/>
    <n v="0"/>
    <n v="0"/>
    <x v="1"/>
    <n v="15503.131699999998"/>
    <n v="15267.043399999997"/>
    <n v="236.08830000000125"/>
    <n v="3"/>
    <x v="1"/>
    <x v="1"/>
  </r>
  <r>
    <s v="ORD00279"/>
    <d v="2024-02-22T00:00:00"/>
    <x v="240"/>
    <x v="138"/>
    <n v="100"/>
    <s v="INV00279"/>
    <n v="100"/>
    <n v="153.01650000000001"/>
    <m/>
    <m/>
    <m/>
    <m/>
    <m/>
    <n v="153.01650000000001"/>
    <d v="2023-05-18T00:00:00"/>
    <n v="0"/>
    <n v="0"/>
    <n v="0"/>
    <n v="0"/>
    <n v="0"/>
    <n v="0"/>
    <n v="0"/>
    <x v="0"/>
    <n v="15301.650000000001"/>
    <n v="15301.650000000001"/>
    <n v="0"/>
    <n v="0"/>
    <x v="0"/>
    <x v="3"/>
  </r>
  <r>
    <s v="ORD00280"/>
    <d v="2023-11-21T00:00:00"/>
    <x v="241"/>
    <x v="66"/>
    <n v="134"/>
    <s v="INV00280"/>
    <n v="134"/>
    <n v="1160.5650000000001"/>
    <m/>
    <m/>
    <m/>
    <m/>
    <m/>
    <n v="1160.5650000000001"/>
    <d v="2023-05-09T00:00:00"/>
    <n v="0"/>
    <n v="0"/>
    <n v="0"/>
    <n v="0"/>
    <n v="0"/>
    <n v="0"/>
    <n v="0"/>
    <x v="0"/>
    <n v="155515.71000000002"/>
    <n v="155515.71000000002"/>
    <n v="0"/>
    <n v="0"/>
    <x v="0"/>
    <x v="0"/>
  </r>
  <r>
    <s v="ORD00281"/>
    <d v="2023-09-12T00:00:00"/>
    <x v="242"/>
    <x v="18"/>
    <n v="120"/>
    <s v="INV00281"/>
    <n v="120"/>
    <n v="337.47280000000001"/>
    <m/>
    <m/>
    <m/>
    <m/>
    <m/>
    <n v="337.47280000000001"/>
    <d v="2023-09-02T00:00:00"/>
    <n v="0"/>
    <n v="0"/>
    <n v="0"/>
    <n v="0"/>
    <n v="0"/>
    <n v="0"/>
    <n v="0"/>
    <x v="0"/>
    <n v="40496.736000000004"/>
    <n v="40496.736000000004"/>
    <n v="0"/>
    <n v="0"/>
    <x v="0"/>
    <x v="18"/>
  </r>
  <r>
    <s v="ORD00282"/>
    <d v="2024-06-23T00:00:00"/>
    <x v="243"/>
    <x v="2"/>
    <n v="72"/>
    <s v="INV00282"/>
    <n v="72"/>
    <n v="189.1498"/>
    <n v="18"/>
    <d v="2024-11-10T00:00:00"/>
    <m/>
    <m/>
    <m/>
    <n v="189.1498"/>
    <d v="2023-07-01T00:00:00"/>
    <n v="0"/>
    <n v="0"/>
    <n v="0"/>
    <n v="0"/>
    <n v="0"/>
    <n v="1"/>
    <n v="0"/>
    <x v="1"/>
    <n v="13618.785599999999"/>
    <n v="13618.785599999999"/>
    <n v="0"/>
    <n v="2"/>
    <x v="1"/>
    <x v="16"/>
  </r>
  <r>
    <s v="ORD00283"/>
    <d v="2023-05-29T00:00:00"/>
    <x v="244"/>
    <x v="122"/>
    <n v="109"/>
    <s v="INV00283"/>
    <n v="109"/>
    <n v="68.418999999999997"/>
    <m/>
    <m/>
    <m/>
    <m/>
    <m/>
    <n v="68.418999999999997"/>
    <d v="2022-08-07T00:00:00"/>
    <n v="0"/>
    <n v="0"/>
    <n v="0"/>
    <n v="0"/>
    <n v="0"/>
    <n v="0"/>
    <n v="0"/>
    <x v="0"/>
    <n v="7457.6709999999994"/>
    <n v="7457.6709999999994"/>
    <n v="0"/>
    <n v="0"/>
    <x v="0"/>
    <x v="7"/>
  </r>
  <r>
    <s v="ORD00284"/>
    <d v="2023-03-09T00:00:00"/>
    <x v="224"/>
    <x v="182"/>
    <n v="79"/>
    <s v="INV00284"/>
    <n v="83"/>
    <n v="975.29"/>
    <m/>
    <m/>
    <m/>
    <m/>
    <m/>
    <n v="975.29"/>
    <d v="2022-05-17T00:00:00"/>
    <n v="0"/>
    <n v="1"/>
    <n v="0"/>
    <n v="0"/>
    <n v="0"/>
    <n v="0"/>
    <n v="0"/>
    <x v="1"/>
    <n v="80949.069999999992"/>
    <n v="77047.91"/>
    <n v="3901.1599999999889"/>
    <n v="8"/>
    <x v="2"/>
    <x v="17"/>
  </r>
  <r>
    <s v="ORD00285"/>
    <d v="2024-03-05T00:00:00"/>
    <x v="245"/>
    <x v="148"/>
    <n v="145"/>
    <s v="INV00285"/>
    <n v="145"/>
    <n v="815.08680000000004"/>
    <m/>
    <m/>
    <m/>
    <m/>
    <m/>
    <n v="815.08680000000004"/>
    <d v="2023-05-16T00:00:00"/>
    <n v="0"/>
    <n v="0"/>
    <n v="0"/>
    <n v="0"/>
    <n v="0"/>
    <n v="0"/>
    <n v="0"/>
    <x v="0"/>
    <n v="118187.58600000001"/>
    <n v="118187.58600000001"/>
    <n v="0"/>
    <n v="0"/>
    <x v="0"/>
    <x v="6"/>
  </r>
  <r>
    <s v="ORD00286"/>
    <d v="2024-05-03T00:00:00"/>
    <x v="246"/>
    <x v="57"/>
    <n v="131"/>
    <s v="INV00286"/>
    <n v="131"/>
    <n v="517.39100000000008"/>
    <m/>
    <m/>
    <m/>
    <m/>
    <m/>
    <n v="517.39100000000008"/>
    <d v="2023-04-29T00:00:00"/>
    <n v="0"/>
    <n v="0"/>
    <n v="0"/>
    <n v="0"/>
    <n v="0"/>
    <n v="0"/>
    <n v="0"/>
    <x v="0"/>
    <n v="67778.221000000005"/>
    <n v="67778.221000000005"/>
    <n v="0"/>
    <n v="0"/>
    <x v="0"/>
    <x v="13"/>
  </r>
  <r>
    <s v="ORD00287"/>
    <d v="2024-12-18T00:00:00"/>
    <x v="247"/>
    <x v="133"/>
    <n v="161"/>
    <s v="INV00287"/>
    <n v="161"/>
    <n v="1221.1123994720542"/>
    <m/>
    <m/>
    <m/>
    <m/>
    <m/>
    <n v="1220.5917999999999"/>
    <d v="2023-08-15T00:00:00"/>
    <n v="0"/>
    <n v="0"/>
    <n v="1"/>
    <n v="0"/>
    <n v="0"/>
    <n v="0"/>
    <n v="0"/>
    <x v="1"/>
    <n v="196599.09631500073"/>
    <n v="196515.27979999999"/>
    <n v="83.816515000740765"/>
    <n v="4"/>
    <x v="1"/>
    <x v="1"/>
  </r>
  <r>
    <s v="ORD00288"/>
    <d v="2024-10-07T00:00:00"/>
    <x v="248"/>
    <x v="32"/>
    <n v="20"/>
    <s v="INV00288"/>
    <n v="20"/>
    <n v="973.43799999999999"/>
    <n v="16"/>
    <d v="2024-09-15T00:00:00"/>
    <m/>
    <m/>
    <m/>
    <n v="973.43799999999999"/>
    <d v="2023-03-26T00:00:00"/>
    <n v="0"/>
    <n v="0"/>
    <n v="0"/>
    <n v="0"/>
    <n v="0"/>
    <n v="0"/>
    <n v="0"/>
    <x v="0"/>
    <n v="19468.759999999998"/>
    <n v="19468.759999999998"/>
    <n v="0"/>
    <n v="0"/>
    <x v="0"/>
    <x v="5"/>
  </r>
  <r>
    <s v="ORD00289"/>
    <d v="2024-09-15T00:00:00"/>
    <x v="249"/>
    <x v="183"/>
    <n v="137"/>
    <s v="INV00289"/>
    <n v="137"/>
    <n v="624.37260000000003"/>
    <m/>
    <m/>
    <m/>
    <m/>
    <m/>
    <n v="624.37260000000003"/>
    <d v="2023-01-06T00:00:00"/>
    <n v="0"/>
    <n v="0"/>
    <n v="0"/>
    <n v="0"/>
    <n v="0"/>
    <n v="0"/>
    <n v="0"/>
    <x v="0"/>
    <n v="85539.046200000012"/>
    <n v="85539.046200000012"/>
    <n v="0"/>
    <n v="0"/>
    <x v="0"/>
    <x v="2"/>
  </r>
  <r>
    <s v="ORD00290"/>
    <d v="2023-10-14T00:00:00"/>
    <x v="250"/>
    <x v="184"/>
    <n v="59"/>
    <s v="INV00290"/>
    <n v="59"/>
    <n v="427.43"/>
    <m/>
    <m/>
    <m/>
    <m/>
    <m/>
    <n v="427.43"/>
    <d v="2023-05-08T00:00:00"/>
    <n v="0"/>
    <n v="0"/>
    <n v="0"/>
    <n v="0"/>
    <n v="0"/>
    <n v="0"/>
    <n v="0"/>
    <x v="0"/>
    <n v="25218.37"/>
    <n v="25218.37"/>
    <n v="0"/>
    <n v="0"/>
    <x v="0"/>
    <x v="19"/>
  </r>
  <r>
    <s v="ORD00291"/>
    <d v="2023-01-27T00:00:00"/>
    <x v="251"/>
    <x v="44"/>
    <n v="139"/>
    <s v="INV00291"/>
    <n v="139"/>
    <n v="1015.6622"/>
    <m/>
    <m/>
    <m/>
    <m/>
    <m/>
    <n v="1015.6622"/>
    <d v="2022-08-24T00:00:00"/>
    <n v="0"/>
    <n v="0"/>
    <n v="0"/>
    <n v="0"/>
    <n v="0"/>
    <n v="0"/>
    <n v="0"/>
    <x v="0"/>
    <n v="141177.04579999999"/>
    <n v="141177.04579999999"/>
    <n v="0"/>
    <n v="0"/>
    <x v="0"/>
    <x v="8"/>
  </r>
  <r>
    <s v="ORD00292"/>
    <d v="2023-12-31T00:00:00"/>
    <x v="252"/>
    <x v="125"/>
    <n v="158"/>
    <s v="INV00292"/>
    <n v="158"/>
    <n v="405.98"/>
    <m/>
    <m/>
    <m/>
    <m/>
    <m/>
    <n v="405.98"/>
    <d v="2023-08-14T00:00:00"/>
    <n v="0"/>
    <n v="0"/>
    <n v="0"/>
    <n v="0"/>
    <n v="0"/>
    <n v="0"/>
    <n v="0"/>
    <x v="0"/>
    <n v="64144.840000000004"/>
    <n v="64144.840000000004"/>
    <n v="0"/>
    <n v="0"/>
    <x v="0"/>
    <x v="20"/>
  </r>
  <r>
    <s v="ORD00293"/>
    <d v="2024-06-25T00:00:00"/>
    <x v="253"/>
    <x v="64"/>
    <n v="41"/>
    <s v="INV00293"/>
    <n v="41"/>
    <n v="1129.6166000000001"/>
    <m/>
    <m/>
    <m/>
    <m/>
    <m/>
    <n v="1129.6166000000001"/>
    <d v="2023-02-03T00:00:00"/>
    <n v="0"/>
    <n v="0"/>
    <n v="0"/>
    <n v="0"/>
    <n v="0"/>
    <n v="0"/>
    <n v="0"/>
    <x v="0"/>
    <n v="46314.280600000006"/>
    <n v="46314.280600000006"/>
    <n v="0"/>
    <n v="0"/>
    <x v="0"/>
    <x v="16"/>
  </r>
  <r>
    <s v="ORD00294"/>
    <d v="2023-03-12T00:00:00"/>
    <x v="254"/>
    <x v="138"/>
    <n v="31"/>
    <s v="INV00294"/>
    <n v="31"/>
    <n v="145.88700459339756"/>
    <m/>
    <m/>
    <m/>
    <m/>
    <m/>
    <n v="145.72999999999999"/>
    <d v="2022-12-04T00:00:00"/>
    <n v="0"/>
    <n v="0"/>
    <n v="1"/>
    <n v="0"/>
    <n v="0"/>
    <n v="0"/>
    <n v="0"/>
    <x v="1"/>
    <n v="4522.4971423953248"/>
    <n v="4517.63"/>
    <n v="4.8671423953246631"/>
    <n v="4"/>
    <x v="1"/>
    <x v="17"/>
  </r>
  <r>
    <s v="ORD00295"/>
    <d v="2023-09-10T00:00:00"/>
    <x v="255"/>
    <x v="118"/>
    <n v="151"/>
    <s v="INV00295"/>
    <n v="151"/>
    <n v="130.87360000000001"/>
    <m/>
    <m/>
    <m/>
    <m/>
    <m/>
    <n v="130.87360000000001"/>
    <d v="2023-05-28T00:00:00"/>
    <n v="0"/>
    <n v="0"/>
    <n v="0"/>
    <n v="0"/>
    <n v="0"/>
    <n v="0"/>
    <n v="0"/>
    <x v="0"/>
    <n v="19761.9136"/>
    <n v="19761.9136"/>
    <n v="0"/>
    <n v="0"/>
    <x v="0"/>
    <x v="18"/>
  </r>
  <r>
    <s v="ORD00296"/>
    <d v="2023-12-22T00:00:00"/>
    <x v="225"/>
    <x v="140"/>
    <n v="87"/>
    <s v="INV00296"/>
    <n v="87"/>
    <n v="521.54959999999994"/>
    <m/>
    <m/>
    <m/>
    <m/>
    <m/>
    <n v="521.54959999999994"/>
    <d v="2023-03-09T00:00:00"/>
    <n v="0"/>
    <n v="0"/>
    <n v="0"/>
    <n v="0"/>
    <n v="0"/>
    <n v="0"/>
    <n v="0"/>
    <x v="0"/>
    <n v="45374.815199999997"/>
    <n v="45374.815199999997"/>
    <n v="0"/>
    <n v="0"/>
    <x v="0"/>
    <x v="20"/>
  </r>
  <r>
    <s v="ORD00297"/>
    <d v="2023-10-02T00:00:00"/>
    <x v="93"/>
    <x v="119"/>
    <n v="84"/>
    <s v="INV00297"/>
    <n v="84"/>
    <n v="88.578000000000003"/>
    <m/>
    <m/>
    <m/>
    <m/>
    <m/>
    <n v="88.578000000000003"/>
    <d v="2023-06-30T00:00:00"/>
    <n v="0"/>
    <n v="0"/>
    <n v="0"/>
    <n v="0"/>
    <n v="0"/>
    <n v="0"/>
    <n v="0"/>
    <x v="0"/>
    <n v="7440.5520000000006"/>
    <n v="7440.5520000000006"/>
    <n v="0"/>
    <n v="0"/>
    <x v="0"/>
    <x v="19"/>
  </r>
  <r>
    <s v="ORD00298"/>
    <d v="2023-08-03T00:00:00"/>
    <x v="256"/>
    <x v="114"/>
    <n v="199"/>
    <s v="INV00298"/>
    <n v="199"/>
    <n v="945.38850000000002"/>
    <m/>
    <m/>
    <m/>
    <m/>
    <m/>
    <n v="945.38850000000002"/>
    <d v="2023-05-01T00:00:00"/>
    <n v="0"/>
    <n v="0"/>
    <n v="0"/>
    <n v="0"/>
    <n v="0"/>
    <n v="0"/>
    <n v="0"/>
    <x v="0"/>
    <n v="188132.31150000001"/>
    <n v="188132.31150000001"/>
    <n v="0"/>
    <n v="0"/>
    <x v="0"/>
    <x v="12"/>
  </r>
  <r>
    <s v="ORD00299"/>
    <d v="2023-01-18T00:00:00"/>
    <x v="192"/>
    <x v="185"/>
    <n v="190"/>
    <s v="INV00299"/>
    <n v="190"/>
    <n v="452.32560000000001"/>
    <m/>
    <m/>
    <m/>
    <m/>
    <m/>
    <n v="452.32560000000001"/>
    <d v="2022-11-18T00:00:00"/>
    <n v="0"/>
    <n v="0"/>
    <n v="0"/>
    <n v="0"/>
    <n v="0"/>
    <n v="0"/>
    <n v="0"/>
    <x v="0"/>
    <n v="85941.864000000001"/>
    <n v="85941.864000000001"/>
    <n v="0"/>
    <n v="0"/>
    <x v="0"/>
    <x v="8"/>
  </r>
  <r>
    <s v="ORD00300"/>
    <d v="2024-11-07T00:00:00"/>
    <x v="257"/>
    <x v="186"/>
    <n v="65"/>
    <s v="INV00300"/>
    <n v="65"/>
    <n v="589.66600000000005"/>
    <m/>
    <m/>
    <m/>
    <m/>
    <m/>
    <n v="589.66600000000005"/>
    <d v="2023-10-19T00:00:00"/>
    <n v="0"/>
    <n v="0"/>
    <n v="0"/>
    <n v="0"/>
    <n v="0"/>
    <n v="0"/>
    <n v="0"/>
    <x v="0"/>
    <n v="38328.29"/>
    <n v="38328.29"/>
    <n v="0"/>
    <n v="0"/>
    <x v="0"/>
    <x v="4"/>
  </r>
  <r>
    <s v="ORD00301"/>
    <d v="2024-03-29T00:00:00"/>
    <x v="258"/>
    <x v="187"/>
    <n v="91"/>
    <s v="INV00301"/>
    <n v="91"/>
    <n v="892.1431"/>
    <n v="2"/>
    <d v="2023-02-16T00:00:00"/>
    <m/>
    <m/>
    <m/>
    <n v="892.1431"/>
    <d v="2023-10-23T00:00:00"/>
    <n v="0"/>
    <n v="0"/>
    <n v="0"/>
    <n v="0"/>
    <n v="0"/>
    <n v="0"/>
    <n v="0"/>
    <x v="0"/>
    <n v="81185.022100000002"/>
    <n v="81185.022100000002"/>
    <n v="0"/>
    <n v="0"/>
    <x v="0"/>
    <x v="6"/>
  </r>
  <r>
    <s v="ORD00302"/>
    <d v="2023-09-04T00:00:00"/>
    <x v="259"/>
    <x v="69"/>
    <n v="132"/>
    <s v="INV00302"/>
    <n v="132"/>
    <n v="876.32749999999999"/>
    <m/>
    <m/>
    <m/>
    <m/>
    <m/>
    <n v="876.32749999999999"/>
    <d v="2023-06-29T00:00:00"/>
    <n v="0"/>
    <n v="0"/>
    <n v="0"/>
    <n v="0"/>
    <n v="0"/>
    <n v="0"/>
    <n v="0"/>
    <x v="0"/>
    <n v="115675.23"/>
    <n v="115675.23"/>
    <n v="0"/>
    <n v="0"/>
    <x v="0"/>
    <x v="18"/>
  </r>
  <r>
    <s v="ORD00303"/>
    <d v="2024-03-12T00:00:00"/>
    <x v="260"/>
    <x v="100"/>
    <n v="140"/>
    <s v="INV00303"/>
    <n v="140"/>
    <n v="1231.9933000000001"/>
    <n v="14"/>
    <d v="2024-06-25T00:00:00"/>
    <m/>
    <m/>
    <m/>
    <n v="1231.9933000000001"/>
    <d v="2023-01-08T00:00:00"/>
    <n v="0"/>
    <n v="0"/>
    <n v="0"/>
    <n v="0"/>
    <n v="0"/>
    <n v="1"/>
    <n v="0"/>
    <x v="1"/>
    <n v="172479.06200000001"/>
    <n v="172479.06200000001"/>
    <n v="0"/>
    <n v="2"/>
    <x v="1"/>
    <x v="6"/>
  </r>
  <r>
    <s v="ORD00304"/>
    <d v="2023-08-12T00:00:00"/>
    <x v="144"/>
    <x v="188"/>
    <n v="148"/>
    <s v="INV00304"/>
    <n v="148"/>
    <n v="73.305100000000024"/>
    <m/>
    <m/>
    <m/>
    <m/>
    <m/>
    <n v="73.305100000000024"/>
    <d v="2023-04-30T00:00:00"/>
    <n v="0"/>
    <n v="0"/>
    <n v="0"/>
    <n v="0"/>
    <n v="0"/>
    <n v="0"/>
    <n v="0"/>
    <x v="0"/>
    <n v="10849.154800000004"/>
    <n v="10849.154800000004"/>
    <n v="0"/>
    <n v="0"/>
    <x v="0"/>
    <x v="12"/>
  </r>
  <r>
    <s v="ORD00305"/>
    <d v="2023-08-08T00:00:00"/>
    <x v="261"/>
    <x v="119"/>
    <n v="143"/>
    <s v="INV00305"/>
    <n v="143"/>
    <n v="89.024613678129086"/>
    <m/>
    <m/>
    <m/>
    <m/>
    <m/>
    <n v="88.578000000000003"/>
    <d v="2023-06-30T00:00:00"/>
    <n v="0"/>
    <n v="0"/>
    <n v="1"/>
    <n v="0"/>
    <n v="0"/>
    <n v="0"/>
    <n v="0"/>
    <x v="1"/>
    <n v="12730.519755972458"/>
    <n v="12666.654"/>
    <n v="63.865755972457919"/>
    <n v="4"/>
    <x v="1"/>
    <x v="12"/>
  </r>
  <r>
    <s v="ORD00306"/>
    <d v="2024-02-21T00:00:00"/>
    <x v="70"/>
    <x v="63"/>
    <n v="149"/>
    <s v="INV00306"/>
    <n v="149"/>
    <n v="96.6"/>
    <m/>
    <m/>
    <m/>
    <m/>
    <m/>
    <n v="96.6"/>
    <d v="2023-06-28T00:00:00"/>
    <n v="0"/>
    <n v="0"/>
    <n v="0"/>
    <n v="0"/>
    <n v="0"/>
    <n v="0"/>
    <n v="0"/>
    <x v="0"/>
    <n v="14393.4"/>
    <n v="14393.4"/>
    <n v="0"/>
    <n v="0"/>
    <x v="0"/>
    <x v="3"/>
  </r>
  <r>
    <s v="ORD00307"/>
    <d v="2024-06-10T00:00:00"/>
    <x v="262"/>
    <x v="63"/>
    <n v="38"/>
    <s v="INV00307"/>
    <n v="38"/>
    <n v="96.6"/>
    <m/>
    <m/>
    <m/>
    <m/>
    <m/>
    <n v="96.6"/>
    <d v="2023-06-28T00:00:00"/>
    <n v="0"/>
    <n v="0"/>
    <n v="0"/>
    <n v="0"/>
    <n v="0"/>
    <n v="0"/>
    <n v="0"/>
    <x v="0"/>
    <n v="3670.7999999999997"/>
    <n v="3670.7999999999997"/>
    <n v="0"/>
    <n v="0"/>
    <x v="0"/>
    <x v="16"/>
  </r>
  <r>
    <s v="ORD00308"/>
    <d v="2023-12-30T00:00:00"/>
    <x v="263"/>
    <x v="79"/>
    <n v="50"/>
    <s v="INV00308"/>
    <n v="50"/>
    <n v="730.7886000000002"/>
    <m/>
    <m/>
    <m/>
    <m/>
    <m/>
    <n v="730.7886000000002"/>
    <d v="2023-06-22T00:00:00"/>
    <n v="0"/>
    <n v="0"/>
    <n v="0"/>
    <n v="0"/>
    <n v="0"/>
    <n v="0"/>
    <n v="0"/>
    <x v="0"/>
    <n v="36539.430000000008"/>
    <n v="36539.430000000008"/>
    <n v="0"/>
    <n v="0"/>
    <x v="0"/>
    <x v="20"/>
  </r>
  <r>
    <s v="ORD00309"/>
    <d v="2023-10-08T00:00:00"/>
    <x v="264"/>
    <x v="55"/>
    <n v="72"/>
    <s v="INV00309"/>
    <n v="72"/>
    <n v="499.17750000000001"/>
    <m/>
    <m/>
    <m/>
    <m/>
    <m/>
    <n v="499.17750000000001"/>
    <d v="2023-07-16T00:00:00"/>
    <n v="0"/>
    <n v="0"/>
    <n v="0"/>
    <n v="0"/>
    <n v="0"/>
    <n v="0"/>
    <n v="0"/>
    <x v="0"/>
    <n v="35940.78"/>
    <n v="35940.78"/>
    <n v="0"/>
    <n v="0"/>
    <x v="0"/>
    <x v="19"/>
  </r>
  <r>
    <s v="ORD00310"/>
    <d v="2024-01-05T00:00:00"/>
    <x v="265"/>
    <x v="25"/>
    <n v="141"/>
    <s v="INV00310"/>
    <n v="141"/>
    <n v="1218.568"/>
    <m/>
    <m/>
    <m/>
    <m/>
    <m/>
    <n v="1218.568"/>
    <d v="2023-05-15T00:00:00"/>
    <n v="0"/>
    <n v="0"/>
    <n v="0"/>
    <n v="0"/>
    <n v="0"/>
    <n v="0"/>
    <n v="0"/>
    <x v="0"/>
    <n v="171818.08799999999"/>
    <n v="171818.08799999999"/>
    <n v="0"/>
    <n v="0"/>
    <x v="0"/>
    <x v="15"/>
  </r>
  <r>
    <s v="ORD00311"/>
    <d v="2024-03-25T00:00:00"/>
    <x v="266"/>
    <x v="189"/>
    <n v="39"/>
    <s v="INV00311"/>
    <n v="39"/>
    <n v="75.847200000000001"/>
    <m/>
    <m/>
    <m/>
    <m/>
    <m/>
    <n v="75.847200000000001"/>
    <d v="2023-06-05T00:00:00"/>
    <n v="0"/>
    <n v="0"/>
    <n v="0"/>
    <n v="0"/>
    <n v="0"/>
    <n v="0"/>
    <n v="0"/>
    <x v="0"/>
    <n v="2958.0408000000002"/>
    <n v="2958.0408000000002"/>
    <n v="0"/>
    <n v="0"/>
    <x v="0"/>
    <x v="6"/>
  </r>
  <r>
    <s v="ORD00312"/>
    <d v="2023-05-11T00:00:00"/>
    <x v="267"/>
    <x v="81"/>
    <n v="65"/>
    <s v="INV00312"/>
    <n v="65"/>
    <n v="263.89999999999998"/>
    <m/>
    <m/>
    <m/>
    <m/>
    <m/>
    <n v="263.89999999999998"/>
    <d v="2022-10-21T00:00:00"/>
    <n v="0"/>
    <n v="0"/>
    <n v="0"/>
    <n v="0"/>
    <n v="0"/>
    <n v="0"/>
    <n v="0"/>
    <x v="0"/>
    <n v="17153.5"/>
    <n v="17153.5"/>
    <n v="0"/>
    <n v="0"/>
    <x v="0"/>
    <x v="7"/>
  </r>
  <r>
    <s v="ORD00313"/>
    <d v="2024-02-25T00:00:00"/>
    <x v="268"/>
    <x v="81"/>
    <n v="57"/>
    <s v="INV00313"/>
    <n v="57"/>
    <n v="269.178"/>
    <m/>
    <m/>
    <m/>
    <m/>
    <m/>
    <n v="269.178"/>
    <d v="2023-08-20T00:00:00"/>
    <n v="0"/>
    <n v="0"/>
    <n v="0"/>
    <n v="0"/>
    <n v="0"/>
    <n v="0"/>
    <n v="0"/>
    <x v="0"/>
    <n v="15343.146000000001"/>
    <n v="15343.146000000001"/>
    <n v="0"/>
    <n v="0"/>
    <x v="0"/>
    <x v="3"/>
  </r>
  <r>
    <s v="ORD00314"/>
    <d v="2023-11-30T00:00:00"/>
    <x v="118"/>
    <x v="68"/>
    <n v="73"/>
    <s v="INV00314"/>
    <n v="73"/>
    <n v="168.12909999999999"/>
    <m/>
    <m/>
    <m/>
    <m/>
    <m/>
    <n v="168.12909999999999"/>
    <d v="2023-03-28T00:00:00"/>
    <n v="0"/>
    <n v="0"/>
    <n v="0"/>
    <n v="0"/>
    <n v="0"/>
    <n v="0"/>
    <n v="0"/>
    <x v="0"/>
    <n v="12273.424299999999"/>
    <n v="12273.424299999999"/>
    <n v="0"/>
    <n v="0"/>
    <x v="0"/>
    <x v="0"/>
  </r>
  <r>
    <s v="ORD00315"/>
    <d v="2024-10-16T00:00:00"/>
    <x v="269"/>
    <x v="58"/>
    <n v="190"/>
    <s v="INV00315"/>
    <n v="190"/>
    <n v="601.32929999999999"/>
    <m/>
    <m/>
    <m/>
    <m/>
    <m/>
    <n v="601.32929999999999"/>
    <d v="2023-02-05T00:00:00"/>
    <n v="0"/>
    <n v="0"/>
    <n v="0"/>
    <n v="0"/>
    <n v="0"/>
    <n v="0"/>
    <n v="0"/>
    <x v="0"/>
    <n v="114252.567"/>
    <n v="114252.567"/>
    <n v="0"/>
    <n v="0"/>
    <x v="0"/>
    <x v="5"/>
  </r>
  <r>
    <s v="ORD00316"/>
    <d v="2023-01-25T00:00:00"/>
    <x v="270"/>
    <x v="120"/>
    <n v="77"/>
    <s v="INV00316"/>
    <n v="77"/>
    <n v="887.23350000000005"/>
    <m/>
    <m/>
    <m/>
    <m/>
    <m/>
    <n v="887.23350000000005"/>
    <d v="2022-11-18T00:00:00"/>
    <n v="0"/>
    <n v="0"/>
    <n v="0"/>
    <n v="0"/>
    <n v="0"/>
    <n v="0"/>
    <n v="0"/>
    <x v="0"/>
    <n v="68316.979500000001"/>
    <n v="68316.979500000001"/>
    <n v="0"/>
    <n v="0"/>
    <x v="0"/>
    <x v="8"/>
  </r>
  <r>
    <s v="ORD00317"/>
    <d v="2024-12-10T00:00:00"/>
    <x v="268"/>
    <x v="19"/>
    <n v="144"/>
    <s v="INV00317"/>
    <n v="144"/>
    <n v="833.41650000000004"/>
    <m/>
    <m/>
    <m/>
    <m/>
    <m/>
    <n v="833.41650000000004"/>
    <d v="2023-09-25T00:00:00"/>
    <n v="0"/>
    <n v="0"/>
    <n v="0"/>
    <n v="0"/>
    <n v="0"/>
    <n v="0"/>
    <n v="0"/>
    <x v="0"/>
    <n v="120011.97600000001"/>
    <n v="120011.97600000001"/>
    <n v="0"/>
    <n v="0"/>
    <x v="0"/>
    <x v="1"/>
  </r>
  <r>
    <s v="ORD00318"/>
    <d v="2024-04-27T00:00:00"/>
    <x v="187"/>
    <x v="2"/>
    <n v="198"/>
    <s v="INV00318"/>
    <n v="198"/>
    <n v="189.1498"/>
    <m/>
    <m/>
    <m/>
    <m/>
    <m/>
    <n v="189.1498"/>
    <d v="2023-07-01T00:00:00"/>
    <n v="0"/>
    <n v="0"/>
    <n v="0"/>
    <n v="0"/>
    <n v="0"/>
    <n v="0"/>
    <n v="0"/>
    <x v="0"/>
    <n v="37451.660400000001"/>
    <n v="37451.660400000001"/>
    <n v="0"/>
    <n v="0"/>
    <x v="0"/>
    <x v="9"/>
  </r>
  <r>
    <s v="ORD00319"/>
    <d v="2024-11-17T00:00:00"/>
    <x v="8"/>
    <x v="136"/>
    <n v="75"/>
    <s v="INV00319"/>
    <n v="84"/>
    <n v="216.2484"/>
    <m/>
    <m/>
    <m/>
    <m/>
    <m/>
    <n v="216.2484"/>
    <d v="2023-01-18T00:00:00"/>
    <n v="0"/>
    <n v="1"/>
    <n v="0"/>
    <n v="0"/>
    <n v="0"/>
    <n v="0"/>
    <n v="0"/>
    <x v="1"/>
    <n v="18164.865600000001"/>
    <n v="16218.630000000001"/>
    <n v="1946.2356"/>
    <n v="8"/>
    <x v="2"/>
    <x v="4"/>
  </r>
  <r>
    <s v="ORD00320"/>
    <d v="2023-12-19T00:00:00"/>
    <x v="271"/>
    <x v="164"/>
    <n v="172"/>
    <s v="INV00320"/>
    <n v="172"/>
    <n v="709.52"/>
    <m/>
    <m/>
    <m/>
    <m/>
    <m/>
    <n v="709.52"/>
    <d v="2023-01-26T00:00:00"/>
    <n v="0"/>
    <n v="0"/>
    <n v="0"/>
    <n v="0"/>
    <n v="0"/>
    <n v="0"/>
    <n v="0"/>
    <x v="0"/>
    <n v="122037.44"/>
    <n v="122037.44"/>
    <n v="0"/>
    <n v="0"/>
    <x v="0"/>
    <x v="20"/>
  </r>
  <r>
    <s v="ORD00321"/>
    <d v="2023-07-29T00:00:00"/>
    <x v="119"/>
    <x v="190"/>
    <n v="134"/>
    <s v="INV00321"/>
    <n v="134"/>
    <n v="892.55520000000013"/>
    <m/>
    <m/>
    <m/>
    <m/>
    <m/>
    <n v="892.55520000000013"/>
    <d v="2023-02-28T00:00:00"/>
    <n v="0"/>
    <n v="0"/>
    <n v="0"/>
    <n v="0"/>
    <n v="0"/>
    <n v="0"/>
    <n v="0"/>
    <x v="0"/>
    <n v="119602.39680000002"/>
    <n v="119602.39680000002"/>
    <n v="0"/>
    <n v="0"/>
    <x v="0"/>
    <x v="10"/>
  </r>
  <r>
    <s v="ORD00322"/>
    <d v="2023-05-13T00:00:00"/>
    <x v="170"/>
    <x v="191"/>
    <n v="165"/>
    <s v="INV00322"/>
    <n v="165"/>
    <n v="355.32000000000005"/>
    <m/>
    <m/>
    <m/>
    <m/>
    <m/>
    <n v="355.32000000000005"/>
    <d v="2023-05-12T00:00:00"/>
    <n v="0"/>
    <n v="0"/>
    <n v="0"/>
    <n v="0"/>
    <n v="0"/>
    <n v="0"/>
    <n v="0"/>
    <x v="0"/>
    <n v="58627.80000000001"/>
    <n v="58627.80000000001"/>
    <n v="0"/>
    <n v="0"/>
    <x v="0"/>
    <x v="7"/>
  </r>
  <r>
    <s v="ORD00323"/>
    <d v="2023-12-03T00:00:00"/>
    <x v="272"/>
    <x v="34"/>
    <n v="165"/>
    <s v="INV00323"/>
    <n v="165"/>
    <n v="397.19560000000001"/>
    <m/>
    <m/>
    <m/>
    <m/>
    <m/>
    <n v="397.19560000000001"/>
    <d v="2023-01-06T00:00:00"/>
    <n v="0"/>
    <n v="0"/>
    <n v="0"/>
    <n v="0"/>
    <n v="0"/>
    <n v="0"/>
    <n v="0"/>
    <x v="0"/>
    <n v="65537.274000000005"/>
    <n v="65537.274000000005"/>
    <n v="0"/>
    <n v="0"/>
    <x v="0"/>
    <x v="20"/>
  </r>
  <r>
    <s v="ORD00324"/>
    <d v="2024-07-12T00:00:00"/>
    <x v="273"/>
    <x v="192"/>
    <n v="159"/>
    <s v="INV00324"/>
    <n v="159"/>
    <n v="247.48920000000001"/>
    <m/>
    <m/>
    <m/>
    <m/>
    <m/>
    <n v="247.48920000000001"/>
    <d v="2023-06-11T00:00:00"/>
    <n v="0"/>
    <n v="0"/>
    <n v="0"/>
    <n v="0"/>
    <n v="0"/>
    <n v="0"/>
    <n v="0"/>
    <x v="0"/>
    <n v="39350.782800000001"/>
    <n v="39350.782800000001"/>
    <n v="0"/>
    <n v="0"/>
    <x v="0"/>
    <x v="21"/>
  </r>
  <r>
    <s v="ORD00325"/>
    <d v="2024-01-30T00:00:00"/>
    <x v="274"/>
    <x v="84"/>
    <n v="5"/>
    <s v="INV00325"/>
    <n v="5"/>
    <n v="262.37120000000004"/>
    <m/>
    <m/>
    <m/>
    <m/>
    <m/>
    <n v="262.37120000000004"/>
    <d v="2023-06-28T00:00:00"/>
    <n v="0"/>
    <n v="0"/>
    <n v="0"/>
    <n v="0"/>
    <n v="0"/>
    <n v="0"/>
    <n v="0"/>
    <x v="0"/>
    <n v="1311.8560000000002"/>
    <n v="1311.8560000000002"/>
    <n v="0"/>
    <n v="0"/>
    <x v="0"/>
    <x v="15"/>
  </r>
  <r>
    <s v="ORD00326"/>
    <d v="2024-07-27T00:00:00"/>
    <x v="66"/>
    <x v="161"/>
    <n v="183"/>
    <s v="INV00326"/>
    <n v="183"/>
    <n v="1007.2368847589736"/>
    <m/>
    <m/>
    <m/>
    <m/>
    <m/>
    <n v="1006.8318"/>
    <d v="2023-10-05T00:00:00"/>
    <n v="0"/>
    <n v="0"/>
    <n v="1"/>
    <n v="0"/>
    <n v="0"/>
    <n v="0"/>
    <n v="0"/>
    <x v="1"/>
    <n v="184324.34991089217"/>
    <n v="184250.2194"/>
    <n v="74.130510892166058"/>
    <n v="4"/>
    <x v="1"/>
    <x v="21"/>
  </r>
  <r>
    <s v="ORD00327"/>
    <d v="2024-02-14T00:00:00"/>
    <x v="275"/>
    <x v="65"/>
    <n v="154"/>
    <s v="INV00327"/>
    <n v="154"/>
    <n v="660.96040000000005"/>
    <m/>
    <m/>
    <m/>
    <m/>
    <m/>
    <n v="660.96040000000005"/>
    <d v="2023-01-21T00:00:00"/>
    <n v="0"/>
    <n v="0"/>
    <n v="0"/>
    <n v="0"/>
    <n v="0"/>
    <n v="0"/>
    <n v="0"/>
    <x v="0"/>
    <n v="101787.90160000001"/>
    <n v="101787.90160000001"/>
    <n v="0"/>
    <n v="0"/>
    <x v="0"/>
    <x v="3"/>
  </r>
  <r>
    <s v="ORD00328"/>
    <d v="2023-08-09T00:00:00"/>
    <x v="276"/>
    <x v="121"/>
    <n v="18"/>
    <s v="INV00328"/>
    <n v="18"/>
    <n v="1032.2340000000002"/>
    <m/>
    <m/>
    <m/>
    <m/>
    <m/>
    <n v="1032.2340000000002"/>
    <d v="2022-08-25T00:00:00"/>
    <n v="0"/>
    <n v="0"/>
    <n v="0"/>
    <n v="0"/>
    <n v="0"/>
    <n v="0"/>
    <n v="0"/>
    <x v="0"/>
    <n v="18580.212000000003"/>
    <n v="18580.212000000003"/>
    <n v="0"/>
    <n v="0"/>
    <x v="0"/>
    <x v="12"/>
  </r>
  <r>
    <s v="ORD00329"/>
    <d v="2024-08-28T00:00:00"/>
    <x v="277"/>
    <x v="14"/>
    <n v="139"/>
    <s v="INV00329"/>
    <n v="139"/>
    <n v="265.44960000000003"/>
    <m/>
    <m/>
    <m/>
    <m/>
    <m/>
    <n v="265.44960000000003"/>
    <d v="2023-03-14T00:00:00"/>
    <n v="0"/>
    <n v="0"/>
    <n v="0"/>
    <n v="0"/>
    <n v="0"/>
    <n v="0"/>
    <n v="0"/>
    <x v="0"/>
    <n v="36897.494400000003"/>
    <n v="36897.494400000003"/>
    <n v="0"/>
    <n v="0"/>
    <x v="0"/>
    <x v="22"/>
  </r>
  <r>
    <s v="ORD00330"/>
    <d v="2023-11-02T00:00:00"/>
    <x v="49"/>
    <x v="184"/>
    <n v="200"/>
    <s v="INV00330"/>
    <n v="200"/>
    <n v="427.43"/>
    <m/>
    <m/>
    <m/>
    <m/>
    <m/>
    <n v="427.43"/>
    <d v="2023-05-08T00:00:00"/>
    <n v="0"/>
    <n v="0"/>
    <n v="0"/>
    <n v="0"/>
    <n v="0"/>
    <n v="0"/>
    <n v="0"/>
    <x v="0"/>
    <n v="85486"/>
    <n v="85486"/>
    <n v="0"/>
    <n v="0"/>
    <x v="0"/>
    <x v="0"/>
  </r>
  <r>
    <s v="ORD00331"/>
    <d v="2023-07-20T00:00:00"/>
    <x v="41"/>
    <x v="7"/>
    <n v="13"/>
    <s v="INV00331"/>
    <n v="21"/>
    <n v="510.91840000000002"/>
    <n v="2"/>
    <d v="2024-08-12T00:00:00"/>
    <m/>
    <m/>
    <m/>
    <n v="510.91840000000002"/>
    <d v="2023-02-24T00:00:00"/>
    <n v="0"/>
    <n v="1"/>
    <n v="0"/>
    <n v="0"/>
    <n v="0"/>
    <n v="1"/>
    <n v="0"/>
    <x v="1"/>
    <n v="10729.286400000001"/>
    <n v="6641.9392000000007"/>
    <n v="4087.3472000000002"/>
    <n v="10"/>
    <x v="2"/>
    <x v="10"/>
  </r>
  <r>
    <s v="ORD00332"/>
    <d v="2024-04-08T00:00:00"/>
    <x v="173"/>
    <x v="190"/>
    <n v="24"/>
    <s v="INV00332"/>
    <n v="24"/>
    <n v="892.55520000000013"/>
    <m/>
    <m/>
    <m/>
    <m/>
    <m/>
    <n v="892.55520000000013"/>
    <d v="2023-02-28T00:00:00"/>
    <n v="0"/>
    <n v="0"/>
    <n v="0"/>
    <n v="0"/>
    <n v="0"/>
    <n v="0"/>
    <n v="0"/>
    <x v="0"/>
    <n v="21421.324800000002"/>
    <n v="21421.324800000002"/>
    <n v="0"/>
    <n v="0"/>
    <x v="0"/>
    <x v="9"/>
  </r>
  <r>
    <s v="ORD00333"/>
    <d v="2024-12-31T00:00:00"/>
    <x v="171"/>
    <x v="5"/>
    <n v="87"/>
    <s v="INV00333"/>
    <n v="87"/>
    <n v="1058.3499999999999"/>
    <m/>
    <m/>
    <m/>
    <m/>
    <m/>
    <n v="1058.3499999999999"/>
    <d v="2023-07-29T00:00:00"/>
    <n v="0"/>
    <n v="0"/>
    <n v="0"/>
    <n v="0"/>
    <n v="0"/>
    <n v="0"/>
    <n v="0"/>
    <x v="0"/>
    <n v="92076.45"/>
    <n v="92076.45"/>
    <n v="0"/>
    <n v="0"/>
    <x v="0"/>
    <x v="1"/>
  </r>
  <r>
    <s v="ORD00334"/>
    <d v="2024-12-31T00:00:00"/>
    <x v="278"/>
    <x v="41"/>
    <n v="197"/>
    <s v="INV00334"/>
    <n v="197"/>
    <n v="1211.7708"/>
    <m/>
    <m/>
    <m/>
    <m/>
    <m/>
    <n v="1211.7708"/>
    <d v="2023-09-24T00:00:00"/>
    <n v="0"/>
    <n v="0"/>
    <n v="0"/>
    <n v="0"/>
    <n v="0"/>
    <n v="0"/>
    <n v="0"/>
    <x v="0"/>
    <n v="238718.84760000001"/>
    <n v="238718.84760000001"/>
    <n v="0"/>
    <n v="0"/>
    <x v="0"/>
    <x v="1"/>
  </r>
  <r>
    <s v="ORD00335"/>
    <d v="2024-06-02T00:00:00"/>
    <x v="198"/>
    <x v="193"/>
    <n v="132"/>
    <s v="INV00335"/>
    <n v="132"/>
    <n v="1030.7952"/>
    <n v="19"/>
    <d v="2023-08-31T00:00:00"/>
    <m/>
    <m/>
    <m/>
    <n v="1030.7952"/>
    <d v="2023-08-16T00:00:00"/>
    <n v="0"/>
    <n v="0"/>
    <n v="0"/>
    <n v="0"/>
    <n v="0"/>
    <n v="0"/>
    <n v="0"/>
    <x v="0"/>
    <n v="136064.9664"/>
    <n v="136064.9664"/>
    <n v="0"/>
    <n v="0"/>
    <x v="0"/>
    <x v="16"/>
  </r>
  <r>
    <s v="ORD00336"/>
    <d v="2023-03-16T00:00:00"/>
    <x v="152"/>
    <x v="55"/>
    <n v="109"/>
    <s v="INV00336"/>
    <n v="109"/>
    <n v="525.45000000000005"/>
    <m/>
    <m/>
    <m/>
    <m/>
    <m/>
    <n v="525.45000000000005"/>
    <d v="2022-03-03T00:00:00"/>
    <n v="0"/>
    <n v="0"/>
    <n v="0"/>
    <n v="0"/>
    <n v="0"/>
    <n v="0"/>
    <n v="0"/>
    <x v="0"/>
    <n v="57274.05"/>
    <n v="57274.05"/>
    <n v="0"/>
    <n v="0"/>
    <x v="0"/>
    <x v="17"/>
  </r>
  <r>
    <s v="ORD00337"/>
    <d v="2024-09-30T00:00:00"/>
    <x v="224"/>
    <x v="59"/>
    <n v="27"/>
    <s v="INV00337"/>
    <n v="27"/>
    <n v="942.54840000000013"/>
    <m/>
    <m/>
    <m/>
    <m/>
    <m/>
    <n v="942.54840000000013"/>
    <d v="2023-06-09T00:00:00"/>
    <n v="0"/>
    <n v="0"/>
    <n v="0"/>
    <n v="0"/>
    <n v="0"/>
    <n v="0"/>
    <n v="0"/>
    <x v="0"/>
    <n v="25448.806800000002"/>
    <n v="25448.806800000002"/>
    <n v="0"/>
    <n v="0"/>
    <x v="0"/>
    <x v="2"/>
  </r>
  <r>
    <s v="ORD00338"/>
    <d v="2024-12-07T00:00:00"/>
    <x v="279"/>
    <x v="22"/>
    <n v="168"/>
    <s v="INV00338"/>
    <n v="168"/>
    <n v="626.68790000000001"/>
    <m/>
    <m/>
    <m/>
    <m/>
    <m/>
    <n v="626.68790000000001"/>
    <d v="2023-06-26T00:00:00"/>
    <n v="0"/>
    <n v="0"/>
    <n v="0"/>
    <n v="0"/>
    <n v="0"/>
    <n v="0"/>
    <n v="0"/>
    <x v="0"/>
    <n v="105283.5672"/>
    <n v="105283.5672"/>
    <n v="0"/>
    <n v="0"/>
    <x v="0"/>
    <x v="1"/>
  </r>
  <r>
    <s v="ORD00339"/>
    <d v="2023-07-12T00:00:00"/>
    <x v="13"/>
    <x v="141"/>
    <n v="127"/>
    <s v="INV00339"/>
    <n v="127"/>
    <n v="785.89"/>
    <m/>
    <m/>
    <m/>
    <m/>
    <m/>
    <n v="785.89"/>
    <d v="2023-03-04T00:00:00"/>
    <n v="0"/>
    <n v="0"/>
    <n v="0"/>
    <n v="0"/>
    <n v="0"/>
    <n v="0"/>
    <n v="0"/>
    <x v="0"/>
    <n v="99808.03"/>
    <n v="99808.03"/>
    <n v="0"/>
    <n v="0"/>
    <x v="0"/>
    <x v="10"/>
  </r>
  <r>
    <s v="ORD00340"/>
    <d v="2023-05-05T00:00:00"/>
    <x v="12"/>
    <x v="194"/>
    <n v="73"/>
    <s v="INV00340"/>
    <n v="73"/>
    <n v="399.4169"/>
    <m/>
    <m/>
    <m/>
    <m/>
    <m/>
    <n v="399.4169"/>
    <d v="2023-04-04T00:00:00"/>
    <n v="0"/>
    <n v="0"/>
    <n v="0"/>
    <n v="0"/>
    <n v="0"/>
    <n v="0"/>
    <n v="0"/>
    <x v="0"/>
    <n v="29157.433700000001"/>
    <n v="29157.433700000001"/>
    <n v="0"/>
    <n v="0"/>
    <x v="0"/>
    <x v="7"/>
  </r>
  <r>
    <s v="ORD00341"/>
    <d v="2024-05-21T00:00:00"/>
    <x v="280"/>
    <x v="51"/>
    <n v="179"/>
    <s v="INV00341"/>
    <n v="179"/>
    <n v="580.38720000000001"/>
    <m/>
    <m/>
    <m/>
    <m/>
    <m/>
    <n v="580.38720000000001"/>
    <d v="2023-09-11T00:00:00"/>
    <n v="0"/>
    <n v="0"/>
    <n v="0"/>
    <n v="0"/>
    <n v="0"/>
    <n v="0"/>
    <n v="0"/>
    <x v="0"/>
    <n v="103889.3088"/>
    <n v="103889.3088"/>
    <n v="0"/>
    <n v="0"/>
    <x v="0"/>
    <x v="13"/>
  </r>
  <r>
    <s v="ORD00342"/>
    <d v="2023-01-18T00:00:00"/>
    <x v="281"/>
    <x v="12"/>
    <n v="164"/>
    <s v="INV00342"/>
    <n v="164"/>
    <n v="725.50320000000011"/>
    <m/>
    <m/>
    <m/>
    <m/>
    <m/>
    <n v="725.50320000000011"/>
    <d v="2022-10-24T00:00:00"/>
    <n v="0"/>
    <n v="0"/>
    <n v="0"/>
    <n v="0"/>
    <n v="0"/>
    <n v="0"/>
    <n v="0"/>
    <x v="0"/>
    <n v="118982.52480000001"/>
    <n v="118982.52480000001"/>
    <n v="0"/>
    <n v="0"/>
    <x v="0"/>
    <x v="8"/>
  </r>
  <r>
    <s v="ORD00343"/>
    <d v="2023-05-02T00:00:00"/>
    <x v="26"/>
    <x v="195"/>
    <n v="28"/>
    <s v="INV00343"/>
    <n v="28"/>
    <n v="793.03560000000004"/>
    <n v="15"/>
    <d v="2024-03-01T00:00:00"/>
    <m/>
    <m/>
    <m/>
    <n v="793.03560000000004"/>
    <d v="2022-11-27T00:00:00"/>
    <n v="0"/>
    <n v="0"/>
    <n v="0"/>
    <n v="0"/>
    <n v="0"/>
    <n v="1"/>
    <n v="0"/>
    <x v="1"/>
    <n v="22204.996800000001"/>
    <n v="22204.996800000001"/>
    <n v="0"/>
    <n v="2"/>
    <x v="1"/>
    <x v="7"/>
  </r>
  <r>
    <s v="ORD00344"/>
    <d v="2024-05-30T00:00:00"/>
    <x v="282"/>
    <x v="196"/>
    <n v="58"/>
    <s v="INV00344"/>
    <n v="58"/>
    <n v="1099.82"/>
    <m/>
    <m/>
    <m/>
    <m/>
    <m/>
    <n v="1099.82"/>
    <d v="2023-02-05T00:00:00"/>
    <n v="0"/>
    <n v="0"/>
    <n v="0"/>
    <n v="0"/>
    <n v="0"/>
    <n v="0"/>
    <n v="0"/>
    <x v="0"/>
    <n v="63789.56"/>
    <n v="63789.56"/>
    <n v="0"/>
    <n v="0"/>
    <x v="0"/>
    <x v="13"/>
  </r>
  <r>
    <s v="ORD00345"/>
    <d v="2023-05-13T00:00:00"/>
    <x v="283"/>
    <x v="190"/>
    <n v="18"/>
    <s v="INV00345"/>
    <n v="18"/>
    <n v="892.55520000000013"/>
    <m/>
    <m/>
    <m/>
    <m/>
    <m/>
    <n v="892.55520000000013"/>
    <d v="2023-02-28T00:00:00"/>
    <n v="0"/>
    <n v="0"/>
    <n v="0"/>
    <n v="0"/>
    <n v="0"/>
    <n v="0"/>
    <n v="0"/>
    <x v="0"/>
    <n v="16065.993600000002"/>
    <n v="16065.993600000002"/>
    <n v="0"/>
    <n v="0"/>
    <x v="0"/>
    <x v="7"/>
  </r>
  <r>
    <s v="ORD00346"/>
    <d v="2024-08-12T00:00:00"/>
    <x v="284"/>
    <x v="197"/>
    <n v="127"/>
    <s v="INV00346"/>
    <n v="127"/>
    <n v="250.3184"/>
    <m/>
    <m/>
    <m/>
    <m/>
    <m/>
    <n v="250.3184"/>
    <d v="2023-10-13T00:00:00"/>
    <n v="0"/>
    <n v="0"/>
    <n v="0"/>
    <n v="0"/>
    <n v="0"/>
    <n v="0"/>
    <n v="0"/>
    <x v="0"/>
    <n v="31790.436799999999"/>
    <n v="31790.436799999999"/>
    <n v="0"/>
    <n v="0"/>
    <x v="0"/>
    <x v="22"/>
  </r>
  <r>
    <s v="ORD00347"/>
    <d v="2024-08-21T00:00:00"/>
    <x v="285"/>
    <x v="198"/>
    <n v="149"/>
    <s v="INV00347"/>
    <n v="149"/>
    <n v="906.88919999999996"/>
    <m/>
    <m/>
    <m/>
    <m/>
    <m/>
    <n v="906.88919999999996"/>
    <d v="2023-03-06T00:00:00"/>
    <n v="0"/>
    <n v="0"/>
    <n v="0"/>
    <n v="0"/>
    <n v="0"/>
    <n v="0"/>
    <n v="0"/>
    <x v="0"/>
    <n v="135126.4908"/>
    <n v="135126.4908"/>
    <n v="0"/>
    <n v="0"/>
    <x v="0"/>
    <x v="22"/>
  </r>
  <r>
    <s v="ORD00348"/>
    <d v="2023-03-22T00:00:00"/>
    <x v="20"/>
    <x v="81"/>
    <n v="133"/>
    <s v="INV00348"/>
    <n v="133"/>
    <n v="263.89999999999998"/>
    <n v="8"/>
    <d v="2023-03-20T00:00:00"/>
    <m/>
    <m/>
    <m/>
    <n v="263.89999999999998"/>
    <d v="2022-10-21T00:00:00"/>
    <n v="0"/>
    <n v="0"/>
    <n v="0"/>
    <n v="0"/>
    <n v="0"/>
    <n v="0"/>
    <n v="0"/>
    <x v="0"/>
    <n v="35098.699999999997"/>
    <n v="35098.699999999997"/>
    <n v="0"/>
    <n v="0"/>
    <x v="0"/>
    <x v="17"/>
  </r>
  <r>
    <s v="ORD00349"/>
    <d v="2024-03-06T00:00:00"/>
    <x v="286"/>
    <x v="199"/>
    <n v="54"/>
    <s v="INV00349"/>
    <n v="54"/>
    <n v="334.24649999999997"/>
    <m/>
    <m/>
    <m/>
    <m/>
    <m/>
    <n v="334.24649999999997"/>
    <d v="2023-07-18T00:00:00"/>
    <n v="0"/>
    <n v="0"/>
    <n v="0"/>
    <n v="0"/>
    <n v="0"/>
    <n v="0"/>
    <n v="0"/>
    <x v="0"/>
    <n v="18049.310999999998"/>
    <n v="18049.310999999998"/>
    <n v="0"/>
    <n v="0"/>
    <x v="0"/>
    <x v="6"/>
  </r>
  <r>
    <s v="ORD00350"/>
    <d v="2023-04-14T00:00:00"/>
    <x v="287"/>
    <x v="130"/>
    <n v="128"/>
    <s v="INV00350"/>
    <n v="128"/>
    <n v="58.98"/>
    <m/>
    <m/>
    <m/>
    <m/>
    <m/>
    <n v="58.98"/>
    <d v="2023-01-08T00:00:00"/>
    <n v="0"/>
    <n v="0"/>
    <n v="0"/>
    <n v="0"/>
    <n v="0"/>
    <n v="0"/>
    <n v="0"/>
    <x v="0"/>
    <n v="7549.44"/>
    <n v="7549.44"/>
    <n v="0"/>
    <n v="0"/>
    <x v="0"/>
    <x v="23"/>
  </r>
  <r>
    <s v="ORD00351"/>
    <d v="2024-03-29T00:00:00"/>
    <x v="288"/>
    <x v="200"/>
    <n v="195"/>
    <s v="INV00351"/>
    <n v="195"/>
    <n v="69.664688016851045"/>
    <m/>
    <m/>
    <m/>
    <m/>
    <m/>
    <n v="69.45"/>
    <d v="2023-08-31T00:00:00"/>
    <n v="0"/>
    <n v="0"/>
    <n v="1"/>
    <n v="0"/>
    <n v="0"/>
    <n v="0"/>
    <n v="0"/>
    <x v="1"/>
    <n v="13584.614163285954"/>
    <n v="13542.75"/>
    <n v="41.864163285954419"/>
    <n v="4"/>
    <x v="1"/>
    <x v="6"/>
  </r>
  <r>
    <s v="ORD00352"/>
    <d v="2024-04-09T00:00:00"/>
    <x v="289"/>
    <x v="192"/>
    <n v="109"/>
    <s v="INV00352"/>
    <n v="109"/>
    <n v="247.48920000000001"/>
    <m/>
    <m/>
    <m/>
    <m/>
    <m/>
    <n v="247.48920000000001"/>
    <d v="2023-06-11T00:00:00"/>
    <n v="0"/>
    <n v="0"/>
    <n v="0"/>
    <n v="0"/>
    <n v="0"/>
    <n v="0"/>
    <n v="0"/>
    <x v="0"/>
    <n v="26976.322800000002"/>
    <n v="26976.322800000002"/>
    <n v="0"/>
    <n v="0"/>
    <x v="0"/>
    <x v="9"/>
  </r>
  <r>
    <s v="ORD00353"/>
    <d v="2024-05-23T00:00:00"/>
    <x v="216"/>
    <x v="186"/>
    <n v="33"/>
    <s v="INV00353"/>
    <n v="33"/>
    <n v="589.66600000000005"/>
    <m/>
    <m/>
    <m/>
    <m/>
    <m/>
    <n v="589.66600000000005"/>
    <d v="2023-10-19T00:00:00"/>
    <n v="0"/>
    <n v="0"/>
    <n v="0"/>
    <n v="0"/>
    <n v="0"/>
    <n v="0"/>
    <n v="0"/>
    <x v="0"/>
    <n v="19458.978000000003"/>
    <n v="19458.978000000003"/>
    <n v="0"/>
    <n v="0"/>
    <x v="0"/>
    <x v="13"/>
  </r>
  <r>
    <s v="ORD00354"/>
    <d v="2023-02-22T00:00:00"/>
    <x v="290"/>
    <x v="18"/>
    <n v="119"/>
    <s v="INV00354"/>
    <n v="119"/>
    <n v="361.57799999999997"/>
    <n v="18"/>
    <d v="2023-07-02T00:00:00"/>
    <m/>
    <m/>
    <m/>
    <n v="361.57799999999997"/>
    <d v="2023-01-06T00:00:00"/>
    <n v="0"/>
    <n v="0"/>
    <n v="0"/>
    <n v="0"/>
    <n v="0"/>
    <n v="1"/>
    <n v="0"/>
    <x v="1"/>
    <n v="43027.781999999999"/>
    <n v="43027.781999999999"/>
    <n v="0"/>
    <n v="2"/>
    <x v="1"/>
    <x v="11"/>
  </r>
  <r>
    <s v="ORD00355"/>
    <d v="2024-04-18T00:00:00"/>
    <x v="188"/>
    <x v="201"/>
    <n v="89"/>
    <s v="INV00355"/>
    <n v="89"/>
    <n v="418.93040000000002"/>
    <m/>
    <m/>
    <m/>
    <m/>
    <m/>
    <n v="418.93040000000002"/>
    <d v="2023-10-15T00:00:00"/>
    <n v="0"/>
    <n v="0"/>
    <n v="0"/>
    <n v="0"/>
    <n v="0"/>
    <n v="0"/>
    <n v="0"/>
    <x v="0"/>
    <n v="37284.8056"/>
    <n v="37284.8056"/>
    <n v="0"/>
    <n v="0"/>
    <x v="0"/>
    <x v="9"/>
  </r>
  <r>
    <s v="ORD00356"/>
    <d v="2023-05-22T00:00:00"/>
    <x v="291"/>
    <x v="163"/>
    <n v="5"/>
    <s v="INV00356"/>
    <n v="5"/>
    <n v="147.87150000000003"/>
    <m/>
    <m/>
    <m/>
    <m/>
    <m/>
    <n v="147.87150000000003"/>
    <d v="2023-02-15T00:00:00"/>
    <n v="0"/>
    <n v="0"/>
    <n v="0"/>
    <n v="0"/>
    <n v="0"/>
    <n v="0"/>
    <n v="0"/>
    <x v="0"/>
    <n v="739.35750000000007"/>
    <n v="739.35750000000007"/>
    <n v="0"/>
    <n v="0"/>
    <x v="0"/>
    <x v="7"/>
  </r>
  <r>
    <s v="ORD00357"/>
    <d v="2024-11-02T00:00:00"/>
    <x v="243"/>
    <x v="202"/>
    <n v="99"/>
    <s v="INV00357"/>
    <n v="99"/>
    <n v="651.14279999999997"/>
    <m/>
    <m/>
    <m/>
    <m/>
    <m/>
    <n v="651.14279999999997"/>
    <d v="2023-10-21T00:00:00"/>
    <n v="0"/>
    <n v="0"/>
    <n v="0"/>
    <n v="0"/>
    <n v="0"/>
    <n v="0"/>
    <n v="0"/>
    <x v="0"/>
    <n v="64463.137199999997"/>
    <n v="64463.137199999997"/>
    <n v="0"/>
    <n v="0"/>
    <x v="0"/>
    <x v="4"/>
  </r>
  <r>
    <s v="ORD00358"/>
    <d v="2024-03-16T00:00:00"/>
    <x v="292"/>
    <x v="67"/>
    <n v="1"/>
    <s v="INV00358"/>
    <n v="1"/>
    <n v="1017.8627536524302"/>
    <m/>
    <m/>
    <m/>
    <m/>
    <m/>
    <n v="1016.9848"/>
    <d v="2023-04-17T00:00:00"/>
    <n v="0"/>
    <n v="0"/>
    <n v="1"/>
    <n v="0"/>
    <n v="0"/>
    <n v="0"/>
    <n v="0"/>
    <x v="1"/>
    <n v="1017.8627536524302"/>
    <n v="1016.9848"/>
    <n v="0.87795365243027845"/>
    <n v="4"/>
    <x v="1"/>
    <x v="6"/>
  </r>
  <r>
    <s v="ORD00359"/>
    <d v="2024-07-10T00:00:00"/>
    <x v="293"/>
    <x v="73"/>
    <n v="186"/>
    <s v="INV00359"/>
    <n v="186"/>
    <n v="1006.5033"/>
    <m/>
    <m/>
    <m/>
    <m/>
    <m/>
    <n v="1006.5033"/>
    <d v="2023-07-16T00:00:00"/>
    <n v="0"/>
    <n v="0"/>
    <n v="0"/>
    <n v="0"/>
    <n v="0"/>
    <n v="0"/>
    <n v="0"/>
    <x v="0"/>
    <n v="187209.61379999999"/>
    <n v="187209.61379999999"/>
    <n v="0"/>
    <n v="0"/>
    <x v="0"/>
    <x v="21"/>
  </r>
  <r>
    <s v="ORD00360"/>
    <d v="2023-10-17T00:00:00"/>
    <x v="294"/>
    <x v="200"/>
    <n v="132"/>
    <s v="INV00360"/>
    <n v="137"/>
    <n v="69.45"/>
    <m/>
    <m/>
    <m/>
    <m/>
    <m/>
    <n v="69.45"/>
    <d v="2023-08-31T00:00:00"/>
    <n v="0"/>
    <n v="1"/>
    <n v="0"/>
    <n v="0"/>
    <n v="0"/>
    <n v="0"/>
    <n v="0"/>
    <x v="1"/>
    <n v="9514.65"/>
    <n v="9167.4"/>
    <n v="347.25"/>
    <n v="3"/>
    <x v="1"/>
    <x v="19"/>
  </r>
  <r>
    <s v="ORD00361"/>
    <d v="2024-02-12T00:00:00"/>
    <x v="295"/>
    <x v="21"/>
    <n v="161"/>
    <s v="INV00361"/>
    <n v="161"/>
    <n v="561.4076"/>
    <m/>
    <m/>
    <m/>
    <m/>
    <m/>
    <n v="561.4076"/>
    <d v="2023-03-21T00:00:00"/>
    <n v="0"/>
    <n v="0"/>
    <n v="0"/>
    <n v="0"/>
    <n v="0"/>
    <n v="0"/>
    <n v="0"/>
    <x v="0"/>
    <n v="90386.623600000006"/>
    <n v="90386.623600000006"/>
    <n v="0"/>
    <n v="0"/>
    <x v="0"/>
    <x v="3"/>
  </r>
  <r>
    <s v="ORD00362"/>
    <d v="2024-03-08T00:00:00"/>
    <x v="85"/>
    <x v="203"/>
    <n v="130"/>
    <s v="INV00362"/>
    <n v="130"/>
    <n v="60.239800000000002"/>
    <m/>
    <m/>
    <m/>
    <m/>
    <m/>
    <n v="60.239800000000002"/>
    <d v="2023-08-07T00:00:00"/>
    <n v="0"/>
    <n v="0"/>
    <n v="0"/>
    <n v="0"/>
    <n v="0"/>
    <n v="0"/>
    <n v="0"/>
    <x v="0"/>
    <n v="7831.174"/>
    <n v="7831.174"/>
    <n v="0"/>
    <n v="0"/>
    <x v="0"/>
    <x v="6"/>
  </r>
  <r>
    <s v="ORD00363"/>
    <d v="2023-10-05T00:00:00"/>
    <x v="296"/>
    <x v="204"/>
    <n v="24"/>
    <s v="INV00363"/>
    <n v="24"/>
    <n v="940.1952"/>
    <m/>
    <m/>
    <m/>
    <m/>
    <m/>
    <n v="940.1952"/>
    <d v="2023-05-12T00:00:00"/>
    <n v="0"/>
    <n v="0"/>
    <n v="0"/>
    <n v="0"/>
    <n v="0"/>
    <n v="0"/>
    <n v="0"/>
    <x v="0"/>
    <n v="22564.684799999999"/>
    <n v="22564.684799999999"/>
    <n v="0"/>
    <n v="0"/>
    <x v="0"/>
    <x v="19"/>
  </r>
  <r>
    <s v="ORD00364"/>
    <d v="2024-11-05T00:00:00"/>
    <x v="297"/>
    <x v="205"/>
    <n v="171"/>
    <s v="INV00364"/>
    <n v="171"/>
    <n v="82.749600000000015"/>
    <m/>
    <m/>
    <m/>
    <m/>
    <m/>
    <n v="82.749600000000015"/>
    <d v="2023-05-22T00:00:00"/>
    <n v="0"/>
    <n v="0"/>
    <n v="0"/>
    <n v="0"/>
    <n v="0"/>
    <n v="0"/>
    <n v="0"/>
    <x v="0"/>
    <n v="14150.181600000002"/>
    <n v="14150.181600000002"/>
    <n v="0"/>
    <n v="0"/>
    <x v="0"/>
    <x v="4"/>
  </r>
  <r>
    <s v="ORD00365"/>
    <d v="2024-10-26T00:00:00"/>
    <x v="134"/>
    <x v="3"/>
    <n v="119"/>
    <s v="INV00365"/>
    <n v="128"/>
    <n v="849.43949999999995"/>
    <m/>
    <m/>
    <m/>
    <m/>
    <m/>
    <n v="849.43949999999995"/>
    <d v="2023-07-07T00:00:00"/>
    <n v="0"/>
    <n v="1"/>
    <n v="0"/>
    <n v="0"/>
    <n v="0"/>
    <n v="0"/>
    <n v="0"/>
    <x v="1"/>
    <n v="108728.25599999999"/>
    <n v="101083.3005"/>
    <n v="7644.9554999999964"/>
    <n v="8"/>
    <x v="2"/>
    <x v="5"/>
  </r>
  <r>
    <s v="ORD00366"/>
    <d v="2024-11-24T00:00:00"/>
    <x v="298"/>
    <x v="193"/>
    <n v="141"/>
    <s v="INV00366"/>
    <n v="141"/>
    <n v="1030.7952"/>
    <m/>
    <m/>
    <m/>
    <m/>
    <m/>
    <n v="1030.7952"/>
    <d v="2023-08-16T00:00:00"/>
    <n v="0"/>
    <n v="0"/>
    <n v="0"/>
    <n v="0"/>
    <n v="0"/>
    <n v="0"/>
    <n v="0"/>
    <x v="0"/>
    <n v="145342.1232"/>
    <n v="145342.1232"/>
    <n v="0"/>
    <n v="0"/>
    <x v="0"/>
    <x v="4"/>
  </r>
  <r>
    <s v="ORD00367"/>
    <d v="2023-05-05T00:00:00"/>
    <x v="18"/>
    <x v="61"/>
    <n v="22"/>
    <s v="INV00367"/>
    <n v="26"/>
    <n v="782.04880000000003"/>
    <m/>
    <m/>
    <m/>
    <m/>
    <m/>
    <n v="782.04880000000003"/>
    <d v="2023-03-11T00:00:00"/>
    <n v="0"/>
    <n v="1"/>
    <n v="0"/>
    <n v="0"/>
    <n v="0"/>
    <n v="0"/>
    <n v="0"/>
    <x v="1"/>
    <n v="20333.268800000002"/>
    <n v="17205.0736"/>
    <n v="3128.1952000000019"/>
    <n v="8"/>
    <x v="2"/>
    <x v="7"/>
  </r>
  <r>
    <s v="ORD00368"/>
    <d v="2023-07-31T00:00:00"/>
    <x v="299"/>
    <x v="90"/>
    <n v="186"/>
    <s v="INV00368"/>
    <n v="186"/>
    <n v="251.7174"/>
    <m/>
    <m/>
    <m/>
    <m/>
    <m/>
    <n v="251.7174"/>
    <d v="2022-11-17T00:00:00"/>
    <n v="0"/>
    <n v="0"/>
    <n v="0"/>
    <n v="0"/>
    <n v="0"/>
    <n v="0"/>
    <n v="0"/>
    <x v="0"/>
    <n v="46819.436399999999"/>
    <n v="46819.436399999999"/>
    <n v="0"/>
    <n v="0"/>
    <x v="0"/>
    <x v="10"/>
  </r>
  <r>
    <s v="ORD00369"/>
    <d v="2023-07-01T00:00:00"/>
    <x v="300"/>
    <x v="97"/>
    <n v="37"/>
    <s v="INV00369"/>
    <n v="36"/>
    <n v="664.57040000000006"/>
    <m/>
    <m/>
    <m/>
    <m/>
    <m/>
    <n v="664.57040000000006"/>
    <d v="2023-05-20T00:00:00"/>
    <n v="0"/>
    <n v="1"/>
    <n v="0"/>
    <n v="0"/>
    <n v="0"/>
    <n v="0"/>
    <n v="0"/>
    <x v="1"/>
    <n v="23924.534400000004"/>
    <n v="24589.104800000001"/>
    <n v="-664.57039999999688"/>
    <n v="8"/>
    <x v="2"/>
    <x v="10"/>
  </r>
  <r>
    <s v="ORD00370"/>
    <d v="2023-09-03T00:00:00"/>
    <x v="301"/>
    <x v="119"/>
    <n v="187"/>
    <s v="INV00370"/>
    <n v="187"/>
    <n v="88.578000000000003"/>
    <m/>
    <m/>
    <m/>
    <m/>
    <m/>
    <n v="88.578000000000003"/>
    <d v="2023-06-30T00:00:00"/>
    <n v="0"/>
    <n v="0"/>
    <n v="0"/>
    <n v="0"/>
    <n v="0"/>
    <n v="0"/>
    <n v="0"/>
    <x v="0"/>
    <n v="16564.085999999999"/>
    <n v="16564.085999999999"/>
    <n v="0"/>
    <n v="0"/>
    <x v="0"/>
    <x v="18"/>
  </r>
  <r>
    <s v="ORD00371"/>
    <d v="2024-09-06T00:00:00"/>
    <x v="302"/>
    <x v="206"/>
    <n v="146"/>
    <s v="INV00371"/>
    <n v="146"/>
    <n v="82.026000000000025"/>
    <m/>
    <m/>
    <m/>
    <m/>
    <m/>
    <n v="82.026000000000025"/>
    <d v="2023-05-15T00:00:00"/>
    <n v="0"/>
    <n v="0"/>
    <n v="0"/>
    <n v="0"/>
    <n v="0"/>
    <n v="0"/>
    <n v="0"/>
    <x v="0"/>
    <n v="11975.796000000004"/>
    <n v="11975.796000000004"/>
    <n v="0"/>
    <n v="0"/>
    <x v="0"/>
    <x v="2"/>
  </r>
  <r>
    <s v="ORD00372"/>
    <d v="2023-11-20T00:00:00"/>
    <x v="100"/>
    <x v="207"/>
    <n v="160"/>
    <s v="INV00372"/>
    <n v="160"/>
    <n v="287.90559999999999"/>
    <m/>
    <m/>
    <m/>
    <m/>
    <m/>
    <n v="287.90559999999999"/>
    <d v="2023-10-25T00:00:00"/>
    <n v="0"/>
    <n v="0"/>
    <n v="0"/>
    <n v="0"/>
    <n v="0"/>
    <n v="0"/>
    <n v="0"/>
    <x v="0"/>
    <n v="46064.896000000001"/>
    <n v="46064.896000000001"/>
    <n v="0"/>
    <n v="0"/>
    <x v="0"/>
    <x v="0"/>
  </r>
  <r>
    <s v="ORD00373"/>
    <d v="2023-11-14T00:00:00"/>
    <x v="303"/>
    <x v="185"/>
    <n v="167"/>
    <s v="INV00373"/>
    <n v="167"/>
    <n v="435.57279999999997"/>
    <m/>
    <m/>
    <m/>
    <m/>
    <m/>
    <n v="435.57279999999997"/>
    <d v="2023-08-21T00:00:00"/>
    <n v="0"/>
    <n v="0"/>
    <n v="0"/>
    <n v="0"/>
    <n v="0"/>
    <n v="0"/>
    <n v="0"/>
    <x v="0"/>
    <n v="72740.657599999991"/>
    <n v="72740.657599999991"/>
    <n v="0"/>
    <n v="0"/>
    <x v="0"/>
    <x v="0"/>
  </r>
  <r>
    <s v="ORD00374"/>
    <d v="2023-09-18T00:00:00"/>
    <x v="304"/>
    <x v="208"/>
    <n v="185"/>
    <s v="INV00374"/>
    <n v="185"/>
    <n v="107.1605"/>
    <m/>
    <m/>
    <m/>
    <m/>
    <m/>
    <n v="107.1605"/>
    <d v="2023-02-13T00:00:00"/>
    <n v="0"/>
    <n v="0"/>
    <n v="0"/>
    <n v="0"/>
    <n v="0"/>
    <n v="0"/>
    <n v="0"/>
    <x v="0"/>
    <n v="19824.692500000001"/>
    <n v="19824.692500000001"/>
    <n v="0"/>
    <n v="0"/>
    <x v="0"/>
    <x v="18"/>
  </r>
  <r>
    <s v="ORD00375"/>
    <d v="2023-08-14T00:00:00"/>
    <x v="305"/>
    <x v="209"/>
    <n v="52"/>
    <s v="INV00375"/>
    <n v="52"/>
    <n v="880.66300000000001"/>
    <m/>
    <m/>
    <m/>
    <m/>
    <m/>
    <n v="880.66300000000001"/>
    <d v="2023-02-09T00:00:00"/>
    <n v="0"/>
    <n v="0"/>
    <n v="0"/>
    <n v="0"/>
    <n v="0"/>
    <n v="0"/>
    <n v="0"/>
    <x v="0"/>
    <n v="45794.476000000002"/>
    <n v="45794.476000000002"/>
    <n v="0"/>
    <n v="0"/>
    <x v="0"/>
    <x v="12"/>
  </r>
  <r>
    <s v="ORD00376"/>
    <d v="2023-01-08T00:00:00"/>
    <x v="306"/>
    <x v="210"/>
    <n v="133"/>
    <s v="INV00376"/>
    <n v="133"/>
    <n v="512.04"/>
    <n v="17"/>
    <d v="2024-04-14T00:00:00"/>
    <m/>
    <m/>
    <m/>
    <n v="512.04"/>
    <d v="2023-01-02T00:00:00"/>
    <n v="0"/>
    <n v="0"/>
    <n v="0"/>
    <n v="0"/>
    <n v="0"/>
    <n v="1"/>
    <n v="0"/>
    <x v="1"/>
    <n v="68101.319999999992"/>
    <n v="68101.319999999992"/>
    <n v="0"/>
    <n v="2"/>
    <x v="1"/>
    <x v="8"/>
  </r>
  <r>
    <s v="ORD00377"/>
    <d v="2024-02-24T00:00:00"/>
    <x v="307"/>
    <x v="211"/>
    <n v="4"/>
    <s v="INV00377"/>
    <n v="4"/>
    <n v="655.93800000000022"/>
    <m/>
    <m/>
    <m/>
    <m/>
    <m/>
    <n v="655.93800000000022"/>
    <d v="2023-05-29T00:00:00"/>
    <n v="0"/>
    <n v="0"/>
    <n v="0"/>
    <n v="0"/>
    <n v="0"/>
    <n v="0"/>
    <n v="0"/>
    <x v="0"/>
    <n v="2623.7520000000009"/>
    <n v="2623.7520000000009"/>
    <n v="0"/>
    <n v="0"/>
    <x v="0"/>
    <x v="3"/>
  </r>
  <r>
    <s v="ORD00378"/>
    <d v="2023-12-06T00:00:00"/>
    <x v="308"/>
    <x v="138"/>
    <n v="159"/>
    <s v="INV00378"/>
    <n v="159"/>
    <n v="153.01650000000001"/>
    <m/>
    <m/>
    <m/>
    <m/>
    <m/>
    <n v="153.01650000000001"/>
    <d v="2023-05-18T00:00:00"/>
    <n v="0"/>
    <n v="0"/>
    <n v="0"/>
    <n v="0"/>
    <n v="0"/>
    <n v="0"/>
    <n v="0"/>
    <x v="0"/>
    <n v="24329.623500000002"/>
    <n v="24329.623500000002"/>
    <n v="0"/>
    <n v="0"/>
    <x v="0"/>
    <x v="20"/>
  </r>
  <r>
    <s v="ORD00379"/>
    <d v="2023-05-03T00:00:00"/>
    <x v="309"/>
    <x v="212"/>
    <n v="150"/>
    <s v="INV00379"/>
    <n v="150"/>
    <n v="1167.9120000000005"/>
    <m/>
    <m/>
    <m/>
    <m/>
    <m/>
    <n v="1167.9120000000005"/>
    <d v="2023-04-03T00:00:00"/>
    <n v="0"/>
    <n v="0"/>
    <n v="0"/>
    <n v="0"/>
    <n v="0"/>
    <n v="0"/>
    <n v="0"/>
    <x v="0"/>
    <n v="175186.80000000008"/>
    <n v="175186.80000000008"/>
    <n v="0"/>
    <n v="0"/>
    <x v="0"/>
    <x v="7"/>
  </r>
  <r>
    <s v="ORD00380"/>
    <d v="2024-02-13T00:00:00"/>
    <x v="114"/>
    <x v="213"/>
    <n v="82"/>
    <s v="INV00380"/>
    <n v="82"/>
    <n v="872.7808"/>
    <m/>
    <m/>
    <m/>
    <m/>
    <m/>
    <n v="872.7808"/>
    <d v="2023-10-26T00:00:00"/>
    <n v="0"/>
    <n v="0"/>
    <n v="0"/>
    <n v="0"/>
    <n v="0"/>
    <n v="0"/>
    <n v="0"/>
    <x v="0"/>
    <n v="71568.025599999994"/>
    <n v="71568.025599999994"/>
    <n v="0"/>
    <n v="0"/>
    <x v="0"/>
    <x v="3"/>
  </r>
  <r>
    <s v="ORD00381"/>
    <d v="2024-05-20T00:00:00"/>
    <x v="310"/>
    <x v="169"/>
    <n v="36"/>
    <s v="INV00381"/>
    <n v="36"/>
    <n v="1153.4984999999999"/>
    <m/>
    <m/>
    <m/>
    <m/>
    <m/>
    <n v="1153.4984999999999"/>
    <d v="2023-02-05T00:00:00"/>
    <n v="0"/>
    <n v="0"/>
    <n v="0"/>
    <n v="0"/>
    <n v="0"/>
    <n v="0"/>
    <n v="0"/>
    <x v="0"/>
    <n v="41525.945999999996"/>
    <n v="41525.945999999996"/>
    <n v="0"/>
    <n v="0"/>
    <x v="0"/>
    <x v="13"/>
  </r>
  <r>
    <s v="ORD00382"/>
    <d v="2023-09-18T00:00:00"/>
    <x v="262"/>
    <x v="214"/>
    <n v="176"/>
    <s v="INV00382"/>
    <n v="176"/>
    <n v="77.178600000000003"/>
    <m/>
    <m/>
    <m/>
    <m/>
    <m/>
    <n v="77.178600000000003"/>
    <d v="2023-02-18T00:00:00"/>
    <n v="0"/>
    <n v="0"/>
    <n v="0"/>
    <n v="0"/>
    <n v="0"/>
    <n v="0"/>
    <n v="0"/>
    <x v="0"/>
    <n v="13583.4336"/>
    <n v="13583.4336"/>
    <n v="0"/>
    <n v="0"/>
    <x v="0"/>
    <x v="18"/>
  </r>
  <r>
    <s v="ORD00383"/>
    <d v="2023-08-17T00:00:00"/>
    <x v="311"/>
    <x v="215"/>
    <n v="37"/>
    <s v="INV00383"/>
    <n v="37"/>
    <n v="174.32480000000001"/>
    <m/>
    <m/>
    <m/>
    <m/>
    <m/>
    <n v="174.32480000000001"/>
    <d v="2023-08-04T00:00:00"/>
    <n v="0"/>
    <n v="0"/>
    <n v="0"/>
    <n v="0"/>
    <n v="0"/>
    <n v="0"/>
    <n v="0"/>
    <x v="0"/>
    <n v="6450.0176000000001"/>
    <n v="6450.0176000000001"/>
    <n v="0"/>
    <n v="0"/>
    <x v="0"/>
    <x v="12"/>
  </r>
  <r>
    <s v="ORD00384"/>
    <d v="2024-09-13T00:00:00"/>
    <x v="68"/>
    <x v="80"/>
    <n v="129"/>
    <s v="INV00384"/>
    <n v="129"/>
    <n v="1014.5718000000001"/>
    <m/>
    <m/>
    <m/>
    <m/>
    <m/>
    <n v="1014.5718000000001"/>
    <d v="2023-04-19T00:00:00"/>
    <n v="0"/>
    <n v="0"/>
    <n v="0"/>
    <n v="0"/>
    <n v="0"/>
    <n v="0"/>
    <n v="0"/>
    <x v="0"/>
    <n v="130879.76220000001"/>
    <n v="130879.76220000001"/>
    <n v="0"/>
    <n v="0"/>
    <x v="0"/>
    <x v="2"/>
  </r>
  <r>
    <s v="ORD00385"/>
    <d v="2024-11-05T00:00:00"/>
    <x v="312"/>
    <x v="132"/>
    <n v="181"/>
    <s v="INV00385"/>
    <n v="181"/>
    <n v="744.44590000000005"/>
    <m/>
    <m/>
    <m/>
    <m/>
    <m/>
    <n v="744.44590000000005"/>
    <d v="2023-03-23T00:00:00"/>
    <n v="0"/>
    <n v="0"/>
    <n v="0"/>
    <n v="0"/>
    <n v="0"/>
    <n v="0"/>
    <n v="0"/>
    <x v="0"/>
    <n v="134744.70790000001"/>
    <n v="134744.70790000001"/>
    <n v="0"/>
    <n v="0"/>
    <x v="0"/>
    <x v="4"/>
  </r>
  <r>
    <s v="ORD00386"/>
    <d v="2024-06-16T00:00:00"/>
    <x v="227"/>
    <x v="216"/>
    <n v="113"/>
    <s v="INV00386"/>
    <n v="113"/>
    <n v="828.36189999999999"/>
    <m/>
    <m/>
    <m/>
    <m/>
    <m/>
    <n v="828.36189999999999"/>
    <d v="2023-07-30T00:00:00"/>
    <n v="0"/>
    <n v="0"/>
    <n v="0"/>
    <n v="0"/>
    <n v="0"/>
    <n v="0"/>
    <n v="0"/>
    <x v="0"/>
    <n v="93604.894700000004"/>
    <n v="93604.894700000004"/>
    <n v="0"/>
    <n v="0"/>
    <x v="0"/>
    <x v="16"/>
  </r>
  <r>
    <s v="ORD00387"/>
    <d v="2023-04-30T00:00:00"/>
    <x v="313"/>
    <x v="217"/>
    <n v="15"/>
    <s v="INV00387"/>
    <n v="15"/>
    <n v="168.47040000000001"/>
    <m/>
    <m/>
    <m/>
    <m/>
    <m/>
    <n v="168.47040000000001"/>
    <d v="2023-04-10T00:00:00"/>
    <n v="0"/>
    <n v="0"/>
    <n v="0"/>
    <n v="0"/>
    <n v="0"/>
    <n v="0"/>
    <n v="0"/>
    <x v="0"/>
    <n v="2527.056"/>
    <n v="2527.056"/>
    <n v="0"/>
    <n v="0"/>
    <x v="0"/>
    <x v="23"/>
  </r>
  <r>
    <s v="ORD00388"/>
    <d v="2023-07-12T00:00:00"/>
    <x v="314"/>
    <x v="169"/>
    <n v="10"/>
    <s v="INV00388"/>
    <n v="10"/>
    <n v="1153.4984999999999"/>
    <m/>
    <m/>
    <m/>
    <m/>
    <m/>
    <n v="1153.4984999999999"/>
    <d v="2023-02-05T00:00:00"/>
    <n v="0"/>
    <n v="0"/>
    <n v="0"/>
    <n v="0"/>
    <n v="0"/>
    <n v="0"/>
    <n v="0"/>
    <x v="0"/>
    <n v="11534.984999999999"/>
    <n v="11534.984999999999"/>
    <n v="0"/>
    <n v="0"/>
    <x v="0"/>
    <x v="10"/>
  </r>
  <r>
    <s v="ORD00389"/>
    <d v="2023-09-09T00:00:00"/>
    <x v="265"/>
    <x v="158"/>
    <n v="156"/>
    <s v="INV00389"/>
    <n v="156"/>
    <n v="754.20799999999997"/>
    <m/>
    <m/>
    <m/>
    <m/>
    <m/>
    <n v="754.20799999999997"/>
    <d v="2023-05-23T00:00:00"/>
    <n v="0"/>
    <n v="0"/>
    <n v="0"/>
    <n v="0"/>
    <n v="0"/>
    <n v="0"/>
    <n v="0"/>
    <x v="0"/>
    <n v="117656.44799999999"/>
    <n v="117656.44799999999"/>
    <n v="0"/>
    <n v="0"/>
    <x v="0"/>
    <x v="18"/>
  </r>
  <r>
    <s v="ORD00390"/>
    <d v="2024-05-13T00:00:00"/>
    <x v="315"/>
    <x v="14"/>
    <n v="11"/>
    <s v="INV00390"/>
    <n v="11"/>
    <n v="265.44960000000003"/>
    <m/>
    <m/>
    <m/>
    <m/>
    <m/>
    <n v="265.44960000000003"/>
    <d v="2023-03-14T00:00:00"/>
    <n v="0"/>
    <n v="0"/>
    <n v="0"/>
    <n v="0"/>
    <n v="0"/>
    <n v="0"/>
    <n v="0"/>
    <x v="0"/>
    <n v="2919.9456000000005"/>
    <n v="2919.9456000000005"/>
    <n v="0"/>
    <n v="0"/>
    <x v="0"/>
    <x v="13"/>
  </r>
  <r>
    <s v="ORD00391"/>
    <d v="2024-05-08T00:00:00"/>
    <x v="71"/>
    <x v="153"/>
    <n v="115"/>
    <s v="INV00391"/>
    <n v="115"/>
    <n v="680.30940000000021"/>
    <m/>
    <m/>
    <m/>
    <m/>
    <m/>
    <n v="680.30940000000021"/>
    <d v="2023-01-08T00:00:00"/>
    <n v="0"/>
    <n v="0"/>
    <n v="0"/>
    <n v="0"/>
    <n v="0"/>
    <n v="0"/>
    <n v="0"/>
    <x v="0"/>
    <n v="78235.58100000002"/>
    <n v="78235.58100000002"/>
    <n v="0"/>
    <n v="0"/>
    <x v="0"/>
    <x v="13"/>
  </r>
  <r>
    <s v="ORD00392"/>
    <d v="2023-12-12T00:00:00"/>
    <x v="50"/>
    <x v="218"/>
    <n v="81"/>
    <s v="INV00392"/>
    <n v="81"/>
    <n v="960.85850000000005"/>
    <m/>
    <m/>
    <m/>
    <m/>
    <m/>
    <n v="960.85850000000005"/>
    <d v="2023-05-03T00:00:00"/>
    <n v="0"/>
    <n v="0"/>
    <n v="0"/>
    <n v="0"/>
    <n v="0"/>
    <n v="0"/>
    <n v="0"/>
    <x v="0"/>
    <n v="77829.53850000001"/>
    <n v="77829.53850000001"/>
    <n v="0"/>
    <n v="0"/>
    <x v="0"/>
    <x v="20"/>
  </r>
  <r>
    <s v="ORD00393"/>
    <d v="2024-08-08T00:00:00"/>
    <x v="316"/>
    <x v="31"/>
    <n v="82"/>
    <s v="INV00393"/>
    <n v="82"/>
    <n v="1147.3289"/>
    <n v="4"/>
    <d v="2024-04-03T00:00:00"/>
    <m/>
    <m/>
    <m/>
    <n v="1147.3289"/>
    <d v="2023-01-19T00:00:00"/>
    <n v="0"/>
    <n v="0"/>
    <n v="0"/>
    <n v="0"/>
    <n v="0"/>
    <n v="0"/>
    <n v="0"/>
    <x v="0"/>
    <n v="94080.969799999992"/>
    <n v="94080.969799999992"/>
    <n v="0"/>
    <n v="0"/>
    <x v="0"/>
    <x v="22"/>
  </r>
  <r>
    <s v="ORD00394"/>
    <d v="2024-08-30T00:00:00"/>
    <x v="102"/>
    <x v="219"/>
    <n v="132"/>
    <s v="INV00394"/>
    <n v="132"/>
    <n v="556.99"/>
    <m/>
    <m/>
    <m/>
    <m/>
    <m/>
    <n v="556.99"/>
    <d v="2023-08-09T00:00:00"/>
    <n v="0"/>
    <n v="0"/>
    <n v="0"/>
    <n v="0"/>
    <n v="0"/>
    <n v="0"/>
    <n v="0"/>
    <x v="0"/>
    <n v="73522.680000000008"/>
    <n v="73522.680000000008"/>
    <n v="0"/>
    <n v="0"/>
    <x v="0"/>
    <x v="22"/>
  </r>
  <r>
    <s v="ORD00395"/>
    <d v="2023-06-03T00:00:00"/>
    <x v="317"/>
    <x v="220"/>
    <n v="67"/>
    <s v="INV00395"/>
    <n v="67"/>
    <n v="1208.5299"/>
    <m/>
    <m/>
    <m/>
    <m/>
    <m/>
    <n v="1208.5299"/>
    <d v="2023-02-26T00:00:00"/>
    <n v="0"/>
    <n v="0"/>
    <n v="0"/>
    <n v="0"/>
    <n v="0"/>
    <n v="0"/>
    <n v="0"/>
    <x v="0"/>
    <n v="80971.503299999997"/>
    <n v="80971.503299999997"/>
    <n v="0"/>
    <n v="0"/>
    <x v="0"/>
    <x v="14"/>
  </r>
  <r>
    <s v="ORD00396"/>
    <d v="2024-07-27T00:00:00"/>
    <x v="318"/>
    <x v="22"/>
    <n v="192"/>
    <s v="INV00396"/>
    <n v="192"/>
    <n v="626.68790000000001"/>
    <m/>
    <m/>
    <m/>
    <m/>
    <m/>
    <n v="626.68790000000001"/>
    <d v="2023-06-26T00:00:00"/>
    <n v="0"/>
    <n v="0"/>
    <n v="0"/>
    <n v="0"/>
    <n v="0"/>
    <n v="0"/>
    <n v="0"/>
    <x v="0"/>
    <n v="120324.07680000001"/>
    <n v="120324.07680000001"/>
    <n v="0"/>
    <n v="0"/>
    <x v="0"/>
    <x v="21"/>
  </r>
  <r>
    <s v="ORD00397"/>
    <d v="2024-05-09T00:00:00"/>
    <x v="46"/>
    <x v="63"/>
    <n v="66"/>
    <s v="INV00397"/>
    <n v="66"/>
    <n v="96.6"/>
    <m/>
    <m/>
    <m/>
    <m/>
    <m/>
    <n v="96.6"/>
    <d v="2023-06-28T00:00:00"/>
    <n v="0"/>
    <n v="0"/>
    <n v="0"/>
    <n v="0"/>
    <n v="0"/>
    <n v="0"/>
    <n v="0"/>
    <x v="0"/>
    <n v="6375.5999999999995"/>
    <n v="6375.5999999999995"/>
    <n v="0"/>
    <n v="0"/>
    <x v="0"/>
    <x v="13"/>
  </r>
  <r>
    <s v="ORD00398"/>
    <d v="2024-10-23T00:00:00"/>
    <x v="76"/>
    <x v="212"/>
    <n v="198"/>
    <s v="INV00398"/>
    <n v="198"/>
    <n v="1167.9120000000005"/>
    <m/>
    <m/>
    <m/>
    <m/>
    <m/>
    <n v="1167.9120000000005"/>
    <d v="2023-04-03T00:00:00"/>
    <n v="0"/>
    <n v="0"/>
    <n v="0"/>
    <n v="0"/>
    <n v="0"/>
    <n v="0"/>
    <n v="0"/>
    <x v="0"/>
    <n v="231246.57600000009"/>
    <n v="231246.57600000009"/>
    <n v="0"/>
    <n v="0"/>
    <x v="0"/>
    <x v="5"/>
  </r>
  <r>
    <s v="ORD00399"/>
    <d v="2024-03-07T00:00:00"/>
    <x v="319"/>
    <x v="221"/>
    <n v="176"/>
    <s v="INV00399"/>
    <n v="176"/>
    <n v="690.05370000000005"/>
    <m/>
    <m/>
    <m/>
    <m/>
    <m/>
    <n v="690.05370000000005"/>
    <d v="2023-02-19T00:00:00"/>
    <n v="0"/>
    <n v="0"/>
    <n v="0"/>
    <n v="0"/>
    <n v="0"/>
    <n v="0"/>
    <n v="0"/>
    <x v="0"/>
    <n v="121449.45120000001"/>
    <n v="121449.45120000001"/>
    <n v="0"/>
    <n v="0"/>
    <x v="0"/>
    <x v="6"/>
  </r>
  <r>
    <s v="ORD00400"/>
    <d v="2024-09-03T00:00:00"/>
    <x v="159"/>
    <x v="65"/>
    <n v="38"/>
    <s v="INV00400"/>
    <n v="37"/>
    <n v="660.96040000000005"/>
    <m/>
    <m/>
    <m/>
    <m/>
    <m/>
    <n v="660.96040000000005"/>
    <d v="2023-01-21T00:00:00"/>
    <n v="0"/>
    <n v="1"/>
    <n v="0"/>
    <n v="0"/>
    <n v="0"/>
    <n v="0"/>
    <n v="0"/>
    <x v="1"/>
    <n v="24455.534800000001"/>
    <n v="25116.495200000001"/>
    <n v="-660.96039999999994"/>
    <n v="8"/>
    <x v="2"/>
    <x v="2"/>
  </r>
  <r>
    <s v="ORD00401"/>
    <d v="2024-06-26T00:00:00"/>
    <x v="320"/>
    <x v="0"/>
    <n v="1"/>
    <s v="INV00401"/>
    <n v="1"/>
    <n v="446.4905"/>
    <m/>
    <m/>
    <m/>
    <m/>
    <m/>
    <n v="446.4905"/>
    <d v="2023-08-23T00:00:00"/>
    <n v="0"/>
    <n v="0"/>
    <n v="0"/>
    <n v="0"/>
    <n v="0"/>
    <n v="0"/>
    <n v="0"/>
    <x v="0"/>
    <n v="446.4905"/>
    <n v="446.4905"/>
    <n v="0"/>
    <n v="0"/>
    <x v="0"/>
    <x v="16"/>
  </r>
  <r>
    <s v="ORD00402"/>
    <d v="2023-09-02T00:00:00"/>
    <x v="321"/>
    <x v="69"/>
    <n v="178"/>
    <s v="INV00402"/>
    <n v="178"/>
    <n v="876.32749999999999"/>
    <m/>
    <m/>
    <m/>
    <m/>
    <m/>
    <n v="876.32749999999999"/>
    <d v="2023-06-29T00:00:00"/>
    <n v="0"/>
    <n v="0"/>
    <n v="0"/>
    <n v="0"/>
    <n v="0"/>
    <n v="0"/>
    <n v="0"/>
    <x v="0"/>
    <n v="155986.29499999998"/>
    <n v="155986.29499999998"/>
    <n v="0"/>
    <n v="0"/>
    <x v="0"/>
    <x v="18"/>
  </r>
  <r>
    <s v="ORD00403"/>
    <d v="2024-10-20T00:00:00"/>
    <x v="275"/>
    <x v="94"/>
    <n v="158"/>
    <s v="INV00403"/>
    <n v="158"/>
    <n v="765.52319999999997"/>
    <m/>
    <m/>
    <m/>
    <m/>
    <m/>
    <n v="765.52319999999997"/>
    <d v="2023-09-05T00:00:00"/>
    <n v="0"/>
    <n v="0"/>
    <n v="0"/>
    <n v="0"/>
    <n v="0"/>
    <n v="0"/>
    <n v="0"/>
    <x v="0"/>
    <n v="120952.66559999999"/>
    <n v="120952.66559999999"/>
    <n v="0"/>
    <n v="0"/>
    <x v="0"/>
    <x v="5"/>
  </r>
  <r>
    <s v="ORD00404"/>
    <d v="2023-07-21T00:00:00"/>
    <x v="322"/>
    <x v="207"/>
    <n v="36"/>
    <s v="INV00404"/>
    <n v="36"/>
    <n v="296.2912"/>
    <m/>
    <m/>
    <m/>
    <m/>
    <m/>
    <n v="296.2912"/>
    <d v="2022-12-26T00:00:00"/>
    <n v="0"/>
    <n v="0"/>
    <n v="0"/>
    <n v="0"/>
    <n v="0"/>
    <n v="0"/>
    <n v="0"/>
    <x v="0"/>
    <n v="10666.483200000001"/>
    <n v="10666.483200000001"/>
    <n v="0"/>
    <n v="0"/>
    <x v="0"/>
    <x v="10"/>
  </r>
  <r>
    <s v="ORD00405"/>
    <d v="2024-06-11T00:00:00"/>
    <x v="323"/>
    <x v="222"/>
    <n v="64"/>
    <s v="INV00405"/>
    <n v="64"/>
    <n v="273.24680000000001"/>
    <m/>
    <m/>
    <m/>
    <m/>
    <m/>
    <n v="273.24680000000001"/>
    <d v="2023-06-26T00:00:00"/>
    <n v="0"/>
    <n v="0"/>
    <n v="0"/>
    <n v="0"/>
    <n v="0"/>
    <n v="0"/>
    <n v="0"/>
    <x v="0"/>
    <n v="17487.7952"/>
    <n v="17487.7952"/>
    <n v="0"/>
    <n v="0"/>
    <x v="0"/>
    <x v="16"/>
  </r>
  <r>
    <s v="ORD00406"/>
    <d v="2023-06-06T00:00:00"/>
    <x v="324"/>
    <x v="223"/>
    <n v="47"/>
    <s v="INV00406"/>
    <n v="47"/>
    <n v="901.83"/>
    <m/>
    <m/>
    <m/>
    <m/>
    <m/>
    <n v="901.83"/>
    <d v="2023-01-20T00:00:00"/>
    <n v="0"/>
    <n v="0"/>
    <n v="0"/>
    <n v="0"/>
    <n v="0"/>
    <n v="0"/>
    <n v="0"/>
    <x v="0"/>
    <n v="42386.01"/>
    <n v="42386.01"/>
    <n v="0"/>
    <n v="0"/>
    <x v="0"/>
    <x v="14"/>
  </r>
  <r>
    <s v="ORD00407"/>
    <d v="2024-12-22T00:00:00"/>
    <x v="325"/>
    <x v="224"/>
    <n v="54"/>
    <s v="INV00407"/>
    <n v="54"/>
    <n v="377.08350000000002"/>
    <n v="5"/>
    <d v="2024-02-21T00:00:00"/>
    <m/>
    <m/>
    <m/>
    <n v="377.08350000000002"/>
    <d v="2023-05-18T00:00:00"/>
    <n v="0"/>
    <n v="0"/>
    <n v="0"/>
    <n v="0"/>
    <n v="0"/>
    <n v="0"/>
    <n v="0"/>
    <x v="0"/>
    <n v="20362.509000000002"/>
    <n v="20362.509000000002"/>
    <n v="0"/>
    <n v="0"/>
    <x v="0"/>
    <x v="1"/>
  </r>
  <r>
    <s v="ORD00408"/>
    <d v="2023-06-24T00:00:00"/>
    <x v="326"/>
    <x v="49"/>
    <n v="97"/>
    <s v="INV00408"/>
    <n v="92"/>
    <n v="1040.9412"/>
    <m/>
    <m/>
    <m/>
    <m/>
    <m/>
    <n v="1040.9412"/>
    <d v="2023-02-26T00:00:00"/>
    <n v="0"/>
    <n v="1"/>
    <n v="0"/>
    <n v="0"/>
    <n v="0"/>
    <n v="0"/>
    <n v="0"/>
    <x v="1"/>
    <n v="95766.590400000001"/>
    <n v="100971.29639999999"/>
    <n v="-5204.705999999991"/>
    <n v="8"/>
    <x v="2"/>
    <x v="14"/>
  </r>
  <r>
    <s v="ORD00409"/>
    <d v="2023-05-16T00:00:00"/>
    <x v="327"/>
    <x v="225"/>
    <n v="194"/>
    <s v="INV00409"/>
    <n v="194"/>
    <n v="307.97520000000003"/>
    <m/>
    <m/>
    <m/>
    <m/>
    <m/>
    <n v="307.97520000000003"/>
    <d v="2023-04-13T00:00:00"/>
    <n v="0"/>
    <n v="0"/>
    <n v="0"/>
    <n v="0"/>
    <n v="0"/>
    <n v="0"/>
    <n v="0"/>
    <x v="0"/>
    <n v="59747.188800000004"/>
    <n v="59747.188800000004"/>
    <n v="0"/>
    <n v="0"/>
    <x v="0"/>
    <x v="7"/>
  </r>
  <r>
    <s v="ORD00410"/>
    <d v="2024-10-27T00:00:00"/>
    <x v="328"/>
    <x v="134"/>
    <n v="187"/>
    <s v="INV00410"/>
    <n v="187"/>
    <n v="410.02"/>
    <m/>
    <m/>
    <m/>
    <m/>
    <m/>
    <n v="410.02"/>
    <d v="2023-04-01T00:00:00"/>
    <n v="0"/>
    <n v="0"/>
    <n v="0"/>
    <n v="0"/>
    <n v="0"/>
    <n v="0"/>
    <n v="0"/>
    <x v="0"/>
    <n v="76673.739999999991"/>
    <n v="76673.739999999991"/>
    <n v="0"/>
    <n v="0"/>
    <x v="0"/>
    <x v="5"/>
  </r>
  <r>
    <s v="ORD00411"/>
    <d v="2023-12-02T00:00:00"/>
    <x v="191"/>
    <x v="47"/>
    <n v="78"/>
    <s v="INV00411"/>
    <n v="78"/>
    <n v="385.42419999999998"/>
    <m/>
    <m/>
    <m/>
    <m/>
    <m/>
    <n v="385.42419999999998"/>
    <d v="2023-06-02T00:00:00"/>
    <n v="0"/>
    <n v="0"/>
    <n v="0"/>
    <n v="0"/>
    <n v="0"/>
    <n v="0"/>
    <n v="0"/>
    <x v="0"/>
    <n v="30063.087599999999"/>
    <n v="30063.087599999999"/>
    <n v="0"/>
    <n v="0"/>
    <x v="0"/>
    <x v="20"/>
  </r>
  <r>
    <s v="ORD00412"/>
    <d v="2024-02-22T00:00:00"/>
    <x v="329"/>
    <x v="42"/>
    <n v="82"/>
    <s v="INV00412"/>
    <n v="82"/>
    <n v="946.74860000000001"/>
    <m/>
    <m/>
    <m/>
    <m/>
    <m/>
    <n v="946.74860000000001"/>
    <d v="2023-04-22T00:00:00"/>
    <n v="0"/>
    <n v="0"/>
    <n v="0"/>
    <n v="0"/>
    <n v="0"/>
    <n v="0"/>
    <n v="0"/>
    <x v="0"/>
    <n v="77633.385200000004"/>
    <n v="77633.385200000004"/>
    <n v="0"/>
    <n v="0"/>
    <x v="0"/>
    <x v="3"/>
  </r>
  <r>
    <s v="ORD00413"/>
    <d v="2024-12-11T00:00:00"/>
    <x v="38"/>
    <x v="111"/>
    <n v="13"/>
    <s v="INV00413"/>
    <n v="13"/>
    <n v="147.17669999999998"/>
    <n v="9"/>
    <d v="2023-06-18T00:00:00"/>
    <m/>
    <m/>
    <m/>
    <n v="147.17669999999998"/>
    <d v="2023-04-23T00:00:00"/>
    <n v="0"/>
    <n v="0"/>
    <n v="0"/>
    <n v="0"/>
    <n v="0"/>
    <n v="0"/>
    <n v="0"/>
    <x v="0"/>
    <n v="1913.2970999999998"/>
    <n v="1913.2970999999998"/>
    <n v="0"/>
    <n v="0"/>
    <x v="0"/>
    <x v="1"/>
  </r>
  <r>
    <s v="ORD00414"/>
    <d v="2023-03-31T00:00:00"/>
    <x v="330"/>
    <x v="71"/>
    <n v="108"/>
    <s v="INV00414"/>
    <n v="108"/>
    <n v="238.7328"/>
    <m/>
    <m/>
    <m/>
    <m/>
    <m/>
    <n v="238.7328"/>
    <d v="2023-03-02T00:00:00"/>
    <n v="0"/>
    <n v="0"/>
    <n v="0"/>
    <n v="0"/>
    <n v="0"/>
    <n v="0"/>
    <n v="0"/>
    <x v="0"/>
    <n v="25783.142400000001"/>
    <n v="25783.142400000001"/>
    <n v="0"/>
    <n v="0"/>
    <x v="0"/>
    <x v="17"/>
  </r>
  <r>
    <s v="ORD00415"/>
    <d v="2024-05-05T00:00:00"/>
    <x v="16"/>
    <x v="117"/>
    <n v="184"/>
    <s v="INV00415"/>
    <n v="184"/>
    <n v="214.6182"/>
    <m/>
    <m/>
    <m/>
    <m/>
    <m/>
    <n v="214.6182"/>
    <d v="2023-07-09T00:00:00"/>
    <n v="0"/>
    <n v="0"/>
    <n v="0"/>
    <n v="0"/>
    <n v="0"/>
    <n v="0"/>
    <n v="0"/>
    <x v="0"/>
    <n v="39489.748800000001"/>
    <n v="39489.748800000001"/>
    <n v="0"/>
    <n v="0"/>
    <x v="0"/>
    <x v="13"/>
  </r>
  <r>
    <s v="ORD00416"/>
    <d v="2024-04-25T00:00:00"/>
    <x v="245"/>
    <x v="51"/>
    <n v="32"/>
    <s v="INV00416"/>
    <n v="32"/>
    <n v="580.38720000000001"/>
    <m/>
    <m/>
    <m/>
    <m/>
    <m/>
    <n v="580.38720000000001"/>
    <d v="2023-09-11T00:00:00"/>
    <n v="0"/>
    <n v="0"/>
    <n v="0"/>
    <n v="0"/>
    <n v="0"/>
    <n v="0"/>
    <n v="0"/>
    <x v="0"/>
    <n v="18572.3904"/>
    <n v="18572.3904"/>
    <n v="0"/>
    <n v="0"/>
    <x v="0"/>
    <x v="9"/>
  </r>
  <r>
    <s v="ORD00417"/>
    <d v="2024-12-07T00:00:00"/>
    <x v="106"/>
    <x v="191"/>
    <n v="29"/>
    <s v="INV00417"/>
    <n v="29"/>
    <n v="355.32000000000005"/>
    <m/>
    <m/>
    <m/>
    <m/>
    <m/>
    <n v="355.32000000000005"/>
    <d v="2023-05-12T00:00:00"/>
    <n v="0"/>
    <n v="0"/>
    <n v="0"/>
    <n v="0"/>
    <n v="0"/>
    <n v="0"/>
    <n v="0"/>
    <x v="0"/>
    <n v="10304.280000000001"/>
    <n v="10304.280000000001"/>
    <n v="0"/>
    <n v="0"/>
    <x v="0"/>
    <x v="1"/>
  </r>
  <r>
    <s v="ORD00418"/>
    <d v="2023-11-30T00:00:00"/>
    <x v="331"/>
    <x v="226"/>
    <n v="151"/>
    <s v="INV00418"/>
    <n v="151"/>
    <n v="1067.6925000000001"/>
    <m/>
    <m/>
    <m/>
    <m/>
    <m/>
    <n v="1067.6925000000001"/>
    <d v="2023-03-14T00:00:00"/>
    <n v="0"/>
    <n v="0"/>
    <n v="0"/>
    <n v="0"/>
    <n v="0"/>
    <n v="0"/>
    <n v="0"/>
    <x v="0"/>
    <n v="161221.5675"/>
    <n v="161221.5675"/>
    <n v="0"/>
    <n v="0"/>
    <x v="0"/>
    <x v="0"/>
  </r>
  <r>
    <s v="ORD00419"/>
    <d v="2023-08-16T00:00:00"/>
    <x v="230"/>
    <x v="44"/>
    <n v="198"/>
    <s v="INV00419"/>
    <n v="198"/>
    <n v="1119.3012000000001"/>
    <m/>
    <m/>
    <m/>
    <m/>
    <m/>
    <n v="1119.3012000000001"/>
    <d v="2023-06-14T00:00:00"/>
    <n v="0"/>
    <n v="0"/>
    <n v="0"/>
    <n v="0"/>
    <n v="0"/>
    <n v="0"/>
    <n v="0"/>
    <x v="0"/>
    <n v="221621.63760000002"/>
    <n v="221621.63760000002"/>
    <n v="0"/>
    <n v="0"/>
    <x v="0"/>
    <x v="12"/>
  </r>
  <r>
    <s v="ORD00420"/>
    <d v="2024-03-18T00:00:00"/>
    <x v="14"/>
    <x v="227"/>
    <n v="9"/>
    <s v="INV00420"/>
    <n v="9"/>
    <n v="1131.7711000000002"/>
    <n v="16"/>
    <d v="2023-08-11T00:00:00"/>
    <m/>
    <m/>
    <m/>
    <n v="1131.7711000000002"/>
    <d v="2023-05-02T00:00:00"/>
    <n v="0"/>
    <n v="0"/>
    <n v="0"/>
    <n v="0"/>
    <n v="0"/>
    <n v="0"/>
    <n v="1"/>
    <x v="1"/>
    <n v="10185.939900000001"/>
    <n v="10185.939900000001"/>
    <n v="0"/>
    <n v="3"/>
    <x v="1"/>
    <x v="6"/>
  </r>
  <r>
    <s v="ORD00421"/>
    <d v="2024-11-29T00:00:00"/>
    <x v="143"/>
    <x v="228"/>
    <n v="64"/>
    <s v="INV00421"/>
    <n v="64"/>
    <n v="952.36940000000004"/>
    <m/>
    <m/>
    <m/>
    <m/>
    <m/>
    <n v="952.36940000000004"/>
    <d v="2023-08-31T00:00:00"/>
    <n v="0"/>
    <n v="0"/>
    <n v="0"/>
    <n v="0"/>
    <n v="0"/>
    <n v="0"/>
    <n v="0"/>
    <x v="0"/>
    <n v="60951.641600000003"/>
    <n v="60951.641600000003"/>
    <n v="0"/>
    <n v="0"/>
    <x v="0"/>
    <x v="4"/>
  </r>
  <r>
    <s v="ORD00422"/>
    <d v="2023-11-26T00:00:00"/>
    <x v="332"/>
    <x v="213"/>
    <n v="186"/>
    <s v="INV00422"/>
    <n v="186"/>
    <n v="872.7808"/>
    <m/>
    <m/>
    <m/>
    <m/>
    <m/>
    <n v="872.7808"/>
    <d v="2023-10-26T00:00:00"/>
    <n v="0"/>
    <n v="0"/>
    <n v="0"/>
    <n v="0"/>
    <n v="0"/>
    <n v="0"/>
    <n v="0"/>
    <x v="0"/>
    <n v="162337.22880000001"/>
    <n v="162337.22880000001"/>
    <n v="0"/>
    <n v="0"/>
    <x v="0"/>
    <x v="0"/>
  </r>
  <r>
    <s v="ORD00423"/>
    <d v="2023-02-02T00:00:00"/>
    <x v="333"/>
    <x v="204"/>
    <n v="82"/>
    <s v="INV00423"/>
    <n v="82"/>
    <n v="921.76"/>
    <m/>
    <m/>
    <m/>
    <m/>
    <m/>
    <n v="921.76"/>
    <d v="2022-04-11T00:00:00"/>
    <n v="0"/>
    <n v="0"/>
    <n v="0"/>
    <n v="0"/>
    <n v="0"/>
    <n v="0"/>
    <n v="0"/>
    <x v="0"/>
    <n v="75584.319999999992"/>
    <n v="75584.319999999992"/>
    <n v="0"/>
    <n v="0"/>
    <x v="0"/>
    <x v="11"/>
  </r>
  <r>
    <s v="ORD00424"/>
    <d v="2023-11-06T00:00:00"/>
    <x v="302"/>
    <x v="229"/>
    <n v="73"/>
    <s v="INV00424"/>
    <n v="73"/>
    <n v="402.05340000000001"/>
    <m/>
    <m/>
    <m/>
    <m/>
    <m/>
    <n v="402.05340000000001"/>
    <d v="2023-10-15T00:00:00"/>
    <n v="0"/>
    <n v="0"/>
    <n v="0"/>
    <n v="0"/>
    <n v="0"/>
    <n v="0"/>
    <n v="0"/>
    <x v="0"/>
    <n v="29349.8982"/>
    <n v="29349.8982"/>
    <n v="0"/>
    <n v="0"/>
    <x v="0"/>
    <x v="0"/>
  </r>
  <r>
    <s v="ORD00425"/>
    <d v="2023-12-07T00:00:00"/>
    <x v="334"/>
    <x v="45"/>
    <n v="165"/>
    <s v="INV00425"/>
    <n v="165"/>
    <n v="169.22900000000001"/>
    <m/>
    <m/>
    <m/>
    <m/>
    <m/>
    <n v="169.22900000000001"/>
    <d v="2023-04-23T00:00:00"/>
    <n v="0"/>
    <n v="0"/>
    <n v="0"/>
    <n v="0"/>
    <n v="0"/>
    <n v="0"/>
    <n v="0"/>
    <x v="0"/>
    <n v="27922.785000000003"/>
    <n v="27922.785000000003"/>
    <n v="0"/>
    <n v="0"/>
    <x v="0"/>
    <x v="20"/>
  </r>
  <r>
    <s v="ORD00426"/>
    <d v="2024-12-26T00:00:00"/>
    <x v="335"/>
    <x v="230"/>
    <n v="177"/>
    <s v="INV00426"/>
    <n v="177"/>
    <n v="235.43491773571705"/>
    <m/>
    <m/>
    <m/>
    <m/>
    <m/>
    <n v="234.87090000000001"/>
    <d v="2023-08-12T00:00:00"/>
    <n v="0"/>
    <n v="0"/>
    <n v="1"/>
    <n v="0"/>
    <n v="0"/>
    <n v="0"/>
    <n v="0"/>
    <x v="1"/>
    <n v="41671.980439221916"/>
    <n v="41572.149300000005"/>
    <n v="99.831139221911144"/>
    <n v="4"/>
    <x v="1"/>
    <x v="1"/>
  </r>
  <r>
    <s v="ORD00427"/>
    <d v="2023-04-25T00:00:00"/>
    <x v="336"/>
    <x v="78"/>
    <n v="45"/>
    <s v="INV00427"/>
    <n v="45"/>
    <n v="376.62"/>
    <m/>
    <m/>
    <m/>
    <m/>
    <m/>
    <n v="376.62"/>
    <d v="2022-07-05T00:00:00"/>
    <n v="0"/>
    <n v="0"/>
    <n v="0"/>
    <n v="0"/>
    <n v="0"/>
    <n v="0"/>
    <n v="0"/>
    <x v="0"/>
    <n v="16947.900000000001"/>
    <n v="16947.900000000001"/>
    <n v="0"/>
    <n v="0"/>
    <x v="0"/>
    <x v="23"/>
  </r>
  <r>
    <s v="ORD00428"/>
    <d v="2024-02-03T00:00:00"/>
    <x v="46"/>
    <x v="231"/>
    <n v="127"/>
    <s v="INV00428"/>
    <n v="127"/>
    <n v="850.16200000000003"/>
    <m/>
    <m/>
    <m/>
    <m/>
    <m/>
    <n v="850.16200000000003"/>
    <d v="2023-06-22T00:00:00"/>
    <n v="0"/>
    <n v="0"/>
    <n v="0"/>
    <n v="0"/>
    <n v="0"/>
    <n v="0"/>
    <n v="0"/>
    <x v="0"/>
    <n v="107970.57400000001"/>
    <n v="107970.57400000001"/>
    <n v="0"/>
    <n v="0"/>
    <x v="0"/>
    <x v="3"/>
  </r>
  <r>
    <s v="ORD00429"/>
    <d v="2023-04-15T00:00:00"/>
    <x v="337"/>
    <x v="232"/>
    <n v="25"/>
    <s v="INV00429"/>
    <n v="25"/>
    <n v="1065.7722000000001"/>
    <m/>
    <m/>
    <m/>
    <m/>
    <m/>
    <n v="1065.7722000000001"/>
    <d v="2023-01-10T00:00:00"/>
    <n v="0"/>
    <n v="0"/>
    <n v="0"/>
    <n v="0"/>
    <n v="0"/>
    <n v="0"/>
    <n v="0"/>
    <x v="0"/>
    <n v="26644.305000000004"/>
    <n v="26644.305000000004"/>
    <n v="0"/>
    <n v="0"/>
    <x v="0"/>
    <x v="23"/>
  </r>
  <r>
    <s v="ORD00430"/>
    <d v="2024-04-23T00:00:00"/>
    <x v="323"/>
    <x v="219"/>
    <n v="151"/>
    <s v="INV00430"/>
    <n v="151"/>
    <n v="556.99"/>
    <m/>
    <m/>
    <m/>
    <m/>
    <m/>
    <n v="556.99"/>
    <d v="2023-08-09T00:00:00"/>
    <n v="0"/>
    <n v="0"/>
    <n v="0"/>
    <n v="0"/>
    <n v="0"/>
    <n v="0"/>
    <n v="0"/>
    <x v="0"/>
    <n v="84105.49"/>
    <n v="84105.49"/>
    <n v="0"/>
    <n v="0"/>
    <x v="0"/>
    <x v="9"/>
  </r>
  <r>
    <s v="ORD00431"/>
    <d v="2024-02-11T00:00:00"/>
    <x v="117"/>
    <x v="76"/>
    <n v="87"/>
    <s v="INV00431"/>
    <n v="87"/>
    <n v="1114.2336"/>
    <m/>
    <m/>
    <m/>
    <m/>
    <m/>
    <n v="1114.2336"/>
    <d v="2023-08-03T00:00:00"/>
    <n v="0"/>
    <n v="0"/>
    <n v="0"/>
    <n v="0"/>
    <n v="0"/>
    <n v="0"/>
    <n v="0"/>
    <x v="0"/>
    <n v="96938.323199999999"/>
    <n v="96938.323199999999"/>
    <n v="0"/>
    <n v="0"/>
    <x v="0"/>
    <x v="3"/>
  </r>
  <r>
    <s v="ORD00432"/>
    <d v="2024-05-13T00:00:00"/>
    <x v="338"/>
    <x v="233"/>
    <n v="77"/>
    <s v="INV00432"/>
    <n v="77"/>
    <n v="799.8357000000002"/>
    <m/>
    <m/>
    <m/>
    <m/>
    <m/>
    <n v="799.8357000000002"/>
    <d v="2023-05-17T00:00:00"/>
    <n v="0"/>
    <n v="0"/>
    <n v="0"/>
    <n v="0"/>
    <n v="0"/>
    <n v="0"/>
    <n v="0"/>
    <x v="0"/>
    <n v="61587.348900000019"/>
    <n v="61587.348900000019"/>
    <n v="0"/>
    <n v="0"/>
    <x v="0"/>
    <x v="13"/>
  </r>
  <r>
    <s v="ORD00433"/>
    <d v="2023-09-03T00:00:00"/>
    <x v="339"/>
    <x v="234"/>
    <n v="197"/>
    <s v="INV00433"/>
    <n v="197"/>
    <n v="1226.9154000000001"/>
    <n v="6"/>
    <d v="2023-06-18T00:00:00"/>
    <m/>
    <m/>
    <m/>
    <n v="1226.9154000000001"/>
    <d v="2023-04-16T00:00:00"/>
    <n v="0"/>
    <n v="0"/>
    <n v="0"/>
    <n v="0"/>
    <n v="0"/>
    <n v="0"/>
    <n v="0"/>
    <x v="0"/>
    <n v="241702.33380000002"/>
    <n v="241702.33380000002"/>
    <n v="0"/>
    <n v="0"/>
    <x v="0"/>
    <x v="18"/>
  </r>
  <r>
    <s v="ORD00434"/>
    <d v="2023-12-10T00:00:00"/>
    <x v="340"/>
    <x v="82"/>
    <n v="37"/>
    <s v="INV00434"/>
    <n v="37"/>
    <n v="280.03500000000003"/>
    <m/>
    <m/>
    <m/>
    <m/>
    <m/>
    <n v="280.03500000000003"/>
    <d v="2023-08-08T00:00:00"/>
    <n v="0"/>
    <n v="0"/>
    <n v="0"/>
    <n v="0"/>
    <n v="0"/>
    <n v="0"/>
    <n v="0"/>
    <x v="0"/>
    <n v="10361.295"/>
    <n v="10361.295"/>
    <n v="0"/>
    <n v="0"/>
    <x v="0"/>
    <x v="20"/>
  </r>
  <r>
    <s v="ORD00435"/>
    <d v="2024-10-16T00:00:00"/>
    <x v="111"/>
    <x v="63"/>
    <n v="1"/>
    <s v="INV00435"/>
    <n v="1"/>
    <n v="96.6"/>
    <n v="3"/>
    <d v="2023-11-30T00:00:00"/>
    <m/>
    <m/>
    <m/>
    <n v="96.6"/>
    <d v="2023-06-28T00:00:00"/>
    <n v="0"/>
    <n v="0"/>
    <n v="0"/>
    <n v="0"/>
    <n v="0"/>
    <n v="0"/>
    <n v="1"/>
    <x v="1"/>
    <n v="96.6"/>
    <n v="96.6"/>
    <n v="0"/>
    <n v="3"/>
    <x v="1"/>
    <x v="5"/>
  </r>
  <r>
    <s v="ORD00436"/>
    <d v="2024-10-16T00:00:00"/>
    <x v="341"/>
    <x v="235"/>
    <n v="79"/>
    <s v="INV00436"/>
    <n v="79"/>
    <n v="708.51900000000001"/>
    <m/>
    <m/>
    <m/>
    <m/>
    <m/>
    <n v="708.51900000000001"/>
    <d v="2023-05-17T00:00:00"/>
    <n v="0"/>
    <n v="0"/>
    <n v="0"/>
    <n v="0"/>
    <n v="0"/>
    <n v="0"/>
    <n v="0"/>
    <x v="0"/>
    <n v="55973.001000000004"/>
    <n v="55973.001000000004"/>
    <n v="0"/>
    <n v="0"/>
    <x v="0"/>
    <x v="5"/>
  </r>
  <r>
    <s v="ORD00437"/>
    <d v="2024-07-04T00:00:00"/>
    <x v="93"/>
    <x v="236"/>
    <n v="91"/>
    <s v="INV00437"/>
    <n v="89"/>
    <n v="1182.1740000000002"/>
    <m/>
    <m/>
    <m/>
    <m/>
    <m/>
    <n v="1182.1740000000002"/>
    <d v="2023-07-23T00:00:00"/>
    <n v="0"/>
    <n v="1"/>
    <n v="0"/>
    <n v="0"/>
    <n v="0"/>
    <n v="0"/>
    <n v="0"/>
    <x v="1"/>
    <n v="105213.48600000002"/>
    <n v="107577.83400000002"/>
    <n v="-2364.3479999999981"/>
    <n v="8"/>
    <x v="2"/>
    <x v="21"/>
  </r>
  <r>
    <s v="ORD00438"/>
    <d v="2023-06-27T00:00:00"/>
    <x v="78"/>
    <x v="140"/>
    <n v="173"/>
    <s v="INV00438"/>
    <n v="173"/>
    <n v="521.54959999999994"/>
    <m/>
    <m/>
    <m/>
    <m/>
    <m/>
    <n v="521.54959999999994"/>
    <d v="2023-03-09T00:00:00"/>
    <n v="0"/>
    <n v="0"/>
    <n v="0"/>
    <n v="0"/>
    <n v="0"/>
    <n v="0"/>
    <n v="0"/>
    <x v="0"/>
    <n v="90228.080799999996"/>
    <n v="90228.080799999996"/>
    <n v="0"/>
    <n v="0"/>
    <x v="0"/>
    <x v="14"/>
  </r>
  <r>
    <s v="ORD00439"/>
    <d v="2023-07-04T00:00:00"/>
    <x v="342"/>
    <x v="143"/>
    <n v="126"/>
    <s v="INV00439"/>
    <n v="126"/>
    <n v="893.8972"/>
    <m/>
    <m/>
    <m/>
    <m/>
    <m/>
    <n v="893.8972"/>
    <d v="2023-05-03T00:00:00"/>
    <n v="0"/>
    <n v="0"/>
    <n v="0"/>
    <n v="0"/>
    <n v="0"/>
    <n v="0"/>
    <n v="0"/>
    <x v="0"/>
    <n v="112631.0472"/>
    <n v="112631.0472"/>
    <n v="0"/>
    <n v="0"/>
    <x v="0"/>
    <x v="10"/>
  </r>
  <r>
    <s v="ORD00440"/>
    <d v="2024-04-13T00:00:00"/>
    <x v="343"/>
    <x v="53"/>
    <n v="107"/>
    <s v="INV00440"/>
    <n v="107"/>
    <n v="393.40140000000002"/>
    <m/>
    <m/>
    <m/>
    <m/>
    <m/>
    <n v="393.40140000000002"/>
    <d v="2023-08-08T00:00:00"/>
    <n v="0"/>
    <n v="0"/>
    <n v="0"/>
    <n v="0"/>
    <n v="0"/>
    <n v="0"/>
    <n v="0"/>
    <x v="0"/>
    <n v="42093.949800000002"/>
    <n v="42093.949800000002"/>
    <n v="0"/>
    <n v="0"/>
    <x v="0"/>
    <x v="9"/>
  </r>
  <r>
    <s v="ORD00441"/>
    <d v="2023-07-25T00:00:00"/>
    <x v="322"/>
    <x v="115"/>
    <n v="67"/>
    <s v="INV00441"/>
    <n v="67"/>
    <n v="208.65799999999999"/>
    <m/>
    <m/>
    <m/>
    <m/>
    <m/>
    <n v="208.65799999999999"/>
    <d v="2023-02-14T00:00:00"/>
    <n v="0"/>
    <n v="0"/>
    <n v="0"/>
    <n v="0"/>
    <n v="0"/>
    <n v="0"/>
    <n v="0"/>
    <x v="0"/>
    <n v="13980.085999999999"/>
    <n v="13980.085999999999"/>
    <n v="0"/>
    <n v="0"/>
    <x v="0"/>
    <x v="10"/>
  </r>
  <r>
    <s v="ORD00442"/>
    <d v="2024-05-17T00:00:00"/>
    <x v="36"/>
    <x v="52"/>
    <n v="172"/>
    <s v="INV00442"/>
    <n v="172"/>
    <n v="61.845300000000002"/>
    <m/>
    <m/>
    <m/>
    <m/>
    <m/>
    <n v="61.845300000000002"/>
    <d v="2023-10-27T00:00:00"/>
    <n v="0"/>
    <n v="0"/>
    <n v="0"/>
    <n v="0"/>
    <n v="0"/>
    <n v="0"/>
    <n v="0"/>
    <x v="0"/>
    <n v="10637.391600000001"/>
    <n v="10637.391600000001"/>
    <n v="0"/>
    <n v="0"/>
    <x v="0"/>
    <x v="13"/>
  </r>
  <r>
    <s v="ORD00443"/>
    <d v="2023-02-26T00:00:00"/>
    <x v="344"/>
    <x v="224"/>
    <n v="38"/>
    <s v="INV00443"/>
    <n v="38"/>
    <n v="358.416"/>
    <m/>
    <m/>
    <m/>
    <m/>
    <m/>
    <n v="358.416"/>
    <d v="2022-09-20T00:00:00"/>
    <n v="0"/>
    <n v="0"/>
    <n v="0"/>
    <n v="0"/>
    <n v="0"/>
    <n v="0"/>
    <n v="0"/>
    <x v="0"/>
    <n v="13619.807999999999"/>
    <n v="13619.807999999999"/>
    <n v="0"/>
    <n v="0"/>
    <x v="0"/>
    <x v="11"/>
  </r>
  <r>
    <s v="ORD00444"/>
    <d v="2023-12-26T00:00:00"/>
    <x v="345"/>
    <x v="208"/>
    <n v="66"/>
    <s v="INV00444"/>
    <n v="66"/>
    <n v="107.1605"/>
    <m/>
    <m/>
    <m/>
    <m/>
    <m/>
    <n v="107.1605"/>
    <d v="2023-02-13T00:00:00"/>
    <n v="0"/>
    <n v="0"/>
    <n v="0"/>
    <n v="0"/>
    <n v="0"/>
    <n v="0"/>
    <n v="0"/>
    <x v="0"/>
    <n v="7072.5929999999998"/>
    <n v="7072.5929999999998"/>
    <n v="0"/>
    <n v="0"/>
    <x v="0"/>
    <x v="20"/>
  </r>
  <r>
    <s v="ORD00445"/>
    <d v="2023-12-20T00:00:00"/>
    <x v="133"/>
    <x v="214"/>
    <n v="179"/>
    <s v="INV00445"/>
    <n v="179"/>
    <n v="77.178600000000003"/>
    <m/>
    <m/>
    <m/>
    <m/>
    <m/>
    <n v="77.178600000000003"/>
    <d v="2023-02-18T00:00:00"/>
    <n v="0"/>
    <n v="0"/>
    <n v="0"/>
    <n v="0"/>
    <n v="0"/>
    <n v="0"/>
    <n v="0"/>
    <x v="0"/>
    <n v="13814.9694"/>
    <n v="13814.9694"/>
    <n v="0"/>
    <n v="0"/>
    <x v="0"/>
    <x v="20"/>
  </r>
  <r>
    <s v="ORD00446"/>
    <d v="2024-09-10T00:00:00"/>
    <x v="274"/>
    <x v="237"/>
    <n v="42"/>
    <s v="INV00446"/>
    <n v="42"/>
    <n v="620.22550000000001"/>
    <m/>
    <m/>
    <m/>
    <m/>
    <m/>
    <n v="620.22550000000001"/>
    <d v="2023-10-01T00:00:00"/>
    <n v="0"/>
    <n v="0"/>
    <n v="0"/>
    <n v="0"/>
    <n v="0"/>
    <n v="0"/>
    <n v="0"/>
    <x v="0"/>
    <n v="26049.471000000001"/>
    <n v="26049.471000000001"/>
    <n v="0"/>
    <n v="0"/>
    <x v="0"/>
    <x v="2"/>
  </r>
  <r>
    <s v="ORD00447"/>
    <d v="2024-08-27T00:00:00"/>
    <x v="328"/>
    <x v="111"/>
    <n v="181"/>
    <s v="INV00447"/>
    <n v="181"/>
    <n v="147.17669999999998"/>
    <m/>
    <m/>
    <m/>
    <m/>
    <m/>
    <n v="147.17669999999998"/>
    <d v="2023-04-23T00:00:00"/>
    <n v="0"/>
    <n v="0"/>
    <n v="0"/>
    <n v="0"/>
    <n v="0"/>
    <n v="0"/>
    <n v="0"/>
    <x v="0"/>
    <n v="26638.982699999997"/>
    <n v="26638.982699999997"/>
    <n v="0"/>
    <n v="0"/>
    <x v="0"/>
    <x v="22"/>
  </r>
  <r>
    <s v="ORD00448"/>
    <d v="2023-02-03T00:00:00"/>
    <x v="342"/>
    <x v="155"/>
    <n v="42"/>
    <s v="INV00448"/>
    <n v="52"/>
    <n v="560.10919999999999"/>
    <m/>
    <m/>
    <m/>
    <m/>
    <m/>
    <n v="560.10919999999999"/>
    <d v="2022-10-17T00:00:00"/>
    <n v="0"/>
    <n v="1"/>
    <n v="0"/>
    <n v="0"/>
    <n v="0"/>
    <n v="0"/>
    <n v="0"/>
    <x v="1"/>
    <n v="29125.678400000001"/>
    <n v="23524.5864"/>
    <n v="5601.0920000000006"/>
    <n v="8"/>
    <x v="2"/>
    <x v="11"/>
  </r>
  <r>
    <s v="ORD00449"/>
    <d v="2024-12-19T00:00:00"/>
    <x v="257"/>
    <x v="32"/>
    <n v="200"/>
    <s v="INV00449"/>
    <n v="200"/>
    <n v="973.43799999999999"/>
    <m/>
    <m/>
    <m/>
    <m/>
    <m/>
    <n v="973.43799999999999"/>
    <d v="2023-03-26T00:00:00"/>
    <n v="0"/>
    <n v="0"/>
    <n v="0"/>
    <n v="0"/>
    <n v="0"/>
    <n v="0"/>
    <n v="0"/>
    <x v="0"/>
    <n v="194687.6"/>
    <n v="194687.6"/>
    <n v="0"/>
    <n v="0"/>
    <x v="0"/>
    <x v="1"/>
  </r>
  <r>
    <s v="ORD00450"/>
    <d v="2023-10-23T00:00:00"/>
    <x v="346"/>
    <x v="238"/>
    <n v="45"/>
    <s v="INV00450"/>
    <n v="45"/>
    <n v="1137.9636"/>
    <m/>
    <m/>
    <m/>
    <m/>
    <m/>
    <n v="1137.9636"/>
    <d v="2023-03-22T00:00:00"/>
    <n v="0"/>
    <n v="0"/>
    <n v="0"/>
    <n v="0"/>
    <n v="0"/>
    <n v="0"/>
    <n v="0"/>
    <x v="0"/>
    <n v="51208.362000000001"/>
    <n v="51208.362000000001"/>
    <n v="0"/>
    <n v="0"/>
    <x v="0"/>
    <x v="19"/>
  </r>
  <r>
    <s v="ORD00451"/>
    <d v="2023-03-07T00:00:00"/>
    <x v="249"/>
    <x v="54"/>
    <n v="171"/>
    <s v="INV00451"/>
    <n v="171"/>
    <n v="456.09"/>
    <m/>
    <m/>
    <m/>
    <m/>
    <m/>
    <n v="456.09"/>
    <d v="2022-04-27T00:00:00"/>
    <n v="0"/>
    <n v="0"/>
    <n v="0"/>
    <n v="0"/>
    <n v="0"/>
    <n v="0"/>
    <n v="0"/>
    <x v="0"/>
    <n v="77991.39"/>
    <n v="77991.39"/>
    <n v="0"/>
    <n v="0"/>
    <x v="0"/>
    <x v="17"/>
  </r>
  <r>
    <s v="ORD00452"/>
    <d v="2024-10-07T00:00:00"/>
    <x v="347"/>
    <x v="86"/>
    <n v="8"/>
    <s v="INV00452"/>
    <n v="8"/>
    <n v="245.8853"/>
    <m/>
    <m/>
    <m/>
    <m/>
    <m/>
    <n v="245.8853"/>
    <d v="2023-04-09T00:00:00"/>
    <n v="0"/>
    <n v="0"/>
    <n v="0"/>
    <n v="0"/>
    <n v="0"/>
    <n v="0"/>
    <n v="0"/>
    <x v="0"/>
    <n v="1967.0824"/>
    <n v="1967.0824"/>
    <n v="0"/>
    <n v="0"/>
    <x v="0"/>
    <x v="5"/>
  </r>
  <r>
    <s v="ORD00453"/>
    <d v="2024-10-23T00:00:00"/>
    <x v="260"/>
    <x v="196"/>
    <n v="76"/>
    <s v="INV00453"/>
    <n v="76"/>
    <n v="1099.82"/>
    <m/>
    <m/>
    <m/>
    <m/>
    <m/>
    <n v="1099.82"/>
    <d v="2023-02-05T00:00:00"/>
    <n v="0"/>
    <n v="0"/>
    <n v="0"/>
    <n v="0"/>
    <n v="0"/>
    <n v="0"/>
    <n v="0"/>
    <x v="0"/>
    <n v="83586.319999999992"/>
    <n v="83586.319999999992"/>
    <n v="0"/>
    <n v="0"/>
    <x v="0"/>
    <x v="5"/>
  </r>
  <r>
    <s v="ORD00454"/>
    <d v="2024-11-21T00:00:00"/>
    <x v="348"/>
    <x v="125"/>
    <n v="9"/>
    <s v="INV00454"/>
    <n v="9"/>
    <n v="405.98"/>
    <m/>
    <m/>
    <m/>
    <m/>
    <m/>
    <n v="405.98"/>
    <d v="2023-08-14T00:00:00"/>
    <n v="0"/>
    <n v="0"/>
    <n v="0"/>
    <n v="0"/>
    <n v="0"/>
    <n v="0"/>
    <n v="0"/>
    <x v="0"/>
    <n v="3653.82"/>
    <n v="3653.82"/>
    <n v="0"/>
    <n v="0"/>
    <x v="0"/>
    <x v="4"/>
  </r>
  <r>
    <s v="ORD00455"/>
    <d v="2024-05-09T00:00:00"/>
    <x v="120"/>
    <x v="6"/>
    <n v="112"/>
    <s v="INV00455"/>
    <n v="112"/>
    <n v="700.93560000000002"/>
    <n v="10"/>
    <d v="2023-04-28T00:00:00"/>
    <m/>
    <m/>
    <m/>
    <n v="700.93560000000002"/>
    <d v="2023-05-31T00:00:00"/>
    <n v="0"/>
    <n v="0"/>
    <n v="0"/>
    <n v="0"/>
    <n v="0"/>
    <n v="0"/>
    <n v="0"/>
    <x v="0"/>
    <n v="78504.787200000006"/>
    <n v="78504.787200000006"/>
    <n v="0"/>
    <n v="0"/>
    <x v="0"/>
    <x v="13"/>
  </r>
  <r>
    <s v="ORD00456"/>
    <d v="2024-05-16T00:00:00"/>
    <x v="349"/>
    <x v="149"/>
    <n v="37"/>
    <s v="INV00456"/>
    <n v="37"/>
    <n v="1146.7456000000002"/>
    <m/>
    <m/>
    <m/>
    <m/>
    <m/>
    <n v="1146.7456000000002"/>
    <d v="2023-08-10T00:00:00"/>
    <n v="0"/>
    <n v="0"/>
    <n v="0"/>
    <n v="0"/>
    <n v="0"/>
    <n v="0"/>
    <n v="0"/>
    <x v="0"/>
    <n v="42429.587200000009"/>
    <n v="42429.587200000009"/>
    <n v="0"/>
    <n v="0"/>
    <x v="0"/>
    <x v="13"/>
  </r>
  <r>
    <s v="ORD00457"/>
    <d v="2023-12-04T00:00:00"/>
    <x v="350"/>
    <x v="108"/>
    <n v="106"/>
    <s v="INV00457"/>
    <n v="106"/>
    <n v="1072.5387000000001"/>
    <m/>
    <m/>
    <m/>
    <m/>
    <m/>
    <n v="1072.5387000000001"/>
    <d v="2023-04-07T00:00:00"/>
    <n v="0"/>
    <n v="0"/>
    <n v="0"/>
    <n v="0"/>
    <n v="0"/>
    <n v="0"/>
    <n v="0"/>
    <x v="0"/>
    <n v="113689.10220000001"/>
    <n v="113689.10220000001"/>
    <n v="0"/>
    <n v="0"/>
    <x v="0"/>
    <x v="20"/>
  </r>
  <r>
    <s v="ORD00458"/>
    <d v="2023-01-08T00:00:00"/>
    <x v="351"/>
    <x v="60"/>
    <n v="104"/>
    <s v="INV00458"/>
    <n v="104"/>
    <n v="1087.8191999999999"/>
    <m/>
    <m/>
    <m/>
    <m/>
    <m/>
    <n v="1087.8191999999999"/>
    <d v="2022-10-10T00:00:00"/>
    <n v="0"/>
    <n v="0"/>
    <n v="0"/>
    <n v="0"/>
    <n v="0"/>
    <n v="0"/>
    <n v="0"/>
    <x v="0"/>
    <n v="113133.19679999999"/>
    <n v="113133.19679999999"/>
    <n v="0"/>
    <n v="0"/>
    <x v="0"/>
    <x v="8"/>
  </r>
  <r>
    <s v="ORD00459"/>
    <d v="2024-09-14T00:00:00"/>
    <x v="352"/>
    <x v="50"/>
    <n v="60"/>
    <s v="INV00459"/>
    <n v="60"/>
    <n v="49.450800000000001"/>
    <m/>
    <m/>
    <m/>
    <m/>
    <m/>
    <n v="49.450800000000001"/>
    <d v="2023-08-30T00:00:00"/>
    <n v="0"/>
    <n v="0"/>
    <n v="0"/>
    <n v="0"/>
    <n v="0"/>
    <n v="0"/>
    <n v="0"/>
    <x v="0"/>
    <n v="2967.0480000000002"/>
    <n v="2967.0480000000002"/>
    <n v="0"/>
    <n v="0"/>
    <x v="0"/>
    <x v="2"/>
  </r>
  <r>
    <s v="ORD00460"/>
    <d v="2024-11-17T00:00:00"/>
    <x v="208"/>
    <x v="28"/>
    <n v="76"/>
    <s v="INV00460"/>
    <n v="76"/>
    <n v="957.65700000000015"/>
    <m/>
    <m/>
    <m/>
    <m/>
    <m/>
    <n v="957.65700000000015"/>
    <d v="2023-05-11T00:00:00"/>
    <n v="0"/>
    <n v="0"/>
    <n v="0"/>
    <n v="0"/>
    <n v="0"/>
    <n v="0"/>
    <n v="0"/>
    <x v="0"/>
    <n v="72781.932000000015"/>
    <n v="72781.932000000015"/>
    <n v="0"/>
    <n v="0"/>
    <x v="0"/>
    <x v="4"/>
  </r>
  <r>
    <s v="ORD00461"/>
    <d v="2023-01-18T00:00:00"/>
    <x v="353"/>
    <x v="77"/>
    <n v="19"/>
    <s v="INV00461"/>
    <n v="19"/>
    <n v="709.45920000000001"/>
    <m/>
    <m/>
    <m/>
    <m/>
    <m/>
    <n v="709.45920000000001"/>
    <d v="2022-09-26T00:00:00"/>
    <n v="0"/>
    <n v="0"/>
    <n v="0"/>
    <n v="0"/>
    <n v="0"/>
    <n v="0"/>
    <n v="0"/>
    <x v="0"/>
    <n v="13479.7248"/>
    <n v="13479.7248"/>
    <n v="0"/>
    <n v="0"/>
    <x v="0"/>
    <x v="8"/>
  </r>
  <r>
    <s v="ORD00462"/>
    <d v="2024-02-12T00:00:00"/>
    <x v="354"/>
    <x v="109"/>
    <n v="161"/>
    <s v="INV00462"/>
    <n v="161"/>
    <n v="457.65019999999998"/>
    <m/>
    <m/>
    <m/>
    <m/>
    <m/>
    <n v="457.65019999999998"/>
    <d v="2023-01-24T00:00:00"/>
    <n v="0"/>
    <n v="0"/>
    <n v="0"/>
    <n v="0"/>
    <n v="0"/>
    <n v="0"/>
    <n v="0"/>
    <x v="0"/>
    <n v="73681.682199999996"/>
    <n v="73681.682199999996"/>
    <n v="0"/>
    <n v="0"/>
    <x v="0"/>
    <x v="3"/>
  </r>
  <r>
    <s v="ORD00463"/>
    <d v="2024-01-27T00:00:00"/>
    <x v="355"/>
    <x v="230"/>
    <n v="90"/>
    <s v="INV00463"/>
    <n v="90"/>
    <n v="234.87090000000001"/>
    <m/>
    <m/>
    <m/>
    <m/>
    <m/>
    <n v="234.87090000000001"/>
    <d v="2023-08-12T00:00:00"/>
    <n v="0"/>
    <n v="0"/>
    <n v="0"/>
    <n v="0"/>
    <n v="0"/>
    <n v="0"/>
    <n v="0"/>
    <x v="0"/>
    <n v="21138.381000000001"/>
    <n v="21138.381000000001"/>
    <n v="0"/>
    <n v="0"/>
    <x v="0"/>
    <x v="15"/>
  </r>
  <r>
    <s v="ORD00464"/>
    <d v="2023-03-23T00:00:00"/>
    <x v="256"/>
    <x v="239"/>
    <n v="84"/>
    <s v="INV00464"/>
    <n v="84"/>
    <n v="1186.07"/>
    <n v="10"/>
    <d v="2024-08-20T00:00:00"/>
    <m/>
    <m/>
    <m/>
    <n v="1186.07"/>
    <d v="2022-07-11T00:00:00"/>
    <n v="0"/>
    <n v="0"/>
    <n v="0"/>
    <n v="0"/>
    <n v="0"/>
    <n v="1"/>
    <n v="0"/>
    <x v="1"/>
    <n v="99629.87999999999"/>
    <n v="99629.87999999999"/>
    <n v="0"/>
    <n v="2"/>
    <x v="1"/>
    <x v="17"/>
  </r>
  <r>
    <s v="ORD00465"/>
    <d v="2024-12-03T00:00:00"/>
    <x v="356"/>
    <x v="112"/>
    <n v="34"/>
    <s v="INV00465"/>
    <n v="44"/>
    <n v="323.33380023523085"/>
    <m/>
    <m/>
    <m/>
    <m/>
    <m/>
    <n v="322.71780000000001"/>
    <d v="2023-08-31T00:00:00"/>
    <n v="0"/>
    <n v="1"/>
    <n v="1"/>
    <n v="0"/>
    <n v="0"/>
    <n v="0"/>
    <n v="0"/>
    <x v="1"/>
    <n v="14226.687210350157"/>
    <n v="10972.405200000001"/>
    <n v="3254.2820103501563"/>
    <n v="12"/>
    <x v="2"/>
    <x v="1"/>
  </r>
  <r>
    <s v="ORD00466"/>
    <d v="2023-01-14T00:00:00"/>
    <x v="357"/>
    <x v="203"/>
    <n v="186"/>
    <s v="INV00466"/>
    <n v="186"/>
    <n v="53.988499999999995"/>
    <m/>
    <m/>
    <m/>
    <m/>
    <m/>
    <n v="53.988499999999995"/>
    <d v="2022-11-19T00:00:00"/>
    <n v="0"/>
    <n v="0"/>
    <n v="0"/>
    <n v="0"/>
    <n v="0"/>
    <n v="0"/>
    <n v="0"/>
    <x v="0"/>
    <n v="10041.860999999999"/>
    <n v="10041.860999999999"/>
    <n v="0"/>
    <n v="0"/>
    <x v="0"/>
    <x v="8"/>
  </r>
  <r>
    <s v="ORD00467"/>
    <d v="2024-07-12T00:00:00"/>
    <x v="23"/>
    <x v="191"/>
    <n v="149"/>
    <s v="INV00467"/>
    <n v="149"/>
    <n v="355.32000000000005"/>
    <m/>
    <m/>
    <m/>
    <m/>
    <m/>
    <n v="355.32000000000005"/>
    <d v="2023-05-12T00:00:00"/>
    <n v="0"/>
    <n v="0"/>
    <n v="0"/>
    <n v="0"/>
    <n v="0"/>
    <n v="0"/>
    <n v="0"/>
    <x v="0"/>
    <n v="52942.680000000008"/>
    <n v="52942.680000000008"/>
    <n v="0"/>
    <n v="0"/>
    <x v="0"/>
    <x v="21"/>
  </r>
  <r>
    <s v="ORD00468"/>
    <d v="2023-07-21T00:00:00"/>
    <x v="358"/>
    <x v="26"/>
    <n v="176"/>
    <s v="INV00468"/>
    <n v="176"/>
    <n v="126.5656"/>
    <n v="16"/>
    <d v="2024-02-05T00:00:00"/>
    <m/>
    <m/>
    <m/>
    <n v="126.5656"/>
    <d v="2023-01-21T00:00:00"/>
    <n v="0"/>
    <n v="0"/>
    <n v="0"/>
    <n v="0"/>
    <n v="0"/>
    <n v="1"/>
    <n v="0"/>
    <x v="1"/>
    <n v="22275.545600000001"/>
    <n v="22275.545600000001"/>
    <n v="0"/>
    <n v="2"/>
    <x v="1"/>
    <x v="10"/>
  </r>
  <r>
    <s v="ORD00469"/>
    <d v="2023-10-20T00:00:00"/>
    <x v="256"/>
    <x v="1"/>
    <n v="85"/>
    <s v="INV00469"/>
    <n v="85"/>
    <n v="444.22"/>
    <m/>
    <m/>
    <m/>
    <m/>
    <m/>
    <n v="444.22"/>
    <d v="2023-05-28T00:00:00"/>
    <n v="0"/>
    <n v="0"/>
    <n v="0"/>
    <n v="0"/>
    <n v="0"/>
    <n v="0"/>
    <n v="0"/>
    <x v="0"/>
    <n v="37758.700000000004"/>
    <n v="37758.700000000004"/>
    <n v="0"/>
    <n v="0"/>
    <x v="0"/>
    <x v="19"/>
  </r>
  <r>
    <s v="ORD00470"/>
    <d v="2024-08-15T00:00:00"/>
    <x v="359"/>
    <x v="240"/>
    <n v="139"/>
    <s v="INV00470"/>
    <n v="144"/>
    <n v="488.43360000000007"/>
    <m/>
    <m/>
    <m/>
    <m/>
    <m/>
    <n v="488.43360000000007"/>
    <d v="2023-06-30T00:00:00"/>
    <n v="0"/>
    <n v="1"/>
    <n v="0"/>
    <n v="0"/>
    <n v="0"/>
    <n v="0"/>
    <n v="0"/>
    <x v="1"/>
    <n v="70334.438400000014"/>
    <n v="67892.270400000009"/>
    <n v="2442.1680000000051"/>
    <n v="8"/>
    <x v="2"/>
    <x v="22"/>
  </r>
  <r>
    <s v="ORD00471"/>
    <d v="2023-12-25T00:00:00"/>
    <x v="360"/>
    <x v="97"/>
    <n v="92"/>
    <s v="INV00471"/>
    <n v="92"/>
    <n v="664.57040000000006"/>
    <m/>
    <m/>
    <m/>
    <m/>
    <m/>
    <n v="664.57040000000006"/>
    <d v="2023-05-20T00:00:00"/>
    <n v="0"/>
    <n v="0"/>
    <n v="0"/>
    <n v="0"/>
    <n v="0"/>
    <n v="0"/>
    <n v="0"/>
    <x v="0"/>
    <n v="61140.476800000004"/>
    <n v="61140.476800000004"/>
    <n v="0"/>
    <n v="0"/>
    <x v="0"/>
    <x v="20"/>
  </r>
  <r>
    <s v="ORD00472"/>
    <d v="2024-06-06T00:00:00"/>
    <x v="217"/>
    <x v="58"/>
    <n v="52"/>
    <s v="INV00472"/>
    <n v="52"/>
    <n v="601.32929999999999"/>
    <m/>
    <m/>
    <m/>
    <m/>
    <m/>
    <n v="601.32929999999999"/>
    <d v="2023-02-05T00:00:00"/>
    <n v="0"/>
    <n v="0"/>
    <n v="0"/>
    <n v="0"/>
    <n v="0"/>
    <n v="0"/>
    <n v="0"/>
    <x v="0"/>
    <n v="31269.123599999999"/>
    <n v="31269.123599999999"/>
    <n v="0"/>
    <n v="0"/>
    <x v="0"/>
    <x v="16"/>
  </r>
  <r>
    <s v="ORD00473"/>
    <d v="2023-10-25T00:00:00"/>
    <x v="361"/>
    <x v="111"/>
    <n v="127"/>
    <s v="INV00473"/>
    <n v="127"/>
    <n v="147.17669999999998"/>
    <m/>
    <m/>
    <m/>
    <m/>
    <m/>
    <n v="147.17669999999998"/>
    <d v="2023-04-23T00:00:00"/>
    <n v="0"/>
    <n v="0"/>
    <n v="0"/>
    <n v="0"/>
    <n v="0"/>
    <n v="0"/>
    <n v="0"/>
    <x v="0"/>
    <n v="18691.440899999998"/>
    <n v="18691.440899999998"/>
    <n v="0"/>
    <n v="0"/>
    <x v="0"/>
    <x v="19"/>
  </r>
  <r>
    <s v="ORD00474"/>
    <d v="2024-09-17T00:00:00"/>
    <x v="362"/>
    <x v="0"/>
    <n v="80"/>
    <s v="INV00474"/>
    <n v="80"/>
    <n v="446.4905"/>
    <m/>
    <m/>
    <m/>
    <m/>
    <m/>
    <n v="446.4905"/>
    <d v="2023-08-23T00:00:00"/>
    <n v="0"/>
    <n v="0"/>
    <n v="0"/>
    <n v="0"/>
    <n v="0"/>
    <n v="0"/>
    <n v="0"/>
    <x v="0"/>
    <n v="35719.24"/>
    <n v="35719.24"/>
    <n v="0"/>
    <n v="0"/>
    <x v="0"/>
    <x v="2"/>
  </r>
  <r>
    <s v="ORD00475"/>
    <d v="2023-01-23T00:00:00"/>
    <x v="363"/>
    <x v="53"/>
    <n v="187"/>
    <s v="INV00475"/>
    <n v="187"/>
    <n v="413.47289999999998"/>
    <m/>
    <m/>
    <m/>
    <m/>
    <m/>
    <n v="413.47289999999998"/>
    <d v="2022-09-25T00:00:00"/>
    <n v="0"/>
    <n v="0"/>
    <n v="0"/>
    <n v="0"/>
    <n v="0"/>
    <n v="0"/>
    <n v="0"/>
    <x v="0"/>
    <n v="77319.4323"/>
    <n v="77319.4323"/>
    <n v="0"/>
    <n v="0"/>
    <x v="0"/>
    <x v="8"/>
  </r>
  <r>
    <s v="ORD00476"/>
    <d v="2024-08-09T00:00:00"/>
    <x v="364"/>
    <x v="34"/>
    <n v="47"/>
    <s v="INV00476"/>
    <n v="47"/>
    <n v="397.19560000000001"/>
    <m/>
    <m/>
    <m/>
    <m/>
    <m/>
    <n v="397.19560000000001"/>
    <d v="2023-01-06T00:00:00"/>
    <n v="0"/>
    <n v="0"/>
    <n v="0"/>
    <n v="0"/>
    <n v="0"/>
    <n v="0"/>
    <n v="0"/>
    <x v="0"/>
    <n v="18668.193200000002"/>
    <n v="18668.193200000002"/>
    <n v="0"/>
    <n v="0"/>
    <x v="0"/>
    <x v="22"/>
  </r>
  <r>
    <s v="ORD00477"/>
    <d v="2023-11-13T00:00:00"/>
    <x v="226"/>
    <x v="235"/>
    <n v="12"/>
    <s v="INV00477"/>
    <n v="12"/>
    <n v="708.51900000000001"/>
    <m/>
    <m/>
    <m/>
    <m/>
    <m/>
    <n v="708.51900000000001"/>
    <d v="2023-05-17T00:00:00"/>
    <n v="0"/>
    <n v="0"/>
    <n v="0"/>
    <n v="0"/>
    <n v="0"/>
    <n v="0"/>
    <n v="0"/>
    <x v="0"/>
    <n v="8502.2279999999992"/>
    <n v="8502.2279999999992"/>
    <n v="0"/>
    <n v="0"/>
    <x v="0"/>
    <x v="0"/>
  </r>
  <r>
    <s v="ORD00478"/>
    <d v="2023-11-02T00:00:00"/>
    <x v="365"/>
    <x v="108"/>
    <n v="53"/>
    <s v="INV00478"/>
    <n v="53"/>
    <n v="1072.5387000000001"/>
    <m/>
    <m/>
    <m/>
    <m/>
    <m/>
    <n v="1072.5387000000001"/>
    <d v="2023-04-07T00:00:00"/>
    <n v="0"/>
    <n v="0"/>
    <n v="0"/>
    <n v="0"/>
    <n v="0"/>
    <n v="0"/>
    <n v="0"/>
    <x v="0"/>
    <n v="56844.551100000004"/>
    <n v="56844.551100000004"/>
    <n v="0"/>
    <n v="0"/>
    <x v="0"/>
    <x v="0"/>
  </r>
  <r>
    <s v="ORD00479"/>
    <d v="2023-06-04T00:00:00"/>
    <x v="366"/>
    <x v="114"/>
    <n v="40"/>
    <s v="INV00479"/>
    <n v="40"/>
    <n v="945.38850000000002"/>
    <m/>
    <m/>
    <m/>
    <m/>
    <m/>
    <n v="945.38850000000002"/>
    <d v="2023-05-01T00:00:00"/>
    <n v="0"/>
    <n v="0"/>
    <n v="0"/>
    <n v="0"/>
    <n v="0"/>
    <n v="0"/>
    <n v="0"/>
    <x v="0"/>
    <n v="37815.54"/>
    <n v="37815.54"/>
    <n v="0"/>
    <n v="0"/>
    <x v="0"/>
    <x v="14"/>
  </r>
  <r>
    <s v="ORD00480"/>
    <d v="2023-01-19T00:00:00"/>
    <x v="367"/>
    <x v="81"/>
    <n v="17"/>
    <s v="INV00480"/>
    <n v="17"/>
    <n v="263.89999999999998"/>
    <m/>
    <m/>
    <m/>
    <m/>
    <m/>
    <n v="263.89999999999998"/>
    <d v="2022-10-21T00:00:00"/>
    <n v="0"/>
    <n v="0"/>
    <n v="0"/>
    <n v="0"/>
    <n v="0"/>
    <n v="0"/>
    <n v="0"/>
    <x v="0"/>
    <n v="4486.2999999999993"/>
    <n v="4486.2999999999993"/>
    <n v="0"/>
    <n v="0"/>
    <x v="0"/>
    <x v="8"/>
  </r>
  <r>
    <s v="ORD00481"/>
    <d v="2023-06-07T00:00:00"/>
    <x v="368"/>
    <x v="192"/>
    <n v="177"/>
    <s v="INV00481"/>
    <n v="177"/>
    <n v="255.06540000000001"/>
    <m/>
    <m/>
    <m/>
    <m/>
    <m/>
    <n v="255.06540000000001"/>
    <d v="2023-02-21T00:00:00"/>
    <n v="0"/>
    <n v="0"/>
    <n v="0"/>
    <n v="0"/>
    <n v="0"/>
    <n v="0"/>
    <n v="0"/>
    <x v="0"/>
    <n v="45146.575799999999"/>
    <n v="45146.575799999999"/>
    <n v="0"/>
    <n v="0"/>
    <x v="0"/>
    <x v="14"/>
  </r>
  <r>
    <s v="ORD00482"/>
    <d v="2024-10-19T00:00:00"/>
    <x v="369"/>
    <x v="241"/>
    <n v="30"/>
    <s v="INV00482"/>
    <n v="30"/>
    <n v="854.74350000000004"/>
    <m/>
    <m/>
    <m/>
    <m/>
    <m/>
    <n v="854.74350000000004"/>
    <d v="2023-02-27T00:00:00"/>
    <n v="0"/>
    <n v="0"/>
    <n v="0"/>
    <n v="0"/>
    <n v="0"/>
    <n v="0"/>
    <n v="0"/>
    <x v="0"/>
    <n v="25642.305"/>
    <n v="25642.305"/>
    <n v="0"/>
    <n v="0"/>
    <x v="0"/>
    <x v="5"/>
  </r>
  <r>
    <s v="ORD00483"/>
    <d v="2023-08-16T00:00:00"/>
    <x v="370"/>
    <x v="79"/>
    <n v="27"/>
    <s v="INV00483"/>
    <n v="27"/>
    <n v="730.7886000000002"/>
    <m/>
    <m/>
    <m/>
    <m/>
    <m/>
    <n v="730.7886000000002"/>
    <d v="2023-06-22T00:00:00"/>
    <n v="0"/>
    <n v="0"/>
    <n v="0"/>
    <n v="0"/>
    <n v="0"/>
    <n v="0"/>
    <n v="0"/>
    <x v="0"/>
    <n v="19731.292200000007"/>
    <n v="19731.292200000007"/>
    <n v="0"/>
    <n v="0"/>
    <x v="0"/>
    <x v="12"/>
  </r>
  <r>
    <s v="ORD00484"/>
    <d v="2023-09-28T00:00:00"/>
    <x v="56"/>
    <x v="61"/>
    <n v="171"/>
    <s v="INV00484"/>
    <n v="171"/>
    <n v="759.67099910979505"/>
    <m/>
    <m/>
    <m/>
    <m/>
    <m/>
    <n v="759.48969999999997"/>
    <d v="2023-07-31T00:00:00"/>
    <n v="0"/>
    <n v="0"/>
    <n v="1"/>
    <n v="0"/>
    <n v="0"/>
    <n v="0"/>
    <n v="0"/>
    <x v="1"/>
    <n v="129903.74084777496"/>
    <n v="129872.7387"/>
    <n v="31.00214777495421"/>
    <n v="4"/>
    <x v="1"/>
    <x v="18"/>
  </r>
  <r>
    <s v="ORD00485"/>
    <d v="2024-06-16T00:00:00"/>
    <x v="327"/>
    <x v="87"/>
    <n v="53"/>
    <s v="INV00485"/>
    <n v="53"/>
    <n v="443.27359999999999"/>
    <m/>
    <m/>
    <m/>
    <m/>
    <m/>
    <n v="443.27359999999999"/>
    <d v="2023-02-15T00:00:00"/>
    <n v="0"/>
    <n v="0"/>
    <n v="0"/>
    <n v="0"/>
    <n v="0"/>
    <n v="0"/>
    <n v="0"/>
    <x v="0"/>
    <n v="23493.500799999998"/>
    <n v="23493.500799999998"/>
    <n v="0"/>
    <n v="0"/>
    <x v="0"/>
    <x v="16"/>
  </r>
  <r>
    <s v="ORD00486"/>
    <d v="2023-07-05T00:00:00"/>
    <x v="371"/>
    <x v="242"/>
    <n v="133"/>
    <s v="INV00486"/>
    <n v="133"/>
    <n v="1066.4928"/>
    <m/>
    <m/>
    <m/>
    <m/>
    <m/>
    <n v="1066.4928"/>
    <d v="2023-03-08T00:00:00"/>
    <n v="0"/>
    <n v="0"/>
    <n v="0"/>
    <n v="0"/>
    <n v="0"/>
    <n v="0"/>
    <n v="0"/>
    <x v="0"/>
    <n v="141843.54240000001"/>
    <n v="141843.54240000001"/>
    <n v="0"/>
    <n v="0"/>
    <x v="0"/>
    <x v="10"/>
  </r>
  <r>
    <s v="ORD00487"/>
    <d v="2023-12-19T00:00:00"/>
    <x v="372"/>
    <x v="31"/>
    <n v="116"/>
    <s v="INV00487"/>
    <n v="116"/>
    <n v="1147.3289"/>
    <m/>
    <m/>
    <m/>
    <m/>
    <m/>
    <n v="1147.3289"/>
    <d v="2023-01-19T00:00:00"/>
    <n v="0"/>
    <n v="0"/>
    <n v="0"/>
    <n v="0"/>
    <n v="0"/>
    <n v="0"/>
    <n v="0"/>
    <x v="0"/>
    <n v="133090.15239999999"/>
    <n v="133090.15239999999"/>
    <n v="0"/>
    <n v="0"/>
    <x v="0"/>
    <x v="20"/>
  </r>
  <r>
    <s v="ORD00488"/>
    <d v="2023-05-18T00:00:00"/>
    <x v="373"/>
    <x v="195"/>
    <n v="131"/>
    <s v="INV00488"/>
    <n v="131"/>
    <n v="793.03560000000004"/>
    <m/>
    <m/>
    <m/>
    <m/>
    <m/>
    <n v="793.03560000000004"/>
    <d v="2022-11-27T00:00:00"/>
    <n v="0"/>
    <n v="0"/>
    <n v="0"/>
    <n v="0"/>
    <n v="0"/>
    <n v="0"/>
    <n v="0"/>
    <x v="0"/>
    <n v="103887.6636"/>
    <n v="103887.6636"/>
    <n v="0"/>
    <n v="0"/>
    <x v="0"/>
    <x v="7"/>
  </r>
  <r>
    <s v="ORD00489"/>
    <d v="2024-04-04T00:00:00"/>
    <x v="222"/>
    <x v="50"/>
    <n v="189"/>
    <s v="INV00489"/>
    <n v="189"/>
    <n v="49.450800000000001"/>
    <m/>
    <m/>
    <m/>
    <m/>
    <m/>
    <n v="49.450800000000001"/>
    <d v="2023-08-30T00:00:00"/>
    <n v="0"/>
    <n v="0"/>
    <n v="0"/>
    <n v="0"/>
    <n v="0"/>
    <n v="0"/>
    <n v="0"/>
    <x v="0"/>
    <n v="9346.2011999999995"/>
    <n v="9346.2011999999995"/>
    <n v="0"/>
    <n v="0"/>
    <x v="0"/>
    <x v="9"/>
  </r>
  <r>
    <s v="ORD00490"/>
    <d v="2024-08-08T00:00:00"/>
    <x v="374"/>
    <x v="65"/>
    <n v="175"/>
    <s v="INV00490"/>
    <n v="175"/>
    <n v="660.96040000000005"/>
    <m/>
    <m/>
    <m/>
    <m/>
    <m/>
    <n v="660.96040000000005"/>
    <d v="2023-01-21T00:00:00"/>
    <n v="0"/>
    <n v="0"/>
    <n v="0"/>
    <n v="0"/>
    <n v="0"/>
    <n v="0"/>
    <n v="0"/>
    <x v="0"/>
    <n v="115668.07"/>
    <n v="115668.07"/>
    <n v="0"/>
    <n v="0"/>
    <x v="0"/>
    <x v="22"/>
  </r>
  <r>
    <s v="ORD00491"/>
    <d v="2023-04-23T00:00:00"/>
    <x v="375"/>
    <x v="206"/>
    <n v="140"/>
    <s v="INV00491"/>
    <n v="147"/>
    <n v="74.995199999999997"/>
    <m/>
    <m/>
    <m/>
    <m/>
    <m/>
    <n v="74.995199999999997"/>
    <d v="2022-09-12T00:00:00"/>
    <n v="0"/>
    <n v="1"/>
    <n v="0"/>
    <n v="0"/>
    <n v="0"/>
    <n v="0"/>
    <n v="0"/>
    <x v="1"/>
    <n v="11024.294399999999"/>
    <n v="10499.328"/>
    <n v="524.96639999999934"/>
    <n v="8"/>
    <x v="2"/>
    <x v="23"/>
  </r>
  <r>
    <s v="ORD00492"/>
    <d v="2023-02-03T00:00:00"/>
    <x v="376"/>
    <x v="243"/>
    <n v="20"/>
    <s v="INV00492"/>
    <n v="21"/>
    <n v="185.67840000000001"/>
    <m/>
    <m/>
    <m/>
    <m/>
    <m/>
    <n v="185.67840000000001"/>
    <d v="2022-09-04T00:00:00"/>
    <n v="0"/>
    <n v="1"/>
    <n v="0"/>
    <n v="0"/>
    <n v="0"/>
    <n v="0"/>
    <n v="0"/>
    <x v="1"/>
    <n v="3899.2464"/>
    <n v="3713.5680000000002"/>
    <n v="185.67839999999978"/>
    <n v="3"/>
    <x v="1"/>
    <x v="11"/>
  </r>
  <r>
    <s v="ORD00493"/>
    <d v="2024-10-13T00:00:00"/>
    <x v="377"/>
    <x v="156"/>
    <n v="161"/>
    <s v="INV00493"/>
    <n v="161"/>
    <n v="376.38049999999998"/>
    <m/>
    <m/>
    <m/>
    <m/>
    <m/>
    <n v="376.38049999999998"/>
    <d v="2023-02-27T00:00:00"/>
    <n v="0"/>
    <n v="0"/>
    <n v="0"/>
    <n v="0"/>
    <n v="0"/>
    <n v="0"/>
    <n v="0"/>
    <x v="0"/>
    <n v="60597.260499999997"/>
    <n v="60597.260499999997"/>
    <n v="0"/>
    <n v="0"/>
    <x v="0"/>
    <x v="5"/>
  </r>
  <r>
    <s v="ORD00494"/>
    <d v="2024-02-13T00:00:00"/>
    <x v="378"/>
    <x v="206"/>
    <n v="27"/>
    <s v="INV00494"/>
    <n v="27"/>
    <n v="82.026000000000025"/>
    <m/>
    <m/>
    <m/>
    <m/>
    <m/>
    <n v="82.026000000000025"/>
    <d v="2023-05-15T00:00:00"/>
    <n v="0"/>
    <n v="0"/>
    <n v="0"/>
    <n v="0"/>
    <n v="0"/>
    <n v="0"/>
    <n v="0"/>
    <x v="0"/>
    <n v="2214.7020000000007"/>
    <n v="2214.7020000000007"/>
    <n v="0"/>
    <n v="0"/>
    <x v="0"/>
    <x v="3"/>
  </r>
  <r>
    <s v="ORD00495"/>
    <d v="2023-05-01T00:00:00"/>
    <x v="379"/>
    <x v="222"/>
    <n v="15"/>
    <s v="INV00495"/>
    <n v="15"/>
    <n v="275.82459999999998"/>
    <m/>
    <m/>
    <m/>
    <m/>
    <m/>
    <n v="275.82459999999998"/>
    <d v="2023-03-21T00:00:00"/>
    <n v="0"/>
    <n v="0"/>
    <n v="0"/>
    <n v="0"/>
    <n v="0"/>
    <n v="0"/>
    <n v="0"/>
    <x v="0"/>
    <n v="4137.3689999999997"/>
    <n v="4137.3689999999997"/>
    <n v="0"/>
    <n v="0"/>
    <x v="0"/>
    <x v="7"/>
  </r>
  <r>
    <s v="ORD00496"/>
    <d v="2024-11-19T00:00:00"/>
    <x v="380"/>
    <x v="30"/>
    <n v="100"/>
    <s v="INV00496"/>
    <n v="100"/>
    <n v="360.68479999999994"/>
    <m/>
    <m/>
    <m/>
    <m/>
    <m/>
    <n v="360.68479999999994"/>
    <d v="2023-05-26T00:00:00"/>
    <n v="0"/>
    <n v="0"/>
    <n v="0"/>
    <n v="0"/>
    <n v="0"/>
    <n v="0"/>
    <n v="0"/>
    <x v="0"/>
    <n v="36068.479999999996"/>
    <n v="36068.479999999996"/>
    <n v="0"/>
    <n v="0"/>
    <x v="0"/>
    <x v="4"/>
  </r>
  <r>
    <s v="ORD00497"/>
    <d v="2023-02-10T00:00:00"/>
    <x v="381"/>
    <x v="125"/>
    <n v="168"/>
    <s v="INV00497"/>
    <n v="168"/>
    <n v="405.98"/>
    <m/>
    <m/>
    <m/>
    <m/>
    <m/>
    <n v="405.98"/>
    <d v="2022-07-01T00:00:00"/>
    <n v="0"/>
    <n v="0"/>
    <n v="0"/>
    <n v="0"/>
    <n v="0"/>
    <n v="0"/>
    <n v="0"/>
    <x v="0"/>
    <n v="68204.639999999999"/>
    <n v="68204.639999999999"/>
    <n v="0"/>
    <n v="0"/>
    <x v="0"/>
    <x v="11"/>
  </r>
  <r>
    <s v="ORD00498"/>
    <d v="2023-01-24T00:00:00"/>
    <x v="382"/>
    <x v="244"/>
    <n v="155"/>
    <s v="INV00498"/>
    <n v="155"/>
    <n v="1051.27"/>
    <n v="5"/>
    <d v="2024-09-04T00:00:00"/>
    <m/>
    <m/>
    <m/>
    <n v="1051.27"/>
    <d v="2022-02-01T00:00:00"/>
    <n v="0"/>
    <n v="0"/>
    <n v="0"/>
    <n v="0"/>
    <n v="0"/>
    <n v="1"/>
    <n v="0"/>
    <x v="1"/>
    <n v="162946.85"/>
    <n v="162946.85"/>
    <n v="0"/>
    <n v="2"/>
    <x v="1"/>
    <x v="8"/>
  </r>
  <r>
    <s v="ORD00499"/>
    <d v="2023-09-26T00:00:00"/>
    <x v="383"/>
    <x v="34"/>
    <n v="60"/>
    <s v="INV00499"/>
    <n v="60"/>
    <n v="397.19560000000001"/>
    <m/>
    <m/>
    <m/>
    <m/>
    <m/>
    <n v="397.19560000000001"/>
    <d v="2023-01-06T00:00:00"/>
    <n v="0"/>
    <n v="0"/>
    <n v="0"/>
    <n v="0"/>
    <n v="0"/>
    <n v="0"/>
    <n v="0"/>
    <x v="0"/>
    <n v="23831.736000000001"/>
    <n v="23831.736000000001"/>
    <n v="0"/>
    <n v="0"/>
    <x v="0"/>
    <x v="18"/>
  </r>
  <r>
    <s v="ORD00500"/>
    <d v="2023-08-05T00:00:00"/>
    <x v="384"/>
    <x v="162"/>
    <n v="56"/>
    <s v="INV00500"/>
    <n v="56"/>
    <n v="577.34399999999994"/>
    <m/>
    <m/>
    <m/>
    <m/>
    <m/>
    <n v="577.34399999999994"/>
    <d v="2022-09-03T00:00:00"/>
    <n v="0"/>
    <n v="0"/>
    <n v="0"/>
    <n v="0"/>
    <n v="0"/>
    <n v="0"/>
    <n v="0"/>
    <x v="0"/>
    <n v="32331.263999999996"/>
    <n v="32331.263999999996"/>
    <n v="0"/>
    <n v="0"/>
    <x v="0"/>
    <x v="12"/>
  </r>
  <r>
    <s v="ORD00501"/>
    <d v="2023-07-29T00:00:00"/>
    <x v="185"/>
    <x v="39"/>
    <n v="49"/>
    <s v="INV00501"/>
    <n v="49"/>
    <n v="838.77149999999995"/>
    <m/>
    <m/>
    <m/>
    <m/>
    <m/>
    <n v="838.77149999999995"/>
    <d v="2022-12-07T00:00:00"/>
    <n v="0"/>
    <n v="0"/>
    <n v="0"/>
    <n v="0"/>
    <n v="0"/>
    <n v="0"/>
    <n v="0"/>
    <x v="0"/>
    <n v="41099.803499999995"/>
    <n v="41099.803499999995"/>
    <n v="0"/>
    <n v="0"/>
    <x v="0"/>
    <x v="10"/>
  </r>
  <r>
    <s v="ORD00502"/>
    <d v="2023-03-28T00:00:00"/>
    <x v="385"/>
    <x v="109"/>
    <n v="23"/>
    <s v="INV00502"/>
    <n v="23"/>
    <n v="457.65019999999998"/>
    <m/>
    <m/>
    <m/>
    <m/>
    <m/>
    <n v="457.65019999999998"/>
    <d v="2023-01-24T00:00:00"/>
    <n v="0"/>
    <n v="0"/>
    <n v="0"/>
    <n v="0"/>
    <n v="0"/>
    <n v="0"/>
    <n v="0"/>
    <x v="0"/>
    <n v="10525.954599999999"/>
    <n v="10525.954599999999"/>
    <n v="0"/>
    <n v="0"/>
    <x v="0"/>
    <x v="17"/>
  </r>
  <r>
    <s v="ORD00503"/>
    <d v="2024-01-01T00:00:00"/>
    <x v="386"/>
    <x v="145"/>
    <n v="65"/>
    <s v="INV00503"/>
    <n v="65"/>
    <n v="185.5224"/>
    <m/>
    <m/>
    <m/>
    <m/>
    <m/>
    <n v="185.5224"/>
    <d v="2023-05-17T00:00:00"/>
    <n v="0"/>
    <n v="0"/>
    <n v="0"/>
    <n v="0"/>
    <n v="0"/>
    <n v="0"/>
    <n v="0"/>
    <x v="0"/>
    <n v="12058.956"/>
    <n v="12058.956"/>
    <n v="0"/>
    <n v="0"/>
    <x v="0"/>
    <x v="15"/>
  </r>
  <r>
    <s v="ORD00504"/>
    <d v="2024-02-07T00:00:00"/>
    <x v="251"/>
    <x v="48"/>
    <n v="142"/>
    <s v="INV00504"/>
    <n v="142"/>
    <n v="1144.1684"/>
    <m/>
    <m/>
    <m/>
    <m/>
    <m/>
    <n v="1144.1684"/>
    <d v="2023-01-29T00:00:00"/>
    <n v="0"/>
    <n v="0"/>
    <n v="0"/>
    <n v="0"/>
    <n v="0"/>
    <n v="0"/>
    <n v="0"/>
    <x v="0"/>
    <n v="162471.91279999999"/>
    <n v="162471.91279999999"/>
    <n v="0"/>
    <n v="0"/>
    <x v="0"/>
    <x v="3"/>
  </r>
  <r>
    <s v="ORD00505"/>
    <d v="2024-05-23T00:00:00"/>
    <x v="129"/>
    <x v="182"/>
    <n v="39"/>
    <s v="INV00505"/>
    <n v="39"/>
    <n v="926.52549999999997"/>
    <m/>
    <m/>
    <m/>
    <m/>
    <m/>
    <n v="926.52549999999997"/>
    <d v="2023-09-14T00:00:00"/>
    <n v="0"/>
    <n v="0"/>
    <n v="0"/>
    <n v="0"/>
    <n v="0"/>
    <n v="0"/>
    <n v="0"/>
    <x v="0"/>
    <n v="36134.494500000001"/>
    <n v="36134.494500000001"/>
    <n v="0"/>
    <n v="0"/>
    <x v="0"/>
    <x v="13"/>
  </r>
  <r>
    <s v="ORD00506"/>
    <d v="2023-07-19T00:00:00"/>
    <x v="153"/>
    <x v="245"/>
    <n v="7"/>
    <s v="INV00506"/>
    <n v="5"/>
    <n v="935.09519999999998"/>
    <m/>
    <m/>
    <m/>
    <m/>
    <m/>
    <n v="935.09519999999998"/>
    <d v="2023-03-24T00:00:00"/>
    <n v="0"/>
    <n v="1"/>
    <n v="0"/>
    <n v="0"/>
    <n v="0"/>
    <n v="0"/>
    <n v="0"/>
    <x v="1"/>
    <n v="4675.4759999999997"/>
    <n v="6545.6664000000001"/>
    <n v="-1870.1904000000004"/>
    <n v="8"/>
    <x v="2"/>
    <x v="10"/>
  </r>
  <r>
    <s v="ORD00507"/>
    <d v="2023-09-10T00:00:00"/>
    <x v="387"/>
    <x v="238"/>
    <n v="63"/>
    <s v="INV00507"/>
    <n v="63"/>
    <n v="1137.9636"/>
    <m/>
    <m/>
    <m/>
    <m/>
    <m/>
    <n v="1137.9636"/>
    <d v="2023-03-22T00:00:00"/>
    <n v="0"/>
    <n v="0"/>
    <n v="0"/>
    <n v="0"/>
    <n v="0"/>
    <n v="0"/>
    <n v="0"/>
    <x v="0"/>
    <n v="71691.7068"/>
    <n v="71691.7068"/>
    <n v="0"/>
    <n v="0"/>
    <x v="0"/>
    <x v="18"/>
  </r>
  <r>
    <s v="ORD00508"/>
    <d v="2023-06-07T00:00:00"/>
    <x v="388"/>
    <x v="24"/>
    <n v="23"/>
    <s v="INV00508"/>
    <n v="23"/>
    <n v="421.92750000000001"/>
    <m/>
    <m/>
    <m/>
    <m/>
    <m/>
    <n v="421.92750000000001"/>
    <d v="2023-02-12T00:00:00"/>
    <n v="0"/>
    <n v="0"/>
    <n v="0"/>
    <n v="0"/>
    <n v="0"/>
    <n v="0"/>
    <n v="0"/>
    <x v="0"/>
    <n v="9704.3325000000004"/>
    <n v="9704.3325000000004"/>
    <n v="0"/>
    <n v="0"/>
    <x v="0"/>
    <x v="14"/>
  </r>
  <r>
    <s v="ORD00509"/>
    <d v="2023-11-03T00:00:00"/>
    <x v="389"/>
    <x v="155"/>
    <n v="1"/>
    <s v="INV00509"/>
    <n v="1"/>
    <n v="565.82459999999992"/>
    <m/>
    <m/>
    <m/>
    <m/>
    <m/>
    <n v="565.82459999999992"/>
    <d v="2023-03-28T00:00:00"/>
    <n v="0"/>
    <n v="0"/>
    <n v="0"/>
    <n v="0"/>
    <n v="0"/>
    <n v="0"/>
    <n v="0"/>
    <x v="0"/>
    <n v="565.82459999999992"/>
    <n v="565.82459999999992"/>
    <n v="0"/>
    <n v="0"/>
    <x v="0"/>
    <x v="0"/>
  </r>
  <r>
    <s v="ORD00510"/>
    <d v="2024-12-24T00:00:00"/>
    <x v="165"/>
    <x v="150"/>
    <n v="103"/>
    <s v="INV00510"/>
    <n v="103"/>
    <n v="956.41030000000001"/>
    <m/>
    <m/>
    <m/>
    <m/>
    <m/>
    <n v="956.41030000000001"/>
    <d v="2023-08-30T00:00:00"/>
    <n v="0"/>
    <n v="0"/>
    <n v="0"/>
    <n v="0"/>
    <n v="0"/>
    <n v="0"/>
    <n v="0"/>
    <x v="0"/>
    <n v="98510.260899999994"/>
    <n v="98510.260899999994"/>
    <n v="0"/>
    <n v="0"/>
    <x v="0"/>
    <x v="1"/>
  </r>
  <r>
    <s v="ORD00511"/>
    <d v="2023-03-08T00:00:00"/>
    <x v="390"/>
    <x v="20"/>
    <n v="83"/>
    <s v="INV00511"/>
    <n v="83"/>
    <n v="1046.6099999999999"/>
    <m/>
    <m/>
    <m/>
    <m/>
    <m/>
    <n v="1046.6099999999999"/>
    <d v="2023-01-14T00:00:00"/>
    <n v="0"/>
    <n v="0"/>
    <n v="0"/>
    <n v="0"/>
    <n v="0"/>
    <n v="0"/>
    <n v="0"/>
    <x v="0"/>
    <n v="86868.62999999999"/>
    <n v="86868.62999999999"/>
    <n v="0"/>
    <n v="0"/>
    <x v="0"/>
    <x v="17"/>
  </r>
  <r>
    <s v="ORD00512"/>
    <d v="2023-11-30T00:00:00"/>
    <x v="236"/>
    <x v="26"/>
    <n v="25"/>
    <s v="INV00512"/>
    <n v="25"/>
    <n v="129.17519999999999"/>
    <m/>
    <m/>
    <m/>
    <m/>
    <m/>
    <n v="129.17519999999999"/>
    <d v="2023-09-15T00:00:00"/>
    <n v="0"/>
    <n v="0"/>
    <n v="0"/>
    <n v="0"/>
    <n v="0"/>
    <n v="0"/>
    <n v="0"/>
    <x v="0"/>
    <n v="3229.3799999999997"/>
    <n v="3229.3799999999997"/>
    <n v="0"/>
    <n v="0"/>
    <x v="0"/>
    <x v="0"/>
  </r>
  <r>
    <s v="ORD00513"/>
    <d v="2024-01-18T00:00:00"/>
    <x v="310"/>
    <x v="246"/>
    <n v="127"/>
    <s v="INV00513"/>
    <n v="127"/>
    <n v="491.10239999999999"/>
    <n v="18"/>
    <d v="2023-03-30T00:00:00"/>
    <m/>
    <m/>
    <m/>
    <n v="491.10239999999999"/>
    <d v="2023-09-18T00:00:00"/>
    <n v="0"/>
    <n v="0"/>
    <n v="0"/>
    <n v="0"/>
    <n v="0"/>
    <n v="0"/>
    <n v="0"/>
    <x v="0"/>
    <n v="62370.004799999995"/>
    <n v="62370.004799999995"/>
    <n v="0"/>
    <n v="0"/>
    <x v="0"/>
    <x v="15"/>
  </r>
  <r>
    <s v="ORD00514"/>
    <d v="2024-05-17T00:00:00"/>
    <x v="182"/>
    <x v="93"/>
    <n v="90"/>
    <s v="INV00514"/>
    <n v="90"/>
    <n v="432.839"/>
    <m/>
    <m/>
    <m/>
    <m/>
    <m/>
    <n v="432.839"/>
    <d v="2023-05-02T00:00:00"/>
    <n v="0"/>
    <n v="0"/>
    <n v="0"/>
    <n v="0"/>
    <n v="0"/>
    <n v="0"/>
    <n v="0"/>
    <x v="0"/>
    <n v="38955.51"/>
    <n v="38955.51"/>
    <n v="0"/>
    <n v="0"/>
    <x v="0"/>
    <x v="13"/>
  </r>
  <r>
    <s v="ORD00515"/>
    <d v="2024-11-16T00:00:00"/>
    <x v="351"/>
    <x v="116"/>
    <n v="91"/>
    <s v="INV00515"/>
    <n v="91"/>
    <n v="279.42789999999997"/>
    <m/>
    <m/>
    <m/>
    <m/>
    <m/>
    <n v="279.42789999999997"/>
    <d v="2023-06-26T00:00:00"/>
    <n v="0"/>
    <n v="0"/>
    <n v="0"/>
    <n v="0"/>
    <n v="0"/>
    <n v="0"/>
    <n v="0"/>
    <x v="0"/>
    <n v="25427.938899999997"/>
    <n v="25427.938899999997"/>
    <n v="0"/>
    <n v="0"/>
    <x v="0"/>
    <x v="4"/>
  </r>
  <r>
    <s v="ORD00516"/>
    <d v="2023-04-19T00:00:00"/>
    <x v="391"/>
    <x v="247"/>
    <n v="196"/>
    <s v="INV00516"/>
    <n v="196"/>
    <n v="618.54840000000002"/>
    <m/>
    <m/>
    <m/>
    <m/>
    <m/>
    <n v="618.54840000000002"/>
    <d v="2022-12-21T00:00:00"/>
    <n v="0"/>
    <n v="0"/>
    <n v="0"/>
    <n v="0"/>
    <n v="0"/>
    <n v="0"/>
    <n v="0"/>
    <x v="0"/>
    <n v="121235.48640000001"/>
    <n v="121235.48640000001"/>
    <n v="0"/>
    <n v="0"/>
    <x v="0"/>
    <x v="23"/>
  </r>
  <r>
    <s v="ORD00517"/>
    <d v="2023-10-23T00:00:00"/>
    <x v="392"/>
    <x v="74"/>
    <n v="25"/>
    <s v="INV00517"/>
    <n v="25"/>
    <n v="1184.9544000000001"/>
    <m/>
    <m/>
    <m/>
    <m/>
    <m/>
    <n v="1184.9544000000001"/>
    <d v="2023-09-02T00:00:00"/>
    <n v="0"/>
    <n v="0"/>
    <n v="0"/>
    <n v="0"/>
    <n v="0"/>
    <n v="0"/>
    <n v="0"/>
    <x v="0"/>
    <n v="29623.86"/>
    <n v="29623.86"/>
    <n v="0"/>
    <n v="0"/>
    <x v="0"/>
    <x v="19"/>
  </r>
  <r>
    <s v="ORD00518"/>
    <d v="2023-07-30T00:00:00"/>
    <x v="393"/>
    <x v="61"/>
    <n v="183"/>
    <s v="INV00518"/>
    <n v="183"/>
    <n v="782.04880000000003"/>
    <m/>
    <m/>
    <m/>
    <m/>
    <m/>
    <n v="782.04880000000003"/>
    <d v="2023-03-11T00:00:00"/>
    <n v="0"/>
    <n v="0"/>
    <n v="0"/>
    <n v="0"/>
    <n v="0"/>
    <n v="0"/>
    <n v="0"/>
    <x v="0"/>
    <n v="143114.93040000001"/>
    <n v="143114.93040000001"/>
    <n v="0"/>
    <n v="0"/>
    <x v="0"/>
    <x v="10"/>
  </r>
  <r>
    <s v="ORD00519"/>
    <d v="2024-06-01T00:00:00"/>
    <x v="394"/>
    <x v="248"/>
    <n v="138"/>
    <s v="INV00519"/>
    <n v="138"/>
    <n v="226.88399999999999"/>
    <m/>
    <m/>
    <m/>
    <m/>
    <m/>
    <n v="226.88399999999999"/>
    <d v="2023-06-09T00:00:00"/>
    <n v="0"/>
    <n v="0"/>
    <n v="0"/>
    <n v="0"/>
    <n v="0"/>
    <n v="0"/>
    <n v="0"/>
    <x v="0"/>
    <n v="31309.991999999998"/>
    <n v="31309.991999999998"/>
    <n v="0"/>
    <n v="0"/>
    <x v="0"/>
    <x v="16"/>
  </r>
  <r>
    <s v="ORD00520"/>
    <d v="2023-07-22T00:00:00"/>
    <x v="395"/>
    <x v="74"/>
    <n v="166"/>
    <s v="INV00520"/>
    <n v="166"/>
    <n v="1138.4856"/>
    <m/>
    <m/>
    <m/>
    <m/>
    <m/>
    <n v="1138.4856"/>
    <d v="2022-10-31T00:00:00"/>
    <n v="0"/>
    <n v="0"/>
    <n v="0"/>
    <n v="0"/>
    <n v="0"/>
    <n v="0"/>
    <n v="0"/>
    <x v="0"/>
    <n v="188988.6096"/>
    <n v="188988.6096"/>
    <n v="0"/>
    <n v="0"/>
    <x v="0"/>
    <x v="10"/>
  </r>
  <r>
    <s v="ORD00521"/>
    <d v="2023-02-12T00:00:00"/>
    <x v="396"/>
    <x v="180"/>
    <n v="91"/>
    <s v="INV00521"/>
    <n v="91"/>
    <n v="986.71040000000005"/>
    <m/>
    <m/>
    <m/>
    <m/>
    <m/>
    <n v="986.71040000000005"/>
    <d v="2022-11-27T00:00:00"/>
    <n v="0"/>
    <n v="0"/>
    <n v="0"/>
    <n v="0"/>
    <n v="0"/>
    <n v="0"/>
    <n v="0"/>
    <x v="0"/>
    <n v="89790.646399999998"/>
    <n v="89790.646399999998"/>
    <n v="0"/>
    <n v="0"/>
    <x v="0"/>
    <x v="11"/>
  </r>
  <r>
    <s v="ORD00522"/>
    <d v="2024-09-12T00:00:00"/>
    <x v="351"/>
    <x v="94"/>
    <n v="16"/>
    <s v="INV00522"/>
    <n v="16"/>
    <n v="765.52319999999997"/>
    <m/>
    <m/>
    <m/>
    <m/>
    <m/>
    <n v="765.52319999999997"/>
    <d v="2023-09-05T00:00:00"/>
    <n v="0"/>
    <n v="0"/>
    <n v="0"/>
    <n v="0"/>
    <n v="0"/>
    <n v="0"/>
    <n v="0"/>
    <x v="0"/>
    <n v="12248.3712"/>
    <n v="12248.3712"/>
    <n v="0"/>
    <n v="0"/>
    <x v="0"/>
    <x v="2"/>
  </r>
  <r>
    <s v="ORD00523"/>
    <d v="2023-03-26T00:00:00"/>
    <x v="48"/>
    <x v="35"/>
    <n v="166"/>
    <s v="INV00523"/>
    <n v="166"/>
    <n v="1131.7511999999999"/>
    <m/>
    <m/>
    <m/>
    <m/>
    <m/>
    <n v="1131.7511999999999"/>
    <d v="2022-09-02T00:00:00"/>
    <n v="0"/>
    <n v="0"/>
    <n v="0"/>
    <n v="0"/>
    <n v="0"/>
    <n v="0"/>
    <n v="0"/>
    <x v="0"/>
    <n v="187870.69919999997"/>
    <n v="187870.69919999997"/>
    <n v="0"/>
    <n v="0"/>
    <x v="0"/>
    <x v="17"/>
  </r>
  <r>
    <s v="ORD00524"/>
    <d v="2023-05-26T00:00:00"/>
    <x v="397"/>
    <x v="95"/>
    <n v="109"/>
    <s v="INV00524"/>
    <n v="109"/>
    <n v="1072.1079000000002"/>
    <m/>
    <m/>
    <m/>
    <m/>
    <m/>
    <n v="1072.1079000000002"/>
    <d v="2023-04-19T00:00:00"/>
    <n v="0"/>
    <n v="0"/>
    <n v="0"/>
    <n v="0"/>
    <n v="0"/>
    <n v="0"/>
    <n v="0"/>
    <x v="0"/>
    <n v="116859.76110000002"/>
    <n v="116859.76110000002"/>
    <n v="0"/>
    <n v="0"/>
    <x v="0"/>
    <x v="7"/>
  </r>
  <r>
    <s v="ORD00525"/>
    <d v="2024-02-27T00:00:00"/>
    <x v="398"/>
    <x v="28"/>
    <n v="168"/>
    <s v="INV00525"/>
    <n v="168"/>
    <n v="957.65700000000015"/>
    <m/>
    <m/>
    <m/>
    <m/>
    <m/>
    <n v="957.65700000000015"/>
    <d v="2023-05-11T00:00:00"/>
    <n v="0"/>
    <n v="0"/>
    <n v="0"/>
    <n v="0"/>
    <n v="0"/>
    <n v="0"/>
    <n v="0"/>
    <x v="0"/>
    <n v="160886.37600000002"/>
    <n v="160886.37600000002"/>
    <n v="0"/>
    <n v="0"/>
    <x v="0"/>
    <x v="3"/>
  </r>
  <r>
    <s v="ORD00526"/>
    <d v="2024-06-12T00:00:00"/>
    <x v="399"/>
    <x v="161"/>
    <n v="166"/>
    <s v="INV00526"/>
    <n v="166"/>
    <n v="1006.8318"/>
    <m/>
    <m/>
    <m/>
    <m/>
    <m/>
    <n v="1006.8318"/>
    <d v="2023-10-05T00:00:00"/>
    <n v="0"/>
    <n v="0"/>
    <n v="0"/>
    <n v="0"/>
    <n v="0"/>
    <n v="0"/>
    <n v="0"/>
    <x v="0"/>
    <n v="167134.07880000002"/>
    <n v="167134.07880000002"/>
    <n v="0"/>
    <n v="0"/>
    <x v="0"/>
    <x v="16"/>
  </r>
  <r>
    <s v="ORD00527"/>
    <d v="2023-12-27T00:00:00"/>
    <x v="84"/>
    <x v="169"/>
    <n v="109"/>
    <s v="INV00527"/>
    <n v="109"/>
    <n v="1153.4984999999999"/>
    <m/>
    <m/>
    <m/>
    <m/>
    <m/>
    <n v="1153.4984999999999"/>
    <d v="2023-02-05T00:00:00"/>
    <n v="0"/>
    <n v="0"/>
    <n v="0"/>
    <n v="0"/>
    <n v="0"/>
    <n v="0"/>
    <n v="0"/>
    <x v="0"/>
    <n v="125731.33649999999"/>
    <n v="125731.33649999999"/>
    <n v="0"/>
    <n v="0"/>
    <x v="0"/>
    <x v="20"/>
  </r>
  <r>
    <s v="ORD00528"/>
    <d v="2024-04-13T00:00:00"/>
    <x v="220"/>
    <x v="32"/>
    <n v="22"/>
    <s v="INV00528"/>
    <n v="22"/>
    <n v="973.43799999999999"/>
    <m/>
    <m/>
    <m/>
    <m/>
    <m/>
    <n v="973.43799999999999"/>
    <d v="2023-03-26T00:00:00"/>
    <n v="0"/>
    <n v="0"/>
    <n v="0"/>
    <n v="0"/>
    <n v="0"/>
    <n v="0"/>
    <n v="0"/>
    <x v="0"/>
    <n v="21415.635999999999"/>
    <n v="21415.635999999999"/>
    <n v="0"/>
    <n v="0"/>
    <x v="0"/>
    <x v="9"/>
  </r>
  <r>
    <s v="ORD00529"/>
    <d v="2023-06-09T00:00:00"/>
    <x v="400"/>
    <x v="50"/>
    <n v="26"/>
    <s v="INV00529"/>
    <n v="26"/>
    <n v="48.324927237264276"/>
    <m/>
    <m/>
    <m/>
    <m/>
    <m/>
    <n v="47.936999999999998"/>
    <d v="2023-01-08T00:00:00"/>
    <n v="0"/>
    <n v="0"/>
    <n v="1"/>
    <n v="0"/>
    <n v="0"/>
    <n v="0"/>
    <n v="0"/>
    <x v="1"/>
    <n v="1256.4481081688712"/>
    <n v="1246.3619999999999"/>
    <n v="10.086108168871306"/>
    <n v="4"/>
    <x v="1"/>
    <x v="14"/>
  </r>
  <r>
    <s v="ORD00530"/>
    <d v="2024-08-15T00:00:00"/>
    <x v="401"/>
    <x v="186"/>
    <n v="52"/>
    <s v="INV00530"/>
    <n v="52"/>
    <n v="589.66600000000005"/>
    <m/>
    <m/>
    <m/>
    <m/>
    <m/>
    <n v="589.66600000000005"/>
    <d v="2023-10-19T00:00:00"/>
    <n v="0"/>
    <n v="0"/>
    <n v="0"/>
    <n v="0"/>
    <n v="0"/>
    <n v="0"/>
    <n v="0"/>
    <x v="0"/>
    <n v="30662.632000000001"/>
    <n v="30662.632000000001"/>
    <n v="0"/>
    <n v="0"/>
    <x v="0"/>
    <x v="22"/>
  </r>
  <r>
    <s v="ORD00531"/>
    <d v="2024-08-08T00:00:00"/>
    <x v="402"/>
    <x v="249"/>
    <n v="95"/>
    <s v="INV00531"/>
    <n v="95"/>
    <n v="901.84500000000003"/>
    <m/>
    <m/>
    <m/>
    <m/>
    <m/>
    <n v="901.84500000000003"/>
    <d v="2023-10-17T00:00:00"/>
    <n v="0"/>
    <n v="0"/>
    <n v="0"/>
    <n v="0"/>
    <n v="0"/>
    <n v="0"/>
    <n v="0"/>
    <x v="0"/>
    <n v="85675.275000000009"/>
    <n v="85675.275000000009"/>
    <n v="0"/>
    <n v="0"/>
    <x v="0"/>
    <x v="22"/>
  </r>
  <r>
    <s v="ORD00532"/>
    <d v="2024-12-14T00:00:00"/>
    <x v="289"/>
    <x v="250"/>
    <n v="193"/>
    <s v="INV00532"/>
    <n v="193"/>
    <n v="92.962000000000003"/>
    <m/>
    <m/>
    <m/>
    <m/>
    <m/>
    <n v="92.962000000000003"/>
    <d v="2023-08-13T00:00:00"/>
    <n v="0"/>
    <n v="0"/>
    <n v="0"/>
    <n v="0"/>
    <n v="0"/>
    <n v="0"/>
    <n v="0"/>
    <x v="0"/>
    <n v="17941.666000000001"/>
    <n v="17941.666000000001"/>
    <n v="0"/>
    <n v="0"/>
    <x v="0"/>
    <x v="1"/>
  </r>
  <r>
    <s v="ORD00533"/>
    <d v="2024-06-06T00:00:00"/>
    <x v="403"/>
    <x v="21"/>
    <n v="83"/>
    <s v="INV00533"/>
    <n v="83"/>
    <n v="561.4076"/>
    <m/>
    <m/>
    <m/>
    <m/>
    <m/>
    <n v="561.4076"/>
    <d v="2023-03-21T00:00:00"/>
    <n v="0"/>
    <n v="0"/>
    <n v="0"/>
    <n v="0"/>
    <n v="0"/>
    <n v="0"/>
    <n v="0"/>
    <x v="0"/>
    <n v="46596.830800000003"/>
    <n v="46596.830800000003"/>
    <n v="0"/>
    <n v="0"/>
    <x v="0"/>
    <x v="16"/>
  </r>
  <r>
    <s v="ORD00534"/>
    <d v="2024-10-17T00:00:00"/>
    <x v="385"/>
    <x v="216"/>
    <n v="47"/>
    <s v="INV00534"/>
    <n v="47"/>
    <n v="828.36189999999999"/>
    <m/>
    <m/>
    <m/>
    <m/>
    <m/>
    <n v="828.36189999999999"/>
    <d v="2023-07-30T00:00:00"/>
    <n v="0"/>
    <n v="0"/>
    <n v="0"/>
    <n v="0"/>
    <n v="0"/>
    <n v="0"/>
    <n v="0"/>
    <x v="0"/>
    <n v="38933.009299999998"/>
    <n v="38933.009299999998"/>
    <n v="0"/>
    <n v="0"/>
    <x v="0"/>
    <x v="5"/>
  </r>
  <r>
    <s v="ORD00535"/>
    <d v="2024-09-12T00:00:00"/>
    <x v="404"/>
    <x v="108"/>
    <n v="20"/>
    <s v="INV00535"/>
    <n v="20"/>
    <n v="1072.5387000000001"/>
    <m/>
    <m/>
    <m/>
    <m/>
    <m/>
    <n v="1072.5387000000001"/>
    <d v="2023-04-07T00:00:00"/>
    <n v="0"/>
    <n v="0"/>
    <n v="0"/>
    <n v="0"/>
    <n v="0"/>
    <n v="0"/>
    <n v="0"/>
    <x v="0"/>
    <n v="21450.774000000001"/>
    <n v="21450.774000000001"/>
    <n v="0"/>
    <n v="0"/>
    <x v="0"/>
    <x v="2"/>
  </r>
  <r>
    <s v="ORD00536"/>
    <d v="2023-08-18T00:00:00"/>
    <x v="48"/>
    <x v="205"/>
    <n v="140"/>
    <s v="INV00536"/>
    <n v="140"/>
    <n v="82.749600000000015"/>
    <m/>
    <m/>
    <m/>
    <m/>
    <m/>
    <n v="82.749600000000015"/>
    <d v="2023-05-22T00:00:00"/>
    <n v="0"/>
    <n v="0"/>
    <n v="0"/>
    <n v="0"/>
    <n v="0"/>
    <n v="0"/>
    <n v="0"/>
    <x v="0"/>
    <n v="11584.944000000001"/>
    <n v="11584.944000000001"/>
    <n v="0"/>
    <n v="0"/>
    <x v="0"/>
    <x v="12"/>
  </r>
  <r>
    <s v="ORD00537"/>
    <d v="2024-09-06T00:00:00"/>
    <x v="405"/>
    <x v="205"/>
    <n v="185"/>
    <s v="INV00537"/>
    <n v="185"/>
    <n v="82.749600000000015"/>
    <m/>
    <m/>
    <m/>
    <m/>
    <m/>
    <n v="82.749600000000015"/>
    <d v="2023-05-22T00:00:00"/>
    <n v="0"/>
    <n v="0"/>
    <n v="0"/>
    <n v="0"/>
    <n v="0"/>
    <n v="0"/>
    <n v="0"/>
    <x v="0"/>
    <n v="15308.676000000003"/>
    <n v="15308.676000000003"/>
    <n v="0"/>
    <n v="0"/>
    <x v="0"/>
    <x v="2"/>
  </r>
  <r>
    <s v="ORD00538"/>
    <d v="2023-10-15T00:00:00"/>
    <x v="346"/>
    <x v="135"/>
    <n v="11"/>
    <s v="INV00538"/>
    <n v="11"/>
    <n v="1231.8180000000002"/>
    <m/>
    <m/>
    <m/>
    <m/>
    <m/>
    <n v="1231.8180000000002"/>
    <d v="2023-05-02T00:00:00"/>
    <n v="0"/>
    <n v="0"/>
    <n v="0"/>
    <n v="0"/>
    <n v="0"/>
    <n v="0"/>
    <n v="0"/>
    <x v="0"/>
    <n v="13549.998000000003"/>
    <n v="13549.998000000003"/>
    <n v="0"/>
    <n v="0"/>
    <x v="0"/>
    <x v="19"/>
  </r>
  <r>
    <s v="ORD00539"/>
    <d v="2024-05-08T00:00:00"/>
    <x v="406"/>
    <x v="141"/>
    <n v="38"/>
    <s v="INV00539"/>
    <n v="38"/>
    <n v="785.89"/>
    <m/>
    <m/>
    <m/>
    <m/>
    <m/>
    <n v="785.89"/>
    <d v="2023-03-04T00:00:00"/>
    <n v="0"/>
    <n v="0"/>
    <n v="0"/>
    <n v="0"/>
    <n v="0"/>
    <n v="0"/>
    <n v="0"/>
    <x v="0"/>
    <n v="29863.82"/>
    <n v="29863.82"/>
    <n v="0"/>
    <n v="0"/>
    <x v="0"/>
    <x v="13"/>
  </r>
  <r>
    <s v="ORD00540"/>
    <d v="2024-01-23T00:00:00"/>
    <x v="334"/>
    <x v="251"/>
    <n v="25"/>
    <s v="INV00540"/>
    <n v="33"/>
    <n v="75.504800000000003"/>
    <m/>
    <m/>
    <m/>
    <m/>
    <m/>
    <n v="75.504800000000003"/>
    <d v="2023-06-03T00:00:00"/>
    <n v="0"/>
    <n v="1"/>
    <n v="0"/>
    <n v="0"/>
    <n v="0"/>
    <n v="0"/>
    <n v="0"/>
    <x v="1"/>
    <n v="2491.6584000000003"/>
    <n v="1887.6200000000001"/>
    <n v="604.03840000000014"/>
    <n v="8"/>
    <x v="2"/>
    <x v="15"/>
  </r>
  <r>
    <s v="ORD00541"/>
    <d v="2024-11-15T00:00:00"/>
    <x v="407"/>
    <x v="85"/>
    <n v="18"/>
    <s v="INV00541"/>
    <n v="18"/>
    <n v="1086.3648000000001"/>
    <m/>
    <m/>
    <m/>
    <m/>
    <m/>
    <n v="1086.3648000000001"/>
    <d v="2023-01-14T00:00:00"/>
    <n v="0"/>
    <n v="0"/>
    <n v="0"/>
    <n v="0"/>
    <n v="0"/>
    <n v="0"/>
    <n v="0"/>
    <x v="0"/>
    <n v="19554.5664"/>
    <n v="19554.5664"/>
    <n v="0"/>
    <n v="0"/>
    <x v="0"/>
    <x v="4"/>
  </r>
  <r>
    <s v="ORD00542"/>
    <d v="2023-06-30T00:00:00"/>
    <x v="408"/>
    <x v="37"/>
    <n v="156"/>
    <s v="INV00542"/>
    <n v="156"/>
    <n v="690.84160000000008"/>
    <m/>
    <m/>
    <m/>
    <m/>
    <m/>
    <n v="690.84160000000008"/>
    <d v="2023-05-05T00:00:00"/>
    <n v="0"/>
    <n v="0"/>
    <n v="0"/>
    <n v="0"/>
    <n v="0"/>
    <n v="0"/>
    <n v="0"/>
    <x v="0"/>
    <n v="107771.28960000002"/>
    <n v="107771.28960000002"/>
    <n v="0"/>
    <n v="0"/>
    <x v="0"/>
    <x v="14"/>
  </r>
  <r>
    <s v="ORD00543"/>
    <d v="2024-07-01T00:00:00"/>
    <x v="304"/>
    <x v="252"/>
    <n v="68"/>
    <s v="INV00543"/>
    <n v="68"/>
    <n v="681.36959999999999"/>
    <m/>
    <m/>
    <m/>
    <m/>
    <m/>
    <n v="681.36959999999999"/>
    <d v="2023-06-18T00:00:00"/>
    <n v="0"/>
    <n v="0"/>
    <n v="0"/>
    <n v="0"/>
    <n v="0"/>
    <n v="0"/>
    <n v="0"/>
    <x v="0"/>
    <n v="46333.132799999999"/>
    <n v="46333.132799999999"/>
    <n v="0"/>
    <n v="0"/>
    <x v="0"/>
    <x v="21"/>
  </r>
  <r>
    <s v="ORD00544"/>
    <d v="2023-06-09T00:00:00"/>
    <x v="81"/>
    <x v="238"/>
    <n v="38"/>
    <s v="INV00544"/>
    <n v="38"/>
    <n v="1137.9636"/>
    <m/>
    <m/>
    <m/>
    <m/>
    <m/>
    <n v="1137.9636"/>
    <d v="2023-03-22T00:00:00"/>
    <n v="0"/>
    <n v="0"/>
    <n v="0"/>
    <n v="0"/>
    <n v="0"/>
    <n v="0"/>
    <n v="0"/>
    <x v="0"/>
    <n v="43242.616800000003"/>
    <n v="43242.616800000003"/>
    <n v="0"/>
    <n v="0"/>
    <x v="0"/>
    <x v="14"/>
  </r>
  <r>
    <s v="ORD00545"/>
    <d v="2024-12-20T00:00:00"/>
    <x v="409"/>
    <x v="123"/>
    <n v="53"/>
    <s v="INV00545"/>
    <n v="53"/>
    <n v="618.375"/>
    <m/>
    <m/>
    <m/>
    <m/>
    <m/>
    <n v="618.375"/>
    <d v="2023-07-17T00:00:00"/>
    <n v="0"/>
    <n v="0"/>
    <n v="0"/>
    <n v="0"/>
    <n v="0"/>
    <n v="0"/>
    <n v="0"/>
    <x v="0"/>
    <n v="32773.875"/>
    <n v="32773.875"/>
    <n v="0"/>
    <n v="0"/>
    <x v="0"/>
    <x v="1"/>
  </r>
  <r>
    <s v="ORD00546"/>
    <d v="2024-06-19T00:00:00"/>
    <x v="85"/>
    <x v="253"/>
    <n v="37"/>
    <s v="INV00546"/>
    <n v="37"/>
    <n v="1092.5376000000001"/>
    <m/>
    <m/>
    <m/>
    <m/>
    <m/>
    <n v="1092.5376000000001"/>
    <d v="2023-03-11T00:00:00"/>
    <n v="0"/>
    <n v="0"/>
    <n v="0"/>
    <n v="0"/>
    <n v="0"/>
    <n v="0"/>
    <n v="0"/>
    <x v="0"/>
    <n v="40423.891200000005"/>
    <n v="40423.891200000005"/>
    <n v="0"/>
    <n v="0"/>
    <x v="0"/>
    <x v="16"/>
  </r>
  <r>
    <s v="ORD00547"/>
    <d v="2023-11-08T00:00:00"/>
    <x v="410"/>
    <x v="238"/>
    <n v="33"/>
    <s v="INV00547"/>
    <n v="33"/>
    <n v="1137.9636"/>
    <m/>
    <m/>
    <m/>
    <m/>
    <m/>
    <n v="1137.9636"/>
    <d v="2023-03-22T00:00:00"/>
    <n v="0"/>
    <n v="0"/>
    <n v="0"/>
    <n v="0"/>
    <n v="0"/>
    <n v="0"/>
    <n v="0"/>
    <x v="0"/>
    <n v="37552.798800000004"/>
    <n v="37552.798800000004"/>
    <n v="0"/>
    <n v="0"/>
    <x v="0"/>
    <x v="0"/>
  </r>
  <r>
    <s v="ORD00548"/>
    <d v="2024-06-29T00:00:00"/>
    <x v="3"/>
    <x v="205"/>
    <n v="200"/>
    <s v="INV00548"/>
    <n v="210"/>
    <n v="82.749600000000015"/>
    <m/>
    <m/>
    <m/>
    <m/>
    <m/>
    <n v="82.749600000000015"/>
    <d v="2023-05-22T00:00:00"/>
    <n v="0"/>
    <n v="1"/>
    <n v="0"/>
    <n v="0"/>
    <n v="0"/>
    <n v="0"/>
    <n v="0"/>
    <x v="1"/>
    <n v="17377.416000000005"/>
    <n v="16549.920000000002"/>
    <n v="827.49600000000282"/>
    <n v="8"/>
    <x v="2"/>
    <x v="16"/>
  </r>
  <r>
    <s v="ORD00549"/>
    <d v="2024-10-27T00:00:00"/>
    <x v="360"/>
    <x v="46"/>
    <n v="90"/>
    <s v="INV00549"/>
    <n v="90"/>
    <n v="509.36320000000001"/>
    <m/>
    <m/>
    <m/>
    <m/>
    <m/>
    <n v="509.36320000000001"/>
    <d v="2023-09-02T00:00:00"/>
    <n v="0"/>
    <n v="0"/>
    <n v="0"/>
    <n v="0"/>
    <n v="0"/>
    <n v="0"/>
    <n v="0"/>
    <x v="0"/>
    <n v="45842.688000000002"/>
    <n v="45842.688000000002"/>
    <n v="0"/>
    <n v="0"/>
    <x v="0"/>
    <x v="5"/>
  </r>
  <r>
    <s v="ORD00550"/>
    <d v="2024-11-18T00:00:00"/>
    <x v="411"/>
    <x v="8"/>
    <n v="129"/>
    <s v="INV00550"/>
    <n v="129"/>
    <n v="376.82319999999999"/>
    <m/>
    <m/>
    <m/>
    <m/>
    <m/>
    <n v="376.82319999999999"/>
    <d v="2023-09-02T00:00:00"/>
    <n v="0"/>
    <n v="0"/>
    <n v="0"/>
    <n v="0"/>
    <n v="0"/>
    <n v="0"/>
    <n v="0"/>
    <x v="0"/>
    <n v="48610.192799999997"/>
    <n v="48610.192799999997"/>
    <n v="0"/>
    <n v="0"/>
    <x v="0"/>
    <x v="4"/>
  </r>
  <r>
    <s v="ORD00551"/>
    <d v="2024-07-08T00:00:00"/>
    <x v="214"/>
    <x v="43"/>
    <n v="135"/>
    <s v="INV00551"/>
    <n v="135"/>
    <n v="1190.6054999999999"/>
    <m/>
    <m/>
    <m/>
    <m/>
    <m/>
    <n v="1190.6054999999999"/>
    <d v="2023-02-27T00:00:00"/>
    <n v="0"/>
    <n v="0"/>
    <n v="0"/>
    <n v="0"/>
    <n v="0"/>
    <n v="0"/>
    <n v="0"/>
    <x v="0"/>
    <n v="160731.74249999999"/>
    <n v="160731.74249999999"/>
    <n v="0"/>
    <n v="0"/>
    <x v="0"/>
    <x v="21"/>
  </r>
  <r>
    <s v="ORD00552"/>
    <d v="2024-12-09T00:00:00"/>
    <x v="7"/>
    <x v="214"/>
    <n v="16"/>
    <s v="INV00552"/>
    <n v="16"/>
    <n v="77.178600000000003"/>
    <m/>
    <m/>
    <m/>
    <m/>
    <m/>
    <n v="77.178600000000003"/>
    <d v="2023-02-18T00:00:00"/>
    <n v="0"/>
    <n v="0"/>
    <n v="0"/>
    <n v="0"/>
    <n v="0"/>
    <n v="0"/>
    <n v="0"/>
    <x v="0"/>
    <n v="1234.8576"/>
    <n v="1234.8576"/>
    <n v="0"/>
    <n v="0"/>
    <x v="0"/>
    <x v="1"/>
  </r>
  <r>
    <s v="ORD00553"/>
    <d v="2024-04-08T00:00:00"/>
    <x v="118"/>
    <x v="125"/>
    <n v="65"/>
    <s v="INV00553"/>
    <n v="65"/>
    <n v="405.98"/>
    <m/>
    <m/>
    <m/>
    <m/>
    <m/>
    <n v="405.98"/>
    <d v="2023-08-14T00:00:00"/>
    <n v="0"/>
    <n v="0"/>
    <n v="0"/>
    <n v="0"/>
    <n v="0"/>
    <n v="0"/>
    <n v="0"/>
    <x v="0"/>
    <n v="26388.7"/>
    <n v="26388.7"/>
    <n v="0"/>
    <n v="0"/>
    <x v="0"/>
    <x v="9"/>
  </r>
  <r>
    <s v="ORD00554"/>
    <d v="2024-07-15T00:00:00"/>
    <x v="412"/>
    <x v="93"/>
    <n v="59"/>
    <s v="INV00554"/>
    <n v="59"/>
    <n v="432.839"/>
    <m/>
    <m/>
    <m/>
    <m/>
    <m/>
    <n v="432.839"/>
    <d v="2023-05-02T00:00:00"/>
    <n v="0"/>
    <n v="0"/>
    <n v="0"/>
    <n v="0"/>
    <n v="0"/>
    <n v="0"/>
    <n v="0"/>
    <x v="0"/>
    <n v="25537.501"/>
    <n v="25537.501"/>
    <n v="0"/>
    <n v="0"/>
    <x v="0"/>
    <x v="21"/>
  </r>
  <r>
    <s v="ORD00555"/>
    <d v="2023-06-17T00:00:00"/>
    <x v="413"/>
    <x v="62"/>
    <n v="19"/>
    <s v="INV00555"/>
    <n v="19"/>
    <n v="1080.0740000000001"/>
    <m/>
    <m/>
    <m/>
    <m/>
    <m/>
    <n v="1080.0740000000001"/>
    <d v="2023-05-12T00:00:00"/>
    <n v="0"/>
    <n v="0"/>
    <n v="0"/>
    <n v="0"/>
    <n v="0"/>
    <n v="0"/>
    <n v="0"/>
    <x v="0"/>
    <n v="20521.406000000003"/>
    <n v="20521.406000000003"/>
    <n v="0"/>
    <n v="0"/>
    <x v="0"/>
    <x v="14"/>
  </r>
  <r>
    <s v="ORD00556"/>
    <d v="2024-10-18T00:00:00"/>
    <x v="414"/>
    <x v="60"/>
    <n v="29"/>
    <s v="INV00556"/>
    <n v="29"/>
    <n v="1087.8191999999999"/>
    <m/>
    <m/>
    <m/>
    <m/>
    <m/>
    <n v="1087.8191999999999"/>
    <d v="2023-08-22T00:00:00"/>
    <n v="0"/>
    <n v="0"/>
    <n v="0"/>
    <n v="0"/>
    <n v="0"/>
    <n v="0"/>
    <n v="0"/>
    <x v="0"/>
    <n v="31546.756799999996"/>
    <n v="31546.756799999996"/>
    <n v="0"/>
    <n v="0"/>
    <x v="0"/>
    <x v="5"/>
  </r>
  <r>
    <s v="ORD00557"/>
    <d v="2023-04-06T00:00:00"/>
    <x v="142"/>
    <x v="86"/>
    <n v="71"/>
    <s v="INV00557"/>
    <n v="71"/>
    <n v="266.16450000000003"/>
    <m/>
    <m/>
    <m/>
    <m/>
    <m/>
    <n v="266.16450000000003"/>
    <d v="2022-07-23T00:00:00"/>
    <n v="0"/>
    <n v="0"/>
    <n v="0"/>
    <n v="0"/>
    <n v="0"/>
    <n v="0"/>
    <n v="0"/>
    <x v="0"/>
    <n v="18897.679500000002"/>
    <n v="18897.679500000002"/>
    <n v="0"/>
    <n v="0"/>
    <x v="0"/>
    <x v="23"/>
  </r>
  <r>
    <s v="ORD00558"/>
    <d v="2023-03-25T00:00:00"/>
    <x v="344"/>
    <x v="64"/>
    <n v="172"/>
    <s v="INV00558"/>
    <n v="174"/>
    <n v="1129.6166000000001"/>
    <m/>
    <m/>
    <m/>
    <m/>
    <m/>
    <n v="1129.6166000000001"/>
    <d v="2023-02-03T00:00:00"/>
    <n v="0"/>
    <n v="1"/>
    <n v="0"/>
    <n v="0"/>
    <n v="0"/>
    <n v="0"/>
    <n v="0"/>
    <x v="1"/>
    <n v="196553.28840000002"/>
    <n v="194294.0552"/>
    <n v="2259.233200000017"/>
    <n v="8"/>
    <x v="2"/>
    <x v="17"/>
  </r>
  <r>
    <s v="ORD00559"/>
    <d v="2024-03-30T00:00:00"/>
    <x v="288"/>
    <x v="144"/>
    <n v="31"/>
    <s v="INV00559"/>
    <n v="31"/>
    <n v="324.52350000000001"/>
    <m/>
    <m/>
    <m/>
    <m/>
    <m/>
    <n v="324.52350000000001"/>
    <d v="2023-06-23T00:00:00"/>
    <n v="0"/>
    <n v="0"/>
    <n v="0"/>
    <n v="0"/>
    <n v="0"/>
    <n v="0"/>
    <n v="0"/>
    <x v="0"/>
    <n v="10060.228500000001"/>
    <n v="10060.228500000001"/>
    <n v="0"/>
    <n v="0"/>
    <x v="0"/>
    <x v="6"/>
  </r>
  <r>
    <s v="ORD00560"/>
    <d v="2024-12-15T00:00:00"/>
    <x v="415"/>
    <x v="67"/>
    <n v="174"/>
    <s v="INV00560"/>
    <n v="174"/>
    <n v="1016.9848"/>
    <m/>
    <m/>
    <m/>
    <m/>
    <m/>
    <n v="1016.9848"/>
    <d v="2023-04-17T00:00:00"/>
    <n v="0"/>
    <n v="0"/>
    <n v="0"/>
    <n v="0"/>
    <n v="0"/>
    <n v="0"/>
    <n v="0"/>
    <x v="0"/>
    <n v="176955.35519999999"/>
    <n v="176955.35519999999"/>
    <n v="0"/>
    <n v="0"/>
    <x v="0"/>
    <x v="1"/>
  </r>
  <r>
    <s v="ORD00561"/>
    <d v="2023-09-29T00:00:00"/>
    <x v="45"/>
    <x v="83"/>
    <n v="144"/>
    <s v="INV00561"/>
    <n v="144"/>
    <n v="1157.6343999999999"/>
    <m/>
    <m/>
    <m/>
    <m/>
    <m/>
    <n v="1157.6343999999999"/>
    <d v="2023-02-02T00:00:00"/>
    <n v="0"/>
    <n v="0"/>
    <n v="0"/>
    <n v="0"/>
    <n v="0"/>
    <n v="0"/>
    <n v="0"/>
    <x v="0"/>
    <n v="166699.35359999997"/>
    <n v="166699.35359999997"/>
    <n v="0"/>
    <n v="0"/>
    <x v="0"/>
    <x v="18"/>
  </r>
  <r>
    <s v="ORD00562"/>
    <d v="2023-04-03T00:00:00"/>
    <x v="416"/>
    <x v="195"/>
    <n v="8"/>
    <s v="INV00562"/>
    <n v="8"/>
    <n v="793.03560000000004"/>
    <m/>
    <m/>
    <m/>
    <m/>
    <m/>
    <n v="793.03560000000004"/>
    <d v="2022-11-27T00:00:00"/>
    <n v="0"/>
    <n v="0"/>
    <n v="0"/>
    <n v="0"/>
    <n v="0"/>
    <n v="0"/>
    <n v="0"/>
    <x v="0"/>
    <n v="6344.2848000000004"/>
    <n v="6344.2848000000004"/>
    <n v="0"/>
    <n v="0"/>
    <x v="0"/>
    <x v="23"/>
  </r>
  <r>
    <s v="ORD00563"/>
    <d v="2024-10-04T00:00:00"/>
    <x v="417"/>
    <x v="170"/>
    <n v="187"/>
    <s v="INV00563"/>
    <n v="187"/>
    <n v="825.13580000000002"/>
    <m/>
    <m/>
    <m/>
    <m/>
    <m/>
    <n v="825.13580000000002"/>
    <d v="2023-03-13T00:00:00"/>
    <n v="0"/>
    <n v="0"/>
    <n v="0"/>
    <n v="0"/>
    <n v="0"/>
    <n v="0"/>
    <n v="0"/>
    <x v="0"/>
    <n v="154300.3946"/>
    <n v="154300.3946"/>
    <n v="0"/>
    <n v="0"/>
    <x v="0"/>
    <x v="5"/>
  </r>
  <r>
    <s v="ORD00564"/>
    <d v="2024-03-28T00:00:00"/>
    <x v="328"/>
    <x v="209"/>
    <n v="124"/>
    <s v="INV00564"/>
    <n v="124"/>
    <n v="880.66300000000001"/>
    <n v="6"/>
    <d v="2024-02-05T00:00:00"/>
    <m/>
    <m/>
    <m/>
    <n v="880.66300000000001"/>
    <d v="2023-02-09T00:00:00"/>
    <n v="0"/>
    <n v="0"/>
    <n v="0"/>
    <n v="0"/>
    <n v="0"/>
    <n v="0"/>
    <n v="0"/>
    <x v="0"/>
    <n v="109202.212"/>
    <n v="109202.212"/>
    <n v="0"/>
    <n v="0"/>
    <x v="0"/>
    <x v="6"/>
  </r>
  <r>
    <s v="ORD00565"/>
    <d v="2023-12-16T00:00:00"/>
    <x v="334"/>
    <x v="254"/>
    <n v="66"/>
    <s v="INV00565"/>
    <n v="66"/>
    <n v="571.49840000000006"/>
    <m/>
    <m/>
    <m/>
    <m/>
    <m/>
    <n v="571.49840000000006"/>
    <d v="2023-05-25T00:00:00"/>
    <n v="0"/>
    <n v="0"/>
    <n v="0"/>
    <n v="0"/>
    <n v="0"/>
    <n v="0"/>
    <n v="0"/>
    <x v="0"/>
    <n v="37718.894400000005"/>
    <n v="37718.894400000005"/>
    <n v="0"/>
    <n v="0"/>
    <x v="0"/>
    <x v="20"/>
  </r>
  <r>
    <s v="ORD00566"/>
    <d v="2024-06-27T00:00:00"/>
    <x v="418"/>
    <x v="14"/>
    <n v="138"/>
    <s v="INV00566"/>
    <n v="138"/>
    <n v="265.44960000000003"/>
    <m/>
    <m/>
    <m/>
    <m/>
    <m/>
    <n v="265.44960000000003"/>
    <d v="2023-03-14T00:00:00"/>
    <n v="0"/>
    <n v="0"/>
    <n v="0"/>
    <n v="0"/>
    <n v="0"/>
    <n v="0"/>
    <n v="0"/>
    <x v="0"/>
    <n v="36632.044800000003"/>
    <n v="36632.044800000003"/>
    <n v="0"/>
    <n v="0"/>
    <x v="0"/>
    <x v="16"/>
  </r>
  <r>
    <s v="ORD00567"/>
    <d v="2023-06-11T00:00:00"/>
    <x v="79"/>
    <x v="145"/>
    <n v="162"/>
    <s v="INV00567"/>
    <n v="162"/>
    <n v="185.5224"/>
    <m/>
    <m/>
    <m/>
    <m/>
    <m/>
    <n v="185.5224"/>
    <d v="2023-05-17T00:00:00"/>
    <n v="0"/>
    <n v="0"/>
    <n v="0"/>
    <n v="0"/>
    <n v="0"/>
    <n v="0"/>
    <n v="0"/>
    <x v="0"/>
    <n v="30054.628800000002"/>
    <n v="30054.628800000002"/>
    <n v="0"/>
    <n v="0"/>
    <x v="0"/>
    <x v="14"/>
  </r>
  <r>
    <s v="ORD00568"/>
    <d v="2023-08-10T00:00:00"/>
    <x v="419"/>
    <x v="36"/>
    <n v="179"/>
    <s v="INV00568"/>
    <n v="179"/>
    <n v="415.70589999999999"/>
    <m/>
    <m/>
    <m/>
    <m/>
    <m/>
    <n v="415.70589999999999"/>
    <d v="2023-03-04T00:00:00"/>
    <n v="0"/>
    <n v="0"/>
    <n v="0"/>
    <n v="0"/>
    <n v="0"/>
    <n v="0"/>
    <n v="0"/>
    <x v="0"/>
    <n v="74411.356100000005"/>
    <n v="74411.356100000005"/>
    <n v="0"/>
    <n v="0"/>
    <x v="0"/>
    <x v="12"/>
  </r>
  <r>
    <s v="ORD00569"/>
    <d v="2023-06-18T00:00:00"/>
    <x v="420"/>
    <x v="255"/>
    <n v="75"/>
    <s v="INV00569"/>
    <n v="79"/>
    <n v="1178.6880000000001"/>
    <m/>
    <m/>
    <m/>
    <m/>
    <m/>
    <n v="1178.6880000000001"/>
    <d v="2023-01-04T00:00:00"/>
    <n v="0"/>
    <n v="1"/>
    <n v="0"/>
    <n v="0"/>
    <n v="0"/>
    <n v="0"/>
    <n v="0"/>
    <x v="1"/>
    <n v="93116.352000000014"/>
    <n v="88401.600000000006"/>
    <n v="4714.7520000000077"/>
    <n v="8"/>
    <x v="2"/>
    <x v="14"/>
  </r>
  <r>
    <s v="ORD00570"/>
    <d v="2023-03-17T00:00:00"/>
    <x v="421"/>
    <x v="135"/>
    <n v="27"/>
    <s v="INV00570"/>
    <n v="27"/>
    <n v="1173.1600000000001"/>
    <m/>
    <m/>
    <m/>
    <m/>
    <m/>
    <n v="1173.1600000000001"/>
    <d v="2022-05-11T00:00:00"/>
    <n v="0"/>
    <n v="0"/>
    <n v="0"/>
    <n v="0"/>
    <n v="0"/>
    <n v="0"/>
    <n v="0"/>
    <x v="0"/>
    <n v="31675.320000000003"/>
    <n v="31675.320000000003"/>
    <n v="0"/>
    <n v="0"/>
    <x v="0"/>
    <x v="17"/>
  </r>
  <r>
    <s v="ORD00571"/>
    <d v="2023-11-18T00:00:00"/>
    <x v="10"/>
    <x v="7"/>
    <n v="98"/>
    <s v="INV00571"/>
    <n v="98"/>
    <n v="510.91840000000002"/>
    <m/>
    <m/>
    <m/>
    <m/>
    <m/>
    <n v="510.91840000000002"/>
    <d v="2023-02-24T00:00:00"/>
    <n v="0"/>
    <n v="0"/>
    <n v="0"/>
    <n v="0"/>
    <n v="0"/>
    <n v="0"/>
    <n v="0"/>
    <x v="0"/>
    <n v="50070.003199999999"/>
    <n v="50070.003199999999"/>
    <n v="0"/>
    <n v="0"/>
    <x v="0"/>
    <x v="0"/>
  </r>
  <r>
    <s v="ORD00572"/>
    <d v="2024-06-29T00:00:00"/>
    <x v="422"/>
    <x v="15"/>
    <n v="110"/>
    <s v="INV00572"/>
    <n v="110"/>
    <n v="1039.0536"/>
    <m/>
    <m/>
    <m/>
    <m/>
    <m/>
    <n v="1039.0536"/>
    <d v="2023-05-08T00:00:00"/>
    <n v="0"/>
    <n v="0"/>
    <n v="0"/>
    <n v="0"/>
    <n v="0"/>
    <n v="0"/>
    <n v="0"/>
    <x v="0"/>
    <n v="114295.89599999999"/>
    <n v="114295.89599999999"/>
    <n v="0"/>
    <n v="0"/>
    <x v="0"/>
    <x v="16"/>
  </r>
  <r>
    <s v="ORD00573"/>
    <d v="2023-10-01T00:00:00"/>
    <x v="399"/>
    <x v="43"/>
    <n v="109"/>
    <s v="INV00573"/>
    <n v="109"/>
    <n v="1190.6054999999999"/>
    <m/>
    <m/>
    <m/>
    <m/>
    <m/>
    <n v="1190.6054999999999"/>
    <d v="2023-02-27T00:00:00"/>
    <n v="0"/>
    <n v="0"/>
    <n v="0"/>
    <n v="0"/>
    <n v="0"/>
    <n v="0"/>
    <n v="0"/>
    <x v="0"/>
    <n v="129775.99949999999"/>
    <n v="129775.99949999999"/>
    <n v="0"/>
    <n v="0"/>
    <x v="0"/>
    <x v="19"/>
  </r>
  <r>
    <s v="ORD00574"/>
    <d v="2024-06-28T00:00:00"/>
    <x v="423"/>
    <x v="179"/>
    <n v="138"/>
    <s v="INV00574"/>
    <n v="137"/>
    <n v="72.63"/>
    <m/>
    <m/>
    <m/>
    <m/>
    <m/>
    <n v="72.63"/>
    <d v="2023-01-30T00:00:00"/>
    <n v="0"/>
    <n v="1"/>
    <n v="0"/>
    <n v="0"/>
    <n v="0"/>
    <n v="0"/>
    <n v="0"/>
    <x v="1"/>
    <n v="9950.31"/>
    <n v="10022.939999999999"/>
    <n v="-72.6299999999992"/>
    <n v="3"/>
    <x v="1"/>
    <x v="16"/>
  </r>
  <r>
    <s v="ORD00575"/>
    <d v="2024-04-03T00:00:00"/>
    <x v="102"/>
    <x v="256"/>
    <n v="60"/>
    <s v="INV00575"/>
    <n v="60"/>
    <n v="717.0471"/>
    <m/>
    <m/>
    <m/>
    <m/>
    <m/>
    <n v="717.0471"/>
    <d v="2023-02-27T00:00:00"/>
    <n v="0"/>
    <n v="0"/>
    <n v="0"/>
    <n v="0"/>
    <n v="0"/>
    <n v="0"/>
    <n v="0"/>
    <x v="0"/>
    <n v="43022.826000000001"/>
    <n v="43022.826000000001"/>
    <n v="0"/>
    <n v="0"/>
    <x v="0"/>
    <x v="9"/>
  </r>
  <r>
    <s v="ORD00576"/>
    <d v="2023-05-26T00:00:00"/>
    <x v="424"/>
    <x v="127"/>
    <n v="73"/>
    <s v="INV00576"/>
    <n v="73"/>
    <n v="343.34190000000001"/>
    <m/>
    <m/>
    <m/>
    <m/>
    <m/>
    <n v="343.34190000000001"/>
    <d v="2022-10-02T00:00:00"/>
    <n v="0"/>
    <n v="0"/>
    <n v="0"/>
    <n v="0"/>
    <n v="0"/>
    <n v="0"/>
    <n v="0"/>
    <x v="0"/>
    <n v="25063.958699999999"/>
    <n v="25063.958699999999"/>
    <n v="0"/>
    <n v="0"/>
    <x v="0"/>
    <x v="7"/>
  </r>
  <r>
    <s v="ORD00577"/>
    <d v="2023-03-18T00:00:00"/>
    <x v="425"/>
    <x v="83"/>
    <n v="118"/>
    <s v="INV00577"/>
    <n v="118"/>
    <n v="1157.6343999999999"/>
    <m/>
    <m/>
    <m/>
    <m/>
    <m/>
    <n v="1157.6343999999999"/>
    <d v="2023-02-02T00:00:00"/>
    <n v="0"/>
    <n v="0"/>
    <n v="0"/>
    <n v="0"/>
    <n v="0"/>
    <n v="0"/>
    <n v="0"/>
    <x v="0"/>
    <n v="136600.85919999998"/>
    <n v="136600.85919999998"/>
    <n v="0"/>
    <n v="0"/>
    <x v="0"/>
    <x v="17"/>
  </r>
  <r>
    <s v="ORD00578"/>
    <d v="2023-07-21T00:00:00"/>
    <x v="426"/>
    <x v="40"/>
    <n v="58"/>
    <s v="INV00578"/>
    <n v="58"/>
    <n v="182.4273"/>
    <m/>
    <m/>
    <m/>
    <m/>
    <m/>
    <n v="182.4273"/>
    <d v="2023-03-04T00:00:00"/>
    <n v="0"/>
    <n v="0"/>
    <n v="0"/>
    <n v="0"/>
    <n v="0"/>
    <n v="0"/>
    <n v="0"/>
    <x v="0"/>
    <n v="10580.7834"/>
    <n v="10580.7834"/>
    <n v="0"/>
    <n v="0"/>
    <x v="0"/>
    <x v="10"/>
  </r>
  <r>
    <s v="ORD00579"/>
    <d v="2023-08-06T00:00:00"/>
    <x v="201"/>
    <x v="164"/>
    <n v="170"/>
    <s v="INV00579"/>
    <n v="170"/>
    <n v="709.52"/>
    <m/>
    <m/>
    <m/>
    <m/>
    <m/>
    <n v="709.52"/>
    <d v="2023-01-26T00:00:00"/>
    <n v="0"/>
    <n v="0"/>
    <n v="0"/>
    <n v="0"/>
    <n v="0"/>
    <n v="0"/>
    <n v="0"/>
    <x v="0"/>
    <n v="120618.4"/>
    <n v="120618.4"/>
    <n v="0"/>
    <n v="0"/>
    <x v="0"/>
    <x v="12"/>
  </r>
  <r>
    <s v="ORD00580"/>
    <d v="2023-03-01T00:00:00"/>
    <x v="427"/>
    <x v="103"/>
    <n v="86"/>
    <s v="INV00580"/>
    <n v="86"/>
    <n v="770.54579999999999"/>
    <m/>
    <m/>
    <m/>
    <m/>
    <m/>
    <n v="770.54579999999999"/>
    <d v="2022-11-04T00:00:00"/>
    <n v="0"/>
    <n v="0"/>
    <n v="0"/>
    <n v="0"/>
    <n v="0"/>
    <n v="0"/>
    <n v="0"/>
    <x v="0"/>
    <n v="66266.938800000004"/>
    <n v="66266.938800000004"/>
    <n v="0"/>
    <n v="0"/>
    <x v="0"/>
    <x v="17"/>
  </r>
  <r>
    <s v="ORD00581"/>
    <d v="2023-11-27T00:00:00"/>
    <x v="387"/>
    <x v="61"/>
    <n v="45"/>
    <s v="INV00581"/>
    <n v="45"/>
    <n v="759.48969999999997"/>
    <m/>
    <m/>
    <m/>
    <m/>
    <m/>
    <n v="759.48969999999997"/>
    <d v="2023-07-31T00:00:00"/>
    <n v="0"/>
    <n v="0"/>
    <n v="0"/>
    <n v="0"/>
    <n v="0"/>
    <n v="0"/>
    <n v="0"/>
    <x v="0"/>
    <n v="34177.036500000002"/>
    <n v="34177.036500000002"/>
    <n v="0"/>
    <n v="0"/>
    <x v="0"/>
    <x v="0"/>
  </r>
  <r>
    <s v="ORD00582"/>
    <d v="2024-05-20T00:00:00"/>
    <x v="103"/>
    <x v="221"/>
    <n v="116"/>
    <s v="INV00582"/>
    <n v="116"/>
    <n v="690.05370000000005"/>
    <n v="9"/>
    <d v="2023-06-21T00:00:00"/>
    <m/>
    <m/>
    <m/>
    <n v="690.05370000000005"/>
    <d v="2023-02-19T00:00:00"/>
    <n v="0"/>
    <n v="0"/>
    <n v="0"/>
    <n v="0"/>
    <n v="0"/>
    <n v="0"/>
    <n v="0"/>
    <x v="0"/>
    <n v="80046.229200000002"/>
    <n v="80046.229200000002"/>
    <n v="0"/>
    <n v="0"/>
    <x v="0"/>
    <x v="13"/>
  </r>
  <r>
    <s v="ORD00583"/>
    <d v="2024-08-28T00:00:00"/>
    <x v="70"/>
    <x v="191"/>
    <n v="85"/>
    <s v="INV00583"/>
    <n v="85"/>
    <n v="355.32000000000005"/>
    <m/>
    <m/>
    <m/>
    <m/>
    <m/>
    <n v="355.32000000000005"/>
    <d v="2023-05-12T00:00:00"/>
    <n v="0"/>
    <n v="0"/>
    <n v="0"/>
    <n v="0"/>
    <n v="0"/>
    <n v="0"/>
    <n v="0"/>
    <x v="0"/>
    <n v="30202.200000000004"/>
    <n v="30202.200000000004"/>
    <n v="0"/>
    <n v="0"/>
    <x v="0"/>
    <x v="22"/>
  </r>
  <r>
    <s v="ORD00584"/>
    <d v="2024-05-28T00:00:00"/>
    <x v="428"/>
    <x v="201"/>
    <n v="53"/>
    <s v="INV00584"/>
    <n v="53"/>
    <n v="418.93040000000002"/>
    <m/>
    <m/>
    <m/>
    <m/>
    <m/>
    <n v="418.93040000000002"/>
    <d v="2023-10-15T00:00:00"/>
    <n v="0"/>
    <n v="0"/>
    <n v="0"/>
    <n v="0"/>
    <n v="0"/>
    <n v="0"/>
    <n v="0"/>
    <x v="0"/>
    <n v="22203.3112"/>
    <n v="22203.3112"/>
    <n v="0"/>
    <n v="0"/>
    <x v="0"/>
    <x v="13"/>
  </r>
  <r>
    <s v="ORD00585"/>
    <d v="2024-02-14T00:00:00"/>
    <x v="429"/>
    <x v="199"/>
    <n v="133"/>
    <s v="INV00585"/>
    <n v="133"/>
    <n v="334.24649999999997"/>
    <m/>
    <m/>
    <m/>
    <m/>
    <m/>
    <n v="334.24649999999997"/>
    <d v="2023-07-18T00:00:00"/>
    <n v="0"/>
    <n v="0"/>
    <n v="0"/>
    <n v="0"/>
    <n v="0"/>
    <n v="0"/>
    <n v="0"/>
    <x v="0"/>
    <n v="44454.784499999994"/>
    <n v="44454.784499999994"/>
    <n v="0"/>
    <n v="0"/>
    <x v="0"/>
    <x v="3"/>
  </r>
  <r>
    <s v="ORD00586"/>
    <d v="2023-12-08T00:00:00"/>
    <x v="430"/>
    <x v="112"/>
    <n v="146"/>
    <s v="INV00586"/>
    <n v="146"/>
    <n v="322.71780000000001"/>
    <m/>
    <m/>
    <m/>
    <m/>
    <m/>
    <n v="322.71780000000001"/>
    <d v="2023-08-31T00:00:00"/>
    <n v="0"/>
    <n v="0"/>
    <n v="0"/>
    <n v="0"/>
    <n v="0"/>
    <n v="0"/>
    <n v="0"/>
    <x v="0"/>
    <n v="47116.798800000004"/>
    <n v="47116.798800000004"/>
    <n v="0"/>
    <n v="0"/>
    <x v="0"/>
    <x v="20"/>
  </r>
  <r>
    <s v="ORD00587"/>
    <d v="2024-03-22T00:00:00"/>
    <x v="431"/>
    <x v="257"/>
    <n v="81"/>
    <s v="INV00587"/>
    <n v="81"/>
    <n v="296.17460000000005"/>
    <m/>
    <m/>
    <m/>
    <m/>
    <m/>
    <n v="296.17460000000005"/>
    <d v="2023-09-25T00:00:00"/>
    <n v="0"/>
    <n v="0"/>
    <n v="0"/>
    <n v="0"/>
    <n v="0"/>
    <n v="0"/>
    <n v="0"/>
    <x v="0"/>
    <n v="23990.142600000003"/>
    <n v="23990.142600000003"/>
    <n v="0"/>
    <n v="0"/>
    <x v="0"/>
    <x v="6"/>
  </r>
  <r>
    <s v="ORD00588"/>
    <d v="2024-03-20T00:00:00"/>
    <x v="432"/>
    <x v="250"/>
    <n v="120"/>
    <s v="INV00588"/>
    <n v="120"/>
    <n v="92.962000000000003"/>
    <m/>
    <m/>
    <m/>
    <m/>
    <m/>
    <n v="92.962000000000003"/>
    <d v="2023-08-13T00:00:00"/>
    <n v="0"/>
    <n v="0"/>
    <n v="0"/>
    <n v="0"/>
    <n v="0"/>
    <n v="0"/>
    <n v="0"/>
    <x v="0"/>
    <n v="11155.44"/>
    <n v="11155.44"/>
    <n v="0"/>
    <n v="0"/>
    <x v="0"/>
    <x v="6"/>
  </r>
  <r>
    <s v="ORD00589"/>
    <d v="2024-08-17T00:00:00"/>
    <x v="433"/>
    <x v="66"/>
    <n v="59"/>
    <s v="INV00589"/>
    <n v="59"/>
    <n v="1160.5650000000001"/>
    <m/>
    <m/>
    <m/>
    <m/>
    <m/>
    <n v="1160.5650000000001"/>
    <d v="2023-05-09T00:00:00"/>
    <n v="0"/>
    <n v="0"/>
    <n v="0"/>
    <n v="0"/>
    <n v="0"/>
    <n v="0"/>
    <n v="0"/>
    <x v="0"/>
    <n v="68473.335000000006"/>
    <n v="68473.335000000006"/>
    <n v="0"/>
    <n v="0"/>
    <x v="0"/>
    <x v="22"/>
  </r>
  <r>
    <s v="ORD00590"/>
    <d v="2024-04-11T00:00:00"/>
    <x v="260"/>
    <x v="228"/>
    <n v="36"/>
    <s v="INV00590"/>
    <n v="36"/>
    <n v="952.36940000000004"/>
    <m/>
    <m/>
    <m/>
    <m/>
    <m/>
    <n v="952.36940000000004"/>
    <d v="2023-08-31T00:00:00"/>
    <n v="0"/>
    <n v="0"/>
    <n v="0"/>
    <n v="0"/>
    <n v="0"/>
    <n v="0"/>
    <n v="0"/>
    <x v="0"/>
    <n v="34285.2984"/>
    <n v="34285.2984"/>
    <n v="0"/>
    <n v="0"/>
    <x v="0"/>
    <x v="9"/>
  </r>
  <r>
    <s v="ORD00591"/>
    <d v="2024-01-04T00:00:00"/>
    <x v="434"/>
    <x v="197"/>
    <n v="101"/>
    <s v="INV00591"/>
    <n v="101"/>
    <n v="250.3184"/>
    <m/>
    <m/>
    <m/>
    <m/>
    <m/>
    <n v="250.3184"/>
    <d v="2023-10-13T00:00:00"/>
    <n v="0"/>
    <n v="0"/>
    <n v="0"/>
    <n v="0"/>
    <n v="0"/>
    <n v="0"/>
    <n v="0"/>
    <x v="0"/>
    <n v="25282.1584"/>
    <n v="25282.1584"/>
    <n v="0"/>
    <n v="0"/>
    <x v="0"/>
    <x v="15"/>
  </r>
  <r>
    <s v="ORD00592"/>
    <d v="2024-01-16T00:00:00"/>
    <x v="312"/>
    <x v="64"/>
    <n v="50"/>
    <s v="INV00592"/>
    <n v="50"/>
    <n v="1129.6166000000001"/>
    <m/>
    <m/>
    <m/>
    <m/>
    <m/>
    <n v="1129.6166000000001"/>
    <d v="2023-02-03T00:00:00"/>
    <n v="0"/>
    <n v="0"/>
    <n v="0"/>
    <n v="0"/>
    <n v="0"/>
    <n v="0"/>
    <n v="0"/>
    <x v="0"/>
    <n v="56480.83"/>
    <n v="56480.83"/>
    <n v="0"/>
    <n v="0"/>
    <x v="0"/>
    <x v="15"/>
  </r>
  <r>
    <s v="ORD00593"/>
    <d v="2024-02-22T00:00:00"/>
    <x v="435"/>
    <x v="251"/>
    <n v="91"/>
    <s v="INV00593"/>
    <n v="91"/>
    <n v="75.504800000000003"/>
    <n v="8"/>
    <d v="2023-09-08T00:00:00"/>
    <m/>
    <m/>
    <m/>
    <n v="75.504800000000003"/>
    <d v="2023-06-03T00:00:00"/>
    <n v="0"/>
    <n v="0"/>
    <n v="0"/>
    <n v="0"/>
    <n v="0"/>
    <n v="0"/>
    <n v="0"/>
    <x v="0"/>
    <n v="6870.9368000000004"/>
    <n v="6870.9368000000004"/>
    <n v="0"/>
    <n v="0"/>
    <x v="0"/>
    <x v="3"/>
  </r>
  <r>
    <s v="ORD00594"/>
    <d v="2023-12-24T00:00:00"/>
    <x v="140"/>
    <x v="214"/>
    <n v="20"/>
    <s v="INV00594"/>
    <n v="20"/>
    <n v="77.178600000000003"/>
    <m/>
    <m/>
    <m/>
    <m/>
    <m/>
    <n v="77.178600000000003"/>
    <d v="2023-02-18T00:00:00"/>
    <n v="0"/>
    <n v="0"/>
    <n v="0"/>
    <n v="0"/>
    <n v="0"/>
    <n v="0"/>
    <n v="0"/>
    <x v="0"/>
    <n v="1543.5720000000001"/>
    <n v="1543.5720000000001"/>
    <n v="0"/>
    <n v="0"/>
    <x v="0"/>
    <x v="20"/>
  </r>
  <r>
    <s v="ORD00595"/>
    <d v="2024-08-28T00:00:00"/>
    <x v="436"/>
    <x v="139"/>
    <n v="175"/>
    <s v="INV00595"/>
    <n v="175"/>
    <n v="383.63"/>
    <m/>
    <m/>
    <m/>
    <m/>
    <m/>
    <n v="383.63"/>
    <d v="2023-10-01T00:00:00"/>
    <n v="0"/>
    <n v="0"/>
    <n v="0"/>
    <n v="0"/>
    <n v="0"/>
    <n v="0"/>
    <n v="0"/>
    <x v="0"/>
    <n v="67135.25"/>
    <n v="67135.25"/>
    <n v="0"/>
    <n v="0"/>
    <x v="0"/>
    <x v="22"/>
  </r>
  <r>
    <s v="ORD00596"/>
    <d v="2024-11-13T00:00:00"/>
    <x v="437"/>
    <x v="196"/>
    <n v="96"/>
    <s v="INV00596"/>
    <n v="96"/>
    <n v="1099.82"/>
    <m/>
    <m/>
    <m/>
    <m/>
    <m/>
    <n v="1099.82"/>
    <d v="2023-02-05T00:00:00"/>
    <n v="0"/>
    <n v="0"/>
    <n v="0"/>
    <n v="0"/>
    <n v="0"/>
    <n v="0"/>
    <n v="0"/>
    <x v="0"/>
    <n v="105582.72"/>
    <n v="105582.72"/>
    <n v="0"/>
    <n v="0"/>
    <x v="0"/>
    <x v="4"/>
  </r>
  <r>
    <s v="ORD00597"/>
    <d v="2024-12-06T00:00:00"/>
    <x v="2"/>
    <x v="200"/>
    <n v="75"/>
    <s v="INV00597"/>
    <n v="75"/>
    <n v="69.45"/>
    <m/>
    <m/>
    <m/>
    <m/>
    <m/>
    <n v="69.45"/>
    <d v="2023-08-31T00:00:00"/>
    <n v="0"/>
    <n v="0"/>
    <n v="0"/>
    <n v="0"/>
    <n v="0"/>
    <n v="0"/>
    <n v="0"/>
    <x v="0"/>
    <n v="5208.75"/>
    <n v="5208.75"/>
    <n v="0"/>
    <n v="0"/>
    <x v="0"/>
    <x v="1"/>
  </r>
  <r>
    <s v="ORD00598"/>
    <d v="2023-12-18T00:00:00"/>
    <x v="86"/>
    <x v="258"/>
    <n v="3"/>
    <s v="INV00598"/>
    <n v="3"/>
    <n v="510.27839999999998"/>
    <m/>
    <m/>
    <m/>
    <m/>
    <m/>
    <n v="510.27839999999998"/>
    <d v="2023-07-20T00:00:00"/>
    <n v="0"/>
    <n v="0"/>
    <n v="0"/>
    <n v="0"/>
    <n v="0"/>
    <n v="0"/>
    <n v="0"/>
    <x v="0"/>
    <n v="1530.8352"/>
    <n v="1530.8352"/>
    <n v="0"/>
    <n v="0"/>
    <x v="0"/>
    <x v="20"/>
  </r>
  <r>
    <s v="ORD00599"/>
    <d v="2023-03-03T00:00:00"/>
    <x v="117"/>
    <x v="231"/>
    <n v="140"/>
    <s v="INV00599"/>
    <n v="140"/>
    <n v="874.92399999999998"/>
    <m/>
    <m/>
    <m/>
    <m/>
    <m/>
    <n v="874.92399999999998"/>
    <d v="2023-02-09T00:00:00"/>
    <n v="0"/>
    <n v="0"/>
    <n v="0"/>
    <n v="0"/>
    <n v="0"/>
    <n v="0"/>
    <n v="0"/>
    <x v="0"/>
    <n v="122489.36"/>
    <n v="122489.36"/>
    <n v="0"/>
    <n v="0"/>
    <x v="0"/>
    <x v="17"/>
  </r>
  <r>
    <s v="ORD00600"/>
    <d v="2023-05-31T00:00:00"/>
    <x v="438"/>
    <x v="206"/>
    <n v="87"/>
    <s v="INV00600"/>
    <n v="87"/>
    <n v="82.026000000000025"/>
    <m/>
    <m/>
    <m/>
    <m/>
    <m/>
    <n v="82.026000000000025"/>
    <d v="2023-05-15T00:00:00"/>
    <n v="0"/>
    <n v="0"/>
    <n v="0"/>
    <n v="0"/>
    <n v="0"/>
    <n v="0"/>
    <n v="0"/>
    <x v="0"/>
    <n v="7136.2620000000024"/>
    <n v="7136.2620000000024"/>
    <n v="0"/>
    <n v="0"/>
    <x v="0"/>
    <x v="7"/>
  </r>
  <r>
    <s v="ORD00601"/>
    <d v="2024-11-02T00:00:00"/>
    <x v="439"/>
    <x v="152"/>
    <n v="7"/>
    <s v="INV00601"/>
    <n v="7"/>
    <n v="403.01909999999998"/>
    <m/>
    <m/>
    <m/>
    <m/>
    <m/>
    <n v="403.01909999999998"/>
    <d v="2023-05-10T00:00:00"/>
    <n v="0"/>
    <n v="0"/>
    <n v="0"/>
    <n v="0"/>
    <n v="0"/>
    <n v="0"/>
    <n v="0"/>
    <x v="0"/>
    <n v="2821.1336999999999"/>
    <n v="2821.1336999999999"/>
    <n v="0"/>
    <n v="0"/>
    <x v="0"/>
    <x v="4"/>
  </r>
  <r>
    <s v="ORD00602"/>
    <d v="2023-10-25T00:00:00"/>
    <x v="440"/>
    <x v="259"/>
    <n v="25"/>
    <s v="INV00602"/>
    <n v="25"/>
    <n v="1160.71"/>
    <m/>
    <m/>
    <m/>
    <m/>
    <m/>
    <n v="1160.71"/>
    <d v="2023-02-07T00:00:00"/>
    <n v="0"/>
    <n v="0"/>
    <n v="0"/>
    <n v="0"/>
    <n v="0"/>
    <n v="0"/>
    <n v="0"/>
    <x v="0"/>
    <n v="29017.75"/>
    <n v="29017.75"/>
    <n v="0"/>
    <n v="0"/>
    <x v="0"/>
    <x v="19"/>
  </r>
  <r>
    <s v="ORD00603"/>
    <d v="2024-02-25T00:00:00"/>
    <x v="441"/>
    <x v="92"/>
    <n v="157"/>
    <s v="INV00603"/>
    <n v="163"/>
    <n v="833.73500000000001"/>
    <m/>
    <m/>
    <m/>
    <m/>
    <m/>
    <n v="833.73500000000001"/>
    <d v="2023-08-29T00:00:00"/>
    <n v="0"/>
    <n v="1"/>
    <n v="0"/>
    <n v="0"/>
    <n v="0"/>
    <n v="0"/>
    <n v="0"/>
    <x v="1"/>
    <n v="135898.80499999999"/>
    <n v="130896.395"/>
    <n v="5002.4099999999889"/>
    <n v="8"/>
    <x v="2"/>
    <x v="3"/>
  </r>
  <r>
    <s v="ORD00604"/>
    <d v="2023-11-21T00:00:00"/>
    <x v="104"/>
    <x v="222"/>
    <n v="65"/>
    <s v="INV00604"/>
    <n v="75"/>
    <n v="273.2716709263957"/>
    <m/>
    <m/>
    <m/>
    <m/>
    <m/>
    <n v="273.24680000000001"/>
    <d v="2023-06-26T00:00:00"/>
    <n v="0"/>
    <n v="1"/>
    <n v="1"/>
    <n v="0"/>
    <n v="0"/>
    <n v="0"/>
    <n v="0"/>
    <x v="1"/>
    <n v="20495.375319479677"/>
    <n v="17761.042000000001"/>
    <n v="2734.333319479676"/>
    <n v="12"/>
    <x v="2"/>
    <x v="0"/>
  </r>
  <r>
    <s v="ORD00605"/>
    <d v="2023-07-04T00:00:00"/>
    <x v="258"/>
    <x v="194"/>
    <n v="15"/>
    <s v="INV00605"/>
    <n v="15"/>
    <n v="399.4169"/>
    <m/>
    <m/>
    <m/>
    <m/>
    <m/>
    <n v="399.4169"/>
    <d v="2023-04-04T00:00:00"/>
    <n v="0"/>
    <n v="0"/>
    <n v="0"/>
    <n v="0"/>
    <n v="0"/>
    <n v="0"/>
    <n v="0"/>
    <x v="0"/>
    <n v="5991.2534999999998"/>
    <n v="5991.2534999999998"/>
    <n v="0"/>
    <n v="0"/>
    <x v="0"/>
    <x v="10"/>
  </r>
  <r>
    <s v="ORD00606"/>
    <d v="2024-02-28T00:00:00"/>
    <x v="362"/>
    <x v="260"/>
    <n v="164"/>
    <s v="INV00606"/>
    <n v="164"/>
    <n v="990.72749999999996"/>
    <m/>
    <m/>
    <m/>
    <m/>
    <m/>
    <n v="990.72749999999996"/>
    <d v="2023-05-22T00:00:00"/>
    <n v="0"/>
    <n v="0"/>
    <n v="0"/>
    <n v="0"/>
    <n v="0"/>
    <n v="0"/>
    <n v="0"/>
    <x v="0"/>
    <n v="162479.31"/>
    <n v="162479.31"/>
    <n v="0"/>
    <n v="0"/>
    <x v="0"/>
    <x v="3"/>
  </r>
  <r>
    <s v="ORD00607"/>
    <d v="2024-12-07T00:00:00"/>
    <x v="147"/>
    <x v="165"/>
    <n v="147"/>
    <s v="INV00607"/>
    <n v="147"/>
    <n v="991.99"/>
    <m/>
    <m/>
    <m/>
    <m/>
    <m/>
    <n v="991.99"/>
    <d v="2023-02-19T00:00:00"/>
    <n v="0"/>
    <n v="0"/>
    <n v="0"/>
    <n v="0"/>
    <n v="0"/>
    <n v="0"/>
    <n v="0"/>
    <x v="0"/>
    <n v="145822.53"/>
    <n v="145822.53"/>
    <n v="0"/>
    <n v="0"/>
    <x v="0"/>
    <x v="1"/>
  </r>
  <r>
    <s v="ORD00608"/>
    <d v="2024-03-28T00:00:00"/>
    <x v="237"/>
    <x v="261"/>
    <n v="133"/>
    <s v="INV00608"/>
    <n v="133"/>
    <n v="994.85640000000001"/>
    <m/>
    <m/>
    <m/>
    <m/>
    <m/>
    <n v="994.85640000000001"/>
    <d v="2023-08-11T00:00:00"/>
    <n v="0"/>
    <n v="0"/>
    <n v="0"/>
    <n v="0"/>
    <n v="0"/>
    <n v="0"/>
    <n v="0"/>
    <x v="0"/>
    <n v="132315.90119999999"/>
    <n v="132315.90119999999"/>
    <n v="0"/>
    <n v="0"/>
    <x v="0"/>
    <x v="6"/>
  </r>
  <r>
    <s v="ORD00609"/>
    <d v="2023-08-21T00:00:00"/>
    <x v="165"/>
    <x v="171"/>
    <n v="24"/>
    <s v="INV00609"/>
    <n v="24"/>
    <n v="121.13"/>
    <m/>
    <m/>
    <m/>
    <m/>
    <m/>
    <n v="121.13"/>
    <d v="2023-01-31T00:00:00"/>
    <n v="0"/>
    <n v="0"/>
    <n v="0"/>
    <n v="0"/>
    <n v="0"/>
    <n v="0"/>
    <n v="0"/>
    <x v="0"/>
    <n v="2907.12"/>
    <n v="2907.12"/>
    <n v="0"/>
    <n v="0"/>
    <x v="0"/>
    <x v="12"/>
  </r>
  <r>
    <s v="ORD00610"/>
    <d v="2023-08-22T00:00:00"/>
    <x v="217"/>
    <x v="108"/>
    <n v="178"/>
    <s v="INV00610"/>
    <n v="178"/>
    <n v="1072.5387000000001"/>
    <m/>
    <m/>
    <m/>
    <m/>
    <m/>
    <n v="1072.5387000000001"/>
    <d v="2023-04-07T00:00:00"/>
    <n v="0"/>
    <n v="0"/>
    <n v="0"/>
    <n v="0"/>
    <n v="0"/>
    <n v="0"/>
    <n v="0"/>
    <x v="0"/>
    <n v="190911.88860000001"/>
    <n v="190911.88860000001"/>
    <n v="0"/>
    <n v="0"/>
    <x v="0"/>
    <x v="12"/>
  </r>
  <r>
    <s v="ORD00611"/>
    <d v="2024-12-09T00:00:00"/>
    <x v="169"/>
    <x v="261"/>
    <n v="54"/>
    <s v="INV00611"/>
    <n v="54"/>
    <n v="995.57294721109804"/>
    <m/>
    <m/>
    <m/>
    <m/>
    <m/>
    <n v="994.85640000000001"/>
    <d v="2023-08-11T00:00:00"/>
    <n v="0"/>
    <n v="0"/>
    <n v="1"/>
    <n v="0"/>
    <n v="0"/>
    <n v="0"/>
    <n v="0"/>
    <x v="1"/>
    <n v="53760.939149399295"/>
    <n v="53722.245600000002"/>
    <n v="38.693549399293261"/>
    <n v="4"/>
    <x v="1"/>
    <x v="1"/>
  </r>
  <r>
    <s v="ORD00612"/>
    <d v="2023-07-25T00:00:00"/>
    <x v="204"/>
    <x v="20"/>
    <n v="174"/>
    <s v="INV00612"/>
    <n v="174"/>
    <n v="1046.6099999999999"/>
    <m/>
    <m/>
    <m/>
    <m/>
    <m/>
    <n v="1046.6099999999999"/>
    <d v="2023-01-14T00:00:00"/>
    <n v="0"/>
    <n v="0"/>
    <n v="0"/>
    <n v="0"/>
    <n v="0"/>
    <n v="0"/>
    <n v="0"/>
    <x v="0"/>
    <n v="182110.13999999998"/>
    <n v="182110.13999999998"/>
    <n v="0"/>
    <n v="0"/>
    <x v="0"/>
    <x v="10"/>
  </r>
  <r>
    <s v="ORD00613"/>
    <d v="2023-06-12T00:00:00"/>
    <x v="437"/>
    <x v="258"/>
    <n v="182"/>
    <s v="INV00613"/>
    <n v="186"/>
    <n v="486.65440000000001"/>
    <m/>
    <m/>
    <m/>
    <m/>
    <m/>
    <n v="486.65440000000001"/>
    <d v="2022-07-21T00:00:00"/>
    <n v="0"/>
    <n v="1"/>
    <n v="0"/>
    <n v="0"/>
    <n v="0"/>
    <n v="0"/>
    <n v="0"/>
    <x v="1"/>
    <n v="90517.718399999998"/>
    <n v="88571.1008"/>
    <n v="1946.6175999999978"/>
    <n v="8"/>
    <x v="2"/>
    <x v="14"/>
  </r>
  <r>
    <s v="ORD00614"/>
    <d v="2024-10-05T00:00:00"/>
    <x v="442"/>
    <x v="262"/>
    <n v="90"/>
    <s v="INV00614"/>
    <n v="90"/>
    <n v="251.7122"/>
    <m/>
    <m/>
    <m/>
    <m/>
    <m/>
    <n v="251.7122"/>
    <d v="2023-06-11T00:00:00"/>
    <n v="0"/>
    <n v="0"/>
    <n v="0"/>
    <n v="0"/>
    <n v="0"/>
    <n v="0"/>
    <n v="0"/>
    <x v="0"/>
    <n v="22654.097999999998"/>
    <n v="22654.097999999998"/>
    <n v="0"/>
    <n v="0"/>
    <x v="0"/>
    <x v="5"/>
  </r>
  <r>
    <s v="ORD00615"/>
    <d v="2024-02-19T00:00:00"/>
    <x v="443"/>
    <x v="208"/>
    <n v="138"/>
    <s v="INV00615"/>
    <n v="138"/>
    <n v="107.1605"/>
    <m/>
    <m/>
    <m/>
    <m/>
    <m/>
    <n v="107.1605"/>
    <d v="2023-02-13T00:00:00"/>
    <n v="0"/>
    <n v="0"/>
    <n v="0"/>
    <n v="0"/>
    <n v="0"/>
    <n v="0"/>
    <n v="0"/>
    <x v="0"/>
    <n v="14788.148999999999"/>
    <n v="14788.148999999999"/>
    <n v="0"/>
    <n v="0"/>
    <x v="0"/>
    <x v="3"/>
  </r>
  <r>
    <s v="ORD00616"/>
    <d v="2023-02-09T00:00:00"/>
    <x v="227"/>
    <x v="123"/>
    <n v="130"/>
    <s v="INV00616"/>
    <n v="130"/>
    <n v="650.25"/>
    <m/>
    <m/>
    <m/>
    <m/>
    <m/>
    <n v="650.25"/>
    <d v="2022-11-13T00:00:00"/>
    <n v="0"/>
    <n v="0"/>
    <n v="0"/>
    <n v="0"/>
    <n v="0"/>
    <n v="0"/>
    <n v="0"/>
    <x v="0"/>
    <n v="84532.5"/>
    <n v="84532.5"/>
    <n v="0"/>
    <n v="0"/>
    <x v="0"/>
    <x v="11"/>
  </r>
  <r>
    <s v="ORD00617"/>
    <d v="2023-01-13T00:00:00"/>
    <x v="380"/>
    <x v="175"/>
    <n v="177"/>
    <s v="INV00617"/>
    <n v="177"/>
    <n v="212.07900000000001"/>
    <m/>
    <m/>
    <m/>
    <m/>
    <m/>
    <n v="212.07900000000001"/>
    <d v="2022-10-28T00:00:00"/>
    <n v="0"/>
    <n v="0"/>
    <n v="0"/>
    <n v="0"/>
    <n v="0"/>
    <n v="0"/>
    <n v="0"/>
    <x v="0"/>
    <n v="37537.983"/>
    <n v="37537.983"/>
    <n v="0"/>
    <n v="0"/>
    <x v="0"/>
    <x v="8"/>
  </r>
  <r>
    <s v="ORD00618"/>
    <d v="2023-09-16T00:00:00"/>
    <x v="388"/>
    <x v="95"/>
    <n v="105"/>
    <s v="INV00618"/>
    <n v="105"/>
    <n v="1072.1079000000002"/>
    <m/>
    <m/>
    <m/>
    <m/>
    <m/>
    <n v="1072.1079000000002"/>
    <d v="2023-04-19T00:00:00"/>
    <n v="0"/>
    <n v="0"/>
    <n v="0"/>
    <n v="0"/>
    <n v="0"/>
    <n v="0"/>
    <n v="0"/>
    <x v="0"/>
    <n v="112571.32950000002"/>
    <n v="112571.32950000002"/>
    <n v="0"/>
    <n v="0"/>
    <x v="0"/>
    <x v="18"/>
  </r>
  <r>
    <s v="ORD00619"/>
    <d v="2024-10-15T00:00:00"/>
    <x v="307"/>
    <x v="261"/>
    <n v="5"/>
    <s v="INV00619"/>
    <n v="5"/>
    <n v="994.85640000000001"/>
    <m/>
    <m/>
    <m/>
    <m/>
    <m/>
    <n v="994.85640000000001"/>
    <d v="2023-08-11T00:00:00"/>
    <n v="0"/>
    <n v="0"/>
    <n v="0"/>
    <n v="0"/>
    <n v="0"/>
    <n v="0"/>
    <n v="0"/>
    <x v="0"/>
    <n v="4974.2820000000002"/>
    <n v="4974.2820000000002"/>
    <n v="0"/>
    <n v="0"/>
    <x v="0"/>
    <x v="5"/>
  </r>
  <r>
    <s v="ORD00620"/>
    <d v="2024-07-29T00:00:00"/>
    <x v="328"/>
    <x v="21"/>
    <n v="14"/>
    <s v="INV00620"/>
    <n v="14"/>
    <n v="561.4076"/>
    <m/>
    <m/>
    <m/>
    <m/>
    <m/>
    <n v="561.4076"/>
    <d v="2023-03-21T00:00:00"/>
    <n v="0"/>
    <n v="0"/>
    <n v="0"/>
    <n v="0"/>
    <n v="0"/>
    <n v="0"/>
    <n v="0"/>
    <x v="0"/>
    <n v="7859.7064"/>
    <n v="7859.7064"/>
    <n v="0"/>
    <n v="0"/>
    <x v="0"/>
    <x v="21"/>
  </r>
  <r>
    <s v="ORD00621"/>
    <d v="2023-08-05T00:00:00"/>
    <x v="256"/>
    <x v="161"/>
    <n v="56"/>
    <s v="INV00621"/>
    <n v="56"/>
    <n v="1016.7027"/>
    <m/>
    <m/>
    <m/>
    <m/>
    <m/>
    <n v="1016.7027"/>
    <d v="2023-01-29T00:00:00"/>
    <n v="0"/>
    <n v="0"/>
    <n v="0"/>
    <n v="0"/>
    <n v="0"/>
    <n v="0"/>
    <n v="0"/>
    <x v="0"/>
    <n v="56935.351200000005"/>
    <n v="56935.351200000005"/>
    <n v="0"/>
    <n v="0"/>
    <x v="0"/>
    <x v="12"/>
  </r>
  <r>
    <s v="ORD00622"/>
    <d v="2024-08-13T00:00:00"/>
    <x v="435"/>
    <x v="78"/>
    <n v="102"/>
    <s v="INV00622"/>
    <n v="102"/>
    <n v="372.85379999999998"/>
    <n v="12"/>
    <d v="2024-06-27T00:00:00"/>
    <m/>
    <m/>
    <m/>
    <n v="372.85379999999998"/>
    <d v="2023-09-06T00:00:00"/>
    <n v="0"/>
    <n v="0"/>
    <n v="0"/>
    <n v="0"/>
    <n v="0"/>
    <n v="0"/>
    <n v="0"/>
    <x v="0"/>
    <n v="38031.087599999999"/>
    <n v="38031.087599999999"/>
    <n v="0"/>
    <n v="0"/>
    <x v="0"/>
    <x v="22"/>
  </r>
  <r>
    <s v="ORD00623"/>
    <d v="2023-09-10T00:00:00"/>
    <x v="31"/>
    <x v="228"/>
    <n v="139"/>
    <s v="INV00623"/>
    <n v="139"/>
    <n v="952.36940000000004"/>
    <m/>
    <m/>
    <m/>
    <m/>
    <m/>
    <n v="952.36940000000004"/>
    <d v="2023-08-31T00:00:00"/>
    <n v="0"/>
    <n v="0"/>
    <n v="0"/>
    <n v="0"/>
    <n v="0"/>
    <n v="0"/>
    <n v="0"/>
    <x v="0"/>
    <n v="132379.34660000002"/>
    <n v="132379.34660000002"/>
    <n v="0"/>
    <n v="0"/>
    <x v="0"/>
    <x v="18"/>
  </r>
  <r>
    <s v="ORD00624"/>
    <d v="2023-01-28T00:00:00"/>
    <x v="444"/>
    <x v="247"/>
    <n v="154"/>
    <s v="INV00624"/>
    <n v="154"/>
    <n v="618.54840000000002"/>
    <m/>
    <m/>
    <m/>
    <m/>
    <m/>
    <n v="618.54840000000002"/>
    <d v="2022-12-21T00:00:00"/>
    <n v="0"/>
    <n v="0"/>
    <n v="0"/>
    <n v="0"/>
    <n v="0"/>
    <n v="0"/>
    <n v="0"/>
    <x v="0"/>
    <n v="95256.453600000008"/>
    <n v="95256.453600000008"/>
    <n v="0"/>
    <n v="0"/>
    <x v="0"/>
    <x v="8"/>
  </r>
  <r>
    <s v="ORD00625"/>
    <d v="2023-11-13T00:00:00"/>
    <x v="123"/>
    <x v="172"/>
    <n v="178"/>
    <s v="INV00625"/>
    <n v="178"/>
    <n v="370.82850000000002"/>
    <m/>
    <m/>
    <m/>
    <m/>
    <m/>
    <n v="370.82850000000002"/>
    <d v="2023-09-18T00:00:00"/>
    <n v="0"/>
    <n v="0"/>
    <n v="0"/>
    <n v="0"/>
    <n v="0"/>
    <n v="0"/>
    <n v="0"/>
    <x v="0"/>
    <n v="66007.472999999998"/>
    <n v="66007.472999999998"/>
    <n v="0"/>
    <n v="0"/>
    <x v="0"/>
    <x v="0"/>
  </r>
  <r>
    <s v="ORD00626"/>
    <d v="2023-09-20T00:00:00"/>
    <x v="445"/>
    <x v="55"/>
    <n v="74"/>
    <s v="INV00626"/>
    <n v="74"/>
    <n v="499.17750000000001"/>
    <m/>
    <m/>
    <m/>
    <m/>
    <m/>
    <n v="499.17750000000001"/>
    <d v="2023-07-16T00:00:00"/>
    <n v="0"/>
    <n v="0"/>
    <n v="0"/>
    <n v="0"/>
    <n v="0"/>
    <n v="0"/>
    <n v="0"/>
    <x v="0"/>
    <n v="36939.135000000002"/>
    <n v="36939.135000000002"/>
    <n v="0"/>
    <n v="0"/>
    <x v="0"/>
    <x v="18"/>
  </r>
  <r>
    <s v="ORD00627"/>
    <d v="2023-11-17T00:00:00"/>
    <x v="446"/>
    <x v="91"/>
    <n v="197"/>
    <s v="INV00627"/>
    <n v="197"/>
    <n v="560.37830000000008"/>
    <m/>
    <m/>
    <m/>
    <m/>
    <m/>
    <n v="560.37830000000008"/>
    <d v="2023-06-12T00:00:00"/>
    <n v="0"/>
    <n v="0"/>
    <n v="0"/>
    <n v="0"/>
    <n v="0"/>
    <n v="0"/>
    <n v="0"/>
    <x v="0"/>
    <n v="110394.52510000001"/>
    <n v="110394.52510000001"/>
    <n v="0"/>
    <n v="0"/>
    <x v="0"/>
    <x v="0"/>
  </r>
  <r>
    <s v="ORD00628"/>
    <d v="2024-07-20T00:00:00"/>
    <x v="262"/>
    <x v="263"/>
    <n v="39"/>
    <s v="INV00628"/>
    <n v="39"/>
    <n v="599.90620000000001"/>
    <m/>
    <m/>
    <m/>
    <m/>
    <m/>
    <n v="599.90620000000001"/>
    <d v="2023-05-14T00:00:00"/>
    <n v="0"/>
    <n v="0"/>
    <n v="0"/>
    <n v="0"/>
    <n v="0"/>
    <n v="0"/>
    <n v="0"/>
    <x v="0"/>
    <n v="23396.341800000002"/>
    <n v="23396.341800000002"/>
    <n v="0"/>
    <n v="0"/>
    <x v="0"/>
    <x v="21"/>
  </r>
  <r>
    <s v="ORD00629"/>
    <d v="2023-11-18T00:00:00"/>
    <x v="447"/>
    <x v="264"/>
    <n v="81"/>
    <s v="INV00629"/>
    <n v="81"/>
    <n v="230.7345"/>
    <m/>
    <m/>
    <m/>
    <m/>
    <m/>
    <n v="230.7345"/>
    <d v="2023-08-04T00:00:00"/>
    <n v="0"/>
    <n v="0"/>
    <n v="0"/>
    <n v="0"/>
    <n v="0"/>
    <n v="0"/>
    <n v="0"/>
    <x v="0"/>
    <n v="18689.494500000001"/>
    <n v="18689.494500000001"/>
    <n v="0"/>
    <n v="0"/>
    <x v="0"/>
    <x v="0"/>
  </r>
  <r>
    <s v="ORD00630"/>
    <d v="2023-08-09T00:00:00"/>
    <x v="448"/>
    <x v="160"/>
    <n v="43"/>
    <s v="INV00630"/>
    <n v="43"/>
    <n v="431.81990000000002"/>
    <m/>
    <m/>
    <m/>
    <m/>
    <m/>
    <n v="431.81990000000002"/>
    <d v="2022-09-03T00:00:00"/>
    <n v="0"/>
    <n v="0"/>
    <n v="0"/>
    <n v="0"/>
    <n v="0"/>
    <n v="0"/>
    <n v="0"/>
    <x v="0"/>
    <n v="18568.255700000002"/>
    <n v="18568.255700000002"/>
    <n v="0"/>
    <n v="0"/>
    <x v="0"/>
    <x v="12"/>
  </r>
  <r>
    <s v="ORD00631"/>
    <d v="2023-03-09T00:00:00"/>
    <x v="317"/>
    <x v="99"/>
    <n v="57"/>
    <s v="INV00631"/>
    <n v="57"/>
    <n v="1148.73"/>
    <m/>
    <m/>
    <m/>
    <m/>
    <m/>
    <n v="1148.73"/>
    <d v="2022-07-07T00:00:00"/>
    <n v="0"/>
    <n v="0"/>
    <n v="0"/>
    <n v="0"/>
    <n v="0"/>
    <n v="0"/>
    <n v="0"/>
    <x v="0"/>
    <n v="65477.61"/>
    <n v="65477.61"/>
    <n v="0"/>
    <n v="0"/>
    <x v="0"/>
    <x v="17"/>
  </r>
  <r>
    <s v="ORD00632"/>
    <d v="2024-06-25T00:00:00"/>
    <x v="309"/>
    <x v="241"/>
    <n v="42"/>
    <s v="INV00632"/>
    <n v="42"/>
    <n v="854.74350000000004"/>
    <m/>
    <m/>
    <m/>
    <m/>
    <m/>
    <n v="854.74350000000004"/>
    <d v="2023-02-27T00:00:00"/>
    <n v="0"/>
    <n v="0"/>
    <n v="0"/>
    <n v="0"/>
    <n v="0"/>
    <n v="0"/>
    <n v="0"/>
    <x v="0"/>
    <n v="35899.226999999999"/>
    <n v="35899.226999999999"/>
    <n v="0"/>
    <n v="0"/>
    <x v="0"/>
    <x v="16"/>
  </r>
  <r>
    <s v="ORD00633"/>
    <d v="2024-07-05T00:00:00"/>
    <x v="66"/>
    <x v="173"/>
    <n v="194"/>
    <s v="INV00633"/>
    <n v="194"/>
    <n v="539.57150000000001"/>
    <m/>
    <m/>
    <m/>
    <m/>
    <m/>
    <n v="539.57150000000001"/>
    <d v="2023-09-22T00:00:00"/>
    <n v="0"/>
    <n v="0"/>
    <n v="0"/>
    <n v="0"/>
    <n v="0"/>
    <n v="0"/>
    <n v="0"/>
    <x v="0"/>
    <n v="104676.871"/>
    <n v="104676.871"/>
    <n v="0"/>
    <n v="0"/>
    <x v="0"/>
    <x v="21"/>
  </r>
  <r>
    <s v="ORD00634"/>
    <d v="2023-04-09T00:00:00"/>
    <x v="449"/>
    <x v="109"/>
    <n v="129"/>
    <s v="INV00634"/>
    <n v="129"/>
    <n v="457.65019999999998"/>
    <m/>
    <m/>
    <m/>
    <m/>
    <m/>
    <n v="457.65019999999998"/>
    <d v="2023-01-24T00:00:00"/>
    <n v="0"/>
    <n v="0"/>
    <n v="0"/>
    <n v="0"/>
    <n v="0"/>
    <n v="0"/>
    <n v="0"/>
    <x v="0"/>
    <n v="59036.875799999994"/>
    <n v="59036.875799999994"/>
    <n v="0"/>
    <n v="0"/>
    <x v="0"/>
    <x v="23"/>
  </r>
  <r>
    <s v="ORD00635"/>
    <d v="2023-12-08T00:00:00"/>
    <x v="368"/>
    <x v="185"/>
    <n v="148"/>
    <s v="INV00635"/>
    <n v="148"/>
    <n v="435.57279999999997"/>
    <m/>
    <m/>
    <m/>
    <m/>
    <m/>
    <n v="435.57279999999997"/>
    <d v="2023-08-21T00:00:00"/>
    <n v="0"/>
    <n v="0"/>
    <n v="0"/>
    <n v="0"/>
    <n v="0"/>
    <n v="0"/>
    <n v="0"/>
    <x v="0"/>
    <n v="64464.774399999995"/>
    <n v="64464.774399999995"/>
    <n v="0"/>
    <n v="0"/>
    <x v="0"/>
    <x v="20"/>
  </r>
  <r>
    <s v="ORD00636"/>
    <d v="2023-08-19T00:00:00"/>
    <x v="336"/>
    <x v="158"/>
    <n v="150"/>
    <s v="INV00636"/>
    <n v="150"/>
    <n v="754.20799999999997"/>
    <m/>
    <m/>
    <m/>
    <m/>
    <m/>
    <n v="754.20799999999997"/>
    <d v="2023-05-23T00:00:00"/>
    <n v="0"/>
    <n v="0"/>
    <n v="0"/>
    <n v="0"/>
    <n v="0"/>
    <n v="0"/>
    <n v="0"/>
    <x v="0"/>
    <n v="113131.2"/>
    <n v="113131.2"/>
    <n v="0"/>
    <n v="0"/>
    <x v="0"/>
    <x v="12"/>
  </r>
  <r>
    <s v="ORD00637"/>
    <d v="2023-07-10T00:00:00"/>
    <x v="450"/>
    <x v="240"/>
    <n v="187"/>
    <s v="INV00637"/>
    <n v="187"/>
    <n v="488.43360000000007"/>
    <m/>
    <m/>
    <m/>
    <m/>
    <m/>
    <n v="488.43360000000007"/>
    <d v="2023-06-30T00:00:00"/>
    <n v="0"/>
    <n v="0"/>
    <n v="0"/>
    <n v="0"/>
    <n v="0"/>
    <n v="0"/>
    <n v="0"/>
    <x v="0"/>
    <n v="91337.083200000008"/>
    <n v="91337.083200000008"/>
    <n v="0"/>
    <n v="0"/>
    <x v="0"/>
    <x v="10"/>
  </r>
  <r>
    <s v="ORD00638"/>
    <d v="2023-10-31T00:00:00"/>
    <x v="451"/>
    <x v="198"/>
    <n v="100"/>
    <s v="INV00638"/>
    <n v="100"/>
    <n v="906.88919999999996"/>
    <m/>
    <m/>
    <m/>
    <m/>
    <m/>
    <n v="906.88919999999996"/>
    <d v="2023-03-06T00:00:00"/>
    <n v="0"/>
    <n v="0"/>
    <n v="0"/>
    <n v="0"/>
    <n v="0"/>
    <n v="0"/>
    <n v="0"/>
    <x v="0"/>
    <n v="90688.92"/>
    <n v="90688.92"/>
    <n v="0"/>
    <n v="0"/>
    <x v="0"/>
    <x v="19"/>
  </r>
  <r>
    <s v="ORD00639"/>
    <d v="2024-03-02T00:00:00"/>
    <x v="452"/>
    <x v="83"/>
    <n v="51"/>
    <s v="INV00639"/>
    <n v="51"/>
    <n v="1157.6343999999999"/>
    <m/>
    <m/>
    <m/>
    <m/>
    <m/>
    <n v="1157.6343999999999"/>
    <d v="2023-02-02T00:00:00"/>
    <n v="0"/>
    <n v="0"/>
    <n v="0"/>
    <n v="0"/>
    <n v="0"/>
    <n v="0"/>
    <n v="0"/>
    <x v="0"/>
    <n v="59039.354399999997"/>
    <n v="59039.354399999997"/>
    <n v="0"/>
    <n v="0"/>
    <x v="0"/>
    <x v="6"/>
  </r>
  <r>
    <s v="ORD00640"/>
    <d v="2024-03-01T00:00:00"/>
    <x v="328"/>
    <x v="153"/>
    <n v="21"/>
    <s v="INV00640"/>
    <n v="21"/>
    <n v="680.30940000000021"/>
    <m/>
    <m/>
    <m/>
    <m/>
    <m/>
    <n v="680.30940000000021"/>
    <d v="2023-01-08T00:00:00"/>
    <n v="0"/>
    <n v="0"/>
    <n v="0"/>
    <n v="0"/>
    <n v="0"/>
    <n v="0"/>
    <n v="0"/>
    <x v="0"/>
    <n v="14286.497400000004"/>
    <n v="14286.497400000004"/>
    <n v="0"/>
    <n v="0"/>
    <x v="0"/>
    <x v="6"/>
  </r>
  <r>
    <s v="ORD00641"/>
    <d v="2023-07-24T00:00:00"/>
    <x v="453"/>
    <x v="72"/>
    <n v="75"/>
    <s v="INV00641"/>
    <n v="75"/>
    <n v="791.35360000000003"/>
    <m/>
    <m/>
    <m/>
    <m/>
    <m/>
    <n v="791.35360000000003"/>
    <d v="2023-06-20T00:00:00"/>
    <n v="0"/>
    <n v="0"/>
    <n v="0"/>
    <n v="0"/>
    <n v="0"/>
    <n v="0"/>
    <n v="0"/>
    <x v="0"/>
    <n v="59351.520000000004"/>
    <n v="59351.520000000004"/>
    <n v="0"/>
    <n v="0"/>
    <x v="0"/>
    <x v="10"/>
  </r>
  <r>
    <s v="ORD00642"/>
    <d v="2023-07-08T00:00:00"/>
    <x v="454"/>
    <x v="31"/>
    <n v="82"/>
    <s v="INV00642"/>
    <n v="82"/>
    <n v="1147.3289"/>
    <m/>
    <m/>
    <m/>
    <m/>
    <m/>
    <n v="1147.3289"/>
    <d v="2023-01-19T00:00:00"/>
    <n v="0"/>
    <n v="0"/>
    <n v="0"/>
    <n v="0"/>
    <n v="0"/>
    <n v="0"/>
    <n v="0"/>
    <x v="0"/>
    <n v="94080.969799999992"/>
    <n v="94080.969799999992"/>
    <n v="0"/>
    <n v="0"/>
    <x v="0"/>
    <x v="10"/>
  </r>
  <r>
    <s v="ORD00643"/>
    <d v="2023-06-27T00:00:00"/>
    <x v="342"/>
    <x v="52"/>
    <n v="101"/>
    <s v="INV00643"/>
    <n v="101"/>
    <n v="63.7194"/>
    <m/>
    <m/>
    <m/>
    <m/>
    <m/>
    <n v="63.7194"/>
    <d v="2022-11-02T00:00:00"/>
    <n v="0"/>
    <n v="0"/>
    <n v="0"/>
    <n v="0"/>
    <n v="0"/>
    <n v="0"/>
    <n v="0"/>
    <x v="0"/>
    <n v="6435.6594000000005"/>
    <n v="6435.6594000000005"/>
    <n v="0"/>
    <n v="0"/>
    <x v="0"/>
    <x v="14"/>
  </r>
  <r>
    <s v="ORD00644"/>
    <d v="2024-11-05T00:00:00"/>
    <x v="3"/>
    <x v="226"/>
    <n v="197"/>
    <s v="INV00644"/>
    <n v="197"/>
    <n v="1067.6925000000001"/>
    <m/>
    <m/>
    <m/>
    <m/>
    <m/>
    <n v="1067.6925000000001"/>
    <d v="2023-03-14T00:00:00"/>
    <n v="0"/>
    <n v="0"/>
    <n v="0"/>
    <n v="0"/>
    <n v="0"/>
    <n v="0"/>
    <n v="0"/>
    <x v="0"/>
    <n v="210335.42250000002"/>
    <n v="210335.42250000002"/>
    <n v="0"/>
    <n v="0"/>
    <x v="0"/>
    <x v="4"/>
  </r>
  <r>
    <s v="ORD00645"/>
    <d v="2023-10-01T00:00:00"/>
    <x v="109"/>
    <x v="114"/>
    <n v="172"/>
    <s v="INV00645"/>
    <n v="172"/>
    <n v="945.38850000000002"/>
    <m/>
    <m/>
    <m/>
    <m/>
    <m/>
    <n v="945.38850000000002"/>
    <d v="2023-05-01T00:00:00"/>
    <n v="0"/>
    <n v="0"/>
    <n v="0"/>
    <n v="0"/>
    <n v="0"/>
    <n v="0"/>
    <n v="0"/>
    <x v="0"/>
    <n v="162606.82200000001"/>
    <n v="162606.82200000001"/>
    <n v="0"/>
    <n v="0"/>
    <x v="0"/>
    <x v="19"/>
  </r>
  <r>
    <s v="ORD00646"/>
    <d v="2023-09-16T00:00:00"/>
    <x v="455"/>
    <x v="23"/>
    <n v="115"/>
    <s v="INV00646"/>
    <n v="115"/>
    <n v="77.398200000000003"/>
    <m/>
    <m/>
    <m/>
    <m/>
    <m/>
    <n v="77.398200000000003"/>
    <d v="2023-04-16T00:00:00"/>
    <n v="0"/>
    <n v="0"/>
    <n v="0"/>
    <n v="0"/>
    <n v="0"/>
    <n v="0"/>
    <n v="0"/>
    <x v="0"/>
    <n v="8900.7929999999997"/>
    <n v="8900.7929999999997"/>
    <n v="0"/>
    <n v="0"/>
    <x v="0"/>
    <x v="18"/>
  </r>
  <r>
    <s v="ORD00647"/>
    <d v="2024-09-16T00:00:00"/>
    <x v="95"/>
    <x v="194"/>
    <n v="99"/>
    <s v="INV00647"/>
    <n v="99"/>
    <n v="415.8877"/>
    <m/>
    <m/>
    <m/>
    <m/>
    <m/>
    <n v="415.8877"/>
    <d v="2023-08-08T00:00:00"/>
    <n v="0"/>
    <n v="0"/>
    <n v="0"/>
    <n v="0"/>
    <n v="0"/>
    <n v="0"/>
    <n v="0"/>
    <x v="0"/>
    <n v="41172.882299999997"/>
    <n v="41172.882299999997"/>
    <n v="0"/>
    <n v="0"/>
    <x v="0"/>
    <x v="2"/>
  </r>
  <r>
    <s v="ORD00648"/>
    <d v="2024-09-27T00:00:00"/>
    <x v="416"/>
    <x v="153"/>
    <n v="35"/>
    <s v="INV00648"/>
    <n v="35"/>
    <n v="680.30940000000021"/>
    <m/>
    <m/>
    <m/>
    <m/>
    <m/>
    <n v="680.30940000000021"/>
    <d v="2023-01-08T00:00:00"/>
    <n v="0"/>
    <n v="0"/>
    <n v="0"/>
    <n v="0"/>
    <n v="0"/>
    <n v="0"/>
    <n v="0"/>
    <x v="0"/>
    <n v="23810.829000000009"/>
    <n v="23810.829000000009"/>
    <n v="0"/>
    <n v="0"/>
    <x v="0"/>
    <x v="2"/>
  </r>
  <r>
    <s v="ORD00649"/>
    <d v="2024-07-01T00:00:00"/>
    <x v="448"/>
    <x v="59"/>
    <n v="105"/>
    <s v="INV00649"/>
    <n v="105"/>
    <n v="942.54840000000013"/>
    <m/>
    <m/>
    <m/>
    <m/>
    <m/>
    <n v="942.54840000000013"/>
    <d v="2023-06-09T00:00:00"/>
    <n v="0"/>
    <n v="0"/>
    <n v="0"/>
    <n v="0"/>
    <n v="0"/>
    <n v="0"/>
    <n v="0"/>
    <x v="0"/>
    <n v="98967.582000000009"/>
    <n v="98967.582000000009"/>
    <n v="0"/>
    <n v="0"/>
    <x v="0"/>
    <x v="21"/>
  </r>
  <r>
    <s v="ORD00650"/>
    <d v="2023-08-17T00:00:00"/>
    <x v="456"/>
    <x v="185"/>
    <n v="92"/>
    <s v="INV00650"/>
    <n v="92"/>
    <n v="452.32560000000001"/>
    <n v="5"/>
    <d v="2023-04-02T00:00:00"/>
    <m/>
    <m/>
    <m/>
    <n v="452.32560000000001"/>
    <d v="2022-11-18T00:00:00"/>
    <n v="0"/>
    <n v="0"/>
    <n v="0"/>
    <n v="0"/>
    <n v="0"/>
    <n v="0"/>
    <n v="0"/>
    <x v="0"/>
    <n v="41613.955200000004"/>
    <n v="41613.955200000004"/>
    <n v="0"/>
    <n v="0"/>
    <x v="0"/>
    <x v="12"/>
  </r>
  <r>
    <s v="ORD00651"/>
    <d v="2023-08-27T00:00:00"/>
    <x v="201"/>
    <x v="154"/>
    <n v="70"/>
    <s v="INV00651"/>
    <n v="70"/>
    <n v="744.98490000000004"/>
    <m/>
    <m/>
    <m/>
    <m/>
    <m/>
    <n v="744.98490000000004"/>
    <d v="2023-07-31T00:00:00"/>
    <n v="0"/>
    <n v="0"/>
    <n v="0"/>
    <n v="0"/>
    <n v="0"/>
    <n v="0"/>
    <n v="0"/>
    <x v="0"/>
    <n v="52148.942999999999"/>
    <n v="52148.942999999999"/>
    <n v="0"/>
    <n v="0"/>
    <x v="0"/>
    <x v="12"/>
  </r>
  <r>
    <s v="ORD00652"/>
    <d v="2023-07-24T00:00:00"/>
    <x v="457"/>
    <x v="124"/>
    <n v="189"/>
    <s v="INV00652"/>
    <n v="189"/>
    <n v="381.97550000000001"/>
    <m/>
    <m/>
    <m/>
    <m/>
    <m/>
    <n v="381.97550000000001"/>
    <d v="2023-05-19T00:00:00"/>
    <n v="0"/>
    <n v="0"/>
    <n v="0"/>
    <n v="0"/>
    <n v="0"/>
    <n v="0"/>
    <n v="0"/>
    <x v="0"/>
    <n v="72193.369500000001"/>
    <n v="72193.369500000001"/>
    <n v="0"/>
    <n v="0"/>
    <x v="0"/>
    <x v="10"/>
  </r>
  <r>
    <s v="ORD00653"/>
    <d v="2024-10-26T00:00:00"/>
    <x v="370"/>
    <x v="83"/>
    <n v="135"/>
    <s v="INV00653"/>
    <n v="135"/>
    <n v="1157.6343999999999"/>
    <m/>
    <m/>
    <m/>
    <m/>
    <m/>
    <n v="1157.6343999999999"/>
    <d v="2023-02-02T00:00:00"/>
    <n v="0"/>
    <n v="0"/>
    <n v="0"/>
    <n v="0"/>
    <n v="0"/>
    <n v="0"/>
    <n v="0"/>
    <x v="0"/>
    <n v="156280.644"/>
    <n v="156280.644"/>
    <n v="0"/>
    <n v="0"/>
    <x v="0"/>
    <x v="5"/>
  </r>
  <r>
    <s v="ORD00654"/>
    <d v="2023-11-03T00:00:00"/>
    <x v="458"/>
    <x v="69"/>
    <n v="126"/>
    <s v="INV00654"/>
    <n v="126"/>
    <n v="876.32749999999999"/>
    <m/>
    <m/>
    <m/>
    <m/>
    <m/>
    <n v="876.32749999999999"/>
    <d v="2023-06-29T00:00:00"/>
    <n v="0"/>
    <n v="0"/>
    <n v="0"/>
    <n v="0"/>
    <n v="0"/>
    <n v="0"/>
    <n v="0"/>
    <x v="0"/>
    <n v="110417.265"/>
    <n v="110417.265"/>
    <n v="0"/>
    <n v="0"/>
    <x v="0"/>
    <x v="0"/>
  </r>
  <r>
    <s v="ORD00655"/>
    <d v="2023-09-29T00:00:00"/>
    <x v="459"/>
    <x v="122"/>
    <n v="31"/>
    <s v="INV00655"/>
    <n v="31"/>
    <n v="75.620999999999995"/>
    <m/>
    <m/>
    <m/>
    <m/>
    <m/>
    <n v="75.620999999999995"/>
    <d v="2023-07-01T00:00:00"/>
    <n v="0"/>
    <n v="0"/>
    <n v="0"/>
    <n v="0"/>
    <n v="0"/>
    <n v="0"/>
    <n v="0"/>
    <x v="0"/>
    <n v="2344.2509999999997"/>
    <n v="2344.2509999999997"/>
    <n v="0"/>
    <n v="0"/>
    <x v="0"/>
    <x v="18"/>
  </r>
  <r>
    <s v="ORD00656"/>
    <d v="2024-12-19T00:00:00"/>
    <x v="460"/>
    <x v="62"/>
    <n v="180"/>
    <s v="INV00656"/>
    <n v="180"/>
    <n v="1080.0740000000001"/>
    <m/>
    <m/>
    <m/>
    <m/>
    <m/>
    <n v="1080.0740000000001"/>
    <d v="2023-05-12T00:00:00"/>
    <n v="0"/>
    <n v="0"/>
    <n v="0"/>
    <n v="0"/>
    <n v="0"/>
    <n v="0"/>
    <n v="0"/>
    <x v="0"/>
    <n v="194413.32"/>
    <n v="194413.32"/>
    <n v="0"/>
    <n v="0"/>
    <x v="0"/>
    <x v="1"/>
  </r>
  <r>
    <s v="ORD00657"/>
    <d v="2024-03-12T00:00:00"/>
    <x v="27"/>
    <x v="150"/>
    <n v="177"/>
    <s v="INV00657"/>
    <n v="177"/>
    <n v="956.41030000000001"/>
    <m/>
    <m/>
    <m/>
    <m/>
    <m/>
    <n v="956.41030000000001"/>
    <d v="2023-08-30T00:00:00"/>
    <n v="0"/>
    <n v="0"/>
    <n v="0"/>
    <n v="0"/>
    <n v="0"/>
    <n v="0"/>
    <n v="0"/>
    <x v="0"/>
    <n v="169284.6231"/>
    <n v="169284.6231"/>
    <n v="0"/>
    <n v="0"/>
    <x v="0"/>
    <x v="6"/>
  </r>
  <r>
    <s v="ORD00658"/>
    <d v="2023-11-19T00:00:00"/>
    <x v="421"/>
    <x v="155"/>
    <n v="21"/>
    <s v="INV00658"/>
    <n v="21"/>
    <n v="565.82459999999992"/>
    <m/>
    <m/>
    <m/>
    <m/>
    <m/>
    <n v="565.82459999999992"/>
    <d v="2023-03-28T00:00:00"/>
    <n v="0"/>
    <n v="0"/>
    <n v="0"/>
    <n v="0"/>
    <n v="0"/>
    <n v="0"/>
    <n v="0"/>
    <x v="0"/>
    <n v="11882.316599999998"/>
    <n v="11882.316599999998"/>
    <n v="0"/>
    <n v="0"/>
    <x v="0"/>
    <x v="0"/>
  </r>
  <r>
    <s v="ORD00659"/>
    <d v="2023-04-18T00:00:00"/>
    <x v="461"/>
    <x v="261"/>
    <n v="86"/>
    <s v="INV00659"/>
    <n v="93"/>
    <n v="956.22119999999995"/>
    <m/>
    <m/>
    <m/>
    <m/>
    <m/>
    <n v="956.22119999999995"/>
    <d v="2022-12-11T00:00:00"/>
    <n v="0"/>
    <n v="1"/>
    <n v="0"/>
    <n v="0"/>
    <n v="0"/>
    <n v="0"/>
    <n v="0"/>
    <x v="1"/>
    <n v="88928.571599999996"/>
    <n v="82235.023199999996"/>
    <n v="6693.5483999999997"/>
    <n v="8"/>
    <x v="2"/>
    <x v="23"/>
  </r>
  <r>
    <s v="ORD00660"/>
    <d v="2023-06-13T00:00:00"/>
    <x v="50"/>
    <x v="50"/>
    <n v="167"/>
    <s v="INV00660"/>
    <n v="167"/>
    <n v="47.936999999999998"/>
    <m/>
    <m/>
    <m/>
    <m/>
    <m/>
    <n v="47.936999999999998"/>
    <d v="2023-01-08T00:00:00"/>
    <n v="0"/>
    <n v="0"/>
    <n v="0"/>
    <n v="0"/>
    <n v="0"/>
    <n v="0"/>
    <n v="0"/>
    <x v="0"/>
    <n v="8005.4789999999994"/>
    <n v="8005.4789999999994"/>
    <n v="0"/>
    <n v="0"/>
    <x v="0"/>
    <x v="14"/>
  </r>
  <r>
    <s v="ORD00661"/>
    <d v="2024-06-02T00:00:00"/>
    <x v="57"/>
    <x v="46"/>
    <n v="7"/>
    <s v="INV00661"/>
    <n v="7"/>
    <n v="509.36320000000001"/>
    <m/>
    <m/>
    <m/>
    <m/>
    <m/>
    <n v="509.36320000000001"/>
    <d v="2023-09-02T00:00:00"/>
    <n v="0"/>
    <n v="0"/>
    <n v="0"/>
    <n v="0"/>
    <n v="0"/>
    <n v="0"/>
    <n v="0"/>
    <x v="0"/>
    <n v="3565.5424000000003"/>
    <n v="3565.5424000000003"/>
    <n v="0"/>
    <n v="0"/>
    <x v="0"/>
    <x v="16"/>
  </r>
  <r>
    <s v="ORD00662"/>
    <d v="2024-06-10T00:00:00"/>
    <x v="293"/>
    <x v="12"/>
    <n v="64"/>
    <s v="INV00662"/>
    <n v="64"/>
    <n v="689.58720000000005"/>
    <m/>
    <m/>
    <m/>
    <m/>
    <m/>
    <n v="689.58720000000005"/>
    <d v="2023-10-25T00:00:00"/>
    <n v="0"/>
    <n v="0"/>
    <n v="0"/>
    <n v="0"/>
    <n v="0"/>
    <n v="0"/>
    <n v="0"/>
    <x v="0"/>
    <n v="44133.580800000003"/>
    <n v="44133.580800000003"/>
    <n v="0"/>
    <n v="0"/>
    <x v="0"/>
    <x v="16"/>
  </r>
  <r>
    <s v="ORD00663"/>
    <d v="2023-01-23T00:00:00"/>
    <x v="334"/>
    <x v="5"/>
    <n v="51"/>
    <s v="INV00663"/>
    <n v="59"/>
    <n v="1058.8501976609243"/>
    <m/>
    <m/>
    <m/>
    <m/>
    <m/>
    <n v="1058.3499999999999"/>
    <d v="2022-06-22T00:00:00"/>
    <n v="0"/>
    <n v="1"/>
    <n v="1"/>
    <n v="0"/>
    <n v="0"/>
    <n v="0"/>
    <n v="0"/>
    <x v="1"/>
    <n v="62472.161661994534"/>
    <n v="53975.85"/>
    <n v="8496.3116619945358"/>
    <n v="12"/>
    <x v="2"/>
    <x v="8"/>
  </r>
  <r>
    <s v="ORD00664"/>
    <d v="2024-02-10T00:00:00"/>
    <x v="462"/>
    <x v="265"/>
    <n v="43"/>
    <s v="INV00664"/>
    <n v="43"/>
    <n v="223.6044"/>
    <m/>
    <m/>
    <m/>
    <m/>
    <m/>
    <n v="223.6044"/>
    <d v="2023-06-14T00:00:00"/>
    <n v="0"/>
    <n v="0"/>
    <n v="0"/>
    <n v="0"/>
    <n v="0"/>
    <n v="0"/>
    <n v="0"/>
    <x v="0"/>
    <n v="9614.9892"/>
    <n v="9614.9892"/>
    <n v="0"/>
    <n v="0"/>
    <x v="0"/>
    <x v="3"/>
  </r>
  <r>
    <s v="ORD00665"/>
    <d v="2024-06-29T00:00:00"/>
    <x v="463"/>
    <x v="179"/>
    <n v="26"/>
    <s v="INV00665"/>
    <n v="26"/>
    <n v="72.63"/>
    <m/>
    <m/>
    <m/>
    <m/>
    <m/>
    <n v="72.63"/>
    <d v="2023-01-30T00:00:00"/>
    <n v="0"/>
    <n v="0"/>
    <n v="0"/>
    <n v="0"/>
    <n v="0"/>
    <n v="0"/>
    <n v="0"/>
    <x v="0"/>
    <n v="1888.3799999999999"/>
    <n v="1888.3799999999999"/>
    <n v="0"/>
    <n v="0"/>
    <x v="0"/>
    <x v="16"/>
  </r>
  <r>
    <s v="ORD00666"/>
    <d v="2023-09-09T00:00:00"/>
    <x v="448"/>
    <x v="23"/>
    <n v="38"/>
    <s v="INV00666"/>
    <n v="38"/>
    <n v="77.398200000000003"/>
    <m/>
    <m/>
    <m/>
    <m/>
    <m/>
    <n v="77.398200000000003"/>
    <d v="2023-04-16T00:00:00"/>
    <n v="0"/>
    <n v="0"/>
    <n v="0"/>
    <n v="0"/>
    <n v="0"/>
    <n v="0"/>
    <n v="0"/>
    <x v="0"/>
    <n v="2941.1316000000002"/>
    <n v="2941.1316000000002"/>
    <n v="0"/>
    <n v="0"/>
    <x v="0"/>
    <x v="18"/>
  </r>
  <r>
    <s v="ORD00667"/>
    <d v="2024-04-30T00:00:00"/>
    <x v="396"/>
    <x v="199"/>
    <n v="191"/>
    <s v="INV00667"/>
    <n v="191"/>
    <n v="334.24649999999997"/>
    <m/>
    <m/>
    <m/>
    <m/>
    <m/>
    <n v="334.24649999999997"/>
    <d v="2023-07-18T00:00:00"/>
    <n v="0"/>
    <n v="0"/>
    <n v="0"/>
    <n v="0"/>
    <n v="0"/>
    <n v="0"/>
    <n v="0"/>
    <x v="0"/>
    <n v="63841.081499999993"/>
    <n v="63841.081499999993"/>
    <n v="0"/>
    <n v="0"/>
    <x v="0"/>
    <x v="9"/>
  </r>
  <r>
    <s v="ORD00668"/>
    <d v="2023-04-23T00:00:00"/>
    <x v="464"/>
    <x v="70"/>
    <n v="54"/>
    <s v="INV00668"/>
    <n v="54"/>
    <n v="72.858600000000024"/>
    <m/>
    <m/>
    <m/>
    <m/>
    <m/>
    <n v="72.858600000000024"/>
    <d v="2022-11-17T00:00:00"/>
    <n v="0"/>
    <n v="0"/>
    <n v="0"/>
    <n v="0"/>
    <n v="0"/>
    <n v="0"/>
    <n v="0"/>
    <x v="0"/>
    <n v="3934.3644000000013"/>
    <n v="3934.3644000000013"/>
    <n v="0"/>
    <n v="0"/>
    <x v="0"/>
    <x v="23"/>
  </r>
  <r>
    <s v="ORD00669"/>
    <d v="2023-05-29T00:00:00"/>
    <x v="465"/>
    <x v="91"/>
    <n v="36"/>
    <s v="INV00669"/>
    <n v="36"/>
    <n v="599.21640000000014"/>
    <m/>
    <m/>
    <m/>
    <m/>
    <m/>
    <n v="599.21640000000014"/>
    <d v="2023-05-09T00:00:00"/>
    <n v="0"/>
    <n v="0"/>
    <n v="0"/>
    <n v="0"/>
    <n v="0"/>
    <n v="0"/>
    <n v="0"/>
    <x v="0"/>
    <n v="21571.790400000005"/>
    <n v="21571.790400000005"/>
    <n v="0"/>
    <n v="0"/>
    <x v="0"/>
    <x v="7"/>
  </r>
  <r>
    <s v="ORD00670"/>
    <d v="2024-08-22T00:00:00"/>
    <x v="54"/>
    <x v="61"/>
    <n v="97"/>
    <s v="INV00670"/>
    <n v="94"/>
    <n v="759.48969999999997"/>
    <m/>
    <m/>
    <m/>
    <m/>
    <m/>
    <n v="759.48969999999997"/>
    <d v="2023-07-31T00:00:00"/>
    <n v="0"/>
    <n v="1"/>
    <n v="0"/>
    <n v="0"/>
    <n v="0"/>
    <n v="0"/>
    <n v="0"/>
    <x v="1"/>
    <n v="71392.031799999997"/>
    <n v="73670.500899999999"/>
    <n v="-2278.4691000000021"/>
    <n v="8"/>
    <x v="2"/>
    <x v="22"/>
  </r>
  <r>
    <s v="ORD00671"/>
    <d v="2023-04-25T00:00:00"/>
    <x v="104"/>
    <x v="78"/>
    <n v="139"/>
    <s v="INV00671"/>
    <n v="139"/>
    <n v="376.62"/>
    <m/>
    <m/>
    <m/>
    <m/>
    <m/>
    <n v="376.62"/>
    <d v="2022-07-05T00:00:00"/>
    <n v="0"/>
    <n v="0"/>
    <n v="0"/>
    <n v="0"/>
    <n v="0"/>
    <n v="0"/>
    <n v="0"/>
    <x v="0"/>
    <n v="52350.18"/>
    <n v="52350.18"/>
    <n v="0"/>
    <n v="0"/>
    <x v="0"/>
    <x v="23"/>
  </r>
  <r>
    <s v="ORD00672"/>
    <d v="2024-10-27T00:00:00"/>
    <x v="466"/>
    <x v="228"/>
    <n v="29"/>
    <s v="INV00672"/>
    <n v="29"/>
    <n v="952.36940000000004"/>
    <n v="18"/>
    <d v="2023-04-26T00:00:00"/>
    <m/>
    <m/>
    <m/>
    <n v="952.36940000000004"/>
    <d v="2023-08-31T00:00:00"/>
    <n v="0"/>
    <n v="0"/>
    <n v="0"/>
    <n v="0"/>
    <n v="0"/>
    <n v="0"/>
    <n v="0"/>
    <x v="0"/>
    <n v="27618.712600000003"/>
    <n v="27618.712600000003"/>
    <n v="0"/>
    <n v="0"/>
    <x v="0"/>
    <x v="5"/>
  </r>
  <r>
    <s v="ORD00673"/>
    <d v="2023-04-17T00:00:00"/>
    <x v="467"/>
    <x v="204"/>
    <n v="69"/>
    <s v="INV00673"/>
    <n v="69"/>
    <n v="921.76"/>
    <n v="7"/>
    <d v="2024-03-04T00:00:00"/>
    <m/>
    <m/>
    <m/>
    <n v="921.76"/>
    <d v="2022-04-11T00:00:00"/>
    <n v="0"/>
    <n v="0"/>
    <n v="0"/>
    <n v="0"/>
    <n v="0"/>
    <n v="1"/>
    <n v="0"/>
    <x v="1"/>
    <n v="63601.440000000002"/>
    <n v="63601.440000000002"/>
    <n v="0"/>
    <n v="2"/>
    <x v="1"/>
    <x v="23"/>
  </r>
  <r>
    <s v="ORD00674"/>
    <d v="2023-01-30T00:00:00"/>
    <x v="436"/>
    <x v="68"/>
    <n v="143"/>
    <s v="INV00674"/>
    <n v="143"/>
    <n v="157.13"/>
    <n v="17"/>
    <d v="2024-02-18T00:00:00"/>
    <m/>
    <m/>
    <m/>
    <n v="157.13"/>
    <d v="2022-06-29T00:00:00"/>
    <n v="0"/>
    <n v="0"/>
    <n v="0"/>
    <n v="0"/>
    <n v="0"/>
    <n v="1"/>
    <n v="0"/>
    <x v="1"/>
    <n v="22469.59"/>
    <n v="22469.59"/>
    <n v="0"/>
    <n v="2"/>
    <x v="1"/>
    <x v="8"/>
  </r>
  <r>
    <s v="ORD00675"/>
    <d v="2024-05-04T00:00:00"/>
    <x v="174"/>
    <x v="150"/>
    <n v="162"/>
    <s v="INV00675"/>
    <n v="162"/>
    <n v="956.41030000000001"/>
    <n v="8"/>
    <d v="2024-08-14T00:00:00"/>
    <m/>
    <m/>
    <m/>
    <n v="956.41030000000001"/>
    <d v="2023-08-30T00:00:00"/>
    <n v="0"/>
    <n v="0"/>
    <n v="0"/>
    <n v="0"/>
    <n v="0"/>
    <n v="1"/>
    <n v="0"/>
    <x v="1"/>
    <n v="154938.46859999999"/>
    <n v="154938.46859999999"/>
    <n v="0"/>
    <n v="2"/>
    <x v="1"/>
    <x v="13"/>
  </r>
  <r>
    <s v="ORD00676"/>
    <d v="2024-06-01T00:00:00"/>
    <x v="468"/>
    <x v="134"/>
    <n v="128"/>
    <s v="INV00676"/>
    <n v="126"/>
    <n v="410.02"/>
    <m/>
    <m/>
    <m/>
    <m/>
    <m/>
    <n v="410.02"/>
    <d v="2023-04-01T00:00:00"/>
    <n v="0"/>
    <n v="1"/>
    <n v="0"/>
    <n v="0"/>
    <n v="0"/>
    <n v="0"/>
    <n v="0"/>
    <x v="1"/>
    <n v="51662.52"/>
    <n v="52482.559999999998"/>
    <n v="-820.04000000000087"/>
    <n v="8"/>
    <x v="2"/>
    <x v="16"/>
  </r>
  <r>
    <s v="ORD00677"/>
    <d v="2023-01-30T00:00:00"/>
    <x v="403"/>
    <x v="95"/>
    <n v="123"/>
    <s v="INV00677"/>
    <n v="123"/>
    <n v="951.87149999999997"/>
    <m/>
    <m/>
    <m/>
    <m/>
    <m/>
    <n v="951.87149999999997"/>
    <d v="2022-11-22T00:00:00"/>
    <n v="0"/>
    <n v="0"/>
    <n v="0"/>
    <n v="0"/>
    <n v="0"/>
    <n v="0"/>
    <n v="0"/>
    <x v="0"/>
    <n v="117080.1945"/>
    <n v="117080.1945"/>
    <n v="0"/>
    <n v="0"/>
    <x v="0"/>
    <x v="8"/>
  </r>
  <r>
    <s v="ORD00678"/>
    <d v="2023-09-29T00:00:00"/>
    <x v="391"/>
    <x v="147"/>
    <n v="44"/>
    <s v="INV00678"/>
    <n v="44"/>
    <n v="1195.6769999999999"/>
    <m/>
    <m/>
    <m/>
    <m/>
    <m/>
    <n v="1195.6769999999999"/>
    <d v="2023-03-25T00:00:00"/>
    <n v="0"/>
    <n v="0"/>
    <n v="0"/>
    <n v="0"/>
    <n v="0"/>
    <n v="0"/>
    <n v="0"/>
    <x v="0"/>
    <n v="52609.787999999993"/>
    <n v="52609.787999999993"/>
    <n v="0"/>
    <n v="0"/>
    <x v="0"/>
    <x v="18"/>
  </r>
  <r>
    <s v="ORD00679"/>
    <d v="2024-10-07T00:00:00"/>
    <x v="157"/>
    <x v="95"/>
    <n v="117"/>
    <s v="INV00679"/>
    <n v="117"/>
    <n v="1072.1079000000002"/>
    <m/>
    <m/>
    <m/>
    <m/>
    <m/>
    <n v="1072.1079000000002"/>
    <d v="2023-04-19T00:00:00"/>
    <n v="0"/>
    <n v="0"/>
    <n v="0"/>
    <n v="0"/>
    <n v="0"/>
    <n v="0"/>
    <n v="0"/>
    <x v="0"/>
    <n v="125436.62430000002"/>
    <n v="125436.62430000002"/>
    <n v="0"/>
    <n v="0"/>
    <x v="0"/>
    <x v="5"/>
  </r>
  <r>
    <s v="ORD00680"/>
    <d v="2024-02-01T00:00:00"/>
    <x v="121"/>
    <x v="155"/>
    <n v="194"/>
    <s v="INV00680"/>
    <n v="194"/>
    <n v="565.82459999999992"/>
    <m/>
    <m/>
    <m/>
    <m/>
    <m/>
    <n v="565.82459999999992"/>
    <d v="2023-03-28T00:00:00"/>
    <n v="0"/>
    <n v="0"/>
    <n v="0"/>
    <n v="0"/>
    <n v="0"/>
    <n v="0"/>
    <n v="0"/>
    <x v="0"/>
    <n v="109769.97239999998"/>
    <n v="109769.97239999998"/>
    <n v="0"/>
    <n v="0"/>
    <x v="0"/>
    <x v="3"/>
  </r>
  <r>
    <s v="ORD00681"/>
    <d v="2023-06-10T00:00:00"/>
    <x v="469"/>
    <x v="200"/>
    <n v="196"/>
    <s v="INV00681"/>
    <n v="196"/>
    <n v="74.311500000000009"/>
    <m/>
    <m/>
    <m/>
    <m/>
    <m/>
    <n v="74.311500000000009"/>
    <d v="2023-03-11T00:00:00"/>
    <n v="0"/>
    <n v="0"/>
    <n v="0"/>
    <n v="0"/>
    <n v="0"/>
    <n v="0"/>
    <n v="0"/>
    <x v="0"/>
    <n v="14565.054000000002"/>
    <n v="14565.054000000002"/>
    <n v="0"/>
    <n v="0"/>
    <x v="0"/>
    <x v="14"/>
  </r>
  <r>
    <s v="ORD00682"/>
    <d v="2023-07-20T00:00:00"/>
    <x v="470"/>
    <x v="208"/>
    <n v="108"/>
    <s v="INV00682"/>
    <n v="108"/>
    <n v="107.1605"/>
    <m/>
    <m/>
    <m/>
    <m/>
    <m/>
    <n v="107.1605"/>
    <d v="2023-02-13T00:00:00"/>
    <n v="0"/>
    <n v="0"/>
    <n v="0"/>
    <n v="0"/>
    <n v="0"/>
    <n v="0"/>
    <n v="0"/>
    <x v="0"/>
    <n v="11573.334000000001"/>
    <n v="11573.334000000001"/>
    <n v="0"/>
    <n v="0"/>
    <x v="0"/>
    <x v="10"/>
  </r>
  <r>
    <s v="ORD00683"/>
    <d v="2023-09-20T00:00:00"/>
    <x v="255"/>
    <x v="73"/>
    <n v="152"/>
    <s v="INV00683"/>
    <n v="152"/>
    <n v="1006.5033"/>
    <m/>
    <m/>
    <m/>
    <m/>
    <m/>
    <n v="1006.5033"/>
    <d v="2023-07-16T00:00:00"/>
    <n v="0"/>
    <n v="0"/>
    <n v="0"/>
    <n v="0"/>
    <n v="0"/>
    <n v="0"/>
    <n v="0"/>
    <x v="0"/>
    <n v="152988.50159999999"/>
    <n v="152988.50159999999"/>
    <n v="0"/>
    <n v="0"/>
    <x v="0"/>
    <x v="18"/>
  </r>
  <r>
    <s v="ORD00684"/>
    <d v="2024-02-07T00:00:00"/>
    <x v="155"/>
    <x v="8"/>
    <n v="7"/>
    <s v="INV00684"/>
    <n v="7"/>
    <n v="376.82319999999999"/>
    <m/>
    <m/>
    <m/>
    <m/>
    <m/>
    <n v="376.82319999999999"/>
    <d v="2023-09-02T00:00:00"/>
    <n v="0"/>
    <n v="0"/>
    <n v="0"/>
    <n v="0"/>
    <n v="0"/>
    <n v="0"/>
    <n v="0"/>
    <x v="0"/>
    <n v="2637.7624000000001"/>
    <n v="2637.7624000000001"/>
    <n v="0"/>
    <n v="0"/>
    <x v="0"/>
    <x v="3"/>
  </r>
  <r>
    <s v="ORD00685"/>
    <d v="2024-01-11T00:00:00"/>
    <x v="439"/>
    <x v="170"/>
    <n v="100"/>
    <s v="INV00685"/>
    <n v="100"/>
    <n v="825.13580000000002"/>
    <m/>
    <m/>
    <m/>
    <m/>
    <m/>
    <n v="825.13580000000002"/>
    <d v="2023-03-13T00:00:00"/>
    <n v="0"/>
    <n v="0"/>
    <n v="0"/>
    <n v="0"/>
    <n v="0"/>
    <n v="0"/>
    <n v="0"/>
    <x v="0"/>
    <n v="82513.58"/>
    <n v="82513.58"/>
    <n v="0"/>
    <n v="0"/>
    <x v="0"/>
    <x v="15"/>
  </r>
  <r>
    <s v="ORD00686"/>
    <d v="2023-06-22T00:00:00"/>
    <x v="359"/>
    <x v="96"/>
    <n v="135"/>
    <s v="INV00686"/>
    <n v="135"/>
    <n v="442.15679999999998"/>
    <m/>
    <m/>
    <m/>
    <m/>
    <m/>
    <n v="442.15679999999998"/>
    <d v="2022-09-28T00:00:00"/>
    <n v="0"/>
    <n v="0"/>
    <n v="0"/>
    <n v="0"/>
    <n v="0"/>
    <n v="0"/>
    <n v="0"/>
    <x v="0"/>
    <n v="59691.167999999998"/>
    <n v="59691.167999999998"/>
    <n v="0"/>
    <n v="0"/>
    <x v="0"/>
    <x v="14"/>
  </r>
  <r>
    <s v="ORD00687"/>
    <d v="2023-08-18T00:00:00"/>
    <x v="471"/>
    <x v="52"/>
    <n v="181"/>
    <s v="INV00687"/>
    <n v="181"/>
    <n v="63.7194"/>
    <m/>
    <m/>
    <m/>
    <m/>
    <m/>
    <n v="63.7194"/>
    <d v="2022-11-02T00:00:00"/>
    <n v="0"/>
    <n v="0"/>
    <n v="0"/>
    <n v="0"/>
    <n v="0"/>
    <n v="0"/>
    <n v="0"/>
    <x v="0"/>
    <n v="11533.2114"/>
    <n v="11533.2114"/>
    <n v="0"/>
    <n v="0"/>
    <x v="0"/>
    <x v="12"/>
  </r>
  <r>
    <s v="ORD00688"/>
    <d v="2024-02-29T00:00:00"/>
    <x v="247"/>
    <x v="266"/>
    <n v="148"/>
    <s v="INV00688"/>
    <n v="148"/>
    <n v="378.91109999999998"/>
    <m/>
    <m/>
    <m/>
    <m/>
    <m/>
    <n v="378.91109999999998"/>
    <d v="2023-07-10T00:00:00"/>
    <n v="0"/>
    <n v="0"/>
    <n v="0"/>
    <n v="0"/>
    <n v="0"/>
    <n v="0"/>
    <n v="0"/>
    <x v="0"/>
    <n v="56078.842799999999"/>
    <n v="56078.842799999999"/>
    <n v="0"/>
    <n v="0"/>
    <x v="0"/>
    <x v="3"/>
  </r>
  <r>
    <s v="ORD00689"/>
    <d v="2023-06-14T00:00:00"/>
    <x v="472"/>
    <x v="68"/>
    <n v="179"/>
    <s v="INV00689"/>
    <n v="179"/>
    <n v="168.12909999999999"/>
    <m/>
    <m/>
    <m/>
    <m/>
    <m/>
    <n v="168.12909999999999"/>
    <d v="2023-03-28T00:00:00"/>
    <n v="0"/>
    <n v="0"/>
    <n v="0"/>
    <n v="0"/>
    <n v="0"/>
    <n v="0"/>
    <n v="0"/>
    <x v="0"/>
    <n v="30095.108899999999"/>
    <n v="30095.108899999999"/>
    <n v="0"/>
    <n v="0"/>
    <x v="0"/>
    <x v="14"/>
  </r>
  <r>
    <s v="ORD00690"/>
    <d v="2023-09-28T00:00:00"/>
    <x v="473"/>
    <x v="96"/>
    <n v="86"/>
    <s v="INV00690"/>
    <n v="86"/>
    <n v="442.15679999999998"/>
    <m/>
    <m/>
    <m/>
    <m/>
    <m/>
    <n v="442.15679999999998"/>
    <d v="2022-09-28T00:00:00"/>
    <n v="0"/>
    <n v="0"/>
    <n v="0"/>
    <n v="0"/>
    <n v="0"/>
    <n v="0"/>
    <n v="0"/>
    <x v="0"/>
    <n v="38025.484799999998"/>
    <n v="38025.484799999998"/>
    <n v="0"/>
    <n v="0"/>
    <x v="0"/>
    <x v="18"/>
  </r>
  <r>
    <s v="ORD00691"/>
    <d v="2024-09-07T00:00:00"/>
    <x v="375"/>
    <x v="154"/>
    <n v="151"/>
    <s v="INV00691"/>
    <n v="151"/>
    <n v="744.98490000000004"/>
    <m/>
    <m/>
    <m/>
    <m/>
    <m/>
    <n v="744.98490000000004"/>
    <d v="2023-07-31T00:00:00"/>
    <n v="0"/>
    <n v="0"/>
    <n v="0"/>
    <n v="0"/>
    <n v="0"/>
    <n v="0"/>
    <n v="0"/>
    <x v="0"/>
    <n v="112492.71990000001"/>
    <n v="112492.71990000001"/>
    <n v="0"/>
    <n v="0"/>
    <x v="0"/>
    <x v="2"/>
  </r>
  <r>
    <s v="ORD00692"/>
    <d v="2024-04-26T00:00:00"/>
    <x v="214"/>
    <x v="251"/>
    <n v="194"/>
    <s v="INV00692"/>
    <n v="194"/>
    <n v="75.504800000000003"/>
    <m/>
    <m/>
    <m/>
    <m/>
    <m/>
    <n v="75.504800000000003"/>
    <d v="2023-06-03T00:00:00"/>
    <n v="0"/>
    <n v="0"/>
    <n v="0"/>
    <n v="0"/>
    <n v="0"/>
    <n v="0"/>
    <n v="0"/>
    <x v="0"/>
    <n v="14647.931200000001"/>
    <n v="14647.931200000001"/>
    <n v="0"/>
    <n v="0"/>
    <x v="0"/>
    <x v="9"/>
  </r>
  <r>
    <s v="ORD00693"/>
    <d v="2024-08-18T00:00:00"/>
    <x v="474"/>
    <x v="57"/>
    <n v="176"/>
    <s v="INV00693"/>
    <n v="176"/>
    <n v="517.39100000000008"/>
    <m/>
    <m/>
    <m/>
    <m/>
    <m/>
    <n v="517.39100000000008"/>
    <d v="2023-04-29T00:00:00"/>
    <n v="0"/>
    <n v="0"/>
    <n v="0"/>
    <n v="0"/>
    <n v="0"/>
    <n v="0"/>
    <n v="0"/>
    <x v="0"/>
    <n v="91060.816000000021"/>
    <n v="91060.816000000021"/>
    <n v="0"/>
    <n v="0"/>
    <x v="0"/>
    <x v="22"/>
  </r>
  <r>
    <s v="ORD00694"/>
    <d v="2024-03-18T00:00:00"/>
    <x v="475"/>
    <x v="62"/>
    <n v="22"/>
    <s v="INV00694"/>
    <n v="22"/>
    <n v="1080.0740000000001"/>
    <m/>
    <m/>
    <m/>
    <m/>
    <m/>
    <n v="1080.0740000000001"/>
    <d v="2023-05-12T00:00:00"/>
    <n v="0"/>
    <n v="0"/>
    <n v="0"/>
    <n v="0"/>
    <n v="0"/>
    <n v="0"/>
    <n v="0"/>
    <x v="0"/>
    <n v="23761.628000000001"/>
    <n v="23761.628000000001"/>
    <n v="0"/>
    <n v="0"/>
    <x v="0"/>
    <x v="6"/>
  </r>
  <r>
    <s v="ORD00695"/>
    <d v="2024-08-01T00:00:00"/>
    <x v="170"/>
    <x v="239"/>
    <n v="74"/>
    <s v="INV00695"/>
    <n v="74"/>
    <n v="1197.9306999999999"/>
    <m/>
    <m/>
    <m/>
    <m/>
    <m/>
    <n v="1197.9306999999999"/>
    <d v="2023-06-12T00:00:00"/>
    <n v="0"/>
    <n v="0"/>
    <n v="0"/>
    <n v="0"/>
    <n v="0"/>
    <n v="0"/>
    <n v="0"/>
    <x v="0"/>
    <n v="88646.871799999994"/>
    <n v="88646.871799999994"/>
    <n v="0"/>
    <n v="0"/>
    <x v="0"/>
    <x v="22"/>
  </r>
  <r>
    <s v="ORD00696"/>
    <d v="2023-03-08T00:00:00"/>
    <x v="228"/>
    <x v="238"/>
    <n v="125"/>
    <s v="INV00696"/>
    <n v="125"/>
    <n v="1085.2801000000002"/>
    <m/>
    <m/>
    <m/>
    <m/>
    <m/>
    <n v="1085.2801000000002"/>
    <d v="2022-10-01T00:00:00"/>
    <n v="0"/>
    <n v="0"/>
    <n v="0"/>
    <n v="0"/>
    <n v="0"/>
    <n v="0"/>
    <n v="0"/>
    <x v="0"/>
    <n v="135660.01250000001"/>
    <n v="135660.01250000001"/>
    <n v="0"/>
    <n v="0"/>
    <x v="0"/>
    <x v="17"/>
  </r>
  <r>
    <s v="ORD00697"/>
    <d v="2023-12-15T00:00:00"/>
    <x v="476"/>
    <x v="61"/>
    <n v="154"/>
    <s v="INV00697"/>
    <n v="154"/>
    <n v="759.48969999999997"/>
    <m/>
    <m/>
    <m/>
    <m/>
    <m/>
    <n v="759.48969999999997"/>
    <d v="2023-07-31T00:00:00"/>
    <n v="0"/>
    <n v="0"/>
    <n v="0"/>
    <n v="0"/>
    <n v="0"/>
    <n v="0"/>
    <n v="0"/>
    <x v="0"/>
    <n v="116961.41379999999"/>
    <n v="116961.41379999999"/>
    <n v="0"/>
    <n v="0"/>
    <x v="0"/>
    <x v="20"/>
  </r>
  <r>
    <s v="ORD00698"/>
    <d v="2023-04-09T00:00:00"/>
    <x v="82"/>
    <x v="218"/>
    <n v="183"/>
    <s v="INV00698"/>
    <n v="183"/>
    <n v="1011.43"/>
    <m/>
    <m/>
    <m/>
    <m/>
    <m/>
    <n v="1011.43"/>
    <d v="2022-06-12T00:00:00"/>
    <n v="0"/>
    <n v="0"/>
    <n v="0"/>
    <n v="0"/>
    <n v="0"/>
    <n v="0"/>
    <n v="0"/>
    <x v="0"/>
    <n v="185091.69"/>
    <n v="185091.69"/>
    <n v="0"/>
    <n v="0"/>
    <x v="0"/>
    <x v="23"/>
  </r>
  <r>
    <s v="ORD00699"/>
    <d v="2024-12-07T00:00:00"/>
    <x v="477"/>
    <x v="42"/>
    <n v="92"/>
    <s v="INV00699"/>
    <n v="92"/>
    <n v="946.74860000000001"/>
    <n v="4"/>
    <d v="2024-04-08T00:00:00"/>
    <m/>
    <m/>
    <m/>
    <n v="946.74860000000001"/>
    <d v="2023-04-22T00:00:00"/>
    <n v="0"/>
    <n v="0"/>
    <n v="0"/>
    <n v="0"/>
    <n v="0"/>
    <n v="0"/>
    <n v="0"/>
    <x v="0"/>
    <n v="87100.871199999994"/>
    <n v="87100.871199999994"/>
    <n v="0"/>
    <n v="0"/>
    <x v="0"/>
    <x v="1"/>
  </r>
  <r>
    <s v="ORD00700"/>
    <d v="2023-02-16T00:00:00"/>
    <x v="243"/>
    <x v="160"/>
    <n v="126"/>
    <s v="INV00700"/>
    <n v="126"/>
    <n v="431.81990000000002"/>
    <m/>
    <m/>
    <m/>
    <m/>
    <m/>
    <n v="431.81990000000002"/>
    <d v="2022-09-03T00:00:00"/>
    <n v="0"/>
    <n v="0"/>
    <n v="0"/>
    <n v="0"/>
    <n v="0"/>
    <n v="0"/>
    <n v="0"/>
    <x v="0"/>
    <n v="54409.307400000005"/>
    <n v="54409.307400000005"/>
    <n v="0"/>
    <n v="0"/>
    <x v="0"/>
    <x v="11"/>
  </r>
  <r>
    <s v="ORD00701"/>
    <d v="2023-10-23T00:00:00"/>
    <x v="213"/>
    <x v="192"/>
    <n v="114"/>
    <s v="INV00701"/>
    <n v="114"/>
    <n v="247.48920000000001"/>
    <m/>
    <m/>
    <m/>
    <m/>
    <m/>
    <n v="247.48920000000001"/>
    <d v="2023-06-11T00:00:00"/>
    <n v="0"/>
    <n v="0"/>
    <n v="0"/>
    <n v="0"/>
    <n v="0"/>
    <n v="0"/>
    <n v="0"/>
    <x v="0"/>
    <n v="28213.768800000002"/>
    <n v="28213.768800000002"/>
    <n v="0"/>
    <n v="0"/>
    <x v="0"/>
    <x v="19"/>
  </r>
  <r>
    <s v="ORD00702"/>
    <d v="2024-11-29T00:00:00"/>
    <x v="478"/>
    <x v="152"/>
    <n v="15"/>
    <s v="INV00702"/>
    <n v="15"/>
    <n v="403.01909999999998"/>
    <m/>
    <m/>
    <m/>
    <m/>
    <m/>
    <n v="403.01909999999998"/>
    <d v="2023-05-10T00:00:00"/>
    <n v="0"/>
    <n v="0"/>
    <n v="0"/>
    <n v="0"/>
    <n v="0"/>
    <n v="0"/>
    <n v="0"/>
    <x v="0"/>
    <n v="6045.2865000000002"/>
    <n v="6045.2865000000002"/>
    <n v="0"/>
    <n v="0"/>
    <x v="0"/>
    <x v="4"/>
  </r>
  <r>
    <s v="ORD00703"/>
    <d v="2024-04-23T00:00:00"/>
    <x v="224"/>
    <x v="267"/>
    <n v="135"/>
    <s v="INV00703"/>
    <n v="135"/>
    <n v="68.942999999999998"/>
    <m/>
    <m/>
    <m/>
    <m/>
    <m/>
    <n v="68.942999999999998"/>
    <d v="2023-03-13T00:00:00"/>
    <n v="0"/>
    <n v="0"/>
    <n v="0"/>
    <n v="0"/>
    <n v="0"/>
    <n v="0"/>
    <n v="0"/>
    <x v="0"/>
    <n v="9307.3050000000003"/>
    <n v="9307.3050000000003"/>
    <n v="0"/>
    <n v="0"/>
    <x v="0"/>
    <x v="9"/>
  </r>
  <r>
    <s v="ORD00704"/>
    <d v="2024-03-06T00:00:00"/>
    <x v="96"/>
    <x v="22"/>
    <n v="196"/>
    <s v="INV00704"/>
    <n v="196"/>
    <n v="626.68790000000001"/>
    <m/>
    <m/>
    <m/>
    <m/>
    <m/>
    <n v="626.68790000000001"/>
    <d v="2023-06-26T00:00:00"/>
    <n v="0"/>
    <n v="0"/>
    <n v="0"/>
    <n v="0"/>
    <n v="0"/>
    <n v="0"/>
    <n v="0"/>
    <x v="0"/>
    <n v="122830.8284"/>
    <n v="122830.8284"/>
    <n v="0"/>
    <n v="0"/>
    <x v="0"/>
    <x v="6"/>
  </r>
  <r>
    <s v="ORD00705"/>
    <d v="2024-10-23T00:00:00"/>
    <x v="479"/>
    <x v="43"/>
    <n v="47"/>
    <s v="INV00705"/>
    <n v="47"/>
    <n v="1190.6054999999999"/>
    <m/>
    <m/>
    <m/>
    <m/>
    <m/>
    <n v="1190.6054999999999"/>
    <d v="2023-02-27T00:00:00"/>
    <n v="0"/>
    <n v="0"/>
    <n v="0"/>
    <n v="0"/>
    <n v="0"/>
    <n v="0"/>
    <n v="0"/>
    <x v="0"/>
    <n v="55958.458499999993"/>
    <n v="55958.458499999993"/>
    <n v="0"/>
    <n v="0"/>
    <x v="0"/>
    <x v="5"/>
  </r>
  <r>
    <s v="ORD00706"/>
    <d v="2024-04-01T00:00:00"/>
    <x v="480"/>
    <x v="83"/>
    <n v="43"/>
    <s v="INV00706"/>
    <n v="43"/>
    <n v="1157.6343999999999"/>
    <m/>
    <m/>
    <m/>
    <m/>
    <m/>
    <n v="1157.6343999999999"/>
    <d v="2023-02-02T00:00:00"/>
    <n v="0"/>
    <n v="0"/>
    <n v="0"/>
    <n v="0"/>
    <n v="0"/>
    <n v="0"/>
    <n v="0"/>
    <x v="0"/>
    <n v="49778.279199999997"/>
    <n v="49778.279199999997"/>
    <n v="0"/>
    <n v="0"/>
    <x v="0"/>
    <x v="9"/>
  </r>
  <r>
    <s v="ORD00707"/>
    <d v="2023-01-13T00:00:00"/>
    <x v="101"/>
    <x v="41"/>
    <n v="153"/>
    <s v="INV00707"/>
    <n v="153"/>
    <n v="1122.01"/>
    <m/>
    <m/>
    <m/>
    <m/>
    <m/>
    <n v="1122.01"/>
    <d v="2022-06-05T00:00:00"/>
    <n v="0"/>
    <n v="0"/>
    <n v="0"/>
    <n v="0"/>
    <n v="0"/>
    <n v="0"/>
    <n v="0"/>
    <x v="0"/>
    <n v="171667.53"/>
    <n v="171667.53"/>
    <n v="0"/>
    <n v="0"/>
    <x v="0"/>
    <x v="8"/>
  </r>
  <r>
    <s v="ORD00708"/>
    <d v="2024-08-22T00:00:00"/>
    <x v="376"/>
    <x v="19"/>
    <n v="157"/>
    <s v="INV00708"/>
    <n v="155"/>
    <n v="833.41650000000004"/>
    <m/>
    <m/>
    <m/>
    <m/>
    <m/>
    <n v="833.41650000000004"/>
    <d v="2023-09-25T00:00:00"/>
    <n v="0"/>
    <n v="1"/>
    <n v="0"/>
    <n v="0"/>
    <n v="0"/>
    <n v="0"/>
    <n v="0"/>
    <x v="1"/>
    <n v="129179.55750000001"/>
    <n v="130846.39050000001"/>
    <n v="-1666.8329999999987"/>
    <n v="8"/>
    <x v="2"/>
    <x v="22"/>
  </r>
  <r>
    <s v="ORD00709"/>
    <d v="2023-03-21T00:00:00"/>
    <x v="481"/>
    <x v="268"/>
    <n v="82"/>
    <s v="INV00709"/>
    <n v="82"/>
    <n v="1164.0408"/>
    <m/>
    <m/>
    <m/>
    <m/>
    <m/>
    <n v="1164.0408"/>
    <d v="2022-11-15T00:00:00"/>
    <n v="0"/>
    <n v="0"/>
    <n v="0"/>
    <n v="0"/>
    <n v="0"/>
    <n v="0"/>
    <n v="0"/>
    <x v="0"/>
    <n v="95451.345600000001"/>
    <n v="95451.345600000001"/>
    <n v="0"/>
    <n v="0"/>
    <x v="0"/>
    <x v="17"/>
  </r>
  <r>
    <s v="ORD00710"/>
    <d v="2024-06-15T00:00:00"/>
    <x v="482"/>
    <x v="42"/>
    <n v="139"/>
    <s v="INV00710"/>
    <n v="139"/>
    <n v="946.74860000000001"/>
    <m/>
    <m/>
    <m/>
    <m/>
    <m/>
    <n v="946.74860000000001"/>
    <d v="2023-04-22T00:00:00"/>
    <n v="0"/>
    <n v="0"/>
    <n v="0"/>
    <n v="0"/>
    <n v="0"/>
    <n v="0"/>
    <n v="0"/>
    <x v="0"/>
    <n v="131598.05540000001"/>
    <n v="131598.05540000001"/>
    <n v="0"/>
    <n v="0"/>
    <x v="0"/>
    <x v="16"/>
  </r>
  <r>
    <s v="ORD00711"/>
    <d v="2023-09-27T00:00:00"/>
    <x v="483"/>
    <x v="241"/>
    <n v="90"/>
    <s v="INV00711"/>
    <n v="90"/>
    <n v="854.74350000000004"/>
    <m/>
    <m/>
    <m/>
    <m/>
    <m/>
    <n v="854.74350000000004"/>
    <d v="2023-02-27T00:00:00"/>
    <n v="0"/>
    <n v="0"/>
    <n v="0"/>
    <n v="0"/>
    <n v="0"/>
    <n v="0"/>
    <n v="0"/>
    <x v="0"/>
    <n v="76926.915000000008"/>
    <n v="76926.915000000008"/>
    <n v="0"/>
    <n v="0"/>
    <x v="0"/>
    <x v="18"/>
  </r>
  <r>
    <s v="ORD00712"/>
    <d v="2023-09-26T00:00:00"/>
    <x v="157"/>
    <x v="15"/>
    <n v="129"/>
    <s v="INV00712"/>
    <n v="129"/>
    <n v="1039.0536"/>
    <m/>
    <m/>
    <m/>
    <m/>
    <m/>
    <n v="1039.0536"/>
    <d v="2023-05-08T00:00:00"/>
    <n v="0"/>
    <n v="0"/>
    <n v="0"/>
    <n v="0"/>
    <n v="0"/>
    <n v="0"/>
    <n v="0"/>
    <x v="0"/>
    <n v="134037.91440000001"/>
    <n v="134037.91440000001"/>
    <n v="0"/>
    <n v="0"/>
    <x v="0"/>
    <x v="18"/>
  </r>
  <r>
    <s v="ORD00713"/>
    <d v="2023-03-24T00:00:00"/>
    <x v="115"/>
    <x v="41"/>
    <n v="71"/>
    <s v="INV00713"/>
    <n v="71"/>
    <n v="1065.9095"/>
    <m/>
    <m/>
    <m/>
    <m/>
    <m/>
    <n v="1065.9095"/>
    <d v="2023-02-06T00:00:00"/>
    <n v="0"/>
    <n v="0"/>
    <n v="0"/>
    <n v="0"/>
    <n v="0"/>
    <n v="0"/>
    <n v="0"/>
    <x v="0"/>
    <n v="75679.574500000002"/>
    <n v="75679.574500000002"/>
    <n v="0"/>
    <n v="0"/>
    <x v="0"/>
    <x v="17"/>
  </r>
  <r>
    <s v="ORD00714"/>
    <d v="2023-12-14T00:00:00"/>
    <x v="66"/>
    <x v="158"/>
    <n v="175"/>
    <s v="INV00714"/>
    <n v="175"/>
    <n v="754.20799999999997"/>
    <m/>
    <m/>
    <m/>
    <m/>
    <m/>
    <n v="754.20799999999997"/>
    <d v="2023-05-23T00:00:00"/>
    <n v="0"/>
    <n v="0"/>
    <n v="0"/>
    <n v="0"/>
    <n v="0"/>
    <n v="0"/>
    <n v="0"/>
    <x v="0"/>
    <n v="131986.4"/>
    <n v="131986.4"/>
    <n v="0"/>
    <n v="0"/>
    <x v="0"/>
    <x v="20"/>
  </r>
  <r>
    <s v="ORD00715"/>
    <d v="2024-04-20T00:00:00"/>
    <x v="281"/>
    <x v="36"/>
    <n v="90"/>
    <s v="INV00715"/>
    <n v="90"/>
    <n v="415.70589999999999"/>
    <m/>
    <m/>
    <m/>
    <m/>
    <m/>
    <n v="415.70589999999999"/>
    <d v="2023-03-04T00:00:00"/>
    <n v="0"/>
    <n v="0"/>
    <n v="0"/>
    <n v="0"/>
    <n v="0"/>
    <n v="0"/>
    <n v="0"/>
    <x v="0"/>
    <n v="37413.530999999995"/>
    <n v="37413.530999999995"/>
    <n v="0"/>
    <n v="0"/>
    <x v="0"/>
    <x v="9"/>
  </r>
  <r>
    <s v="ORD00716"/>
    <d v="2024-04-27T00:00:00"/>
    <x v="309"/>
    <x v="24"/>
    <n v="76"/>
    <s v="INV00716"/>
    <n v="76"/>
    <n v="426.10500000000002"/>
    <m/>
    <m/>
    <m/>
    <m/>
    <m/>
    <n v="426.10500000000002"/>
    <d v="2023-10-16T00:00:00"/>
    <n v="0"/>
    <n v="0"/>
    <n v="0"/>
    <n v="0"/>
    <n v="0"/>
    <n v="0"/>
    <n v="0"/>
    <x v="0"/>
    <n v="32383.980000000003"/>
    <n v="32383.980000000003"/>
    <n v="0"/>
    <n v="0"/>
    <x v="0"/>
    <x v="9"/>
  </r>
  <r>
    <s v="ORD00717"/>
    <d v="2023-10-03T00:00:00"/>
    <x v="304"/>
    <x v="59"/>
    <n v="67"/>
    <s v="INV00717"/>
    <n v="67"/>
    <n v="942.54840000000013"/>
    <m/>
    <m/>
    <m/>
    <m/>
    <m/>
    <n v="942.54840000000013"/>
    <d v="2023-06-09T00:00:00"/>
    <n v="0"/>
    <n v="0"/>
    <n v="0"/>
    <n v="0"/>
    <n v="0"/>
    <n v="0"/>
    <n v="0"/>
    <x v="0"/>
    <n v="63150.742800000007"/>
    <n v="63150.742800000007"/>
    <n v="0"/>
    <n v="0"/>
    <x v="0"/>
    <x v="19"/>
  </r>
  <r>
    <s v="ORD00718"/>
    <d v="2023-09-20T00:00:00"/>
    <x v="484"/>
    <x v="269"/>
    <n v="173"/>
    <s v="INV00718"/>
    <n v="173"/>
    <n v="153.69479999999999"/>
    <n v="19"/>
    <d v="2023-02-27T00:00:00"/>
    <m/>
    <m/>
    <m/>
    <n v="153.69479999999999"/>
    <d v="2023-02-03T00:00:00"/>
    <n v="0"/>
    <n v="0"/>
    <n v="0"/>
    <n v="0"/>
    <n v="0"/>
    <n v="0"/>
    <n v="0"/>
    <x v="0"/>
    <n v="26589.200399999998"/>
    <n v="26589.200399999998"/>
    <n v="0"/>
    <n v="0"/>
    <x v="0"/>
    <x v="18"/>
  </r>
  <r>
    <s v="ORD00719"/>
    <d v="2023-05-21T00:00:00"/>
    <x v="183"/>
    <x v="126"/>
    <n v="141"/>
    <s v="INV00719"/>
    <n v="141"/>
    <n v="287.14"/>
    <m/>
    <m/>
    <m/>
    <m/>
    <m/>
    <n v="287.14"/>
    <d v="2023-02-20T00:00:00"/>
    <n v="0"/>
    <n v="0"/>
    <n v="0"/>
    <n v="0"/>
    <n v="0"/>
    <n v="0"/>
    <n v="0"/>
    <x v="0"/>
    <n v="40486.74"/>
    <n v="40486.74"/>
    <n v="0"/>
    <n v="0"/>
    <x v="0"/>
    <x v="7"/>
  </r>
  <r>
    <s v="ORD00720"/>
    <d v="2024-06-05T00:00:00"/>
    <x v="17"/>
    <x v="59"/>
    <n v="20"/>
    <s v="INV00720"/>
    <n v="20"/>
    <n v="942.54840000000013"/>
    <m/>
    <m/>
    <m/>
    <m/>
    <m/>
    <n v="942.54840000000013"/>
    <d v="2023-06-09T00:00:00"/>
    <n v="0"/>
    <n v="0"/>
    <n v="0"/>
    <n v="0"/>
    <n v="0"/>
    <n v="0"/>
    <n v="0"/>
    <x v="0"/>
    <n v="18850.968000000001"/>
    <n v="18850.968000000001"/>
    <n v="0"/>
    <n v="0"/>
    <x v="0"/>
    <x v="16"/>
  </r>
  <r>
    <s v="ORD00721"/>
    <d v="2024-03-06T00:00:00"/>
    <x v="277"/>
    <x v="269"/>
    <n v="24"/>
    <s v="INV00721"/>
    <n v="24"/>
    <n v="153.69479999999999"/>
    <m/>
    <m/>
    <m/>
    <m/>
    <m/>
    <n v="153.69479999999999"/>
    <d v="2023-02-03T00:00:00"/>
    <n v="0"/>
    <n v="0"/>
    <n v="0"/>
    <n v="0"/>
    <n v="0"/>
    <n v="0"/>
    <n v="0"/>
    <x v="0"/>
    <n v="3688.6751999999997"/>
    <n v="3688.6751999999997"/>
    <n v="0"/>
    <n v="0"/>
    <x v="0"/>
    <x v="6"/>
  </r>
  <r>
    <s v="ORD00722"/>
    <d v="2023-09-08T00:00:00"/>
    <x v="485"/>
    <x v="270"/>
    <n v="176"/>
    <s v="INV00722"/>
    <n v="176"/>
    <n v="983.19460000000004"/>
    <m/>
    <m/>
    <m/>
    <m/>
    <m/>
    <n v="983.19460000000004"/>
    <d v="2023-08-04T00:00:00"/>
    <n v="0"/>
    <n v="0"/>
    <n v="0"/>
    <n v="0"/>
    <n v="0"/>
    <n v="0"/>
    <n v="0"/>
    <x v="0"/>
    <n v="173042.24960000001"/>
    <n v="173042.24960000001"/>
    <n v="0"/>
    <n v="0"/>
    <x v="0"/>
    <x v="18"/>
  </r>
  <r>
    <s v="ORD00723"/>
    <d v="2023-11-26T00:00:00"/>
    <x v="430"/>
    <x v="243"/>
    <n v="164"/>
    <s v="INV00723"/>
    <n v="164"/>
    <n v="191.1936"/>
    <m/>
    <m/>
    <m/>
    <m/>
    <m/>
    <n v="191.1936"/>
    <d v="2023-04-10T00:00:00"/>
    <n v="0"/>
    <n v="0"/>
    <n v="0"/>
    <n v="0"/>
    <n v="0"/>
    <n v="0"/>
    <n v="0"/>
    <x v="0"/>
    <n v="31355.750400000001"/>
    <n v="31355.750400000001"/>
    <n v="0"/>
    <n v="0"/>
    <x v="0"/>
    <x v="0"/>
  </r>
  <r>
    <s v="ORD00724"/>
    <d v="2023-01-08T00:00:00"/>
    <x v="486"/>
    <x v="75"/>
    <n v="191"/>
    <s v="INV00724"/>
    <n v="191"/>
    <n v="523.15800000000002"/>
    <m/>
    <m/>
    <m/>
    <m/>
    <m/>
    <n v="523.15800000000002"/>
    <d v="2022-11-04T00:00:00"/>
    <n v="0"/>
    <n v="0"/>
    <n v="0"/>
    <n v="0"/>
    <n v="0"/>
    <n v="0"/>
    <n v="0"/>
    <x v="0"/>
    <n v="99923.178"/>
    <n v="99923.178"/>
    <n v="0"/>
    <n v="0"/>
    <x v="0"/>
    <x v="8"/>
  </r>
  <r>
    <s v="ORD00725"/>
    <d v="2023-07-16T00:00:00"/>
    <x v="32"/>
    <x v="39"/>
    <n v="15"/>
    <s v="INV00725"/>
    <n v="15"/>
    <n v="838.77149999999995"/>
    <n v="18"/>
    <d v="2024-10-11T00:00:00"/>
    <m/>
    <m/>
    <m/>
    <n v="838.77149999999995"/>
    <d v="2022-12-07T00:00:00"/>
    <n v="0"/>
    <n v="0"/>
    <n v="0"/>
    <n v="0"/>
    <n v="0"/>
    <n v="1"/>
    <n v="1"/>
    <x v="1"/>
    <n v="12581.572499999998"/>
    <n v="12581.572499999998"/>
    <n v="0"/>
    <n v="5"/>
    <x v="1"/>
    <x v="10"/>
  </r>
  <r>
    <s v="ORD00726"/>
    <d v="2023-11-20T00:00:00"/>
    <x v="290"/>
    <x v="36"/>
    <n v="22"/>
    <s v="INV00726"/>
    <n v="22"/>
    <n v="415.70589999999999"/>
    <m/>
    <m/>
    <m/>
    <m/>
    <m/>
    <n v="415.70589999999999"/>
    <d v="2023-03-04T00:00:00"/>
    <n v="0"/>
    <n v="0"/>
    <n v="0"/>
    <n v="0"/>
    <n v="0"/>
    <n v="0"/>
    <n v="0"/>
    <x v="0"/>
    <n v="9145.5298000000003"/>
    <n v="9145.5298000000003"/>
    <n v="0"/>
    <n v="0"/>
    <x v="0"/>
    <x v="0"/>
  </r>
  <r>
    <s v="ORD00727"/>
    <d v="2023-03-31T00:00:00"/>
    <x v="487"/>
    <x v="91"/>
    <n v="171"/>
    <s v="INV00727"/>
    <n v="171"/>
    <n v="554.83000000000004"/>
    <m/>
    <m/>
    <m/>
    <m/>
    <m/>
    <n v="554.83000000000004"/>
    <d v="2022-07-07T00:00:00"/>
    <n v="0"/>
    <n v="0"/>
    <n v="0"/>
    <n v="0"/>
    <n v="0"/>
    <n v="0"/>
    <n v="0"/>
    <x v="0"/>
    <n v="94875.930000000008"/>
    <n v="94875.930000000008"/>
    <n v="0"/>
    <n v="0"/>
    <x v="0"/>
    <x v="17"/>
  </r>
  <r>
    <s v="ORD00728"/>
    <d v="2023-01-11T00:00:00"/>
    <x v="488"/>
    <x v="69"/>
    <n v="130"/>
    <s v="INV00728"/>
    <n v="130"/>
    <n v="904.00099999999998"/>
    <n v="8"/>
    <d v="2024-11-06T00:00:00"/>
    <m/>
    <m/>
    <m/>
    <n v="904.00099999999998"/>
    <d v="2022-09-27T00:00:00"/>
    <n v="0"/>
    <n v="0"/>
    <n v="0"/>
    <n v="0"/>
    <n v="0"/>
    <n v="1"/>
    <n v="0"/>
    <x v="1"/>
    <n v="117520.12999999999"/>
    <n v="117520.12999999999"/>
    <n v="0"/>
    <n v="2"/>
    <x v="1"/>
    <x v="8"/>
  </r>
  <r>
    <s v="ORD00729"/>
    <d v="2023-04-14T00:00:00"/>
    <x v="489"/>
    <x v="161"/>
    <n v="142"/>
    <s v="INV00729"/>
    <n v="142"/>
    <n v="1016.7027"/>
    <m/>
    <m/>
    <m/>
    <m/>
    <m/>
    <n v="1016.7027"/>
    <d v="2023-01-29T00:00:00"/>
    <n v="0"/>
    <n v="0"/>
    <n v="0"/>
    <n v="0"/>
    <n v="0"/>
    <n v="0"/>
    <n v="0"/>
    <x v="0"/>
    <n v="144371.78340000001"/>
    <n v="144371.78340000001"/>
    <n v="0"/>
    <n v="0"/>
    <x v="0"/>
    <x v="23"/>
  </r>
  <r>
    <s v="ORD00730"/>
    <d v="2024-08-03T00:00:00"/>
    <x v="490"/>
    <x v="271"/>
    <n v="193"/>
    <s v="INV00730"/>
    <n v="193"/>
    <n v="358.33919999999995"/>
    <m/>
    <m/>
    <m/>
    <m/>
    <m/>
    <n v="358.33919999999995"/>
    <d v="2023-07-01T00:00:00"/>
    <n v="0"/>
    <n v="0"/>
    <n v="0"/>
    <n v="0"/>
    <n v="0"/>
    <n v="0"/>
    <n v="0"/>
    <x v="0"/>
    <n v="69159.465599999996"/>
    <n v="69159.465599999996"/>
    <n v="0"/>
    <n v="0"/>
    <x v="0"/>
    <x v="22"/>
  </r>
  <r>
    <s v="ORD00731"/>
    <d v="2024-11-25T00:00:00"/>
    <x v="491"/>
    <x v="210"/>
    <n v="173"/>
    <s v="INV00731"/>
    <n v="173"/>
    <n v="512.04"/>
    <m/>
    <m/>
    <m/>
    <m/>
    <m/>
    <n v="512.04"/>
    <d v="2023-01-02T00:00:00"/>
    <n v="0"/>
    <n v="0"/>
    <n v="0"/>
    <n v="0"/>
    <n v="0"/>
    <n v="0"/>
    <n v="0"/>
    <x v="0"/>
    <n v="88582.92"/>
    <n v="88582.92"/>
    <n v="0"/>
    <n v="0"/>
    <x v="0"/>
    <x v="4"/>
  </r>
  <r>
    <s v="ORD00732"/>
    <d v="2024-03-19T00:00:00"/>
    <x v="492"/>
    <x v="272"/>
    <n v="38"/>
    <s v="INV00732"/>
    <n v="38"/>
    <n v="852.46560000000011"/>
    <m/>
    <m/>
    <m/>
    <m/>
    <m/>
    <n v="852.46560000000011"/>
    <d v="2023-03-11T00:00:00"/>
    <n v="0"/>
    <n v="0"/>
    <n v="0"/>
    <n v="0"/>
    <n v="0"/>
    <n v="0"/>
    <n v="0"/>
    <x v="0"/>
    <n v="32393.692800000004"/>
    <n v="32393.692800000004"/>
    <n v="0"/>
    <n v="0"/>
    <x v="0"/>
    <x v="6"/>
  </r>
  <r>
    <s v="ORD00733"/>
    <d v="2024-05-02T00:00:00"/>
    <x v="350"/>
    <x v="213"/>
    <n v="124"/>
    <s v="INV00733"/>
    <n v="124"/>
    <n v="872.7808"/>
    <m/>
    <m/>
    <m/>
    <m/>
    <m/>
    <n v="872.7808"/>
    <d v="2023-10-26T00:00:00"/>
    <n v="0"/>
    <n v="0"/>
    <n v="0"/>
    <n v="0"/>
    <n v="0"/>
    <n v="0"/>
    <n v="0"/>
    <x v="0"/>
    <n v="108224.8192"/>
    <n v="108224.8192"/>
    <n v="0"/>
    <n v="0"/>
    <x v="0"/>
    <x v="13"/>
  </r>
  <r>
    <s v="ORD00734"/>
    <d v="2024-02-10T00:00:00"/>
    <x v="138"/>
    <x v="89"/>
    <n v="181"/>
    <s v="INV00734"/>
    <n v="181"/>
    <n v="826.46400000000006"/>
    <m/>
    <m/>
    <m/>
    <m/>
    <m/>
    <n v="826.46400000000006"/>
    <d v="2023-07-21T00:00:00"/>
    <n v="0"/>
    <n v="0"/>
    <n v="0"/>
    <n v="0"/>
    <n v="0"/>
    <n v="0"/>
    <n v="0"/>
    <x v="0"/>
    <n v="149589.984"/>
    <n v="149589.984"/>
    <n v="0"/>
    <n v="0"/>
    <x v="0"/>
    <x v="3"/>
  </r>
  <r>
    <s v="ORD00735"/>
    <d v="2024-02-27T00:00:00"/>
    <x v="493"/>
    <x v="266"/>
    <n v="10"/>
    <s v="INV00735"/>
    <n v="10"/>
    <n v="378.91109999999998"/>
    <m/>
    <m/>
    <m/>
    <m/>
    <m/>
    <n v="378.91109999999998"/>
    <d v="2023-07-10T00:00:00"/>
    <n v="0"/>
    <n v="0"/>
    <n v="0"/>
    <n v="0"/>
    <n v="0"/>
    <n v="0"/>
    <n v="0"/>
    <x v="0"/>
    <n v="3789.1109999999999"/>
    <n v="3789.1109999999999"/>
    <n v="0"/>
    <n v="0"/>
    <x v="0"/>
    <x v="3"/>
  </r>
  <r>
    <s v="ORD00736"/>
    <d v="2024-07-15T00:00:00"/>
    <x v="274"/>
    <x v="273"/>
    <n v="107"/>
    <s v="INV00736"/>
    <n v="107"/>
    <n v="1247.7911999999999"/>
    <m/>
    <m/>
    <m/>
    <m/>
    <m/>
    <n v="1247.7911999999999"/>
    <d v="2023-10-14T00:00:00"/>
    <n v="0"/>
    <n v="0"/>
    <n v="0"/>
    <n v="0"/>
    <n v="0"/>
    <n v="0"/>
    <n v="0"/>
    <x v="0"/>
    <n v="133513.65839999999"/>
    <n v="133513.65839999999"/>
    <n v="0"/>
    <n v="0"/>
    <x v="0"/>
    <x v="21"/>
  </r>
  <r>
    <s v="ORD00737"/>
    <d v="2023-03-12T00:00:00"/>
    <x v="454"/>
    <x v="56"/>
    <n v="171"/>
    <s v="INV00737"/>
    <n v="171"/>
    <n v="639.91840000000002"/>
    <m/>
    <m/>
    <m/>
    <m/>
    <m/>
    <n v="639.91840000000002"/>
    <d v="2023-01-04T00:00:00"/>
    <n v="0"/>
    <n v="0"/>
    <n v="0"/>
    <n v="0"/>
    <n v="0"/>
    <n v="0"/>
    <n v="0"/>
    <x v="0"/>
    <n v="109426.04640000001"/>
    <n v="109426.04640000001"/>
    <n v="0"/>
    <n v="0"/>
    <x v="0"/>
    <x v="17"/>
  </r>
  <r>
    <s v="ORD00738"/>
    <d v="2023-03-08T00:00:00"/>
    <x v="494"/>
    <x v="26"/>
    <n v="197"/>
    <s v="INV00738"/>
    <n v="197"/>
    <n v="126.5656"/>
    <m/>
    <m/>
    <m/>
    <m/>
    <m/>
    <n v="126.5656"/>
    <d v="2023-01-21T00:00:00"/>
    <n v="0"/>
    <n v="0"/>
    <n v="0"/>
    <n v="0"/>
    <n v="0"/>
    <n v="0"/>
    <n v="0"/>
    <x v="0"/>
    <n v="24933.423200000001"/>
    <n v="24933.423200000001"/>
    <n v="0"/>
    <n v="0"/>
    <x v="0"/>
    <x v="17"/>
  </r>
  <r>
    <s v="ORD00739"/>
    <d v="2023-10-01T00:00:00"/>
    <x v="495"/>
    <x v="262"/>
    <n v="189"/>
    <s v="INV00739"/>
    <n v="189"/>
    <n v="251.7122"/>
    <m/>
    <m/>
    <m/>
    <m/>
    <m/>
    <n v="251.7122"/>
    <d v="2023-06-11T00:00:00"/>
    <n v="0"/>
    <n v="0"/>
    <n v="0"/>
    <n v="0"/>
    <n v="0"/>
    <n v="0"/>
    <n v="0"/>
    <x v="0"/>
    <n v="47573.605799999998"/>
    <n v="47573.605799999998"/>
    <n v="0"/>
    <n v="0"/>
    <x v="0"/>
    <x v="19"/>
  </r>
  <r>
    <s v="ORD00740"/>
    <d v="2023-02-02T00:00:00"/>
    <x v="21"/>
    <x v="188"/>
    <n v="81"/>
    <s v="INV00740"/>
    <n v="81"/>
    <n v="76.151900000000012"/>
    <m/>
    <m/>
    <m/>
    <m/>
    <m/>
    <n v="76.151900000000012"/>
    <d v="2022-08-07T00:00:00"/>
    <n v="0"/>
    <n v="0"/>
    <n v="0"/>
    <n v="0"/>
    <n v="0"/>
    <n v="0"/>
    <n v="0"/>
    <x v="0"/>
    <n v="6168.3039000000008"/>
    <n v="6168.3039000000008"/>
    <n v="0"/>
    <n v="0"/>
    <x v="0"/>
    <x v="11"/>
  </r>
  <r>
    <s v="ORD00741"/>
    <d v="2024-11-09T00:00:00"/>
    <x v="210"/>
    <x v="240"/>
    <n v="59"/>
    <s v="INV00741"/>
    <n v="59"/>
    <n v="488.76900728887523"/>
    <m/>
    <m/>
    <m/>
    <m/>
    <m/>
    <n v="488.43360000000007"/>
    <d v="2023-06-30T00:00:00"/>
    <n v="0"/>
    <n v="0"/>
    <n v="1"/>
    <n v="0"/>
    <n v="0"/>
    <n v="0"/>
    <n v="0"/>
    <x v="1"/>
    <n v="28837.371430043637"/>
    <n v="28817.582400000003"/>
    <n v="19.789030043633829"/>
    <n v="4"/>
    <x v="1"/>
    <x v="4"/>
  </r>
  <r>
    <s v="ORD00742"/>
    <d v="2024-05-30T00:00:00"/>
    <x v="443"/>
    <x v="223"/>
    <n v="131"/>
    <s v="INV00742"/>
    <n v="131"/>
    <n v="919.86659999999995"/>
    <m/>
    <m/>
    <m/>
    <m/>
    <m/>
    <n v="919.86659999999995"/>
    <d v="2023-07-01T00:00:00"/>
    <n v="0"/>
    <n v="0"/>
    <n v="0"/>
    <n v="0"/>
    <n v="0"/>
    <n v="0"/>
    <n v="0"/>
    <x v="0"/>
    <n v="120502.52459999999"/>
    <n v="120502.52459999999"/>
    <n v="0"/>
    <n v="0"/>
    <x v="0"/>
    <x v="13"/>
  </r>
  <r>
    <s v="ORD00743"/>
    <d v="2024-03-25T00:00:00"/>
    <x v="264"/>
    <x v="93"/>
    <n v="16"/>
    <s v="INV00743"/>
    <n v="16"/>
    <n v="432.839"/>
    <m/>
    <m/>
    <m/>
    <m/>
    <m/>
    <n v="432.839"/>
    <d v="2023-05-02T00:00:00"/>
    <n v="0"/>
    <n v="0"/>
    <n v="0"/>
    <n v="0"/>
    <n v="0"/>
    <n v="0"/>
    <n v="0"/>
    <x v="0"/>
    <n v="6925.424"/>
    <n v="6925.424"/>
    <n v="0"/>
    <n v="0"/>
    <x v="0"/>
    <x v="6"/>
  </r>
  <r>
    <s v="ORD00744"/>
    <d v="2023-06-04T00:00:00"/>
    <x v="496"/>
    <x v="162"/>
    <n v="12"/>
    <s v="INV00744"/>
    <n v="12"/>
    <n v="577.34399999999994"/>
    <m/>
    <m/>
    <m/>
    <m/>
    <m/>
    <n v="577.34399999999994"/>
    <d v="2022-09-03T00:00:00"/>
    <n v="0"/>
    <n v="0"/>
    <n v="0"/>
    <n v="0"/>
    <n v="0"/>
    <n v="0"/>
    <n v="0"/>
    <x v="0"/>
    <n v="6928.1279999999988"/>
    <n v="6928.1279999999988"/>
    <n v="0"/>
    <n v="0"/>
    <x v="0"/>
    <x v="14"/>
  </r>
  <r>
    <s v="ORD00745"/>
    <d v="2023-03-08T00:00:00"/>
    <x v="254"/>
    <x v="2"/>
    <n v="195"/>
    <s v="INV00745"/>
    <n v="195"/>
    <n v="196.87020000000001"/>
    <m/>
    <m/>
    <m/>
    <m/>
    <m/>
    <n v="196.87020000000001"/>
    <d v="2022-10-02T00:00:00"/>
    <n v="0"/>
    <n v="0"/>
    <n v="0"/>
    <n v="0"/>
    <n v="0"/>
    <n v="0"/>
    <n v="0"/>
    <x v="0"/>
    <n v="38389.689000000006"/>
    <n v="38389.689000000006"/>
    <n v="0"/>
    <n v="0"/>
    <x v="0"/>
    <x v="17"/>
  </r>
  <r>
    <s v="ORD00746"/>
    <d v="2024-07-11T00:00:00"/>
    <x v="497"/>
    <x v="58"/>
    <n v="123"/>
    <s v="INV00746"/>
    <n v="123"/>
    <n v="601.32929999999999"/>
    <m/>
    <m/>
    <m/>
    <m/>
    <m/>
    <n v="601.32929999999999"/>
    <d v="2023-02-05T00:00:00"/>
    <n v="0"/>
    <n v="0"/>
    <n v="0"/>
    <n v="0"/>
    <n v="0"/>
    <n v="0"/>
    <n v="0"/>
    <x v="0"/>
    <n v="73963.503899999996"/>
    <n v="73963.503899999996"/>
    <n v="0"/>
    <n v="0"/>
    <x v="0"/>
    <x v="21"/>
  </r>
  <r>
    <s v="ORD00747"/>
    <d v="2024-07-30T00:00:00"/>
    <x v="431"/>
    <x v="240"/>
    <n v="153"/>
    <s v="INV00747"/>
    <n v="153"/>
    <n v="488.43360000000007"/>
    <m/>
    <m/>
    <m/>
    <m/>
    <m/>
    <n v="488.43360000000007"/>
    <d v="2023-06-30T00:00:00"/>
    <n v="0"/>
    <n v="0"/>
    <n v="0"/>
    <n v="0"/>
    <n v="0"/>
    <n v="0"/>
    <n v="0"/>
    <x v="0"/>
    <n v="74730.340800000005"/>
    <n v="74730.340800000005"/>
    <n v="0"/>
    <n v="0"/>
    <x v="0"/>
    <x v="21"/>
  </r>
  <r>
    <s v="ORD00748"/>
    <d v="2024-11-05T00:00:00"/>
    <x v="36"/>
    <x v="62"/>
    <n v="120"/>
    <s v="INV00748"/>
    <n v="120"/>
    <n v="1080.0740000000001"/>
    <m/>
    <m/>
    <m/>
    <m/>
    <m/>
    <n v="1080.0740000000001"/>
    <d v="2023-05-12T00:00:00"/>
    <n v="0"/>
    <n v="0"/>
    <n v="0"/>
    <n v="0"/>
    <n v="0"/>
    <n v="0"/>
    <n v="0"/>
    <x v="0"/>
    <n v="129608.88"/>
    <n v="129608.88"/>
    <n v="0"/>
    <n v="0"/>
    <x v="0"/>
    <x v="4"/>
  </r>
  <r>
    <s v="ORD00749"/>
    <d v="2024-04-22T00:00:00"/>
    <x v="498"/>
    <x v="202"/>
    <n v="71"/>
    <s v="INV00749"/>
    <n v="71"/>
    <n v="651.14279999999997"/>
    <m/>
    <m/>
    <m/>
    <m/>
    <m/>
    <n v="651.14279999999997"/>
    <d v="2023-10-21T00:00:00"/>
    <n v="0"/>
    <n v="0"/>
    <n v="0"/>
    <n v="0"/>
    <n v="0"/>
    <n v="0"/>
    <n v="0"/>
    <x v="0"/>
    <n v="46231.138800000001"/>
    <n v="46231.138800000001"/>
    <n v="0"/>
    <n v="0"/>
    <x v="0"/>
    <x v="9"/>
  </r>
  <r>
    <s v="ORD00750"/>
    <d v="2024-10-02T00:00:00"/>
    <x v="150"/>
    <x v="104"/>
    <n v="2"/>
    <s v="INV00750"/>
    <n v="2"/>
    <n v="898.02300000000002"/>
    <n v="19"/>
    <d v="2025-02-25T00:00:00"/>
    <m/>
    <m/>
    <m/>
    <n v="898.02300000000002"/>
    <d v="2023-04-10T00:00:00"/>
    <n v="0"/>
    <n v="0"/>
    <n v="0"/>
    <n v="0"/>
    <n v="0"/>
    <n v="1"/>
    <n v="1"/>
    <x v="1"/>
    <n v="1796.046"/>
    <n v="1796.046"/>
    <n v="0"/>
    <n v="5"/>
    <x v="1"/>
    <x v="5"/>
  </r>
  <r>
    <s v="ORD00751"/>
    <d v="2024-05-15T00:00:00"/>
    <x v="157"/>
    <x v="132"/>
    <n v="56"/>
    <s v="INV00751"/>
    <n v="56"/>
    <n v="744.44590000000005"/>
    <m/>
    <m/>
    <m/>
    <m/>
    <m/>
    <n v="744.44590000000005"/>
    <d v="2023-03-23T00:00:00"/>
    <n v="0"/>
    <n v="0"/>
    <n v="0"/>
    <n v="0"/>
    <n v="0"/>
    <n v="0"/>
    <n v="0"/>
    <x v="0"/>
    <n v="41688.970400000006"/>
    <n v="41688.970400000006"/>
    <n v="0"/>
    <n v="0"/>
    <x v="0"/>
    <x v="13"/>
  </r>
  <r>
    <s v="ORD00752"/>
    <d v="2024-03-19T00:00:00"/>
    <x v="367"/>
    <x v="46"/>
    <n v="72"/>
    <s v="INV00752"/>
    <n v="72"/>
    <n v="509.36320000000001"/>
    <m/>
    <m/>
    <m/>
    <m/>
    <m/>
    <n v="509.36320000000001"/>
    <d v="2023-09-02T00:00:00"/>
    <n v="0"/>
    <n v="0"/>
    <n v="0"/>
    <n v="0"/>
    <n v="0"/>
    <n v="0"/>
    <n v="0"/>
    <x v="0"/>
    <n v="36674.150399999999"/>
    <n v="36674.150399999999"/>
    <n v="0"/>
    <n v="0"/>
    <x v="0"/>
    <x v="6"/>
  </r>
  <r>
    <s v="ORD00753"/>
    <d v="2023-09-29T00:00:00"/>
    <x v="127"/>
    <x v="71"/>
    <n v="19"/>
    <s v="INV00753"/>
    <n v="19"/>
    <n v="238.7328"/>
    <m/>
    <m/>
    <m/>
    <m/>
    <m/>
    <n v="238.7328"/>
    <d v="2023-03-02T00:00:00"/>
    <n v="0"/>
    <n v="0"/>
    <n v="0"/>
    <n v="0"/>
    <n v="0"/>
    <n v="0"/>
    <n v="0"/>
    <x v="0"/>
    <n v="4535.9232000000002"/>
    <n v="4535.9232000000002"/>
    <n v="0"/>
    <n v="0"/>
    <x v="0"/>
    <x v="18"/>
  </r>
  <r>
    <s v="ORD00754"/>
    <d v="2023-04-02T00:00:00"/>
    <x v="499"/>
    <x v="144"/>
    <n v="70"/>
    <s v="INV00754"/>
    <n v="70"/>
    <n v="309.07"/>
    <m/>
    <m/>
    <m/>
    <m/>
    <m/>
    <n v="309.07"/>
    <d v="2022-04-24T00:00:00"/>
    <n v="0"/>
    <n v="0"/>
    <n v="0"/>
    <n v="0"/>
    <n v="0"/>
    <n v="0"/>
    <n v="0"/>
    <x v="0"/>
    <n v="21634.899999999998"/>
    <n v="21634.899999999998"/>
    <n v="0"/>
    <n v="0"/>
    <x v="0"/>
    <x v="23"/>
  </r>
  <r>
    <s v="ORD00755"/>
    <d v="2023-12-12T00:00:00"/>
    <x v="500"/>
    <x v="76"/>
    <n v="113"/>
    <s v="INV00755"/>
    <n v="113"/>
    <n v="1114.2336"/>
    <m/>
    <m/>
    <m/>
    <m/>
    <m/>
    <n v="1114.2336"/>
    <d v="2023-08-03T00:00:00"/>
    <n v="0"/>
    <n v="0"/>
    <n v="0"/>
    <n v="0"/>
    <n v="0"/>
    <n v="0"/>
    <n v="0"/>
    <x v="0"/>
    <n v="125908.3968"/>
    <n v="125908.3968"/>
    <n v="0"/>
    <n v="0"/>
    <x v="0"/>
    <x v="20"/>
  </r>
  <r>
    <s v="ORD00756"/>
    <d v="2023-11-11T00:00:00"/>
    <x v="348"/>
    <x v="179"/>
    <n v="22"/>
    <s v="INV00756"/>
    <n v="22"/>
    <n v="72.63"/>
    <m/>
    <m/>
    <m/>
    <m/>
    <m/>
    <n v="72.63"/>
    <d v="2023-01-30T00:00:00"/>
    <n v="0"/>
    <n v="0"/>
    <n v="0"/>
    <n v="0"/>
    <n v="0"/>
    <n v="0"/>
    <n v="0"/>
    <x v="0"/>
    <n v="1597.86"/>
    <n v="1597.86"/>
    <n v="0"/>
    <n v="0"/>
    <x v="0"/>
    <x v="0"/>
  </r>
  <r>
    <s v="ORD00757"/>
    <d v="2023-06-28T00:00:00"/>
    <x v="501"/>
    <x v="274"/>
    <n v="189"/>
    <s v="INV00757"/>
    <n v="189"/>
    <n v="596.07000000000005"/>
    <m/>
    <m/>
    <m/>
    <m/>
    <m/>
    <n v="596.07000000000005"/>
    <d v="2023-02-27T00:00:00"/>
    <n v="0"/>
    <n v="0"/>
    <n v="0"/>
    <n v="0"/>
    <n v="0"/>
    <n v="0"/>
    <n v="0"/>
    <x v="0"/>
    <n v="112657.23000000001"/>
    <n v="112657.23000000001"/>
    <n v="0"/>
    <n v="0"/>
    <x v="0"/>
    <x v="14"/>
  </r>
  <r>
    <s v="ORD00758"/>
    <d v="2023-04-12T00:00:00"/>
    <x v="167"/>
    <x v="113"/>
    <n v="163"/>
    <s v="INV00758"/>
    <n v="163"/>
    <n v="951.54780000000005"/>
    <m/>
    <m/>
    <m/>
    <m/>
    <m/>
    <n v="951.54780000000005"/>
    <d v="2023-02-07T00:00:00"/>
    <n v="0"/>
    <n v="0"/>
    <n v="0"/>
    <n v="0"/>
    <n v="0"/>
    <n v="0"/>
    <n v="0"/>
    <x v="0"/>
    <n v="155102.29140000002"/>
    <n v="155102.29140000002"/>
    <n v="0"/>
    <n v="0"/>
    <x v="0"/>
    <x v="23"/>
  </r>
  <r>
    <s v="ORD00759"/>
    <d v="2023-11-07T00:00:00"/>
    <x v="221"/>
    <x v="196"/>
    <n v="152"/>
    <s v="INV00759"/>
    <n v="152"/>
    <n v="1099.82"/>
    <m/>
    <m/>
    <m/>
    <m/>
    <m/>
    <n v="1099.82"/>
    <d v="2023-02-05T00:00:00"/>
    <n v="0"/>
    <n v="0"/>
    <n v="0"/>
    <n v="0"/>
    <n v="0"/>
    <n v="0"/>
    <n v="0"/>
    <x v="0"/>
    <n v="167172.63999999998"/>
    <n v="167172.63999999998"/>
    <n v="0"/>
    <n v="0"/>
    <x v="0"/>
    <x v="0"/>
  </r>
  <r>
    <s v="ORD00760"/>
    <d v="2023-10-05T00:00:00"/>
    <x v="212"/>
    <x v="229"/>
    <n v="37"/>
    <s v="INV00760"/>
    <n v="37"/>
    <n v="374.4615"/>
    <m/>
    <m/>
    <m/>
    <m/>
    <m/>
    <n v="374.4615"/>
    <d v="2023-03-07T00:00:00"/>
    <n v="0"/>
    <n v="0"/>
    <n v="0"/>
    <n v="0"/>
    <n v="0"/>
    <n v="0"/>
    <n v="0"/>
    <x v="0"/>
    <n v="13855.075500000001"/>
    <n v="13855.075500000001"/>
    <n v="0"/>
    <n v="0"/>
    <x v="0"/>
    <x v="19"/>
  </r>
  <r>
    <s v="ORD00761"/>
    <d v="2024-03-16T00:00:00"/>
    <x v="502"/>
    <x v="56"/>
    <n v="47"/>
    <s v="INV00761"/>
    <n v="47"/>
    <n v="639.91840000000002"/>
    <m/>
    <m/>
    <m/>
    <m/>
    <m/>
    <n v="639.91840000000002"/>
    <d v="2023-01-04T00:00:00"/>
    <n v="0"/>
    <n v="0"/>
    <n v="0"/>
    <n v="0"/>
    <n v="0"/>
    <n v="0"/>
    <n v="0"/>
    <x v="0"/>
    <n v="30076.164800000002"/>
    <n v="30076.164800000002"/>
    <n v="0"/>
    <n v="0"/>
    <x v="0"/>
    <x v="6"/>
  </r>
  <r>
    <s v="ORD00762"/>
    <d v="2024-12-06T00:00:00"/>
    <x v="122"/>
    <x v="136"/>
    <n v="8"/>
    <s v="INV00762"/>
    <n v="8"/>
    <n v="216.2484"/>
    <m/>
    <m/>
    <m/>
    <m/>
    <m/>
    <n v="216.2484"/>
    <d v="2023-01-18T00:00:00"/>
    <n v="0"/>
    <n v="0"/>
    <n v="0"/>
    <n v="0"/>
    <n v="0"/>
    <n v="0"/>
    <n v="0"/>
    <x v="0"/>
    <n v="1729.9872"/>
    <n v="1729.9872"/>
    <n v="0"/>
    <n v="0"/>
    <x v="0"/>
    <x v="1"/>
  </r>
  <r>
    <s v="ORD00763"/>
    <d v="2024-04-07T00:00:00"/>
    <x v="393"/>
    <x v="207"/>
    <n v="98"/>
    <s v="INV00763"/>
    <n v="98"/>
    <n v="287.90559999999999"/>
    <m/>
    <m/>
    <m/>
    <m/>
    <m/>
    <n v="287.90559999999999"/>
    <d v="2023-10-25T00:00:00"/>
    <n v="0"/>
    <n v="0"/>
    <n v="0"/>
    <n v="0"/>
    <n v="0"/>
    <n v="0"/>
    <n v="0"/>
    <x v="0"/>
    <n v="28214.748799999998"/>
    <n v="28214.748799999998"/>
    <n v="0"/>
    <n v="0"/>
    <x v="0"/>
    <x v="9"/>
  </r>
  <r>
    <s v="ORD00764"/>
    <d v="2023-02-23T00:00:00"/>
    <x v="87"/>
    <x v="80"/>
    <n v="144"/>
    <s v="INV00764"/>
    <n v="144"/>
    <n v="1045.3163999999999"/>
    <m/>
    <m/>
    <m/>
    <m/>
    <m/>
    <n v="1045.3163999999999"/>
    <d v="2022-11-10T00:00:00"/>
    <n v="0"/>
    <n v="0"/>
    <n v="0"/>
    <n v="0"/>
    <n v="0"/>
    <n v="0"/>
    <n v="0"/>
    <x v="0"/>
    <n v="150525.56159999999"/>
    <n v="150525.56159999999"/>
    <n v="0"/>
    <n v="0"/>
    <x v="0"/>
    <x v="11"/>
  </r>
  <r>
    <s v="ORD00765"/>
    <d v="2024-03-12T00:00:00"/>
    <x v="438"/>
    <x v="132"/>
    <n v="15"/>
    <s v="INV00765"/>
    <n v="15"/>
    <n v="744.44590000000005"/>
    <m/>
    <m/>
    <m/>
    <m/>
    <m/>
    <n v="744.44590000000005"/>
    <d v="2023-03-23T00:00:00"/>
    <n v="0"/>
    <n v="0"/>
    <n v="0"/>
    <n v="0"/>
    <n v="0"/>
    <n v="0"/>
    <n v="0"/>
    <x v="0"/>
    <n v="11166.6885"/>
    <n v="11166.6885"/>
    <n v="0"/>
    <n v="0"/>
    <x v="0"/>
    <x v="6"/>
  </r>
  <r>
    <s v="ORD00766"/>
    <d v="2024-10-31T00:00:00"/>
    <x v="357"/>
    <x v="266"/>
    <n v="161"/>
    <s v="INV00766"/>
    <n v="161"/>
    <n v="378.91109999999998"/>
    <m/>
    <m/>
    <m/>
    <m/>
    <m/>
    <n v="378.91109999999998"/>
    <d v="2023-07-10T00:00:00"/>
    <n v="0"/>
    <n v="0"/>
    <n v="0"/>
    <n v="0"/>
    <n v="0"/>
    <n v="0"/>
    <n v="0"/>
    <x v="0"/>
    <n v="61004.687099999996"/>
    <n v="61004.687099999996"/>
    <n v="0"/>
    <n v="0"/>
    <x v="0"/>
    <x v="5"/>
  </r>
  <r>
    <s v="ORD00767"/>
    <d v="2023-04-18T00:00:00"/>
    <x v="503"/>
    <x v="275"/>
    <n v="143"/>
    <s v="INV00767"/>
    <n v="143"/>
    <n v="852.48720000000014"/>
    <m/>
    <m/>
    <m/>
    <m/>
    <m/>
    <n v="852.48720000000014"/>
    <d v="2023-02-26T00:00:00"/>
    <n v="0"/>
    <n v="0"/>
    <n v="0"/>
    <n v="0"/>
    <n v="0"/>
    <n v="0"/>
    <n v="0"/>
    <x v="0"/>
    <n v="121905.66960000002"/>
    <n v="121905.66960000002"/>
    <n v="0"/>
    <n v="0"/>
    <x v="0"/>
    <x v="23"/>
  </r>
  <r>
    <s v="ORD00768"/>
    <d v="2024-12-28T00:00:00"/>
    <x v="480"/>
    <x v="45"/>
    <n v="151"/>
    <s v="INV00768"/>
    <n v="151"/>
    <n v="169.22900000000001"/>
    <m/>
    <m/>
    <m/>
    <m/>
    <m/>
    <n v="169.22900000000001"/>
    <d v="2023-04-23T00:00:00"/>
    <n v="0"/>
    <n v="0"/>
    <n v="0"/>
    <n v="0"/>
    <n v="0"/>
    <n v="0"/>
    <n v="0"/>
    <x v="0"/>
    <n v="25553.579000000002"/>
    <n v="25553.579000000002"/>
    <n v="0"/>
    <n v="0"/>
    <x v="0"/>
    <x v="1"/>
  </r>
  <r>
    <s v="ORD00769"/>
    <d v="2023-11-23T00:00:00"/>
    <x v="350"/>
    <x v="230"/>
    <n v="140"/>
    <s v="INV00769"/>
    <n v="140"/>
    <n v="234.87090000000001"/>
    <m/>
    <m/>
    <m/>
    <m/>
    <m/>
    <n v="234.87090000000001"/>
    <d v="2023-08-12T00:00:00"/>
    <n v="0"/>
    <n v="0"/>
    <n v="0"/>
    <n v="0"/>
    <n v="0"/>
    <n v="0"/>
    <n v="0"/>
    <x v="0"/>
    <n v="32881.925999999999"/>
    <n v="32881.925999999999"/>
    <n v="0"/>
    <n v="0"/>
    <x v="0"/>
    <x v="0"/>
  </r>
  <r>
    <s v="ORD00770"/>
    <d v="2023-07-26T00:00:00"/>
    <x v="504"/>
    <x v="51"/>
    <n v="112"/>
    <s v="INV00770"/>
    <n v="111"/>
    <n v="574.77790961140579"/>
    <m/>
    <m/>
    <m/>
    <m/>
    <m/>
    <n v="574.3415"/>
    <d v="2022-09-02T00:00:00"/>
    <n v="0"/>
    <n v="1"/>
    <n v="1"/>
    <n v="0"/>
    <n v="0"/>
    <n v="0"/>
    <n v="0"/>
    <x v="1"/>
    <n v="63800.347966866044"/>
    <n v="64326.248"/>
    <n v="-525.90003313395573"/>
    <n v="12"/>
    <x v="2"/>
    <x v="10"/>
  </r>
  <r>
    <s v="ORD00771"/>
    <d v="2024-08-09T00:00:00"/>
    <x v="126"/>
    <x v="8"/>
    <n v="100"/>
    <s v="INV00771"/>
    <n v="100"/>
    <n v="376.82319999999999"/>
    <m/>
    <m/>
    <m/>
    <m/>
    <m/>
    <n v="376.82319999999999"/>
    <d v="2023-09-02T00:00:00"/>
    <n v="0"/>
    <n v="0"/>
    <n v="0"/>
    <n v="0"/>
    <n v="0"/>
    <n v="0"/>
    <n v="0"/>
    <x v="0"/>
    <n v="37682.32"/>
    <n v="37682.32"/>
    <n v="0"/>
    <n v="0"/>
    <x v="0"/>
    <x v="22"/>
  </r>
  <r>
    <s v="ORD00772"/>
    <d v="2024-09-06T00:00:00"/>
    <x v="361"/>
    <x v="6"/>
    <n v="49"/>
    <s v="INV00772"/>
    <n v="49"/>
    <n v="700.93560000000002"/>
    <m/>
    <m/>
    <m/>
    <m/>
    <m/>
    <n v="700.93560000000002"/>
    <d v="2023-05-31T00:00:00"/>
    <n v="0"/>
    <n v="0"/>
    <n v="0"/>
    <n v="0"/>
    <n v="0"/>
    <n v="0"/>
    <n v="0"/>
    <x v="0"/>
    <n v="34345.844400000002"/>
    <n v="34345.844400000002"/>
    <n v="0"/>
    <n v="0"/>
    <x v="0"/>
    <x v="2"/>
  </r>
  <r>
    <s v="ORD00773"/>
    <d v="2023-01-22T00:00:00"/>
    <x v="285"/>
    <x v="46"/>
    <n v="163"/>
    <s v="INV00773"/>
    <n v="163"/>
    <n v="499.27679999999998"/>
    <m/>
    <m/>
    <m/>
    <m/>
    <m/>
    <n v="499.27679999999998"/>
    <d v="2022-10-06T00:00:00"/>
    <n v="0"/>
    <n v="0"/>
    <n v="0"/>
    <n v="0"/>
    <n v="0"/>
    <n v="0"/>
    <n v="0"/>
    <x v="0"/>
    <n v="81382.118399999992"/>
    <n v="81382.118399999992"/>
    <n v="0"/>
    <n v="0"/>
    <x v="0"/>
    <x v="8"/>
  </r>
  <r>
    <s v="ORD00774"/>
    <d v="2023-06-03T00:00:00"/>
    <x v="505"/>
    <x v="198"/>
    <n v="126"/>
    <s v="INV00774"/>
    <n v="126"/>
    <n v="906.88919999999996"/>
    <m/>
    <m/>
    <m/>
    <m/>
    <m/>
    <n v="906.88919999999996"/>
    <d v="2023-03-06T00:00:00"/>
    <n v="0"/>
    <n v="0"/>
    <n v="0"/>
    <n v="0"/>
    <n v="0"/>
    <n v="0"/>
    <n v="0"/>
    <x v="0"/>
    <n v="114268.0392"/>
    <n v="114268.0392"/>
    <n v="0"/>
    <n v="0"/>
    <x v="0"/>
    <x v="14"/>
  </r>
  <r>
    <s v="ORD00775"/>
    <d v="2023-03-17T00:00:00"/>
    <x v="267"/>
    <x v="19"/>
    <n v="44"/>
    <s v="INV00775"/>
    <n v="44"/>
    <n v="769.91809999999998"/>
    <m/>
    <m/>
    <m/>
    <m/>
    <m/>
    <n v="769.91809999999998"/>
    <d v="2022-12-30T00:00:00"/>
    <n v="0"/>
    <n v="0"/>
    <n v="0"/>
    <n v="0"/>
    <n v="0"/>
    <n v="0"/>
    <n v="0"/>
    <x v="0"/>
    <n v="33876.396399999998"/>
    <n v="33876.396399999998"/>
    <n v="0"/>
    <n v="0"/>
    <x v="0"/>
    <x v="17"/>
  </r>
  <r>
    <s v="ORD00776"/>
    <d v="2024-03-08T00:00:00"/>
    <x v="462"/>
    <x v="53"/>
    <n v="127"/>
    <s v="INV00776"/>
    <n v="127"/>
    <n v="393.40140000000002"/>
    <m/>
    <m/>
    <m/>
    <m/>
    <m/>
    <n v="393.40140000000002"/>
    <d v="2023-08-08T00:00:00"/>
    <n v="0"/>
    <n v="0"/>
    <n v="0"/>
    <n v="0"/>
    <n v="0"/>
    <n v="0"/>
    <n v="0"/>
    <x v="0"/>
    <n v="49961.977800000001"/>
    <n v="49961.977800000001"/>
    <n v="0"/>
    <n v="0"/>
    <x v="0"/>
    <x v="6"/>
  </r>
  <r>
    <s v="ORD00777"/>
    <d v="2024-12-19T00:00:00"/>
    <x v="48"/>
    <x v="189"/>
    <n v="2"/>
    <s v="INV00777"/>
    <n v="2"/>
    <n v="75.847200000000001"/>
    <m/>
    <m/>
    <m/>
    <m/>
    <m/>
    <n v="75.847200000000001"/>
    <d v="2023-06-05T00:00:00"/>
    <n v="0"/>
    <n v="0"/>
    <n v="0"/>
    <n v="0"/>
    <n v="0"/>
    <n v="0"/>
    <n v="0"/>
    <x v="0"/>
    <n v="151.6944"/>
    <n v="151.6944"/>
    <n v="0"/>
    <n v="0"/>
    <x v="0"/>
    <x v="1"/>
  </r>
  <r>
    <s v="ORD00778"/>
    <d v="2024-03-12T00:00:00"/>
    <x v="498"/>
    <x v="177"/>
    <n v="92"/>
    <s v="INV00778"/>
    <n v="92"/>
    <n v="335.39150000000001"/>
    <m/>
    <m/>
    <m/>
    <m/>
    <m/>
    <n v="335.39150000000001"/>
    <d v="2023-08-13T00:00:00"/>
    <n v="0"/>
    <n v="0"/>
    <n v="0"/>
    <n v="0"/>
    <n v="0"/>
    <n v="0"/>
    <n v="0"/>
    <x v="0"/>
    <n v="30856.018"/>
    <n v="30856.018"/>
    <n v="0"/>
    <n v="0"/>
    <x v="0"/>
    <x v="6"/>
  </r>
  <r>
    <s v="ORD00779"/>
    <d v="2023-09-28T00:00:00"/>
    <x v="347"/>
    <x v="276"/>
    <n v="56"/>
    <s v="INV00779"/>
    <n v="56"/>
    <n v="1066.4874"/>
    <m/>
    <m/>
    <m/>
    <m/>
    <m/>
    <n v="1066.4874"/>
    <d v="2023-05-31T00:00:00"/>
    <n v="0"/>
    <n v="0"/>
    <n v="0"/>
    <n v="0"/>
    <n v="0"/>
    <n v="0"/>
    <n v="0"/>
    <x v="0"/>
    <n v="59723.294399999999"/>
    <n v="59723.294399999999"/>
    <n v="0"/>
    <n v="0"/>
    <x v="0"/>
    <x v="18"/>
  </r>
  <r>
    <s v="ORD00780"/>
    <d v="2024-06-04T00:00:00"/>
    <x v="184"/>
    <x v="121"/>
    <n v="117"/>
    <s v="INV00780"/>
    <n v="117"/>
    <n v="1061.7264"/>
    <m/>
    <m/>
    <m/>
    <m/>
    <m/>
    <n v="1061.7264"/>
    <d v="2023-09-11T00:00:00"/>
    <n v="0"/>
    <n v="0"/>
    <n v="0"/>
    <n v="0"/>
    <n v="0"/>
    <n v="0"/>
    <n v="0"/>
    <x v="0"/>
    <n v="124221.98880000001"/>
    <n v="124221.98880000001"/>
    <n v="0"/>
    <n v="0"/>
    <x v="0"/>
    <x v="16"/>
  </r>
  <r>
    <s v="ORD00781"/>
    <d v="2023-04-24T00:00:00"/>
    <x v="334"/>
    <x v="275"/>
    <n v="46"/>
    <s v="INV00781"/>
    <n v="46"/>
    <n v="852.48720000000014"/>
    <m/>
    <m/>
    <m/>
    <m/>
    <m/>
    <n v="852.48720000000014"/>
    <d v="2023-02-26T00:00:00"/>
    <n v="0"/>
    <n v="0"/>
    <n v="0"/>
    <n v="0"/>
    <n v="0"/>
    <n v="0"/>
    <n v="0"/>
    <x v="0"/>
    <n v="39214.41120000001"/>
    <n v="39214.41120000001"/>
    <n v="0"/>
    <n v="0"/>
    <x v="0"/>
    <x v="23"/>
  </r>
  <r>
    <s v="ORD00782"/>
    <d v="2024-06-15T00:00:00"/>
    <x v="506"/>
    <x v="262"/>
    <n v="23"/>
    <s v="INV00782"/>
    <n v="23"/>
    <n v="251.7122"/>
    <m/>
    <m/>
    <m/>
    <m/>
    <m/>
    <n v="251.7122"/>
    <d v="2023-06-11T00:00:00"/>
    <n v="0"/>
    <n v="0"/>
    <n v="0"/>
    <n v="0"/>
    <n v="0"/>
    <n v="0"/>
    <n v="0"/>
    <x v="0"/>
    <n v="5789.3805999999995"/>
    <n v="5789.3805999999995"/>
    <n v="0"/>
    <n v="0"/>
    <x v="0"/>
    <x v="16"/>
  </r>
  <r>
    <s v="ORD00783"/>
    <d v="2024-10-06T00:00:00"/>
    <x v="227"/>
    <x v="147"/>
    <n v="7"/>
    <s v="INV00783"/>
    <n v="7"/>
    <n v="1195.6769999999999"/>
    <m/>
    <m/>
    <m/>
    <m/>
    <m/>
    <n v="1195.6769999999999"/>
    <d v="2023-03-25T00:00:00"/>
    <n v="0"/>
    <n v="0"/>
    <n v="0"/>
    <n v="0"/>
    <n v="0"/>
    <n v="0"/>
    <n v="0"/>
    <x v="0"/>
    <n v="8369.7389999999996"/>
    <n v="8369.7389999999996"/>
    <n v="0"/>
    <n v="0"/>
    <x v="0"/>
    <x v="5"/>
  </r>
  <r>
    <s v="ORD00784"/>
    <d v="2023-08-03T00:00:00"/>
    <x v="307"/>
    <x v="26"/>
    <n v="18"/>
    <s v="INV00784"/>
    <n v="18"/>
    <n v="126.5656"/>
    <m/>
    <m/>
    <m/>
    <m/>
    <m/>
    <n v="126.5656"/>
    <d v="2023-01-21T00:00:00"/>
    <n v="0"/>
    <n v="0"/>
    <n v="0"/>
    <n v="0"/>
    <n v="0"/>
    <n v="0"/>
    <n v="0"/>
    <x v="0"/>
    <n v="2278.1808000000001"/>
    <n v="2278.1808000000001"/>
    <n v="0"/>
    <n v="0"/>
    <x v="0"/>
    <x v="12"/>
  </r>
  <r>
    <s v="ORD00785"/>
    <d v="2024-07-06T00:00:00"/>
    <x v="507"/>
    <x v="82"/>
    <n v="90"/>
    <s v="INV00785"/>
    <n v="90"/>
    <n v="280.03500000000003"/>
    <n v="15"/>
    <d v="2024-06-12T00:00:00"/>
    <m/>
    <m/>
    <m/>
    <n v="280.03500000000003"/>
    <d v="2023-08-08T00:00:00"/>
    <n v="0"/>
    <n v="0"/>
    <n v="0"/>
    <n v="0"/>
    <n v="0"/>
    <n v="0"/>
    <n v="0"/>
    <x v="0"/>
    <n v="25203.15"/>
    <n v="25203.15"/>
    <n v="0"/>
    <n v="0"/>
    <x v="0"/>
    <x v="21"/>
  </r>
  <r>
    <s v="ORD00786"/>
    <d v="2024-03-24T00:00:00"/>
    <x v="508"/>
    <x v="277"/>
    <n v="159"/>
    <s v="INV00786"/>
    <n v="159"/>
    <n v="544.5"/>
    <m/>
    <m/>
    <m/>
    <m/>
    <m/>
    <n v="544.5"/>
    <d v="2023-08-21T00:00:00"/>
    <n v="0"/>
    <n v="0"/>
    <n v="0"/>
    <n v="0"/>
    <n v="0"/>
    <n v="0"/>
    <n v="0"/>
    <x v="0"/>
    <n v="86575.5"/>
    <n v="86575.5"/>
    <n v="0"/>
    <n v="0"/>
    <x v="0"/>
    <x v="6"/>
  </r>
  <r>
    <s v="ORD00787"/>
    <d v="2023-06-11T00:00:00"/>
    <x v="375"/>
    <x v="165"/>
    <n v="72"/>
    <s v="INV00787"/>
    <n v="72"/>
    <n v="991.99"/>
    <m/>
    <m/>
    <m/>
    <m/>
    <m/>
    <n v="991.99"/>
    <d v="2023-02-19T00:00:00"/>
    <n v="0"/>
    <n v="0"/>
    <n v="0"/>
    <n v="0"/>
    <n v="0"/>
    <n v="0"/>
    <n v="0"/>
    <x v="0"/>
    <n v="71423.28"/>
    <n v="71423.28"/>
    <n v="0"/>
    <n v="0"/>
    <x v="0"/>
    <x v="14"/>
  </r>
  <r>
    <s v="ORD00788"/>
    <d v="2023-12-26T00:00:00"/>
    <x v="509"/>
    <x v="229"/>
    <n v="163"/>
    <s v="INV00788"/>
    <n v="163"/>
    <n v="402.05340000000001"/>
    <m/>
    <m/>
    <m/>
    <m/>
    <m/>
    <n v="402.05340000000001"/>
    <d v="2023-10-15T00:00:00"/>
    <n v="0"/>
    <n v="0"/>
    <n v="0"/>
    <n v="0"/>
    <n v="0"/>
    <n v="0"/>
    <n v="0"/>
    <x v="0"/>
    <n v="65534.7042"/>
    <n v="65534.7042"/>
    <n v="0"/>
    <n v="0"/>
    <x v="0"/>
    <x v="20"/>
  </r>
  <r>
    <s v="ORD00789"/>
    <d v="2023-12-06T00:00:00"/>
    <x v="510"/>
    <x v="270"/>
    <n v="96"/>
    <s v="INV00789"/>
    <n v="96"/>
    <n v="983.19460000000004"/>
    <n v="10"/>
    <d v="2024-06-22T00:00:00"/>
    <m/>
    <m/>
    <m/>
    <n v="983.19460000000004"/>
    <d v="2023-08-04T00:00:00"/>
    <n v="0"/>
    <n v="0"/>
    <n v="0"/>
    <n v="0"/>
    <n v="0"/>
    <n v="1"/>
    <n v="0"/>
    <x v="1"/>
    <n v="94386.681600000011"/>
    <n v="94386.681600000011"/>
    <n v="0"/>
    <n v="2"/>
    <x v="1"/>
    <x v="20"/>
  </r>
  <r>
    <s v="ORD00790"/>
    <d v="2024-11-09T00:00:00"/>
    <x v="511"/>
    <x v="250"/>
    <n v="196"/>
    <s v="INV00790"/>
    <n v="196"/>
    <n v="92.962000000000003"/>
    <m/>
    <m/>
    <m/>
    <m/>
    <m/>
    <n v="92.962000000000003"/>
    <d v="2023-08-13T00:00:00"/>
    <n v="0"/>
    <n v="0"/>
    <n v="0"/>
    <n v="0"/>
    <n v="0"/>
    <n v="0"/>
    <n v="0"/>
    <x v="0"/>
    <n v="18220.552"/>
    <n v="18220.552"/>
    <n v="0"/>
    <n v="0"/>
    <x v="0"/>
    <x v="4"/>
  </r>
  <r>
    <s v="ORD00791"/>
    <d v="2023-12-22T00:00:00"/>
    <x v="512"/>
    <x v="133"/>
    <n v="163"/>
    <s v="INV00791"/>
    <n v="163"/>
    <n v="1220.5917999999999"/>
    <m/>
    <m/>
    <m/>
    <m/>
    <m/>
    <n v="1220.5917999999999"/>
    <d v="2023-08-15T00:00:00"/>
    <n v="0"/>
    <n v="0"/>
    <n v="0"/>
    <n v="0"/>
    <n v="0"/>
    <n v="0"/>
    <n v="0"/>
    <x v="0"/>
    <n v="198956.46339999998"/>
    <n v="198956.46339999998"/>
    <n v="0"/>
    <n v="0"/>
    <x v="0"/>
    <x v="20"/>
  </r>
  <r>
    <s v="ORD00792"/>
    <d v="2023-12-05T00:00:00"/>
    <x v="172"/>
    <x v="85"/>
    <n v="198"/>
    <s v="INV00792"/>
    <n v="198"/>
    <n v="1086.3648000000001"/>
    <m/>
    <m/>
    <m/>
    <m/>
    <m/>
    <n v="1086.3648000000001"/>
    <d v="2023-01-14T00:00:00"/>
    <n v="0"/>
    <n v="0"/>
    <n v="0"/>
    <n v="0"/>
    <n v="0"/>
    <n v="0"/>
    <n v="0"/>
    <x v="0"/>
    <n v="215100.2304"/>
    <n v="215100.2304"/>
    <n v="0"/>
    <n v="0"/>
    <x v="0"/>
    <x v="20"/>
  </r>
  <r>
    <s v="ORD00793"/>
    <d v="2024-03-18T00:00:00"/>
    <x v="458"/>
    <x v="129"/>
    <n v="171"/>
    <s v="INV00793"/>
    <n v="171"/>
    <n v="664.8768"/>
    <m/>
    <m/>
    <m/>
    <m/>
    <m/>
    <n v="664.8768"/>
    <d v="2023-07-09T00:00:00"/>
    <n v="0"/>
    <n v="0"/>
    <n v="0"/>
    <n v="0"/>
    <n v="0"/>
    <n v="0"/>
    <n v="0"/>
    <x v="0"/>
    <n v="113693.9328"/>
    <n v="113693.9328"/>
    <n v="0"/>
    <n v="0"/>
    <x v="0"/>
    <x v="6"/>
  </r>
  <r>
    <s v="ORD00794"/>
    <d v="2023-11-09T00:00:00"/>
    <x v="122"/>
    <x v="176"/>
    <n v="18"/>
    <s v="INV00794"/>
    <n v="18"/>
    <n v="79.105599999999995"/>
    <m/>
    <m/>
    <m/>
    <m/>
    <m/>
    <n v="79.105599999999995"/>
    <d v="2023-10-05T00:00:00"/>
    <n v="0"/>
    <n v="0"/>
    <n v="0"/>
    <n v="0"/>
    <n v="0"/>
    <n v="0"/>
    <n v="0"/>
    <x v="0"/>
    <n v="1423.9007999999999"/>
    <n v="1423.9007999999999"/>
    <n v="0"/>
    <n v="0"/>
    <x v="0"/>
    <x v="0"/>
  </r>
  <r>
    <s v="ORD00795"/>
    <d v="2023-06-28T00:00:00"/>
    <x v="131"/>
    <x v="95"/>
    <n v="36"/>
    <s v="INV00795"/>
    <n v="36"/>
    <n v="1072.1079000000002"/>
    <m/>
    <m/>
    <m/>
    <m/>
    <m/>
    <n v="1072.1079000000002"/>
    <d v="2023-04-19T00:00:00"/>
    <n v="0"/>
    <n v="0"/>
    <n v="0"/>
    <n v="0"/>
    <n v="0"/>
    <n v="0"/>
    <n v="0"/>
    <x v="0"/>
    <n v="38595.88440000001"/>
    <n v="38595.88440000001"/>
    <n v="0"/>
    <n v="0"/>
    <x v="0"/>
    <x v="14"/>
  </r>
  <r>
    <s v="ORD00796"/>
    <d v="2024-03-01T00:00:00"/>
    <x v="263"/>
    <x v="262"/>
    <n v="17"/>
    <s v="INV00796"/>
    <n v="17"/>
    <n v="251.7122"/>
    <m/>
    <m/>
    <m/>
    <m/>
    <m/>
    <n v="251.7122"/>
    <d v="2023-06-11T00:00:00"/>
    <n v="0"/>
    <n v="0"/>
    <n v="0"/>
    <n v="0"/>
    <n v="0"/>
    <n v="0"/>
    <n v="0"/>
    <x v="0"/>
    <n v="4279.1073999999999"/>
    <n v="4279.1073999999999"/>
    <n v="0"/>
    <n v="0"/>
    <x v="0"/>
    <x v="6"/>
  </r>
  <r>
    <s v="ORD00797"/>
    <d v="2023-10-22T00:00:00"/>
    <x v="217"/>
    <x v="207"/>
    <n v="101"/>
    <s v="INV00797"/>
    <n v="101"/>
    <n v="296.2912"/>
    <m/>
    <m/>
    <m/>
    <m/>
    <m/>
    <n v="296.2912"/>
    <d v="2022-12-26T00:00:00"/>
    <n v="0"/>
    <n v="0"/>
    <n v="0"/>
    <n v="0"/>
    <n v="0"/>
    <n v="0"/>
    <n v="0"/>
    <x v="0"/>
    <n v="29925.411199999999"/>
    <n v="29925.411199999999"/>
    <n v="0"/>
    <n v="0"/>
    <x v="0"/>
    <x v="19"/>
  </r>
  <r>
    <s v="ORD00798"/>
    <d v="2024-11-29T00:00:00"/>
    <x v="513"/>
    <x v="277"/>
    <n v="125"/>
    <s v="INV00798"/>
    <n v="125"/>
    <n v="544.5"/>
    <m/>
    <m/>
    <m/>
    <m/>
    <m/>
    <n v="544.5"/>
    <d v="2023-08-21T00:00:00"/>
    <n v="0"/>
    <n v="0"/>
    <n v="0"/>
    <n v="0"/>
    <n v="0"/>
    <n v="0"/>
    <n v="0"/>
    <x v="0"/>
    <n v="68062.5"/>
    <n v="68062.5"/>
    <n v="0"/>
    <n v="0"/>
    <x v="0"/>
    <x v="4"/>
  </r>
  <r>
    <s v="ORD00799"/>
    <d v="2024-08-15T00:00:00"/>
    <x v="305"/>
    <x v="249"/>
    <n v="195"/>
    <s v="INV00799"/>
    <n v="195"/>
    <n v="901.84500000000003"/>
    <m/>
    <m/>
    <m/>
    <m/>
    <m/>
    <n v="901.84500000000003"/>
    <d v="2023-10-17T00:00:00"/>
    <n v="0"/>
    <n v="0"/>
    <n v="0"/>
    <n v="0"/>
    <n v="0"/>
    <n v="0"/>
    <n v="0"/>
    <x v="0"/>
    <n v="175859.77499999999"/>
    <n v="175859.77499999999"/>
    <n v="0"/>
    <n v="0"/>
    <x v="0"/>
    <x v="22"/>
  </r>
  <r>
    <s v="ORD00800"/>
    <d v="2023-08-05T00:00:00"/>
    <x v="147"/>
    <x v="271"/>
    <n v="199"/>
    <s v="INV00800"/>
    <n v="199"/>
    <n v="358.33919999999995"/>
    <m/>
    <m/>
    <m/>
    <m/>
    <m/>
    <n v="358.33919999999995"/>
    <d v="2023-07-01T00:00:00"/>
    <n v="0"/>
    <n v="0"/>
    <n v="0"/>
    <n v="0"/>
    <n v="0"/>
    <n v="0"/>
    <n v="0"/>
    <x v="0"/>
    <n v="71309.500799999994"/>
    <n v="71309.500799999994"/>
    <n v="0"/>
    <n v="0"/>
    <x v="0"/>
    <x v="12"/>
  </r>
  <r>
    <s v="ORD00801"/>
    <d v="2023-07-06T00:00:00"/>
    <x v="425"/>
    <x v="10"/>
    <n v="20"/>
    <s v="INV00801"/>
    <n v="20"/>
    <n v="461.69279999999998"/>
    <m/>
    <m/>
    <m/>
    <m/>
    <m/>
    <n v="461.69279999999998"/>
    <d v="2023-04-15T00:00:00"/>
    <n v="0"/>
    <n v="0"/>
    <n v="0"/>
    <n v="0"/>
    <n v="0"/>
    <n v="0"/>
    <n v="0"/>
    <x v="0"/>
    <n v="9233.8559999999998"/>
    <n v="9233.8559999999998"/>
    <n v="0"/>
    <n v="0"/>
    <x v="0"/>
    <x v="10"/>
  </r>
  <r>
    <s v="ORD00802"/>
    <d v="2024-12-16T00:00:00"/>
    <x v="114"/>
    <x v="131"/>
    <n v="137"/>
    <s v="INV00802"/>
    <n v="145"/>
    <n v="741.88620000000003"/>
    <m/>
    <m/>
    <m/>
    <m/>
    <m/>
    <n v="741.88620000000003"/>
    <d v="2023-01-04T00:00:00"/>
    <n v="0"/>
    <n v="1"/>
    <n v="0"/>
    <n v="0"/>
    <n v="0"/>
    <n v="0"/>
    <n v="0"/>
    <x v="1"/>
    <n v="107573.49900000001"/>
    <n v="101638.4094"/>
    <n v="5935.0896000000066"/>
    <n v="8"/>
    <x v="2"/>
    <x v="1"/>
  </r>
  <r>
    <s v="ORD00803"/>
    <d v="2024-11-08T00:00:00"/>
    <x v="445"/>
    <x v="191"/>
    <n v="9"/>
    <s v="INV00803"/>
    <n v="9"/>
    <n v="355.32000000000005"/>
    <m/>
    <m/>
    <m/>
    <m/>
    <m/>
    <n v="355.32000000000005"/>
    <d v="2023-05-12T00:00:00"/>
    <n v="0"/>
    <n v="0"/>
    <n v="0"/>
    <n v="0"/>
    <n v="0"/>
    <n v="0"/>
    <n v="0"/>
    <x v="0"/>
    <n v="3197.8800000000006"/>
    <n v="3197.8800000000006"/>
    <n v="0"/>
    <n v="0"/>
    <x v="0"/>
    <x v="4"/>
  </r>
  <r>
    <s v="ORD00804"/>
    <d v="2024-06-20T00:00:00"/>
    <x v="315"/>
    <x v="166"/>
    <n v="11"/>
    <s v="INV00804"/>
    <n v="11"/>
    <n v="156.37459999999999"/>
    <m/>
    <m/>
    <m/>
    <m/>
    <m/>
    <n v="156.37459999999999"/>
    <d v="2023-06-13T00:00:00"/>
    <n v="0"/>
    <n v="0"/>
    <n v="0"/>
    <n v="0"/>
    <n v="0"/>
    <n v="0"/>
    <n v="0"/>
    <x v="0"/>
    <n v="1720.1205999999997"/>
    <n v="1720.1205999999997"/>
    <n v="0"/>
    <n v="0"/>
    <x v="0"/>
    <x v="16"/>
  </r>
  <r>
    <s v="ORD00805"/>
    <d v="2023-01-27T00:00:00"/>
    <x v="327"/>
    <x v="7"/>
    <n v="151"/>
    <s v="INV00805"/>
    <n v="151"/>
    <n v="563.59040000000005"/>
    <m/>
    <m/>
    <m/>
    <m/>
    <m/>
    <n v="563.59040000000005"/>
    <d v="2022-10-01T00:00:00"/>
    <n v="0"/>
    <n v="0"/>
    <n v="0"/>
    <n v="0"/>
    <n v="0"/>
    <n v="0"/>
    <n v="0"/>
    <x v="0"/>
    <n v="85102.150400000013"/>
    <n v="85102.150400000013"/>
    <n v="0"/>
    <n v="0"/>
    <x v="0"/>
    <x v="8"/>
  </r>
  <r>
    <s v="ORD00806"/>
    <d v="2024-12-27T00:00:00"/>
    <x v="514"/>
    <x v="19"/>
    <n v="163"/>
    <s v="INV00806"/>
    <n v="163"/>
    <n v="833.41650000000004"/>
    <m/>
    <m/>
    <m/>
    <m/>
    <m/>
    <n v="833.41650000000004"/>
    <d v="2023-09-25T00:00:00"/>
    <n v="0"/>
    <n v="0"/>
    <n v="0"/>
    <n v="0"/>
    <n v="0"/>
    <n v="0"/>
    <n v="0"/>
    <x v="0"/>
    <n v="135846.88950000002"/>
    <n v="135846.88950000002"/>
    <n v="0"/>
    <n v="0"/>
    <x v="0"/>
    <x v="1"/>
  </r>
  <r>
    <s v="ORD00807"/>
    <d v="2023-11-28T00:00:00"/>
    <x v="426"/>
    <x v="35"/>
    <n v="14"/>
    <s v="INV00807"/>
    <n v="14"/>
    <n v="1120.6556"/>
    <m/>
    <m/>
    <m/>
    <m/>
    <m/>
    <n v="1120.6556"/>
    <d v="2023-04-10T00:00:00"/>
    <n v="0"/>
    <n v="0"/>
    <n v="0"/>
    <n v="0"/>
    <n v="0"/>
    <n v="0"/>
    <n v="0"/>
    <x v="0"/>
    <n v="15689.178400000001"/>
    <n v="15689.178400000001"/>
    <n v="0"/>
    <n v="0"/>
    <x v="0"/>
    <x v="0"/>
  </r>
  <r>
    <s v="ORD00808"/>
    <d v="2023-09-26T00:00:00"/>
    <x v="457"/>
    <x v="215"/>
    <n v="101"/>
    <s v="INV00808"/>
    <n v="101"/>
    <n v="174.32480000000001"/>
    <m/>
    <m/>
    <m/>
    <m/>
    <m/>
    <n v="174.32480000000001"/>
    <d v="2023-08-04T00:00:00"/>
    <n v="0"/>
    <n v="0"/>
    <n v="0"/>
    <n v="0"/>
    <n v="0"/>
    <n v="0"/>
    <n v="0"/>
    <x v="0"/>
    <n v="17606.804800000002"/>
    <n v="17606.804800000002"/>
    <n v="0"/>
    <n v="0"/>
    <x v="0"/>
    <x v="18"/>
  </r>
  <r>
    <s v="ORD00809"/>
    <d v="2024-05-22T00:00:00"/>
    <x v="515"/>
    <x v="62"/>
    <n v="136"/>
    <s v="INV00809"/>
    <n v="136"/>
    <n v="1080.0740000000001"/>
    <m/>
    <m/>
    <m/>
    <m/>
    <m/>
    <n v="1080.0740000000001"/>
    <d v="2023-05-12T00:00:00"/>
    <n v="0"/>
    <n v="0"/>
    <n v="0"/>
    <n v="0"/>
    <n v="0"/>
    <n v="0"/>
    <n v="0"/>
    <x v="0"/>
    <n v="146890.06400000001"/>
    <n v="146890.06400000001"/>
    <n v="0"/>
    <n v="0"/>
    <x v="0"/>
    <x v="13"/>
  </r>
  <r>
    <s v="ORD00810"/>
    <d v="2024-08-30T00:00:00"/>
    <x v="300"/>
    <x v="59"/>
    <n v="16"/>
    <s v="INV00810"/>
    <n v="16"/>
    <n v="942.54840000000013"/>
    <m/>
    <m/>
    <m/>
    <m/>
    <m/>
    <n v="942.54840000000013"/>
    <d v="2023-06-09T00:00:00"/>
    <n v="0"/>
    <n v="0"/>
    <n v="0"/>
    <n v="0"/>
    <n v="0"/>
    <n v="0"/>
    <n v="0"/>
    <x v="0"/>
    <n v="15080.774400000002"/>
    <n v="15080.774400000002"/>
    <n v="0"/>
    <n v="0"/>
    <x v="0"/>
    <x v="22"/>
  </r>
  <r>
    <s v="ORD00811"/>
    <d v="2023-07-21T00:00:00"/>
    <x v="271"/>
    <x v="5"/>
    <n v="160"/>
    <s v="INV00811"/>
    <n v="160"/>
    <n v="1037.183"/>
    <m/>
    <m/>
    <m/>
    <m/>
    <m/>
    <n v="1037.183"/>
    <d v="2023-05-08T00:00:00"/>
    <n v="0"/>
    <n v="0"/>
    <n v="0"/>
    <n v="0"/>
    <n v="0"/>
    <n v="0"/>
    <n v="0"/>
    <x v="0"/>
    <n v="165949.28"/>
    <n v="165949.28"/>
    <n v="0"/>
    <n v="0"/>
    <x v="0"/>
    <x v="10"/>
  </r>
  <r>
    <s v="ORD00812"/>
    <d v="2023-03-01T00:00:00"/>
    <x v="516"/>
    <x v="53"/>
    <n v="114"/>
    <s v="INV00812"/>
    <n v="124"/>
    <n v="414.06644836951784"/>
    <m/>
    <m/>
    <m/>
    <m/>
    <m/>
    <n v="413.47289999999998"/>
    <d v="2022-09-25T00:00:00"/>
    <n v="0"/>
    <n v="1"/>
    <n v="1"/>
    <n v="0"/>
    <n v="0"/>
    <n v="0"/>
    <n v="0"/>
    <x v="1"/>
    <n v="51344.239597820211"/>
    <n v="47135.910599999996"/>
    <n v="4208.3289978202156"/>
    <n v="12"/>
    <x v="2"/>
    <x v="17"/>
  </r>
  <r>
    <s v="ORD00813"/>
    <d v="2023-08-07T00:00:00"/>
    <x v="517"/>
    <x v="90"/>
    <n v="12"/>
    <s v="INV00813"/>
    <n v="12"/>
    <n v="249.1748"/>
    <m/>
    <m/>
    <m/>
    <m/>
    <m/>
    <n v="249.1748"/>
    <d v="2023-08-03T00:00:00"/>
    <n v="0"/>
    <n v="0"/>
    <n v="0"/>
    <n v="0"/>
    <n v="0"/>
    <n v="0"/>
    <n v="0"/>
    <x v="0"/>
    <n v="2990.0976000000001"/>
    <n v="2990.0976000000001"/>
    <n v="0"/>
    <n v="0"/>
    <x v="0"/>
    <x v="12"/>
  </r>
  <r>
    <s v="ORD00814"/>
    <d v="2024-07-14T00:00:00"/>
    <x v="392"/>
    <x v="208"/>
    <n v="97"/>
    <s v="INV00814"/>
    <n v="97"/>
    <n v="107.1605"/>
    <m/>
    <m/>
    <m/>
    <m/>
    <m/>
    <n v="107.1605"/>
    <d v="2023-02-13T00:00:00"/>
    <n v="0"/>
    <n v="0"/>
    <n v="0"/>
    <n v="0"/>
    <n v="0"/>
    <n v="0"/>
    <n v="0"/>
    <x v="0"/>
    <n v="10394.568499999999"/>
    <n v="10394.568499999999"/>
    <n v="0"/>
    <n v="0"/>
    <x v="0"/>
    <x v="21"/>
  </r>
  <r>
    <s v="ORD00815"/>
    <d v="2024-06-08T00:00:00"/>
    <x v="466"/>
    <x v="232"/>
    <n v="76"/>
    <s v="INV00815"/>
    <n v="76"/>
    <n v="1065.7722000000001"/>
    <m/>
    <m/>
    <m/>
    <m/>
    <m/>
    <n v="1065.7722000000001"/>
    <d v="2023-01-10T00:00:00"/>
    <n v="0"/>
    <n v="0"/>
    <n v="0"/>
    <n v="0"/>
    <n v="0"/>
    <n v="0"/>
    <n v="0"/>
    <x v="0"/>
    <n v="80998.687200000015"/>
    <n v="80998.687200000015"/>
    <n v="0"/>
    <n v="0"/>
    <x v="0"/>
    <x v="16"/>
  </r>
  <r>
    <s v="ORD00816"/>
    <d v="2023-09-21T00:00:00"/>
    <x v="376"/>
    <x v="192"/>
    <n v="170"/>
    <s v="INV00816"/>
    <n v="174"/>
    <n v="247.48920000000001"/>
    <m/>
    <m/>
    <m/>
    <m/>
    <m/>
    <n v="247.48920000000001"/>
    <d v="2023-06-11T00:00:00"/>
    <n v="0"/>
    <n v="1"/>
    <n v="0"/>
    <n v="0"/>
    <n v="0"/>
    <n v="0"/>
    <n v="0"/>
    <x v="1"/>
    <n v="43063.120800000004"/>
    <n v="42073.164000000004"/>
    <n v="989.95679999999993"/>
    <n v="8"/>
    <x v="2"/>
    <x v="18"/>
  </r>
  <r>
    <s v="ORD00817"/>
    <d v="2024-03-09T00:00:00"/>
    <x v="288"/>
    <x v="214"/>
    <n v="101"/>
    <s v="INV00817"/>
    <n v="101"/>
    <n v="77.178600000000003"/>
    <m/>
    <m/>
    <m/>
    <m/>
    <m/>
    <n v="77.178600000000003"/>
    <d v="2023-02-18T00:00:00"/>
    <n v="0"/>
    <n v="0"/>
    <n v="0"/>
    <n v="0"/>
    <n v="0"/>
    <n v="0"/>
    <n v="0"/>
    <x v="0"/>
    <n v="7795.0385999999999"/>
    <n v="7795.0385999999999"/>
    <n v="0"/>
    <n v="0"/>
    <x v="0"/>
    <x v="6"/>
  </r>
  <r>
    <s v="ORD00818"/>
    <d v="2024-06-01T00:00:00"/>
    <x v="477"/>
    <x v="278"/>
    <n v="106"/>
    <s v="INV00818"/>
    <n v="106"/>
    <n v="312.56310000000002"/>
    <m/>
    <m/>
    <m/>
    <m/>
    <m/>
    <n v="312.56310000000002"/>
    <d v="2023-04-12T00:00:00"/>
    <n v="0"/>
    <n v="0"/>
    <n v="0"/>
    <n v="0"/>
    <n v="0"/>
    <n v="0"/>
    <n v="0"/>
    <x v="0"/>
    <n v="33131.688600000001"/>
    <n v="33131.688600000001"/>
    <n v="0"/>
    <n v="0"/>
    <x v="0"/>
    <x v="16"/>
  </r>
  <r>
    <s v="ORD00819"/>
    <d v="2023-07-20T00:00:00"/>
    <x v="416"/>
    <x v="261"/>
    <n v="95"/>
    <s v="INV00819"/>
    <n v="95"/>
    <n v="956.22119999999995"/>
    <m/>
    <m/>
    <m/>
    <m/>
    <m/>
    <n v="956.22119999999995"/>
    <d v="2022-12-11T00:00:00"/>
    <n v="0"/>
    <n v="0"/>
    <n v="0"/>
    <n v="0"/>
    <n v="0"/>
    <n v="0"/>
    <n v="0"/>
    <x v="0"/>
    <n v="90841.013999999996"/>
    <n v="90841.013999999996"/>
    <n v="0"/>
    <n v="0"/>
    <x v="0"/>
    <x v="10"/>
  </r>
  <r>
    <s v="ORD00820"/>
    <d v="2024-09-04T00:00:00"/>
    <x v="137"/>
    <x v="279"/>
    <n v="37"/>
    <s v="INV00820"/>
    <n v="37"/>
    <n v="461.00940000000003"/>
    <m/>
    <m/>
    <m/>
    <m/>
    <m/>
    <n v="461.00940000000003"/>
    <d v="2023-04-20T00:00:00"/>
    <n v="0"/>
    <n v="0"/>
    <n v="0"/>
    <n v="0"/>
    <n v="0"/>
    <n v="0"/>
    <n v="0"/>
    <x v="0"/>
    <n v="17057.3478"/>
    <n v="17057.3478"/>
    <n v="0"/>
    <n v="0"/>
    <x v="0"/>
    <x v="2"/>
  </r>
  <r>
    <s v="ORD00821"/>
    <d v="2024-06-24T00:00:00"/>
    <x v="517"/>
    <x v="230"/>
    <n v="191"/>
    <s v="INV00821"/>
    <n v="191"/>
    <n v="234.87090000000001"/>
    <m/>
    <m/>
    <m/>
    <m/>
    <m/>
    <n v="234.87090000000001"/>
    <d v="2023-08-12T00:00:00"/>
    <n v="0"/>
    <n v="0"/>
    <n v="0"/>
    <n v="0"/>
    <n v="0"/>
    <n v="0"/>
    <n v="0"/>
    <x v="0"/>
    <n v="44860.341899999999"/>
    <n v="44860.341899999999"/>
    <n v="0"/>
    <n v="0"/>
    <x v="0"/>
    <x v="16"/>
  </r>
  <r>
    <s v="ORD00822"/>
    <d v="2023-01-22T00:00:00"/>
    <x v="67"/>
    <x v="59"/>
    <n v="72"/>
    <s v="INV00822"/>
    <n v="72"/>
    <n v="933.82110000000011"/>
    <m/>
    <m/>
    <m/>
    <m/>
    <m/>
    <n v="933.82110000000011"/>
    <d v="2022-10-21T00:00:00"/>
    <n v="0"/>
    <n v="0"/>
    <n v="0"/>
    <n v="0"/>
    <n v="0"/>
    <n v="0"/>
    <n v="0"/>
    <x v="0"/>
    <n v="67235.119200000016"/>
    <n v="67235.119200000016"/>
    <n v="0"/>
    <n v="0"/>
    <x v="0"/>
    <x v="8"/>
  </r>
  <r>
    <s v="ORD00823"/>
    <d v="2023-02-08T00:00:00"/>
    <x v="518"/>
    <x v="221"/>
    <n v="21"/>
    <s v="INV00823"/>
    <n v="21"/>
    <n v="612.66449999999998"/>
    <m/>
    <m/>
    <m/>
    <m/>
    <m/>
    <n v="612.66449999999998"/>
    <d v="2023-01-25T00:00:00"/>
    <n v="0"/>
    <n v="0"/>
    <n v="0"/>
    <n v="0"/>
    <n v="0"/>
    <n v="0"/>
    <n v="0"/>
    <x v="0"/>
    <n v="12865.9545"/>
    <n v="12865.9545"/>
    <n v="0"/>
    <n v="0"/>
    <x v="0"/>
    <x v="11"/>
  </r>
  <r>
    <s v="ORD00824"/>
    <d v="2023-09-24T00:00:00"/>
    <x v="519"/>
    <x v="160"/>
    <n v="160"/>
    <s v="INV00824"/>
    <n v="160"/>
    <n v="431.81990000000002"/>
    <m/>
    <m/>
    <m/>
    <m/>
    <m/>
    <n v="431.81990000000002"/>
    <d v="2022-09-03T00:00:00"/>
    <n v="0"/>
    <n v="0"/>
    <n v="0"/>
    <n v="0"/>
    <n v="0"/>
    <n v="0"/>
    <n v="0"/>
    <x v="0"/>
    <n v="69091.184000000008"/>
    <n v="69091.184000000008"/>
    <n v="0"/>
    <n v="0"/>
    <x v="0"/>
    <x v="18"/>
  </r>
  <r>
    <s v="ORD00825"/>
    <d v="2023-09-20T00:00:00"/>
    <x v="433"/>
    <x v="151"/>
    <n v="96"/>
    <s v="INV00825"/>
    <n v="96"/>
    <n v="212.73140000000001"/>
    <m/>
    <m/>
    <m/>
    <m/>
    <m/>
    <n v="212.73140000000001"/>
    <d v="2023-08-06T00:00:00"/>
    <n v="0"/>
    <n v="0"/>
    <n v="0"/>
    <n v="0"/>
    <n v="0"/>
    <n v="0"/>
    <n v="0"/>
    <x v="0"/>
    <n v="20422.214400000001"/>
    <n v="20422.214400000001"/>
    <n v="0"/>
    <n v="0"/>
    <x v="0"/>
    <x v="18"/>
  </r>
  <r>
    <s v="ORD00826"/>
    <d v="2024-06-20T00:00:00"/>
    <x v="301"/>
    <x v="280"/>
    <n v="113"/>
    <s v="INV00826"/>
    <n v="113"/>
    <n v="511.96"/>
    <m/>
    <m/>
    <m/>
    <m/>
    <m/>
    <n v="511.96"/>
    <d v="2023-05-12T00:00:00"/>
    <n v="0"/>
    <n v="0"/>
    <n v="0"/>
    <n v="0"/>
    <n v="0"/>
    <n v="0"/>
    <n v="0"/>
    <x v="0"/>
    <n v="57851.479999999996"/>
    <n v="57851.479999999996"/>
    <n v="0"/>
    <n v="0"/>
    <x v="0"/>
    <x v="16"/>
  </r>
  <r>
    <s v="ORD00827"/>
    <d v="2024-01-09T00:00:00"/>
    <x v="486"/>
    <x v="194"/>
    <n v="65"/>
    <s v="INV00827"/>
    <n v="65"/>
    <n v="415.8877"/>
    <m/>
    <m/>
    <m/>
    <m/>
    <m/>
    <n v="415.8877"/>
    <d v="2023-08-08T00:00:00"/>
    <n v="0"/>
    <n v="0"/>
    <n v="0"/>
    <n v="0"/>
    <n v="0"/>
    <n v="0"/>
    <n v="0"/>
    <x v="0"/>
    <n v="27032.700499999999"/>
    <n v="27032.700499999999"/>
    <n v="0"/>
    <n v="0"/>
    <x v="0"/>
    <x v="15"/>
  </r>
  <r>
    <s v="ORD00828"/>
    <d v="2023-12-17T00:00:00"/>
    <x v="21"/>
    <x v="231"/>
    <n v="183"/>
    <s v="INV00828"/>
    <n v="183"/>
    <n v="850.16200000000003"/>
    <m/>
    <m/>
    <m/>
    <m/>
    <m/>
    <n v="850.16200000000003"/>
    <d v="2023-06-22T00:00:00"/>
    <n v="0"/>
    <n v="0"/>
    <n v="0"/>
    <n v="0"/>
    <n v="0"/>
    <n v="0"/>
    <n v="0"/>
    <x v="0"/>
    <n v="155579.64600000001"/>
    <n v="155579.64600000001"/>
    <n v="0"/>
    <n v="0"/>
    <x v="0"/>
    <x v="20"/>
  </r>
  <r>
    <s v="ORD00829"/>
    <d v="2023-08-15T00:00:00"/>
    <x v="520"/>
    <x v="152"/>
    <n v="104"/>
    <s v="INV00829"/>
    <n v="104"/>
    <n v="403.01909999999998"/>
    <m/>
    <m/>
    <m/>
    <m/>
    <m/>
    <n v="403.01909999999998"/>
    <d v="2023-05-10T00:00:00"/>
    <n v="0"/>
    <n v="0"/>
    <n v="0"/>
    <n v="0"/>
    <n v="0"/>
    <n v="0"/>
    <n v="0"/>
    <x v="0"/>
    <n v="41913.986399999994"/>
    <n v="41913.986399999994"/>
    <n v="0"/>
    <n v="0"/>
    <x v="0"/>
    <x v="12"/>
  </r>
  <r>
    <s v="ORD00830"/>
    <d v="2023-03-29T00:00:00"/>
    <x v="128"/>
    <x v="183"/>
    <n v="68"/>
    <s v="INV00830"/>
    <n v="68"/>
    <n v="624.37260000000003"/>
    <n v="13"/>
    <d v="2024-05-27T00:00:00"/>
    <m/>
    <m/>
    <m/>
    <n v="624.37260000000003"/>
    <d v="2023-01-06T00:00:00"/>
    <n v="0"/>
    <n v="0"/>
    <n v="0"/>
    <n v="0"/>
    <n v="0"/>
    <n v="1"/>
    <n v="0"/>
    <x v="1"/>
    <n v="42457.336800000005"/>
    <n v="42457.336800000005"/>
    <n v="0"/>
    <n v="2"/>
    <x v="1"/>
    <x v="17"/>
  </r>
  <r>
    <s v="ORD00831"/>
    <d v="2023-12-03T00:00:00"/>
    <x v="521"/>
    <x v="122"/>
    <n v="168"/>
    <s v="INV00831"/>
    <n v="168"/>
    <n v="75.620999999999995"/>
    <m/>
    <m/>
    <m/>
    <m/>
    <m/>
    <n v="75.620999999999995"/>
    <d v="2023-07-01T00:00:00"/>
    <n v="0"/>
    <n v="0"/>
    <n v="0"/>
    <n v="0"/>
    <n v="0"/>
    <n v="0"/>
    <n v="0"/>
    <x v="0"/>
    <n v="12704.328"/>
    <n v="12704.328"/>
    <n v="0"/>
    <n v="0"/>
    <x v="0"/>
    <x v="20"/>
  </r>
  <r>
    <s v="ORD00832"/>
    <d v="2024-04-19T00:00:00"/>
    <x v="522"/>
    <x v="44"/>
    <n v="116"/>
    <s v="INV00832"/>
    <n v="116"/>
    <n v="1119.3012000000001"/>
    <m/>
    <m/>
    <m/>
    <m/>
    <m/>
    <n v="1119.3012000000001"/>
    <d v="2023-06-14T00:00:00"/>
    <n v="0"/>
    <n v="0"/>
    <n v="0"/>
    <n v="0"/>
    <n v="0"/>
    <n v="0"/>
    <n v="0"/>
    <x v="0"/>
    <n v="129838.93920000001"/>
    <n v="129838.93920000001"/>
    <n v="0"/>
    <n v="0"/>
    <x v="0"/>
    <x v="9"/>
  </r>
  <r>
    <s v="ORD00833"/>
    <d v="2024-10-13T00:00:00"/>
    <x v="113"/>
    <x v="133"/>
    <n v="16"/>
    <s v="INV00833"/>
    <n v="16"/>
    <n v="1220.5917999999999"/>
    <m/>
    <m/>
    <m/>
    <m/>
    <m/>
    <n v="1220.5917999999999"/>
    <d v="2023-08-15T00:00:00"/>
    <n v="0"/>
    <n v="0"/>
    <n v="0"/>
    <n v="0"/>
    <n v="0"/>
    <n v="0"/>
    <n v="0"/>
    <x v="0"/>
    <n v="19529.468799999999"/>
    <n v="19529.468799999999"/>
    <n v="0"/>
    <n v="0"/>
    <x v="0"/>
    <x v="5"/>
  </r>
  <r>
    <s v="ORD00834"/>
    <d v="2024-08-11T00:00:00"/>
    <x v="439"/>
    <x v="197"/>
    <n v="110"/>
    <s v="INV00834"/>
    <n v="110"/>
    <n v="250.3184"/>
    <m/>
    <m/>
    <m/>
    <m/>
    <m/>
    <n v="250.3184"/>
    <d v="2023-10-13T00:00:00"/>
    <n v="0"/>
    <n v="0"/>
    <n v="0"/>
    <n v="0"/>
    <n v="0"/>
    <n v="0"/>
    <n v="0"/>
    <x v="0"/>
    <n v="27535.024000000001"/>
    <n v="27535.024000000001"/>
    <n v="0"/>
    <n v="0"/>
    <x v="0"/>
    <x v="22"/>
  </r>
  <r>
    <s v="ORD00835"/>
    <d v="2023-10-15T00:00:00"/>
    <x v="356"/>
    <x v="281"/>
    <n v="13"/>
    <s v="INV00835"/>
    <n v="13"/>
    <n v="696.93029999999999"/>
    <m/>
    <m/>
    <m/>
    <m/>
    <m/>
    <n v="696.93029999999999"/>
    <d v="2023-08-12T00:00:00"/>
    <n v="0"/>
    <n v="0"/>
    <n v="0"/>
    <n v="0"/>
    <n v="0"/>
    <n v="0"/>
    <n v="0"/>
    <x v="0"/>
    <n v="9060.0938999999998"/>
    <n v="9060.0938999999998"/>
    <n v="0"/>
    <n v="0"/>
    <x v="0"/>
    <x v="19"/>
  </r>
  <r>
    <s v="ORD00836"/>
    <d v="2023-10-23T00:00:00"/>
    <x v="523"/>
    <x v="165"/>
    <n v="37"/>
    <s v="INV00836"/>
    <n v="37"/>
    <n v="991.99"/>
    <m/>
    <m/>
    <m/>
    <m/>
    <m/>
    <n v="991.99"/>
    <d v="2023-02-19T00:00:00"/>
    <n v="0"/>
    <n v="0"/>
    <n v="0"/>
    <n v="0"/>
    <n v="0"/>
    <n v="0"/>
    <n v="0"/>
    <x v="0"/>
    <n v="36703.629999999997"/>
    <n v="36703.629999999997"/>
    <n v="0"/>
    <n v="0"/>
    <x v="0"/>
    <x v="19"/>
  </r>
  <r>
    <s v="ORD00837"/>
    <d v="2023-07-06T00:00:00"/>
    <x v="524"/>
    <x v="80"/>
    <n v="101"/>
    <s v="INV00837"/>
    <n v="101"/>
    <n v="1014.5718000000001"/>
    <m/>
    <m/>
    <m/>
    <m/>
    <m/>
    <n v="1014.5718000000001"/>
    <d v="2023-04-19T00:00:00"/>
    <n v="0"/>
    <n v="0"/>
    <n v="0"/>
    <n v="0"/>
    <n v="0"/>
    <n v="0"/>
    <n v="0"/>
    <x v="0"/>
    <n v="102471.7518"/>
    <n v="102471.7518"/>
    <n v="0"/>
    <n v="0"/>
    <x v="0"/>
    <x v="10"/>
  </r>
  <r>
    <s v="ORD00838"/>
    <d v="2023-04-28T00:00:00"/>
    <x v="525"/>
    <x v="25"/>
    <n v="67"/>
    <s v="INV00838"/>
    <n v="67"/>
    <n v="1218.568"/>
    <m/>
    <m/>
    <m/>
    <m/>
    <m/>
    <n v="1218.568"/>
    <d v="2023-02-13T00:00:00"/>
    <n v="0"/>
    <n v="0"/>
    <n v="0"/>
    <n v="0"/>
    <n v="0"/>
    <n v="0"/>
    <n v="0"/>
    <x v="0"/>
    <n v="81644.055999999997"/>
    <n v="81644.055999999997"/>
    <n v="0"/>
    <n v="0"/>
    <x v="0"/>
    <x v="23"/>
  </r>
  <r>
    <s v="ORD00839"/>
    <d v="2024-07-10T00:00:00"/>
    <x v="135"/>
    <x v="216"/>
    <n v="112"/>
    <s v="INV00839"/>
    <n v="112"/>
    <n v="828.36189999999999"/>
    <m/>
    <m/>
    <m/>
    <m/>
    <m/>
    <n v="828.36189999999999"/>
    <d v="2023-07-30T00:00:00"/>
    <n v="0"/>
    <n v="0"/>
    <n v="0"/>
    <n v="0"/>
    <n v="0"/>
    <n v="0"/>
    <n v="0"/>
    <x v="0"/>
    <n v="92776.532800000001"/>
    <n v="92776.532800000001"/>
    <n v="0"/>
    <n v="0"/>
    <x v="0"/>
    <x v="21"/>
  </r>
  <r>
    <s v="ORD00840"/>
    <d v="2024-08-03T00:00:00"/>
    <x v="526"/>
    <x v="249"/>
    <n v="40"/>
    <s v="INV00840"/>
    <n v="40"/>
    <n v="901.84500000000003"/>
    <m/>
    <m/>
    <m/>
    <m/>
    <m/>
    <n v="901.84500000000003"/>
    <d v="2023-10-17T00:00:00"/>
    <n v="0"/>
    <n v="0"/>
    <n v="0"/>
    <n v="0"/>
    <n v="0"/>
    <n v="0"/>
    <n v="0"/>
    <x v="0"/>
    <n v="36073.800000000003"/>
    <n v="36073.800000000003"/>
    <n v="0"/>
    <n v="0"/>
    <x v="0"/>
    <x v="22"/>
  </r>
  <r>
    <s v="ORD00841"/>
    <d v="2023-02-08T00:00:00"/>
    <x v="357"/>
    <x v="282"/>
    <n v="54"/>
    <s v="INV00841"/>
    <n v="54"/>
    <n v="428.59800000000007"/>
    <m/>
    <m/>
    <m/>
    <m/>
    <m/>
    <n v="428.59800000000007"/>
    <d v="2022-08-25T00:00:00"/>
    <n v="0"/>
    <n v="0"/>
    <n v="0"/>
    <n v="0"/>
    <n v="0"/>
    <n v="0"/>
    <n v="0"/>
    <x v="0"/>
    <n v="23144.292000000005"/>
    <n v="23144.292000000005"/>
    <n v="0"/>
    <n v="0"/>
    <x v="0"/>
    <x v="11"/>
  </r>
  <r>
    <s v="ORD00842"/>
    <d v="2024-11-20T00:00:00"/>
    <x v="527"/>
    <x v="89"/>
    <n v="27"/>
    <s v="INV00842"/>
    <n v="36"/>
    <n v="826.46400000000006"/>
    <m/>
    <m/>
    <n v="817.86"/>
    <d v="2023-02-20T00:00:00"/>
    <d v="2023-12-01T00:00:00"/>
    <n v="826.46400000000006"/>
    <d v="2023-07-21T00:00:00"/>
    <n v="0"/>
    <n v="1"/>
    <n v="0"/>
    <n v="1"/>
    <n v="1"/>
    <n v="0"/>
    <n v="0"/>
    <x v="1"/>
    <n v="29752.704000000002"/>
    <n v="22314.528000000002"/>
    <n v="7438.1759999999995"/>
    <n v="16"/>
    <x v="2"/>
    <x v="4"/>
  </r>
  <r>
    <s v="ORD00843"/>
    <d v="2023-09-21T00:00:00"/>
    <x v="393"/>
    <x v="56"/>
    <n v="29"/>
    <s v="INV00843"/>
    <n v="29"/>
    <n v="639.91840000000002"/>
    <m/>
    <m/>
    <m/>
    <m/>
    <m/>
    <n v="639.91840000000002"/>
    <d v="2023-01-04T00:00:00"/>
    <n v="0"/>
    <n v="0"/>
    <n v="0"/>
    <n v="0"/>
    <n v="0"/>
    <n v="0"/>
    <n v="0"/>
    <x v="0"/>
    <n v="18557.633600000001"/>
    <n v="18557.633600000001"/>
    <n v="0"/>
    <n v="0"/>
    <x v="0"/>
    <x v="18"/>
  </r>
  <r>
    <s v="ORD00844"/>
    <d v="2023-05-19T00:00:00"/>
    <x v="227"/>
    <x v="165"/>
    <n v="27"/>
    <s v="INV00844"/>
    <n v="27"/>
    <n v="991.99"/>
    <m/>
    <m/>
    <m/>
    <m/>
    <m/>
    <n v="991.99"/>
    <d v="2023-02-19T00:00:00"/>
    <n v="0"/>
    <n v="0"/>
    <n v="0"/>
    <n v="0"/>
    <n v="0"/>
    <n v="0"/>
    <n v="0"/>
    <x v="0"/>
    <n v="26783.73"/>
    <n v="26783.73"/>
    <n v="0"/>
    <n v="0"/>
    <x v="0"/>
    <x v="7"/>
  </r>
  <r>
    <s v="ORD00845"/>
    <d v="2024-02-11T00:00:00"/>
    <x v="528"/>
    <x v="42"/>
    <n v="144"/>
    <s v="INV00845"/>
    <n v="144"/>
    <n v="946.74860000000001"/>
    <n v="16"/>
    <d v="2023-09-08T00:00:00"/>
    <m/>
    <m/>
    <m/>
    <n v="946.74860000000001"/>
    <d v="2023-04-22T00:00:00"/>
    <n v="0"/>
    <n v="0"/>
    <n v="0"/>
    <n v="0"/>
    <n v="0"/>
    <n v="0"/>
    <n v="0"/>
    <x v="0"/>
    <n v="136331.7984"/>
    <n v="136331.7984"/>
    <n v="0"/>
    <n v="0"/>
    <x v="0"/>
    <x v="3"/>
  </r>
  <r>
    <s v="ORD00846"/>
    <d v="2024-12-18T00:00:00"/>
    <x v="455"/>
    <x v="108"/>
    <n v="112"/>
    <s v="INV00846"/>
    <n v="112"/>
    <n v="1073.4646772079002"/>
    <m/>
    <m/>
    <m/>
    <m/>
    <m/>
    <n v="1072.5387000000001"/>
    <d v="2023-04-07T00:00:00"/>
    <n v="0"/>
    <n v="0"/>
    <n v="1"/>
    <n v="0"/>
    <n v="0"/>
    <n v="0"/>
    <n v="0"/>
    <x v="1"/>
    <n v="120228.04384728482"/>
    <n v="120124.33440000001"/>
    <n v="103.70944728481118"/>
    <n v="4"/>
    <x v="1"/>
    <x v="1"/>
  </r>
  <r>
    <s v="ORD00847"/>
    <d v="2024-04-18T00:00:00"/>
    <x v="43"/>
    <x v="82"/>
    <n v="171"/>
    <s v="INV00847"/>
    <n v="171"/>
    <n v="280.13922363744683"/>
    <m/>
    <m/>
    <m/>
    <m/>
    <m/>
    <n v="280.03500000000003"/>
    <d v="2023-08-08T00:00:00"/>
    <n v="0"/>
    <n v="0"/>
    <n v="1"/>
    <n v="0"/>
    <n v="0"/>
    <n v="0"/>
    <n v="0"/>
    <x v="1"/>
    <n v="47903.807242003408"/>
    <n v="47885.985000000008"/>
    <n v="17.822242003399879"/>
    <n v="4"/>
    <x v="1"/>
    <x v="9"/>
  </r>
  <r>
    <s v="ORD00848"/>
    <d v="2023-05-20T00:00:00"/>
    <x v="529"/>
    <x v="152"/>
    <n v="88"/>
    <s v="INV00848"/>
    <n v="88"/>
    <n v="403.01909999999998"/>
    <m/>
    <m/>
    <m/>
    <m/>
    <m/>
    <n v="403.01909999999998"/>
    <d v="2023-05-10T00:00:00"/>
    <n v="0"/>
    <n v="0"/>
    <n v="0"/>
    <n v="0"/>
    <n v="0"/>
    <n v="0"/>
    <n v="0"/>
    <x v="0"/>
    <n v="35465.680800000002"/>
    <n v="35465.680800000002"/>
    <n v="0"/>
    <n v="0"/>
    <x v="0"/>
    <x v="7"/>
  </r>
  <r>
    <s v="ORD00849"/>
    <d v="2024-06-12T00:00:00"/>
    <x v="530"/>
    <x v="230"/>
    <n v="155"/>
    <s v="INV00849"/>
    <n v="155"/>
    <n v="234.87090000000001"/>
    <m/>
    <m/>
    <m/>
    <m/>
    <m/>
    <n v="234.87090000000001"/>
    <d v="2023-08-12T00:00:00"/>
    <n v="0"/>
    <n v="0"/>
    <n v="0"/>
    <n v="0"/>
    <n v="0"/>
    <n v="0"/>
    <n v="0"/>
    <x v="0"/>
    <n v="36404.989500000003"/>
    <n v="36404.989500000003"/>
    <n v="0"/>
    <n v="0"/>
    <x v="0"/>
    <x v="16"/>
  </r>
  <r>
    <s v="ORD00850"/>
    <d v="2023-05-18T00:00:00"/>
    <x v="233"/>
    <x v="283"/>
    <n v="17"/>
    <s v="INV00850"/>
    <n v="17"/>
    <n v="112.0184"/>
    <m/>
    <m/>
    <m/>
    <m/>
    <m/>
    <n v="112.0184"/>
    <d v="2022-12-10T00:00:00"/>
    <n v="0"/>
    <n v="0"/>
    <n v="0"/>
    <n v="0"/>
    <n v="0"/>
    <n v="0"/>
    <n v="0"/>
    <x v="0"/>
    <n v="1904.3127999999999"/>
    <n v="1904.3127999999999"/>
    <n v="0"/>
    <n v="0"/>
    <x v="0"/>
    <x v="7"/>
  </r>
  <r>
    <s v="ORD00851"/>
    <d v="2024-11-04T00:00:00"/>
    <x v="262"/>
    <x v="68"/>
    <n v="147"/>
    <s v="INV00851"/>
    <n v="147"/>
    <n v="168.12909999999999"/>
    <m/>
    <m/>
    <m/>
    <m/>
    <m/>
    <n v="168.12909999999999"/>
    <d v="2023-03-28T00:00:00"/>
    <n v="0"/>
    <n v="0"/>
    <n v="0"/>
    <n v="0"/>
    <n v="0"/>
    <n v="0"/>
    <n v="0"/>
    <x v="0"/>
    <n v="24714.977699999999"/>
    <n v="24714.977699999999"/>
    <n v="0"/>
    <n v="0"/>
    <x v="0"/>
    <x v="4"/>
  </r>
  <r>
    <s v="ORD00852"/>
    <d v="2024-08-14T00:00:00"/>
    <x v="79"/>
    <x v="254"/>
    <n v="63"/>
    <s v="INV00852"/>
    <n v="63"/>
    <n v="571.49840000000006"/>
    <m/>
    <m/>
    <m/>
    <m/>
    <m/>
    <n v="571.49840000000006"/>
    <d v="2023-05-25T00:00:00"/>
    <n v="0"/>
    <n v="0"/>
    <n v="0"/>
    <n v="0"/>
    <n v="0"/>
    <n v="0"/>
    <n v="0"/>
    <x v="0"/>
    <n v="36004.399200000007"/>
    <n v="36004.399200000007"/>
    <n v="0"/>
    <n v="0"/>
    <x v="0"/>
    <x v="22"/>
  </r>
  <r>
    <s v="ORD00853"/>
    <d v="2023-02-01T00:00:00"/>
    <x v="531"/>
    <x v="268"/>
    <n v="13"/>
    <s v="INV00853"/>
    <n v="13"/>
    <n v="1164.0408"/>
    <m/>
    <m/>
    <m/>
    <m/>
    <m/>
    <n v="1164.0408"/>
    <d v="2022-11-15T00:00:00"/>
    <n v="0"/>
    <n v="0"/>
    <n v="0"/>
    <n v="0"/>
    <n v="0"/>
    <n v="0"/>
    <n v="0"/>
    <x v="0"/>
    <n v="15132.5304"/>
    <n v="15132.5304"/>
    <n v="0"/>
    <n v="0"/>
    <x v="0"/>
    <x v="11"/>
  </r>
  <r>
    <s v="ORD00854"/>
    <d v="2023-06-20T00:00:00"/>
    <x v="532"/>
    <x v="41"/>
    <n v="132"/>
    <s v="INV00854"/>
    <n v="132"/>
    <n v="1065.9095"/>
    <m/>
    <m/>
    <m/>
    <m/>
    <m/>
    <n v="1065.9095"/>
    <d v="2023-02-06T00:00:00"/>
    <n v="0"/>
    <n v="0"/>
    <n v="0"/>
    <n v="0"/>
    <n v="0"/>
    <n v="0"/>
    <n v="0"/>
    <x v="0"/>
    <n v="140700.054"/>
    <n v="140700.054"/>
    <n v="0"/>
    <n v="0"/>
    <x v="0"/>
    <x v="14"/>
  </r>
  <r>
    <s v="ORD00855"/>
    <d v="2023-08-21T00:00:00"/>
    <x v="15"/>
    <x v="234"/>
    <n v="66"/>
    <s v="INV00855"/>
    <n v="66"/>
    <n v="1226.9154000000001"/>
    <m/>
    <m/>
    <m/>
    <m/>
    <m/>
    <n v="1226.9154000000001"/>
    <d v="2023-04-16T00:00:00"/>
    <n v="0"/>
    <n v="0"/>
    <n v="0"/>
    <n v="0"/>
    <n v="0"/>
    <n v="0"/>
    <n v="0"/>
    <x v="0"/>
    <n v="80976.416400000002"/>
    <n v="80976.416400000002"/>
    <n v="0"/>
    <n v="0"/>
    <x v="0"/>
    <x v="12"/>
  </r>
  <r>
    <s v="ORD00856"/>
    <d v="2024-10-05T00:00:00"/>
    <x v="533"/>
    <x v="7"/>
    <n v="41"/>
    <s v="INV00856"/>
    <n v="41"/>
    <n v="510.91840000000002"/>
    <m/>
    <m/>
    <m/>
    <m/>
    <m/>
    <n v="510.91840000000002"/>
    <d v="2023-02-24T00:00:00"/>
    <n v="0"/>
    <n v="0"/>
    <n v="0"/>
    <n v="0"/>
    <n v="0"/>
    <n v="0"/>
    <n v="0"/>
    <x v="0"/>
    <n v="20947.654399999999"/>
    <n v="20947.654399999999"/>
    <n v="0"/>
    <n v="0"/>
    <x v="0"/>
    <x v="5"/>
  </r>
  <r>
    <s v="ORD00857"/>
    <d v="2024-04-24T00:00:00"/>
    <x v="534"/>
    <x v="198"/>
    <n v="118"/>
    <s v="INV00857"/>
    <n v="118"/>
    <n v="906.88919999999996"/>
    <m/>
    <m/>
    <m/>
    <m/>
    <m/>
    <n v="906.88919999999996"/>
    <d v="2023-03-06T00:00:00"/>
    <n v="0"/>
    <n v="0"/>
    <n v="0"/>
    <n v="0"/>
    <n v="0"/>
    <n v="0"/>
    <n v="0"/>
    <x v="0"/>
    <n v="107012.9256"/>
    <n v="107012.9256"/>
    <n v="0"/>
    <n v="0"/>
    <x v="0"/>
    <x v="9"/>
  </r>
  <r>
    <s v="ORD00858"/>
    <d v="2023-07-21T00:00:00"/>
    <x v="343"/>
    <x v="263"/>
    <n v="102"/>
    <s v="INV00858"/>
    <n v="102"/>
    <n v="599.90620000000001"/>
    <n v="2"/>
    <d v="2024-12-29T00:00:00"/>
    <m/>
    <m/>
    <m/>
    <n v="599.90620000000001"/>
    <d v="2023-05-14T00:00:00"/>
    <n v="0"/>
    <n v="0"/>
    <n v="0"/>
    <n v="0"/>
    <n v="0"/>
    <n v="1"/>
    <n v="0"/>
    <x v="1"/>
    <n v="61190.432399999998"/>
    <n v="61190.432399999998"/>
    <n v="0"/>
    <n v="2"/>
    <x v="1"/>
    <x v="10"/>
  </r>
  <r>
    <s v="ORD00859"/>
    <d v="2023-02-25T00:00:00"/>
    <x v="535"/>
    <x v="193"/>
    <n v="19"/>
    <s v="INV00859"/>
    <n v="19"/>
    <n v="963.36"/>
    <m/>
    <m/>
    <m/>
    <m/>
    <m/>
    <n v="963.36"/>
    <d v="2022-03-30T00:00:00"/>
    <n v="0"/>
    <n v="0"/>
    <n v="0"/>
    <n v="0"/>
    <n v="0"/>
    <n v="0"/>
    <n v="0"/>
    <x v="0"/>
    <n v="18303.84"/>
    <n v="18303.84"/>
    <n v="0"/>
    <n v="0"/>
    <x v="0"/>
    <x v="11"/>
  </r>
  <r>
    <s v="ORD00860"/>
    <d v="2023-08-23T00:00:00"/>
    <x v="14"/>
    <x v="68"/>
    <n v="142"/>
    <s v="INV00860"/>
    <n v="142"/>
    <n v="168.12909999999999"/>
    <m/>
    <m/>
    <m/>
    <m/>
    <m/>
    <n v="168.12909999999999"/>
    <d v="2023-03-28T00:00:00"/>
    <n v="0"/>
    <n v="0"/>
    <n v="0"/>
    <n v="0"/>
    <n v="0"/>
    <n v="0"/>
    <n v="0"/>
    <x v="0"/>
    <n v="23874.332200000001"/>
    <n v="23874.332200000001"/>
    <n v="0"/>
    <n v="0"/>
    <x v="0"/>
    <x v="12"/>
  </r>
  <r>
    <s v="ORD00861"/>
    <d v="2023-11-29T00:00:00"/>
    <x v="536"/>
    <x v="35"/>
    <n v="121"/>
    <s v="INV00861"/>
    <n v="121"/>
    <n v="1120.6556"/>
    <m/>
    <m/>
    <m/>
    <m/>
    <m/>
    <n v="1120.6556"/>
    <d v="2023-04-10T00:00:00"/>
    <n v="0"/>
    <n v="0"/>
    <n v="0"/>
    <n v="0"/>
    <n v="0"/>
    <n v="0"/>
    <n v="0"/>
    <x v="0"/>
    <n v="135599.32760000002"/>
    <n v="135599.32760000002"/>
    <n v="0"/>
    <n v="0"/>
    <x v="0"/>
    <x v="0"/>
  </r>
  <r>
    <s v="ORD00862"/>
    <d v="2023-07-10T00:00:00"/>
    <x v="126"/>
    <x v="176"/>
    <n v="127"/>
    <s v="INV00862"/>
    <n v="127"/>
    <n v="78.298400000000001"/>
    <m/>
    <m/>
    <m/>
    <m/>
    <m/>
    <n v="78.298400000000001"/>
    <d v="2022-12-24T00:00:00"/>
    <n v="0"/>
    <n v="0"/>
    <n v="0"/>
    <n v="0"/>
    <n v="0"/>
    <n v="0"/>
    <n v="0"/>
    <x v="0"/>
    <n v="9943.8968000000004"/>
    <n v="9943.8968000000004"/>
    <n v="0"/>
    <n v="0"/>
    <x v="0"/>
    <x v="10"/>
  </r>
  <r>
    <s v="ORD00863"/>
    <d v="2024-11-17T00:00:00"/>
    <x v="537"/>
    <x v="173"/>
    <n v="30"/>
    <s v="INV00863"/>
    <n v="30"/>
    <n v="539.57150000000001"/>
    <m/>
    <m/>
    <m/>
    <m/>
    <m/>
    <n v="539.57150000000001"/>
    <d v="2023-09-22T00:00:00"/>
    <n v="0"/>
    <n v="0"/>
    <n v="0"/>
    <n v="0"/>
    <n v="0"/>
    <n v="0"/>
    <n v="0"/>
    <x v="0"/>
    <n v="16187.145"/>
    <n v="16187.145"/>
    <n v="0"/>
    <n v="0"/>
    <x v="0"/>
    <x v="4"/>
  </r>
  <r>
    <s v="ORD00864"/>
    <d v="2024-09-17T00:00:00"/>
    <x v="538"/>
    <x v="284"/>
    <n v="158"/>
    <s v="INV00864"/>
    <n v="158"/>
    <n v="1032.7408"/>
    <m/>
    <m/>
    <m/>
    <m/>
    <m/>
    <n v="1032.7408"/>
    <d v="2023-05-31T00:00:00"/>
    <n v="0"/>
    <n v="0"/>
    <n v="0"/>
    <n v="0"/>
    <n v="0"/>
    <n v="0"/>
    <n v="0"/>
    <x v="0"/>
    <n v="163173.04639999999"/>
    <n v="163173.04639999999"/>
    <n v="0"/>
    <n v="0"/>
    <x v="0"/>
    <x v="2"/>
  </r>
  <r>
    <s v="ORD00865"/>
    <d v="2024-12-10T00:00:00"/>
    <x v="337"/>
    <x v="247"/>
    <n v="28"/>
    <s v="INV00865"/>
    <n v="28"/>
    <n v="648.86940000000004"/>
    <m/>
    <m/>
    <m/>
    <m/>
    <m/>
    <n v="648.86940000000004"/>
    <d v="2023-05-18T00:00:00"/>
    <n v="0"/>
    <n v="0"/>
    <n v="0"/>
    <n v="0"/>
    <n v="0"/>
    <n v="0"/>
    <n v="0"/>
    <x v="0"/>
    <n v="18168.343200000003"/>
    <n v="18168.343200000003"/>
    <n v="0"/>
    <n v="0"/>
    <x v="0"/>
    <x v="1"/>
  </r>
  <r>
    <s v="ORD00866"/>
    <d v="2023-05-16T00:00:00"/>
    <x v="539"/>
    <x v="93"/>
    <n v="191"/>
    <s v="INV00866"/>
    <n v="191"/>
    <n v="432.839"/>
    <m/>
    <m/>
    <m/>
    <m/>
    <m/>
    <n v="432.839"/>
    <d v="2023-05-02T00:00:00"/>
    <n v="0"/>
    <n v="0"/>
    <n v="0"/>
    <n v="0"/>
    <n v="0"/>
    <n v="0"/>
    <n v="0"/>
    <x v="0"/>
    <n v="82672.248999999996"/>
    <n v="82672.248999999996"/>
    <n v="0"/>
    <n v="0"/>
    <x v="0"/>
    <x v="7"/>
  </r>
  <r>
    <s v="ORD00867"/>
    <d v="2023-10-25T00:00:00"/>
    <x v="277"/>
    <x v="162"/>
    <n v="123"/>
    <s v="INV00867"/>
    <n v="123"/>
    <n v="571.32999999999993"/>
    <m/>
    <m/>
    <m/>
    <m/>
    <m/>
    <n v="571.32999999999993"/>
    <d v="2023-10-07T00:00:00"/>
    <n v="0"/>
    <n v="0"/>
    <n v="0"/>
    <n v="0"/>
    <n v="0"/>
    <n v="0"/>
    <n v="0"/>
    <x v="0"/>
    <n v="70273.59"/>
    <n v="70273.59"/>
    <n v="0"/>
    <n v="0"/>
    <x v="0"/>
    <x v="19"/>
  </r>
  <r>
    <s v="ORD00868"/>
    <d v="2023-10-18T00:00:00"/>
    <x v="540"/>
    <x v="276"/>
    <n v="98"/>
    <s v="INV00868"/>
    <n v="98"/>
    <n v="1066.4874"/>
    <m/>
    <m/>
    <m/>
    <m/>
    <m/>
    <n v="1066.4874"/>
    <d v="2023-05-31T00:00:00"/>
    <n v="0"/>
    <n v="0"/>
    <n v="0"/>
    <n v="0"/>
    <n v="0"/>
    <n v="0"/>
    <n v="0"/>
    <x v="0"/>
    <n v="104515.76519999999"/>
    <n v="104515.76519999999"/>
    <n v="0"/>
    <n v="0"/>
    <x v="0"/>
    <x v="19"/>
  </r>
  <r>
    <s v="ORD00869"/>
    <d v="2024-12-09T00:00:00"/>
    <x v="476"/>
    <x v="270"/>
    <n v="132"/>
    <s v="INV00869"/>
    <n v="132"/>
    <n v="983.19460000000004"/>
    <m/>
    <m/>
    <m/>
    <m/>
    <m/>
    <n v="983.19460000000004"/>
    <d v="2023-08-04T00:00:00"/>
    <n v="0"/>
    <n v="0"/>
    <n v="0"/>
    <n v="0"/>
    <n v="0"/>
    <n v="0"/>
    <n v="0"/>
    <x v="0"/>
    <n v="129781.6872"/>
    <n v="129781.6872"/>
    <n v="0"/>
    <n v="0"/>
    <x v="0"/>
    <x v="1"/>
  </r>
  <r>
    <s v="ORD00870"/>
    <d v="2024-03-31T00:00:00"/>
    <x v="314"/>
    <x v="211"/>
    <n v="133"/>
    <s v="INV00870"/>
    <n v="133"/>
    <n v="655.93800000000022"/>
    <m/>
    <m/>
    <m/>
    <m/>
    <m/>
    <n v="655.93800000000022"/>
    <d v="2023-05-29T00:00:00"/>
    <n v="0"/>
    <n v="0"/>
    <n v="0"/>
    <n v="0"/>
    <n v="0"/>
    <n v="0"/>
    <n v="0"/>
    <x v="0"/>
    <n v="87239.75400000003"/>
    <n v="87239.75400000003"/>
    <n v="0"/>
    <n v="0"/>
    <x v="0"/>
    <x v="6"/>
  </r>
  <r>
    <s v="ORD00871"/>
    <d v="2023-01-23T00:00:00"/>
    <x v="317"/>
    <x v="121"/>
    <n v="67"/>
    <s v="INV00871"/>
    <n v="67"/>
    <n v="1032.2340000000002"/>
    <m/>
    <m/>
    <m/>
    <m/>
    <m/>
    <n v="1032.2340000000002"/>
    <d v="2022-08-25T00:00:00"/>
    <n v="0"/>
    <n v="0"/>
    <n v="0"/>
    <n v="0"/>
    <n v="0"/>
    <n v="0"/>
    <n v="0"/>
    <x v="0"/>
    <n v="69159.678000000014"/>
    <n v="69159.678000000014"/>
    <n v="0"/>
    <n v="0"/>
    <x v="0"/>
    <x v="8"/>
  </r>
  <r>
    <s v="ORD00872"/>
    <d v="2024-04-29T00:00:00"/>
    <x v="541"/>
    <x v="254"/>
    <n v="183"/>
    <s v="INV00872"/>
    <n v="183"/>
    <n v="571.49840000000006"/>
    <m/>
    <m/>
    <m/>
    <m/>
    <m/>
    <n v="571.49840000000006"/>
    <d v="2023-05-25T00:00:00"/>
    <n v="0"/>
    <n v="0"/>
    <n v="0"/>
    <n v="0"/>
    <n v="0"/>
    <n v="0"/>
    <n v="0"/>
    <x v="0"/>
    <n v="104584.2072"/>
    <n v="104584.2072"/>
    <n v="0"/>
    <n v="0"/>
    <x v="0"/>
    <x v="9"/>
  </r>
  <r>
    <s v="ORD00873"/>
    <d v="2023-07-30T00:00:00"/>
    <x v="217"/>
    <x v="74"/>
    <n v="152"/>
    <s v="INV00873"/>
    <n v="152"/>
    <n v="1138.4856"/>
    <m/>
    <m/>
    <m/>
    <m/>
    <m/>
    <n v="1138.4856"/>
    <d v="2022-10-31T00:00:00"/>
    <n v="0"/>
    <n v="0"/>
    <n v="0"/>
    <n v="0"/>
    <n v="0"/>
    <n v="0"/>
    <n v="0"/>
    <x v="0"/>
    <n v="173049.8112"/>
    <n v="173049.8112"/>
    <n v="0"/>
    <n v="0"/>
    <x v="0"/>
    <x v="10"/>
  </r>
  <r>
    <s v="ORD00874"/>
    <d v="2023-03-04T00:00:00"/>
    <x v="242"/>
    <x v="270"/>
    <n v="139"/>
    <s v="INV00874"/>
    <n v="139"/>
    <n v="1012.3984"/>
    <m/>
    <m/>
    <m/>
    <m/>
    <m/>
    <n v="1012.3984"/>
    <d v="2022-08-25T00:00:00"/>
    <n v="0"/>
    <n v="0"/>
    <n v="0"/>
    <n v="0"/>
    <n v="0"/>
    <n v="0"/>
    <n v="0"/>
    <x v="0"/>
    <n v="140723.37760000001"/>
    <n v="140723.37760000001"/>
    <n v="0"/>
    <n v="0"/>
    <x v="0"/>
    <x v="17"/>
  </r>
  <r>
    <s v="ORD00875"/>
    <d v="2023-01-28T00:00:00"/>
    <x v="542"/>
    <x v="198"/>
    <n v="84"/>
    <s v="INV00875"/>
    <n v="84"/>
    <n v="881.4624"/>
    <m/>
    <m/>
    <m/>
    <m/>
    <m/>
    <n v="881.4624"/>
    <d v="2022-09-16T00:00:00"/>
    <n v="0"/>
    <n v="0"/>
    <n v="0"/>
    <n v="0"/>
    <n v="0"/>
    <n v="0"/>
    <n v="0"/>
    <x v="0"/>
    <n v="74042.8416"/>
    <n v="74042.8416"/>
    <n v="0"/>
    <n v="0"/>
    <x v="0"/>
    <x v="8"/>
  </r>
  <r>
    <s v="ORD00876"/>
    <d v="2024-12-31T00:00:00"/>
    <x v="467"/>
    <x v="218"/>
    <n v="99"/>
    <s v="INV00876"/>
    <n v="99"/>
    <n v="960.85850000000005"/>
    <m/>
    <m/>
    <m/>
    <m/>
    <m/>
    <n v="960.85850000000005"/>
    <d v="2023-05-03T00:00:00"/>
    <n v="0"/>
    <n v="0"/>
    <n v="0"/>
    <n v="0"/>
    <n v="0"/>
    <n v="0"/>
    <n v="0"/>
    <x v="0"/>
    <n v="95124.991500000004"/>
    <n v="95124.991500000004"/>
    <n v="0"/>
    <n v="0"/>
    <x v="0"/>
    <x v="1"/>
  </r>
  <r>
    <s v="ORD00877"/>
    <d v="2024-08-10T00:00:00"/>
    <x v="219"/>
    <x v="152"/>
    <n v="154"/>
    <s v="INV00877"/>
    <n v="154"/>
    <n v="403.01909999999998"/>
    <m/>
    <m/>
    <m/>
    <m/>
    <m/>
    <n v="403.01909999999998"/>
    <d v="2023-05-10T00:00:00"/>
    <n v="0"/>
    <n v="0"/>
    <n v="0"/>
    <n v="0"/>
    <n v="0"/>
    <n v="0"/>
    <n v="0"/>
    <x v="0"/>
    <n v="62064.941399999996"/>
    <n v="62064.941399999996"/>
    <n v="0"/>
    <n v="0"/>
    <x v="0"/>
    <x v="22"/>
  </r>
  <r>
    <s v="ORD00878"/>
    <d v="2023-06-14T00:00:00"/>
    <x v="53"/>
    <x v="42"/>
    <n v="70"/>
    <s v="INV00878"/>
    <n v="70"/>
    <n v="946.74860000000001"/>
    <m/>
    <m/>
    <m/>
    <m/>
    <m/>
    <n v="946.74860000000001"/>
    <d v="2023-04-22T00:00:00"/>
    <n v="0"/>
    <n v="0"/>
    <n v="0"/>
    <n v="0"/>
    <n v="0"/>
    <n v="0"/>
    <n v="0"/>
    <x v="0"/>
    <n v="66272.402000000002"/>
    <n v="66272.402000000002"/>
    <n v="0"/>
    <n v="0"/>
    <x v="0"/>
    <x v="14"/>
  </r>
  <r>
    <s v="ORD00879"/>
    <d v="2024-03-14T00:00:00"/>
    <x v="146"/>
    <x v="244"/>
    <n v="105"/>
    <s v="INV00879"/>
    <n v="105"/>
    <n v="1072.2954"/>
    <m/>
    <m/>
    <m/>
    <m/>
    <m/>
    <n v="1072.2954"/>
    <d v="2023-07-13T00:00:00"/>
    <n v="0"/>
    <n v="0"/>
    <n v="0"/>
    <n v="0"/>
    <n v="0"/>
    <n v="0"/>
    <n v="0"/>
    <x v="0"/>
    <n v="112591.01699999999"/>
    <n v="112591.01699999999"/>
    <n v="0"/>
    <n v="0"/>
    <x v="0"/>
    <x v="6"/>
  </r>
  <r>
    <s v="ORD00880"/>
    <d v="2024-03-25T00:00:00"/>
    <x v="227"/>
    <x v="225"/>
    <n v="180"/>
    <s v="INV00880"/>
    <n v="180"/>
    <n v="307.97520000000003"/>
    <m/>
    <m/>
    <m/>
    <m/>
    <m/>
    <n v="307.97520000000003"/>
    <d v="2023-04-13T00:00:00"/>
    <n v="0"/>
    <n v="0"/>
    <n v="0"/>
    <n v="0"/>
    <n v="0"/>
    <n v="0"/>
    <n v="0"/>
    <x v="0"/>
    <n v="55435.536000000007"/>
    <n v="55435.536000000007"/>
    <n v="0"/>
    <n v="0"/>
    <x v="0"/>
    <x v="6"/>
  </r>
  <r>
    <s v="ORD00881"/>
    <d v="2023-01-02T00:00:00"/>
    <x v="505"/>
    <x v="35"/>
    <n v="147"/>
    <s v="INV00881"/>
    <n v="147"/>
    <n v="1131.7511999999999"/>
    <m/>
    <m/>
    <m/>
    <m/>
    <m/>
    <n v="1131.7511999999999"/>
    <d v="2022-09-02T00:00:00"/>
    <n v="0"/>
    <n v="0"/>
    <n v="0"/>
    <n v="0"/>
    <n v="0"/>
    <n v="0"/>
    <n v="0"/>
    <x v="0"/>
    <n v="166367.4264"/>
    <n v="166367.4264"/>
    <n v="0"/>
    <n v="0"/>
    <x v="0"/>
    <x v="8"/>
  </r>
  <r>
    <s v="ORD00882"/>
    <d v="2023-02-02T00:00:00"/>
    <x v="543"/>
    <x v="165"/>
    <n v="32"/>
    <s v="INV00882"/>
    <n v="32"/>
    <n v="991.99"/>
    <m/>
    <m/>
    <m/>
    <m/>
    <m/>
    <n v="991.99"/>
    <d v="2022-07-12T00:00:00"/>
    <n v="0"/>
    <n v="0"/>
    <n v="0"/>
    <n v="0"/>
    <n v="0"/>
    <n v="0"/>
    <n v="0"/>
    <x v="0"/>
    <n v="31743.68"/>
    <n v="31743.68"/>
    <n v="0"/>
    <n v="0"/>
    <x v="0"/>
    <x v="11"/>
  </r>
  <r>
    <s v="ORD00883"/>
    <d v="2024-09-01T00:00:00"/>
    <x v="340"/>
    <x v="2"/>
    <n v="123"/>
    <s v="INV00883"/>
    <n v="123"/>
    <n v="189.1498"/>
    <m/>
    <m/>
    <m/>
    <m/>
    <m/>
    <n v="189.1498"/>
    <d v="2023-07-01T00:00:00"/>
    <n v="0"/>
    <n v="0"/>
    <n v="0"/>
    <n v="0"/>
    <n v="0"/>
    <n v="0"/>
    <n v="0"/>
    <x v="0"/>
    <n v="23265.4254"/>
    <n v="23265.4254"/>
    <n v="0"/>
    <n v="0"/>
    <x v="0"/>
    <x v="2"/>
  </r>
  <r>
    <s v="ORD00884"/>
    <d v="2023-06-20T00:00:00"/>
    <x v="144"/>
    <x v="31"/>
    <n v="184"/>
    <s v="INV00884"/>
    <n v="184"/>
    <n v="1147.3289"/>
    <m/>
    <m/>
    <m/>
    <m/>
    <m/>
    <n v="1147.3289"/>
    <d v="2023-01-19T00:00:00"/>
    <n v="0"/>
    <n v="0"/>
    <n v="0"/>
    <n v="0"/>
    <n v="0"/>
    <n v="0"/>
    <n v="0"/>
    <x v="0"/>
    <n v="211108.51759999999"/>
    <n v="211108.51759999999"/>
    <n v="0"/>
    <n v="0"/>
    <x v="0"/>
    <x v="14"/>
  </r>
  <r>
    <s v="ORD00885"/>
    <d v="2023-12-19T00:00:00"/>
    <x v="167"/>
    <x v="122"/>
    <n v="97"/>
    <s v="INV00885"/>
    <n v="97"/>
    <n v="75.620999999999995"/>
    <m/>
    <m/>
    <m/>
    <m/>
    <m/>
    <n v="75.620999999999995"/>
    <d v="2023-07-01T00:00:00"/>
    <n v="0"/>
    <n v="0"/>
    <n v="0"/>
    <n v="0"/>
    <n v="0"/>
    <n v="0"/>
    <n v="0"/>
    <x v="0"/>
    <n v="7335.2369999999992"/>
    <n v="7335.2369999999992"/>
    <n v="0"/>
    <n v="0"/>
    <x v="0"/>
    <x v="20"/>
  </r>
  <r>
    <s v="ORD00886"/>
    <d v="2024-10-17T00:00:00"/>
    <x v="194"/>
    <x v="48"/>
    <n v="183"/>
    <s v="INV00886"/>
    <n v="183"/>
    <n v="1144.2565928700781"/>
    <m/>
    <m/>
    <m/>
    <m/>
    <m/>
    <n v="1144.1684"/>
    <d v="2023-01-29T00:00:00"/>
    <n v="0"/>
    <n v="0"/>
    <n v="1"/>
    <n v="0"/>
    <n v="0"/>
    <n v="0"/>
    <n v="0"/>
    <x v="1"/>
    <n v="209398.95649522429"/>
    <n v="209382.81719999999"/>
    <n v="16.139295224304078"/>
    <n v="4"/>
    <x v="1"/>
    <x v="5"/>
  </r>
  <r>
    <s v="ORD00887"/>
    <d v="2023-07-30T00:00:00"/>
    <x v="30"/>
    <x v="225"/>
    <n v="33"/>
    <s v="INV00887"/>
    <n v="33"/>
    <n v="307.97520000000003"/>
    <m/>
    <m/>
    <m/>
    <m/>
    <m/>
    <n v="307.97520000000003"/>
    <d v="2023-04-13T00:00:00"/>
    <n v="0"/>
    <n v="0"/>
    <n v="0"/>
    <n v="0"/>
    <n v="0"/>
    <n v="0"/>
    <n v="0"/>
    <x v="0"/>
    <n v="10163.181600000002"/>
    <n v="10163.181600000002"/>
    <n v="0"/>
    <n v="0"/>
    <x v="0"/>
    <x v="10"/>
  </r>
  <r>
    <s v="ORD00888"/>
    <d v="2023-04-23T00:00:00"/>
    <x v="445"/>
    <x v="198"/>
    <n v="61"/>
    <s v="INV00888"/>
    <n v="61"/>
    <n v="906.88919999999996"/>
    <m/>
    <m/>
    <m/>
    <m/>
    <m/>
    <n v="906.88919999999996"/>
    <d v="2023-03-06T00:00:00"/>
    <n v="0"/>
    <n v="0"/>
    <n v="0"/>
    <n v="0"/>
    <n v="0"/>
    <n v="0"/>
    <n v="0"/>
    <x v="0"/>
    <n v="55320.241199999997"/>
    <n v="55320.241199999997"/>
    <n v="0"/>
    <n v="0"/>
    <x v="0"/>
    <x v="23"/>
  </r>
  <r>
    <s v="ORD00889"/>
    <d v="2024-10-06T00:00:00"/>
    <x v="410"/>
    <x v="165"/>
    <n v="124"/>
    <s v="INV00889"/>
    <n v="124"/>
    <n v="991.99"/>
    <m/>
    <m/>
    <m/>
    <m/>
    <m/>
    <n v="991.99"/>
    <d v="2023-02-19T00:00:00"/>
    <n v="0"/>
    <n v="0"/>
    <n v="0"/>
    <n v="0"/>
    <n v="0"/>
    <n v="0"/>
    <n v="0"/>
    <x v="0"/>
    <n v="123006.76"/>
    <n v="123006.76"/>
    <n v="0"/>
    <n v="0"/>
    <x v="0"/>
    <x v="5"/>
  </r>
  <r>
    <s v="ORD00890"/>
    <d v="2023-10-15T00:00:00"/>
    <x v="19"/>
    <x v="274"/>
    <n v="124"/>
    <s v="INV00890"/>
    <n v="124"/>
    <n v="631.83420000000012"/>
    <m/>
    <m/>
    <m/>
    <m/>
    <m/>
    <n v="631.83420000000012"/>
    <d v="2023-09-03T00:00:00"/>
    <n v="0"/>
    <n v="0"/>
    <n v="0"/>
    <n v="0"/>
    <n v="0"/>
    <n v="0"/>
    <n v="0"/>
    <x v="0"/>
    <n v="78347.440800000011"/>
    <n v="78347.440800000011"/>
    <n v="0"/>
    <n v="0"/>
    <x v="0"/>
    <x v="19"/>
  </r>
  <r>
    <s v="ORD00891"/>
    <d v="2023-08-10T00:00:00"/>
    <x v="544"/>
    <x v="131"/>
    <n v="92"/>
    <s v="INV00891"/>
    <n v="92"/>
    <n v="741.88620000000003"/>
    <m/>
    <m/>
    <m/>
    <m/>
    <m/>
    <n v="741.88620000000003"/>
    <d v="2023-01-04T00:00:00"/>
    <n v="0"/>
    <n v="0"/>
    <n v="0"/>
    <n v="0"/>
    <n v="0"/>
    <n v="0"/>
    <n v="0"/>
    <x v="0"/>
    <n v="68253.530400000003"/>
    <n v="68253.530400000003"/>
    <n v="0"/>
    <n v="0"/>
    <x v="0"/>
    <x v="12"/>
  </r>
  <r>
    <s v="ORD00892"/>
    <d v="2023-11-07T00:00:00"/>
    <x v="545"/>
    <x v="128"/>
    <n v="94"/>
    <s v="INV00892"/>
    <n v="94"/>
    <n v="440.38799999999998"/>
    <m/>
    <m/>
    <m/>
    <m/>
    <m/>
    <n v="440.38799999999998"/>
    <d v="2023-03-31T00:00:00"/>
    <n v="0"/>
    <n v="0"/>
    <n v="0"/>
    <n v="0"/>
    <n v="0"/>
    <n v="0"/>
    <n v="0"/>
    <x v="0"/>
    <n v="41396.471999999994"/>
    <n v="41396.471999999994"/>
    <n v="0"/>
    <n v="0"/>
    <x v="0"/>
    <x v="0"/>
  </r>
  <r>
    <s v="ORD00893"/>
    <d v="2023-11-11T00:00:00"/>
    <x v="546"/>
    <x v="57"/>
    <n v="51"/>
    <s v="INV00893"/>
    <n v="51"/>
    <n v="517.39100000000008"/>
    <m/>
    <m/>
    <m/>
    <m/>
    <m/>
    <n v="517.39100000000008"/>
    <d v="2023-04-29T00:00:00"/>
    <n v="0"/>
    <n v="0"/>
    <n v="0"/>
    <n v="0"/>
    <n v="0"/>
    <n v="0"/>
    <n v="0"/>
    <x v="0"/>
    <n v="26386.941000000003"/>
    <n v="26386.941000000003"/>
    <n v="0"/>
    <n v="0"/>
    <x v="0"/>
    <x v="0"/>
  </r>
  <r>
    <s v="ORD00894"/>
    <d v="2024-07-18T00:00:00"/>
    <x v="547"/>
    <x v="224"/>
    <n v="1"/>
    <s v="INV00894"/>
    <n v="-4"/>
    <n v="377.08350000000002"/>
    <m/>
    <m/>
    <m/>
    <m/>
    <m/>
    <n v="377.08350000000002"/>
    <d v="2023-05-18T00:00:00"/>
    <n v="0"/>
    <n v="1"/>
    <n v="0"/>
    <n v="0"/>
    <n v="0"/>
    <n v="0"/>
    <n v="0"/>
    <x v="1"/>
    <n v="-1508.3340000000001"/>
    <n v="377.08350000000002"/>
    <n v="-1885.4175"/>
    <n v="8"/>
    <x v="2"/>
    <x v="21"/>
  </r>
  <r>
    <s v="ORD00895"/>
    <d v="2024-08-15T00:00:00"/>
    <x v="264"/>
    <x v="134"/>
    <n v="104"/>
    <s v="INV00895"/>
    <n v="104"/>
    <n v="410.02"/>
    <m/>
    <m/>
    <m/>
    <m/>
    <m/>
    <n v="410.02"/>
    <d v="2023-04-01T00:00:00"/>
    <n v="0"/>
    <n v="0"/>
    <n v="0"/>
    <n v="0"/>
    <n v="0"/>
    <n v="0"/>
    <n v="0"/>
    <x v="0"/>
    <n v="42642.080000000002"/>
    <n v="42642.080000000002"/>
    <n v="0"/>
    <n v="0"/>
    <x v="0"/>
    <x v="22"/>
  </r>
  <r>
    <s v="ORD00896"/>
    <d v="2023-02-01T00:00:00"/>
    <x v="421"/>
    <x v="248"/>
    <n v="136"/>
    <s v="INV00896"/>
    <n v="136"/>
    <n v="224.72319999999999"/>
    <m/>
    <m/>
    <m/>
    <m/>
    <m/>
    <n v="224.72319999999999"/>
    <d v="2022-09-01T00:00:00"/>
    <n v="0"/>
    <n v="0"/>
    <n v="0"/>
    <n v="0"/>
    <n v="0"/>
    <n v="0"/>
    <n v="0"/>
    <x v="0"/>
    <n v="30562.355199999998"/>
    <n v="30562.355199999998"/>
    <n v="0"/>
    <n v="0"/>
    <x v="0"/>
    <x v="11"/>
  </r>
  <r>
    <s v="ORD00897"/>
    <d v="2024-07-23T00:00:00"/>
    <x v="548"/>
    <x v="220"/>
    <n v="102"/>
    <s v="INV00897"/>
    <n v="102"/>
    <n v="1149.8634"/>
    <m/>
    <m/>
    <m/>
    <m/>
    <m/>
    <n v="1149.8634"/>
    <d v="2023-07-28T00:00:00"/>
    <n v="0"/>
    <n v="0"/>
    <n v="0"/>
    <n v="0"/>
    <n v="0"/>
    <n v="0"/>
    <n v="0"/>
    <x v="0"/>
    <n v="117286.0668"/>
    <n v="117286.0668"/>
    <n v="0"/>
    <n v="0"/>
    <x v="0"/>
    <x v="21"/>
  </r>
  <r>
    <s v="ORD00898"/>
    <d v="2023-11-01T00:00:00"/>
    <x v="463"/>
    <x v="152"/>
    <n v="154"/>
    <s v="INV00898"/>
    <n v="154"/>
    <n v="403.49609405074534"/>
    <m/>
    <m/>
    <m/>
    <m/>
    <m/>
    <n v="403.01909999999998"/>
    <d v="2023-05-10T00:00:00"/>
    <n v="0"/>
    <n v="0"/>
    <n v="1"/>
    <n v="0"/>
    <n v="0"/>
    <n v="0"/>
    <n v="0"/>
    <x v="1"/>
    <n v="62138.398483814781"/>
    <n v="62064.941399999996"/>
    <n v="73.45708381478471"/>
    <n v="4"/>
    <x v="1"/>
    <x v="0"/>
  </r>
  <r>
    <s v="ORD00899"/>
    <d v="2023-05-05T00:00:00"/>
    <x v="440"/>
    <x v="127"/>
    <n v="132"/>
    <s v="INV00899"/>
    <n v="132"/>
    <n v="343.34190000000001"/>
    <m/>
    <m/>
    <m/>
    <m/>
    <m/>
    <n v="343.34190000000001"/>
    <d v="2022-10-02T00:00:00"/>
    <n v="0"/>
    <n v="0"/>
    <n v="0"/>
    <n v="0"/>
    <n v="0"/>
    <n v="0"/>
    <n v="0"/>
    <x v="0"/>
    <n v="45321.130799999999"/>
    <n v="45321.130799999999"/>
    <n v="0"/>
    <n v="0"/>
    <x v="0"/>
    <x v="7"/>
  </r>
  <r>
    <s v="ORD00900"/>
    <d v="2023-07-01T00:00:00"/>
    <x v="281"/>
    <x v="285"/>
    <n v="96"/>
    <s v="INV00900"/>
    <n v="96"/>
    <n v="987.07560000000001"/>
    <m/>
    <m/>
    <m/>
    <m/>
    <m/>
    <n v="987.07560000000001"/>
    <d v="2022-11-12T00:00:00"/>
    <n v="0"/>
    <n v="0"/>
    <n v="0"/>
    <n v="0"/>
    <n v="0"/>
    <n v="0"/>
    <n v="0"/>
    <x v="0"/>
    <n v="94759.257599999997"/>
    <n v="94759.257599999997"/>
    <n v="0"/>
    <n v="0"/>
    <x v="0"/>
    <x v="10"/>
  </r>
  <r>
    <s v="ORD00901"/>
    <d v="2023-10-05T00:00:00"/>
    <x v="549"/>
    <x v="270"/>
    <n v="147"/>
    <s v="INV00901"/>
    <n v="147"/>
    <n v="983.19460000000004"/>
    <m/>
    <m/>
    <m/>
    <m/>
    <m/>
    <n v="983.19460000000004"/>
    <d v="2023-08-04T00:00:00"/>
    <n v="0"/>
    <n v="0"/>
    <n v="0"/>
    <n v="0"/>
    <n v="0"/>
    <n v="0"/>
    <n v="0"/>
    <x v="0"/>
    <n v="144529.60620000001"/>
    <n v="144529.60620000001"/>
    <n v="0"/>
    <n v="0"/>
    <x v="0"/>
    <x v="19"/>
  </r>
  <r>
    <s v="ORD00902"/>
    <d v="2024-10-21T00:00:00"/>
    <x v="482"/>
    <x v="253"/>
    <n v="199"/>
    <s v="INV00902"/>
    <n v="199"/>
    <n v="1092.5376000000001"/>
    <m/>
    <m/>
    <m/>
    <m/>
    <m/>
    <n v="1092.5376000000001"/>
    <d v="2023-03-11T00:00:00"/>
    <n v="0"/>
    <n v="0"/>
    <n v="0"/>
    <n v="0"/>
    <n v="0"/>
    <n v="0"/>
    <n v="0"/>
    <x v="0"/>
    <n v="217414.98240000001"/>
    <n v="217414.98240000001"/>
    <n v="0"/>
    <n v="0"/>
    <x v="0"/>
    <x v="5"/>
  </r>
  <r>
    <s v="ORD00903"/>
    <d v="2024-02-01T00:00:00"/>
    <x v="235"/>
    <x v="135"/>
    <n v="84"/>
    <s v="INV00903"/>
    <n v="84"/>
    <n v="1231.8180000000002"/>
    <m/>
    <m/>
    <m/>
    <m/>
    <m/>
    <n v="1231.8180000000002"/>
    <d v="2023-05-02T00:00:00"/>
    <n v="0"/>
    <n v="0"/>
    <n v="0"/>
    <n v="0"/>
    <n v="0"/>
    <n v="0"/>
    <n v="0"/>
    <x v="0"/>
    <n v="103472.71200000001"/>
    <n v="103472.71200000001"/>
    <n v="0"/>
    <n v="0"/>
    <x v="0"/>
    <x v="3"/>
  </r>
  <r>
    <s v="ORD00904"/>
    <d v="2024-08-25T00:00:00"/>
    <x v="550"/>
    <x v="14"/>
    <n v="154"/>
    <s v="INV00904"/>
    <n v="154"/>
    <n v="265.44960000000003"/>
    <m/>
    <m/>
    <m/>
    <m/>
    <m/>
    <n v="265.44960000000003"/>
    <d v="2023-03-14T00:00:00"/>
    <n v="0"/>
    <n v="0"/>
    <n v="0"/>
    <n v="0"/>
    <n v="0"/>
    <n v="0"/>
    <n v="0"/>
    <x v="0"/>
    <n v="40879.238400000002"/>
    <n v="40879.238400000002"/>
    <n v="0"/>
    <n v="0"/>
    <x v="0"/>
    <x v="22"/>
  </r>
  <r>
    <s v="ORD00905"/>
    <d v="2024-05-03T00:00:00"/>
    <x v="551"/>
    <x v="56"/>
    <n v="116"/>
    <s v="INV00905"/>
    <n v="118"/>
    <n v="639.91840000000002"/>
    <m/>
    <m/>
    <m/>
    <m/>
    <m/>
    <n v="639.91840000000002"/>
    <d v="2023-01-04T00:00:00"/>
    <n v="0"/>
    <n v="1"/>
    <n v="0"/>
    <n v="0"/>
    <n v="0"/>
    <n v="0"/>
    <n v="0"/>
    <x v="1"/>
    <n v="75510.371200000009"/>
    <n v="74230.534400000004"/>
    <n v="1279.8368000000046"/>
    <n v="8"/>
    <x v="2"/>
    <x v="13"/>
  </r>
  <r>
    <s v="ORD00906"/>
    <d v="2024-04-27T00:00:00"/>
    <x v="258"/>
    <x v="119"/>
    <n v="125"/>
    <s v="INV00906"/>
    <n v="125"/>
    <n v="88.578000000000003"/>
    <m/>
    <m/>
    <m/>
    <m/>
    <m/>
    <n v="88.578000000000003"/>
    <d v="2023-06-30T00:00:00"/>
    <n v="0"/>
    <n v="0"/>
    <n v="0"/>
    <n v="0"/>
    <n v="0"/>
    <n v="0"/>
    <n v="0"/>
    <x v="0"/>
    <n v="11072.25"/>
    <n v="11072.25"/>
    <n v="0"/>
    <n v="0"/>
    <x v="0"/>
    <x v="9"/>
  </r>
  <r>
    <s v="ORD00907"/>
    <d v="2023-01-27T00:00:00"/>
    <x v="4"/>
    <x v="23"/>
    <n v="41"/>
    <s v="INV00907"/>
    <n v="41"/>
    <n v="74.271000000000001"/>
    <n v="2"/>
    <d v="2023-09-11T00:00:00"/>
    <m/>
    <m/>
    <m/>
    <n v="74.271000000000001"/>
    <d v="2023-01-09T00:00:00"/>
    <n v="0"/>
    <n v="0"/>
    <n v="0"/>
    <n v="0"/>
    <n v="0"/>
    <n v="1"/>
    <n v="0"/>
    <x v="1"/>
    <n v="3045.1109999999999"/>
    <n v="3045.1109999999999"/>
    <n v="0"/>
    <n v="2"/>
    <x v="1"/>
    <x v="8"/>
  </r>
  <r>
    <s v="ORD00908"/>
    <d v="2023-11-23T00:00:00"/>
    <x v="129"/>
    <x v="31"/>
    <n v="185"/>
    <s v="INV00908"/>
    <n v="185"/>
    <n v="1147.3289"/>
    <m/>
    <m/>
    <m/>
    <m/>
    <m/>
    <n v="1147.3289"/>
    <d v="2023-01-19T00:00:00"/>
    <n v="0"/>
    <n v="0"/>
    <n v="0"/>
    <n v="0"/>
    <n v="0"/>
    <n v="0"/>
    <n v="0"/>
    <x v="0"/>
    <n v="212255.84649999999"/>
    <n v="212255.84649999999"/>
    <n v="0"/>
    <n v="0"/>
    <x v="0"/>
    <x v="0"/>
  </r>
  <r>
    <s v="ORD00909"/>
    <d v="2024-11-15T00:00:00"/>
    <x v="431"/>
    <x v="136"/>
    <n v="101"/>
    <s v="INV00909"/>
    <n v="109"/>
    <n v="216.2484"/>
    <m/>
    <m/>
    <m/>
    <m/>
    <m/>
    <n v="216.2484"/>
    <d v="2023-01-18T00:00:00"/>
    <n v="0"/>
    <n v="1"/>
    <n v="0"/>
    <n v="0"/>
    <n v="0"/>
    <n v="0"/>
    <n v="0"/>
    <x v="1"/>
    <n v="23571.0756"/>
    <n v="21841.088400000001"/>
    <n v="1729.9871999999996"/>
    <n v="8"/>
    <x v="2"/>
    <x v="4"/>
  </r>
  <r>
    <s v="ORD00910"/>
    <d v="2023-08-13T00:00:00"/>
    <x v="552"/>
    <x v="256"/>
    <n v="190"/>
    <s v="INV00910"/>
    <n v="190"/>
    <n v="717.0471"/>
    <m/>
    <m/>
    <m/>
    <m/>
    <m/>
    <n v="717.0471"/>
    <d v="2023-02-27T00:00:00"/>
    <n v="0"/>
    <n v="0"/>
    <n v="0"/>
    <n v="0"/>
    <n v="0"/>
    <n v="0"/>
    <n v="0"/>
    <x v="0"/>
    <n v="136238.94899999999"/>
    <n v="136238.94899999999"/>
    <n v="0"/>
    <n v="0"/>
    <x v="0"/>
    <x v="12"/>
  </r>
  <r>
    <s v="ORD00911"/>
    <d v="2024-05-03T00:00:00"/>
    <x v="77"/>
    <x v="92"/>
    <n v="136"/>
    <s v="INV00911"/>
    <n v="132"/>
    <n v="833.73500000000001"/>
    <m/>
    <m/>
    <m/>
    <m/>
    <m/>
    <n v="833.73500000000001"/>
    <d v="2023-08-29T00:00:00"/>
    <n v="0"/>
    <n v="1"/>
    <n v="0"/>
    <n v="0"/>
    <n v="0"/>
    <n v="0"/>
    <n v="0"/>
    <x v="1"/>
    <n v="110053.02"/>
    <n v="113387.96"/>
    <n v="-3334.9400000000023"/>
    <n v="8"/>
    <x v="2"/>
    <x v="13"/>
  </r>
  <r>
    <s v="ORD00912"/>
    <d v="2024-10-26T00:00:00"/>
    <x v="509"/>
    <x v="54"/>
    <n v="164"/>
    <s v="INV00912"/>
    <n v="164"/>
    <n v="465.21179999999998"/>
    <m/>
    <m/>
    <m/>
    <m/>
    <m/>
    <n v="465.21179999999998"/>
    <d v="2023-07-30T00:00:00"/>
    <n v="0"/>
    <n v="0"/>
    <n v="0"/>
    <n v="0"/>
    <n v="0"/>
    <n v="0"/>
    <n v="0"/>
    <x v="0"/>
    <n v="76294.735199999996"/>
    <n v="76294.735199999996"/>
    <n v="0"/>
    <n v="0"/>
    <x v="0"/>
    <x v="5"/>
  </r>
  <r>
    <s v="ORD00913"/>
    <d v="2024-04-29T00:00:00"/>
    <x v="553"/>
    <x v="122"/>
    <n v="136"/>
    <s v="INV00913"/>
    <n v="136"/>
    <n v="75.620999999999995"/>
    <m/>
    <m/>
    <m/>
    <m/>
    <m/>
    <n v="75.620999999999995"/>
    <d v="2023-07-01T00:00:00"/>
    <n v="0"/>
    <n v="0"/>
    <n v="0"/>
    <n v="0"/>
    <n v="0"/>
    <n v="0"/>
    <n v="0"/>
    <x v="0"/>
    <n v="10284.456"/>
    <n v="10284.456"/>
    <n v="0"/>
    <n v="0"/>
    <x v="0"/>
    <x v="9"/>
  </r>
  <r>
    <s v="ORD00914"/>
    <d v="2024-04-02T00:00:00"/>
    <x v="293"/>
    <x v="250"/>
    <n v="175"/>
    <s v="INV00914"/>
    <n v="175"/>
    <n v="93.091271058912639"/>
    <m/>
    <m/>
    <m/>
    <m/>
    <m/>
    <n v="92.962000000000003"/>
    <d v="2023-08-13T00:00:00"/>
    <n v="0"/>
    <n v="0"/>
    <n v="1"/>
    <n v="0"/>
    <n v="0"/>
    <n v="0"/>
    <n v="0"/>
    <x v="1"/>
    <n v="16290.972435309712"/>
    <n v="16268.35"/>
    <n v="22.622435309711364"/>
    <n v="4"/>
    <x v="1"/>
    <x v="9"/>
  </r>
  <r>
    <s v="ORD00915"/>
    <d v="2023-05-31T00:00:00"/>
    <x v="220"/>
    <x v="181"/>
    <n v="80"/>
    <s v="INV00915"/>
    <n v="80"/>
    <n v="860.25239999999997"/>
    <m/>
    <m/>
    <m/>
    <m/>
    <m/>
    <n v="860.25239999999997"/>
    <d v="2022-08-01T00:00:00"/>
    <n v="0"/>
    <n v="0"/>
    <n v="0"/>
    <n v="0"/>
    <n v="0"/>
    <n v="0"/>
    <n v="0"/>
    <x v="0"/>
    <n v="68820.191999999995"/>
    <n v="68820.191999999995"/>
    <n v="0"/>
    <n v="0"/>
    <x v="0"/>
    <x v="7"/>
  </r>
  <r>
    <s v="ORD00916"/>
    <d v="2024-09-27T00:00:00"/>
    <x v="218"/>
    <x v="191"/>
    <n v="85"/>
    <s v="INV00916"/>
    <n v="85"/>
    <n v="355.32000000000005"/>
    <m/>
    <m/>
    <m/>
    <m/>
    <m/>
    <n v="355.32000000000005"/>
    <d v="2023-05-12T00:00:00"/>
    <n v="0"/>
    <n v="0"/>
    <n v="0"/>
    <n v="0"/>
    <n v="0"/>
    <n v="0"/>
    <n v="0"/>
    <x v="0"/>
    <n v="30202.200000000004"/>
    <n v="30202.200000000004"/>
    <n v="0"/>
    <n v="0"/>
    <x v="0"/>
    <x v="2"/>
  </r>
  <r>
    <s v="ORD00917"/>
    <d v="2024-12-25T00:00:00"/>
    <x v="118"/>
    <x v="214"/>
    <n v="145"/>
    <s v="INV00917"/>
    <n v="145"/>
    <n v="77.178600000000003"/>
    <m/>
    <m/>
    <m/>
    <m/>
    <m/>
    <n v="77.178600000000003"/>
    <d v="2023-02-18T00:00:00"/>
    <n v="0"/>
    <n v="0"/>
    <n v="0"/>
    <n v="0"/>
    <n v="0"/>
    <n v="0"/>
    <n v="0"/>
    <x v="0"/>
    <n v="11190.897000000001"/>
    <n v="11190.897000000001"/>
    <n v="0"/>
    <n v="0"/>
    <x v="0"/>
    <x v="1"/>
  </r>
  <r>
    <s v="ORD00918"/>
    <d v="2023-09-10T00:00:00"/>
    <x v="95"/>
    <x v="199"/>
    <n v="168"/>
    <s v="INV00918"/>
    <n v="168"/>
    <n v="334.24649999999997"/>
    <m/>
    <m/>
    <m/>
    <m/>
    <m/>
    <n v="334.24649999999997"/>
    <d v="2023-07-18T00:00:00"/>
    <n v="0"/>
    <n v="0"/>
    <n v="0"/>
    <n v="0"/>
    <n v="0"/>
    <n v="0"/>
    <n v="0"/>
    <x v="0"/>
    <n v="56153.411999999997"/>
    <n v="56153.411999999997"/>
    <n v="0"/>
    <n v="0"/>
    <x v="0"/>
    <x v="18"/>
  </r>
  <r>
    <s v="ORD00919"/>
    <d v="2024-05-31T00:00:00"/>
    <x v="554"/>
    <x v="154"/>
    <n v="175"/>
    <s v="INV00919"/>
    <n v="175"/>
    <n v="744.98490000000004"/>
    <n v="15"/>
    <d v="2024-06-27T00:00:00"/>
    <m/>
    <m/>
    <m/>
    <n v="744.98490000000004"/>
    <d v="2023-07-31T00:00:00"/>
    <n v="0"/>
    <n v="0"/>
    <n v="0"/>
    <n v="0"/>
    <n v="0"/>
    <n v="0"/>
    <n v="0"/>
    <x v="0"/>
    <n v="130372.35750000001"/>
    <n v="130372.35750000001"/>
    <n v="0"/>
    <n v="0"/>
    <x v="0"/>
    <x v="13"/>
  </r>
  <r>
    <s v="ORD00920"/>
    <d v="2024-03-19T00:00:00"/>
    <x v="311"/>
    <x v="192"/>
    <n v="117"/>
    <s v="INV00920"/>
    <n v="117"/>
    <n v="247.48920000000001"/>
    <m/>
    <m/>
    <m/>
    <m/>
    <m/>
    <n v="247.48920000000001"/>
    <d v="2023-06-11T00:00:00"/>
    <n v="0"/>
    <n v="0"/>
    <n v="0"/>
    <n v="0"/>
    <n v="0"/>
    <n v="0"/>
    <n v="0"/>
    <x v="0"/>
    <n v="28956.236400000002"/>
    <n v="28956.236400000002"/>
    <n v="0"/>
    <n v="0"/>
    <x v="0"/>
    <x v="6"/>
  </r>
  <r>
    <s v="ORD00921"/>
    <d v="2024-02-15T00:00:00"/>
    <x v="555"/>
    <x v="148"/>
    <n v="29"/>
    <s v="INV00921"/>
    <n v="29"/>
    <n v="815.08680000000004"/>
    <m/>
    <m/>
    <m/>
    <m/>
    <m/>
    <n v="815.08680000000004"/>
    <d v="2023-05-16T00:00:00"/>
    <n v="0"/>
    <n v="0"/>
    <n v="0"/>
    <n v="0"/>
    <n v="0"/>
    <n v="0"/>
    <n v="0"/>
    <x v="0"/>
    <n v="23637.517200000002"/>
    <n v="23637.517200000002"/>
    <n v="0"/>
    <n v="0"/>
    <x v="0"/>
    <x v="3"/>
  </r>
  <r>
    <s v="ORD00922"/>
    <d v="2024-07-22T00:00:00"/>
    <x v="113"/>
    <x v="111"/>
    <n v="115"/>
    <s v="INV00922"/>
    <n v="115"/>
    <n v="147.17669999999998"/>
    <m/>
    <m/>
    <m/>
    <m/>
    <m/>
    <n v="147.17669999999998"/>
    <d v="2023-04-23T00:00:00"/>
    <n v="0"/>
    <n v="0"/>
    <n v="0"/>
    <n v="0"/>
    <n v="0"/>
    <n v="0"/>
    <n v="0"/>
    <x v="0"/>
    <n v="16925.320499999998"/>
    <n v="16925.320499999998"/>
    <n v="0"/>
    <n v="0"/>
    <x v="0"/>
    <x v="21"/>
  </r>
  <r>
    <s v="ORD00923"/>
    <d v="2023-12-21T00:00:00"/>
    <x v="556"/>
    <x v="246"/>
    <n v="150"/>
    <s v="INV00923"/>
    <n v="150"/>
    <n v="491.10239999999999"/>
    <m/>
    <m/>
    <m/>
    <m/>
    <m/>
    <n v="491.10239999999999"/>
    <d v="2023-09-18T00:00:00"/>
    <n v="0"/>
    <n v="0"/>
    <n v="0"/>
    <n v="0"/>
    <n v="0"/>
    <n v="0"/>
    <n v="0"/>
    <x v="0"/>
    <n v="73665.36"/>
    <n v="73665.36"/>
    <n v="0"/>
    <n v="0"/>
    <x v="0"/>
    <x v="20"/>
  </r>
  <r>
    <s v="ORD00924"/>
    <d v="2023-12-16T00:00:00"/>
    <x v="273"/>
    <x v="10"/>
    <n v="181"/>
    <s v="INV00924"/>
    <n v="181"/>
    <n v="461.69279999999998"/>
    <n v="20"/>
    <d v="2023-10-03T00:00:00"/>
    <m/>
    <m/>
    <m/>
    <n v="461.69279999999998"/>
    <d v="2023-04-15T00:00:00"/>
    <n v="0"/>
    <n v="0"/>
    <n v="0"/>
    <n v="0"/>
    <n v="0"/>
    <n v="0"/>
    <n v="0"/>
    <x v="0"/>
    <n v="83566.396800000002"/>
    <n v="83566.396800000002"/>
    <n v="0"/>
    <n v="0"/>
    <x v="0"/>
    <x v="20"/>
  </r>
  <r>
    <s v="ORD00925"/>
    <d v="2023-05-18T00:00:00"/>
    <x v="30"/>
    <x v="214"/>
    <n v="65"/>
    <s v="INV00925"/>
    <n v="60"/>
    <n v="77.178600000000003"/>
    <n v="5"/>
    <d v="2025-02-06T00:00:00"/>
    <m/>
    <m/>
    <m/>
    <n v="77.178600000000003"/>
    <d v="2023-02-18T00:00:00"/>
    <n v="0"/>
    <n v="1"/>
    <n v="0"/>
    <n v="0"/>
    <n v="0"/>
    <n v="1"/>
    <n v="0"/>
    <x v="1"/>
    <n v="4630.7160000000003"/>
    <n v="5016.6090000000004"/>
    <n v="-385.89300000000003"/>
    <n v="5"/>
    <x v="1"/>
    <x v="7"/>
  </r>
  <r>
    <s v="ORD00926"/>
    <d v="2024-03-15T00:00:00"/>
    <x v="305"/>
    <x v="201"/>
    <n v="175"/>
    <s v="INV00926"/>
    <n v="175"/>
    <n v="418.93040000000002"/>
    <m/>
    <m/>
    <m/>
    <m/>
    <m/>
    <n v="418.93040000000002"/>
    <d v="2023-10-15T00:00:00"/>
    <n v="0"/>
    <n v="0"/>
    <n v="0"/>
    <n v="0"/>
    <n v="0"/>
    <n v="0"/>
    <n v="0"/>
    <x v="0"/>
    <n v="73312.820000000007"/>
    <n v="73312.820000000007"/>
    <n v="0"/>
    <n v="0"/>
    <x v="0"/>
    <x v="6"/>
  </r>
  <r>
    <s v="ORD00927"/>
    <d v="2024-07-30T00:00:00"/>
    <x v="500"/>
    <x v="59"/>
    <n v="169"/>
    <s v="INV00927"/>
    <n v="169"/>
    <n v="942.54840000000013"/>
    <m/>
    <m/>
    <m/>
    <m/>
    <m/>
    <n v="942.54840000000013"/>
    <d v="2023-06-09T00:00:00"/>
    <n v="0"/>
    <n v="0"/>
    <n v="0"/>
    <n v="0"/>
    <n v="0"/>
    <n v="0"/>
    <n v="0"/>
    <x v="0"/>
    <n v="159290.67960000003"/>
    <n v="159290.67960000003"/>
    <n v="0"/>
    <n v="0"/>
    <x v="0"/>
    <x v="21"/>
  </r>
  <r>
    <s v="ORD00928"/>
    <d v="2024-10-15T00:00:00"/>
    <x v="557"/>
    <x v="244"/>
    <n v="137"/>
    <s v="INV00928"/>
    <n v="137"/>
    <n v="1072.2954"/>
    <m/>
    <m/>
    <m/>
    <m/>
    <m/>
    <n v="1072.2954"/>
    <d v="2023-07-13T00:00:00"/>
    <n v="0"/>
    <n v="0"/>
    <n v="0"/>
    <n v="0"/>
    <n v="0"/>
    <n v="0"/>
    <n v="0"/>
    <x v="0"/>
    <n v="146904.46979999999"/>
    <n v="146904.46979999999"/>
    <n v="0"/>
    <n v="0"/>
    <x v="0"/>
    <x v="5"/>
  </r>
  <r>
    <s v="ORD00929"/>
    <d v="2023-05-10T00:00:00"/>
    <x v="558"/>
    <x v="51"/>
    <n v="97"/>
    <s v="INV00929"/>
    <n v="92"/>
    <n v="574.3415"/>
    <m/>
    <m/>
    <m/>
    <m/>
    <m/>
    <n v="574.3415"/>
    <d v="2022-09-02T00:00:00"/>
    <n v="0"/>
    <n v="1"/>
    <n v="0"/>
    <n v="0"/>
    <n v="0"/>
    <n v="0"/>
    <n v="0"/>
    <x v="1"/>
    <n v="52839.417999999998"/>
    <n v="55711.125500000002"/>
    <n v="-2871.7075000000041"/>
    <n v="8"/>
    <x v="2"/>
    <x v="7"/>
  </r>
  <r>
    <s v="ORD00930"/>
    <d v="2023-06-16T00:00:00"/>
    <x v="258"/>
    <x v="47"/>
    <n v="123"/>
    <s v="INV00930"/>
    <n v="123"/>
    <n v="385.42419999999998"/>
    <m/>
    <m/>
    <m/>
    <m/>
    <m/>
    <n v="385.42419999999998"/>
    <d v="2023-06-02T00:00:00"/>
    <n v="0"/>
    <n v="0"/>
    <n v="0"/>
    <n v="0"/>
    <n v="0"/>
    <n v="0"/>
    <n v="0"/>
    <x v="0"/>
    <n v="47407.176599999999"/>
    <n v="47407.176599999999"/>
    <n v="0"/>
    <n v="0"/>
    <x v="0"/>
    <x v="14"/>
  </r>
  <r>
    <s v="ORD00931"/>
    <d v="2024-08-15T00:00:00"/>
    <x v="437"/>
    <x v="32"/>
    <n v="134"/>
    <s v="INV00931"/>
    <n v="134"/>
    <n v="973.43799999999999"/>
    <m/>
    <m/>
    <m/>
    <m/>
    <m/>
    <n v="973.43799999999999"/>
    <d v="2023-03-26T00:00:00"/>
    <n v="0"/>
    <n v="0"/>
    <n v="0"/>
    <n v="0"/>
    <n v="0"/>
    <n v="0"/>
    <n v="0"/>
    <x v="0"/>
    <n v="130440.692"/>
    <n v="130440.692"/>
    <n v="0"/>
    <n v="0"/>
    <x v="0"/>
    <x v="22"/>
  </r>
  <r>
    <s v="ORD00932"/>
    <d v="2024-02-10T00:00:00"/>
    <x v="415"/>
    <x v="183"/>
    <n v="185"/>
    <s v="INV00932"/>
    <n v="185"/>
    <n v="624.69097367154347"/>
    <m/>
    <m/>
    <m/>
    <m/>
    <m/>
    <n v="624.37260000000003"/>
    <d v="2023-01-06T00:00:00"/>
    <n v="0"/>
    <n v="0"/>
    <n v="1"/>
    <n v="0"/>
    <n v="0"/>
    <n v="0"/>
    <n v="0"/>
    <x v="1"/>
    <n v="115567.83012923555"/>
    <n v="115508.93100000001"/>
    <n v="58.899129235534929"/>
    <n v="4"/>
    <x v="1"/>
    <x v="3"/>
  </r>
  <r>
    <s v="ORD00933"/>
    <d v="2023-06-14T00:00:00"/>
    <x v="53"/>
    <x v="51"/>
    <n v="96"/>
    <s v="INV00933"/>
    <n v="96"/>
    <n v="574.3415"/>
    <m/>
    <m/>
    <m/>
    <m/>
    <m/>
    <n v="574.3415"/>
    <d v="2022-09-02T00:00:00"/>
    <n v="0"/>
    <n v="0"/>
    <n v="0"/>
    <n v="0"/>
    <n v="0"/>
    <n v="0"/>
    <n v="0"/>
    <x v="0"/>
    <n v="55136.784"/>
    <n v="55136.784"/>
    <n v="0"/>
    <n v="0"/>
    <x v="0"/>
    <x v="14"/>
  </r>
  <r>
    <s v="ORD00934"/>
    <d v="2023-11-15T00:00:00"/>
    <x v="98"/>
    <x v="269"/>
    <n v="156"/>
    <s v="INV00934"/>
    <n v="156"/>
    <n v="153.69479999999999"/>
    <m/>
    <m/>
    <m/>
    <m/>
    <m/>
    <n v="153.69479999999999"/>
    <d v="2023-02-03T00:00:00"/>
    <n v="0"/>
    <n v="0"/>
    <n v="0"/>
    <n v="0"/>
    <n v="0"/>
    <n v="0"/>
    <n v="0"/>
    <x v="0"/>
    <n v="23976.388799999997"/>
    <n v="23976.388799999997"/>
    <n v="0"/>
    <n v="0"/>
    <x v="0"/>
    <x v="0"/>
  </r>
  <r>
    <s v="ORD00935"/>
    <d v="2023-12-24T00:00:00"/>
    <x v="96"/>
    <x v="40"/>
    <n v="66"/>
    <s v="INV00935"/>
    <n v="66"/>
    <n v="182.4273"/>
    <m/>
    <m/>
    <m/>
    <m/>
    <m/>
    <n v="182.4273"/>
    <d v="2023-03-04T00:00:00"/>
    <n v="0"/>
    <n v="0"/>
    <n v="0"/>
    <n v="0"/>
    <n v="0"/>
    <n v="0"/>
    <n v="0"/>
    <x v="0"/>
    <n v="12040.201800000001"/>
    <n v="12040.201800000001"/>
    <n v="0"/>
    <n v="0"/>
    <x v="0"/>
    <x v="20"/>
  </r>
  <r>
    <s v="ORD00936"/>
    <d v="2024-07-13T00:00:00"/>
    <x v="559"/>
    <x v="72"/>
    <n v="43"/>
    <s v="INV00936"/>
    <n v="43"/>
    <n v="791.35360000000003"/>
    <m/>
    <m/>
    <m/>
    <m/>
    <m/>
    <n v="791.35360000000003"/>
    <d v="2023-06-20T00:00:00"/>
    <n v="0"/>
    <n v="0"/>
    <n v="0"/>
    <n v="0"/>
    <n v="0"/>
    <n v="0"/>
    <n v="0"/>
    <x v="0"/>
    <n v="34028.2048"/>
    <n v="34028.2048"/>
    <n v="0"/>
    <n v="0"/>
    <x v="0"/>
    <x v="21"/>
  </r>
  <r>
    <s v="ORD00937"/>
    <d v="2024-06-11T00:00:00"/>
    <x v="156"/>
    <x v="260"/>
    <n v="101"/>
    <s v="INV00937"/>
    <n v="101"/>
    <n v="990.72749999999996"/>
    <m/>
    <m/>
    <m/>
    <m/>
    <m/>
    <n v="990.72749999999996"/>
    <d v="2023-05-22T00:00:00"/>
    <n v="0"/>
    <n v="0"/>
    <n v="0"/>
    <n v="0"/>
    <n v="0"/>
    <n v="0"/>
    <n v="0"/>
    <x v="0"/>
    <n v="100063.47749999999"/>
    <n v="100063.47749999999"/>
    <n v="0"/>
    <n v="0"/>
    <x v="0"/>
    <x v="16"/>
  </r>
  <r>
    <s v="ORD00938"/>
    <d v="2023-06-28T00:00:00"/>
    <x v="188"/>
    <x v="286"/>
    <n v="57"/>
    <s v="INV00938"/>
    <n v="57"/>
    <n v="273.17022766352352"/>
    <m/>
    <m/>
    <m/>
    <m/>
    <m/>
    <n v="272.97059999999999"/>
    <d v="2022-11-18T00:00:00"/>
    <n v="0"/>
    <n v="0"/>
    <n v="1"/>
    <n v="0"/>
    <n v="0"/>
    <n v="0"/>
    <n v="0"/>
    <x v="1"/>
    <n v="15570.702976820841"/>
    <n v="15559.324199999999"/>
    <n v="11.378776820842177"/>
    <n v="4"/>
    <x v="1"/>
    <x v="14"/>
  </r>
  <r>
    <s v="ORD00939"/>
    <d v="2024-12-13T00:00:00"/>
    <x v="338"/>
    <x v="30"/>
    <n v="142"/>
    <s v="INV00939"/>
    <n v="142"/>
    <n v="360.68479999999994"/>
    <n v="9"/>
    <d v="2024-05-30T00:00:00"/>
    <m/>
    <m/>
    <m/>
    <n v="360.68479999999994"/>
    <d v="2023-05-26T00:00:00"/>
    <n v="0"/>
    <n v="0"/>
    <n v="0"/>
    <n v="0"/>
    <n v="0"/>
    <n v="0"/>
    <n v="0"/>
    <x v="0"/>
    <n v="51217.241599999994"/>
    <n v="51217.241599999994"/>
    <n v="0"/>
    <n v="0"/>
    <x v="0"/>
    <x v="1"/>
  </r>
  <r>
    <s v="ORD00940"/>
    <d v="2024-09-16T00:00:00"/>
    <x v="457"/>
    <x v="205"/>
    <n v="106"/>
    <s v="INV00940"/>
    <n v="106"/>
    <n v="82.749600000000015"/>
    <m/>
    <m/>
    <m/>
    <m/>
    <m/>
    <n v="82.749600000000015"/>
    <d v="2023-05-22T00:00:00"/>
    <n v="0"/>
    <n v="0"/>
    <n v="0"/>
    <n v="0"/>
    <n v="0"/>
    <n v="0"/>
    <n v="0"/>
    <x v="0"/>
    <n v="8771.4576000000015"/>
    <n v="8771.4576000000015"/>
    <n v="0"/>
    <n v="0"/>
    <x v="0"/>
    <x v="2"/>
  </r>
  <r>
    <s v="ORD00941"/>
    <d v="2024-02-03T00:00:00"/>
    <x v="278"/>
    <x v="270"/>
    <n v="200"/>
    <s v="INV00941"/>
    <n v="200"/>
    <n v="983.19460000000004"/>
    <m/>
    <m/>
    <m/>
    <m/>
    <m/>
    <n v="983.19460000000004"/>
    <d v="2023-08-04T00:00:00"/>
    <n v="0"/>
    <n v="0"/>
    <n v="0"/>
    <n v="0"/>
    <n v="0"/>
    <n v="0"/>
    <n v="0"/>
    <x v="0"/>
    <n v="196638.92"/>
    <n v="196638.92"/>
    <n v="0"/>
    <n v="0"/>
    <x v="0"/>
    <x v="3"/>
  </r>
  <r>
    <s v="ORD00942"/>
    <d v="2023-03-04T00:00:00"/>
    <x v="69"/>
    <x v="129"/>
    <n v="156"/>
    <s v="INV00942"/>
    <n v="156"/>
    <n v="733.42080000000021"/>
    <m/>
    <m/>
    <m/>
    <m/>
    <m/>
    <n v="733.42080000000021"/>
    <d v="2022-10-22T00:00:00"/>
    <n v="0"/>
    <n v="0"/>
    <n v="0"/>
    <n v="0"/>
    <n v="0"/>
    <n v="0"/>
    <n v="0"/>
    <x v="0"/>
    <n v="114413.64480000004"/>
    <n v="114413.64480000004"/>
    <n v="0"/>
    <n v="0"/>
    <x v="0"/>
    <x v="17"/>
  </r>
  <r>
    <s v="ORD00943"/>
    <d v="2024-09-23T00:00:00"/>
    <x v="560"/>
    <x v="134"/>
    <n v="166"/>
    <s v="INV00943"/>
    <n v="166"/>
    <n v="410.02"/>
    <m/>
    <m/>
    <m/>
    <m/>
    <m/>
    <n v="410.02"/>
    <d v="2023-04-01T00:00:00"/>
    <n v="0"/>
    <n v="0"/>
    <n v="0"/>
    <n v="0"/>
    <n v="0"/>
    <n v="0"/>
    <n v="0"/>
    <x v="0"/>
    <n v="68063.319999999992"/>
    <n v="68063.319999999992"/>
    <n v="0"/>
    <n v="0"/>
    <x v="0"/>
    <x v="2"/>
  </r>
  <r>
    <s v="ORD00944"/>
    <d v="2023-10-25T00:00:00"/>
    <x v="39"/>
    <x v="52"/>
    <n v="183"/>
    <s v="INV00944"/>
    <n v="183"/>
    <n v="63.7194"/>
    <m/>
    <m/>
    <m/>
    <m/>
    <m/>
    <n v="63.7194"/>
    <d v="2022-11-02T00:00:00"/>
    <n v="0"/>
    <n v="0"/>
    <n v="0"/>
    <n v="0"/>
    <n v="0"/>
    <n v="0"/>
    <n v="0"/>
    <x v="0"/>
    <n v="11660.6502"/>
    <n v="11660.6502"/>
    <n v="0"/>
    <n v="0"/>
    <x v="0"/>
    <x v="19"/>
  </r>
  <r>
    <s v="ORD00945"/>
    <d v="2024-12-11T00:00:00"/>
    <x v="337"/>
    <x v="11"/>
    <n v="163"/>
    <s v="INV00945"/>
    <n v="163"/>
    <n v="687.65840000000003"/>
    <m/>
    <m/>
    <m/>
    <m/>
    <m/>
    <n v="687.65840000000003"/>
    <d v="2023-08-01T00:00:00"/>
    <n v="0"/>
    <n v="0"/>
    <n v="0"/>
    <n v="0"/>
    <n v="0"/>
    <n v="0"/>
    <n v="0"/>
    <x v="0"/>
    <n v="112088.3192"/>
    <n v="112088.3192"/>
    <n v="0"/>
    <n v="0"/>
    <x v="0"/>
    <x v="1"/>
  </r>
  <r>
    <s v="ORD00946"/>
    <d v="2023-07-12T00:00:00"/>
    <x v="561"/>
    <x v="167"/>
    <n v="197"/>
    <s v="INV00946"/>
    <n v="197"/>
    <n v="249.2424"/>
    <m/>
    <m/>
    <m/>
    <m/>
    <m/>
    <n v="249.2424"/>
    <d v="2023-03-21T00:00:00"/>
    <n v="0"/>
    <n v="0"/>
    <n v="0"/>
    <n v="0"/>
    <n v="0"/>
    <n v="0"/>
    <n v="0"/>
    <x v="0"/>
    <n v="49100.752800000002"/>
    <n v="49100.752800000002"/>
    <n v="0"/>
    <n v="0"/>
    <x v="0"/>
    <x v="10"/>
  </r>
  <r>
    <s v="ORD00947"/>
    <d v="2023-04-14T00:00:00"/>
    <x v="45"/>
    <x v="74"/>
    <n v="186"/>
    <s v="INV00947"/>
    <n v="186"/>
    <n v="1138.4856"/>
    <m/>
    <m/>
    <m/>
    <m/>
    <m/>
    <n v="1138.4856"/>
    <d v="2022-10-31T00:00:00"/>
    <n v="0"/>
    <n v="0"/>
    <n v="0"/>
    <n v="0"/>
    <n v="0"/>
    <n v="0"/>
    <n v="0"/>
    <x v="0"/>
    <n v="211758.3216"/>
    <n v="211758.3216"/>
    <n v="0"/>
    <n v="0"/>
    <x v="0"/>
    <x v="23"/>
  </r>
  <r>
    <s v="ORD00948"/>
    <d v="2023-02-08T00:00:00"/>
    <x v="413"/>
    <x v="195"/>
    <n v="4"/>
    <s v="INV00948"/>
    <n v="4"/>
    <n v="793.03560000000004"/>
    <m/>
    <m/>
    <m/>
    <m/>
    <m/>
    <n v="793.03560000000004"/>
    <d v="2022-11-27T00:00:00"/>
    <n v="0"/>
    <n v="0"/>
    <n v="0"/>
    <n v="0"/>
    <n v="0"/>
    <n v="0"/>
    <n v="0"/>
    <x v="0"/>
    <n v="3172.1424000000002"/>
    <n v="3172.1424000000002"/>
    <n v="0"/>
    <n v="0"/>
    <x v="0"/>
    <x v="11"/>
  </r>
  <r>
    <s v="ORD00949"/>
    <d v="2024-03-04T00:00:00"/>
    <x v="263"/>
    <x v="57"/>
    <n v="87"/>
    <s v="INV00949"/>
    <n v="87"/>
    <n v="517.39100000000008"/>
    <m/>
    <m/>
    <m/>
    <m/>
    <m/>
    <n v="517.39100000000008"/>
    <d v="2023-04-29T00:00:00"/>
    <n v="0"/>
    <n v="0"/>
    <n v="0"/>
    <n v="0"/>
    <n v="0"/>
    <n v="0"/>
    <n v="0"/>
    <x v="0"/>
    <n v="45013.017000000007"/>
    <n v="45013.017000000007"/>
    <n v="0"/>
    <n v="0"/>
    <x v="0"/>
    <x v="6"/>
  </r>
  <r>
    <s v="ORD00950"/>
    <d v="2023-05-05T00:00:00"/>
    <x v="349"/>
    <x v="118"/>
    <n v="47"/>
    <s v="INV00950"/>
    <n v="47"/>
    <n v="134.64880000000002"/>
    <m/>
    <m/>
    <m/>
    <m/>
    <m/>
    <n v="134.64880000000002"/>
    <d v="2023-03-06T00:00:00"/>
    <n v="0"/>
    <n v="0"/>
    <n v="0"/>
    <n v="0"/>
    <n v="0"/>
    <n v="0"/>
    <n v="0"/>
    <x v="0"/>
    <n v="6328.4936000000007"/>
    <n v="6328.4936000000007"/>
    <n v="0"/>
    <n v="0"/>
    <x v="0"/>
    <x v="7"/>
  </r>
  <r>
    <s v="ORD00951"/>
    <d v="2024-03-30T00:00:00"/>
    <x v="228"/>
    <x v="8"/>
    <n v="127"/>
    <s v="INV00951"/>
    <n v="127"/>
    <n v="376.82319999999999"/>
    <m/>
    <m/>
    <m/>
    <m/>
    <m/>
    <n v="376.82319999999999"/>
    <d v="2023-09-02T00:00:00"/>
    <n v="0"/>
    <n v="0"/>
    <n v="0"/>
    <n v="0"/>
    <n v="0"/>
    <n v="0"/>
    <n v="0"/>
    <x v="0"/>
    <n v="47856.546399999999"/>
    <n v="47856.546399999999"/>
    <n v="0"/>
    <n v="0"/>
    <x v="0"/>
    <x v="6"/>
  </r>
  <r>
    <s v="ORD00952"/>
    <d v="2023-06-28T00:00:00"/>
    <x v="562"/>
    <x v="116"/>
    <n v="64"/>
    <s v="INV00952"/>
    <n v="64"/>
    <n v="279.42789999999997"/>
    <m/>
    <m/>
    <m/>
    <m/>
    <m/>
    <n v="279.42789999999997"/>
    <d v="2023-06-26T00:00:00"/>
    <n v="0"/>
    <n v="0"/>
    <n v="0"/>
    <n v="0"/>
    <n v="0"/>
    <n v="0"/>
    <n v="0"/>
    <x v="0"/>
    <n v="17883.385599999998"/>
    <n v="17883.385599999998"/>
    <n v="0"/>
    <n v="0"/>
    <x v="0"/>
    <x v="14"/>
  </r>
  <r>
    <s v="ORD00953"/>
    <d v="2023-07-20T00:00:00"/>
    <x v="61"/>
    <x v="91"/>
    <n v="42"/>
    <s v="INV00953"/>
    <n v="42"/>
    <n v="560.37830000000008"/>
    <m/>
    <m/>
    <m/>
    <m/>
    <m/>
    <n v="560.37830000000008"/>
    <d v="2023-06-12T00:00:00"/>
    <n v="0"/>
    <n v="0"/>
    <n v="0"/>
    <n v="0"/>
    <n v="0"/>
    <n v="0"/>
    <n v="0"/>
    <x v="0"/>
    <n v="23535.888600000002"/>
    <n v="23535.888600000002"/>
    <n v="0"/>
    <n v="0"/>
    <x v="0"/>
    <x v="10"/>
  </r>
  <r>
    <s v="ORD00954"/>
    <d v="2024-08-21T00:00:00"/>
    <x v="382"/>
    <x v="79"/>
    <n v="149"/>
    <s v="INV00954"/>
    <n v="149"/>
    <n v="730.7886000000002"/>
    <m/>
    <m/>
    <m/>
    <m/>
    <m/>
    <n v="730.7886000000002"/>
    <d v="2023-06-22T00:00:00"/>
    <n v="0"/>
    <n v="0"/>
    <n v="0"/>
    <n v="0"/>
    <n v="0"/>
    <n v="0"/>
    <n v="0"/>
    <x v="0"/>
    <n v="108887.50140000002"/>
    <n v="108887.50140000002"/>
    <n v="0"/>
    <n v="0"/>
    <x v="0"/>
    <x v="22"/>
  </r>
  <r>
    <s v="ORD00955"/>
    <d v="2024-07-15T00:00:00"/>
    <x v="309"/>
    <x v="86"/>
    <n v="32"/>
    <s v="INV00955"/>
    <n v="32"/>
    <n v="245.8853"/>
    <m/>
    <m/>
    <m/>
    <m/>
    <m/>
    <n v="245.8853"/>
    <d v="2023-04-09T00:00:00"/>
    <n v="0"/>
    <n v="0"/>
    <n v="0"/>
    <n v="0"/>
    <n v="0"/>
    <n v="0"/>
    <n v="0"/>
    <x v="0"/>
    <n v="7868.3296"/>
    <n v="7868.3296"/>
    <n v="0"/>
    <n v="0"/>
    <x v="0"/>
    <x v="21"/>
  </r>
  <r>
    <s v="ORD00956"/>
    <d v="2024-03-10T00:00:00"/>
    <x v="7"/>
    <x v="84"/>
    <n v="176"/>
    <s v="INV00956"/>
    <n v="176"/>
    <n v="262.37120000000004"/>
    <n v="16"/>
    <d v="2023-11-16T00:00:00"/>
    <m/>
    <m/>
    <m/>
    <n v="262.37120000000004"/>
    <d v="2023-06-28T00:00:00"/>
    <n v="0"/>
    <n v="0"/>
    <n v="0"/>
    <n v="0"/>
    <n v="0"/>
    <n v="0"/>
    <n v="0"/>
    <x v="0"/>
    <n v="46177.331200000008"/>
    <n v="46177.331200000008"/>
    <n v="0"/>
    <n v="0"/>
    <x v="0"/>
    <x v="6"/>
  </r>
  <r>
    <s v="ORD00957"/>
    <d v="2023-12-19T00:00:00"/>
    <x v="272"/>
    <x v="228"/>
    <n v="42"/>
    <s v="INV00957"/>
    <n v="42"/>
    <n v="952.36940000000004"/>
    <n v="12"/>
    <d v="2025-01-10T00:00:00"/>
    <m/>
    <m/>
    <m/>
    <n v="952.36940000000004"/>
    <d v="2023-08-31T00:00:00"/>
    <n v="0"/>
    <n v="0"/>
    <n v="0"/>
    <n v="0"/>
    <n v="0"/>
    <n v="1"/>
    <n v="0"/>
    <x v="1"/>
    <n v="39999.514800000004"/>
    <n v="39999.514800000004"/>
    <n v="0"/>
    <n v="2"/>
    <x v="1"/>
    <x v="20"/>
  </r>
  <r>
    <s v="ORD00958"/>
    <d v="2023-07-10T00:00:00"/>
    <x v="342"/>
    <x v="241"/>
    <n v="94"/>
    <s v="INV00958"/>
    <n v="94"/>
    <n v="854.74350000000004"/>
    <m/>
    <m/>
    <m/>
    <m/>
    <m/>
    <n v="854.74350000000004"/>
    <d v="2023-02-27T00:00:00"/>
    <n v="0"/>
    <n v="0"/>
    <n v="0"/>
    <n v="0"/>
    <n v="0"/>
    <n v="0"/>
    <n v="0"/>
    <x v="0"/>
    <n v="80345.88900000001"/>
    <n v="80345.88900000001"/>
    <n v="0"/>
    <n v="0"/>
    <x v="0"/>
    <x v="10"/>
  </r>
  <r>
    <s v="ORD00959"/>
    <d v="2023-03-10T00:00:00"/>
    <x v="563"/>
    <x v="38"/>
    <n v="183"/>
    <s v="INV00959"/>
    <n v="183"/>
    <n v="429.23"/>
    <n v="18"/>
    <d v="2024-06-01T00:00:00"/>
    <m/>
    <m/>
    <m/>
    <n v="429.23"/>
    <d v="2022-02-25T00:00:00"/>
    <n v="0"/>
    <n v="0"/>
    <n v="0"/>
    <n v="0"/>
    <n v="0"/>
    <n v="1"/>
    <n v="0"/>
    <x v="1"/>
    <n v="78549.09"/>
    <n v="78549.09"/>
    <n v="0"/>
    <n v="2"/>
    <x v="1"/>
    <x v="17"/>
  </r>
  <r>
    <s v="ORD00960"/>
    <d v="2024-05-15T00:00:00"/>
    <x v="564"/>
    <x v="148"/>
    <n v="14"/>
    <s v="INV00960"/>
    <n v="14"/>
    <n v="815.08680000000004"/>
    <m/>
    <m/>
    <m/>
    <m/>
    <m/>
    <n v="815.08680000000004"/>
    <d v="2023-05-16T00:00:00"/>
    <n v="0"/>
    <n v="0"/>
    <n v="0"/>
    <n v="0"/>
    <n v="0"/>
    <n v="0"/>
    <n v="0"/>
    <x v="0"/>
    <n v="11411.215200000001"/>
    <n v="11411.215200000001"/>
    <n v="0"/>
    <n v="0"/>
    <x v="0"/>
    <x v="13"/>
  </r>
  <r>
    <s v="ORD00961"/>
    <d v="2023-12-10T00:00:00"/>
    <x v="300"/>
    <x v="168"/>
    <n v="58"/>
    <s v="INV00961"/>
    <n v="58"/>
    <n v="233.05156292628871"/>
    <n v="19"/>
    <d v="2023-10-12T00:00:00"/>
    <m/>
    <m/>
    <m/>
    <n v="232.3732"/>
    <d v="2023-05-19T00:00:00"/>
    <n v="0"/>
    <n v="0"/>
    <n v="1"/>
    <n v="0"/>
    <n v="0"/>
    <n v="0"/>
    <n v="0"/>
    <x v="1"/>
    <n v="13516.990649724745"/>
    <n v="13477.6456"/>
    <n v="39.345049724744968"/>
    <n v="4"/>
    <x v="1"/>
    <x v="20"/>
  </r>
  <r>
    <s v="ORD00962"/>
    <d v="2023-07-29T00:00:00"/>
    <x v="415"/>
    <x v="122"/>
    <n v="66"/>
    <s v="INV00962"/>
    <n v="66"/>
    <n v="75.620999999999995"/>
    <n v="16"/>
    <d v="2023-03-31T00:00:00"/>
    <m/>
    <m/>
    <m/>
    <n v="75.620999999999995"/>
    <d v="2023-07-01T00:00:00"/>
    <n v="0"/>
    <n v="0"/>
    <n v="0"/>
    <n v="0"/>
    <n v="0"/>
    <n v="0"/>
    <n v="0"/>
    <x v="0"/>
    <n v="4990.9859999999999"/>
    <n v="4990.9859999999999"/>
    <n v="0"/>
    <n v="0"/>
    <x v="0"/>
    <x v="10"/>
  </r>
  <r>
    <s v="ORD00963"/>
    <d v="2023-01-14T00:00:00"/>
    <x v="18"/>
    <x v="13"/>
    <n v="156"/>
    <s v="INV00963"/>
    <n v="158"/>
    <n v="248.24449999999999"/>
    <m/>
    <m/>
    <m/>
    <m/>
    <m/>
    <n v="248.24449999999999"/>
    <d v="2023-01-07T00:00:00"/>
    <n v="0"/>
    <n v="1"/>
    <n v="0"/>
    <n v="0"/>
    <n v="0"/>
    <n v="0"/>
    <n v="0"/>
    <x v="1"/>
    <n v="39222.631000000001"/>
    <n v="38726.142"/>
    <n v="496.4890000000014"/>
    <n v="3"/>
    <x v="1"/>
    <x v="8"/>
  </r>
  <r>
    <s v="ORD00964"/>
    <d v="2023-05-07T00:00:00"/>
    <x v="266"/>
    <x v="180"/>
    <n v="86"/>
    <s v="INV00964"/>
    <n v="86"/>
    <n v="977.22280000000001"/>
    <m/>
    <m/>
    <m/>
    <m/>
    <m/>
    <n v="977.22280000000001"/>
    <d v="2023-02-27T00:00:00"/>
    <n v="0"/>
    <n v="0"/>
    <n v="0"/>
    <n v="0"/>
    <n v="0"/>
    <n v="0"/>
    <n v="0"/>
    <x v="0"/>
    <n v="84041.160799999998"/>
    <n v="84041.160799999998"/>
    <n v="0"/>
    <n v="0"/>
    <x v="0"/>
    <x v="7"/>
  </r>
  <r>
    <s v="ORD00965"/>
    <d v="2024-09-05T00:00:00"/>
    <x v="360"/>
    <x v="116"/>
    <n v="59"/>
    <s v="INV00965"/>
    <n v="59"/>
    <n v="279.42789999999997"/>
    <m/>
    <m/>
    <m/>
    <m/>
    <m/>
    <n v="279.42789999999997"/>
    <d v="2023-06-26T00:00:00"/>
    <n v="0"/>
    <n v="0"/>
    <n v="0"/>
    <n v="0"/>
    <n v="0"/>
    <n v="0"/>
    <n v="0"/>
    <x v="0"/>
    <n v="16486.246099999997"/>
    <n v="16486.246099999997"/>
    <n v="0"/>
    <n v="0"/>
    <x v="0"/>
    <x v="2"/>
  </r>
  <r>
    <s v="ORD00966"/>
    <d v="2024-09-10T00:00:00"/>
    <x v="448"/>
    <x v="196"/>
    <n v="190"/>
    <s v="INV00966"/>
    <n v="190"/>
    <n v="1099.82"/>
    <n v="16"/>
    <d v="2023-08-15T00:00:00"/>
    <m/>
    <m/>
    <m/>
    <n v="1099.82"/>
    <d v="2023-02-05T00:00:00"/>
    <n v="0"/>
    <n v="0"/>
    <n v="0"/>
    <n v="0"/>
    <n v="0"/>
    <n v="0"/>
    <n v="0"/>
    <x v="0"/>
    <n v="208965.8"/>
    <n v="208965.8"/>
    <n v="0"/>
    <n v="0"/>
    <x v="0"/>
    <x v="2"/>
  </r>
  <r>
    <s v="ORD00967"/>
    <d v="2024-08-06T00:00:00"/>
    <x v="565"/>
    <x v="207"/>
    <n v="103"/>
    <s v="INV00967"/>
    <n v="103"/>
    <n v="287.90559999999999"/>
    <m/>
    <m/>
    <m/>
    <m/>
    <m/>
    <n v="287.90559999999999"/>
    <d v="2023-10-25T00:00:00"/>
    <n v="0"/>
    <n v="0"/>
    <n v="0"/>
    <n v="0"/>
    <n v="0"/>
    <n v="0"/>
    <n v="0"/>
    <x v="0"/>
    <n v="29654.2768"/>
    <n v="29654.2768"/>
    <n v="0"/>
    <n v="0"/>
    <x v="0"/>
    <x v="22"/>
  </r>
  <r>
    <s v="ORD00968"/>
    <d v="2024-06-16T00:00:00"/>
    <x v="566"/>
    <x v="238"/>
    <n v="12"/>
    <s v="INV00968"/>
    <n v="12"/>
    <n v="1137.9636"/>
    <m/>
    <m/>
    <m/>
    <m/>
    <m/>
    <n v="1137.9636"/>
    <d v="2023-03-22T00:00:00"/>
    <n v="0"/>
    <n v="0"/>
    <n v="0"/>
    <n v="0"/>
    <n v="0"/>
    <n v="0"/>
    <n v="0"/>
    <x v="0"/>
    <n v="13655.563200000001"/>
    <n v="13655.563200000001"/>
    <n v="0"/>
    <n v="0"/>
    <x v="0"/>
    <x v="16"/>
  </r>
  <r>
    <s v="ORD00969"/>
    <d v="2024-12-16T00:00:00"/>
    <x v="485"/>
    <x v="224"/>
    <n v="164"/>
    <s v="INV00969"/>
    <n v="164"/>
    <n v="377.08350000000002"/>
    <m/>
    <m/>
    <m/>
    <m/>
    <m/>
    <n v="377.08350000000002"/>
    <d v="2023-05-18T00:00:00"/>
    <n v="0"/>
    <n v="0"/>
    <n v="0"/>
    <n v="0"/>
    <n v="0"/>
    <n v="0"/>
    <n v="0"/>
    <x v="0"/>
    <n v="61841.694000000003"/>
    <n v="61841.694000000003"/>
    <n v="0"/>
    <n v="0"/>
    <x v="0"/>
    <x v="1"/>
  </r>
  <r>
    <s v="ORD00970"/>
    <d v="2023-02-15T00:00:00"/>
    <x v="373"/>
    <x v="46"/>
    <n v="18"/>
    <s v="INV00970"/>
    <n v="18"/>
    <n v="499.27679999999998"/>
    <m/>
    <m/>
    <m/>
    <m/>
    <m/>
    <n v="499.27679999999998"/>
    <d v="2022-10-06T00:00:00"/>
    <n v="0"/>
    <n v="0"/>
    <n v="0"/>
    <n v="0"/>
    <n v="0"/>
    <n v="0"/>
    <n v="0"/>
    <x v="0"/>
    <n v="8986.982399999999"/>
    <n v="8986.982399999999"/>
    <n v="0"/>
    <n v="0"/>
    <x v="0"/>
    <x v="11"/>
  </r>
  <r>
    <s v="ORD00971"/>
    <d v="2023-05-04T00:00:00"/>
    <x v="489"/>
    <x v="138"/>
    <n v="184"/>
    <s v="INV00971"/>
    <n v="184"/>
    <n v="145.72999999999999"/>
    <m/>
    <m/>
    <m/>
    <m/>
    <m/>
    <n v="145.72999999999999"/>
    <d v="2022-12-04T00:00:00"/>
    <n v="0"/>
    <n v="0"/>
    <n v="0"/>
    <n v="0"/>
    <n v="0"/>
    <n v="0"/>
    <n v="0"/>
    <x v="0"/>
    <n v="26814.32"/>
    <n v="26814.32"/>
    <n v="0"/>
    <n v="0"/>
    <x v="0"/>
    <x v="7"/>
  </r>
  <r>
    <s v="ORD00972"/>
    <d v="2024-11-29T00:00:00"/>
    <x v="468"/>
    <x v="121"/>
    <n v="172"/>
    <s v="INV00972"/>
    <n v="172"/>
    <n v="1061.8340332814646"/>
    <m/>
    <m/>
    <m/>
    <m/>
    <m/>
    <n v="1061.7264"/>
    <d v="2023-09-11T00:00:00"/>
    <n v="0"/>
    <n v="0"/>
    <n v="1"/>
    <n v="0"/>
    <n v="0"/>
    <n v="0"/>
    <n v="0"/>
    <x v="1"/>
    <n v="182635.4537244119"/>
    <n v="182616.94080000001"/>
    <n v="18.51292441188707"/>
    <n v="4"/>
    <x v="1"/>
    <x v="4"/>
  </r>
  <r>
    <s v="ORD00973"/>
    <d v="2024-12-28T00:00:00"/>
    <x v="290"/>
    <x v="125"/>
    <n v="1"/>
    <s v="INV00973"/>
    <n v="1"/>
    <n v="405.98"/>
    <m/>
    <m/>
    <m/>
    <m/>
    <m/>
    <n v="405.98"/>
    <d v="2023-08-14T00:00:00"/>
    <n v="0"/>
    <n v="0"/>
    <n v="0"/>
    <n v="0"/>
    <n v="0"/>
    <n v="0"/>
    <n v="0"/>
    <x v="0"/>
    <n v="405.98"/>
    <n v="405.98"/>
    <n v="0"/>
    <n v="0"/>
    <x v="0"/>
    <x v="1"/>
  </r>
  <r>
    <s v="ORD00974"/>
    <d v="2023-07-30T00:00:00"/>
    <x v="181"/>
    <x v="83"/>
    <n v="170"/>
    <s v="INV00974"/>
    <n v="170"/>
    <n v="1157.6343999999999"/>
    <m/>
    <m/>
    <m/>
    <m/>
    <m/>
    <n v="1157.6343999999999"/>
    <d v="2023-02-02T00:00:00"/>
    <n v="0"/>
    <n v="0"/>
    <n v="0"/>
    <n v="0"/>
    <n v="0"/>
    <n v="0"/>
    <n v="0"/>
    <x v="0"/>
    <n v="196797.848"/>
    <n v="196797.848"/>
    <n v="0"/>
    <n v="0"/>
    <x v="0"/>
    <x v="10"/>
  </r>
  <r>
    <s v="ORD00975"/>
    <d v="2023-01-11T00:00:00"/>
    <x v="397"/>
    <x v="227"/>
    <n v="63"/>
    <s v="INV00975"/>
    <n v="63"/>
    <n v="1131.7711000000002"/>
    <m/>
    <m/>
    <m/>
    <m/>
    <m/>
    <n v="1131.7711000000002"/>
    <d v="2022-11-04T00:00:00"/>
    <n v="0"/>
    <n v="0"/>
    <n v="0"/>
    <n v="0"/>
    <n v="0"/>
    <n v="0"/>
    <n v="0"/>
    <x v="0"/>
    <n v="71301.579300000012"/>
    <n v="71301.579300000012"/>
    <n v="0"/>
    <n v="0"/>
    <x v="0"/>
    <x v="8"/>
  </r>
  <r>
    <s v="ORD00976"/>
    <d v="2024-03-27T00:00:00"/>
    <x v="567"/>
    <x v="28"/>
    <n v="95"/>
    <s v="INV00976"/>
    <n v="95"/>
    <n v="957.65700000000015"/>
    <m/>
    <m/>
    <m/>
    <m/>
    <m/>
    <n v="957.65700000000015"/>
    <d v="2023-05-11T00:00:00"/>
    <n v="0"/>
    <n v="0"/>
    <n v="0"/>
    <n v="0"/>
    <n v="0"/>
    <n v="0"/>
    <n v="0"/>
    <x v="0"/>
    <n v="90977.415000000008"/>
    <n v="90977.415000000008"/>
    <n v="0"/>
    <n v="0"/>
    <x v="0"/>
    <x v="6"/>
  </r>
  <r>
    <s v="ORD00977"/>
    <d v="2024-01-26T00:00:00"/>
    <x v="568"/>
    <x v="20"/>
    <n v="66"/>
    <s v="INV00977"/>
    <n v="66"/>
    <n v="1046.6099999999999"/>
    <m/>
    <m/>
    <m/>
    <m/>
    <m/>
    <n v="1046.6099999999999"/>
    <d v="2023-01-14T00:00:00"/>
    <n v="0"/>
    <n v="0"/>
    <n v="0"/>
    <n v="0"/>
    <n v="0"/>
    <n v="0"/>
    <n v="0"/>
    <x v="0"/>
    <n v="69076.259999999995"/>
    <n v="69076.259999999995"/>
    <n v="0"/>
    <n v="0"/>
    <x v="0"/>
    <x v="15"/>
  </r>
  <r>
    <s v="ORD00978"/>
    <d v="2024-03-26T00:00:00"/>
    <x v="569"/>
    <x v="245"/>
    <n v="24"/>
    <s v="INV00978"/>
    <n v="24"/>
    <n v="908.12130000000002"/>
    <m/>
    <m/>
    <m/>
    <m/>
    <m/>
    <n v="908.12130000000002"/>
    <d v="2023-08-02T00:00:00"/>
    <n v="0"/>
    <n v="0"/>
    <n v="0"/>
    <n v="0"/>
    <n v="0"/>
    <n v="0"/>
    <n v="0"/>
    <x v="0"/>
    <n v="21794.911200000002"/>
    <n v="21794.911200000002"/>
    <n v="0"/>
    <n v="0"/>
    <x v="0"/>
    <x v="6"/>
  </r>
  <r>
    <s v="ORD00979"/>
    <d v="2023-04-26T00:00:00"/>
    <x v="352"/>
    <x v="195"/>
    <n v="167"/>
    <s v="INV00979"/>
    <n v="167"/>
    <n v="793.03560000000004"/>
    <n v="5"/>
    <d v="2023-10-29T00:00:00"/>
    <m/>
    <m/>
    <m/>
    <n v="793.03560000000004"/>
    <d v="2022-11-27T00:00:00"/>
    <n v="0"/>
    <n v="0"/>
    <n v="0"/>
    <n v="0"/>
    <n v="0"/>
    <n v="1"/>
    <n v="0"/>
    <x v="1"/>
    <n v="132436.94520000002"/>
    <n v="132436.94520000002"/>
    <n v="0"/>
    <n v="2"/>
    <x v="1"/>
    <x v="23"/>
  </r>
  <r>
    <s v="ORD00980"/>
    <d v="2024-10-24T00:00:00"/>
    <x v="172"/>
    <x v="76"/>
    <n v="118"/>
    <s v="INV00980"/>
    <n v="118"/>
    <n v="1114.2336"/>
    <m/>
    <m/>
    <m/>
    <m/>
    <m/>
    <n v="1114.2336"/>
    <d v="2023-08-03T00:00:00"/>
    <n v="0"/>
    <n v="0"/>
    <n v="0"/>
    <n v="0"/>
    <n v="0"/>
    <n v="0"/>
    <n v="0"/>
    <x v="0"/>
    <n v="131479.56479999999"/>
    <n v="131479.56479999999"/>
    <n v="0"/>
    <n v="0"/>
    <x v="0"/>
    <x v="5"/>
  </r>
  <r>
    <s v="ORD00981"/>
    <d v="2024-05-22T00:00:00"/>
    <x v="388"/>
    <x v="190"/>
    <n v="75"/>
    <s v="INV00981"/>
    <n v="75"/>
    <n v="892.55520000000013"/>
    <m/>
    <m/>
    <m/>
    <m/>
    <m/>
    <n v="892.55520000000013"/>
    <d v="2023-02-28T00:00:00"/>
    <n v="0"/>
    <n v="0"/>
    <n v="0"/>
    <n v="0"/>
    <n v="0"/>
    <n v="0"/>
    <n v="0"/>
    <x v="0"/>
    <n v="66941.640000000014"/>
    <n v="66941.640000000014"/>
    <n v="0"/>
    <n v="0"/>
    <x v="0"/>
    <x v="13"/>
  </r>
  <r>
    <s v="ORD00982"/>
    <d v="2023-11-02T00:00:00"/>
    <x v="30"/>
    <x v="264"/>
    <n v="120"/>
    <s v="INV00982"/>
    <n v="120"/>
    <n v="230.7345"/>
    <m/>
    <m/>
    <m/>
    <m/>
    <m/>
    <n v="230.7345"/>
    <d v="2023-08-04T00:00:00"/>
    <n v="0"/>
    <n v="0"/>
    <n v="0"/>
    <n v="0"/>
    <n v="0"/>
    <n v="0"/>
    <n v="0"/>
    <x v="0"/>
    <n v="27688.14"/>
    <n v="27688.14"/>
    <n v="0"/>
    <n v="0"/>
    <x v="0"/>
    <x v="0"/>
  </r>
  <r>
    <s v="ORD00983"/>
    <d v="2024-10-25T00:00:00"/>
    <x v="106"/>
    <x v="135"/>
    <n v="71"/>
    <s v="INV00983"/>
    <n v="71"/>
    <n v="1231.8180000000002"/>
    <m/>
    <m/>
    <m/>
    <m/>
    <m/>
    <n v="1231.8180000000002"/>
    <d v="2023-05-02T00:00:00"/>
    <n v="0"/>
    <n v="0"/>
    <n v="0"/>
    <n v="0"/>
    <n v="0"/>
    <n v="0"/>
    <n v="0"/>
    <x v="0"/>
    <n v="87459.078000000009"/>
    <n v="87459.078000000009"/>
    <n v="0"/>
    <n v="0"/>
    <x v="0"/>
    <x v="5"/>
  </r>
  <r>
    <s v="ORD00984"/>
    <d v="2023-09-24T00:00:00"/>
    <x v="92"/>
    <x v="14"/>
    <n v="118"/>
    <s v="INV00984"/>
    <n v="118"/>
    <n v="265.44960000000003"/>
    <m/>
    <m/>
    <m/>
    <m/>
    <m/>
    <n v="265.44960000000003"/>
    <d v="2023-03-14T00:00:00"/>
    <n v="0"/>
    <n v="0"/>
    <n v="0"/>
    <n v="0"/>
    <n v="0"/>
    <n v="0"/>
    <n v="0"/>
    <x v="0"/>
    <n v="31323.052800000005"/>
    <n v="31323.052800000005"/>
    <n v="0"/>
    <n v="0"/>
    <x v="0"/>
    <x v="18"/>
  </r>
  <r>
    <s v="ORD00985"/>
    <d v="2024-07-13T00:00:00"/>
    <x v="527"/>
    <x v="213"/>
    <n v="25"/>
    <s v="INV00985"/>
    <n v="25"/>
    <n v="872.7808"/>
    <m/>
    <m/>
    <m/>
    <m/>
    <m/>
    <n v="872.7808"/>
    <d v="2023-10-26T00:00:00"/>
    <n v="0"/>
    <n v="0"/>
    <n v="0"/>
    <n v="0"/>
    <n v="0"/>
    <n v="0"/>
    <n v="0"/>
    <x v="0"/>
    <n v="21819.52"/>
    <n v="21819.52"/>
    <n v="0"/>
    <n v="0"/>
    <x v="0"/>
    <x v="21"/>
  </r>
  <r>
    <s v="ORD00986"/>
    <d v="2024-08-09T00:00:00"/>
    <x v="548"/>
    <x v="143"/>
    <n v="2"/>
    <s v="INV00986"/>
    <n v="2"/>
    <n v="893.8972"/>
    <m/>
    <m/>
    <m/>
    <m/>
    <m/>
    <n v="893.8972"/>
    <d v="2023-05-03T00:00:00"/>
    <n v="0"/>
    <n v="0"/>
    <n v="0"/>
    <n v="0"/>
    <n v="0"/>
    <n v="0"/>
    <n v="0"/>
    <x v="0"/>
    <n v="1787.7944"/>
    <n v="1787.7944"/>
    <n v="0"/>
    <n v="0"/>
    <x v="0"/>
    <x v="22"/>
  </r>
  <r>
    <s v="ORD00987"/>
    <d v="2023-10-13T00:00:00"/>
    <x v="570"/>
    <x v="99"/>
    <n v="177"/>
    <s v="INV00987"/>
    <n v="177"/>
    <n v="1171.7046"/>
    <m/>
    <m/>
    <m/>
    <m/>
    <m/>
    <n v="1171.7046"/>
    <d v="2023-05-31T00:00:00"/>
    <n v="0"/>
    <n v="0"/>
    <n v="0"/>
    <n v="0"/>
    <n v="0"/>
    <n v="0"/>
    <n v="0"/>
    <x v="0"/>
    <n v="207391.71420000002"/>
    <n v="207391.71420000002"/>
    <n v="0"/>
    <n v="0"/>
    <x v="0"/>
    <x v="19"/>
  </r>
  <r>
    <s v="ORD00988"/>
    <d v="2023-02-01T00:00:00"/>
    <x v="38"/>
    <x v="240"/>
    <n v="188"/>
    <s v="INV00988"/>
    <n v="188"/>
    <n v="465.6096"/>
    <m/>
    <m/>
    <m/>
    <m/>
    <m/>
    <n v="465.6096"/>
    <d v="2022-09-06T00:00:00"/>
    <n v="0"/>
    <n v="0"/>
    <n v="0"/>
    <n v="0"/>
    <n v="0"/>
    <n v="0"/>
    <n v="0"/>
    <x v="0"/>
    <n v="87534.604800000001"/>
    <n v="87534.604800000001"/>
    <n v="0"/>
    <n v="0"/>
    <x v="0"/>
    <x v="11"/>
  </r>
  <r>
    <s v="ORD00989"/>
    <d v="2023-08-09T00:00:00"/>
    <x v="274"/>
    <x v="205"/>
    <n v="199"/>
    <s v="INV00989"/>
    <n v="199"/>
    <n v="82.749600000000015"/>
    <m/>
    <m/>
    <m/>
    <m/>
    <m/>
    <n v="82.749600000000015"/>
    <d v="2023-05-22T00:00:00"/>
    <n v="0"/>
    <n v="0"/>
    <n v="0"/>
    <n v="0"/>
    <n v="0"/>
    <n v="0"/>
    <n v="0"/>
    <x v="0"/>
    <n v="16467.170400000003"/>
    <n v="16467.170400000003"/>
    <n v="0"/>
    <n v="0"/>
    <x v="0"/>
    <x v="12"/>
  </r>
  <r>
    <s v="ORD00990"/>
    <d v="2024-01-16T00:00:00"/>
    <x v="545"/>
    <x v="99"/>
    <n v="193"/>
    <s v="INV00990"/>
    <n v="193"/>
    <n v="1171.7046"/>
    <m/>
    <m/>
    <m/>
    <m/>
    <m/>
    <n v="1171.7046"/>
    <d v="2023-05-31T00:00:00"/>
    <n v="0"/>
    <n v="0"/>
    <n v="0"/>
    <n v="0"/>
    <n v="0"/>
    <n v="0"/>
    <n v="0"/>
    <x v="0"/>
    <n v="226138.9878"/>
    <n v="226138.9878"/>
    <n v="0"/>
    <n v="0"/>
    <x v="0"/>
    <x v="15"/>
  </r>
  <r>
    <s v="ORD00991"/>
    <d v="2023-05-27T00:00:00"/>
    <x v="571"/>
    <x v="229"/>
    <n v="38"/>
    <s v="INV00991"/>
    <n v="38"/>
    <n v="374.4615"/>
    <m/>
    <m/>
    <m/>
    <m/>
    <m/>
    <n v="374.4615"/>
    <d v="2023-03-07T00:00:00"/>
    <n v="0"/>
    <n v="0"/>
    <n v="0"/>
    <n v="0"/>
    <n v="0"/>
    <n v="0"/>
    <n v="0"/>
    <x v="0"/>
    <n v="14229.537"/>
    <n v="14229.537"/>
    <n v="0"/>
    <n v="0"/>
    <x v="0"/>
    <x v="7"/>
  </r>
  <r>
    <s v="ORD00992"/>
    <d v="2023-07-30T00:00:00"/>
    <x v="530"/>
    <x v="247"/>
    <n v="15"/>
    <s v="INV00992"/>
    <n v="15"/>
    <n v="648.86940000000004"/>
    <n v="18"/>
    <d v="2024-04-28T00:00:00"/>
    <m/>
    <m/>
    <m/>
    <n v="648.86940000000004"/>
    <d v="2023-05-18T00:00:00"/>
    <n v="0"/>
    <n v="0"/>
    <n v="0"/>
    <n v="0"/>
    <n v="0"/>
    <n v="1"/>
    <n v="1"/>
    <x v="1"/>
    <n v="9733.0410000000011"/>
    <n v="9733.0410000000011"/>
    <n v="0"/>
    <n v="5"/>
    <x v="1"/>
    <x v="10"/>
  </r>
  <r>
    <s v="ORD00993"/>
    <d v="2023-02-26T00:00:00"/>
    <x v="572"/>
    <x v="129"/>
    <n v="94"/>
    <s v="INV00993"/>
    <n v="94"/>
    <n v="733.42080000000021"/>
    <m/>
    <m/>
    <m/>
    <m/>
    <m/>
    <n v="733.42080000000021"/>
    <d v="2022-10-22T00:00:00"/>
    <n v="0"/>
    <n v="0"/>
    <n v="0"/>
    <n v="0"/>
    <n v="0"/>
    <n v="0"/>
    <n v="0"/>
    <x v="0"/>
    <n v="68941.555200000017"/>
    <n v="68941.555200000017"/>
    <n v="0"/>
    <n v="0"/>
    <x v="0"/>
    <x v="11"/>
  </r>
  <r>
    <s v="ORD00994"/>
    <d v="2024-03-21T00:00:00"/>
    <x v="573"/>
    <x v="262"/>
    <n v="55"/>
    <s v="INV00994"/>
    <n v="55"/>
    <n v="251.7122"/>
    <m/>
    <m/>
    <m/>
    <m/>
    <m/>
    <n v="251.7122"/>
    <d v="2023-06-11T00:00:00"/>
    <n v="0"/>
    <n v="0"/>
    <n v="0"/>
    <n v="0"/>
    <n v="0"/>
    <n v="0"/>
    <n v="0"/>
    <x v="0"/>
    <n v="13844.171"/>
    <n v="13844.171"/>
    <n v="0"/>
    <n v="0"/>
    <x v="0"/>
    <x v="6"/>
  </r>
  <r>
    <s v="ORD00995"/>
    <d v="2024-04-15T00:00:00"/>
    <x v="558"/>
    <x v="243"/>
    <n v="199"/>
    <s v="INV00995"/>
    <n v="199"/>
    <n v="191.1936"/>
    <m/>
    <m/>
    <m/>
    <m/>
    <m/>
    <n v="191.1936"/>
    <d v="2023-04-10T00:00:00"/>
    <n v="0"/>
    <n v="0"/>
    <n v="0"/>
    <n v="0"/>
    <n v="0"/>
    <n v="0"/>
    <n v="0"/>
    <x v="0"/>
    <n v="38047.526400000002"/>
    <n v="38047.526400000002"/>
    <n v="0"/>
    <n v="0"/>
    <x v="0"/>
    <x v="9"/>
  </r>
  <r>
    <s v="ORD00996"/>
    <d v="2023-09-21T00:00:00"/>
    <x v="277"/>
    <x v="10"/>
    <n v="91"/>
    <s v="INV00996"/>
    <n v="91"/>
    <n v="461.69279999999998"/>
    <m/>
    <m/>
    <m/>
    <m/>
    <m/>
    <n v="461.69279999999998"/>
    <d v="2023-04-15T00:00:00"/>
    <n v="0"/>
    <n v="0"/>
    <n v="0"/>
    <n v="0"/>
    <n v="0"/>
    <n v="0"/>
    <n v="0"/>
    <x v="0"/>
    <n v="42014.044799999996"/>
    <n v="42014.044799999996"/>
    <n v="0"/>
    <n v="0"/>
    <x v="0"/>
    <x v="18"/>
  </r>
  <r>
    <s v="ORD00997"/>
    <d v="2024-07-23T00:00:00"/>
    <x v="81"/>
    <x v="174"/>
    <n v="124"/>
    <s v="INV00997"/>
    <n v="124"/>
    <n v="575.53650000000005"/>
    <m/>
    <m/>
    <m/>
    <m/>
    <m/>
    <n v="575.53650000000005"/>
    <d v="2023-09-12T00:00:00"/>
    <n v="0"/>
    <n v="0"/>
    <n v="0"/>
    <n v="0"/>
    <n v="0"/>
    <n v="0"/>
    <n v="0"/>
    <x v="0"/>
    <n v="71366.526000000013"/>
    <n v="71366.526000000013"/>
    <n v="0"/>
    <n v="0"/>
    <x v="0"/>
    <x v="21"/>
  </r>
  <r>
    <s v="ORD00998"/>
    <d v="2024-02-02T00:00:00"/>
    <x v="184"/>
    <x v="261"/>
    <n v="40"/>
    <s v="INV00998"/>
    <n v="40"/>
    <n v="994.85640000000001"/>
    <m/>
    <m/>
    <m/>
    <m/>
    <m/>
    <n v="994.85640000000001"/>
    <d v="2023-08-11T00:00:00"/>
    <n v="0"/>
    <n v="0"/>
    <n v="0"/>
    <n v="0"/>
    <n v="0"/>
    <n v="0"/>
    <n v="0"/>
    <x v="0"/>
    <n v="39794.256000000001"/>
    <n v="39794.256000000001"/>
    <n v="0"/>
    <n v="0"/>
    <x v="0"/>
    <x v="3"/>
  </r>
  <r>
    <s v="ORD00999"/>
    <d v="2024-08-05T00:00:00"/>
    <x v="165"/>
    <x v="227"/>
    <n v="103"/>
    <s v="INV00999"/>
    <n v="103"/>
    <n v="1131.7711000000002"/>
    <m/>
    <m/>
    <m/>
    <m/>
    <m/>
    <n v="1131.7711000000002"/>
    <d v="2023-05-02T00:00:00"/>
    <n v="0"/>
    <n v="0"/>
    <n v="0"/>
    <n v="0"/>
    <n v="0"/>
    <n v="0"/>
    <n v="0"/>
    <x v="0"/>
    <n v="116572.42330000001"/>
    <n v="116572.42330000001"/>
    <n v="0"/>
    <n v="0"/>
    <x v="0"/>
    <x v="22"/>
  </r>
  <r>
    <s v="ORD01000"/>
    <d v="2023-09-06T00:00:00"/>
    <x v="19"/>
    <x v="159"/>
    <n v="99"/>
    <s v="INV01000"/>
    <n v="99"/>
    <n v="159.06059999999999"/>
    <n v="15"/>
    <d v="2024-12-28T00:00:00"/>
    <m/>
    <m/>
    <m/>
    <n v="159.06059999999999"/>
    <d v="2023-01-18T00:00:00"/>
    <n v="0"/>
    <n v="0"/>
    <n v="0"/>
    <n v="0"/>
    <n v="0"/>
    <n v="1"/>
    <n v="0"/>
    <x v="1"/>
    <n v="15746.999399999999"/>
    <n v="15746.999399999999"/>
    <n v="0"/>
    <n v="2"/>
    <x v="1"/>
    <x v="18"/>
  </r>
  <r>
    <s v="ORD01001"/>
    <d v="2023-04-26T00:00:00"/>
    <x v="569"/>
    <x v="192"/>
    <n v="82"/>
    <s v="INV01001"/>
    <n v="82"/>
    <n v="255.06540000000001"/>
    <n v="13"/>
    <d v="2023-04-23T00:00:00"/>
    <m/>
    <m/>
    <m/>
    <n v="255.06540000000001"/>
    <d v="2023-02-21T00:00:00"/>
    <n v="0"/>
    <n v="0"/>
    <n v="0"/>
    <n v="0"/>
    <n v="0"/>
    <n v="0"/>
    <n v="0"/>
    <x v="0"/>
    <n v="20915.362800000003"/>
    <n v="20915.362800000003"/>
    <n v="0"/>
    <n v="0"/>
    <x v="0"/>
    <x v="23"/>
  </r>
  <r>
    <s v="ORD01002"/>
    <d v="2024-09-30T00:00:00"/>
    <x v="559"/>
    <x v="101"/>
    <n v="100"/>
    <s v="INV01002"/>
    <n v="100"/>
    <n v="1223.9694"/>
    <m/>
    <m/>
    <m/>
    <m/>
    <m/>
    <n v="1223.9694"/>
    <d v="2023-08-16T00:00:00"/>
    <n v="0"/>
    <n v="0"/>
    <n v="0"/>
    <n v="0"/>
    <n v="0"/>
    <n v="0"/>
    <n v="0"/>
    <x v="0"/>
    <n v="122396.94"/>
    <n v="122396.94"/>
    <n v="0"/>
    <n v="0"/>
    <x v="0"/>
    <x v="2"/>
  </r>
  <r>
    <s v="ORD01003"/>
    <d v="2023-06-18T00:00:00"/>
    <x v="574"/>
    <x v="36"/>
    <n v="114"/>
    <s v="INV01003"/>
    <n v="114"/>
    <n v="415.70589999999999"/>
    <m/>
    <m/>
    <m/>
    <m/>
    <m/>
    <n v="415.70589999999999"/>
    <d v="2023-03-04T00:00:00"/>
    <n v="0"/>
    <n v="0"/>
    <n v="0"/>
    <n v="0"/>
    <n v="0"/>
    <n v="0"/>
    <n v="0"/>
    <x v="0"/>
    <n v="47390.472600000001"/>
    <n v="47390.472600000001"/>
    <n v="0"/>
    <n v="0"/>
    <x v="0"/>
    <x v="14"/>
  </r>
  <r>
    <s v="ORD01004"/>
    <d v="2023-05-07T00:00:00"/>
    <x v="329"/>
    <x v="102"/>
    <n v="179"/>
    <s v="INV01004"/>
    <n v="179"/>
    <n v="1093.1199999999999"/>
    <m/>
    <m/>
    <m/>
    <m/>
    <m/>
    <n v="1093.1199999999999"/>
    <d v="2023-04-19T00:00:00"/>
    <n v="0"/>
    <n v="0"/>
    <n v="0"/>
    <n v="0"/>
    <n v="0"/>
    <n v="0"/>
    <n v="0"/>
    <x v="0"/>
    <n v="195668.47999999998"/>
    <n v="195668.47999999998"/>
    <n v="0"/>
    <n v="0"/>
    <x v="0"/>
    <x v="7"/>
  </r>
  <r>
    <s v="ORD01005"/>
    <d v="2023-03-19T00:00:00"/>
    <x v="575"/>
    <x v="184"/>
    <n v="61"/>
    <s v="INV01005"/>
    <n v="61"/>
    <n v="440.25290000000001"/>
    <m/>
    <m/>
    <m/>
    <m/>
    <m/>
    <n v="440.25290000000001"/>
    <d v="2022-09-05T00:00:00"/>
    <n v="0"/>
    <n v="0"/>
    <n v="0"/>
    <n v="0"/>
    <n v="0"/>
    <n v="0"/>
    <n v="0"/>
    <x v="0"/>
    <n v="26855.426900000002"/>
    <n v="26855.426900000002"/>
    <n v="0"/>
    <n v="0"/>
    <x v="0"/>
    <x v="17"/>
  </r>
  <r>
    <s v="ORD01006"/>
    <d v="2024-06-27T00:00:00"/>
    <x v="3"/>
    <x v="287"/>
    <n v="23"/>
    <s v="INV01006"/>
    <n v="23"/>
    <n v="720.47380000000021"/>
    <m/>
    <m/>
    <m/>
    <m/>
    <m/>
    <n v="720.47380000000021"/>
    <d v="2023-04-10T00:00:00"/>
    <n v="0"/>
    <n v="0"/>
    <n v="0"/>
    <n v="0"/>
    <n v="0"/>
    <n v="0"/>
    <n v="0"/>
    <x v="0"/>
    <n v="16570.897400000005"/>
    <n v="16570.897400000005"/>
    <n v="0"/>
    <n v="0"/>
    <x v="0"/>
    <x v="16"/>
  </r>
  <r>
    <s v="ORD01007"/>
    <d v="2024-05-31T00:00:00"/>
    <x v="189"/>
    <x v="195"/>
    <n v="192"/>
    <s v="INV01007"/>
    <n v="192"/>
    <n v="825.40440000000001"/>
    <m/>
    <m/>
    <m/>
    <m/>
    <m/>
    <n v="825.40440000000001"/>
    <d v="2023-06-28T00:00:00"/>
    <n v="0"/>
    <n v="0"/>
    <n v="0"/>
    <n v="0"/>
    <n v="0"/>
    <n v="0"/>
    <n v="0"/>
    <x v="0"/>
    <n v="158477.64480000001"/>
    <n v="158477.64480000001"/>
    <n v="0"/>
    <n v="0"/>
    <x v="0"/>
    <x v="13"/>
  </r>
  <r>
    <s v="ORD01008"/>
    <d v="2023-12-21T00:00:00"/>
    <x v="576"/>
    <x v="163"/>
    <n v="28"/>
    <s v="INV01008"/>
    <n v="28"/>
    <n v="147.87150000000003"/>
    <m/>
    <m/>
    <m/>
    <m/>
    <m/>
    <n v="147.87150000000003"/>
    <d v="2023-02-15T00:00:00"/>
    <n v="0"/>
    <n v="0"/>
    <n v="0"/>
    <n v="0"/>
    <n v="0"/>
    <n v="0"/>
    <n v="0"/>
    <x v="0"/>
    <n v="4140.402000000001"/>
    <n v="4140.402000000001"/>
    <n v="0"/>
    <n v="0"/>
    <x v="0"/>
    <x v="20"/>
  </r>
  <r>
    <s v="ORD01009"/>
    <d v="2024-01-21T00:00:00"/>
    <x v="539"/>
    <x v="285"/>
    <n v="104"/>
    <s v="INV01009"/>
    <n v="104"/>
    <n v="1037.4366"/>
    <m/>
    <m/>
    <m/>
    <m/>
    <m/>
    <n v="1037.4366"/>
    <d v="2023-09-29T00:00:00"/>
    <n v="0"/>
    <n v="0"/>
    <n v="0"/>
    <n v="0"/>
    <n v="0"/>
    <n v="0"/>
    <n v="0"/>
    <x v="0"/>
    <n v="107893.40640000001"/>
    <n v="107893.40640000001"/>
    <n v="0"/>
    <n v="0"/>
    <x v="0"/>
    <x v="15"/>
  </r>
  <r>
    <s v="ORD01010"/>
    <d v="2024-12-08T00:00:00"/>
    <x v="415"/>
    <x v="74"/>
    <n v="170"/>
    <s v="INV01010"/>
    <n v="170"/>
    <n v="1184.9544000000001"/>
    <m/>
    <m/>
    <m/>
    <m/>
    <m/>
    <n v="1184.9544000000001"/>
    <d v="2023-09-02T00:00:00"/>
    <n v="0"/>
    <n v="0"/>
    <n v="0"/>
    <n v="0"/>
    <n v="0"/>
    <n v="0"/>
    <n v="0"/>
    <x v="0"/>
    <n v="201442.24800000002"/>
    <n v="201442.24800000002"/>
    <n v="0"/>
    <n v="0"/>
    <x v="0"/>
    <x v="1"/>
  </r>
  <r>
    <s v="ORD01011"/>
    <d v="2024-04-17T00:00:00"/>
    <x v="195"/>
    <x v="15"/>
    <n v="25"/>
    <s v="INV01011"/>
    <n v="25"/>
    <n v="1039.0536"/>
    <n v="20"/>
    <d v="2024-02-10T00:00:00"/>
    <m/>
    <m/>
    <m/>
    <n v="1039.0536"/>
    <d v="2023-05-08T00:00:00"/>
    <n v="0"/>
    <n v="0"/>
    <n v="0"/>
    <n v="0"/>
    <n v="0"/>
    <n v="0"/>
    <n v="0"/>
    <x v="0"/>
    <n v="25976.34"/>
    <n v="25976.34"/>
    <n v="0"/>
    <n v="0"/>
    <x v="0"/>
    <x v="9"/>
  </r>
  <r>
    <s v="ORD01012"/>
    <d v="2024-06-06T00:00:00"/>
    <x v="137"/>
    <x v="116"/>
    <n v="141"/>
    <s v="INV01012"/>
    <n v="141"/>
    <n v="279.42789999999997"/>
    <m/>
    <m/>
    <m/>
    <m/>
    <m/>
    <n v="279.42789999999997"/>
    <d v="2023-06-26T00:00:00"/>
    <n v="0"/>
    <n v="0"/>
    <n v="0"/>
    <n v="0"/>
    <n v="0"/>
    <n v="0"/>
    <n v="0"/>
    <x v="0"/>
    <n v="39399.333899999998"/>
    <n v="39399.333899999998"/>
    <n v="0"/>
    <n v="0"/>
    <x v="0"/>
    <x v="16"/>
  </r>
  <r>
    <s v="ORD01013"/>
    <d v="2023-03-11T00:00:00"/>
    <x v="240"/>
    <x v="1"/>
    <n v="22"/>
    <s v="INV01013"/>
    <n v="22"/>
    <n v="466.43099999999998"/>
    <m/>
    <m/>
    <m/>
    <m/>
    <m/>
    <n v="466.43099999999998"/>
    <d v="2022-11-17T00:00:00"/>
    <n v="0"/>
    <n v="0"/>
    <n v="0"/>
    <n v="0"/>
    <n v="0"/>
    <n v="0"/>
    <n v="0"/>
    <x v="0"/>
    <n v="10261.482"/>
    <n v="10261.482"/>
    <n v="0"/>
    <n v="0"/>
    <x v="0"/>
    <x v="17"/>
  </r>
  <r>
    <s v="ORD01014"/>
    <d v="2024-04-10T00:00:00"/>
    <x v="10"/>
    <x v="91"/>
    <n v="60"/>
    <s v="INV01014"/>
    <n v="60"/>
    <n v="560.37830000000008"/>
    <m/>
    <m/>
    <m/>
    <m/>
    <m/>
    <n v="560.37830000000008"/>
    <d v="2023-06-12T00:00:00"/>
    <n v="0"/>
    <n v="0"/>
    <n v="0"/>
    <n v="0"/>
    <n v="0"/>
    <n v="0"/>
    <n v="0"/>
    <x v="0"/>
    <n v="33622.698000000004"/>
    <n v="33622.698000000004"/>
    <n v="0"/>
    <n v="0"/>
    <x v="0"/>
    <x v="9"/>
  </r>
  <r>
    <s v="ORD01015"/>
    <d v="2024-11-16T00:00:00"/>
    <x v="130"/>
    <x v="9"/>
    <n v="154"/>
    <s v="INV01015"/>
    <n v="154"/>
    <n v="397.40159999999997"/>
    <m/>
    <m/>
    <m/>
    <m/>
    <m/>
    <n v="397.40159999999997"/>
    <d v="2023-04-05T00:00:00"/>
    <n v="0"/>
    <n v="0"/>
    <n v="0"/>
    <n v="0"/>
    <n v="0"/>
    <n v="0"/>
    <n v="0"/>
    <x v="0"/>
    <n v="61199.846399999995"/>
    <n v="61199.846399999995"/>
    <n v="0"/>
    <n v="0"/>
    <x v="0"/>
    <x v="4"/>
  </r>
  <r>
    <s v="ORD01016"/>
    <d v="2023-05-15T00:00:00"/>
    <x v="453"/>
    <x v="116"/>
    <n v="195"/>
    <s v="INV01016"/>
    <n v="195"/>
    <n v="288.07"/>
    <m/>
    <m/>
    <m/>
    <m/>
    <m/>
    <n v="288.07"/>
    <d v="2023-01-28T00:00:00"/>
    <n v="0"/>
    <n v="0"/>
    <n v="0"/>
    <n v="0"/>
    <n v="0"/>
    <n v="0"/>
    <n v="0"/>
    <x v="0"/>
    <n v="56173.65"/>
    <n v="56173.65"/>
    <n v="0"/>
    <n v="0"/>
    <x v="0"/>
    <x v="7"/>
  </r>
  <r>
    <s v="ORD01017"/>
    <d v="2023-03-05T00:00:00"/>
    <x v="577"/>
    <x v="253"/>
    <n v="86"/>
    <s v="INV01017"/>
    <n v="86"/>
    <n v="1138.06"/>
    <m/>
    <m/>
    <m/>
    <m/>
    <m/>
    <n v="1138.06"/>
    <d v="2022-07-21T00:00:00"/>
    <n v="0"/>
    <n v="0"/>
    <n v="0"/>
    <n v="0"/>
    <n v="0"/>
    <n v="0"/>
    <n v="0"/>
    <x v="0"/>
    <n v="97873.159999999989"/>
    <n v="97873.159999999989"/>
    <n v="0"/>
    <n v="0"/>
    <x v="0"/>
    <x v="17"/>
  </r>
  <r>
    <s v="ORD01018"/>
    <d v="2024-07-31T00:00:00"/>
    <x v="578"/>
    <x v="200"/>
    <n v="115"/>
    <s v="INV01018"/>
    <n v="115"/>
    <n v="69.45"/>
    <m/>
    <m/>
    <m/>
    <m/>
    <m/>
    <n v="69.45"/>
    <d v="2023-08-31T00:00:00"/>
    <n v="0"/>
    <n v="0"/>
    <n v="0"/>
    <n v="0"/>
    <n v="0"/>
    <n v="0"/>
    <n v="0"/>
    <x v="0"/>
    <n v="7986.75"/>
    <n v="7986.75"/>
    <n v="0"/>
    <n v="0"/>
    <x v="0"/>
    <x v="21"/>
  </r>
  <r>
    <s v="ORD01019"/>
    <d v="2023-07-11T00:00:00"/>
    <x v="492"/>
    <x v="288"/>
    <n v="122"/>
    <s v="INV01019"/>
    <n v="122"/>
    <n v="880.29480000000001"/>
    <n v="11"/>
    <d v="2024-11-02T00:00:00"/>
    <m/>
    <m/>
    <m/>
    <n v="880.29480000000001"/>
    <d v="2023-03-13T00:00:00"/>
    <n v="0"/>
    <n v="0"/>
    <n v="0"/>
    <n v="0"/>
    <n v="0"/>
    <n v="1"/>
    <n v="0"/>
    <x v="1"/>
    <n v="107395.9656"/>
    <n v="107395.9656"/>
    <n v="0"/>
    <n v="2"/>
    <x v="1"/>
    <x v="10"/>
  </r>
  <r>
    <s v="ORD01020"/>
    <d v="2024-12-27T00:00:00"/>
    <x v="579"/>
    <x v="18"/>
    <n v="106"/>
    <s v="INV01020"/>
    <n v="106"/>
    <n v="337.47280000000001"/>
    <m/>
    <m/>
    <m/>
    <m/>
    <m/>
    <n v="337.47280000000001"/>
    <d v="2023-09-02T00:00:00"/>
    <n v="0"/>
    <n v="0"/>
    <n v="0"/>
    <n v="0"/>
    <n v="0"/>
    <n v="0"/>
    <n v="0"/>
    <x v="0"/>
    <n v="35772.116800000003"/>
    <n v="35772.116800000003"/>
    <n v="0"/>
    <n v="0"/>
    <x v="0"/>
    <x v="1"/>
  </r>
  <r>
    <s v="ORD01021"/>
    <d v="2023-08-07T00:00:00"/>
    <x v="330"/>
    <x v="211"/>
    <n v="196"/>
    <s v="INV01021"/>
    <n v="196"/>
    <n v="655.93800000000022"/>
    <m/>
    <m/>
    <m/>
    <m/>
    <m/>
    <n v="655.93800000000022"/>
    <d v="2023-05-29T00:00:00"/>
    <n v="0"/>
    <n v="0"/>
    <n v="0"/>
    <n v="0"/>
    <n v="0"/>
    <n v="0"/>
    <n v="0"/>
    <x v="0"/>
    <n v="128563.84800000004"/>
    <n v="128563.84800000004"/>
    <n v="0"/>
    <n v="0"/>
    <x v="0"/>
    <x v="12"/>
  </r>
  <r>
    <s v="ORD01022"/>
    <d v="2023-08-27T00:00:00"/>
    <x v="59"/>
    <x v="222"/>
    <n v="61"/>
    <s v="INV01022"/>
    <n v="61"/>
    <n v="273.24680000000001"/>
    <m/>
    <m/>
    <m/>
    <m/>
    <m/>
    <n v="273.24680000000001"/>
    <d v="2023-06-26T00:00:00"/>
    <n v="0"/>
    <n v="0"/>
    <n v="0"/>
    <n v="0"/>
    <n v="0"/>
    <n v="0"/>
    <n v="0"/>
    <x v="0"/>
    <n v="16668.054800000002"/>
    <n v="16668.054800000002"/>
    <n v="0"/>
    <n v="0"/>
    <x v="0"/>
    <x v="12"/>
  </r>
  <r>
    <s v="ORD01023"/>
    <d v="2023-10-30T00:00:00"/>
    <x v="218"/>
    <x v="72"/>
    <n v="18"/>
    <s v="INV01023"/>
    <n v="18"/>
    <n v="791.35360000000003"/>
    <m/>
    <m/>
    <m/>
    <m/>
    <m/>
    <n v="791.35360000000003"/>
    <d v="2023-06-20T00:00:00"/>
    <n v="0"/>
    <n v="0"/>
    <n v="0"/>
    <n v="0"/>
    <n v="0"/>
    <n v="0"/>
    <n v="0"/>
    <x v="0"/>
    <n v="14244.364800000001"/>
    <n v="14244.364800000001"/>
    <n v="0"/>
    <n v="0"/>
    <x v="0"/>
    <x v="19"/>
  </r>
  <r>
    <s v="ORD01024"/>
    <d v="2023-06-14T00:00:00"/>
    <x v="580"/>
    <x v="56"/>
    <n v="86"/>
    <s v="INV01024"/>
    <n v="86"/>
    <n v="639.91840000000002"/>
    <m/>
    <m/>
    <m/>
    <m/>
    <m/>
    <n v="639.91840000000002"/>
    <d v="2023-01-04T00:00:00"/>
    <n v="0"/>
    <n v="0"/>
    <n v="0"/>
    <n v="0"/>
    <n v="0"/>
    <n v="0"/>
    <n v="0"/>
    <x v="0"/>
    <n v="55032.982400000001"/>
    <n v="55032.982400000001"/>
    <n v="0"/>
    <n v="0"/>
    <x v="0"/>
    <x v="14"/>
  </r>
  <r>
    <s v="ORD01025"/>
    <d v="2023-04-14T00:00:00"/>
    <x v="581"/>
    <x v="227"/>
    <n v="1"/>
    <s v="INV01025"/>
    <n v="1"/>
    <n v="1131.7711000000002"/>
    <m/>
    <m/>
    <m/>
    <m/>
    <m/>
    <n v="1131.7711000000002"/>
    <d v="2022-11-04T00:00:00"/>
    <n v="0"/>
    <n v="0"/>
    <n v="0"/>
    <n v="0"/>
    <n v="0"/>
    <n v="0"/>
    <n v="0"/>
    <x v="0"/>
    <n v="1131.7711000000002"/>
    <n v="1131.7711000000002"/>
    <n v="0"/>
    <n v="0"/>
    <x v="0"/>
    <x v="23"/>
  </r>
  <r>
    <s v="ORD01026"/>
    <d v="2023-11-10T00:00:00"/>
    <x v="399"/>
    <x v="43"/>
    <n v="102"/>
    <s v="INV01026"/>
    <n v="102"/>
    <n v="1190.6054999999999"/>
    <m/>
    <m/>
    <m/>
    <m/>
    <m/>
    <n v="1190.6054999999999"/>
    <d v="2023-02-27T00:00:00"/>
    <n v="0"/>
    <n v="0"/>
    <n v="0"/>
    <n v="0"/>
    <n v="0"/>
    <n v="0"/>
    <n v="0"/>
    <x v="0"/>
    <n v="121441.76099999998"/>
    <n v="121441.76099999998"/>
    <n v="0"/>
    <n v="0"/>
    <x v="0"/>
    <x v="0"/>
  </r>
  <r>
    <s v="ORD01027"/>
    <d v="2024-07-29T00:00:00"/>
    <x v="476"/>
    <x v="132"/>
    <n v="94"/>
    <s v="INV01027"/>
    <n v="94"/>
    <n v="744.44590000000005"/>
    <m/>
    <m/>
    <m/>
    <m/>
    <m/>
    <n v="744.44590000000005"/>
    <d v="2023-03-23T00:00:00"/>
    <n v="0"/>
    <n v="0"/>
    <n v="0"/>
    <n v="0"/>
    <n v="0"/>
    <n v="0"/>
    <n v="0"/>
    <x v="0"/>
    <n v="69977.914600000004"/>
    <n v="69977.914600000004"/>
    <n v="0"/>
    <n v="0"/>
    <x v="0"/>
    <x v="21"/>
  </r>
  <r>
    <s v="ORD01028"/>
    <d v="2024-07-04T00:00:00"/>
    <x v="291"/>
    <x v="107"/>
    <n v="2"/>
    <s v="INV01028"/>
    <n v="2"/>
    <n v="52.185000000000002"/>
    <m/>
    <m/>
    <m/>
    <m/>
    <m/>
    <n v="52.185000000000002"/>
    <d v="2023-03-13T00:00:00"/>
    <n v="0"/>
    <n v="0"/>
    <n v="0"/>
    <n v="0"/>
    <n v="0"/>
    <n v="0"/>
    <n v="0"/>
    <x v="0"/>
    <n v="104.37"/>
    <n v="104.37"/>
    <n v="0"/>
    <n v="0"/>
    <x v="0"/>
    <x v="21"/>
  </r>
  <r>
    <s v="ORD01029"/>
    <d v="2023-03-16T00:00:00"/>
    <x v="582"/>
    <x v="145"/>
    <n v="61"/>
    <s v="INV01029"/>
    <n v="61"/>
    <n v="171.78"/>
    <m/>
    <m/>
    <m/>
    <m/>
    <m/>
    <n v="171.78"/>
    <d v="2022-02-06T00:00:00"/>
    <n v="0"/>
    <n v="0"/>
    <n v="0"/>
    <n v="0"/>
    <n v="0"/>
    <n v="0"/>
    <n v="0"/>
    <x v="0"/>
    <n v="10478.58"/>
    <n v="10478.58"/>
    <n v="0"/>
    <n v="0"/>
    <x v="0"/>
    <x v="17"/>
  </r>
  <r>
    <s v="ORD01030"/>
    <d v="2024-03-27T00:00:00"/>
    <x v="583"/>
    <x v="206"/>
    <n v="54"/>
    <s v="INV01030"/>
    <n v="54"/>
    <n v="82.026000000000025"/>
    <n v="9"/>
    <d v="2023-02-05T00:00:00"/>
    <m/>
    <m/>
    <m/>
    <n v="82.026000000000025"/>
    <d v="2023-05-15T00:00:00"/>
    <n v="0"/>
    <n v="0"/>
    <n v="0"/>
    <n v="0"/>
    <n v="0"/>
    <n v="0"/>
    <n v="0"/>
    <x v="0"/>
    <n v="4429.4040000000014"/>
    <n v="4429.4040000000014"/>
    <n v="0"/>
    <n v="0"/>
    <x v="0"/>
    <x v="6"/>
  </r>
  <r>
    <s v="ORD01031"/>
    <d v="2023-08-21T00:00:00"/>
    <x v="584"/>
    <x v="20"/>
    <n v="85"/>
    <s v="INV01031"/>
    <n v="85"/>
    <n v="1046.6099999999999"/>
    <m/>
    <m/>
    <m/>
    <m/>
    <m/>
    <n v="1046.6099999999999"/>
    <d v="2023-01-14T00:00:00"/>
    <n v="0"/>
    <n v="0"/>
    <n v="0"/>
    <n v="0"/>
    <n v="0"/>
    <n v="0"/>
    <n v="0"/>
    <x v="0"/>
    <n v="88961.849999999991"/>
    <n v="88961.849999999991"/>
    <n v="0"/>
    <n v="0"/>
    <x v="0"/>
    <x v="12"/>
  </r>
  <r>
    <s v="ORD01032"/>
    <d v="2023-12-25T00:00:00"/>
    <x v="78"/>
    <x v="102"/>
    <n v="118"/>
    <s v="INV01032"/>
    <n v="118"/>
    <n v="1093.1199999999999"/>
    <n v="8"/>
    <d v="2024-06-24T00:00:00"/>
    <m/>
    <m/>
    <m/>
    <n v="1093.1199999999999"/>
    <d v="2023-04-19T00:00:00"/>
    <n v="0"/>
    <n v="0"/>
    <n v="0"/>
    <n v="0"/>
    <n v="0"/>
    <n v="1"/>
    <n v="0"/>
    <x v="1"/>
    <n v="128988.15999999999"/>
    <n v="128988.15999999999"/>
    <n v="0"/>
    <n v="2"/>
    <x v="1"/>
    <x v="20"/>
  </r>
  <r>
    <s v="ORD01033"/>
    <d v="2024-06-29T00:00:00"/>
    <x v="72"/>
    <x v="34"/>
    <n v="114"/>
    <s v="INV01033"/>
    <n v="114"/>
    <n v="397.19560000000001"/>
    <m/>
    <m/>
    <m/>
    <m/>
    <m/>
    <n v="397.19560000000001"/>
    <d v="2023-01-06T00:00:00"/>
    <n v="0"/>
    <n v="0"/>
    <n v="0"/>
    <n v="0"/>
    <n v="0"/>
    <n v="0"/>
    <n v="0"/>
    <x v="0"/>
    <n v="45280.2984"/>
    <n v="45280.2984"/>
    <n v="0"/>
    <n v="0"/>
    <x v="0"/>
    <x v="16"/>
  </r>
  <r>
    <s v="ORD01034"/>
    <d v="2024-10-07T00:00:00"/>
    <x v="585"/>
    <x v="250"/>
    <n v="68"/>
    <s v="INV01034"/>
    <n v="68"/>
    <n v="92.962000000000003"/>
    <m/>
    <m/>
    <m/>
    <m/>
    <m/>
    <n v="92.962000000000003"/>
    <d v="2023-08-13T00:00:00"/>
    <n v="0"/>
    <n v="0"/>
    <n v="0"/>
    <n v="0"/>
    <n v="0"/>
    <n v="0"/>
    <n v="0"/>
    <x v="0"/>
    <n v="6321.4160000000002"/>
    <n v="6321.4160000000002"/>
    <n v="0"/>
    <n v="0"/>
    <x v="0"/>
    <x v="5"/>
  </r>
  <r>
    <s v="ORD01035"/>
    <d v="2024-11-23T00:00:00"/>
    <x v="586"/>
    <x v="236"/>
    <n v="42"/>
    <s v="INV01035"/>
    <n v="42"/>
    <n v="1182.1740000000002"/>
    <m/>
    <m/>
    <m/>
    <m/>
    <m/>
    <n v="1182.1740000000002"/>
    <d v="2023-07-23T00:00:00"/>
    <n v="0"/>
    <n v="0"/>
    <n v="0"/>
    <n v="0"/>
    <n v="0"/>
    <n v="0"/>
    <n v="0"/>
    <x v="0"/>
    <n v="49651.308000000012"/>
    <n v="49651.308000000012"/>
    <n v="0"/>
    <n v="0"/>
    <x v="0"/>
    <x v="4"/>
  </r>
  <r>
    <s v="ORD01036"/>
    <d v="2024-12-20T00:00:00"/>
    <x v="4"/>
    <x v="1"/>
    <n v="173"/>
    <s v="INV01036"/>
    <n v="173"/>
    <n v="444.22"/>
    <m/>
    <m/>
    <m/>
    <m/>
    <m/>
    <n v="444.22"/>
    <d v="2023-05-28T00:00:00"/>
    <n v="0"/>
    <n v="0"/>
    <n v="0"/>
    <n v="0"/>
    <n v="0"/>
    <n v="0"/>
    <n v="0"/>
    <x v="0"/>
    <n v="76850.06"/>
    <n v="76850.06"/>
    <n v="0"/>
    <n v="0"/>
    <x v="0"/>
    <x v="1"/>
  </r>
  <r>
    <s v="ORD01037"/>
    <d v="2023-08-26T00:00:00"/>
    <x v="587"/>
    <x v="102"/>
    <n v="98"/>
    <s v="INV01037"/>
    <n v="98"/>
    <n v="1093.1199999999999"/>
    <m/>
    <m/>
    <m/>
    <m/>
    <m/>
    <n v="1093.1199999999999"/>
    <d v="2023-04-19T00:00:00"/>
    <n v="0"/>
    <n v="0"/>
    <n v="0"/>
    <n v="0"/>
    <n v="0"/>
    <n v="0"/>
    <n v="0"/>
    <x v="0"/>
    <n v="107125.75999999999"/>
    <n v="107125.75999999999"/>
    <n v="0"/>
    <n v="0"/>
    <x v="0"/>
    <x v="12"/>
  </r>
  <r>
    <s v="ORD01038"/>
    <d v="2023-08-01T00:00:00"/>
    <x v="588"/>
    <x v="264"/>
    <n v="190"/>
    <s v="INV01038"/>
    <n v="193"/>
    <n v="228.45"/>
    <m/>
    <m/>
    <m/>
    <m/>
    <m/>
    <n v="228.45"/>
    <d v="2023-02-11T00:00:00"/>
    <n v="0"/>
    <n v="1"/>
    <n v="0"/>
    <n v="0"/>
    <n v="0"/>
    <n v="0"/>
    <n v="0"/>
    <x v="1"/>
    <n v="44090.85"/>
    <n v="43405.5"/>
    <n v="685.34999999999854"/>
    <n v="8"/>
    <x v="2"/>
    <x v="12"/>
  </r>
  <r>
    <s v="ORD01039"/>
    <d v="2023-06-23T00:00:00"/>
    <x v="589"/>
    <x v="100"/>
    <n v="152"/>
    <s v="INV01039"/>
    <n v="152"/>
    <n v="1231.9933000000001"/>
    <m/>
    <m/>
    <m/>
    <m/>
    <m/>
    <n v="1231.9933000000001"/>
    <d v="2023-01-08T00:00:00"/>
    <n v="0"/>
    <n v="0"/>
    <n v="0"/>
    <n v="0"/>
    <n v="0"/>
    <n v="0"/>
    <n v="0"/>
    <x v="0"/>
    <n v="187262.9816"/>
    <n v="187262.9816"/>
    <n v="0"/>
    <n v="0"/>
    <x v="0"/>
    <x v="14"/>
  </r>
  <r>
    <s v="ORD01040"/>
    <d v="2023-06-07T00:00:00"/>
    <x v="482"/>
    <x v="120"/>
    <n v="27"/>
    <s v="INV01040"/>
    <n v="27"/>
    <n v="989.96579999999994"/>
    <m/>
    <m/>
    <m/>
    <m/>
    <m/>
    <n v="989.96579999999994"/>
    <d v="2023-02-18T00:00:00"/>
    <n v="0"/>
    <n v="0"/>
    <n v="0"/>
    <n v="0"/>
    <n v="0"/>
    <n v="0"/>
    <n v="0"/>
    <x v="0"/>
    <n v="26729.0766"/>
    <n v="26729.0766"/>
    <n v="0"/>
    <n v="0"/>
    <x v="0"/>
    <x v="14"/>
  </r>
  <r>
    <s v="ORD01041"/>
    <d v="2024-07-15T00:00:00"/>
    <x v="328"/>
    <x v="162"/>
    <n v="7"/>
    <s v="INV01041"/>
    <n v="7"/>
    <n v="571.32999999999993"/>
    <m/>
    <m/>
    <m/>
    <m/>
    <m/>
    <n v="571.32999999999993"/>
    <d v="2023-10-07T00:00:00"/>
    <n v="0"/>
    <n v="0"/>
    <n v="0"/>
    <n v="0"/>
    <n v="0"/>
    <n v="0"/>
    <n v="0"/>
    <x v="0"/>
    <n v="3999.3099999999995"/>
    <n v="3999.3099999999995"/>
    <n v="0"/>
    <n v="0"/>
    <x v="0"/>
    <x v="21"/>
  </r>
  <r>
    <s v="ORD01042"/>
    <d v="2023-01-02T00:00:00"/>
    <x v="295"/>
    <x v="11"/>
    <n v="149"/>
    <s v="INV01042"/>
    <n v="149"/>
    <n v="634.76160000000004"/>
    <m/>
    <m/>
    <m/>
    <m/>
    <m/>
    <n v="634.76160000000004"/>
    <d v="2023-01-02T00:00:00"/>
    <n v="0"/>
    <n v="0"/>
    <n v="0"/>
    <n v="0"/>
    <n v="0"/>
    <n v="0"/>
    <n v="0"/>
    <x v="0"/>
    <n v="94579.478400000007"/>
    <n v="94579.478400000007"/>
    <n v="0"/>
    <n v="0"/>
    <x v="0"/>
    <x v="8"/>
  </r>
  <r>
    <s v="ORD01043"/>
    <d v="2024-03-25T00:00:00"/>
    <x v="376"/>
    <x v="233"/>
    <n v="189"/>
    <s v="INV01043"/>
    <n v="189"/>
    <n v="799.8357000000002"/>
    <m/>
    <m/>
    <m/>
    <m/>
    <m/>
    <n v="799.8357000000002"/>
    <d v="2023-05-17T00:00:00"/>
    <n v="0"/>
    <n v="0"/>
    <n v="0"/>
    <n v="0"/>
    <n v="0"/>
    <n v="0"/>
    <n v="0"/>
    <x v="0"/>
    <n v="151168.94730000003"/>
    <n v="151168.94730000003"/>
    <n v="0"/>
    <n v="0"/>
    <x v="0"/>
    <x v="6"/>
  </r>
  <r>
    <s v="ORD01044"/>
    <d v="2023-03-17T00:00:00"/>
    <x v="336"/>
    <x v="261"/>
    <n v="61"/>
    <s v="INV01044"/>
    <n v="61"/>
    <n v="956.22119999999995"/>
    <n v="10"/>
    <d v="2024-11-28T00:00:00"/>
    <m/>
    <m/>
    <m/>
    <n v="956.22119999999995"/>
    <d v="2022-12-11T00:00:00"/>
    <n v="0"/>
    <n v="0"/>
    <n v="0"/>
    <n v="0"/>
    <n v="0"/>
    <n v="1"/>
    <n v="0"/>
    <x v="1"/>
    <n v="58329.493199999997"/>
    <n v="58329.493199999997"/>
    <n v="0"/>
    <n v="2"/>
    <x v="1"/>
    <x v="17"/>
  </r>
  <r>
    <s v="ORD01045"/>
    <d v="2023-05-30T00:00:00"/>
    <x v="39"/>
    <x v="138"/>
    <n v="94"/>
    <s v="INV01045"/>
    <n v="94"/>
    <n v="153.01650000000001"/>
    <m/>
    <m/>
    <m/>
    <m/>
    <m/>
    <n v="153.01650000000001"/>
    <d v="2023-05-18T00:00:00"/>
    <n v="0"/>
    <n v="0"/>
    <n v="0"/>
    <n v="0"/>
    <n v="0"/>
    <n v="0"/>
    <n v="0"/>
    <x v="0"/>
    <n v="14383.551000000001"/>
    <n v="14383.551000000001"/>
    <n v="0"/>
    <n v="0"/>
    <x v="0"/>
    <x v="7"/>
  </r>
  <r>
    <s v="ORD01046"/>
    <d v="2023-08-28T00:00:00"/>
    <x v="147"/>
    <x v="236"/>
    <n v="129"/>
    <s v="INV01046"/>
    <n v="129"/>
    <n v="1182.1740000000002"/>
    <m/>
    <m/>
    <m/>
    <m/>
    <m/>
    <n v="1182.1740000000002"/>
    <d v="2023-07-23T00:00:00"/>
    <n v="0"/>
    <n v="0"/>
    <n v="0"/>
    <n v="0"/>
    <n v="0"/>
    <n v="0"/>
    <n v="0"/>
    <x v="0"/>
    <n v="152500.44600000003"/>
    <n v="152500.44600000003"/>
    <n v="0"/>
    <n v="0"/>
    <x v="0"/>
    <x v="12"/>
  </r>
  <r>
    <s v="ORD01047"/>
    <d v="2024-08-20T00:00:00"/>
    <x v="543"/>
    <x v="95"/>
    <n v="36"/>
    <s v="INV01047"/>
    <n v="36"/>
    <n v="1072.1079000000002"/>
    <n v="15"/>
    <d v="2024-08-06T00:00:00"/>
    <m/>
    <m/>
    <m/>
    <n v="1072.1079000000002"/>
    <d v="2023-04-19T00:00:00"/>
    <n v="0"/>
    <n v="0"/>
    <n v="0"/>
    <n v="0"/>
    <n v="0"/>
    <n v="0"/>
    <n v="0"/>
    <x v="0"/>
    <n v="38595.88440000001"/>
    <n v="38595.88440000001"/>
    <n v="0"/>
    <n v="0"/>
    <x v="0"/>
    <x v="22"/>
  </r>
  <r>
    <s v="ORD01048"/>
    <d v="2023-03-09T00:00:00"/>
    <x v="243"/>
    <x v="122"/>
    <n v="147"/>
    <s v="INV01048"/>
    <n v="147"/>
    <n v="68.418999999999997"/>
    <m/>
    <m/>
    <m/>
    <m/>
    <m/>
    <n v="68.418999999999997"/>
    <d v="2022-08-07T00:00:00"/>
    <n v="0"/>
    <n v="0"/>
    <n v="0"/>
    <n v="0"/>
    <n v="0"/>
    <n v="0"/>
    <n v="0"/>
    <x v="0"/>
    <n v="10057.592999999999"/>
    <n v="10057.592999999999"/>
    <n v="0"/>
    <n v="0"/>
    <x v="0"/>
    <x v="17"/>
  </r>
  <r>
    <s v="ORD01049"/>
    <d v="2024-03-10T00:00:00"/>
    <x v="566"/>
    <x v="218"/>
    <n v="80"/>
    <s v="INV01049"/>
    <n v="80"/>
    <n v="960.85850000000005"/>
    <m/>
    <m/>
    <m/>
    <m/>
    <m/>
    <n v="960.85850000000005"/>
    <d v="2023-05-03T00:00:00"/>
    <n v="0"/>
    <n v="0"/>
    <n v="0"/>
    <n v="0"/>
    <n v="0"/>
    <n v="0"/>
    <n v="0"/>
    <x v="0"/>
    <n v="76868.680000000008"/>
    <n v="76868.680000000008"/>
    <n v="0"/>
    <n v="0"/>
    <x v="0"/>
    <x v="6"/>
  </r>
  <r>
    <s v="ORD01050"/>
    <d v="2023-02-10T00:00:00"/>
    <x v="417"/>
    <x v="59"/>
    <n v="73"/>
    <s v="INV01050"/>
    <n v="73"/>
    <n v="933.82110000000011"/>
    <m/>
    <m/>
    <m/>
    <m/>
    <m/>
    <n v="933.82110000000011"/>
    <d v="2022-10-21T00:00:00"/>
    <n v="0"/>
    <n v="0"/>
    <n v="0"/>
    <n v="0"/>
    <n v="0"/>
    <n v="0"/>
    <n v="0"/>
    <x v="0"/>
    <n v="68168.940300000002"/>
    <n v="68168.940300000002"/>
    <n v="0"/>
    <n v="0"/>
    <x v="0"/>
    <x v="11"/>
  </r>
  <r>
    <s v="ORD01051"/>
    <d v="2023-07-24T00:00:00"/>
    <x v="561"/>
    <x v="138"/>
    <n v="85"/>
    <s v="INV01051"/>
    <n v="85"/>
    <n v="153.01650000000001"/>
    <m/>
    <m/>
    <m/>
    <m/>
    <m/>
    <n v="153.01650000000001"/>
    <d v="2023-05-18T00:00:00"/>
    <n v="0"/>
    <n v="0"/>
    <n v="0"/>
    <n v="0"/>
    <n v="0"/>
    <n v="0"/>
    <n v="0"/>
    <x v="0"/>
    <n v="13006.4025"/>
    <n v="13006.4025"/>
    <n v="0"/>
    <n v="0"/>
    <x v="0"/>
    <x v="10"/>
  </r>
  <r>
    <s v="ORD01052"/>
    <d v="2023-11-01T00:00:00"/>
    <x v="39"/>
    <x v="69"/>
    <n v="58"/>
    <s v="INV01052"/>
    <n v="58"/>
    <n v="876.32749999999999"/>
    <m/>
    <m/>
    <m/>
    <m/>
    <m/>
    <n v="876.32749999999999"/>
    <d v="2023-06-29T00:00:00"/>
    <n v="0"/>
    <n v="0"/>
    <n v="0"/>
    <n v="0"/>
    <n v="0"/>
    <n v="0"/>
    <n v="0"/>
    <x v="0"/>
    <n v="50826.995000000003"/>
    <n v="50826.995000000003"/>
    <n v="0"/>
    <n v="0"/>
    <x v="0"/>
    <x v="0"/>
  </r>
  <r>
    <s v="ORD01053"/>
    <d v="2023-03-01T00:00:00"/>
    <x v="32"/>
    <x v="145"/>
    <n v="28"/>
    <s v="INV01053"/>
    <n v="28"/>
    <n v="171.78"/>
    <m/>
    <m/>
    <m/>
    <m/>
    <m/>
    <n v="171.78"/>
    <d v="2022-02-06T00:00:00"/>
    <n v="0"/>
    <n v="0"/>
    <n v="0"/>
    <n v="0"/>
    <n v="0"/>
    <n v="0"/>
    <n v="0"/>
    <x v="0"/>
    <n v="4809.84"/>
    <n v="4809.84"/>
    <n v="0"/>
    <n v="0"/>
    <x v="0"/>
    <x v="17"/>
  </r>
  <r>
    <s v="ORD01054"/>
    <d v="2024-10-30T00:00:00"/>
    <x v="502"/>
    <x v="118"/>
    <n v="155"/>
    <s v="INV01054"/>
    <n v="155"/>
    <n v="130.87360000000001"/>
    <m/>
    <m/>
    <m/>
    <m/>
    <m/>
    <n v="130.87360000000001"/>
    <d v="2023-05-28T00:00:00"/>
    <n v="0"/>
    <n v="0"/>
    <n v="0"/>
    <n v="0"/>
    <n v="0"/>
    <n v="0"/>
    <n v="0"/>
    <x v="0"/>
    <n v="20285.408000000003"/>
    <n v="20285.408000000003"/>
    <n v="0"/>
    <n v="0"/>
    <x v="0"/>
    <x v="5"/>
  </r>
  <r>
    <s v="ORD01055"/>
    <d v="2024-06-08T00:00:00"/>
    <x v="413"/>
    <x v="126"/>
    <n v="37"/>
    <s v="INV01055"/>
    <n v="37"/>
    <n v="287.14"/>
    <m/>
    <m/>
    <m/>
    <m/>
    <m/>
    <n v="287.14"/>
    <d v="2023-02-20T00:00:00"/>
    <n v="0"/>
    <n v="0"/>
    <n v="0"/>
    <n v="0"/>
    <n v="0"/>
    <n v="0"/>
    <n v="0"/>
    <x v="0"/>
    <n v="10624.18"/>
    <n v="10624.18"/>
    <n v="0"/>
    <n v="0"/>
    <x v="0"/>
    <x v="16"/>
  </r>
  <r>
    <s v="ORD01056"/>
    <d v="2024-12-27T00:00:00"/>
    <x v="147"/>
    <x v="62"/>
    <n v="95"/>
    <s v="INV01056"/>
    <n v="95"/>
    <n v="1080.0740000000001"/>
    <m/>
    <m/>
    <m/>
    <m/>
    <m/>
    <n v="1080.0740000000001"/>
    <d v="2023-05-12T00:00:00"/>
    <n v="0"/>
    <n v="0"/>
    <n v="0"/>
    <n v="0"/>
    <n v="0"/>
    <n v="0"/>
    <n v="0"/>
    <x v="0"/>
    <n v="102607.03000000001"/>
    <n v="102607.03000000001"/>
    <n v="0"/>
    <n v="0"/>
    <x v="0"/>
    <x v="1"/>
  </r>
  <r>
    <s v="ORD01057"/>
    <d v="2023-06-11T00:00:00"/>
    <x v="157"/>
    <x v="91"/>
    <n v="63"/>
    <s v="INV01057"/>
    <n v="73"/>
    <n v="599.21640000000014"/>
    <n v="15"/>
    <d v="2024-03-19T00:00:00"/>
    <m/>
    <m/>
    <m/>
    <n v="599.21640000000014"/>
    <d v="2023-05-09T00:00:00"/>
    <n v="0"/>
    <n v="1"/>
    <n v="0"/>
    <n v="0"/>
    <n v="0"/>
    <n v="1"/>
    <n v="0"/>
    <x v="1"/>
    <n v="43742.797200000008"/>
    <n v="37750.633200000011"/>
    <n v="5992.163999999997"/>
    <n v="10"/>
    <x v="2"/>
    <x v="14"/>
  </r>
  <r>
    <s v="ORD01058"/>
    <d v="2023-02-06T00:00:00"/>
    <x v="172"/>
    <x v="114"/>
    <n v="26"/>
    <s v="INV01058"/>
    <n v="26"/>
    <n v="900.37"/>
    <m/>
    <m/>
    <m/>
    <m/>
    <m/>
    <n v="900.37"/>
    <d v="2022-05-24T00:00:00"/>
    <n v="0"/>
    <n v="0"/>
    <n v="0"/>
    <n v="0"/>
    <n v="0"/>
    <n v="0"/>
    <n v="0"/>
    <x v="0"/>
    <n v="23409.62"/>
    <n v="23409.62"/>
    <n v="0"/>
    <n v="0"/>
    <x v="0"/>
    <x v="11"/>
  </r>
  <r>
    <s v="ORD01059"/>
    <d v="2023-05-27T00:00:00"/>
    <x v="100"/>
    <x v="87"/>
    <n v="28"/>
    <s v="INV01059"/>
    <n v="28"/>
    <n v="443.27359999999999"/>
    <m/>
    <m/>
    <m/>
    <m/>
    <m/>
    <n v="443.27359999999999"/>
    <d v="2023-02-15T00:00:00"/>
    <n v="0"/>
    <n v="0"/>
    <n v="0"/>
    <n v="0"/>
    <n v="0"/>
    <n v="0"/>
    <n v="0"/>
    <x v="0"/>
    <n v="12411.6608"/>
    <n v="12411.6608"/>
    <n v="0"/>
    <n v="0"/>
    <x v="0"/>
    <x v="7"/>
  </r>
  <r>
    <s v="ORD01060"/>
    <d v="2023-03-16T00:00:00"/>
    <x v="354"/>
    <x v="276"/>
    <n v="107"/>
    <s v="INV01060"/>
    <n v="107"/>
    <n v="1077.26"/>
    <n v="4"/>
    <d v="2023-12-22T00:00:00"/>
    <m/>
    <m/>
    <m/>
    <n v="1077.26"/>
    <d v="2022-05-30T00:00:00"/>
    <n v="0"/>
    <n v="0"/>
    <n v="0"/>
    <n v="0"/>
    <n v="0"/>
    <n v="1"/>
    <n v="0"/>
    <x v="1"/>
    <n v="115266.81999999999"/>
    <n v="115266.81999999999"/>
    <n v="0"/>
    <n v="2"/>
    <x v="1"/>
    <x v="17"/>
  </r>
  <r>
    <s v="ORD01061"/>
    <d v="2023-09-29T00:00:00"/>
    <x v="510"/>
    <x v="94"/>
    <n v="17"/>
    <s v="INV01061"/>
    <n v="17"/>
    <n v="765.52319999999997"/>
    <n v="14"/>
    <d v="2023-07-14T00:00:00"/>
    <m/>
    <m/>
    <m/>
    <n v="765.52319999999997"/>
    <d v="2023-09-05T00:00:00"/>
    <n v="0"/>
    <n v="0"/>
    <n v="0"/>
    <n v="0"/>
    <n v="0"/>
    <n v="0"/>
    <n v="0"/>
    <x v="0"/>
    <n v="13013.894399999999"/>
    <n v="13013.894399999999"/>
    <n v="0"/>
    <n v="0"/>
    <x v="0"/>
    <x v="18"/>
  </r>
  <r>
    <s v="ORD01062"/>
    <d v="2023-12-22T00:00:00"/>
    <x v="370"/>
    <x v="163"/>
    <n v="39"/>
    <s v="INV01062"/>
    <n v="39"/>
    <n v="147.87150000000003"/>
    <m/>
    <m/>
    <m/>
    <m/>
    <m/>
    <n v="147.87150000000003"/>
    <d v="2023-02-15T00:00:00"/>
    <n v="0"/>
    <n v="0"/>
    <n v="0"/>
    <n v="0"/>
    <n v="0"/>
    <n v="0"/>
    <n v="0"/>
    <x v="0"/>
    <n v="5766.9885000000013"/>
    <n v="5766.9885000000013"/>
    <n v="0"/>
    <n v="0"/>
    <x v="0"/>
    <x v="20"/>
  </r>
  <r>
    <s v="ORD01063"/>
    <d v="2024-01-21T00:00:00"/>
    <x v="206"/>
    <x v="210"/>
    <n v="76"/>
    <s v="INV01063"/>
    <n v="76"/>
    <n v="512.04"/>
    <m/>
    <m/>
    <m/>
    <m/>
    <m/>
    <n v="512.04"/>
    <d v="2023-01-02T00:00:00"/>
    <n v="0"/>
    <n v="0"/>
    <n v="0"/>
    <n v="0"/>
    <n v="0"/>
    <n v="0"/>
    <n v="0"/>
    <x v="0"/>
    <n v="38915.039999999994"/>
    <n v="38915.039999999994"/>
    <n v="0"/>
    <n v="0"/>
    <x v="0"/>
    <x v="15"/>
  </r>
  <r>
    <s v="ORD01064"/>
    <d v="2023-05-22T00:00:00"/>
    <x v="502"/>
    <x v="127"/>
    <n v="112"/>
    <s v="INV01064"/>
    <n v="112"/>
    <n v="343.34190000000001"/>
    <m/>
    <m/>
    <m/>
    <m/>
    <m/>
    <n v="343.34190000000001"/>
    <d v="2022-10-02T00:00:00"/>
    <n v="0"/>
    <n v="0"/>
    <n v="0"/>
    <n v="0"/>
    <n v="0"/>
    <n v="0"/>
    <n v="0"/>
    <x v="0"/>
    <n v="38454.292800000003"/>
    <n v="38454.292800000003"/>
    <n v="0"/>
    <n v="0"/>
    <x v="0"/>
    <x v="7"/>
  </r>
  <r>
    <s v="ORD01065"/>
    <d v="2023-12-16T00:00:00"/>
    <x v="590"/>
    <x v="14"/>
    <n v="50"/>
    <s v="INV01065"/>
    <n v="50"/>
    <n v="265.44960000000003"/>
    <m/>
    <m/>
    <m/>
    <m/>
    <m/>
    <n v="265.44960000000003"/>
    <d v="2023-03-14T00:00:00"/>
    <n v="0"/>
    <n v="0"/>
    <n v="0"/>
    <n v="0"/>
    <n v="0"/>
    <n v="0"/>
    <n v="0"/>
    <x v="0"/>
    <n v="13272.480000000001"/>
    <n v="13272.480000000001"/>
    <n v="0"/>
    <n v="0"/>
    <x v="0"/>
    <x v="20"/>
  </r>
  <r>
    <s v="ORD01066"/>
    <d v="2023-11-27T00:00:00"/>
    <x v="511"/>
    <x v="167"/>
    <n v="35"/>
    <s v="INV01066"/>
    <n v="35"/>
    <n v="226.1644"/>
    <m/>
    <m/>
    <m/>
    <m/>
    <m/>
    <n v="226.1644"/>
    <d v="2023-08-01T00:00:00"/>
    <n v="0"/>
    <n v="0"/>
    <n v="0"/>
    <n v="0"/>
    <n v="0"/>
    <n v="0"/>
    <n v="0"/>
    <x v="0"/>
    <n v="7915.7539999999999"/>
    <n v="7915.7539999999999"/>
    <n v="0"/>
    <n v="0"/>
    <x v="0"/>
    <x v="0"/>
  </r>
  <r>
    <s v="ORD01067"/>
    <d v="2024-12-11T00:00:00"/>
    <x v="591"/>
    <x v="94"/>
    <n v="167"/>
    <s v="INV01067"/>
    <n v="167"/>
    <n v="765.52319999999997"/>
    <m/>
    <m/>
    <m/>
    <m/>
    <m/>
    <n v="765.52319999999997"/>
    <d v="2023-09-05T00:00:00"/>
    <n v="0"/>
    <n v="0"/>
    <n v="0"/>
    <n v="0"/>
    <n v="0"/>
    <n v="0"/>
    <n v="0"/>
    <x v="0"/>
    <n v="127842.3744"/>
    <n v="127842.3744"/>
    <n v="0"/>
    <n v="0"/>
    <x v="0"/>
    <x v="1"/>
  </r>
  <r>
    <s v="ORD01068"/>
    <d v="2024-11-12T00:00:00"/>
    <x v="592"/>
    <x v="187"/>
    <n v="32"/>
    <s v="INV01068"/>
    <n v="32"/>
    <n v="892.1431"/>
    <m/>
    <m/>
    <m/>
    <m/>
    <m/>
    <n v="892.1431"/>
    <d v="2023-10-23T00:00:00"/>
    <n v="0"/>
    <n v="0"/>
    <n v="0"/>
    <n v="0"/>
    <n v="0"/>
    <n v="0"/>
    <n v="0"/>
    <x v="0"/>
    <n v="28548.5792"/>
    <n v="28548.5792"/>
    <n v="0"/>
    <n v="0"/>
    <x v="0"/>
    <x v="4"/>
  </r>
  <r>
    <s v="ORD01069"/>
    <d v="2023-12-22T00:00:00"/>
    <x v="314"/>
    <x v="224"/>
    <n v="65"/>
    <s v="INV01069"/>
    <n v="65"/>
    <n v="377.08350000000002"/>
    <m/>
    <m/>
    <m/>
    <m/>
    <m/>
    <n v="377.08350000000002"/>
    <d v="2023-05-18T00:00:00"/>
    <n v="0"/>
    <n v="0"/>
    <n v="0"/>
    <n v="0"/>
    <n v="0"/>
    <n v="0"/>
    <n v="0"/>
    <x v="0"/>
    <n v="24510.427500000002"/>
    <n v="24510.427500000002"/>
    <n v="0"/>
    <n v="0"/>
    <x v="0"/>
    <x v="20"/>
  </r>
  <r>
    <s v="ORD01070"/>
    <d v="2024-08-27T00:00:00"/>
    <x v="391"/>
    <x v="14"/>
    <n v="43"/>
    <s v="INV01070"/>
    <n v="43"/>
    <n v="265.44960000000003"/>
    <m/>
    <m/>
    <m/>
    <m/>
    <m/>
    <n v="265.44960000000003"/>
    <d v="2023-03-14T00:00:00"/>
    <n v="0"/>
    <n v="0"/>
    <n v="0"/>
    <n v="0"/>
    <n v="0"/>
    <n v="0"/>
    <n v="0"/>
    <x v="0"/>
    <n v="11414.332800000002"/>
    <n v="11414.332800000002"/>
    <n v="0"/>
    <n v="0"/>
    <x v="0"/>
    <x v="22"/>
  </r>
  <r>
    <s v="ORD01071"/>
    <d v="2024-05-05T00:00:00"/>
    <x v="529"/>
    <x v="101"/>
    <n v="173"/>
    <s v="INV01071"/>
    <n v="173"/>
    <n v="1223.9694"/>
    <m/>
    <m/>
    <m/>
    <m/>
    <m/>
    <n v="1223.9694"/>
    <d v="2023-08-16T00:00:00"/>
    <n v="0"/>
    <n v="0"/>
    <n v="0"/>
    <n v="0"/>
    <n v="0"/>
    <n v="0"/>
    <n v="0"/>
    <x v="0"/>
    <n v="211746.70619999999"/>
    <n v="211746.70619999999"/>
    <n v="0"/>
    <n v="0"/>
    <x v="0"/>
    <x v="13"/>
  </r>
  <r>
    <s v="ORD01072"/>
    <d v="2023-12-28T00:00:00"/>
    <x v="593"/>
    <x v="33"/>
    <n v="114"/>
    <s v="INV01072"/>
    <n v="114"/>
    <n v="54.580199999999998"/>
    <m/>
    <m/>
    <m/>
    <m/>
    <m/>
    <n v="54.580199999999998"/>
    <d v="2023-02-27T00:00:00"/>
    <n v="0"/>
    <n v="0"/>
    <n v="0"/>
    <n v="0"/>
    <n v="0"/>
    <n v="0"/>
    <n v="0"/>
    <x v="0"/>
    <n v="6222.1427999999996"/>
    <n v="6222.1427999999996"/>
    <n v="0"/>
    <n v="0"/>
    <x v="0"/>
    <x v="20"/>
  </r>
  <r>
    <s v="ORD01073"/>
    <d v="2023-05-06T00:00:00"/>
    <x v="594"/>
    <x v="285"/>
    <n v="13"/>
    <s v="INV01073"/>
    <n v="13"/>
    <n v="987.07560000000001"/>
    <m/>
    <m/>
    <m/>
    <m/>
    <m/>
    <n v="987.07560000000001"/>
    <d v="2022-11-12T00:00:00"/>
    <n v="0"/>
    <n v="0"/>
    <n v="0"/>
    <n v="0"/>
    <n v="0"/>
    <n v="0"/>
    <n v="0"/>
    <x v="0"/>
    <n v="12831.9828"/>
    <n v="12831.9828"/>
    <n v="0"/>
    <n v="0"/>
    <x v="0"/>
    <x v="7"/>
  </r>
  <r>
    <s v="ORD01074"/>
    <d v="2023-04-18T00:00:00"/>
    <x v="590"/>
    <x v="182"/>
    <n v="46"/>
    <s v="INV01074"/>
    <n v="46"/>
    <n v="1024.0545"/>
    <m/>
    <m/>
    <m/>
    <m/>
    <m/>
    <n v="1024.0545"/>
    <d v="2023-03-18T00:00:00"/>
    <n v="0"/>
    <n v="0"/>
    <n v="0"/>
    <n v="0"/>
    <n v="0"/>
    <n v="0"/>
    <n v="0"/>
    <x v="0"/>
    <n v="47106.506999999998"/>
    <n v="47106.506999999998"/>
    <n v="0"/>
    <n v="0"/>
    <x v="0"/>
    <x v="23"/>
  </r>
  <r>
    <s v="ORD01075"/>
    <d v="2024-05-29T00:00:00"/>
    <x v="565"/>
    <x v="79"/>
    <n v="69"/>
    <s v="INV01075"/>
    <n v="69"/>
    <n v="730.7886000000002"/>
    <m/>
    <m/>
    <m/>
    <m/>
    <m/>
    <n v="730.7886000000002"/>
    <d v="2023-06-22T00:00:00"/>
    <n v="0"/>
    <n v="0"/>
    <n v="0"/>
    <n v="0"/>
    <n v="0"/>
    <n v="0"/>
    <n v="0"/>
    <x v="0"/>
    <n v="50424.413400000012"/>
    <n v="50424.413400000012"/>
    <n v="0"/>
    <n v="0"/>
    <x v="0"/>
    <x v="13"/>
  </r>
  <r>
    <s v="ORD01076"/>
    <d v="2023-08-21T00:00:00"/>
    <x v="352"/>
    <x v="152"/>
    <n v="55"/>
    <s v="INV01076"/>
    <n v="55"/>
    <n v="403.01909999999998"/>
    <m/>
    <m/>
    <m/>
    <m/>
    <m/>
    <n v="403.01909999999998"/>
    <d v="2023-05-10T00:00:00"/>
    <n v="0"/>
    <n v="0"/>
    <n v="0"/>
    <n v="0"/>
    <n v="0"/>
    <n v="0"/>
    <n v="0"/>
    <x v="0"/>
    <n v="22166.050499999998"/>
    <n v="22166.050499999998"/>
    <n v="0"/>
    <n v="0"/>
    <x v="0"/>
    <x v="12"/>
  </r>
  <r>
    <s v="ORD01077"/>
    <d v="2023-07-06T00:00:00"/>
    <x v="75"/>
    <x v="151"/>
    <n v="183"/>
    <s v="INV01077"/>
    <n v="183"/>
    <n v="212.73140000000001"/>
    <m/>
    <m/>
    <m/>
    <m/>
    <m/>
    <n v="212.73140000000001"/>
    <d v="2023-05-05T00:00:00"/>
    <n v="0"/>
    <n v="0"/>
    <n v="0"/>
    <n v="0"/>
    <n v="0"/>
    <n v="0"/>
    <n v="0"/>
    <x v="0"/>
    <n v="38929.8462"/>
    <n v="38929.8462"/>
    <n v="0"/>
    <n v="0"/>
    <x v="0"/>
    <x v="10"/>
  </r>
  <r>
    <s v="ORD01078"/>
    <d v="2023-04-13T00:00:00"/>
    <x v="595"/>
    <x v="182"/>
    <n v="152"/>
    <s v="INV01078"/>
    <n v="152"/>
    <n v="1024.0545"/>
    <m/>
    <m/>
    <m/>
    <m/>
    <m/>
    <n v="1024.0545"/>
    <d v="2023-03-18T00:00:00"/>
    <n v="0"/>
    <n v="0"/>
    <n v="0"/>
    <n v="0"/>
    <n v="0"/>
    <n v="0"/>
    <n v="0"/>
    <x v="0"/>
    <n v="155656.28399999999"/>
    <n v="155656.28399999999"/>
    <n v="0"/>
    <n v="0"/>
    <x v="0"/>
    <x v="23"/>
  </r>
  <r>
    <s v="ORD01079"/>
    <d v="2023-02-27T00:00:00"/>
    <x v="596"/>
    <x v="28"/>
    <n v="2"/>
    <s v="INV01079"/>
    <n v="2"/>
    <n v="975.72600000000011"/>
    <m/>
    <m/>
    <m/>
    <m/>
    <m/>
    <n v="975.72600000000011"/>
    <d v="2022-10-30T00:00:00"/>
    <n v="0"/>
    <n v="0"/>
    <n v="0"/>
    <n v="0"/>
    <n v="0"/>
    <n v="0"/>
    <n v="0"/>
    <x v="0"/>
    <n v="1951.4520000000002"/>
    <n v="1951.4520000000002"/>
    <n v="0"/>
    <n v="0"/>
    <x v="0"/>
    <x v="11"/>
  </r>
  <r>
    <s v="ORD01080"/>
    <d v="2023-04-04T00:00:00"/>
    <x v="498"/>
    <x v="112"/>
    <n v="180"/>
    <s v="INV01080"/>
    <n v="180"/>
    <n v="303.73439999999999"/>
    <n v="5"/>
    <d v="2024-01-27T00:00:00"/>
    <m/>
    <m/>
    <m/>
    <n v="303.73439999999999"/>
    <d v="2022-09-06T00:00:00"/>
    <n v="0"/>
    <n v="0"/>
    <n v="0"/>
    <n v="0"/>
    <n v="0"/>
    <n v="1"/>
    <n v="0"/>
    <x v="1"/>
    <n v="54672.191999999995"/>
    <n v="54672.191999999995"/>
    <n v="0"/>
    <n v="2"/>
    <x v="1"/>
    <x v="23"/>
  </r>
  <r>
    <s v="ORD01081"/>
    <d v="2024-12-06T00:00:00"/>
    <x v="358"/>
    <x v="65"/>
    <n v="169"/>
    <s v="INV01081"/>
    <n v="169"/>
    <n v="660.96040000000005"/>
    <m/>
    <m/>
    <m/>
    <m/>
    <m/>
    <n v="660.96040000000005"/>
    <d v="2023-01-21T00:00:00"/>
    <n v="0"/>
    <n v="0"/>
    <n v="0"/>
    <n v="0"/>
    <n v="0"/>
    <n v="0"/>
    <n v="0"/>
    <x v="0"/>
    <n v="111702.30760000001"/>
    <n v="111702.30760000001"/>
    <n v="0"/>
    <n v="0"/>
    <x v="0"/>
    <x v="1"/>
  </r>
  <r>
    <s v="ORD01082"/>
    <d v="2024-03-13T00:00:00"/>
    <x v="531"/>
    <x v="63"/>
    <n v="38"/>
    <s v="INV01082"/>
    <n v="38"/>
    <n v="96.6"/>
    <m/>
    <m/>
    <m/>
    <m/>
    <m/>
    <n v="96.6"/>
    <d v="2023-06-28T00:00:00"/>
    <n v="0"/>
    <n v="0"/>
    <n v="0"/>
    <n v="0"/>
    <n v="0"/>
    <n v="0"/>
    <n v="0"/>
    <x v="0"/>
    <n v="3670.7999999999997"/>
    <n v="3670.7999999999997"/>
    <n v="0"/>
    <n v="0"/>
    <x v="0"/>
    <x v="6"/>
  </r>
  <r>
    <s v="ORD01083"/>
    <d v="2023-10-16T00:00:00"/>
    <x v="53"/>
    <x v="204"/>
    <n v="167"/>
    <s v="INV01083"/>
    <n v="167"/>
    <n v="940.1952"/>
    <m/>
    <m/>
    <m/>
    <m/>
    <m/>
    <n v="940.1952"/>
    <d v="2023-05-12T00:00:00"/>
    <n v="0"/>
    <n v="0"/>
    <n v="0"/>
    <n v="0"/>
    <n v="0"/>
    <n v="0"/>
    <n v="0"/>
    <x v="0"/>
    <n v="157012.59839999999"/>
    <n v="157012.59839999999"/>
    <n v="0"/>
    <n v="0"/>
    <x v="0"/>
    <x v="19"/>
  </r>
  <r>
    <s v="ORD01084"/>
    <d v="2023-06-13T00:00:00"/>
    <x v="45"/>
    <x v="157"/>
    <n v="152"/>
    <s v="INV01084"/>
    <n v="152"/>
    <n v="1158.2643"/>
    <m/>
    <m/>
    <m/>
    <m/>
    <m/>
    <n v="1158.2643"/>
    <d v="2022-07-29T00:00:00"/>
    <n v="0"/>
    <n v="0"/>
    <n v="0"/>
    <n v="0"/>
    <n v="0"/>
    <n v="0"/>
    <n v="0"/>
    <x v="0"/>
    <n v="176056.17360000001"/>
    <n v="176056.17360000001"/>
    <n v="0"/>
    <n v="0"/>
    <x v="0"/>
    <x v="14"/>
  </r>
  <r>
    <s v="ORD01085"/>
    <d v="2024-01-31T00:00:00"/>
    <x v="4"/>
    <x v="224"/>
    <n v="66"/>
    <s v="INV01085"/>
    <n v="66"/>
    <n v="377.08350000000002"/>
    <m/>
    <m/>
    <m/>
    <m/>
    <m/>
    <n v="377.08350000000002"/>
    <d v="2023-05-18T00:00:00"/>
    <n v="0"/>
    <n v="0"/>
    <n v="0"/>
    <n v="0"/>
    <n v="0"/>
    <n v="0"/>
    <n v="0"/>
    <x v="0"/>
    <n v="24887.511000000002"/>
    <n v="24887.511000000002"/>
    <n v="0"/>
    <n v="0"/>
    <x v="0"/>
    <x v="15"/>
  </r>
  <r>
    <s v="ORD01086"/>
    <d v="2024-02-15T00:00:00"/>
    <x v="559"/>
    <x v="196"/>
    <n v="171"/>
    <s v="INV01086"/>
    <n v="171"/>
    <n v="1099.82"/>
    <m/>
    <m/>
    <m/>
    <m/>
    <m/>
    <n v="1099.82"/>
    <d v="2023-02-05T00:00:00"/>
    <n v="0"/>
    <n v="0"/>
    <n v="0"/>
    <n v="0"/>
    <n v="0"/>
    <n v="0"/>
    <n v="0"/>
    <x v="0"/>
    <n v="188069.22"/>
    <n v="188069.22"/>
    <n v="0"/>
    <n v="0"/>
    <x v="0"/>
    <x v="3"/>
  </r>
  <r>
    <s v="ORD01087"/>
    <d v="2023-01-04T00:00:00"/>
    <x v="466"/>
    <x v="158"/>
    <n v="65"/>
    <s v="INV01087"/>
    <n v="72"/>
    <n v="725.2"/>
    <m/>
    <m/>
    <m/>
    <m/>
    <m/>
    <n v="725.2"/>
    <d v="2022-02-03T00:00:00"/>
    <n v="0"/>
    <n v="1"/>
    <n v="0"/>
    <n v="0"/>
    <n v="0"/>
    <n v="0"/>
    <n v="0"/>
    <x v="1"/>
    <n v="52214.400000000001"/>
    <n v="47138"/>
    <n v="5076.4000000000015"/>
    <n v="8"/>
    <x v="2"/>
    <x v="8"/>
  </r>
  <r>
    <s v="ORD01088"/>
    <d v="2023-10-09T00:00:00"/>
    <x v="597"/>
    <x v="106"/>
    <n v="138"/>
    <s v="INV01088"/>
    <n v="138"/>
    <n v="652.1472"/>
    <m/>
    <m/>
    <m/>
    <m/>
    <m/>
    <n v="652.1472"/>
    <d v="2023-02-02T00:00:00"/>
    <n v="0"/>
    <n v="0"/>
    <n v="0"/>
    <n v="0"/>
    <n v="0"/>
    <n v="0"/>
    <n v="0"/>
    <x v="0"/>
    <n v="89996.313599999994"/>
    <n v="89996.313599999994"/>
    <n v="0"/>
    <n v="0"/>
    <x v="0"/>
    <x v="19"/>
  </r>
  <r>
    <s v="ORD01089"/>
    <d v="2023-10-02T00:00:00"/>
    <x v="598"/>
    <x v="245"/>
    <n v="156"/>
    <s v="INV01089"/>
    <n v="156"/>
    <n v="908.12130000000002"/>
    <m/>
    <m/>
    <m/>
    <m/>
    <m/>
    <n v="908.12130000000002"/>
    <d v="2023-08-02T00:00:00"/>
    <n v="0"/>
    <n v="0"/>
    <n v="0"/>
    <n v="0"/>
    <n v="0"/>
    <n v="0"/>
    <n v="0"/>
    <x v="0"/>
    <n v="141666.9228"/>
    <n v="141666.9228"/>
    <n v="0"/>
    <n v="0"/>
    <x v="0"/>
    <x v="19"/>
  </r>
  <r>
    <s v="ORD01090"/>
    <d v="2024-11-17T00:00:00"/>
    <x v="418"/>
    <x v="136"/>
    <n v="186"/>
    <s v="INV01090"/>
    <n v="186"/>
    <n v="216.2484"/>
    <m/>
    <m/>
    <m/>
    <m/>
    <m/>
    <n v="216.2484"/>
    <d v="2023-01-18T00:00:00"/>
    <n v="0"/>
    <n v="0"/>
    <n v="0"/>
    <n v="0"/>
    <n v="0"/>
    <n v="0"/>
    <n v="0"/>
    <x v="0"/>
    <n v="40222.202400000002"/>
    <n v="40222.202400000002"/>
    <n v="0"/>
    <n v="0"/>
    <x v="0"/>
    <x v="4"/>
  </r>
  <r>
    <s v="ORD01091"/>
    <d v="2023-11-20T00:00:00"/>
    <x v="424"/>
    <x v="81"/>
    <n v="16"/>
    <s v="INV01091"/>
    <n v="16"/>
    <n v="269.178"/>
    <m/>
    <m/>
    <m/>
    <m/>
    <m/>
    <n v="269.178"/>
    <d v="2023-08-20T00:00:00"/>
    <n v="0"/>
    <n v="0"/>
    <n v="0"/>
    <n v="0"/>
    <n v="0"/>
    <n v="0"/>
    <n v="0"/>
    <x v="0"/>
    <n v="4306.848"/>
    <n v="4306.848"/>
    <n v="0"/>
    <n v="0"/>
    <x v="0"/>
    <x v="0"/>
  </r>
  <r>
    <s v="ORD01092"/>
    <d v="2024-06-25T00:00:00"/>
    <x v="599"/>
    <x v="142"/>
    <n v="176"/>
    <s v="INV01092"/>
    <n v="176"/>
    <n v="752.48910000000001"/>
    <m/>
    <m/>
    <m/>
    <m/>
    <m/>
    <n v="752.48910000000001"/>
    <d v="2023-01-27T00:00:00"/>
    <n v="0"/>
    <n v="0"/>
    <n v="0"/>
    <n v="0"/>
    <n v="0"/>
    <n v="0"/>
    <n v="0"/>
    <x v="0"/>
    <n v="132438.0816"/>
    <n v="132438.0816"/>
    <n v="0"/>
    <n v="0"/>
    <x v="0"/>
    <x v="16"/>
  </r>
  <r>
    <s v="ORD01093"/>
    <d v="2023-09-13T00:00:00"/>
    <x v="600"/>
    <x v="82"/>
    <n v="147"/>
    <s v="INV01093"/>
    <n v="147"/>
    <n v="280.03500000000003"/>
    <m/>
    <m/>
    <m/>
    <m/>
    <m/>
    <n v="280.03500000000003"/>
    <d v="2023-08-08T00:00:00"/>
    <n v="0"/>
    <n v="0"/>
    <n v="0"/>
    <n v="0"/>
    <n v="0"/>
    <n v="0"/>
    <n v="0"/>
    <x v="0"/>
    <n v="41165.145000000004"/>
    <n v="41165.145000000004"/>
    <n v="0"/>
    <n v="0"/>
    <x v="0"/>
    <x v="18"/>
  </r>
  <r>
    <s v="ORD01094"/>
    <d v="2024-06-05T00:00:00"/>
    <x v="123"/>
    <x v="179"/>
    <n v="62"/>
    <s v="INV01094"/>
    <n v="58"/>
    <n v="72.63"/>
    <m/>
    <m/>
    <m/>
    <m/>
    <m/>
    <n v="72.63"/>
    <d v="2023-01-30T00:00:00"/>
    <n v="0"/>
    <n v="1"/>
    <n v="0"/>
    <n v="0"/>
    <n v="0"/>
    <n v="0"/>
    <n v="0"/>
    <x v="1"/>
    <n v="4212.54"/>
    <n v="4503.0599999999995"/>
    <n v="-290.51999999999953"/>
    <n v="3"/>
    <x v="1"/>
    <x v="16"/>
  </r>
  <r>
    <s v="ORD01095"/>
    <d v="2024-01-03T00:00:00"/>
    <x v="427"/>
    <x v="66"/>
    <n v="73"/>
    <s v="INV01095"/>
    <n v="73"/>
    <n v="1160.5650000000001"/>
    <m/>
    <m/>
    <m/>
    <m/>
    <m/>
    <n v="1160.5650000000001"/>
    <d v="2023-05-09T00:00:00"/>
    <n v="0"/>
    <n v="0"/>
    <n v="0"/>
    <n v="0"/>
    <n v="0"/>
    <n v="0"/>
    <n v="0"/>
    <x v="0"/>
    <n v="84721.24500000001"/>
    <n v="84721.24500000001"/>
    <n v="0"/>
    <n v="0"/>
    <x v="0"/>
    <x v="15"/>
  </r>
  <r>
    <s v="ORD01096"/>
    <d v="2023-05-27T00:00:00"/>
    <x v="429"/>
    <x v="19"/>
    <n v="65"/>
    <s v="INV01096"/>
    <n v="65"/>
    <n v="769.91809999999998"/>
    <m/>
    <m/>
    <m/>
    <m/>
    <m/>
    <n v="769.91809999999998"/>
    <d v="2022-12-30T00:00:00"/>
    <n v="0"/>
    <n v="0"/>
    <n v="0"/>
    <n v="0"/>
    <n v="0"/>
    <n v="0"/>
    <n v="0"/>
    <x v="0"/>
    <n v="50044.676500000001"/>
    <n v="50044.676500000001"/>
    <n v="0"/>
    <n v="0"/>
    <x v="0"/>
    <x v="7"/>
  </r>
  <r>
    <s v="ORD01097"/>
    <d v="2024-06-25T00:00:00"/>
    <x v="164"/>
    <x v="257"/>
    <n v="50"/>
    <s v="INV01097"/>
    <n v="50"/>
    <n v="296.17460000000005"/>
    <n v="8"/>
    <d v="2024-06-01T00:00:00"/>
    <m/>
    <m/>
    <m/>
    <n v="296.17460000000005"/>
    <d v="2023-09-25T00:00:00"/>
    <n v="0"/>
    <n v="0"/>
    <n v="0"/>
    <n v="0"/>
    <n v="0"/>
    <n v="0"/>
    <n v="0"/>
    <x v="0"/>
    <n v="14808.730000000003"/>
    <n v="14808.730000000003"/>
    <n v="0"/>
    <n v="0"/>
    <x v="0"/>
    <x v="16"/>
  </r>
  <r>
    <s v="ORD01098"/>
    <d v="2023-03-25T00:00:00"/>
    <x v="601"/>
    <x v="108"/>
    <n v="113"/>
    <s v="INV01098"/>
    <n v="113"/>
    <n v="1083.5958000000001"/>
    <m/>
    <m/>
    <m/>
    <m/>
    <m/>
    <n v="1083.5958000000001"/>
    <d v="2022-07-31T00:00:00"/>
    <n v="0"/>
    <n v="0"/>
    <n v="0"/>
    <n v="0"/>
    <n v="0"/>
    <n v="0"/>
    <n v="0"/>
    <x v="0"/>
    <n v="122446.3254"/>
    <n v="122446.3254"/>
    <n v="0"/>
    <n v="0"/>
    <x v="0"/>
    <x v="17"/>
  </r>
  <r>
    <s v="ORD01099"/>
    <d v="2024-10-21T00:00:00"/>
    <x v="16"/>
    <x v="289"/>
    <n v="84"/>
    <s v="INV01099"/>
    <n v="84"/>
    <n v="380.30540000000002"/>
    <m/>
    <m/>
    <m/>
    <m/>
    <m/>
    <n v="380.30540000000002"/>
    <d v="2023-10-13T00:00:00"/>
    <n v="0"/>
    <n v="0"/>
    <n v="0"/>
    <n v="0"/>
    <n v="0"/>
    <n v="0"/>
    <n v="0"/>
    <x v="0"/>
    <n v="31945.653600000001"/>
    <n v="31945.653600000001"/>
    <n v="0"/>
    <n v="0"/>
    <x v="0"/>
    <x v="5"/>
  </r>
  <r>
    <s v="ORD01100"/>
    <d v="2023-10-06T00:00:00"/>
    <x v="405"/>
    <x v="244"/>
    <n v="154"/>
    <s v="INV01100"/>
    <n v="154"/>
    <n v="1072.2954"/>
    <m/>
    <m/>
    <m/>
    <m/>
    <m/>
    <n v="1072.2954"/>
    <d v="2023-07-13T00:00:00"/>
    <n v="0"/>
    <n v="0"/>
    <n v="0"/>
    <n v="0"/>
    <n v="0"/>
    <n v="0"/>
    <n v="0"/>
    <x v="0"/>
    <n v="165133.49160000001"/>
    <n v="165133.49160000001"/>
    <n v="0"/>
    <n v="0"/>
    <x v="0"/>
    <x v="19"/>
  </r>
  <r>
    <s v="ORD01101"/>
    <d v="2024-08-08T00:00:00"/>
    <x v="602"/>
    <x v="229"/>
    <n v="130"/>
    <s v="INV01101"/>
    <n v="130"/>
    <n v="402.05340000000001"/>
    <m/>
    <m/>
    <m/>
    <m/>
    <m/>
    <n v="402.05340000000001"/>
    <d v="2023-10-15T00:00:00"/>
    <n v="0"/>
    <n v="0"/>
    <n v="0"/>
    <n v="0"/>
    <n v="0"/>
    <n v="0"/>
    <n v="0"/>
    <x v="0"/>
    <n v="52266.942000000003"/>
    <n v="52266.942000000003"/>
    <n v="0"/>
    <n v="0"/>
    <x v="0"/>
    <x v="22"/>
  </r>
  <r>
    <s v="ORD01102"/>
    <d v="2024-10-17T00:00:00"/>
    <x v="388"/>
    <x v="135"/>
    <n v="27"/>
    <s v="INV01102"/>
    <n v="27"/>
    <n v="1231.8180000000002"/>
    <m/>
    <m/>
    <m/>
    <m/>
    <m/>
    <n v="1231.8180000000002"/>
    <d v="2023-05-02T00:00:00"/>
    <n v="0"/>
    <n v="0"/>
    <n v="0"/>
    <n v="0"/>
    <n v="0"/>
    <n v="0"/>
    <n v="0"/>
    <x v="0"/>
    <n v="33259.086000000003"/>
    <n v="33259.086000000003"/>
    <n v="0"/>
    <n v="0"/>
    <x v="0"/>
    <x v="5"/>
  </r>
  <r>
    <s v="ORD01103"/>
    <d v="2024-10-04T00:00:00"/>
    <x v="226"/>
    <x v="148"/>
    <n v="21"/>
    <s v="INV01103"/>
    <n v="21"/>
    <n v="815.08680000000004"/>
    <m/>
    <m/>
    <m/>
    <m/>
    <m/>
    <n v="815.08680000000004"/>
    <d v="2023-05-16T00:00:00"/>
    <n v="0"/>
    <n v="0"/>
    <n v="0"/>
    <n v="0"/>
    <n v="0"/>
    <n v="0"/>
    <n v="0"/>
    <x v="0"/>
    <n v="17116.822800000002"/>
    <n v="17116.822800000002"/>
    <n v="0"/>
    <n v="0"/>
    <x v="0"/>
    <x v="5"/>
  </r>
  <r>
    <s v="ORD01104"/>
    <d v="2024-10-28T00:00:00"/>
    <x v="74"/>
    <x v="54"/>
    <n v="38"/>
    <s v="INV01104"/>
    <n v="38"/>
    <n v="465.21179999999998"/>
    <m/>
    <m/>
    <m/>
    <m/>
    <m/>
    <n v="465.21179999999998"/>
    <d v="2023-07-30T00:00:00"/>
    <n v="0"/>
    <n v="0"/>
    <n v="0"/>
    <n v="0"/>
    <n v="0"/>
    <n v="0"/>
    <n v="0"/>
    <x v="0"/>
    <n v="17678.0484"/>
    <n v="17678.0484"/>
    <n v="0"/>
    <n v="0"/>
    <x v="0"/>
    <x v="5"/>
  </r>
  <r>
    <s v="ORD01105"/>
    <d v="2023-01-06T00:00:00"/>
    <x v="338"/>
    <x v="122"/>
    <n v="64"/>
    <s v="INV01105"/>
    <n v="64"/>
    <n v="68.418999999999997"/>
    <n v="14"/>
    <d v="2024-06-10T00:00:00"/>
    <m/>
    <m/>
    <m/>
    <n v="68.418999999999997"/>
    <d v="2022-08-07T00:00:00"/>
    <n v="0"/>
    <n v="0"/>
    <n v="0"/>
    <n v="0"/>
    <n v="0"/>
    <n v="1"/>
    <n v="0"/>
    <x v="1"/>
    <n v="4378.8159999999998"/>
    <n v="4378.8159999999998"/>
    <n v="0"/>
    <n v="2"/>
    <x v="1"/>
    <x v="8"/>
  </r>
  <r>
    <s v="ORD01106"/>
    <d v="2023-02-04T00:00:00"/>
    <x v="603"/>
    <x v="200"/>
    <n v="10"/>
    <s v="INV01106"/>
    <n v="10"/>
    <n v="69.45"/>
    <m/>
    <m/>
    <m/>
    <m/>
    <m/>
    <n v="69.45"/>
    <d v="2022-07-10T00:00:00"/>
    <n v="0"/>
    <n v="0"/>
    <n v="0"/>
    <n v="0"/>
    <n v="0"/>
    <n v="0"/>
    <n v="0"/>
    <x v="0"/>
    <n v="694.5"/>
    <n v="694.5"/>
    <n v="0"/>
    <n v="0"/>
    <x v="0"/>
    <x v="11"/>
  </r>
  <r>
    <s v="ORD01107"/>
    <d v="2023-03-08T00:00:00"/>
    <x v="477"/>
    <x v="67"/>
    <n v="151"/>
    <s v="INV01107"/>
    <n v="151"/>
    <n v="977.87"/>
    <m/>
    <m/>
    <m/>
    <m/>
    <m/>
    <n v="977.87"/>
    <d v="2022-04-17T00:00:00"/>
    <n v="0"/>
    <n v="0"/>
    <n v="0"/>
    <n v="0"/>
    <n v="0"/>
    <n v="0"/>
    <n v="0"/>
    <x v="0"/>
    <n v="147658.37"/>
    <n v="147658.37"/>
    <n v="0"/>
    <n v="0"/>
    <x v="0"/>
    <x v="17"/>
  </r>
  <r>
    <s v="ORD01108"/>
    <d v="2023-06-14T00:00:00"/>
    <x v="153"/>
    <x v="200"/>
    <n v="49"/>
    <s v="INV01108"/>
    <n v="49"/>
    <n v="74.311500000000009"/>
    <m/>
    <m/>
    <m/>
    <m/>
    <m/>
    <n v="74.311500000000009"/>
    <d v="2023-03-11T00:00:00"/>
    <n v="0"/>
    <n v="0"/>
    <n v="0"/>
    <n v="0"/>
    <n v="0"/>
    <n v="0"/>
    <n v="0"/>
    <x v="0"/>
    <n v="3641.2635000000005"/>
    <n v="3641.2635000000005"/>
    <n v="0"/>
    <n v="0"/>
    <x v="0"/>
    <x v="14"/>
  </r>
  <r>
    <s v="ORD01109"/>
    <d v="2024-01-28T00:00:00"/>
    <x v="604"/>
    <x v="101"/>
    <n v="118"/>
    <s v="INV01109"/>
    <n v="118"/>
    <n v="1223.9694"/>
    <m/>
    <m/>
    <m/>
    <m/>
    <m/>
    <n v="1223.9694"/>
    <d v="2023-08-16T00:00:00"/>
    <n v="0"/>
    <n v="0"/>
    <n v="0"/>
    <n v="0"/>
    <n v="0"/>
    <n v="0"/>
    <n v="0"/>
    <x v="0"/>
    <n v="144428.38920000001"/>
    <n v="144428.38920000001"/>
    <n v="0"/>
    <n v="0"/>
    <x v="0"/>
    <x v="15"/>
  </r>
  <r>
    <s v="ORD01110"/>
    <d v="2024-04-08T00:00:00"/>
    <x v="300"/>
    <x v="190"/>
    <n v="31"/>
    <s v="INV01110"/>
    <n v="31"/>
    <n v="892.55520000000013"/>
    <m/>
    <m/>
    <m/>
    <m/>
    <m/>
    <n v="892.55520000000013"/>
    <d v="2023-02-28T00:00:00"/>
    <n v="0"/>
    <n v="0"/>
    <n v="0"/>
    <n v="0"/>
    <n v="0"/>
    <n v="0"/>
    <n v="0"/>
    <x v="0"/>
    <n v="27669.211200000005"/>
    <n v="27669.211200000005"/>
    <n v="0"/>
    <n v="0"/>
    <x v="0"/>
    <x v="9"/>
  </r>
  <r>
    <s v="ORD01111"/>
    <d v="2024-07-11T00:00:00"/>
    <x v="389"/>
    <x v="171"/>
    <n v="98"/>
    <s v="INV01111"/>
    <n v="98"/>
    <n v="115.0735"/>
    <m/>
    <m/>
    <m/>
    <m/>
    <m/>
    <n v="115.0735"/>
    <d v="2023-10-28T00:00:00"/>
    <n v="0"/>
    <n v="0"/>
    <n v="0"/>
    <n v="0"/>
    <n v="0"/>
    <n v="0"/>
    <n v="0"/>
    <x v="0"/>
    <n v="11277.203"/>
    <n v="11277.203"/>
    <n v="0"/>
    <n v="0"/>
    <x v="0"/>
    <x v="21"/>
  </r>
  <r>
    <s v="ORD01112"/>
    <d v="2024-05-13T00:00:00"/>
    <x v="143"/>
    <x v="36"/>
    <n v="159"/>
    <s v="INV01112"/>
    <n v="159"/>
    <n v="415.70589999999999"/>
    <m/>
    <m/>
    <m/>
    <m/>
    <m/>
    <n v="415.70589999999999"/>
    <d v="2023-03-04T00:00:00"/>
    <n v="0"/>
    <n v="0"/>
    <n v="0"/>
    <n v="0"/>
    <n v="0"/>
    <n v="0"/>
    <n v="0"/>
    <x v="0"/>
    <n v="66097.238100000002"/>
    <n v="66097.238100000002"/>
    <n v="0"/>
    <n v="0"/>
    <x v="0"/>
    <x v="13"/>
  </r>
  <r>
    <s v="ORD01113"/>
    <d v="2023-07-29T00:00:00"/>
    <x v="257"/>
    <x v="29"/>
    <n v="95"/>
    <s v="INV01113"/>
    <n v="95"/>
    <n v="1061.4222"/>
    <m/>
    <m/>
    <m/>
    <m/>
    <m/>
    <n v="1061.4222"/>
    <d v="2023-05-16T00:00:00"/>
    <n v="0"/>
    <n v="0"/>
    <n v="0"/>
    <n v="0"/>
    <n v="0"/>
    <n v="0"/>
    <n v="0"/>
    <x v="0"/>
    <n v="100835.109"/>
    <n v="100835.109"/>
    <n v="0"/>
    <n v="0"/>
    <x v="0"/>
    <x v="10"/>
  </r>
  <r>
    <s v="ORD01114"/>
    <d v="2024-09-06T00:00:00"/>
    <x v="574"/>
    <x v="100"/>
    <n v="171"/>
    <s v="INV01114"/>
    <n v="171"/>
    <n v="1231.9933000000001"/>
    <m/>
    <m/>
    <m/>
    <m/>
    <m/>
    <n v="1231.9933000000001"/>
    <d v="2023-01-08T00:00:00"/>
    <n v="0"/>
    <n v="0"/>
    <n v="0"/>
    <n v="0"/>
    <n v="0"/>
    <n v="0"/>
    <n v="0"/>
    <x v="0"/>
    <n v="210670.85430000001"/>
    <n v="210670.85430000001"/>
    <n v="0"/>
    <n v="0"/>
    <x v="0"/>
    <x v="2"/>
  </r>
  <r>
    <s v="ORD01115"/>
    <d v="2023-06-10T00:00:00"/>
    <x v="88"/>
    <x v="290"/>
    <n v="176"/>
    <s v="INV01115"/>
    <n v="176"/>
    <n v="1159.732"/>
    <m/>
    <m/>
    <m/>
    <m/>
    <m/>
    <n v="1159.732"/>
    <d v="2023-04-16T00:00:00"/>
    <n v="0"/>
    <n v="0"/>
    <n v="0"/>
    <n v="0"/>
    <n v="0"/>
    <n v="0"/>
    <n v="0"/>
    <x v="0"/>
    <n v="204112.83199999999"/>
    <n v="204112.83199999999"/>
    <n v="0"/>
    <n v="0"/>
    <x v="0"/>
    <x v="14"/>
  </r>
  <r>
    <s v="ORD01116"/>
    <d v="2023-08-21T00:00:00"/>
    <x v="605"/>
    <x v="18"/>
    <n v="93"/>
    <s v="INV01116"/>
    <n v="93"/>
    <n v="361.57799999999997"/>
    <m/>
    <m/>
    <m/>
    <m/>
    <m/>
    <n v="361.57799999999997"/>
    <d v="2023-01-06T00:00:00"/>
    <n v="0"/>
    <n v="0"/>
    <n v="0"/>
    <n v="0"/>
    <n v="0"/>
    <n v="0"/>
    <n v="0"/>
    <x v="0"/>
    <n v="33626.754000000001"/>
    <n v="33626.754000000001"/>
    <n v="0"/>
    <n v="0"/>
    <x v="0"/>
    <x v="12"/>
  </r>
  <r>
    <s v="ORD01117"/>
    <d v="2024-01-30T00:00:00"/>
    <x v="606"/>
    <x v="118"/>
    <n v="189"/>
    <s v="INV01117"/>
    <n v="189"/>
    <n v="130.87360000000001"/>
    <m/>
    <m/>
    <m/>
    <m/>
    <m/>
    <n v="130.87360000000001"/>
    <d v="2023-05-28T00:00:00"/>
    <n v="0"/>
    <n v="0"/>
    <n v="0"/>
    <n v="0"/>
    <n v="0"/>
    <n v="0"/>
    <n v="0"/>
    <x v="0"/>
    <n v="24735.110400000001"/>
    <n v="24735.110400000001"/>
    <n v="0"/>
    <n v="0"/>
    <x v="0"/>
    <x v="15"/>
  </r>
  <r>
    <s v="ORD01118"/>
    <d v="2023-12-02T00:00:00"/>
    <x v="268"/>
    <x v="23"/>
    <n v="141"/>
    <s v="INV01118"/>
    <n v="141"/>
    <n v="77.398200000000003"/>
    <m/>
    <m/>
    <m/>
    <m/>
    <m/>
    <n v="77.398200000000003"/>
    <d v="2023-04-16T00:00:00"/>
    <n v="0"/>
    <n v="0"/>
    <n v="0"/>
    <n v="0"/>
    <n v="0"/>
    <n v="0"/>
    <n v="0"/>
    <x v="0"/>
    <n v="10913.146200000001"/>
    <n v="10913.146200000001"/>
    <n v="0"/>
    <n v="0"/>
    <x v="0"/>
    <x v="20"/>
  </r>
  <r>
    <s v="ORD01119"/>
    <d v="2023-01-09T00:00:00"/>
    <x v="607"/>
    <x v="177"/>
    <n v="165"/>
    <s v="INV01119"/>
    <n v="165"/>
    <n v="313.45"/>
    <n v="5"/>
    <d v="2024-07-06T00:00:00"/>
    <m/>
    <m/>
    <m/>
    <n v="313.45"/>
    <d v="2022-04-16T00:00:00"/>
    <n v="0"/>
    <n v="0"/>
    <n v="0"/>
    <n v="0"/>
    <n v="0"/>
    <n v="1"/>
    <n v="0"/>
    <x v="1"/>
    <n v="51719.25"/>
    <n v="51719.25"/>
    <n v="0"/>
    <n v="2"/>
    <x v="1"/>
    <x v="8"/>
  </r>
  <r>
    <s v="ORD01120"/>
    <d v="2024-12-05T00:00:00"/>
    <x v="551"/>
    <x v="48"/>
    <n v="161"/>
    <s v="INV01120"/>
    <n v="161"/>
    <n v="1144.1684"/>
    <m/>
    <m/>
    <m/>
    <m/>
    <m/>
    <n v="1144.1684"/>
    <d v="2023-01-29T00:00:00"/>
    <n v="0"/>
    <n v="0"/>
    <n v="0"/>
    <n v="0"/>
    <n v="0"/>
    <n v="0"/>
    <n v="0"/>
    <x v="0"/>
    <n v="184211.11240000001"/>
    <n v="184211.11240000001"/>
    <n v="0"/>
    <n v="0"/>
    <x v="0"/>
    <x v="1"/>
  </r>
  <r>
    <s v="ORD01121"/>
    <d v="2024-02-07T00:00:00"/>
    <x v="62"/>
    <x v="19"/>
    <n v="38"/>
    <s v="INV01121"/>
    <n v="38"/>
    <n v="833.41650000000004"/>
    <n v="8"/>
    <d v="2024-08-28T00:00:00"/>
    <m/>
    <m/>
    <m/>
    <n v="833.41650000000004"/>
    <d v="2023-09-25T00:00:00"/>
    <n v="0"/>
    <n v="0"/>
    <n v="0"/>
    <n v="0"/>
    <n v="0"/>
    <n v="1"/>
    <n v="0"/>
    <x v="1"/>
    <n v="31669.827000000001"/>
    <n v="31669.827000000001"/>
    <n v="0"/>
    <n v="2"/>
    <x v="1"/>
    <x v="3"/>
  </r>
  <r>
    <s v="ORD01122"/>
    <d v="2024-05-17T00:00:00"/>
    <x v="398"/>
    <x v="2"/>
    <n v="29"/>
    <s v="INV01122"/>
    <n v="29"/>
    <n v="189.1498"/>
    <m/>
    <m/>
    <m/>
    <m/>
    <m/>
    <n v="189.1498"/>
    <d v="2023-07-01T00:00:00"/>
    <n v="0"/>
    <n v="0"/>
    <n v="0"/>
    <n v="0"/>
    <n v="0"/>
    <n v="0"/>
    <n v="0"/>
    <x v="0"/>
    <n v="5485.3441999999995"/>
    <n v="5485.3441999999995"/>
    <n v="0"/>
    <n v="0"/>
    <x v="0"/>
    <x v="13"/>
  </r>
  <r>
    <s v="ORD01123"/>
    <d v="2024-09-18T00:00:00"/>
    <x v="608"/>
    <x v="193"/>
    <n v="115"/>
    <s v="INV01123"/>
    <n v="114"/>
    <n v="1030.7952"/>
    <m/>
    <m/>
    <m/>
    <m/>
    <m/>
    <n v="1030.7952"/>
    <d v="2023-08-16T00:00:00"/>
    <n v="0"/>
    <n v="1"/>
    <n v="0"/>
    <n v="0"/>
    <n v="0"/>
    <n v="0"/>
    <n v="0"/>
    <x v="1"/>
    <n v="117510.6528"/>
    <n v="118541.448"/>
    <n v="-1030.7952000000078"/>
    <n v="8"/>
    <x v="2"/>
    <x v="2"/>
  </r>
  <r>
    <s v="ORD01124"/>
    <d v="2024-12-30T00:00:00"/>
    <x v="379"/>
    <x v="180"/>
    <n v="6"/>
    <s v="INV01124"/>
    <n v="6"/>
    <n v="977.22280000000001"/>
    <m/>
    <m/>
    <m/>
    <m/>
    <m/>
    <n v="977.22280000000001"/>
    <d v="2023-02-27T00:00:00"/>
    <n v="0"/>
    <n v="0"/>
    <n v="0"/>
    <n v="0"/>
    <n v="0"/>
    <n v="0"/>
    <n v="0"/>
    <x v="0"/>
    <n v="5863.3368"/>
    <n v="5863.3368"/>
    <n v="0"/>
    <n v="0"/>
    <x v="0"/>
    <x v="1"/>
  </r>
  <r>
    <s v="ORD01125"/>
    <d v="2023-04-07T00:00:00"/>
    <x v="94"/>
    <x v="129"/>
    <n v="112"/>
    <s v="INV01125"/>
    <n v="112"/>
    <n v="733.42080000000021"/>
    <m/>
    <m/>
    <m/>
    <m/>
    <m/>
    <n v="733.42080000000021"/>
    <d v="2022-10-22T00:00:00"/>
    <n v="0"/>
    <n v="0"/>
    <n v="0"/>
    <n v="0"/>
    <n v="0"/>
    <n v="0"/>
    <n v="0"/>
    <x v="0"/>
    <n v="82143.129600000029"/>
    <n v="82143.129600000029"/>
    <n v="0"/>
    <n v="0"/>
    <x v="0"/>
    <x v="23"/>
  </r>
  <r>
    <s v="ORD01126"/>
    <d v="2023-04-08T00:00:00"/>
    <x v="216"/>
    <x v="76"/>
    <n v="108"/>
    <s v="INV01126"/>
    <n v="108"/>
    <n v="1218.6930000000002"/>
    <m/>
    <m/>
    <m/>
    <m/>
    <m/>
    <n v="1218.6930000000002"/>
    <d v="2022-12-31T00:00:00"/>
    <n v="0"/>
    <n v="0"/>
    <n v="0"/>
    <n v="0"/>
    <n v="0"/>
    <n v="0"/>
    <n v="0"/>
    <x v="0"/>
    <n v="131618.84400000001"/>
    <n v="131618.84400000001"/>
    <n v="0"/>
    <n v="0"/>
    <x v="0"/>
    <x v="23"/>
  </r>
  <r>
    <s v="ORD01127"/>
    <d v="2024-05-20T00:00:00"/>
    <x v="260"/>
    <x v="81"/>
    <n v="54"/>
    <s v="INV01127"/>
    <n v="54"/>
    <n v="269.178"/>
    <m/>
    <m/>
    <m/>
    <m/>
    <m/>
    <n v="269.178"/>
    <d v="2023-08-20T00:00:00"/>
    <n v="0"/>
    <n v="0"/>
    <n v="0"/>
    <n v="0"/>
    <n v="0"/>
    <n v="0"/>
    <n v="0"/>
    <x v="0"/>
    <n v="14535.611999999999"/>
    <n v="14535.611999999999"/>
    <n v="0"/>
    <n v="0"/>
    <x v="0"/>
    <x v="13"/>
  </r>
  <r>
    <s v="ORD01128"/>
    <d v="2023-10-02T00:00:00"/>
    <x v="569"/>
    <x v="47"/>
    <n v="6"/>
    <s v="INV01128"/>
    <n v="16"/>
    <n v="385.42419999999998"/>
    <m/>
    <m/>
    <m/>
    <m/>
    <m/>
    <n v="385.42419999999998"/>
    <d v="2023-06-02T00:00:00"/>
    <n v="0"/>
    <n v="1"/>
    <n v="0"/>
    <n v="0"/>
    <n v="0"/>
    <n v="0"/>
    <n v="0"/>
    <x v="1"/>
    <n v="6166.7871999999998"/>
    <n v="2312.5452"/>
    <n v="3854.2419999999997"/>
    <n v="8"/>
    <x v="2"/>
    <x v="19"/>
  </r>
  <r>
    <s v="ORD01129"/>
    <d v="2023-08-02T00:00:00"/>
    <x v="112"/>
    <x v="226"/>
    <n v="13"/>
    <s v="INV01129"/>
    <n v="13"/>
    <n v="1067.6925000000001"/>
    <n v="13"/>
    <d v="2024-06-02T00:00:00"/>
    <m/>
    <m/>
    <m/>
    <n v="1067.6925000000001"/>
    <d v="2023-03-14T00:00:00"/>
    <n v="0"/>
    <n v="0"/>
    <n v="0"/>
    <n v="0"/>
    <n v="0"/>
    <n v="1"/>
    <n v="0"/>
    <x v="1"/>
    <n v="13880.002500000002"/>
    <n v="13880.002500000002"/>
    <n v="0"/>
    <n v="2"/>
    <x v="1"/>
    <x v="12"/>
  </r>
  <r>
    <s v="ORD01130"/>
    <d v="2023-05-30T00:00:00"/>
    <x v="307"/>
    <x v="128"/>
    <n v="42"/>
    <s v="INV01130"/>
    <n v="42"/>
    <n v="440.38799999999998"/>
    <m/>
    <m/>
    <m/>
    <m/>
    <m/>
    <n v="440.38799999999998"/>
    <d v="2023-03-31T00:00:00"/>
    <n v="0"/>
    <n v="0"/>
    <n v="0"/>
    <n v="0"/>
    <n v="0"/>
    <n v="0"/>
    <n v="0"/>
    <x v="0"/>
    <n v="18496.295999999998"/>
    <n v="18496.295999999998"/>
    <n v="0"/>
    <n v="0"/>
    <x v="0"/>
    <x v="7"/>
  </r>
  <r>
    <s v="ORD01131"/>
    <d v="2024-11-01T00:00:00"/>
    <x v="609"/>
    <x v="178"/>
    <n v="49"/>
    <s v="INV01131"/>
    <n v="49"/>
    <n v="479.40280000000007"/>
    <m/>
    <m/>
    <m/>
    <m/>
    <m/>
    <n v="479.40280000000007"/>
    <d v="2023-01-15T00:00:00"/>
    <n v="0"/>
    <n v="0"/>
    <n v="0"/>
    <n v="0"/>
    <n v="0"/>
    <n v="0"/>
    <n v="0"/>
    <x v="0"/>
    <n v="23490.737200000003"/>
    <n v="23490.737200000003"/>
    <n v="0"/>
    <n v="0"/>
    <x v="0"/>
    <x v="4"/>
  </r>
  <r>
    <s v="ORD01132"/>
    <d v="2023-04-17T00:00:00"/>
    <x v="610"/>
    <x v="291"/>
    <n v="54"/>
    <s v="INV01132"/>
    <n v="54"/>
    <n v="933.43190000000004"/>
    <m/>
    <m/>
    <m/>
    <m/>
    <m/>
    <n v="933.43190000000004"/>
    <d v="2023-03-26T00:00:00"/>
    <n v="0"/>
    <n v="0"/>
    <n v="0"/>
    <n v="0"/>
    <n v="0"/>
    <n v="0"/>
    <n v="0"/>
    <x v="0"/>
    <n v="50405.3226"/>
    <n v="50405.3226"/>
    <n v="0"/>
    <n v="0"/>
    <x v="0"/>
    <x v="23"/>
  </r>
  <r>
    <s v="ORD01133"/>
    <d v="2023-02-06T00:00:00"/>
    <x v="156"/>
    <x v="231"/>
    <n v="193"/>
    <s v="INV01133"/>
    <n v="193"/>
    <n v="825.4"/>
    <n v="10"/>
    <d v="2024-07-08T00:00:00"/>
    <m/>
    <m/>
    <m/>
    <n v="825.4"/>
    <d v="2022-05-31T00:00:00"/>
    <n v="0"/>
    <n v="0"/>
    <n v="0"/>
    <n v="0"/>
    <n v="0"/>
    <n v="1"/>
    <n v="0"/>
    <x v="1"/>
    <n v="159302.19999999998"/>
    <n v="159302.19999999998"/>
    <n v="0"/>
    <n v="2"/>
    <x v="1"/>
    <x v="11"/>
  </r>
  <r>
    <s v="ORD01134"/>
    <d v="2023-08-23T00:00:00"/>
    <x v="250"/>
    <x v="287"/>
    <n v="100"/>
    <s v="INV01134"/>
    <n v="100"/>
    <n v="720.47380000000021"/>
    <n v="13"/>
    <d v="2025-01-26T00:00:00"/>
    <m/>
    <m/>
    <m/>
    <n v="720.47380000000021"/>
    <d v="2023-04-10T00:00:00"/>
    <n v="0"/>
    <n v="0"/>
    <n v="0"/>
    <n v="0"/>
    <n v="0"/>
    <n v="1"/>
    <n v="0"/>
    <x v="1"/>
    <n v="72047.380000000019"/>
    <n v="72047.380000000019"/>
    <n v="0"/>
    <n v="2"/>
    <x v="1"/>
    <x v="12"/>
  </r>
  <r>
    <s v="ORD01135"/>
    <d v="2023-12-16T00:00:00"/>
    <x v="611"/>
    <x v="127"/>
    <n v="106"/>
    <s v="INV01135"/>
    <n v="106"/>
    <n v="343.34190000000001"/>
    <m/>
    <m/>
    <m/>
    <m/>
    <m/>
    <n v="343.34190000000001"/>
    <d v="2023-07-19T00:00:00"/>
    <n v="0"/>
    <n v="0"/>
    <n v="0"/>
    <n v="0"/>
    <n v="0"/>
    <n v="0"/>
    <n v="0"/>
    <x v="0"/>
    <n v="36394.241399999999"/>
    <n v="36394.241399999999"/>
    <n v="0"/>
    <n v="0"/>
    <x v="0"/>
    <x v="20"/>
  </r>
  <r>
    <s v="ORD01136"/>
    <d v="2024-12-05T00:00:00"/>
    <x v="192"/>
    <x v="14"/>
    <n v="4"/>
    <s v="INV01136"/>
    <n v="4"/>
    <n v="265.44960000000003"/>
    <m/>
    <m/>
    <m/>
    <m/>
    <m/>
    <n v="265.44960000000003"/>
    <d v="2023-03-14T00:00:00"/>
    <n v="0"/>
    <n v="0"/>
    <n v="0"/>
    <n v="0"/>
    <n v="0"/>
    <n v="0"/>
    <n v="0"/>
    <x v="0"/>
    <n v="1061.7984000000001"/>
    <n v="1061.7984000000001"/>
    <n v="0"/>
    <n v="0"/>
    <x v="0"/>
    <x v="1"/>
  </r>
  <r>
    <s v="ORD01137"/>
    <d v="2024-08-27T00:00:00"/>
    <x v="612"/>
    <x v="231"/>
    <n v="14"/>
    <s v="INV01137"/>
    <n v="14"/>
    <n v="850.16200000000003"/>
    <m/>
    <m/>
    <m/>
    <m/>
    <m/>
    <n v="850.16200000000003"/>
    <d v="2023-06-22T00:00:00"/>
    <n v="0"/>
    <n v="0"/>
    <n v="0"/>
    <n v="0"/>
    <n v="0"/>
    <n v="0"/>
    <n v="0"/>
    <x v="0"/>
    <n v="11902.268"/>
    <n v="11902.268"/>
    <n v="0"/>
    <n v="0"/>
    <x v="0"/>
    <x v="22"/>
  </r>
  <r>
    <s v="ORD01138"/>
    <d v="2023-02-28T00:00:00"/>
    <x v="15"/>
    <x v="16"/>
    <n v="59"/>
    <s v="INV01138"/>
    <n v="59"/>
    <n v="82.752600000000001"/>
    <n v="16"/>
    <d v="2023-07-11T00:00:00"/>
    <m/>
    <m/>
    <m/>
    <n v="82.752600000000001"/>
    <d v="2022-09-26T00:00:00"/>
    <n v="0"/>
    <n v="0"/>
    <n v="0"/>
    <n v="0"/>
    <n v="0"/>
    <n v="1"/>
    <n v="0"/>
    <x v="1"/>
    <n v="4882.4034000000001"/>
    <n v="4882.4034000000001"/>
    <n v="0"/>
    <n v="2"/>
    <x v="1"/>
    <x v="11"/>
  </r>
  <r>
    <s v="ORD01139"/>
    <d v="2023-05-01T00:00:00"/>
    <x v="613"/>
    <x v="183"/>
    <n v="18"/>
    <s v="INV01139"/>
    <n v="18"/>
    <n v="624.37260000000003"/>
    <m/>
    <m/>
    <m/>
    <m/>
    <m/>
    <n v="624.37260000000003"/>
    <d v="2023-01-06T00:00:00"/>
    <n v="0"/>
    <n v="0"/>
    <n v="0"/>
    <n v="0"/>
    <n v="0"/>
    <n v="0"/>
    <n v="0"/>
    <x v="0"/>
    <n v="11238.7068"/>
    <n v="11238.7068"/>
    <n v="0"/>
    <n v="0"/>
    <x v="0"/>
    <x v="7"/>
  </r>
  <r>
    <s v="ORD01140"/>
    <d v="2024-01-25T00:00:00"/>
    <x v="594"/>
    <x v="223"/>
    <n v="37"/>
    <s v="INV01140"/>
    <n v="37"/>
    <n v="919.86659999999995"/>
    <m/>
    <m/>
    <m/>
    <m/>
    <m/>
    <n v="919.86659999999995"/>
    <d v="2023-07-01T00:00:00"/>
    <n v="0"/>
    <n v="0"/>
    <n v="0"/>
    <n v="0"/>
    <n v="0"/>
    <n v="0"/>
    <n v="0"/>
    <x v="0"/>
    <n v="34035.064200000001"/>
    <n v="34035.064200000001"/>
    <n v="0"/>
    <n v="0"/>
    <x v="0"/>
    <x v="15"/>
  </r>
  <r>
    <s v="ORD01141"/>
    <d v="2024-07-04T00:00:00"/>
    <x v="209"/>
    <x v="76"/>
    <n v="143"/>
    <s v="INV01141"/>
    <n v="143"/>
    <n v="1114.2336"/>
    <n v="14"/>
    <d v="2023-08-17T00:00:00"/>
    <m/>
    <m/>
    <m/>
    <n v="1114.2336"/>
    <d v="2023-08-03T00:00:00"/>
    <n v="0"/>
    <n v="0"/>
    <n v="0"/>
    <n v="0"/>
    <n v="0"/>
    <n v="0"/>
    <n v="0"/>
    <x v="0"/>
    <n v="159335.40479999999"/>
    <n v="159335.40479999999"/>
    <n v="0"/>
    <n v="0"/>
    <x v="0"/>
    <x v="21"/>
  </r>
  <r>
    <s v="ORD01142"/>
    <d v="2023-01-24T00:00:00"/>
    <x v="131"/>
    <x v="287"/>
    <n v="60"/>
    <s v="INV01142"/>
    <n v="60"/>
    <n v="680.07339999999999"/>
    <m/>
    <m/>
    <m/>
    <m/>
    <m/>
    <n v="680.07339999999999"/>
    <d v="2022-11-22T00:00:00"/>
    <n v="0"/>
    <n v="0"/>
    <n v="0"/>
    <n v="0"/>
    <n v="0"/>
    <n v="0"/>
    <n v="0"/>
    <x v="0"/>
    <n v="40804.404000000002"/>
    <n v="40804.404000000002"/>
    <n v="0"/>
    <n v="0"/>
    <x v="0"/>
    <x v="8"/>
  </r>
  <r>
    <s v="ORD01143"/>
    <d v="2024-05-14T00:00:00"/>
    <x v="614"/>
    <x v="39"/>
    <n v="50"/>
    <s v="INV01143"/>
    <n v="50"/>
    <n v="862.73640000000012"/>
    <m/>
    <m/>
    <m/>
    <m/>
    <m/>
    <n v="862.73640000000012"/>
    <d v="2023-10-24T00:00:00"/>
    <n v="0"/>
    <n v="0"/>
    <n v="0"/>
    <n v="0"/>
    <n v="0"/>
    <n v="0"/>
    <n v="0"/>
    <x v="0"/>
    <n v="43136.820000000007"/>
    <n v="43136.820000000007"/>
    <n v="0"/>
    <n v="0"/>
    <x v="0"/>
    <x v="13"/>
  </r>
  <r>
    <s v="ORD01144"/>
    <d v="2023-11-30T00:00:00"/>
    <x v="615"/>
    <x v="140"/>
    <n v="23"/>
    <s v="INV01144"/>
    <n v="23"/>
    <n v="521.54959999999994"/>
    <m/>
    <m/>
    <m/>
    <m/>
    <m/>
    <n v="521.54959999999994"/>
    <d v="2023-03-09T00:00:00"/>
    <n v="0"/>
    <n v="0"/>
    <n v="0"/>
    <n v="0"/>
    <n v="0"/>
    <n v="0"/>
    <n v="0"/>
    <x v="0"/>
    <n v="11995.640799999999"/>
    <n v="11995.640799999999"/>
    <n v="0"/>
    <n v="0"/>
    <x v="0"/>
    <x v="0"/>
  </r>
  <r>
    <s v="ORD01145"/>
    <d v="2024-06-17T00:00:00"/>
    <x v="307"/>
    <x v="40"/>
    <n v="142"/>
    <s v="INV01145"/>
    <n v="142"/>
    <n v="182.4273"/>
    <m/>
    <m/>
    <m/>
    <m/>
    <m/>
    <n v="182.4273"/>
    <d v="2023-03-04T00:00:00"/>
    <n v="0"/>
    <n v="0"/>
    <n v="0"/>
    <n v="0"/>
    <n v="0"/>
    <n v="0"/>
    <n v="0"/>
    <x v="0"/>
    <n v="25904.676599999999"/>
    <n v="25904.676599999999"/>
    <n v="0"/>
    <n v="0"/>
    <x v="0"/>
    <x v="16"/>
  </r>
  <r>
    <s v="ORD01146"/>
    <d v="2023-05-08T00:00:00"/>
    <x v="255"/>
    <x v="158"/>
    <n v="27"/>
    <s v="INV01146"/>
    <n v="27"/>
    <n v="732.452"/>
    <m/>
    <m/>
    <m/>
    <m/>
    <m/>
    <n v="732.452"/>
    <d v="2023-01-15T00:00:00"/>
    <n v="0"/>
    <n v="0"/>
    <n v="0"/>
    <n v="0"/>
    <n v="0"/>
    <n v="0"/>
    <n v="0"/>
    <x v="0"/>
    <n v="19776.204000000002"/>
    <n v="19776.204000000002"/>
    <n v="0"/>
    <n v="0"/>
    <x v="0"/>
    <x v="7"/>
  </r>
  <r>
    <s v="ORD01147"/>
    <d v="2023-10-25T00:00:00"/>
    <x v="191"/>
    <x v="254"/>
    <n v="142"/>
    <s v="INV01147"/>
    <n v="142"/>
    <n v="571.49840000000006"/>
    <n v="4"/>
    <d v="2024-12-13T00:00:00"/>
    <m/>
    <m/>
    <m/>
    <n v="571.49840000000006"/>
    <d v="2023-05-25T00:00:00"/>
    <n v="0"/>
    <n v="0"/>
    <n v="0"/>
    <n v="0"/>
    <n v="0"/>
    <n v="1"/>
    <n v="0"/>
    <x v="1"/>
    <n v="81152.772800000006"/>
    <n v="81152.772800000006"/>
    <n v="0"/>
    <n v="2"/>
    <x v="1"/>
    <x v="19"/>
  </r>
  <r>
    <s v="ORD01148"/>
    <d v="2023-04-04T00:00:00"/>
    <x v="246"/>
    <x v="221"/>
    <n v="136"/>
    <s v="INV01148"/>
    <n v="136"/>
    <n v="690.05370000000005"/>
    <m/>
    <m/>
    <m/>
    <m/>
    <m/>
    <n v="690.05370000000005"/>
    <d v="2023-02-19T00:00:00"/>
    <n v="0"/>
    <n v="0"/>
    <n v="0"/>
    <n v="0"/>
    <n v="0"/>
    <n v="0"/>
    <n v="0"/>
    <x v="0"/>
    <n v="93847.303200000009"/>
    <n v="93847.303200000009"/>
    <n v="0"/>
    <n v="0"/>
    <x v="0"/>
    <x v="23"/>
  </r>
  <r>
    <s v="ORD01149"/>
    <d v="2023-09-11T00:00:00"/>
    <x v="616"/>
    <x v="131"/>
    <n v="121"/>
    <s v="INV01149"/>
    <n v="121"/>
    <n v="741.88620000000003"/>
    <n v="8"/>
    <d v="2023-04-04T00:00:00"/>
    <m/>
    <m/>
    <m/>
    <n v="741.88620000000003"/>
    <d v="2023-01-04T00:00:00"/>
    <n v="0"/>
    <n v="0"/>
    <n v="0"/>
    <n v="0"/>
    <n v="0"/>
    <n v="0"/>
    <n v="0"/>
    <x v="0"/>
    <n v="89768.230200000005"/>
    <n v="89768.230200000005"/>
    <n v="0"/>
    <n v="0"/>
    <x v="0"/>
    <x v="18"/>
  </r>
  <r>
    <s v="ORD01150"/>
    <d v="2023-09-20T00:00:00"/>
    <x v="534"/>
    <x v="206"/>
    <n v="193"/>
    <s v="INV01150"/>
    <n v="193"/>
    <n v="82.026000000000025"/>
    <n v="10"/>
    <d v="2023-07-23T00:00:00"/>
    <m/>
    <m/>
    <m/>
    <n v="82.026000000000025"/>
    <d v="2023-05-15T00:00:00"/>
    <n v="0"/>
    <n v="0"/>
    <n v="0"/>
    <n v="0"/>
    <n v="0"/>
    <n v="0"/>
    <n v="0"/>
    <x v="0"/>
    <n v="15831.018000000005"/>
    <n v="15831.018000000005"/>
    <n v="0"/>
    <n v="0"/>
    <x v="0"/>
    <x v="18"/>
  </r>
  <r>
    <s v="ORD01151"/>
    <d v="2023-10-03T00:00:00"/>
    <x v="327"/>
    <x v="182"/>
    <n v="142"/>
    <s v="INV01151"/>
    <n v="142"/>
    <n v="926.52549999999997"/>
    <m/>
    <m/>
    <m/>
    <m/>
    <m/>
    <n v="926.52549999999997"/>
    <d v="2023-09-14T00:00:00"/>
    <n v="0"/>
    <n v="0"/>
    <n v="0"/>
    <n v="0"/>
    <n v="0"/>
    <n v="0"/>
    <n v="0"/>
    <x v="0"/>
    <n v="131566.62099999998"/>
    <n v="131566.62099999998"/>
    <n v="0"/>
    <n v="0"/>
    <x v="0"/>
    <x v="19"/>
  </r>
  <r>
    <s v="ORD01152"/>
    <d v="2024-11-29T00:00:00"/>
    <x v="303"/>
    <x v="187"/>
    <n v="154"/>
    <s v="INV01152"/>
    <n v="154"/>
    <n v="892.1431"/>
    <n v="16"/>
    <d v="2024-03-26T00:00:00"/>
    <m/>
    <m/>
    <m/>
    <n v="892.1431"/>
    <d v="2023-10-23T00:00:00"/>
    <n v="0"/>
    <n v="0"/>
    <n v="0"/>
    <n v="0"/>
    <n v="0"/>
    <n v="0"/>
    <n v="0"/>
    <x v="0"/>
    <n v="137390.0374"/>
    <n v="137390.0374"/>
    <n v="0"/>
    <n v="0"/>
    <x v="0"/>
    <x v="4"/>
  </r>
  <r>
    <s v="ORD01153"/>
    <d v="2024-03-28T00:00:00"/>
    <x v="554"/>
    <x v="222"/>
    <n v="81"/>
    <s v="INV01153"/>
    <n v="81"/>
    <n v="273.24680000000001"/>
    <m/>
    <m/>
    <m/>
    <m/>
    <m/>
    <n v="273.24680000000001"/>
    <d v="2023-06-26T00:00:00"/>
    <n v="0"/>
    <n v="0"/>
    <n v="0"/>
    <n v="0"/>
    <n v="0"/>
    <n v="0"/>
    <n v="0"/>
    <x v="0"/>
    <n v="22132.9908"/>
    <n v="22132.9908"/>
    <n v="0"/>
    <n v="0"/>
    <x v="0"/>
    <x v="6"/>
  </r>
  <r>
    <s v="ORD01154"/>
    <d v="2024-03-07T00:00:00"/>
    <x v="382"/>
    <x v="44"/>
    <n v="86"/>
    <s v="INV01154"/>
    <n v="86"/>
    <n v="1119.3012000000001"/>
    <m/>
    <m/>
    <n v="984.57"/>
    <d v="2023-10-02T00:00:00"/>
    <d v="2023-06-02T00:00:00"/>
    <n v="1119.3012000000001"/>
    <d v="2023-06-14T00:00:00"/>
    <n v="0"/>
    <n v="0"/>
    <n v="0"/>
    <n v="1"/>
    <n v="1"/>
    <n v="0"/>
    <n v="0"/>
    <x v="1"/>
    <n v="96259.903200000015"/>
    <n v="96259.903200000015"/>
    <n v="0"/>
    <n v="8"/>
    <x v="2"/>
    <x v="6"/>
  </r>
  <r>
    <s v="ORD01155"/>
    <d v="2023-09-27T00:00:00"/>
    <x v="617"/>
    <x v="139"/>
    <n v="147"/>
    <s v="INV01155"/>
    <n v="147"/>
    <n v="414.32040000000001"/>
    <m/>
    <m/>
    <m/>
    <m/>
    <m/>
    <n v="414.32040000000001"/>
    <d v="2022-12-10T00:00:00"/>
    <n v="0"/>
    <n v="0"/>
    <n v="0"/>
    <n v="0"/>
    <n v="0"/>
    <n v="0"/>
    <n v="0"/>
    <x v="0"/>
    <n v="60905.0988"/>
    <n v="60905.0988"/>
    <n v="0"/>
    <n v="0"/>
    <x v="0"/>
    <x v="18"/>
  </r>
  <r>
    <s v="ORD01156"/>
    <d v="2023-01-19T00:00:00"/>
    <x v="435"/>
    <x v="30"/>
    <n v="34"/>
    <s v="INV01156"/>
    <n v="34"/>
    <n v="364.40320000000003"/>
    <n v="10"/>
    <d v="2023-07-31T00:00:00"/>
    <m/>
    <m/>
    <m/>
    <n v="364.40320000000003"/>
    <d v="2022-07-24T00:00:00"/>
    <n v="0"/>
    <n v="0"/>
    <n v="0"/>
    <n v="0"/>
    <n v="0"/>
    <n v="1"/>
    <n v="0"/>
    <x v="1"/>
    <n v="12389.7088"/>
    <n v="12389.7088"/>
    <n v="0"/>
    <n v="2"/>
    <x v="1"/>
    <x v="8"/>
  </r>
  <r>
    <s v="ORD01157"/>
    <d v="2023-12-09T00:00:00"/>
    <x v="51"/>
    <x v="97"/>
    <n v="106"/>
    <s v="INV01157"/>
    <n v="106"/>
    <n v="664.57040000000006"/>
    <m/>
    <m/>
    <m/>
    <m/>
    <m/>
    <n v="664.57040000000006"/>
    <d v="2023-05-20T00:00:00"/>
    <n v="0"/>
    <n v="0"/>
    <n v="0"/>
    <n v="0"/>
    <n v="0"/>
    <n v="0"/>
    <n v="0"/>
    <x v="0"/>
    <n v="70444.462400000004"/>
    <n v="70444.462400000004"/>
    <n v="0"/>
    <n v="0"/>
    <x v="0"/>
    <x v="20"/>
  </r>
  <r>
    <s v="ORD01158"/>
    <d v="2024-02-05T00:00:00"/>
    <x v="364"/>
    <x v="217"/>
    <n v="28"/>
    <s v="INV01158"/>
    <n v="28"/>
    <n v="189.52920000000003"/>
    <m/>
    <m/>
    <m/>
    <m/>
    <m/>
    <n v="189.52920000000003"/>
    <d v="2023-05-24T00:00:00"/>
    <n v="0"/>
    <n v="0"/>
    <n v="0"/>
    <n v="0"/>
    <n v="0"/>
    <n v="0"/>
    <n v="0"/>
    <x v="0"/>
    <n v="5306.8176000000012"/>
    <n v="5306.8176000000012"/>
    <n v="0"/>
    <n v="0"/>
    <x v="0"/>
    <x v="3"/>
  </r>
  <r>
    <s v="ORD01159"/>
    <d v="2024-06-14T00:00:00"/>
    <x v="214"/>
    <x v="92"/>
    <n v="166"/>
    <s v="INV01159"/>
    <n v="166"/>
    <n v="833.73500000000001"/>
    <m/>
    <m/>
    <m/>
    <m/>
    <m/>
    <n v="833.73500000000001"/>
    <d v="2023-08-29T00:00:00"/>
    <n v="0"/>
    <n v="0"/>
    <n v="0"/>
    <n v="0"/>
    <n v="0"/>
    <n v="0"/>
    <n v="0"/>
    <x v="0"/>
    <n v="138400.01"/>
    <n v="138400.01"/>
    <n v="0"/>
    <n v="0"/>
    <x v="0"/>
    <x v="16"/>
  </r>
  <r>
    <s v="ORD01160"/>
    <d v="2024-07-08T00:00:00"/>
    <x v="347"/>
    <x v="122"/>
    <n v="71"/>
    <s v="INV01160"/>
    <n v="71"/>
    <n v="75.620999999999995"/>
    <m/>
    <m/>
    <m/>
    <m/>
    <m/>
    <n v="75.620999999999995"/>
    <d v="2023-07-01T00:00:00"/>
    <n v="0"/>
    <n v="0"/>
    <n v="0"/>
    <n v="0"/>
    <n v="0"/>
    <n v="0"/>
    <n v="0"/>
    <x v="0"/>
    <n v="5369.0909999999994"/>
    <n v="5369.0909999999994"/>
    <n v="0"/>
    <n v="0"/>
    <x v="0"/>
    <x v="21"/>
  </r>
  <r>
    <s v="ORD01161"/>
    <d v="2023-05-26T00:00:00"/>
    <x v="492"/>
    <x v="33"/>
    <n v="81"/>
    <s v="INV01161"/>
    <n v="81"/>
    <n v="54.580199999999998"/>
    <m/>
    <m/>
    <m/>
    <m/>
    <m/>
    <n v="54.580199999999998"/>
    <d v="2023-02-27T00:00:00"/>
    <n v="0"/>
    <n v="0"/>
    <n v="0"/>
    <n v="0"/>
    <n v="0"/>
    <n v="0"/>
    <n v="0"/>
    <x v="0"/>
    <n v="4420.9961999999996"/>
    <n v="4420.9961999999996"/>
    <n v="0"/>
    <n v="0"/>
    <x v="0"/>
    <x v="7"/>
  </r>
  <r>
    <s v="ORD01162"/>
    <d v="2024-07-01T00:00:00"/>
    <x v="618"/>
    <x v="38"/>
    <n v="9"/>
    <s v="INV01162"/>
    <n v="9"/>
    <n v="454.98379999999997"/>
    <m/>
    <m/>
    <m/>
    <m/>
    <m/>
    <n v="454.98379999999997"/>
    <d v="2023-03-26T00:00:00"/>
    <n v="0"/>
    <n v="0"/>
    <n v="0"/>
    <n v="0"/>
    <n v="0"/>
    <n v="0"/>
    <n v="0"/>
    <x v="0"/>
    <n v="4094.8541999999998"/>
    <n v="4094.8541999999998"/>
    <n v="0"/>
    <n v="0"/>
    <x v="0"/>
    <x v="21"/>
  </r>
  <r>
    <s v="ORD01163"/>
    <d v="2023-12-23T00:00:00"/>
    <x v="567"/>
    <x v="158"/>
    <n v="62"/>
    <s v="INV01163"/>
    <n v="62"/>
    <n v="754.20799999999997"/>
    <m/>
    <m/>
    <m/>
    <m/>
    <m/>
    <n v="754.20799999999997"/>
    <d v="2023-05-23T00:00:00"/>
    <n v="0"/>
    <n v="0"/>
    <n v="0"/>
    <n v="0"/>
    <n v="0"/>
    <n v="0"/>
    <n v="0"/>
    <x v="0"/>
    <n v="46760.896000000001"/>
    <n v="46760.896000000001"/>
    <n v="0"/>
    <n v="0"/>
    <x v="0"/>
    <x v="20"/>
  </r>
  <r>
    <s v="ORD01164"/>
    <d v="2023-10-05T00:00:00"/>
    <x v="101"/>
    <x v="185"/>
    <n v="143"/>
    <s v="INV01164"/>
    <n v="143"/>
    <n v="435.57279999999997"/>
    <m/>
    <m/>
    <m/>
    <m/>
    <m/>
    <n v="435.57279999999997"/>
    <d v="2023-08-21T00:00:00"/>
    <n v="0"/>
    <n v="0"/>
    <n v="0"/>
    <n v="0"/>
    <n v="0"/>
    <n v="0"/>
    <n v="0"/>
    <x v="0"/>
    <n v="62286.910399999993"/>
    <n v="62286.910399999993"/>
    <n v="0"/>
    <n v="0"/>
    <x v="0"/>
    <x v="19"/>
  </r>
  <r>
    <s v="ORD01165"/>
    <d v="2024-02-20T00:00:00"/>
    <x v="324"/>
    <x v="249"/>
    <n v="80"/>
    <s v="INV01165"/>
    <n v="80"/>
    <n v="901.84500000000003"/>
    <m/>
    <m/>
    <m/>
    <m/>
    <m/>
    <n v="901.84500000000003"/>
    <d v="2023-10-17T00:00:00"/>
    <n v="0"/>
    <n v="0"/>
    <n v="0"/>
    <n v="0"/>
    <n v="0"/>
    <n v="0"/>
    <n v="0"/>
    <x v="0"/>
    <n v="72147.600000000006"/>
    <n v="72147.600000000006"/>
    <n v="0"/>
    <n v="0"/>
    <x v="0"/>
    <x v="3"/>
  </r>
  <r>
    <s v="ORD01166"/>
    <d v="2024-08-04T00:00:00"/>
    <x v="219"/>
    <x v="122"/>
    <n v="135"/>
    <s v="INV01166"/>
    <n v="135"/>
    <n v="75.620999999999995"/>
    <m/>
    <m/>
    <m/>
    <m/>
    <m/>
    <n v="75.620999999999995"/>
    <d v="2023-07-01T00:00:00"/>
    <n v="0"/>
    <n v="0"/>
    <n v="0"/>
    <n v="0"/>
    <n v="0"/>
    <n v="0"/>
    <n v="0"/>
    <x v="0"/>
    <n v="10208.834999999999"/>
    <n v="10208.834999999999"/>
    <n v="0"/>
    <n v="0"/>
    <x v="0"/>
    <x v="22"/>
  </r>
  <r>
    <s v="ORD01167"/>
    <d v="2023-10-24T00:00:00"/>
    <x v="9"/>
    <x v="238"/>
    <n v="35"/>
    <s v="INV01167"/>
    <n v="35"/>
    <n v="1137.9636"/>
    <m/>
    <m/>
    <m/>
    <m/>
    <m/>
    <n v="1137.9636"/>
    <d v="2023-03-22T00:00:00"/>
    <n v="0"/>
    <n v="0"/>
    <n v="0"/>
    <n v="0"/>
    <n v="0"/>
    <n v="0"/>
    <n v="0"/>
    <x v="0"/>
    <n v="39828.726000000002"/>
    <n v="39828.726000000002"/>
    <n v="0"/>
    <n v="0"/>
    <x v="0"/>
    <x v="19"/>
  </r>
  <r>
    <s v="ORD01168"/>
    <d v="2023-02-04T00:00:00"/>
    <x v="395"/>
    <x v="16"/>
    <n v="140"/>
    <s v="INV01168"/>
    <n v="140"/>
    <n v="82.752600000000001"/>
    <m/>
    <m/>
    <m/>
    <m/>
    <m/>
    <n v="82.752600000000001"/>
    <d v="2022-09-26T00:00:00"/>
    <n v="0"/>
    <n v="0"/>
    <n v="0"/>
    <n v="0"/>
    <n v="0"/>
    <n v="0"/>
    <n v="0"/>
    <x v="0"/>
    <n v="11585.364"/>
    <n v="11585.364"/>
    <n v="0"/>
    <n v="0"/>
    <x v="0"/>
    <x v="11"/>
  </r>
  <r>
    <s v="ORD01169"/>
    <d v="2023-08-29T00:00:00"/>
    <x v="506"/>
    <x v="233"/>
    <n v="193"/>
    <s v="INV01169"/>
    <n v="193"/>
    <n v="799.8357000000002"/>
    <m/>
    <m/>
    <m/>
    <m/>
    <m/>
    <n v="799.8357000000002"/>
    <d v="2023-05-17T00:00:00"/>
    <n v="0"/>
    <n v="0"/>
    <n v="0"/>
    <n v="0"/>
    <n v="0"/>
    <n v="0"/>
    <n v="0"/>
    <x v="0"/>
    <n v="154368.29010000004"/>
    <n v="154368.29010000004"/>
    <n v="0"/>
    <n v="0"/>
    <x v="0"/>
    <x v="12"/>
  </r>
  <r>
    <s v="ORD01170"/>
    <d v="2023-08-21T00:00:00"/>
    <x v="324"/>
    <x v="75"/>
    <n v="173"/>
    <s v="INV01170"/>
    <n v="173"/>
    <n v="492.38400000000001"/>
    <m/>
    <m/>
    <m/>
    <m/>
    <m/>
    <n v="492.38400000000001"/>
    <d v="2023-02-09T00:00:00"/>
    <n v="0"/>
    <n v="0"/>
    <n v="0"/>
    <n v="0"/>
    <n v="0"/>
    <n v="0"/>
    <n v="0"/>
    <x v="0"/>
    <n v="85182.432000000001"/>
    <n v="85182.432000000001"/>
    <n v="0"/>
    <n v="0"/>
    <x v="0"/>
    <x v="12"/>
  </r>
  <r>
    <s v="ORD01171"/>
    <d v="2023-05-21T00:00:00"/>
    <x v="90"/>
    <x v="51"/>
    <n v="159"/>
    <s v="INV01171"/>
    <n v="160"/>
    <n v="574.3415"/>
    <m/>
    <m/>
    <m/>
    <m/>
    <m/>
    <n v="574.3415"/>
    <d v="2022-09-02T00:00:00"/>
    <n v="0"/>
    <n v="1"/>
    <n v="0"/>
    <n v="0"/>
    <n v="0"/>
    <n v="0"/>
    <n v="0"/>
    <x v="1"/>
    <n v="91894.64"/>
    <n v="91320.298500000004"/>
    <n v="574.34149999999499"/>
    <n v="8"/>
    <x v="2"/>
    <x v="7"/>
  </r>
  <r>
    <s v="ORD01172"/>
    <d v="2024-07-13T00:00:00"/>
    <x v="254"/>
    <x v="71"/>
    <n v="150"/>
    <s v="INV01172"/>
    <n v="150"/>
    <n v="238.7328"/>
    <m/>
    <m/>
    <m/>
    <m/>
    <m/>
    <n v="238.7328"/>
    <d v="2023-03-02T00:00:00"/>
    <n v="0"/>
    <n v="0"/>
    <n v="0"/>
    <n v="0"/>
    <n v="0"/>
    <n v="0"/>
    <n v="0"/>
    <x v="0"/>
    <n v="35809.919999999998"/>
    <n v="35809.919999999998"/>
    <n v="0"/>
    <n v="0"/>
    <x v="0"/>
    <x v="21"/>
  </r>
  <r>
    <s v="ORD01173"/>
    <d v="2023-10-13T00:00:00"/>
    <x v="619"/>
    <x v="9"/>
    <n v="117"/>
    <s v="INV01173"/>
    <n v="117"/>
    <n v="397.40159999999997"/>
    <m/>
    <m/>
    <m/>
    <m/>
    <m/>
    <n v="397.40159999999997"/>
    <d v="2023-04-05T00:00:00"/>
    <n v="0"/>
    <n v="0"/>
    <n v="0"/>
    <n v="0"/>
    <n v="0"/>
    <n v="0"/>
    <n v="0"/>
    <x v="0"/>
    <n v="46495.987199999996"/>
    <n v="46495.987199999996"/>
    <n v="0"/>
    <n v="0"/>
    <x v="0"/>
    <x v="19"/>
  </r>
  <r>
    <s v="ORD01174"/>
    <d v="2023-02-10T00:00:00"/>
    <x v="85"/>
    <x v="158"/>
    <n v="173"/>
    <s v="INV01174"/>
    <n v="173"/>
    <n v="732.452"/>
    <m/>
    <m/>
    <m/>
    <m/>
    <m/>
    <n v="732.452"/>
    <d v="2023-01-15T00:00:00"/>
    <n v="0"/>
    <n v="0"/>
    <n v="0"/>
    <n v="0"/>
    <n v="0"/>
    <n v="0"/>
    <n v="0"/>
    <x v="0"/>
    <n v="126714.196"/>
    <n v="126714.196"/>
    <n v="0"/>
    <n v="0"/>
    <x v="0"/>
    <x v="11"/>
  </r>
  <r>
    <s v="ORD01175"/>
    <d v="2024-09-02T00:00:00"/>
    <x v="453"/>
    <x v="218"/>
    <n v="133"/>
    <s v="INV01175"/>
    <n v="133"/>
    <n v="960.97304095837455"/>
    <m/>
    <m/>
    <m/>
    <m/>
    <m/>
    <n v="960.85850000000005"/>
    <d v="2023-05-03T00:00:00"/>
    <n v="0"/>
    <n v="0"/>
    <n v="1"/>
    <n v="0"/>
    <n v="0"/>
    <n v="0"/>
    <n v="0"/>
    <x v="1"/>
    <n v="127809.41444746382"/>
    <n v="127794.1805"/>
    <n v="15.23394746381382"/>
    <n v="4"/>
    <x v="1"/>
    <x v="2"/>
  </r>
  <r>
    <s v="ORD01176"/>
    <d v="2024-03-27T00:00:00"/>
    <x v="59"/>
    <x v="107"/>
    <n v="5"/>
    <s v="INV01176"/>
    <n v="5"/>
    <n v="52.288450806463544"/>
    <m/>
    <m/>
    <m/>
    <m/>
    <m/>
    <n v="52.185000000000002"/>
    <d v="2023-03-13T00:00:00"/>
    <n v="0"/>
    <n v="0"/>
    <n v="1"/>
    <n v="0"/>
    <n v="0"/>
    <n v="0"/>
    <n v="0"/>
    <x v="1"/>
    <n v="261.44225403231769"/>
    <n v="260.92500000000001"/>
    <n v="0.51725403231768041"/>
    <n v="4"/>
    <x v="1"/>
    <x v="6"/>
  </r>
  <r>
    <s v="ORD01177"/>
    <d v="2024-03-27T00:00:00"/>
    <x v="108"/>
    <x v="121"/>
    <n v="170"/>
    <s v="INV01177"/>
    <n v="166"/>
    <n v="1061.7264"/>
    <m/>
    <m/>
    <m/>
    <m/>
    <m/>
    <n v="1061.7264"/>
    <d v="2023-09-11T00:00:00"/>
    <n v="0"/>
    <n v="1"/>
    <n v="0"/>
    <n v="0"/>
    <n v="0"/>
    <n v="0"/>
    <n v="0"/>
    <x v="1"/>
    <n v="176246.58240000001"/>
    <n v="180493.48800000001"/>
    <n v="-4246.9055999999982"/>
    <n v="8"/>
    <x v="2"/>
    <x v="6"/>
  </r>
  <r>
    <s v="ORD01178"/>
    <d v="2024-11-14T00:00:00"/>
    <x v="79"/>
    <x v="242"/>
    <n v="98"/>
    <s v="INV01178"/>
    <n v="98"/>
    <n v="1166.4765000000002"/>
    <m/>
    <m/>
    <m/>
    <m/>
    <m/>
    <n v="1166.4765000000002"/>
    <d v="2023-07-07T00:00:00"/>
    <n v="0"/>
    <n v="0"/>
    <n v="0"/>
    <n v="0"/>
    <n v="0"/>
    <n v="0"/>
    <n v="0"/>
    <x v="0"/>
    <n v="114314.69700000001"/>
    <n v="114314.69700000001"/>
    <n v="0"/>
    <n v="0"/>
    <x v="0"/>
    <x v="4"/>
  </r>
  <r>
    <s v="ORD01179"/>
    <d v="2024-05-21T00:00:00"/>
    <x v="620"/>
    <x v="248"/>
    <n v="25"/>
    <s v="INV01179"/>
    <n v="25"/>
    <n v="226.88399999999999"/>
    <m/>
    <m/>
    <m/>
    <m/>
    <m/>
    <n v="226.88399999999999"/>
    <d v="2023-06-09T00:00:00"/>
    <n v="0"/>
    <n v="0"/>
    <n v="0"/>
    <n v="0"/>
    <n v="0"/>
    <n v="0"/>
    <n v="0"/>
    <x v="0"/>
    <n v="5672.0999999999995"/>
    <n v="5672.0999999999995"/>
    <n v="0"/>
    <n v="0"/>
    <x v="0"/>
    <x v="13"/>
  </r>
  <r>
    <s v="ORD01180"/>
    <d v="2024-05-11T00:00:00"/>
    <x v="597"/>
    <x v="292"/>
    <n v="186"/>
    <s v="INV01180"/>
    <n v="186"/>
    <n v="850.88400000000001"/>
    <m/>
    <m/>
    <m/>
    <m/>
    <m/>
    <n v="850.88400000000001"/>
    <d v="2023-06-23T00:00:00"/>
    <n v="0"/>
    <n v="0"/>
    <n v="0"/>
    <n v="0"/>
    <n v="0"/>
    <n v="0"/>
    <n v="0"/>
    <x v="0"/>
    <n v="158264.424"/>
    <n v="158264.424"/>
    <n v="0"/>
    <n v="0"/>
    <x v="0"/>
    <x v="13"/>
  </r>
  <r>
    <s v="ORD01181"/>
    <d v="2023-03-21T00:00:00"/>
    <x v="402"/>
    <x v="126"/>
    <n v="54"/>
    <s v="INV01181"/>
    <n v="54"/>
    <n v="287.14"/>
    <n v="15"/>
    <d v="2024-01-18T00:00:00"/>
    <m/>
    <m/>
    <m/>
    <n v="287.14"/>
    <d v="2023-02-20T00:00:00"/>
    <n v="0"/>
    <n v="0"/>
    <n v="0"/>
    <n v="0"/>
    <n v="0"/>
    <n v="1"/>
    <n v="0"/>
    <x v="1"/>
    <n v="15505.56"/>
    <n v="15505.56"/>
    <n v="0"/>
    <n v="2"/>
    <x v="1"/>
    <x v="17"/>
  </r>
  <r>
    <s v="ORD01182"/>
    <d v="2023-04-13T00:00:00"/>
    <x v="278"/>
    <x v="293"/>
    <n v="109"/>
    <s v="INV01182"/>
    <n v="109"/>
    <n v="94.274299999999997"/>
    <m/>
    <m/>
    <m/>
    <m/>
    <m/>
    <n v="94.274299999999997"/>
    <d v="2022-12-11T00:00:00"/>
    <n v="0"/>
    <n v="0"/>
    <n v="0"/>
    <n v="0"/>
    <n v="0"/>
    <n v="0"/>
    <n v="0"/>
    <x v="0"/>
    <n v="10275.8987"/>
    <n v="10275.8987"/>
    <n v="0"/>
    <n v="0"/>
    <x v="0"/>
    <x v="23"/>
  </r>
  <r>
    <s v="ORD01183"/>
    <d v="2023-10-21T00:00:00"/>
    <x v="219"/>
    <x v="234"/>
    <n v="139"/>
    <s v="INV01183"/>
    <n v="139"/>
    <n v="1226.9154000000001"/>
    <m/>
    <m/>
    <m/>
    <m/>
    <m/>
    <n v="1226.9154000000001"/>
    <d v="2023-04-16T00:00:00"/>
    <n v="0"/>
    <n v="0"/>
    <n v="0"/>
    <n v="0"/>
    <n v="0"/>
    <n v="0"/>
    <n v="0"/>
    <x v="0"/>
    <n v="170541.24060000002"/>
    <n v="170541.24060000002"/>
    <n v="0"/>
    <n v="0"/>
    <x v="0"/>
    <x v="19"/>
  </r>
  <r>
    <s v="ORD01184"/>
    <d v="2023-12-27T00:00:00"/>
    <x v="129"/>
    <x v="193"/>
    <n v="42"/>
    <s v="INV01184"/>
    <n v="50"/>
    <n v="1030.7952"/>
    <m/>
    <m/>
    <m/>
    <m/>
    <m/>
    <n v="1030.7952"/>
    <d v="2023-08-16T00:00:00"/>
    <n v="0"/>
    <n v="1"/>
    <n v="0"/>
    <n v="0"/>
    <n v="0"/>
    <n v="0"/>
    <n v="0"/>
    <x v="1"/>
    <n v="51539.76"/>
    <n v="43293.398399999998"/>
    <n v="8246.3616000000038"/>
    <n v="8"/>
    <x v="2"/>
    <x v="20"/>
  </r>
  <r>
    <s v="ORD01185"/>
    <d v="2023-11-22T00:00:00"/>
    <x v="57"/>
    <x v="114"/>
    <n v="190"/>
    <s v="INV01185"/>
    <n v="190"/>
    <n v="945.38850000000002"/>
    <m/>
    <m/>
    <m/>
    <m/>
    <m/>
    <n v="945.38850000000002"/>
    <d v="2023-05-01T00:00:00"/>
    <n v="0"/>
    <n v="0"/>
    <n v="0"/>
    <n v="0"/>
    <n v="0"/>
    <n v="0"/>
    <n v="0"/>
    <x v="0"/>
    <n v="179623.815"/>
    <n v="179623.815"/>
    <n v="0"/>
    <n v="0"/>
    <x v="0"/>
    <x v="0"/>
  </r>
  <r>
    <s v="ORD01186"/>
    <d v="2024-07-23T00:00:00"/>
    <x v="77"/>
    <x v="230"/>
    <n v="176"/>
    <s v="INV01186"/>
    <n v="176"/>
    <n v="234.87090000000001"/>
    <m/>
    <m/>
    <m/>
    <m/>
    <m/>
    <n v="234.87090000000001"/>
    <d v="2023-08-12T00:00:00"/>
    <n v="0"/>
    <n v="0"/>
    <n v="0"/>
    <n v="0"/>
    <n v="0"/>
    <n v="0"/>
    <n v="0"/>
    <x v="0"/>
    <n v="41337.278400000003"/>
    <n v="41337.278400000003"/>
    <n v="0"/>
    <n v="0"/>
    <x v="0"/>
    <x v="21"/>
  </r>
  <r>
    <s v="ORD01187"/>
    <d v="2023-02-16T00:00:00"/>
    <x v="224"/>
    <x v="64"/>
    <n v="137"/>
    <s v="INV01187"/>
    <n v="137"/>
    <n v="1129.8245626098658"/>
    <m/>
    <m/>
    <m/>
    <m/>
    <m/>
    <n v="1129.6166000000001"/>
    <d v="2023-02-03T00:00:00"/>
    <n v="0"/>
    <n v="0"/>
    <n v="1"/>
    <n v="0"/>
    <n v="0"/>
    <n v="0"/>
    <n v="0"/>
    <x v="1"/>
    <n v="154785.96507755161"/>
    <n v="154757.4742"/>
    <n v="28.490877551608719"/>
    <n v="4"/>
    <x v="1"/>
    <x v="11"/>
  </r>
  <r>
    <s v="ORD01188"/>
    <d v="2023-05-17T00:00:00"/>
    <x v="185"/>
    <x v="262"/>
    <n v="86"/>
    <s v="INV01188"/>
    <n v="82"/>
    <n v="249.22"/>
    <n v="20"/>
    <d v="2023-03-29T00:00:00"/>
    <m/>
    <m/>
    <m/>
    <n v="249.22"/>
    <d v="2022-10-03T00:00:00"/>
    <n v="0"/>
    <n v="1"/>
    <n v="0"/>
    <n v="0"/>
    <n v="0"/>
    <n v="0"/>
    <n v="0"/>
    <x v="1"/>
    <n v="20436.04"/>
    <n v="21432.92"/>
    <n v="-996.87999999999738"/>
    <n v="8"/>
    <x v="2"/>
    <x v="7"/>
  </r>
  <r>
    <s v="ORD01189"/>
    <d v="2023-08-20T00:00:00"/>
    <x v="320"/>
    <x v="242"/>
    <n v="108"/>
    <s v="INV01189"/>
    <n v="108"/>
    <n v="1166.4765000000002"/>
    <m/>
    <m/>
    <m/>
    <m/>
    <m/>
    <n v="1166.4765000000002"/>
    <d v="2023-07-07T00:00:00"/>
    <n v="0"/>
    <n v="0"/>
    <n v="0"/>
    <n v="0"/>
    <n v="0"/>
    <n v="0"/>
    <n v="0"/>
    <x v="0"/>
    <n v="125979.46200000003"/>
    <n v="125979.46200000003"/>
    <n v="0"/>
    <n v="0"/>
    <x v="0"/>
    <x v="12"/>
  </r>
  <r>
    <s v="ORD01190"/>
    <d v="2024-10-17T00:00:00"/>
    <x v="372"/>
    <x v="239"/>
    <n v="190"/>
    <s v="INV01190"/>
    <n v="190"/>
    <n v="1197.9306999999999"/>
    <n v="2"/>
    <d v="2024-05-16T00:00:00"/>
    <m/>
    <m/>
    <m/>
    <n v="1197.9306999999999"/>
    <d v="2023-06-12T00:00:00"/>
    <n v="0"/>
    <n v="0"/>
    <n v="0"/>
    <n v="0"/>
    <n v="0"/>
    <n v="0"/>
    <n v="0"/>
    <x v="0"/>
    <n v="227606.83299999998"/>
    <n v="227606.83299999998"/>
    <n v="0"/>
    <n v="0"/>
    <x v="0"/>
    <x v="5"/>
  </r>
  <r>
    <s v="ORD01191"/>
    <d v="2023-06-26T00:00:00"/>
    <x v="385"/>
    <x v="35"/>
    <n v="4"/>
    <s v="INV01191"/>
    <n v="4"/>
    <n v="1120.6556"/>
    <m/>
    <m/>
    <m/>
    <m/>
    <m/>
    <n v="1120.6556"/>
    <d v="2023-04-10T00:00:00"/>
    <n v="0"/>
    <n v="0"/>
    <n v="0"/>
    <n v="0"/>
    <n v="0"/>
    <n v="0"/>
    <n v="0"/>
    <x v="0"/>
    <n v="4482.6224000000002"/>
    <n v="4482.6224000000002"/>
    <n v="0"/>
    <n v="0"/>
    <x v="0"/>
    <x v="14"/>
  </r>
  <r>
    <s v="ORD01192"/>
    <d v="2024-01-06T00:00:00"/>
    <x v="161"/>
    <x v="117"/>
    <n v="172"/>
    <s v="INV01192"/>
    <n v="172"/>
    <n v="214.6182"/>
    <m/>
    <m/>
    <m/>
    <m/>
    <m/>
    <n v="214.6182"/>
    <d v="2023-07-09T00:00:00"/>
    <n v="0"/>
    <n v="0"/>
    <n v="0"/>
    <n v="0"/>
    <n v="0"/>
    <n v="0"/>
    <n v="0"/>
    <x v="0"/>
    <n v="36914.330399999999"/>
    <n v="36914.330399999999"/>
    <n v="0"/>
    <n v="0"/>
    <x v="0"/>
    <x v="15"/>
  </r>
  <r>
    <s v="ORD01193"/>
    <d v="2023-02-08T00:00:00"/>
    <x v="481"/>
    <x v="38"/>
    <n v="133"/>
    <s v="INV01193"/>
    <n v="133"/>
    <n v="429.65302911720084"/>
    <m/>
    <m/>
    <m/>
    <m/>
    <m/>
    <n v="429.23"/>
    <d v="2022-02-25T00:00:00"/>
    <n v="0"/>
    <n v="0"/>
    <n v="1"/>
    <n v="0"/>
    <n v="0"/>
    <n v="0"/>
    <n v="0"/>
    <x v="1"/>
    <n v="57143.852872587711"/>
    <n v="57087.590000000004"/>
    <n v="56.262872587707534"/>
    <n v="4"/>
    <x v="1"/>
    <x v="11"/>
  </r>
  <r>
    <s v="ORD01194"/>
    <d v="2023-06-22T00:00:00"/>
    <x v="435"/>
    <x v="111"/>
    <n v="86"/>
    <s v="INV01194"/>
    <n v="86"/>
    <n v="147.17669999999998"/>
    <m/>
    <m/>
    <m/>
    <m/>
    <m/>
    <n v="147.17669999999998"/>
    <d v="2023-04-23T00:00:00"/>
    <n v="0"/>
    <n v="0"/>
    <n v="0"/>
    <n v="0"/>
    <n v="0"/>
    <n v="0"/>
    <n v="0"/>
    <x v="0"/>
    <n v="12657.196199999998"/>
    <n v="12657.196199999998"/>
    <n v="0"/>
    <n v="0"/>
    <x v="0"/>
    <x v="14"/>
  </r>
  <r>
    <s v="ORD01195"/>
    <d v="2024-09-13T00:00:00"/>
    <x v="621"/>
    <x v="250"/>
    <n v="58"/>
    <s v="INV01195"/>
    <n v="58"/>
    <n v="92.962000000000003"/>
    <m/>
    <m/>
    <m/>
    <m/>
    <m/>
    <n v="92.962000000000003"/>
    <d v="2023-08-13T00:00:00"/>
    <n v="0"/>
    <n v="0"/>
    <n v="0"/>
    <n v="0"/>
    <n v="0"/>
    <n v="0"/>
    <n v="0"/>
    <x v="0"/>
    <n v="5391.7960000000003"/>
    <n v="5391.7960000000003"/>
    <n v="0"/>
    <n v="0"/>
    <x v="0"/>
    <x v="2"/>
  </r>
  <r>
    <s v="ORD01196"/>
    <d v="2023-04-10T00:00:00"/>
    <x v="101"/>
    <x v="167"/>
    <n v="121"/>
    <s v="INV01196"/>
    <n v="121"/>
    <n v="249.2424"/>
    <m/>
    <m/>
    <m/>
    <m/>
    <m/>
    <n v="249.2424"/>
    <d v="2023-03-21T00:00:00"/>
    <n v="0"/>
    <n v="0"/>
    <n v="0"/>
    <n v="0"/>
    <n v="0"/>
    <n v="0"/>
    <n v="0"/>
    <x v="0"/>
    <n v="30158.330399999999"/>
    <n v="30158.330399999999"/>
    <n v="0"/>
    <n v="0"/>
    <x v="0"/>
    <x v="23"/>
  </r>
  <r>
    <s v="ORD01197"/>
    <d v="2023-02-10T00:00:00"/>
    <x v="381"/>
    <x v="42"/>
    <n v="169"/>
    <s v="INV01197"/>
    <n v="169"/>
    <n v="1043.3556000000001"/>
    <m/>
    <m/>
    <m/>
    <m/>
    <m/>
    <n v="1043.3556000000001"/>
    <d v="2022-11-17T00:00:00"/>
    <n v="0"/>
    <n v="0"/>
    <n v="0"/>
    <n v="0"/>
    <n v="0"/>
    <n v="0"/>
    <n v="0"/>
    <x v="0"/>
    <n v="176327.09640000001"/>
    <n v="176327.09640000001"/>
    <n v="0"/>
    <n v="0"/>
    <x v="0"/>
    <x v="11"/>
  </r>
  <r>
    <s v="ORD01198"/>
    <d v="2023-07-12T00:00:00"/>
    <x v="622"/>
    <x v="234"/>
    <n v="33"/>
    <s v="INV01198"/>
    <n v="33"/>
    <n v="1226.9154000000001"/>
    <m/>
    <m/>
    <m/>
    <m/>
    <m/>
    <n v="1226.9154000000001"/>
    <d v="2023-04-16T00:00:00"/>
    <n v="0"/>
    <n v="0"/>
    <n v="0"/>
    <n v="0"/>
    <n v="0"/>
    <n v="0"/>
    <n v="0"/>
    <x v="0"/>
    <n v="40488.208200000001"/>
    <n v="40488.208200000001"/>
    <n v="0"/>
    <n v="0"/>
    <x v="0"/>
    <x v="10"/>
  </r>
  <r>
    <s v="ORD01199"/>
    <d v="2023-06-04T00:00:00"/>
    <x v="354"/>
    <x v="222"/>
    <n v="70"/>
    <s v="INV01199"/>
    <n v="70"/>
    <n v="275.82459999999998"/>
    <n v="9"/>
    <d v="2023-08-14T00:00:00"/>
    <m/>
    <m/>
    <m/>
    <n v="275.82459999999998"/>
    <d v="2023-03-21T00:00:00"/>
    <n v="0"/>
    <n v="0"/>
    <n v="0"/>
    <n v="0"/>
    <n v="0"/>
    <n v="1"/>
    <n v="0"/>
    <x v="1"/>
    <n v="19307.721999999998"/>
    <n v="19307.721999999998"/>
    <n v="0"/>
    <n v="2"/>
    <x v="1"/>
    <x v="14"/>
  </r>
  <r>
    <s v="ORD01200"/>
    <d v="2024-07-20T00:00:00"/>
    <x v="369"/>
    <x v="119"/>
    <n v="61"/>
    <s v="INV01200"/>
    <n v="61"/>
    <n v="88.578000000000003"/>
    <m/>
    <m/>
    <m/>
    <m/>
    <m/>
    <n v="88.578000000000003"/>
    <d v="2023-06-30T00:00:00"/>
    <n v="0"/>
    <n v="0"/>
    <n v="0"/>
    <n v="0"/>
    <n v="0"/>
    <n v="0"/>
    <n v="0"/>
    <x v="0"/>
    <n v="5403.2579999999998"/>
    <n v="5403.2579999999998"/>
    <n v="0"/>
    <n v="0"/>
    <x v="0"/>
    <x v="21"/>
  </r>
  <r>
    <s v="ORD01201"/>
    <d v="2024-04-27T00:00:00"/>
    <x v="623"/>
    <x v="234"/>
    <n v="93"/>
    <s v="INV01201"/>
    <n v="93"/>
    <n v="1226.9154000000001"/>
    <m/>
    <m/>
    <m/>
    <m/>
    <m/>
    <n v="1226.9154000000001"/>
    <d v="2023-04-16T00:00:00"/>
    <n v="0"/>
    <n v="0"/>
    <n v="0"/>
    <n v="0"/>
    <n v="0"/>
    <n v="0"/>
    <n v="0"/>
    <x v="0"/>
    <n v="114103.13220000001"/>
    <n v="114103.13220000001"/>
    <n v="0"/>
    <n v="0"/>
    <x v="0"/>
    <x v="9"/>
  </r>
  <r>
    <s v="ORD01202"/>
    <d v="2023-04-02T00:00:00"/>
    <x v="357"/>
    <x v="231"/>
    <n v="6"/>
    <s v="INV01202"/>
    <n v="6"/>
    <n v="874.92399999999998"/>
    <m/>
    <m/>
    <m/>
    <m/>
    <m/>
    <n v="874.92399999999998"/>
    <d v="2023-02-09T00:00:00"/>
    <n v="0"/>
    <n v="0"/>
    <n v="0"/>
    <n v="0"/>
    <n v="0"/>
    <n v="0"/>
    <n v="0"/>
    <x v="0"/>
    <n v="5249.5439999999999"/>
    <n v="5249.5439999999999"/>
    <n v="0"/>
    <n v="0"/>
    <x v="0"/>
    <x v="23"/>
  </r>
  <r>
    <s v="ORD01203"/>
    <d v="2023-08-26T00:00:00"/>
    <x v="157"/>
    <x v="36"/>
    <n v="21"/>
    <s v="INV01203"/>
    <n v="21"/>
    <n v="415.70589999999999"/>
    <m/>
    <m/>
    <n v="353.97"/>
    <d v="2023-05-25T00:00:00"/>
    <d v="2023-02-06T00:00:00"/>
    <n v="415.70589999999999"/>
    <d v="2023-03-04T00:00:00"/>
    <n v="0"/>
    <n v="0"/>
    <n v="0"/>
    <n v="1"/>
    <n v="1"/>
    <n v="0"/>
    <n v="0"/>
    <x v="1"/>
    <n v="8729.8238999999994"/>
    <n v="8729.8238999999994"/>
    <n v="0"/>
    <n v="8"/>
    <x v="2"/>
    <x v="12"/>
  </r>
  <r>
    <s v="ORD01204"/>
    <d v="2023-12-27T00:00:00"/>
    <x v="274"/>
    <x v="11"/>
    <n v="49"/>
    <s v="INV01204"/>
    <n v="49"/>
    <n v="687.65840000000003"/>
    <m/>
    <m/>
    <m/>
    <m/>
    <m/>
    <n v="687.65840000000003"/>
    <d v="2023-08-01T00:00:00"/>
    <n v="0"/>
    <n v="0"/>
    <n v="0"/>
    <n v="0"/>
    <n v="0"/>
    <n v="0"/>
    <n v="0"/>
    <x v="0"/>
    <n v="33695.261599999998"/>
    <n v="33695.261599999998"/>
    <n v="0"/>
    <n v="0"/>
    <x v="0"/>
    <x v="20"/>
  </r>
  <r>
    <s v="ORD01205"/>
    <d v="2023-10-15T00:00:00"/>
    <x v="624"/>
    <x v="106"/>
    <n v="199"/>
    <s v="INV01205"/>
    <n v="199"/>
    <n v="652.1472"/>
    <m/>
    <m/>
    <m/>
    <m/>
    <m/>
    <n v="652.1472"/>
    <d v="2023-02-02T00:00:00"/>
    <n v="0"/>
    <n v="0"/>
    <n v="0"/>
    <n v="0"/>
    <n v="0"/>
    <n v="0"/>
    <n v="0"/>
    <x v="0"/>
    <n v="129777.2928"/>
    <n v="129777.2928"/>
    <n v="0"/>
    <n v="0"/>
    <x v="0"/>
    <x v="19"/>
  </r>
  <r>
    <s v="ORD01206"/>
    <d v="2023-06-26T00:00:00"/>
    <x v="625"/>
    <x v="199"/>
    <n v="71"/>
    <s v="INV01206"/>
    <n v="71"/>
    <n v="311.96339999999998"/>
    <m/>
    <m/>
    <m/>
    <m/>
    <m/>
    <n v="311.96339999999998"/>
    <d v="2023-03-27T00:00:00"/>
    <n v="0"/>
    <n v="0"/>
    <n v="0"/>
    <n v="0"/>
    <n v="0"/>
    <n v="0"/>
    <n v="0"/>
    <x v="0"/>
    <n v="22149.401399999999"/>
    <n v="22149.401399999999"/>
    <n v="0"/>
    <n v="0"/>
    <x v="0"/>
    <x v="14"/>
  </r>
  <r>
    <s v="ORD01207"/>
    <d v="2023-06-23T00:00:00"/>
    <x v="481"/>
    <x v="31"/>
    <n v="41"/>
    <s v="INV01207"/>
    <n v="47"/>
    <n v="1147.3289"/>
    <m/>
    <m/>
    <m/>
    <m/>
    <m/>
    <n v="1147.3289"/>
    <d v="2023-01-19T00:00:00"/>
    <n v="0"/>
    <n v="1"/>
    <n v="0"/>
    <n v="0"/>
    <n v="0"/>
    <n v="0"/>
    <n v="0"/>
    <x v="1"/>
    <n v="53924.458299999998"/>
    <n v="47040.484899999996"/>
    <n v="6883.9734000000026"/>
    <n v="8"/>
    <x v="2"/>
    <x v="14"/>
  </r>
  <r>
    <s v="ORD01208"/>
    <d v="2024-02-22T00:00:00"/>
    <x v="620"/>
    <x v="47"/>
    <n v="25"/>
    <s v="INV01208"/>
    <n v="25"/>
    <n v="385.42419999999998"/>
    <n v="14"/>
    <d v="2024-07-10T00:00:00"/>
    <m/>
    <m/>
    <m/>
    <n v="385.42419999999998"/>
    <d v="2023-06-02T00:00:00"/>
    <n v="0"/>
    <n v="0"/>
    <n v="0"/>
    <n v="0"/>
    <n v="0"/>
    <n v="1"/>
    <n v="0"/>
    <x v="1"/>
    <n v="9635.6049999999996"/>
    <n v="9635.6049999999996"/>
    <n v="0"/>
    <n v="2"/>
    <x v="1"/>
    <x v="3"/>
  </r>
  <r>
    <s v="ORD01209"/>
    <d v="2024-10-29T00:00:00"/>
    <x v="237"/>
    <x v="94"/>
    <n v="139"/>
    <s v="INV01209"/>
    <n v="139"/>
    <n v="765.52319999999997"/>
    <m/>
    <m/>
    <m/>
    <m/>
    <m/>
    <n v="765.52319999999997"/>
    <d v="2023-09-05T00:00:00"/>
    <n v="0"/>
    <n v="0"/>
    <n v="0"/>
    <n v="0"/>
    <n v="0"/>
    <n v="0"/>
    <n v="0"/>
    <x v="0"/>
    <n v="106407.7248"/>
    <n v="106407.7248"/>
    <n v="0"/>
    <n v="0"/>
    <x v="0"/>
    <x v="5"/>
  </r>
  <r>
    <s v="ORD01210"/>
    <d v="2024-08-18T00:00:00"/>
    <x v="151"/>
    <x v="170"/>
    <n v="188"/>
    <s v="INV01210"/>
    <n v="188"/>
    <n v="825.13580000000002"/>
    <m/>
    <m/>
    <m/>
    <m/>
    <m/>
    <n v="825.13580000000002"/>
    <d v="2023-03-13T00:00:00"/>
    <n v="0"/>
    <n v="0"/>
    <n v="0"/>
    <n v="0"/>
    <n v="0"/>
    <n v="0"/>
    <n v="0"/>
    <x v="0"/>
    <n v="155125.53039999999"/>
    <n v="155125.53039999999"/>
    <n v="0"/>
    <n v="0"/>
    <x v="0"/>
    <x v="22"/>
  </r>
  <r>
    <s v="ORD01211"/>
    <d v="2023-03-03T00:00:00"/>
    <x v="626"/>
    <x v="49"/>
    <n v="122"/>
    <s v="INV01211"/>
    <n v="122"/>
    <n v="1040.9412"/>
    <m/>
    <m/>
    <m/>
    <m/>
    <m/>
    <n v="1040.9412"/>
    <d v="2023-02-26T00:00:00"/>
    <n v="0"/>
    <n v="0"/>
    <n v="0"/>
    <n v="0"/>
    <n v="0"/>
    <n v="0"/>
    <n v="0"/>
    <x v="0"/>
    <n v="126994.82639999999"/>
    <n v="126994.82639999999"/>
    <n v="0"/>
    <n v="0"/>
    <x v="0"/>
    <x v="17"/>
  </r>
  <r>
    <s v="ORD01212"/>
    <d v="2024-03-13T00:00:00"/>
    <x v="5"/>
    <x v="71"/>
    <n v="100"/>
    <s v="INV01212"/>
    <n v="100"/>
    <n v="238.7328"/>
    <m/>
    <m/>
    <m/>
    <m/>
    <m/>
    <n v="238.7328"/>
    <d v="2023-03-02T00:00:00"/>
    <n v="0"/>
    <n v="0"/>
    <n v="0"/>
    <n v="0"/>
    <n v="0"/>
    <n v="0"/>
    <n v="0"/>
    <x v="0"/>
    <n v="23873.279999999999"/>
    <n v="23873.279999999999"/>
    <n v="0"/>
    <n v="0"/>
    <x v="0"/>
    <x v="6"/>
  </r>
  <r>
    <s v="ORD01213"/>
    <d v="2024-03-19T00:00:00"/>
    <x v="604"/>
    <x v="196"/>
    <n v="80"/>
    <s v="INV01213"/>
    <n v="80"/>
    <n v="1099.82"/>
    <m/>
    <m/>
    <m/>
    <m/>
    <m/>
    <n v="1099.82"/>
    <d v="2023-02-05T00:00:00"/>
    <n v="0"/>
    <n v="0"/>
    <n v="0"/>
    <n v="0"/>
    <n v="0"/>
    <n v="0"/>
    <n v="0"/>
    <x v="0"/>
    <n v="87985.599999999991"/>
    <n v="87985.599999999991"/>
    <n v="0"/>
    <n v="0"/>
    <x v="0"/>
    <x v="6"/>
  </r>
  <r>
    <s v="ORD01214"/>
    <d v="2023-03-10T00:00:00"/>
    <x v="536"/>
    <x v="142"/>
    <n v="43"/>
    <s v="INV01214"/>
    <n v="43"/>
    <n v="752.48910000000001"/>
    <m/>
    <m/>
    <m/>
    <m/>
    <m/>
    <n v="752.48910000000001"/>
    <d v="2023-01-27T00:00:00"/>
    <n v="0"/>
    <n v="0"/>
    <n v="0"/>
    <n v="0"/>
    <n v="0"/>
    <n v="0"/>
    <n v="0"/>
    <x v="0"/>
    <n v="32357.031299999999"/>
    <n v="32357.031299999999"/>
    <n v="0"/>
    <n v="0"/>
    <x v="0"/>
    <x v="17"/>
  </r>
  <r>
    <s v="ORD01215"/>
    <d v="2023-11-11T00:00:00"/>
    <x v="523"/>
    <x v="257"/>
    <n v="197"/>
    <s v="INV01215"/>
    <n v="197"/>
    <n v="296.17460000000005"/>
    <m/>
    <m/>
    <m/>
    <m/>
    <m/>
    <n v="296.17460000000005"/>
    <d v="2023-09-25T00:00:00"/>
    <n v="0"/>
    <n v="0"/>
    <n v="0"/>
    <n v="0"/>
    <n v="0"/>
    <n v="0"/>
    <n v="0"/>
    <x v="0"/>
    <n v="58346.39620000001"/>
    <n v="58346.39620000001"/>
    <n v="0"/>
    <n v="0"/>
    <x v="0"/>
    <x v="0"/>
  </r>
  <r>
    <s v="ORD01216"/>
    <d v="2024-01-27T00:00:00"/>
    <x v="506"/>
    <x v="214"/>
    <n v="74"/>
    <s v="INV01216"/>
    <n v="74"/>
    <n v="77.178600000000003"/>
    <m/>
    <m/>
    <m/>
    <m/>
    <m/>
    <n v="77.178600000000003"/>
    <d v="2023-02-18T00:00:00"/>
    <n v="0"/>
    <n v="0"/>
    <n v="0"/>
    <n v="0"/>
    <n v="0"/>
    <n v="0"/>
    <n v="0"/>
    <x v="0"/>
    <n v="5711.2164000000002"/>
    <n v="5711.2164000000002"/>
    <n v="0"/>
    <n v="0"/>
    <x v="0"/>
    <x v="15"/>
  </r>
  <r>
    <s v="ORD01217"/>
    <d v="2023-01-29T00:00:00"/>
    <x v="143"/>
    <x v="42"/>
    <n v="64"/>
    <s v="INV01217"/>
    <n v="64"/>
    <n v="1043.3556000000001"/>
    <n v="20"/>
    <d v="2024-06-09T00:00:00"/>
    <m/>
    <m/>
    <m/>
    <n v="1043.3556000000001"/>
    <d v="2022-11-17T00:00:00"/>
    <n v="0"/>
    <n v="0"/>
    <n v="0"/>
    <n v="0"/>
    <n v="0"/>
    <n v="1"/>
    <n v="0"/>
    <x v="1"/>
    <n v="66774.758400000006"/>
    <n v="66774.758400000006"/>
    <n v="0"/>
    <n v="2"/>
    <x v="1"/>
    <x v="8"/>
  </r>
  <r>
    <s v="ORD01218"/>
    <d v="2024-05-14T00:00:00"/>
    <x v="245"/>
    <x v="222"/>
    <n v="184"/>
    <s v="INV01218"/>
    <n v="184"/>
    <n v="273.24680000000001"/>
    <m/>
    <m/>
    <m/>
    <m/>
    <m/>
    <n v="273.24680000000001"/>
    <d v="2023-06-26T00:00:00"/>
    <n v="0"/>
    <n v="0"/>
    <n v="0"/>
    <n v="0"/>
    <n v="0"/>
    <n v="0"/>
    <n v="0"/>
    <x v="0"/>
    <n v="50277.411200000002"/>
    <n v="50277.411200000002"/>
    <n v="0"/>
    <n v="0"/>
    <x v="0"/>
    <x v="13"/>
  </r>
  <r>
    <s v="ORD01219"/>
    <d v="2024-10-02T00:00:00"/>
    <x v="545"/>
    <x v="254"/>
    <n v="174"/>
    <s v="INV01219"/>
    <n v="174"/>
    <n v="571.49840000000006"/>
    <n v="5"/>
    <d v="2024-04-24T00:00:00"/>
    <m/>
    <m/>
    <m/>
    <n v="571.49840000000006"/>
    <d v="2023-05-25T00:00:00"/>
    <n v="0"/>
    <n v="0"/>
    <n v="0"/>
    <n v="0"/>
    <n v="0"/>
    <n v="0"/>
    <n v="0"/>
    <x v="0"/>
    <n v="99440.721600000004"/>
    <n v="99440.721600000004"/>
    <n v="0"/>
    <n v="0"/>
    <x v="0"/>
    <x v="5"/>
  </r>
  <r>
    <s v="ORD01220"/>
    <d v="2023-05-12T00:00:00"/>
    <x v="361"/>
    <x v="286"/>
    <n v="91"/>
    <s v="INV01220"/>
    <n v="91"/>
    <n v="272.97059999999999"/>
    <m/>
    <m/>
    <m/>
    <m/>
    <m/>
    <n v="272.97059999999999"/>
    <d v="2022-11-18T00:00:00"/>
    <n v="0"/>
    <n v="0"/>
    <n v="0"/>
    <n v="0"/>
    <n v="0"/>
    <n v="0"/>
    <n v="0"/>
    <x v="0"/>
    <n v="24840.3246"/>
    <n v="24840.3246"/>
    <n v="0"/>
    <n v="0"/>
    <x v="0"/>
    <x v="7"/>
  </r>
  <r>
    <s v="ORD01221"/>
    <d v="2024-11-21T00:00:00"/>
    <x v="161"/>
    <x v="54"/>
    <n v="12"/>
    <s v="INV01221"/>
    <n v="12"/>
    <n v="465.21179999999998"/>
    <m/>
    <m/>
    <m/>
    <m/>
    <m/>
    <n v="465.21179999999998"/>
    <d v="2023-07-30T00:00:00"/>
    <n v="0"/>
    <n v="0"/>
    <n v="0"/>
    <n v="0"/>
    <n v="0"/>
    <n v="0"/>
    <n v="0"/>
    <x v="0"/>
    <n v="5582.5415999999996"/>
    <n v="5582.5415999999996"/>
    <n v="0"/>
    <n v="0"/>
    <x v="0"/>
    <x v="4"/>
  </r>
  <r>
    <s v="ORD01222"/>
    <d v="2024-01-11T00:00:00"/>
    <x v="627"/>
    <x v="244"/>
    <n v="109"/>
    <s v="INV01222"/>
    <n v="109"/>
    <n v="1072.2954"/>
    <n v="9"/>
    <d v="2024-12-24T00:00:00"/>
    <m/>
    <m/>
    <m/>
    <n v="1072.2954"/>
    <d v="2023-07-13T00:00:00"/>
    <n v="0"/>
    <n v="0"/>
    <n v="0"/>
    <n v="0"/>
    <n v="0"/>
    <n v="1"/>
    <n v="0"/>
    <x v="1"/>
    <n v="116880.1986"/>
    <n v="116880.1986"/>
    <n v="0"/>
    <n v="2"/>
    <x v="1"/>
    <x v="15"/>
  </r>
  <r>
    <s v="ORD01223"/>
    <d v="2023-08-28T00:00:00"/>
    <x v="628"/>
    <x v="273"/>
    <n v="79"/>
    <s v="INV01223"/>
    <n v="79"/>
    <n v="1224.4680000000001"/>
    <m/>
    <m/>
    <m/>
    <m/>
    <m/>
    <n v="1224.4680000000001"/>
    <d v="2022-09-01T00:00:00"/>
    <n v="0"/>
    <n v="0"/>
    <n v="0"/>
    <n v="0"/>
    <n v="0"/>
    <n v="0"/>
    <n v="0"/>
    <x v="0"/>
    <n v="96732.972000000009"/>
    <n v="96732.972000000009"/>
    <n v="0"/>
    <n v="0"/>
    <x v="0"/>
    <x v="12"/>
  </r>
  <r>
    <s v="ORD01224"/>
    <d v="2023-03-14T00:00:00"/>
    <x v="546"/>
    <x v="56"/>
    <n v="22"/>
    <s v="INV01224"/>
    <n v="22"/>
    <n v="639.91840000000002"/>
    <n v="4"/>
    <d v="2024-04-09T00:00:00"/>
    <m/>
    <m/>
    <m/>
    <n v="639.91840000000002"/>
    <d v="2023-01-04T00:00:00"/>
    <n v="0"/>
    <n v="0"/>
    <n v="0"/>
    <n v="0"/>
    <n v="0"/>
    <n v="1"/>
    <n v="0"/>
    <x v="1"/>
    <n v="14078.2048"/>
    <n v="14078.2048"/>
    <n v="0"/>
    <n v="2"/>
    <x v="1"/>
    <x v="17"/>
  </r>
  <r>
    <s v="ORD01225"/>
    <d v="2024-10-03T00:00:00"/>
    <x v="27"/>
    <x v="36"/>
    <n v="160"/>
    <s v="INV01225"/>
    <n v="160"/>
    <n v="415.70589999999999"/>
    <m/>
    <m/>
    <m/>
    <m/>
    <m/>
    <n v="415.70589999999999"/>
    <d v="2023-03-04T00:00:00"/>
    <n v="0"/>
    <n v="0"/>
    <n v="0"/>
    <n v="0"/>
    <n v="0"/>
    <n v="0"/>
    <n v="0"/>
    <x v="0"/>
    <n v="66512.944000000003"/>
    <n v="66512.944000000003"/>
    <n v="0"/>
    <n v="0"/>
    <x v="0"/>
    <x v="5"/>
  </r>
  <r>
    <s v="ORD01226"/>
    <d v="2024-03-13T00:00:00"/>
    <x v="205"/>
    <x v="150"/>
    <n v="119"/>
    <s v="INV01226"/>
    <n v="119"/>
    <n v="956.41030000000001"/>
    <m/>
    <m/>
    <m/>
    <m/>
    <m/>
    <n v="956.41030000000001"/>
    <d v="2023-08-30T00:00:00"/>
    <n v="0"/>
    <n v="0"/>
    <n v="0"/>
    <n v="0"/>
    <n v="0"/>
    <n v="0"/>
    <n v="0"/>
    <x v="0"/>
    <n v="113812.8257"/>
    <n v="113812.8257"/>
    <n v="0"/>
    <n v="0"/>
    <x v="0"/>
    <x v="6"/>
  </r>
  <r>
    <s v="ORD01227"/>
    <d v="2024-01-06T00:00:00"/>
    <x v="527"/>
    <x v="251"/>
    <n v="87"/>
    <s v="INV01227"/>
    <n v="87"/>
    <n v="75.504800000000003"/>
    <m/>
    <m/>
    <m/>
    <m/>
    <m/>
    <n v="75.504800000000003"/>
    <d v="2023-06-03T00:00:00"/>
    <n v="0"/>
    <n v="0"/>
    <n v="0"/>
    <n v="0"/>
    <n v="0"/>
    <n v="0"/>
    <n v="0"/>
    <x v="0"/>
    <n v="6568.9176000000007"/>
    <n v="6568.9176000000007"/>
    <n v="0"/>
    <n v="0"/>
    <x v="0"/>
    <x v="15"/>
  </r>
  <r>
    <s v="ORD01228"/>
    <d v="2023-11-16T00:00:00"/>
    <x v="333"/>
    <x v="267"/>
    <n v="107"/>
    <s v="INV01228"/>
    <n v="107"/>
    <n v="68.942999999999998"/>
    <m/>
    <m/>
    <m/>
    <m/>
    <m/>
    <n v="68.942999999999998"/>
    <d v="2023-03-13T00:00:00"/>
    <n v="0"/>
    <n v="0"/>
    <n v="0"/>
    <n v="0"/>
    <n v="0"/>
    <n v="0"/>
    <n v="0"/>
    <x v="0"/>
    <n v="7376.9009999999998"/>
    <n v="7376.9009999999998"/>
    <n v="0"/>
    <n v="0"/>
    <x v="0"/>
    <x v="0"/>
  </r>
  <r>
    <s v="ORD01229"/>
    <d v="2023-10-20T00:00:00"/>
    <x v="528"/>
    <x v="110"/>
    <n v="23"/>
    <s v="INV01229"/>
    <n v="23"/>
    <n v="951.75750000000005"/>
    <m/>
    <m/>
    <m/>
    <m/>
    <m/>
    <n v="951.75750000000005"/>
    <d v="2023-09-15T00:00:00"/>
    <n v="0"/>
    <n v="0"/>
    <n v="0"/>
    <n v="0"/>
    <n v="0"/>
    <n v="0"/>
    <n v="0"/>
    <x v="0"/>
    <n v="21890.422500000001"/>
    <n v="21890.422500000001"/>
    <n v="0"/>
    <n v="0"/>
    <x v="0"/>
    <x v="19"/>
  </r>
  <r>
    <s v="ORD01230"/>
    <d v="2024-07-20T00:00:00"/>
    <x v="133"/>
    <x v="246"/>
    <n v="144"/>
    <s v="INV01230"/>
    <n v="150"/>
    <n v="491.10239999999999"/>
    <n v="9"/>
    <d v="2023-07-29T00:00:00"/>
    <m/>
    <m/>
    <m/>
    <n v="491.10239999999999"/>
    <d v="2023-09-18T00:00:00"/>
    <n v="0"/>
    <n v="1"/>
    <n v="0"/>
    <n v="0"/>
    <n v="0"/>
    <n v="0"/>
    <n v="0"/>
    <x v="1"/>
    <n v="73665.36"/>
    <n v="70718.745599999995"/>
    <n v="2946.6144000000058"/>
    <n v="8"/>
    <x v="2"/>
    <x v="21"/>
  </r>
  <r>
    <s v="ORD01231"/>
    <d v="2024-05-30T00:00:00"/>
    <x v="629"/>
    <x v="35"/>
    <n v="164"/>
    <s v="INV01231"/>
    <n v="164"/>
    <n v="1120.6556"/>
    <m/>
    <m/>
    <m/>
    <m/>
    <m/>
    <n v="1120.6556"/>
    <d v="2023-04-10T00:00:00"/>
    <n v="0"/>
    <n v="0"/>
    <n v="0"/>
    <n v="0"/>
    <n v="0"/>
    <n v="0"/>
    <n v="0"/>
    <x v="0"/>
    <n v="183787.5184"/>
    <n v="183787.5184"/>
    <n v="0"/>
    <n v="0"/>
    <x v="0"/>
    <x v="13"/>
  </r>
  <r>
    <s v="ORD01232"/>
    <d v="2023-04-06T00:00:00"/>
    <x v="630"/>
    <x v="141"/>
    <n v="2"/>
    <s v="INV01232"/>
    <n v="2"/>
    <n v="785.89"/>
    <m/>
    <m/>
    <m/>
    <m/>
    <m/>
    <n v="785.89"/>
    <d v="2023-03-04T00:00:00"/>
    <n v="0"/>
    <n v="0"/>
    <n v="0"/>
    <n v="0"/>
    <n v="0"/>
    <n v="0"/>
    <n v="0"/>
    <x v="0"/>
    <n v="1571.78"/>
    <n v="1571.78"/>
    <n v="0"/>
    <n v="0"/>
    <x v="0"/>
    <x v="23"/>
  </r>
  <r>
    <s v="ORD01233"/>
    <d v="2024-04-04T00:00:00"/>
    <x v="631"/>
    <x v="135"/>
    <n v="147"/>
    <s v="INV01233"/>
    <n v="147"/>
    <n v="1231.8180000000002"/>
    <n v="6"/>
    <d v="2024-12-02T00:00:00"/>
    <m/>
    <m/>
    <m/>
    <n v="1231.8180000000002"/>
    <d v="2023-05-02T00:00:00"/>
    <n v="0"/>
    <n v="0"/>
    <n v="0"/>
    <n v="0"/>
    <n v="0"/>
    <n v="1"/>
    <n v="0"/>
    <x v="1"/>
    <n v="181077.24600000004"/>
    <n v="181077.24600000004"/>
    <n v="0"/>
    <n v="2"/>
    <x v="1"/>
    <x v="9"/>
  </r>
  <r>
    <s v="ORD01234"/>
    <d v="2024-08-02T00:00:00"/>
    <x v="632"/>
    <x v="1"/>
    <n v="70"/>
    <s v="INV01234"/>
    <n v="70"/>
    <n v="444.22"/>
    <m/>
    <m/>
    <m/>
    <m/>
    <m/>
    <n v="444.22"/>
    <d v="2023-05-28T00:00:00"/>
    <n v="0"/>
    <n v="0"/>
    <n v="0"/>
    <n v="0"/>
    <n v="0"/>
    <n v="0"/>
    <n v="0"/>
    <x v="0"/>
    <n v="31095.4"/>
    <n v="31095.4"/>
    <n v="0"/>
    <n v="0"/>
    <x v="0"/>
    <x v="22"/>
  </r>
  <r>
    <s v="ORD01235"/>
    <d v="2024-11-23T00:00:00"/>
    <x v="181"/>
    <x v="166"/>
    <n v="23"/>
    <s v="INV01235"/>
    <n v="23"/>
    <n v="156.37459999999999"/>
    <m/>
    <m/>
    <m/>
    <m/>
    <m/>
    <n v="156.37459999999999"/>
    <d v="2023-06-13T00:00:00"/>
    <n v="0"/>
    <n v="0"/>
    <n v="0"/>
    <n v="0"/>
    <n v="0"/>
    <n v="0"/>
    <n v="0"/>
    <x v="0"/>
    <n v="3596.6157999999996"/>
    <n v="3596.6157999999996"/>
    <n v="0"/>
    <n v="0"/>
    <x v="0"/>
    <x v="4"/>
  </r>
  <r>
    <s v="ORD01236"/>
    <d v="2023-10-05T00:00:00"/>
    <x v="458"/>
    <x v="294"/>
    <n v="152"/>
    <s v="INV01236"/>
    <n v="152"/>
    <n v="143.86799999999999"/>
    <m/>
    <m/>
    <m/>
    <m/>
    <m/>
    <n v="143.86799999999999"/>
    <d v="2023-04-20T00:00:00"/>
    <n v="0"/>
    <n v="0"/>
    <n v="0"/>
    <n v="0"/>
    <n v="0"/>
    <n v="0"/>
    <n v="0"/>
    <x v="0"/>
    <n v="21867.935999999998"/>
    <n v="21867.935999999998"/>
    <n v="0"/>
    <n v="0"/>
    <x v="0"/>
    <x v="19"/>
  </r>
  <r>
    <s v="ORD01237"/>
    <d v="2023-01-29T00:00:00"/>
    <x v="18"/>
    <x v="95"/>
    <n v="179"/>
    <s v="INV01237"/>
    <n v="179"/>
    <n v="951.87149999999997"/>
    <m/>
    <m/>
    <m/>
    <m/>
    <m/>
    <n v="951.87149999999997"/>
    <d v="2022-11-22T00:00:00"/>
    <n v="0"/>
    <n v="0"/>
    <n v="0"/>
    <n v="0"/>
    <n v="0"/>
    <n v="0"/>
    <n v="0"/>
    <x v="0"/>
    <n v="170384.99849999999"/>
    <n v="170384.99849999999"/>
    <n v="0"/>
    <n v="0"/>
    <x v="0"/>
    <x v="8"/>
  </r>
  <r>
    <s v="ORD01238"/>
    <d v="2024-01-26T00:00:00"/>
    <x v="77"/>
    <x v="161"/>
    <n v="87"/>
    <s v="INV01238"/>
    <n v="87"/>
    <n v="1006.8318"/>
    <n v="13"/>
    <d v="2023-05-20T00:00:00"/>
    <m/>
    <m/>
    <m/>
    <n v="1006.8318"/>
    <d v="2023-10-05T00:00:00"/>
    <n v="0"/>
    <n v="0"/>
    <n v="0"/>
    <n v="0"/>
    <n v="0"/>
    <n v="0"/>
    <n v="0"/>
    <x v="0"/>
    <n v="87594.366600000008"/>
    <n v="87594.366600000008"/>
    <n v="0"/>
    <n v="0"/>
    <x v="0"/>
    <x v="15"/>
  </r>
  <r>
    <s v="ORD01239"/>
    <d v="2023-07-13T00:00:00"/>
    <x v="633"/>
    <x v="117"/>
    <n v="4"/>
    <s v="INV01239"/>
    <n v="4"/>
    <n v="214.6182"/>
    <m/>
    <m/>
    <m/>
    <m/>
    <m/>
    <n v="214.6182"/>
    <d v="2023-07-09T00:00:00"/>
    <n v="0"/>
    <n v="0"/>
    <n v="0"/>
    <n v="0"/>
    <n v="0"/>
    <n v="0"/>
    <n v="0"/>
    <x v="0"/>
    <n v="858.47280000000001"/>
    <n v="858.47280000000001"/>
    <n v="0"/>
    <n v="0"/>
    <x v="0"/>
    <x v="10"/>
  </r>
  <r>
    <s v="ORD01240"/>
    <d v="2023-04-30T00:00:00"/>
    <x v="353"/>
    <x v="172"/>
    <n v="185"/>
    <s v="INV01240"/>
    <n v="185"/>
    <n v="370.82850000000002"/>
    <m/>
    <m/>
    <m/>
    <m/>
    <m/>
    <n v="370.82850000000002"/>
    <d v="2023-03-01T00:00:00"/>
    <n v="0"/>
    <n v="0"/>
    <n v="0"/>
    <n v="0"/>
    <n v="0"/>
    <n v="0"/>
    <n v="0"/>
    <x v="0"/>
    <n v="68603.272500000006"/>
    <n v="68603.272500000006"/>
    <n v="0"/>
    <n v="0"/>
    <x v="0"/>
    <x v="23"/>
  </r>
  <r>
    <s v="ORD01241"/>
    <d v="2023-01-03T00:00:00"/>
    <x v="634"/>
    <x v="180"/>
    <n v="100"/>
    <s v="INV01241"/>
    <n v="100"/>
    <n v="986.71040000000005"/>
    <m/>
    <m/>
    <m/>
    <m/>
    <m/>
    <n v="986.71040000000005"/>
    <d v="2022-11-27T00:00:00"/>
    <n v="0"/>
    <n v="0"/>
    <n v="0"/>
    <n v="0"/>
    <n v="0"/>
    <n v="0"/>
    <n v="0"/>
    <x v="0"/>
    <n v="98671.040000000008"/>
    <n v="98671.040000000008"/>
    <n v="0"/>
    <n v="0"/>
    <x v="0"/>
    <x v="8"/>
  </r>
  <r>
    <s v="ORD01242"/>
    <d v="2024-05-16T00:00:00"/>
    <x v="267"/>
    <x v="96"/>
    <n v="21"/>
    <s v="INV01242"/>
    <n v="21"/>
    <n v="497.4264"/>
    <m/>
    <m/>
    <m/>
    <m/>
    <m/>
    <n v="497.4264"/>
    <d v="2023-10-13T00:00:00"/>
    <n v="0"/>
    <n v="0"/>
    <n v="0"/>
    <n v="0"/>
    <n v="0"/>
    <n v="0"/>
    <n v="0"/>
    <x v="0"/>
    <n v="10445.954400000001"/>
    <n v="10445.954400000001"/>
    <n v="0"/>
    <n v="0"/>
    <x v="0"/>
    <x v="13"/>
  </r>
  <r>
    <s v="ORD01243"/>
    <d v="2023-07-08T00:00:00"/>
    <x v="58"/>
    <x v="283"/>
    <n v="7"/>
    <s v="INV01243"/>
    <n v="7"/>
    <n v="112.0184"/>
    <m/>
    <m/>
    <m/>
    <m/>
    <m/>
    <n v="112.0184"/>
    <d v="2022-12-10T00:00:00"/>
    <n v="0"/>
    <n v="0"/>
    <n v="0"/>
    <n v="0"/>
    <n v="0"/>
    <n v="0"/>
    <n v="0"/>
    <x v="0"/>
    <n v="784.12879999999996"/>
    <n v="784.12879999999996"/>
    <n v="0"/>
    <n v="0"/>
    <x v="0"/>
    <x v="10"/>
  </r>
  <r>
    <s v="ORD01244"/>
    <d v="2023-06-20T00:00:00"/>
    <x v="592"/>
    <x v="192"/>
    <n v="30"/>
    <s v="INV01244"/>
    <n v="30"/>
    <n v="247.48920000000001"/>
    <m/>
    <m/>
    <m/>
    <m/>
    <m/>
    <n v="247.48920000000001"/>
    <d v="2023-06-11T00:00:00"/>
    <n v="0"/>
    <n v="0"/>
    <n v="0"/>
    <n v="0"/>
    <n v="0"/>
    <n v="0"/>
    <n v="0"/>
    <x v="0"/>
    <n v="7424.6760000000004"/>
    <n v="7424.6760000000004"/>
    <n v="0"/>
    <n v="0"/>
    <x v="0"/>
    <x v="14"/>
  </r>
  <r>
    <s v="ORD01245"/>
    <d v="2024-05-25T00:00:00"/>
    <x v="114"/>
    <x v="265"/>
    <n v="179"/>
    <s v="INV01245"/>
    <n v="179"/>
    <n v="223.6044"/>
    <m/>
    <m/>
    <m/>
    <m/>
    <m/>
    <n v="223.6044"/>
    <d v="2023-06-14T00:00:00"/>
    <n v="0"/>
    <n v="0"/>
    <n v="0"/>
    <n v="0"/>
    <n v="0"/>
    <n v="0"/>
    <n v="0"/>
    <x v="0"/>
    <n v="40025.187599999997"/>
    <n v="40025.187599999997"/>
    <n v="0"/>
    <n v="0"/>
    <x v="0"/>
    <x v="13"/>
  </r>
  <r>
    <s v="ORD01246"/>
    <d v="2024-02-25T00:00:00"/>
    <x v="635"/>
    <x v="59"/>
    <n v="171"/>
    <s v="INV01246"/>
    <n v="171"/>
    <n v="942.54840000000013"/>
    <m/>
    <m/>
    <m/>
    <m/>
    <m/>
    <n v="942.54840000000013"/>
    <d v="2023-06-09T00:00:00"/>
    <n v="0"/>
    <n v="0"/>
    <n v="0"/>
    <n v="0"/>
    <n v="0"/>
    <n v="0"/>
    <n v="0"/>
    <x v="0"/>
    <n v="161175.77640000003"/>
    <n v="161175.77640000003"/>
    <n v="0"/>
    <n v="0"/>
    <x v="0"/>
    <x v="3"/>
  </r>
  <r>
    <s v="ORD01247"/>
    <d v="2024-05-07T00:00:00"/>
    <x v="500"/>
    <x v="193"/>
    <n v="55"/>
    <s v="INV01247"/>
    <n v="55"/>
    <n v="1030.7952"/>
    <m/>
    <m/>
    <m/>
    <m/>
    <m/>
    <n v="1030.7952"/>
    <d v="2023-08-16T00:00:00"/>
    <n v="0"/>
    <n v="0"/>
    <n v="0"/>
    <n v="0"/>
    <n v="0"/>
    <n v="0"/>
    <n v="0"/>
    <x v="0"/>
    <n v="56693.736000000004"/>
    <n v="56693.736000000004"/>
    <n v="0"/>
    <n v="0"/>
    <x v="0"/>
    <x v="13"/>
  </r>
  <r>
    <s v="ORD01248"/>
    <d v="2024-08-02T00:00:00"/>
    <x v="273"/>
    <x v="196"/>
    <n v="32"/>
    <s v="INV01248"/>
    <n v="32"/>
    <n v="1099.82"/>
    <m/>
    <m/>
    <m/>
    <m/>
    <m/>
    <n v="1099.82"/>
    <d v="2023-02-05T00:00:00"/>
    <n v="0"/>
    <n v="0"/>
    <n v="0"/>
    <n v="0"/>
    <n v="0"/>
    <n v="0"/>
    <n v="0"/>
    <x v="0"/>
    <n v="35194.239999999998"/>
    <n v="35194.239999999998"/>
    <n v="0"/>
    <n v="0"/>
    <x v="0"/>
    <x v="22"/>
  </r>
  <r>
    <s v="ORD01249"/>
    <d v="2024-05-04T00:00:00"/>
    <x v="403"/>
    <x v="164"/>
    <n v="34"/>
    <s v="INV01249"/>
    <n v="34"/>
    <n v="709.52"/>
    <m/>
    <m/>
    <m/>
    <m/>
    <m/>
    <n v="709.52"/>
    <d v="2023-01-26T00:00:00"/>
    <n v="0"/>
    <n v="0"/>
    <n v="0"/>
    <n v="0"/>
    <n v="0"/>
    <n v="0"/>
    <n v="0"/>
    <x v="0"/>
    <n v="24123.68"/>
    <n v="24123.68"/>
    <n v="0"/>
    <n v="0"/>
    <x v="0"/>
    <x v="13"/>
  </r>
  <r>
    <s v="ORD01250"/>
    <d v="2023-04-30T00:00:00"/>
    <x v="636"/>
    <x v="202"/>
    <n v="50"/>
    <s v="INV01250"/>
    <n v="50"/>
    <n v="614.96820000000002"/>
    <m/>
    <m/>
    <m/>
    <m/>
    <m/>
    <n v="614.96820000000002"/>
    <d v="2023-02-27T00:00:00"/>
    <n v="0"/>
    <n v="0"/>
    <n v="0"/>
    <n v="0"/>
    <n v="0"/>
    <n v="0"/>
    <n v="0"/>
    <x v="0"/>
    <n v="30748.41"/>
    <n v="30748.41"/>
    <n v="0"/>
    <n v="0"/>
    <x v="0"/>
    <x v="23"/>
  </r>
  <r>
    <s v="ORD01251"/>
    <d v="2024-01-14T00:00:00"/>
    <x v="637"/>
    <x v="134"/>
    <n v="147"/>
    <s v="INV01251"/>
    <n v="147"/>
    <n v="410.02"/>
    <m/>
    <m/>
    <m/>
    <m/>
    <m/>
    <n v="410.02"/>
    <d v="2023-04-01T00:00:00"/>
    <n v="0"/>
    <n v="0"/>
    <n v="0"/>
    <n v="0"/>
    <n v="0"/>
    <n v="0"/>
    <n v="0"/>
    <x v="0"/>
    <n v="60272.939999999995"/>
    <n v="60272.939999999995"/>
    <n v="0"/>
    <n v="0"/>
    <x v="0"/>
    <x v="15"/>
  </r>
  <r>
    <s v="ORD01252"/>
    <d v="2023-02-27T00:00:00"/>
    <x v="395"/>
    <x v="89"/>
    <n v="169"/>
    <s v="INV01252"/>
    <n v="169"/>
    <n v="929.77200000000005"/>
    <m/>
    <m/>
    <m/>
    <m/>
    <m/>
    <n v="929.77200000000005"/>
    <d v="2022-11-22T00:00:00"/>
    <n v="0"/>
    <n v="0"/>
    <n v="0"/>
    <n v="0"/>
    <n v="0"/>
    <n v="0"/>
    <n v="0"/>
    <x v="0"/>
    <n v="157131.46800000002"/>
    <n v="157131.46800000002"/>
    <n v="0"/>
    <n v="0"/>
    <x v="0"/>
    <x v="11"/>
  </r>
  <r>
    <s v="ORD01253"/>
    <d v="2023-04-02T00:00:00"/>
    <x v="638"/>
    <x v="253"/>
    <n v="193"/>
    <s v="INV01253"/>
    <n v="193"/>
    <n v="1092.5376000000001"/>
    <m/>
    <m/>
    <m/>
    <m/>
    <m/>
    <n v="1092.5376000000001"/>
    <d v="2023-03-11T00:00:00"/>
    <n v="0"/>
    <n v="0"/>
    <n v="0"/>
    <n v="0"/>
    <n v="0"/>
    <n v="0"/>
    <n v="0"/>
    <x v="0"/>
    <n v="210859.75680000003"/>
    <n v="210859.75680000003"/>
    <n v="0"/>
    <n v="0"/>
    <x v="0"/>
    <x v="23"/>
  </r>
  <r>
    <s v="ORD01254"/>
    <d v="2023-03-02T00:00:00"/>
    <x v="267"/>
    <x v="113"/>
    <n v="117"/>
    <s v="INV01254"/>
    <n v="117"/>
    <n v="951.54780000000005"/>
    <m/>
    <m/>
    <m/>
    <m/>
    <m/>
    <n v="951.54780000000005"/>
    <d v="2023-02-07T00:00:00"/>
    <n v="0"/>
    <n v="0"/>
    <n v="0"/>
    <n v="0"/>
    <n v="0"/>
    <n v="0"/>
    <n v="0"/>
    <x v="0"/>
    <n v="111331.0926"/>
    <n v="111331.0926"/>
    <n v="0"/>
    <n v="0"/>
    <x v="0"/>
    <x v="17"/>
  </r>
  <r>
    <s v="ORD01255"/>
    <d v="2024-07-12T00:00:00"/>
    <x v="639"/>
    <x v="125"/>
    <n v="32"/>
    <s v="INV01255"/>
    <n v="32"/>
    <n v="405.98"/>
    <m/>
    <m/>
    <m/>
    <m/>
    <m/>
    <n v="405.98"/>
    <d v="2023-08-14T00:00:00"/>
    <n v="0"/>
    <n v="0"/>
    <n v="0"/>
    <n v="0"/>
    <n v="0"/>
    <n v="0"/>
    <n v="0"/>
    <x v="0"/>
    <n v="12991.36"/>
    <n v="12991.36"/>
    <n v="0"/>
    <n v="0"/>
    <x v="0"/>
    <x v="21"/>
  </r>
  <r>
    <s v="ORD01256"/>
    <d v="2023-06-13T00:00:00"/>
    <x v="528"/>
    <x v="260"/>
    <n v="103"/>
    <s v="INV01256"/>
    <n v="103"/>
    <n v="990.72749999999996"/>
    <m/>
    <m/>
    <m/>
    <m/>
    <m/>
    <n v="990.72749999999996"/>
    <d v="2023-05-22T00:00:00"/>
    <n v="0"/>
    <n v="0"/>
    <n v="0"/>
    <n v="0"/>
    <n v="0"/>
    <n v="0"/>
    <n v="0"/>
    <x v="0"/>
    <n v="102044.9325"/>
    <n v="102044.9325"/>
    <n v="0"/>
    <n v="0"/>
    <x v="0"/>
    <x v="14"/>
  </r>
  <r>
    <s v="ORD01257"/>
    <d v="2023-12-14T00:00:00"/>
    <x v="640"/>
    <x v="250"/>
    <n v="153"/>
    <s v="INV01257"/>
    <n v="153"/>
    <n v="92.962000000000003"/>
    <n v="17"/>
    <d v="2023-05-03T00:00:00"/>
    <m/>
    <m/>
    <m/>
    <n v="92.962000000000003"/>
    <d v="2023-08-13T00:00:00"/>
    <n v="0"/>
    <n v="0"/>
    <n v="0"/>
    <n v="0"/>
    <n v="0"/>
    <n v="0"/>
    <n v="0"/>
    <x v="0"/>
    <n v="14223.186"/>
    <n v="14223.186"/>
    <n v="0"/>
    <n v="0"/>
    <x v="0"/>
    <x v="20"/>
  </r>
  <r>
    <s v="ORD01258"/>
    <d v="2023-06-17T00:00:00"/>
    <x v="394"/>
    <x v="75"/>
    <n v="60"/>
    <s v="INV01258"/>
    <n v="60"/>
    <n v="492.50794262596276"/>
    <m/>
    <m/>
    <m/>
    <m/>
    <m/>
    <n v="492.38400000000001"/>
    <d v="2023-02-09T00:00:00"/>
    <n v="0"/>
    <n v="0"/>
    <n v="1"/>
    <n v="0"/>
    <n v="0"/>
    <n v="0"/>
    <n v="0"/>
    <x v="1"/>
    <n v="29550.476557557766"/>
    <n v="29543.040000000001"/>
    <n v="7.4365575577648997"/>
    <n v="4"/>
    <x v="1"/>
    <x v="14"/>
  </r>
  <r>
    <s v="ORD01259"/>
    <d v="2024-04-13T00:00:00"/>
    <x v="484"/>
    <x v="101"/>
    <n v="118"/>
    <s v="INV01259"/>
    <n v="118"/>
    <n v="1223.9694"/>
    <m/>
    <m/>
    <m/>
    <m/>
    <m/>
    <n v="1223.9694"/>
    <d v="2023-08-16T00:00:00"/>
    <n v="0"/>
    <n v="0"/>
    <n v="0"/>
    <n v="0"/>
    <n v="0"/>
    <n v="0"/>
    <n v="0"/>
    <x v="0"/>
    <n v="144428.38920000001"/>
    <n v="144428.38920000001"/>
    <n v="0"/>
    <n v="0"/>
    <x v="0"/>
    <x v="9"/>
  </r>
  <r>
    <s v="ORD01260"/>
    <d v="2023-07-09T00:00:00"/>
    <x v="611"/>
    <x v="184"/>
    <n v="143"/>
    <s v="INV01260"/>
    <n v="143"/>
    <n v="427.43"/>
    <m/>
    <m/>
    <m/>
    <m/>
    <m/>
    <n v="427.43"/>
    <d v="2023-05-08T00:00:00"/>
    <n v="0"/>
    <n v="0"/>
    <n v="0"/>
    <n v="0"/>
    <n v="0"/>
    <n v="0"/>
    <n v="0"/>
    <x v="0"/>
    <n v="61122.49"/>
    <n v="61122.49"/>
    <n v="0"/>
    <n v="0"/>
    <x v="0"/>
    <x v="10"/>
  </r>
  <r>
    <s v="ORD01261"/>
    <d v="2024-05-13T00:00:00"/>
    <x v="641"/>
    <x v="92"/>
    <n v="126"/>
    <s v="INV01261"/>
    <n v="126"/>
    <n v="833.73500000000001"/>
    <m/>
    <m/>
    <m/>
    <m/>
    <m/>
    <n v="833.73500000000001"/>
    <d v="2023-08-29T00:00:00"/>
    <n v="0"/>
    <n v="0"/>
    <n v="0"/>
    <n v="0"/>
    <n v="0"/>
    <n v="0"/>
    <n v="0"/>
    <x v="0"/>
    <n v="105050.61"/>
    <n v="105050.61"/>
    <n v="0"/>
    <n v="0"/>
    <x v="0"/>
    <x v="13"/>
  </r>
  <r>
    <s v="ORD01262"/>
    <d v="2023-01-21T00:00:00"/>
    <x v="50"/>
    <x v="149"/>
    <n v="188"/>
    <s v="INV01262"/>
    <n v="188"/>
    <n v="1146.7456000000002"/>
    <m/>
    <m/>
    <m/>
    <m/>
    <m/>
    <n v="1146.7456000000002"/>
    <d v="2022-11-19T00:00:00"/>
    <n v="0"/>
    <n v="0"/>
    <n v="0"/>
    <n v="0"/>
    <n v="0"/>
    <n v="0"/>
    <n v="0"/>
    <x v="0"/>
    <n v="215588.17280000003"/>
    <n v="215588.17280000003"/>
    <n v="0"/>
    <n v="0"/>
    <x v="0"/>
    <x v="8"/>
  </r>
  <r>
    <s v="ORD01263"/>
    <d v="2024-08-31T00:00:00"/>
    <x v="232"/>
    <x v="88"/>
    <n v="105"/>
    <s v="INV01263"/>
    <n v="105"/>
    <n v="211.68960000000001"/>
    <m/>
    <m/>
    <m/>
    <m/>
    <m/>
    <n v="211.68960000000001"/>
    <d v="2023-07-22T00:00:00"/>
    <n v="0"/>
    <n v="0"/>
    <n v="0"/>
    <n v="0"/>
    <n v="0"/>
    <n v="0"/>
    <n v="0"/>
    <x v="0"/>
    <n v="22227.408000000003"/>
    <n v="22227.408000000003"/>
    <n v="0"/>
    <n v="0"/>
    <x v="0"/>
    <x v="22"/>
  </r>
  <r>
    <s v="ORD01264"/>
    <d v="2023-09-18T00:00:00"/>
    <x v="186"/>
    <x v="241"/>
    <n v="126"/>
    <s v="INV01264"/>
    <n v="126"/>
    <n v="854.74350000000004"/>
    <m/>
    <m/>
    <m/>
    <m/>
    <m/>
    <n v="854.74350000000004"/>
    <d v="2023-02-27T00:00:00"/>
    <n v="0"/>
    <n v="0"/>
    <n v="0"/>
    <n v="0"/>
    <n v="0"/>
    <n v="0"/>
    <n v="0"/>
    <x v="0"/>
    <n v="107697.68100000001"/>
    <n v="107697.68100000001"/>
    <n v="0"/>
    <n v="0"/>
    <x v="0"/>
    <x v="18"/>
  </r>
  <r>
    <s v="ORD01265"/>
    <d v="2024-04-07T00:00:00"/>
    <x v="247"/>
    <x v="52"/>
    <n v="165"/>
    <s v="INV01265"/>
    <n v="165"/>
    <n v="61.845300000000002"/>
    <m/>
    <m/>
    <m/>
    <m/>
    <m/>
    <n v="61.845300000000002"/>
    <d v="2023-10-27T00:00:00"/>
    <n v="0"/>
    <n v="0"/>
    <n v="0"/>
    <n v="0"/>
    <n v="0"/>
    <n v="0"/>
    <n v="0"/>
    <x v="0"/>
    <n v="10204.4745"/>
    <n v="10204.4745"/>
    <n v="0"/>
    <n v="0"/>
    <x v="0"/>
    <x v="9"/>
  </r>
  <r>
    <s v="ORD01266"/>
    <d v="2024-05-13T00:00:00"/>
    <x v="593"/>
    <x v="175"/>
    <n v="169"/>
    <s v="INV01266"/>
    <n v="169"/>
    <n v="212.07900000000001"/>
    <n v="5"/>
    <d v="2024-11-03T00:00:00"/>
    <m/>
    <m/>
    <m/>
    <n v="212.07900000000001"/>
    <d v="2023-05-11T00:00:00"/>
    <n v="0"/>
    <n v="0"/>
    <n v="0"/>
    <n v="0"/>
    <n v="0"/>
    <n v="1"/>
    <n v="0"/>
    <x v="1"/>
    <n v="35841.351000000002"/>
    <n v="35841.351000000002"/>
    <n v="0"/>
    <n v="2"/>
    <x v="1"/>
    <x v="13"/>
  </r>
  <r>
    <s v="ORD01267"/>
    <d v="2023-12-14T00:00:00"/>
    <x v="133"/>
    <x v="193"/>
    <n v="89"/>
    <s v="INV01267"/>
    <n v="89"/>
    <n v="1030.7952"/>
    <n v="15"/>
    <d v="2025-01-18T00:00:00"/>
    <m/>
    <m/>
    <m/>
    <n v="1030.7952"/>
    <d v="2023-08-16T00:00:00"/>
    <n v="0"/>
    <n v="0"/>
    <n v="0"/>
    <n v="0"/>
    <n v="0"/>
    <n v="1"/>
    <n v="0"/>
    <x v="1"/>
    <n v="91740.772800000006"/>
    <n v="91740.772800000006"/>
    <n v="0"/>
    <n v="2"/>
    <x v="1"/>
    <x v="20"/>
  </r>
  <r>
    <s v="ORD01268"/>
    <d v="2023-06-20T00:00:00"/>
    <x v="642"/>
    <x v="22"/>
    <n v="99"/>
    <s v="INV01268"/>
    <n v="99"/>
    <n v="671.91280000000006"/>
    <m/>
    <m/>
    <m/>
    <m/>
    <m/>
    <n v="671.91280000000006"/>
    <d v="2023-03-10T00:00:00"/>
    <n v="0"/>
    <n v="0"/>
    <n v="0"/>
    <n v="0"/>
    <n v="0"/>
    <n v="0"/>
    <n v="0"/>
    <x v="0"/>
    <n v="66519.367200000008"/>
    <n v="66519.367200000008"/>
    <n v="0"/>
    <n v="0"/>
    <x v="0"/>
    <x v="14"/>
  </r>
  <r>
    <s v="ORD01269"/>
    <d v="2023-03-30T00:00:00"/>
    <x v="643"/>
    <x v="177"/>
    <n v="152"/>
    <s v="INV01269"/>
    <n v="152"/>
    <n v="335.39150000000001"/>
    <m/>
    <m/>
    <m/>
    <m/>
    <m/>
    <n v="335.39150000000001"/>
    <d v="2023-03-01T00:00:00"/>
    <n v="0"/>
    <n v="0"/>
    <n v="0"/>
    <n v="0"/>
    <n v="0"/>
    <n v="0"/>
    <n v="0"/>
    <x v="0"/>
    <n v="50979.508000000002"/>
    <n v="50979.508000000002"/>
    <n v="0"/>
    <n v="0"/>
    <x v="0"/>
    <x v="17"/>
  </r>
  <r>
    <s v="ORD01270"/>
    <d v="2024-06-03T00:00:00"/>
    <x v="397"/>
    <x v="141"/>
    <n v="175"/>
    <s v="INV01270"/>
    <n v="175"/>
    <n v="786.13320256772556"/>
    <m/>
    <m/>
    <m/>
    <m/>
    <m/>
    <n v="785.89"/>
    <d v="2023-03-04T00:00:00"/>
    <n v="0"/>
    <n v="0"/>
    <n v="1"/>
    <n v="0"/>
    <n v="0"/>
    <n v="0"/>
    <n v="0"/>
    <x v="1"/>
    <n v="137573.31044935196"/>
    <n v="137530.75"/>
    <n v="42.560449351964053"/>
    <n v="4"/>
    <x v="1"/>
    <x v="16"/>
  </r>
  <r>
    <s v="ORD01271"/>
    <d v="2024-07-25T00:00:00"/>
    <x v="392"/>
    <x v="253"/>
    <n v="49"/>
    <s v="INV01271"/>
    <n v="49"/>
    <n v="1092.5376000000001"/>
    <m/>
    <m/>
    <m/>
    <m/>
    <m/>
    <n v="1092.5376000000001"/>
    <d v="2023-03-11T00:00:00"/>
    <n v="0"/>
    <n v="0"/>
    <n v="0"/>
    <n v="0"/>
    <n v="0"/>
    <n v="0"/>
    <n v="0"/>
    <x v="0"/>
    <n v="53534.342400000009"/>
    <n v="53534.342400000009"/>
    <n v="0"/>
    <n v="0"/>
    <x v="0"/>
    <x v="21"/>
  </r>
  <r>
    <s v="ORD01272"/>
    <d v="2024-04-20T00:00:00"/>
    <x v="644"/>
    <x v="95"/>
    <n v="97"/>
    <s v="INV01272"/>
    <n v="97"/>
    <n v="1072.1079000000002"/>
    <m/>
    <m/>
    <m/>
    <m/>
    <m/>
    <n v="1072.1079000000002"/>
    <d v="2023-04-19T00:00:00"/>
    <n v="0"/>
    <n v="0"/>
    <n v="0"/>
    <n v="0"/>
    <n v="0"/>
    <n v="0"/>
    <n v="0"/>
    <x v="0"/>
    <n v="103994.46630000001"/>
    <n v="103994.46630000001"/>
    <n v="0"/>
    <n v="0"/>
    <x v="0"/>
    <x v="9"/>
  </r>
  <r>
    <s v="ORD01273"/>
    <d v="2023-05-21T00:00:00"/>
    <x v="241"/>
    <x v="151"/>
    <n v="181"/>
    <s v="INV01273"/>
    <n v="181"/>
    <n v="212.73140000000001"/>
    <m/>
    <m/>
    <m/>
    <m/>
    <m/>
    <n v="212.73140000000001"/>
    <d v="2023-05-05T00:00:00"/>
    <n v="0"/>
    <n v="0"/>
    <n v="0"/>
    <n v="0"/>
    <n v="0"/>
    <n v="0"/>
    <n v="0"/>
    <x v="0"/>
    <n v="38504.383399999999"/>
    <n v="38504.383399999999"/>
    <n v="0"/>
    <n v="0"/>
    <x v="0"/>
    <x v="7"/>
  </r>
  <r>
    <s v="ORD01274"/>
    <d v="2023-04-09T00:00:00"/>
    <x v="250"/>
    <x v="56"/>
    <n v="139"/>
    <s v="INV01274"/>
    <n v="139"/>
    <n v="639.91840000000002"/>
    <m/>
    <m/>
    <m/>
    <m/>
    <m/>
    <n v="639.91840000000002"/>
    <d v="2023-01-04T00:00:00"/>
    <n v="0"/>
    <n v="0"/>
    <n v="0"/>
    <n v="0"/>
    <n v="0"/>
    <n v="0"/>
    <n v="0"/>
    <x v="0"/>
    <n v="88948.657600000006"/>
    <n v="88948.657600000006"/>
    <n v="0"/>
    <n v="0"/>
    <x v="0"/>
    <x v="23"/>
  </r>
  <r>
    <s v="ORD01275"/>
    <d v="2023-12-26T00:00:00"/>
    <x v="645"/>
    <x v="66"/>
    <n v="150"/>
    <s v="INV01275"/>
    <n v="150"/>
    <n v="1160.5650000000001"/>
    <m/>
    <m/>
    <m/>
    <m/>
    <m/>
    <n v="1160.5650000000001"/>
    <d v="2023-05-09T00:00:00"/>
    <n v="0"/>
    <n v="0"/>
    <n v="0"/>
    <n v="0"/>
    <n v="0"/>
    <n v="0"/>
    <n v="0"/>
    <x v="0"/>
    <n v="174084.75"/>
    <n v="174084.75"/>
    <n v="0"/>
    <n v="0"/>
    <x v="0"/>
    <x v="20"/>
  </r>
  <r>
    <s v="ORD01276"/>
    <d v="2024-09-16T00:00:00"/>
    <x v="493"/>
    <x v="295"/>
    <n v="59"/>
    <s v="INV01276"/>
    <n v="59"/>
    <n v="765.65520000000015"/>
    <m/>
    <m/>
    <m/>
    <m/>
    <m/>
    <n v="765.65520000000015"/>
    <d v="2023-05-31T00:00:00"/>
    <n v="0"/>
    <n v="0"/>
    <n v="0"/>
    <n v="0"/>
    <n v="0"/>
    <n v="0"/>
    <n v="0"/>
    <x v="0"/>
    <n v="45173.656800000012"/>
    <n v="45173.656800000012"/>
    <n v="0"/>
    <n v="0"/>
    <x v="0"/>
    <x v="2"/>
  </r>
  <r>
    <s v="ORD01277"/>
    <d v="2024-06-19T00:00:00"/>
    <x v="646"/>
    <x v="116"/>
    <n v="88"/>
    <s v="INV01277"/>
    <n v="88"/>
    <n v="279.42789999999997"/>
    <m/>
    <m/>
    <m/>
    <m/>
    <m/>
    <n v="279.42789999999997"/>
    <d v="2023-06-26T00:00:00"/>
    <n v="0"/>
    <n v="0"/>
    <n v="0"/>
    <n v="0"/>
    <n v="0"/>
    <n v="0"/>
    <n v="0"/>
    <x v="0"/>
    <n v="24589.655199999997"/>
    <n v="24589.655199999997"/>
    <n v="0"/>
    <n v="0"/>
    <x v="0"/>
    <x v="16"/>
  </r>
  <r>
    <s v="ORD01278"/>
    <d v="2023-08-04T00:00:00"/>
    <x v="458"/>
    <x v="123"/>
    <n v="6"/>
    <s v="INV01278"/>
    <n v="6"/>
    <n v="618.375"/>
    <m/>
    <m/>
    <m/>
    <m/>
    <m/>
    <n v="618.375"/>
    <d v="2023-07-17T00:00:00"/>
    <n v="0"/>
    <n v="0"/>
    <n v="0"/>
    <n v="0"/>
    <n v="0"/>
    <n v="0"/>
    <n v="0"/>
    <x v="0"/>
    <n v="3710.25"/>
    <n v="3710.25"/>
    <n v="0"/>
    <n v="0"/>
    <x v="0"/>
    <x v="12"/>
  </r>
  <r>
    <s v="ORD01279"/>
    <d v="2023-01-02T00:00:00"/>
    <x v="647"/>
    <x v="44"/>
    <n v="12"/>
    <s v="INV01279"/>
    <n v="12"/>
    <n v="1016.1195197983631"/>
    <m/>
    <m/>
    <m/>
    <m/>
    <m/>
    <n v="1015.6622"/>
    <d v="2022-08-24T00:00:00"/>
    <n v="0"/>
    <n v="0"/>
    <n v="1"/>
    <n v="0"/>
    <n v="0"/>
    <n v="0"/>
    <n v="0"/>
    <x v="1"/>
    <n v="12193.434237580357"/>
    <n v="12187.946400000001"/>
    <n v="5.4878375803564268"/>
    <n v="4"/>
    <x v="1"/>
    <x v="8"/>
  </r>
  <r>
    <s v="ORD01280"/>
    <d v="2023-12-18T00:00:00"/>
    <x v="310"/>
    <x v="11"/>
    <n v="74"/>
    <s v="INV01280"/>
    <n v="74"/>
    <n v="687.65840000000003"/>
    <n v="15"/>
    <d v="2023-11-22T00:00:00"/>
    <m/>
    <m/>
    <m/>
    <n v="687.65840000000003"/>
    <d v="2023-08-01T00:00:00"/>
    <n v="0"/>
    <n v="0"/>
    <n v="0"/>
    <n v="0"/>
    <n v="0"/>
    <n v="0"/>
    <n v="0"/>
    <x v="0"/>
    <n v="50886.721600000004"/>
    <n v="50886.721600000004"/>
    <n v="0"/>
    <n v="0"/>
    <x v="0"/>
    <x v="20"/>
  </r>
  <r>
    <s v="ORD01281"/>
    <d v="2023-12-20T00:00:00"/>
    <x v="648"/>
    <x v="95"/>
    <n v="71"/>
    <s v="INV01281"/>
    <n v="71"/>
    <n v="1072.1079000000002"/>
    <m/>
    <m/>
    <m/>
    <m/>
    <m/>
    <n v="1072.1079000000002"/>
    <d v="2023-04-19T00:00:00"/>
    <n v="0"/>
    <n v="0"/>
    <n v="0"/>
    <n v="0"/>
    <n v="0"/>
    <n v="0"/>
    <n v="0"/>
    <x v="0"/>
    <n v="76119.660900000017"/>
    <n v="76119.660900000017"/>
    <n v="0"/>
    <n v="0"/>
    <x v="0"/>
    <x v="20"/>
  </r>
  <r>
    <s v="ORD01282"/>
    <d v="2024-01-23T00:00:00"/>
    <x v="65"/>
    <x v="186"/>
    <n v="46"/>
    <s v="INV01282"/>
    <n v="46"/>
    <n v="589.66600000000005"/>
    <n v="3"/>
    <d v="2024-10-19T00:00:00"/>
    <m/>
    <m/>
    <m/>
    <n v="589.66600000000005"/>
    <d v="2023-10-19T00:00:00"/>
    <n v="0"/>
    <n v="0"/>
    <n v="0"/>
    <n v="0"/>
    <n v="0"/>
    <n v="1"/>
    <n v="0"/>
    <x v="1"/>
    <n v="27124.636000000002"/>
    <n v="27124.636000000002"/>
    <n v="0"/>
    <n v="2"/>
    <x v="1"/>
    <x v="15"/>
  </r>
  <r>
    <s v="ORD01283"/>
    <d v="2024-09-09T00:00:00"/>
    <x v="450"/>
    <x v="132"/>
    <n v="124"/>
    <s v="INV01283"/>
    <n v="124"/>
    <n v="744.44590000000005"/>
    <m/>
    <m/>
    <m/>
    <m/>
    <m/>
    <n v="744.44590000000005"/>
    <d v="2023-03-23T00:00:00"/>
    <n v="0"/>
    <n v="0"/>
    <n v="0"/>
    <n v="0"/>
    <n v="0"/>
    <n v="0"/>
    <n v="0"/>
    <x v="0"/>
    <n v="92311.291600000011"/>
    <n v="92311.291600000011"/>
    <n v="0"/>
    <n v="0"/>
    <x v="0"/>
    <x v="2"/>
  </r>
  <r>
    <s v="ORD01284"/>
    <d v="2023-10-24T00:00:00"/>
    <x v="525"/>
    <x v="224"/>
    <n v="43"/>
    <s v="INV01284"/>
    <n v="43"/>
    <n v="377.08350000000002"/>
    <m/>
    <m/>
    <m/>
    <m/>
    <m/>
    <n v="377.08350000000002"/>
    <d v="2023-05-18T00:00:00"/>
    <n v="0"/>
    <n v="0"/>
    <n v="0"/>
    <n v="0"/>
    <n v="0"/>
    <n v="0"/>
    <n v="0"/>
    <x v="0"/>
    <n v="16214.5905"/>
    <n v="16214.5905"/>
    <n v="0"/>
    <n v="0"/>
    <x v="0"/>
    <x v="19"/>
  </r>
  <r>
    <s v="ORD01285"/>
    <d v="2023-02-02T00:00:00"/>
    <x v="649"/>
    <x v="145"/>
    <n v="55"/>
    <s v="INV01285"/>
    <n v="55"/>
    <n v="171.78"/>
    <m/>
    <m/>
    <m/>
    <m/>
    <m/>
    <n v="171.78"/>
    <d v="2022-02-06T00:00:00"/>
    <n v="0"/>
    <n v="0"/>
    <n v="0"/>
    <n v="0"/>
    <n v="0"/>
    <n v="0"/>
    <n v="0"/>
    <x v="0"/>
    <n v="9447.9"/>
    <n v="9447.9"/>
    <n v="0"/>
    <n v="0"/>
    <x v="0"/>
    <x v="11"/>
  </r>
  <r>
    <s v="ORD01286"/>
    <d v="2023-12-23T00:00:00"/>
    <x v="200"/>
    <x v="230"/>
    <n v="81"/>
    <s v="INV01286"/>
    <n v="81"/>
    <n v="234.87090000000001"/>
    <m/>
    <m/>
    <m/>
    <m/>
    <m/>
    <n v="234.87090000000001"/>
    <d v="2023-08-12T00:00:00"/>
    <n v="0"/>
    <n v="0"/>
    <n v="0"/>
    <n v="0"/>
    <n v="0"/>
    <n v="0"/>
    <n v="0"/>
    <x v="0"/>
    <n v="19024.5429"/>
    <n v="19024.5429"/>
    <n v="0"/>
    <n v="0"/>
    <x v="0"/>
    <x v="20"/>
  </r>
  <r>
    <s v="ORD01287"/>
    <d v="2024-05-19T00:00:00"/>
    <x v="82"/>
    <x v="68"/>
    <n v="119"/>
    <s v="INV01287"/>
    <n v="119"/>
    <n v="168.12909999999999"/>
    <m/>
    <m/>
    <m/>
    <m/>
    <m/>
    <n v="168.12909999999999"/>
    <d v="2023-03-28T00:00:00"/>
    <n v="0"/>
    <n v="0"/>
    <n v="0"/>
    <n v="0"/>
    <n v="0"/>
    <n v="0"/>
    <n v="0"/>
    <x v="0"/>
    <n v="20007.3629"/>
    <n v="20007.3629"/>
    <n v="0"/>
    <n v="0"/>
    <x v="0"/>
    <x v="13"/>
  </r>
  <r>
    <s v="ORD01288"/>
    <d v="2023-05-08T00:00:00"/>
    <x v="650"/>
    <x v="7"/>
    <n v="117"/>
    <s v="INV01288"/>
    <n v="117"/>
    <n v="510.91840000000002"/>
    <m/>
    <m/>
    <m/>
    <m/>
    <m/>
    <n v="510.91840000000002"/>
    <d v="2023-02-24T00:00:00"/>
    <n v="0"/>
    <n v="0"/>
    <n v="0"/>
    <n v="0"/>
    <n v="0"/>
    <n v="0"/>
    <n v="0"/>
    <x v="0"/>
    <n v="59777.452799999999"/>
    <n v="59777.452799999999"/>
    <n v="0"/>
    <n v="0"/>
    <x v="0"/>
    <x v="7"/>
  </r>
  <r>
    <s v="ORD01289"/>
    <d v="2024-04-10T00:00:00"/>
    <x v="213"/>
    <x v="7"/>
    <n v="44"/>
    <s v="INV01289"/>
    <n v="44"/>
    <n v="510.91840000000002"/>
    <m/>
    <m/>
    <m/>
    <m/>
    <m/>
    <n v="510.91840000000002"/>
    <d v="2023-02-24T00:00:00"/>
    <n v="0"/>
    <n v="0"/>
    <n v="0"/>
    <n v="0"/>
    <n v="0"/>
    <n v="0"/>
    <n v="0"/>
    <x v="0"/>
    <n v="22480.409599999999"/>
    <n v="22480.409599999999"/>
    <n v="0"/>
    <n v="0"/>
    <x v="0"/>
    <x v="9"/>
  </r>
  <r>
    <s v="ORD01290"/>
    <d v="2023-12-29T00:00:00"/>
    <x v="402"/>
    <x v="80"/>
    <n v="20"/>
    <s v="INV01290"/>
    <n v="20"/>
    <n v="1014.5718000000001"/>
    <m/>
    <m/>
    <m/>
    <m/>
    <m/>
    <n v="1014.5718000000001"/>
    <d v="2023-04-19T00:00:00"/>
    <n v="0"/>
    <n v="0"/>
    <n v="0"/>
    <n v="0"/>
    <n v="0"/>
    <n v="0"/>
    <n v="0"/>
    <x v="0"/>
    <n v="20291.436000000002"/>
    <n v="20291.436000000002"/>
    <n v="0"/>
    <n v="0"/>
    <x v="0"/>
    <x v="20"/>
  </r>
  <r>
    <s v="ORD01291"/>
    <d v="2024-12-06T00:00:00"/>
    <x v="612"/>
    <x v="59"/>
    <n v="162"/>
    <s v="INV01291"/>
    <n v="157"/>
    <n v="942.54840000000013"/>
    <m/>
    <m/>
    <m/>
    <m/>
    <m/>
    <n v="942.54840000000013"/>
    <d v="2023-06-09T00:00:00"/>
    <n v="0"/>
    <n v="1"/>
    <n v="0"/>
    <n v="0"/>
    <n v="0"/>
    <n v="0"/>
    <n v="0"/>
    <x v="1"/>
    <n v="147980.09880000001"/>
    <n v="152692.84080000003"/>
    <n v="-4712.7420000000275"/>
    <n v="8"/>
    <x v="2"/>
    <x v="1"/>
  </r>
  <r>
    <s v="ORD01292"/>
    <d v="2024-04-25T00:00:00"/>
    <x v="87"/>
    <x v="220"/>
    <n v="25"/>
    <s v="INV01292"/>
    <n v="25"/>
    <n v="1149.8634"/>
    <m/>
    <m/>
    <m/>
    <m/>
    <m/>
    <n v="1149.8634"/>
    <d v="2023-07-28T00:00:00"/>
    <n v="0"/>
    <n v="0"/>
    <n v="0"/>
    <n v="0"/>
    <n v="0"/>
    <n v="0"/>
    <n v="0"/>
    <x v="0"/>
    <n v="28746.584999999999"/>
    <n v="28746.584999999999"/>
    <n v="0"/>
    <n v="0"/>
    <x v="0"/>
    <x v="9"/>
  </r>
  <r>
    <s v="ORD01293"/>
    <d v="2023-05-24T00:00:00"/>
    <x v="651"/>
    <x v="8"/>
    <n v="177"/>
    <s v="INV01293"/>
    <n v="177"/>
    <n v="365.95330000000001"/>
    <m/>
    <m/>
    <m/>
    <m/>
    <m/>
    <n v="365.95330000000001"/>
    <d v="2022-09-20T00:00:00"/>
    <n v="0"/>
    <n v="0"/>
    <n v="0"/>
    <n v="0"/>
    <n v="0"/>
    <n v="0"/>
    <n v="0"/>
    <x v="0"/>
    <n v="64773.734100000001"/>
    <n v="64773.734100000001"/>
    <n v="0"/>
    <n v="0"/>
    <x v="0"/>
    <x v="7"/>
  </r>
  <r>
    <s v="ORD01294"/>
    <d v="2024-03-20T00:00:00"/>
    <x v="447"/>
    <x v="286"/>
    <n v="132"/>
    <s v="INV01294"/>
    <n v="132"/>
    <n v="278.27100000000002"/>
    <m/>
    <m/>
    <m/>
    <m/>
    <m/>
    <n v="278.27100000000002"/>
    <d v="2023-07-12T00:00:00"/>
    <n v="0"/>
    <n v="0"/>
    <n v="0"/>
    <n v="0"/>
    <n v="0"/>
    <n v="0"/>
    <n v="0"/>
    <x v="0"/>
    <n v="36731.772000000004"/>
    <n v="36731.772000000004"/>
    <n v="0"/>
    <n v="0"/>
    <x v="0"/>
    <x v="6"/>
  </r>
  <r>
    <s v="ORD01295"/>
    <d v="2024-11-21T00:00:00"/>
    <x v="250"/>
    <x v="114"/>
    <n v="53"/>
    <s v="INV01295"/>
    <n v="58"/>
    <n v="945.38850000000002"/>
    <m/>
    <m/>
    <m/>
    <m/>
    <m/>
    <n v="945.38850000000002"/>
    <d v="2023-05-01T00:00:00"/>
    <n v="0"/>
    <n v="1"/>
    <n v="0"/>
    <n v="0"/>
    <n v="0"/>
    <n v="0"/>
    <n v="0"/>
    <x v="1"/>
    <n v="54832.533000000003"/>
    <n v="50105.590499999998"/>
    <n v="4726.9425000000047"/>
    <n v="8"/>
    <x v="2"/>
    <x v="4"/>
  </r>
  <r>
    <s v="ORD01296"/>
    <d v="2023-09-18T00:00:00"/>
    <x v="509"/>
    <x v="62"/>
    <n v="141"/>
    <s v="INV01296"/>
    <n v="141"/>
    <n v="1080.0740000000001"/>
    <m/>
    <m/>
    <m/>
    <m/>
    <m/>
    <n v="1080.0740000000001"/>
    <d v="2023-05-12T00:00:00"/>
    <n v="0"/>
    <n v="0"/>
    <n v="0"/>
    <n v="0"/>
    <n v="0"/>
    <n v="0"/>
    <n v="0"/>
    <x v="0"/>
    <n v="152290.43400000001"/>
    <n v="152290.43400000001"/>
    <n v="0"/>
    <n v="0"/>
    <x v="0"/>
    <x v="18"/>
  </r>
  <r>
    <s v="ORD01297"/>
    <d v="2024-10-23T00:00:00"/>
    <x v="602"/>
    <x v="277"/>
    <n v="74"/>
    <s v="INV01297"/>
    <n v="74"/>
    <n v="544.5"/>
    <m/>
    <m/>
    <m/>
    <m/>
    <m/>
    <n v="544.5"/>
    <d v="2023-08-21T00:00:00"/>
    <n v="0"/>
    <n v="0"/>
    <n v="0"/>
    <n v="0"/>
    <n v="0"/>
    <n v="0"/>
    <n v="0"/>
    <x v="0"/>
    <n v="40293"/>
    <n v="40293"/>
    <n v="0"/>
    <n v="0"/>
    <x v="0"/>
    <x v="5"/>
  </r>
  <r>
    <s v="ORD01298"/>
    <d v="2023-07-20T00:00:00"/>
    <x v="471"/>
    <x v="137"/>
    <n v="102"/>
    <s v="INV01298"/>
    <n v="102"/>
    <n v="1026.4637"/>
    <m/>
    <m/>
    <m/>
    <m/>
    <m/>
    <n v="1026.4637"/>
    <d v="2023-02-10T00:00:00"/>
    <n v="0"/>
    <n v="0"/>
    <n v="0"/>
    <n v="0"/>
    <n v="0"/>
    <n v="0"/>
    <n v="0"/>
    <x v="0"/>
    <n v="104699.2974"/>
    <n v="104699.2974"/>
    <n v="0"/>
    <n v="0"/>
    <x v="0"/>
    <x v="10"/>
  </r>
  <r>
    <s v="ORD01299"/>
    <d v="2024-04-30T00:00:00"/>
    <x v="625"/>
    <x v="263"/>
    <n v="183"/>
    <s v="INV01299"/>
    <n v="183"/>
    <n v="599.90620000000001"/>
    <n v="5"/>
    <d v="2025-01-06T00:00:00"/>
    <m/>
    <m/>
    <m/>
    <n v="599.90620000000001"/>
    <d v="2023-05-14T00:00:00"/>
    <n v="0"/>
    <n v="0"/>
    <n v="0"/>
    <n v="0"/>
    <n v="0"/>
    <n v="1"/>
    <n v="0"/>
    <x v="1"/>
    <n v="109782.8346"/>
    <n v="109782.8346"/>
    <n v="0"/>
    <n v="2"/>
    <x v="1"/>
    <x v="9"/>
  </r>
  <r>
    <s v="ORD01300"/>
    <d v="2023-07-05T00:00:00"/>
    <x v="492"/>
    <x v="120"/>
    <n v="197"/>
    <s v="INV01300"/>
    <n v="197"/>
    <n v="989.96579999999994"/>
    <m/>
    <m/>
    <m/>
    <m/>
    <m/>
    <n v="989.96579999999994"/>
    <d v="2023-02-18T00:00:00"/>
    <n v="0"/>
    <n v="0"/>
    <n v="0"/>
    <n v="0"/>
    <n v="0"/>
    <n v="0"/>
    <n v="0"/>
    <x v="0"/>
    <n v="195023.26259999999"/>
    <n v="195023.26259999999"/>
    <n v="0"/>
    <n v="0"/>
    <x v="0"/>
    <x v="10"/>
  </r>
  <r>
    <s v="ORD01301"/>
    <d v="2024-05-27T00:00:00"/>
    <x v="65"/>
    <x v="1"/>
    <n v="31"/>
    <s v="INV01301"/>
    <n v="31"/>
    <n v="444.22"/>
    <n v="16"/>
    <d v="2023-06-16T00:00:00"/>
    <m/>
    <m/>
    <m/>
    <n v="444.22"/>
    <d v="2023-05-28T00:00:00"/>
    <n v="0"/>
    <n v="0"/>
    <n v="0"/>
    <n v="0"/>
    <n v="0"/>
    <n v="0"/>
    <n v="0"/>
    <x v="0"/>
    <n v="13770.820000000002"/>
    <n v="13770.820000000002"/>
    <n v="0"/>
    <n v="0"/>
    <x v="0"/>
    <x v="13"/>
  </r>
  <r>
    <s v="ORD01302"/>
    <d v="2023-11-06T00:00:00"/>
    <x v="537"/>
    <x v="188"/>
    <n v="83"/>
    <s v="INV01302"/>
    <n v="83"/>
    <n v="73.305100000000024"/>
    <m/>
    <m/>
    <m/>
    <m/>
    <m/>
    <n v="73.305100000000024"/>
    <d v="2023-04-30T00:00:00"/>
    <n v="0"/>
    <n v="0"/>
    <n v="0"/>
    <n v="0"/>
    <n v="0"/>
    <n v="0"/>
    <n v="0"/>
    <x v="0"/>
    <n v="6084.3233000000018"/>
    <n v="6084.3233000000018"/>
    <n v="0"/>
    <n v="0"/>
    <x v="0"/>
    <x v="0"/>
  </r>
  <r>
    <s v="ORD01303"/>
    <d v="2023-02-08T00:00:00"/>
    <x v="548"/>
    <x v="89"/>
    <n v="115"/>
    <s v="INV01303"/>
    <n v="115"/>
    <n v="929.77200000000005"/>
    <m/>
    <m/>
    <m/>
    <m/>
    <m/>
    <n v="929.77200000000005"/>
    <d v="2022-11-22T00:00:00"/>
    <n v="0"/>
    <n v="0"/>
    <n v="0"/>
    <n v="0"/>
    <n v="0"/>
    <n v="0"/>
    <n v="0"/>
    <x v="0"/>
    <n v="106923.78"/>
    <n v="106923.78"/>
    <n v="0"/>
    <n v="0"/>
    <x v="0"/>
    <x v="11"/>
  </r>
  <r>
    <s v="ORD01304"/>
    <d v="2023-05-27T00:00:00"/>
    <x v="652"/>
    <x v="165"/>
    <n v="37"/>
    <s v="INV01304"/>
    <n v="37"/>
    <n v="991.99"/>
    <m/>
    <m/>
    <m/>
    <m/>
    <m/>
    <n v="991.99"/>
    <d v="2023-02-19T00:00:00"/>
    <n v="0"/>
    <n v="0"/>
    <n v="0"/>
    <n v="0"/>
    <n v="0"/>
    <n v="0"/>
    <n v="0"/>
    <x v="0"/>
    <n v="36703.629999999997"/>
    <n v="36703.629999999997"/>
    <n v="0"/>
    <n v="0"/>
    <x v="0"/>
    <x v="7"/>
  </r>
  <r>
    <s v="ORD01305"/>
    <d v="2024-12-10T00:00:00"/>
    <x v="136"/>
    <x v="162"/>
    <n v="120"/>
    <s v="INV01305"/>
    <n v="120"/>
    <n v="571.32999999999993"/>
    <m/>
    <m/>
    <m/>
    <m/>
    <m/>
    <n v="571.32999999999993"/>
    <d v="2023-10-07T00:00:00"/>
    <n v="0"/>
    <n v="0"/>
    <n v="0"/>
    <n v="0"/>
    <n v="0"/>
    <n v="0"/>
    <n v="0"/>
    <x v="0"/>
    <n v="68559.599999999991"/>
    <n v="68559.599999999991"/>
    <n v="0"/>
    <n v="0"/>
    <x v="0"/>
    <x v="1"/>
  </r>
  <r>
    <s v="ORD01306"/>
    <d v="2024-06-05T00:00:00"/>
    <x v="252"/>
    <x v="267"/>
    <n v="12"/>
    <s v="INV01306"/>
    <n v="19"/>
    <n v="68.942999999999998"/>
    <n v="7"/>
    <d v="2024-05-31T00:00:00"/>
    <m/>
    <m/>
    <m/>
    <n v="68.942999999999998"/>
    <d v="2023-03-13T00:00:00"/>
    <n v="0"/>
    <n v="1"/>
    <n v="0"/>
    <n v="0"/>
    <n v="0"/>
    <n v="0"/>
    <n v="0"/>
    <x v="1"/>
    <n v="1309.9169999999999"/>
    <n v="827.31600000000003"/>
    <n v="482.60099999999989"/>
    <n v="3"/>
    <x v="1"/>
    <x v="16"/>
  </r>
  <r>
    <s v="ORD01307"/>
    <d v="2023-11-03T00:00:00"/>
    <x v="145"/>
    <x v="48"/>
    <n v="79"/>
    <s v="INV01307"/>
    <n v="79"/>
    <n v="1144.634929428209"/>
    <m/>
    <m/>
    <m/>
    <m/>
    <m/>
    <n v="1144.1684"/>
    <d v="2023-01-29T00:00:00"/>
    <n v="0"/>
    <n v="0"/>
    <n v="1"/>
    <n v="0"/>
    <n v="0"/>
    <n v="0"/>
    <n v="0"/>
    <x v="1"/>
    <n v="90426.159424828511"/>
    <n v="90389.303599999999"/>
    <n v="36.855824828511686"/>
    <n v="4"/>
    <x v="1"/>
    <x v="0"/>
  </r>
  <r>
    <s v="ORD01308"/>
    <d v="2024-12-05T00:00:00"/>
    <x v="96"/>
    <x v="146"/>
    <n v="6"/>
    <s v="INV01308"/>
    <n v="6"/>
    <n v="428.46220000000005"/>
    <m/>
    <m/>
    <m/>
    <m/>
    <m/>
    <n v="428.46220000000005"/>
    <d v="2023-06-25T00:00:00"/>
    <n v="0"/>
    <n v="0"/>
    <n v="0"/>
    <n v="0"/>
    <n v="0"/>
    <n v="0"/>
    <n v="0"/>
    <x v="0"/>
    <n v="2570.7732000000005"/>
    <n v="2570.7732000000005"/>
    <n v="0"/>
    <n v="0"/>
    <x v="0"/>
    <x v="1"/>
  </r>
  <r>
    <s v="ORD01309"/>
    <d v="2024-08-03T00:00:00"/>
    <x v="108"/>
    <x v="111"/>
    <n v="133"/>
    <s v="INV01309"/>
    <n v="133"/>
    <n v="147.17669999999998"/>
    <m/>
    <m/>
    <m/>
    <m/>
    <m/>
    <n v="147.17669999999998"/>
    <d v="2023-04-23T00:00:00"/>
    <n v="0"/>
    <n v="0"/>
    <n v="0"/>
    <n v="0"/>
    <n v="0"/>
    <n v="0"/>
    <n v="0"/>
    <x v="0"/>
    <n v="19574.501099999998"/>
    <n v="19574.501099999998"/>
    <n v="0"/>
    <n v="0"/>
    <x v="0"/>
    <x v="22"/>
  </r>
  <r>
    <s v="ORD01310"/>
    <d v="2024-09-07T00:00:00"/>
    <x v="653"/>
    <x v="192"/>
    <n v="100"/>
    <s v="INV01310"/>
    <n v="100"/>
    <n v="247.48920000000001"/>
    <n v="20"/>
    <d v="2023-03-24T00:00:00"/>
    <m/>
    <m/>
    <m/>
    <n v="247.48920000000001"/>
    <d v="2023-06-11T00:00:00"/>
    <n v="0"/>
    <n v="0"/>
    <n v="0"/>
    <n v="0"/>
    <n v="0"/>
    <n v="0"/>
    <n v="0"/>
    <x v="0"/>
    <n v="24748.920000000002"/>
    <n v="24748.920000000002"/>
    <n v="0"/>
    <n v="0"/>
    <x v="0"/>
    <x v="2"/>
  </r>
  <r>
    <s v="ORD01311"/>
    <d v="2024-04-01T00:00:00"/>
    <x v="83"/>
    <x v="23"/>
    <n v="24"/>
    <s v="INV01311"/>
    <n v="30"/>
    <n v="77.398200000000003"/>
    <m/>
    <m/>
    <m/>
    <m/>
    <m/>
    <n v="77.398200000000003"/>
    <d v="2023-04-16T00:00:00"/>
    <n v="0"/>
    <n v="1"/>
    <n v="0"/>
    <n v="0"/>
    <n v="0"/>
    <n v="0"/>
    <n v="0"/>
    <x v="1"/>
    <n v="2321.9459999999999"/>
    <n v="1857.5568000000001"/>
    <n v="464.38919999999985"/>
    <n v="3"/>
    <x v="1"/>
    <x v="9"/>
  </r>
  <r>
    <s v="ORD01312"/>
    <d v="2023-06-02T00:00:00"/>
    <x v="216"/>
    <x v="280"/>
    <n v="136"/>
    <s v="INV01312"/>
    <n v="136"/>
    <n v="511.96"/>
    <n v="19"/>
    <d v="2024-10-11T00:00:00"/>
    <m/>
    <m/>
    <m/>
    <n v="511.96"/>
    <d v="2023-05-12T00:00:00"/>
    <n v="0"/>
    <n v="0"/>
    <n v="0"/>
    <n v="0"/>
    <n v="0"/>
    <n v="1"/>
    <n v="0"/>
    <x v="1"/>
    <n v="69626.559999999998"/>
    <n v="69626.559999999998"/>
    <n v="0"/>
    <n v="2"/>
    <x v="1"/>
    <x v="14"/>
  </r>
  <r>
    <s v="ORD01313"/>
    <d v="2023-09-02T00:00:00"/>
    <x v="654"/>
    <x v="195"/>
    <n v="60"/>
    <s v="INV01313"/>
    <n v="60"/>
    <n v="825.40440000000001"/>
    <m/>
    <m/>
    <m/>
    <m/>
    <m/>
    <n v="825.40440000000001"/>
    <d v="2023-06-28T00:00:00"/>
    <n v="0"/>
    <n v="0"/>
    <n v="0"/>
    <n v="0"/>
    <n v="0"/>
    <n v="0"/>
    <n v="0"/>
    <x v="0"/>
    <n v="49524.264000000003"/>
    <n v="49524.264000000003"/>
    <n v="0"/>
    <n v="0"/>
    <x v="0"/>
    <x v="18"/>
  </r>
  <r>
    <s v="ORD01314"/>
    <d v="2023-03-02T00:00:00"/>
    <x v="512"/>
    <x v="288"/>
    <n v="88"/>
    <s v="INV01314"/>
    <n v="88"/>
    <n v="898.26"/>
    <m/>
    <m/>
    <m/>
    <m/>
    <m/>
    <n v="898.26"/>
    <d v="2022-07-14T00:00:00"/>
    <n v="0"/>
    <n v="0"/>
    <n v="0"/>
    <n v="0"/>
    <n v="0"/>
    <n v="0"/>
    <n v="0"/>
    <x v="0"/>
    <n v="79046.880000000005"/>
    <n v="79046.880000000005"/>
    <n v="0"/>
    <n v="0"/>
    <x v="0"/>
    <x v="17"/>
  </r>
  <r>
    <s v="ORD01315"/>
    <d v="2024-10-30T00:00:00"/>
    <x v="575"/>
    <x v="288"/>
    <n v="128"/>
    <s v="INV01315"/>
    <n v="128"/>
    <n v="907.24260000000004"/>
    <m/>
    <m/>
    <m/>
    <m/>
    <m/>
    <n v="907.24260000000004"/>
    <d v="2023-10-23T00:00:00"/>
    <n v="0"/>
    <n v="0"/>
    <n v="0"/>
    <n v="0"/>
    <n v="0"/>
    <n v="0"/>
    <n v="0"/>
    <x v="0"/>
    <n v="116127.0528"/>
    <n v="116127.0528"/>
    <n v="0"/>
    <n v="0"/>
    <x v="0"/>
    <x v="5"/>
  </r>
  <r>
    <s v="ORD01316"/>
    <d v="2023-05-12T00:00:00"/>
    <x v="163"/>
    <x v="28"/>
    <n v="80"/>
    <s v="INV01316"/>
    <n v="80"/>
    <n v="957.65700000000015"/>
    <n v="16"/>
    <d v="2024-07-25T00:00:00"/>
    <m/>
    <m/>
    <m/>
    <n v="957.65700000000015"/>
    <d v="2023-05-11T00:00:00"/>
    <n v="0"/>
    <n v="0"/>
    <n v="0"/>
    <n v="0"/>
    <n v="0"/>
    <n v="1"/>
    <n v="0"/>
    <x v="1"/>
    <n v="76612.560000000012"/>
    <n v="76612.560000000012"/>
    <n v="0"/>
    <n v="2"/>
    <x v="1"/>
    <x v="7"/>
  </r>
  <r>
    <s v="ORD01317"/>
    <d v="2023-01-31T00:00:00"/>
    <x v="84"/>
    <x v="183"/>
    <n v="193"/>
    <s v="INV01317"/>
    <n v="193"/>
    <n v="624.37260000000003"/>
    <m/>
    <m/>
    <m/>
    <m/>
    <m/>
    <n v="624.37260000000003"/>
    <d v="2023-01-06T00:00:00"/>
    <n v="0"/>
    <n v="0"/>
    <n v="0"/>
    <n v="0"/>
    <n v="0"/>
    <n v="0"/>
    <n v="0"/>
    <x v="0"/>
    <n v="120503.9118"/>
    <n v="120503.9118"/>
    <n v="0"/>
    <n v="0"/>
    <x v="0"/>
    <x v="8"/>
  </r>
  <r>
    <s v="ORD01318"/>
    <d v="2024-08-21T00:00:00"/>
    <x v="453"/>
    <x v="247"/>
    <n v="10"/>
    <s v="INV01318"/>
    <n v="10"/>
    <n v="648.86940000000004"/>
    <m/>
    <m/>
    <m/>
    <m/>
    <m/>
    <n v="648.86940000000004"/>
    <d v="2023-05-18T00:00:00"/>
    <n v="0"/>
    <n v="0"/>
    <n v="0"/>
    <n v="0"/>
    <n v="0"/>
    <n v="0"/>
    <n v="0"/>
    <x v="0"/>
    <n v="6488.6940000000004"/>
    <n v="6488.6940000000004"/>
    <n v="0"/>
    <n v="0"/>
    <x v="0"/>
    <x v="22"/>
  </r>
  <r>
    <s v="ORD01319"/>
    <d v="2023-12-29T00:00:00"/>
    <x v="117"/>
    <x v="185"/>
    <n v="87"/>
    <s v="INV01319"/>
    <n v="87"/>
    <n v="435.57279999999997"/>
    <m/>
    <m/>
    <m/>
    <m/>
    <m/>
    <n v="435.57279999999997"/>
    <d v="2023-08-21T00:00:00"/>
    <n v="0"/>
    <n v="0"/>
    <n v="0"/>
    <n v="0"/>
    <n v="0"/>
    <n v="0"/>
    <n v="0"/>
    <x v="0"/>
    <n v="37894.833599999998"/>
    <n v="37894.833599999998"/>
    <n v="0"/>
    <n v="0"/>
    <x v="0"/>
    <x v="20"/>
  </r>
  <r>
    <s v="ORD01320"/>
    <d v="2024-03-31T00:00:00"/>
    <x v="13"/>
    <x v="65"/>
    <n v="11"/>
    <s v="INV01320"/>
    <n v="10"/>
    <n v="660.96040000000005"/>
    <m/>
    <m/>
    <m/>
    <m/>
    <m/>
    <n v="660.96040000000005"/>
    <d v="2023-01-21T00:00:00"/>
    <n v="0"/>
    <n v="1"/>
    <n v="0"/>
    <n v="0"/>
    <n v="0"/>
    <n v="0"/>
    <n v="0"/>
    <x v="1"/>
    <n v="6609.6040000000003"/>
    <n v="7270.5644000000002"/>
    <n v="-660.96039999999994"/>
    <n v="8"/>
    <x v="2"/>
    <x v="6"/>
  </r>
  <r>
    <s v="ORD01321"/>
    <d v="2024-03-10T00:00:00"/>
    <x v="430"/>
    <x v="89"/>
    <n v="164"/>
    <s v="INV01321"/>
    <n v="164"/>
    <n v="826.46400000000006"/>
    <m/>
    <m/>
    <m/>
    <m/>
    <m/>
    <n v="826.46400000000006"/>
    <d v="2023-07-21T00:00:00"/>
    <n v="0"/>
    <n v="0"/>
    <n v="0"/>
    <n v="0"/>
    <n v="0"/>
    <n v="0"/>
    <n v="0"/>
    <x v="0"/>
    <n v="135540.09600000002"/>
    <n v="135540.09600000002"/>
    <n v="0"/>
    <n v="0"/>
    <x v="0"/>
    <x v="6"/>
  </r>
  <r>
    <s v="ORD01322"/>
    <d v="2024-04-20T00:00:00"/>
    <x v="132"/>
    <x v="0"/>
    <n v="84"/>
    <s v="INV01322"/>
    <n v="84"/>
    <n v="446.4905"/>
    <m/>
    <m/>
    <m/>
    <m/>
    <m/>
    <n v="446.4905"/>
    <d v="2023-08-23T00:00:00"/>
    <n v="0"/>
    <n v="0"/>
    <n v="0"/>
    <n v="0"/>
    <n v="0"/>
    <n v="0"/>
    <n v="0"/>
    <x v="0"/>
    <n v="37505.201999999997"/>
    <n v="37505.201999999997"/>
    <n v="0"/>
    <n v="0"/>
    <x v="0"/>
    <x v="9"/>
  </r>
  <r>
    <s v="ORD01323"/>
    <d v="2024-03-18T00:00:00"/>
    <x v="655"/>
    <x v="270"/>
    <n v="18"/>
    <s v="INV01323"/>
    <n v="25"/>
    <n v="983.19460000000004"/>
    <m/>
    <m/>
    <m/>
    <m/>
    <m/>
    <n v="983.19460000000004"/>
    <d v="2023-08-04T00:00:00"/>
    <n v="0"/>
    <n v="1"/>
    <n v="0"/>
    <n v="0"/>
    <n v="0"/>
    <n v="0"/>
    <n v="0"/>
    <x v="1"/>
    <n v="24579.865000000002"/>
    <n v="17697.502800000002"/>
    <n v="6882.3621999999996"/>
    <n v="8"/>
    <x v="2"/>
    <x v="6"/>
  </r>
  <r>
    <s v="ORD01324"/>
    <d v="2024-08-15T00:00:00"/>
    <x v="656"/>
    <x v="244"/>
    <n v="175"/>
    <s v="INV01324"/>
    <n v="175"/>
    <n v="1072.2954"/>
    <n v="15"/>
    <d v="2024-01-05T00:00:00"/>
    <m/>
    <m/>
    <m/>
    <n v="1072.2954"/>
    <d v="2023-07-13T00:00:00"/>
    <n v="0"/>
    <n v="0"/>
    <n v="0"/>
    <n v="0"/>
    <n v="0"/>
    <n v="0"/>
    <n v="0"/>
    <x v="0"/>
    <n v="187651.69500000001"/>
    <n v="187651.69500000001"/>
    <n v="0"/>
    <n v="0"/>
    <x v="0"/>
    <x v="22"/>
  </r>
  <r>
    <s v="ORD01325"/>
    <d v="2024-12-29T00:00:00"/>
    <x v="554"/>
    <x v="26"/>
    <n v="11"/>
    <s v="INV01325"/>
    <n v="11"/>
    <n v="129.17519999999999"/>
    <m/>
    <m/>
    <m/>
    <m/>
    <m/>
    <n v="129.17519999999999"/>
    <d v="2023-09-15T00:00:00"/>
    <n v="0"/>
    <n v="0"/>
    <n v="0"/>
    <n v="0"/>
    <n v="0"/>
    <n v="0"/>
    <n v="0"/>
    <x v="0"/>
    <n v="1420.9271999999999"/>
    <n v="1420.9271999999999"/>
    <n v="0"/>
    <n v="0"/>
    <x v="0"/>
    <x v="1"/>
  </r>
  <r>
    <s v="ORD01326"/>
    <d v="2024-05-02T00:00:00"/>
    <x v="589"/>
    <x v="157"/>
    <n v="130"/>
    <s v="INV01326"/>
    <n v="130"/>
    <n v="1158.2643"/>
    <m/>
    <m/>
    <m/>
    <m/>
    <m/>
    <n v="1158.2643"/>
    <d v="2023-07-12T00:00:00"/>
    <n v="0"/>
    <n v="0"/>
    <n v="0"/>
    <n v="0"/>
    <n v="0"/>
    <n v="0"/>
    <n v="0"/>
    <x v="0"/>
    <n v="150574.359"/>
    <n v="150574.359"/>
    <n v="0"/>
    <n v="0"/>
    <x v="0"/>
    <x v="13"/>
  </r>
  <r>
    <s v="ORD01327"/>
    <d v="2023-02-16T00:00:00"/>
    <x v="306"/>
    <x v="285"/>
    <n v="10"/>
    <s v="INV01327"/>
    <n v="10"/>
    <n v="987.27656063563052"/>
    <m/>
    <m/>
    <m/>
    <m/>
    <m/>
    <n v="987.07560000000001"/>
    <d v="2022-11-12T00:00:00"/>
    <n v="0"/>
    <n v="0"/>
    <n v="1"/>
    <n v="0"/>
    <n v="0"/>
    <n v="0"/>
    <n v="0"/>
    <x v="1"/>
    <n v="9872.7656063563045"/>
    <n v="9870.7559999999994"/>
    <n v="2.0096063563050848"/>
    <n v="4"/>
    <x v="1"/>
    <x v="11"/>
  </r>
  <r>
    <s v="ORD01328"/>
    <d v="2024-06-15T00:00:00"/>
    <x v="71"/>
    <x v="25"/>
    <n v="50"/>
    <s v="INV01328"/>
    <n v="50"/>
    <n v="1218.568"/>
    <m/>
    <m/>
    <m/>
    <m/>
    <m/>
    <n v="1218.568"/>
    <d v="2023-05-15T00:00:00"/>
    <n v="0"/>
    <n v="0"/>
    <n v="0"/>
    <n v="0"/>
    <n v="0"/>
    <n v="0"/>
    <n v="0"/>
    <x v="0"/>
    <n v="60928.4"/>
    <n v="60928.4"/>
    <n v="0"/>
    <n v="0"/>
    <x v="0"/>
    <x v="16"/>
  </r>
  <r>
    <s v="ORD01329"/>
    <d v="2023-10-21T00:00:00"/>
    <x v="252"/>
    <x v="151"/>
    <n v="42"/>
    <s v="INV01329"/>
    <n v="42"/>
    <n v="212.73140000000001"/>
    <m/>
    <m/>
    <m/>
    <m/>
    <m/>
    <n v="212.73140000000001"/>
    <d v="2023-08-06T00:00:00"/>
    <n v="0"/>
    <n v="0"/>
    <n v="0"/>
    <n v="0"/>
    <n v="0"/>
    <n v="0"/>
    <n v="0"/>
    <x v="0"/>
    <n v="8934.7188000000006"/>
    <n v="8934.7188000000006"/>
    <n v="0"/>
    <n v="0"/>
    <x v="0"/>
    <x v="19"/>
  </r>
  <r>
    <s v="ORD01330"/>
    <d v="2024-08-08T00:00:00"/>
    <x v="657"/>
    <x v="203"/>
    <n v="137"/>
    <s v="INV01330"/>
    <n v="137"/>
    <n v="60.239800000000002"/>
    <m/>
    <m/>
    <m/>
    <m/>
    <m/>
    <n v="60.239800000000002"/>
    <d v="2023-08-07T00:00:00"/>
    <n v="0"/>
    <n v="0"/>
    <n v="0"/>
    <n v="0"/>
    <n v="0"/>
    <n v="0"/>
    <n v="0"/>
    <x v="0"/>
    <n v="8252.8526000000002"/>
    <n v="8252.8526000000002"/>
    <n v="0"/>
    <n v="0"/>
    <x v="0"/>
    <x v="22"/>
  </r>
  <r>
    <s v="ORD01331"/>
    <d v="2023-03-01T00:00:00"/>
    <x v="504"/>
    <x v="172"/>
    <n v="72"/>
    <s v="INV01331"/>
    <n v="72"/>
    <n v="370.82850000000002"/>
    <m/>
    <m/>
    <m/>
    <m/>
    <m/>
    <n v="370.82850000000002"/>
    <d v="2023-03-01T00:00:00"/>
    <n v="0"/>
    <n v="0"/>
    <n v="0"/>
    <n v="0"/>
    <n v="0"/>
    <n v="0"/>
    <n v="0"/>
    <x v="0"/>
    <n v="26699.652000000002"/>
    <n v="26699.652000000002"/>
    <n v="0"/>
    <n v="0"/>
    <x v="0"/>
    <x v="17"/>
  </r>
  <r>
    <s v="ORD01332"/>
    <d v="2024-03-13T00:00:00"/>
    <x v="658"/>
    <x v="121"/>
    <n v="86"/>
    <s v="INV01332"/>
    <n v="86"/>
    <n v="1061.7264"/>
    <m/>
    <m/>
    <m/>
    <m/>
    <m/>
    <n v="1061.7264"/>
    <d v="2023-09-11T00:00:00"/>
    <n v="0"/>
    <n v="0"/>
    <n v="0"/>
    <n v="0"/>
    <n v="0"/>
    <n v="0"/>
    <n v="0"/>
    <x v="0"/>
    <n v="91308.470400000006"/>
    <n v="91308.470400000006"/>
    <n v="0"/>
    <n v="0"/>
    <x v="0"/>
    <x v="6"/>
  </r>
  <r>
    <s v="ORD01333"/>
    <d v="2024-01-01T00:00:00"/>
    <x v="575"/>
    <x v="150"/>
    <n v="200"/>
    <s v="INV01333"/>
    <n v="200"/>
    <n v="956.41030000000001"/>
    <m/>
    <m/>
    <m/>
    <m/>
    <m/>
    <n v="956.41030000000001"/>
    <d v="2023-08-30T00:00:00"/>
    <n v="0"/>
    <n v="0"/>
    <n v="0"/>
    <n v="0"/>
    <n v="0"/>
    <n v="0"/>
    <n v="0"/>
    <x v="0"/>
    <n v="191282.06"/>
    <n v="191282.06"/>
    <n v="0"/>
    <n v="0"/>
    <x v="0"/>
    <x v="15"/>
  </r>
  <r>
    <s v="ORD01334"/>
    <d v="2023-06-20T00:00:00"/>
    <x v="649"/>
    <x v="165"/>
    <n v="28"/>
    <s v="INV01334"/>
    <n v="28"/>
    <n v="991.99"/>
    <m/>
    <m/>
    <m/>
    <m/>
    <m/>
    <n v="991.99"/>
    <d v="2023-02-19T00:00:00"/>
    <n v="0"/>
    <n v="0"/>
    <n v="0"/>
    <n v="0"/>
    <n v="0"/>
    <n v="0"/>
    <n v="0"/>
    <x v="0"/>
    <n v="27775.72"/>
    <n v="27775.72"/>
    <n v="0"/>
    <n v="0"/>
    <x v="0"/>
    <x v="14"/>
  </r>
  <r>
    <s v="ORD01335"/>
    <d v="2024-12-05T00:00:00"/>
    <x v="127"/>
    <x v="160"/>
    <n v="33"/>
    <s v="INV01335"/>
    <n v="33"/>
    <n v="419.71280000000002"/>
    <m/>
    <m/>
    <m/>
    <m/>
    <m/>
    <n v="419.71280000000002"/>
    <d v="2023-10-15T00:00:00"/>
    <n v="0"/>
    <n v="0"/>
    <n v="0"/>
    <n v="0"/>
    <n v="0"/>
    <n v="0"/>
    <n v="0"/>
    <x v="0"/>
    <n v="13850.5224"/>
    <n v="13850.5224"/>
    <n v="0"/>
    <n v="0"/>
    <x v="0"/>
    <x v="1"/>
  </r>
  <r>
    <s v="ORD01336"/>
    <d v="2023-11-05T00:00:00"/>
    <x v="522"/>
    <x v="163"/>
    <n v="37"/>
    <s v="INV01336"/>
    <n v="41"/>
    <n v="147.87150000000003"/>
    <m/>
    <m/>
    <m/>
    <m/>
    <m/>
    <n v="147.87150000000003"/>
    <d v="2023-02-15T00:00:00"/>
    <n v="0"/>
    <n v="1"/>
    <n v="0"/>
    <n v="0"/>
    <n v="0"/>
    <n v="0"/>
    <n v="0"/>
    <x v="1"/>
    <n v="6062.7315000000008"/>
    <n v="5471.2455000000009"/>
    <n v="591.48599999999988"/>
    <n v="8"/>
    <x v="2"/>
    <x v="0"/>
  </r>
  <r>
    <s v="ORD01337"/>
    <d v="2023-01-31T00:00:00"/>
    <x v="225"/>
    <x v="102"/>
    <n v="127"/>
    <s v="INV01337"/>
    <n v="127"/>
    <n v="1158.7071999999998"/>
    <m/>
    <m/>
    <m/>
    <m/>
    <m/>
    <n v="1158.7071999999998"/>
    <d v="2022-11-22T00:00:00"/>
    <n v="0"/>
    <n v="0"/>
    <n v="0"/>
    <n v="0"/>
    <n v="0"/>
    <n v="0"/>
    <n v="0"/>
    <x v="0"/>
    <n v="147155.81439999997"/>
    <n v="147155.81439999997"/>
    <n v="0"/>
    <n v="0"/>
    <x v="0"/>
    <x v="8"/>
  </r>
  <r>
    <s v="ORD01338"/>
    <d v="2023-05-21T00:00:00"/>
    <x v="198"/>
    <x v="285"/>
    <n v="146"/>
    <s v="INV01338"/>
    <n v="146"/>
    <n v="987.07560000000001"/>
    <m/>
    <m/>
    <m/>
    <m/>
    <m/>
    <n v="987.07560000000001"/>
    <d v="2022-11-12T00:00:00"/>
    <n v="0"/>
    <n v="0"/>
    <n v="0"/>
    <n v="0"/>
    <n v="0"/>
    <n v="0"/>
    <n v="0"/>
    <x v="0"/>
    <n v="144113.03760000001"/>
    <n v="144113.03760000001"/>
    <n v="0"/>
    <n v="0"/>
    <x v="0"/>
    <x v="7"/>
  </r>
  <r>
    <s v="ORD01339"/>
    <d v="2024-07-04T00:00:00"/>
    <x v="235"/>
    <x v="2"/>
    <n v="189"/>
    <s v="INV01339"/>
    <n v="199"/>
    <n v="189.1498"/>
    <m/>
    <m/>
    <m/>
    <m/>
    <m/>
    <n v="189.1498"/>
    <d v="2023-07-01T00:00:00"/>
    <n v="0"/>
    <n v="1"/>
    <n v="0"/>
    <n v="0"/>
    <n v="0"/>
    <n v="0"/>
    <n v="0"/>
    <x v="1"/>
    <n v="37640.8102"/>
    <n v="35749.3122"/>
    <n v="1891.4979999999996"/>
    <n v="8"/>
    <x v="2"/>
    <x v="21"/>
  </r>
  <r>
    <s v="ORD01340"/>
    <d v="2024-05-06T00:00:00"/>
    <x v="121"/>
    <x v="19"/>
    <n v="73"/>
    <s v="INV01340"/>
    <n v="73"/>
    <n v="833.41650000000004"/>
    <m/>
    <m/>
    <m/>
    <m/>
    <m/>
    <n v="833.41650000000004"/>
    <d v="2023-09-25T00:00:00"/>
    <n v="0"/>
    <n v="0"/>
    <n v="0"/>
    <n v="0"/>
    <n v="0"/>
    <n v="0"/>
    <n v="0"/>
    <x v="0"/>
    <n v="60839.404500000004"/>
    <n v="60839.404500000004"/>
    <n v="0"/>
    <n v="0"/>
    <x v="0"/>
    <x v="13"/>
  </r>
  <r>
    <s v="ORD01341"/>
    <d v="2024-09-30T00:00:00"/>
    <x v="335"/>
    <x v="183"/>
    <n v="185"/>
    <s v="INV01341"/>
    <n v="193"/>
    <n v="624.37260000000003"/>
    <n v="10"/>
    <d v="2024-09-18T00:00:00"/>
    <m/>
    <m/>
    <m/>
    <n v="624.37260000000003"/>
    <d v="2023-01-06T00:00:00"/>
    <n v="0"/>
    <n v="1"/>
    <n v="0"/>
    <n v="0"/>
    <n v="0"/>
    <n v="0"/>
    <n v="0"/>
    <x v="1"/>
    <n v="120503.9118"/>
    <n v="115508.93100000001"/>
    <n v="4994.9807999999903"/>
    <n v="8"/>
    <x v="2"/>
    <x v="2"/>
  </r>
  <r>
    <s v="ORD01342"/>
    <d v="2023-06-20T00:00:00"/>
    <x v="425"/>
    <x v="296"/>
    <n v="121"/>
    <s v="INV01342"/>
    <n v="121"/>
    <n v="724.16120000000001"/>
    <m/>
    <m/>
    <m/>
    <m/>
    <m/>
    <n v="724.16120000000001"/>
    <d v="2023-04-28T00:00:00"/>
    <n v="0"/>
    <n v="0"/>
    <n v="0"/>
    <n v="0"/>
    <n v="0"/>
    <n v="0"/>
    <n v="0"/>
    <x v="0"/>
    <n v="87623.5052"/>
    <n v="87623.5052"/>
    <n v="0"/>
    <n v="0"/>
    <x v="0"/>
    <x v="14"/>
  </r>
  <r>
    <s v="ORD01343"/>
    <d v="2023-01-23T00:00:00"/>
    <x v="37"/>
    <x v="150"/>
    <n v="117"/>
    <s v="INV01343"/>
    <n v="117"/>
    <n v="1035.2895000000001"/>
    <n v="5"/>
    <d v="2024-11-23T00:00:00"/>
    <m/>
    <m/>
    <m/>
    <n v="1035.2895000000001"/>
    <d v="2022-08-31T00:00:00"/>
    <n v="0"/>
    <n v="0"/>
    <n v="0"/>
    <n v="0"/>
    <n v="0"/>
    <n v="1"/>
    <n v="0"/>
    <x v="1"/>
    <n v="121128.87150000001"/>
    <n v="121128.87150000001"/>
    <n v="0"/>
    <n v="2"/>
    <x v="1"/>
    <x v="8"/>
  </r>
  <r>
    <s v="ORD01344"/>
    <d v="2024-06-18T00:00:00"/>
    <x v="659"/>
    <x v="4"/>
    <n v="161"/>
    <s v="INV01344"/>
    <n v="161"/>
    <n v="353.52719999999999"/>
    <m/>
    <m/>
    <m/>
    <m/>
    <m/>
    <n v="353.52719999999999"/>
    <d v="2023-09-13T00:00:00"/>
    <n v="0"/>
    <n v="0"/>
    <n v="0"/>
    <n v="0"/>
    <n v="0"/>
    <n v="0"/>
    <n v="0"/>
    <x v="0"/>
    <n v="56917.879199999996"/>
    <n v="56917.879199999996"/>
    <n v="0"/>
    <n v="0"/>
    <x v="0"/>
    <x v="16"/>
  </r>
  <r>
    <s v="ORD01345"/>
    <d v="2023-08-30T00:00:00"/>
    <x v="529"/>
    <x v="50"/>
    <n v="51"/>
    <s v="INV01345"/>
    <n v="51"/>
    <n v="49.450800000000001"/>
    <m/>
    <m/>
    <m/>
    <m/>
    <m/>
    <n v="49.450800000000001"/>
    <d v="2023-08-30T00:00:00"/>
    <n v="0"/>
    <n v="0"/>
    <n v="0"/>
    <n v="0"/>
    <n v="0"/>
    <n v="0"/>
    <n v="0"/>
    <x v="0"/>
    <n v="2521.9908"/>
    <n v="2521.9908"/>
    <n v="0"/>
    <n v="0"/>
    <x v="0"/>
    <x v="12"/>
  </r>
  <r>
    <s v="ORD01346"/>
    <d v="2024-02-25T00:00:00"/>
    <x v="313"/>
    <x v="117"/>
    <n v="171"/>
    <s v="INV01346"/>
    <n v="171"/>
    <n v="214.6182"/>
    <m/>
    <m/>
    <m/>
    <m/>
    <m/>
    <n v="214.6182"/>
    <d v="2023-07-09T00:00:00"/>
    <n v="0"/>
    <n v="0"/>
    <n v="0"/>
    <n v="0"/>
    <n v="0"/>
    <n v="0"/>
    <n v="0"/>
    <x v="0"/>
    <n v="36699.712200000002"/>
    <n v="36699.712200000002"/>
    <n v="0"/>
    <n v="0"/>
    <x v="0"/>
    <x v="3"/>
  </r>
  <r>
    <s v="ORD01347"/>
    <d v="2024-01-23T00:00:00"/>
    <x v="660"/>
    <x v="59"/>
    <n v="106"/>
    <s v="INV01347"/>
    <n v="106"/>
    <n v="942.54840000000013"/>
    <m/>
    <m/>
    <m/>
    <m/>
    <m/>
    <n v="942.54840000000013"/>
    <d v="2023-06-09T00:00:00"/>
    <n v="0"/>
    <n v="0"/>
    <n v="0"/>
    <n v="0"/>
    <n v="0"/>
    <n v="0"/>
    <n v="0"/>
    <x v="0"/>
    <n v="99910.130400000009"/>
    <n v="99910.130400000009"/>
    <n v="0"/>
    <n v="0"/>
    <x v="0"/>
    <x v="15"/>
  </r>
  <r>
    <s v="ORD01348"/>
    <d v="2024-05-06T00:00:00"/>
    <x v="105"/>
    <x v="149"/>
    <n v="118"/>
    <s v="INV01348"/>
    <n v="118"/>
    <n v="1146.7456000000002"/>
    <m/>
    <m/>
    <m/>
    <m/>
    <m/>
    <n v="1146.7456000000002"/>
    <d v="2023-08-10T00:00:00"/>
    <n v="0"/>
    <n v="0"/>
    <n v="0"/>
    <n v="0"/>
    <n v="0"/>
    <n v="0"/>
    <n v="0"/>
    <x v="0"/>
    <n v="135315.98080000002"/>
    <n v="135315.98080000002"/>
    <n v="0"/>
    <n v="0"/>
    <x v="0"/>
    <x v="13"/>
  </r>
  <r>
    <s v="ORD01349"/>
    <d v="2023-08-08T00:00:00"/>
    <x v="136"/>
    <x v="153"/>
    <n v="45"/>
    <s v="INV01349"/>
    <n v="45"/>
    <n v="680.30940000000021"/>
    <m/>
    <m/>
    <m/>
    <m/>
    <m/>
    <n v="680.30940000000021"/>
    <d v="2023-01-08T00:00:00"/>
    <n v="0"/>
    <n v="0"/>
    <n v="0"/>
    <n v="0"/>
    <n v="0"/>
    <n v="0"/>
    <n v="0"/>
    <x v="0"/>
    <n v="30613.92300000001"/>
    <n v="30613.92300000001"/>
    <n v="0"/>
    <n v="0"/>
    <x v="0"/>
    <x v="12"/>
  </r>
  <r>
    <s v="ORD01350"/>
    <d v="2023-08-06T00:00:00"/>
    <x v="278"/>
    <x v="57"/>
    <n v="40"/>
    <s v="INV01350"/>
    <n v="40"/>
    <n v="517.39100000000008"/>
    <n v="13"/>
    <d v="2023-06-28T00:00:00"/>
    <m/>
    <m/>
    <m/>
    <n v="517.39100000000008"/>
    <d v="2023-04-29T00:00:00"/>
    <n v="0"/>
    <n v="0"/>
    <n v="0"/>
    <n v="0"/>
    <n v="0"/>
    <n v="0"/>
    <n v="0"/>
    <x v="0"/>
    <n v="20695.640000000003"/>
    <n v="20695.640000000003"/>
    <n v="0"/>
    <n v="0"/>
    <x v="0"/>
    <x v="12"/>
  </r>
  <r>
    <s v="ORD01351"/>
    <d v="2023-10-02T00:00:00"/>
    <x v="178"/>
    <x v="102"/>
    <n v="30"/>
    <s v="INV01351"/>
    <n v="30"/>
    <n v="1093.1199999999999"/>
    <m/>
    <m/>
    <m/>
    <m/>
    <m/>
    <n v="1093.1199999999999"/>
    <d v="2023-04-19T00:00:00"/>
    <n v="0"/>
    <n v="0"/>
    <n v="0"/>
    <n v="0"/>
    <n v="0"/>
    <n v="0"/>
    <n v="0"/>
    <x v="0"/>
    <n v="32793.599999999999"/>
    <n v="32793.599999999999"/>
    <n v="0"/>
    <n v="0"/>
    <x v="0"/>
    <x v="19"/>
  </r>
  <r>
    <s v="ORD01352"/>
    <d v="2024-04-09T00:00:00"/>
    <x v="346"/>
    <x v="41"/>
    <n v="4"/>
    <s v="INV01352"/>
    <n v="4"/>
    <n v="1211.7708"/>
    <m/>
    <m/>
    <m/>
    <m/>
    <m/>
    <n v="1211.7708"/>
    <d v="2023-09-24T00:00:00"/>
    <n v="0"/>
    <n v="0"/>
    <n v="0"/>
    <n v="0"/>
    <n v="0"/>
    <n v="0"/>
    <n v="0"/>
    <x v="0"/>
    <n v="4847.0832"/>
    <n v="4847.0832"/>
    <n v="0"/>
    <n v="0"/>
    <x v="0"/>
    <x v="9"/>
  </r>
  <r>
    <s v="ORD01353"/>
    <d v="2024-08-11T00:00:00"/>
    <x v="154"/>
    <x v="55"/>
    <n v="23"/>
    <s v="INV01353"/>
    <n v="23"/>
    <n v="499.17750000000001"/>
    <m/>
    <m/>
    <m/>
    <m/>
    <m/>
    <n v="499.17750000000001"/>
    <d v="2023-07-16T00:00:00"/>
    <n v="0"/>
    <n v="0"/>
    <n v="0"/>
    <n v="0"/>
    <n v="0"/>
    <n v="0"/>
    <n v="0"/>
    <x v="0"/>
    <n v="11481.0825"/>
    <n v="11481.0825"/>
    <n v="0"/>
    <n v="0"/>
    <x v="0"/>
    <x v="22"/>
  </r>
  <r>
    <s v="ORD01354"/>
    <d v="2024-10-10T00:00:00"/>
    <x v="661"/>
    <x v="132"/>
    <n v="34"/>
    <s v="INV01354"/>
    <n v="34"/>
    <n v="744.44590000000005"/>
    <m/>
    <m/>
    <m/>
    <m/>
    <m/>
    <n v="744.44590000000005"/>
    <d v="2023-03-23T00:00:00"/>
    <n v="0"/>
    <n v="0"/>
    <n v="0"/>
    <n v="0"/>
    <n v="0"/>
    <n v="0"/>
    <n v="0"/>
    <x v="0"/>
    <n v="25311.160600000003"/>
    <n v="25311.160600000003"/>
    <n v="0"/>
    <n v="0"/>
    <x v="0"/>
    <x v="5"/>
  </r>
  <r>
    <s v="ORD01355"/>
    <d v="2023-05-02T00:00:00"/>
    <x v="662"/>
    <x v="67"/>
    <n v="126"/>
    <s v="INV01355"/>
    <n v="126"/>
    <n v="1016.9848"/>
    <m/>
    <m/>
    <m/>
    <m/>
    <m/>
    <n v="1016.9848"/>
    <d v="2023-04-17T00:00:00"/>
    <n v="0"/>
    <n v="0"/>
    <n v="0"/>
    <n v="0"/>
    <n v="0"/>
    <n v="0"/>
    <n v="0"/>
    <x v="0"/>
    <n v="128140.0848"/>
    <n v="128140.0848"/>
    <n v="0"/>
    <n v="0"/>
    <x v="0"/>
    <x v="7"/>
  </r>
  <r>
    <s v="ORD01356"/>
    <d v="2024-05-27T00:00:00"/>
    <x v="660"/>
    <x v="90"/>
    <n v="93"/>
    <s v="INV01356"/>
    <n v="93"/>
    <n v="249.1748"/>
    <m/>
    <m/>
    <m/>
    <m/>
    <m/>
    <n v="249.1748"/>
    <d v="2023-08-03T00:00:00"/>
    <n v="0"/>
    <n v="0"/>
    <n v="0"/>
    <n v="0"/>
    <n v="0"/>
    <n v="0"/>
    <n v="0"/>
    <x v="0"/>
    <n v="23173.256400000002"/>
    <n v="23173.256400000002"/>
    <n v="0"/>
    <n v="0"/>
    <x v="0"/>
    <x v="13"/>
  </r>
  <r>
    <s v="ORD01357"/>
    <d v="2023-09-15T00:00:00"/>
    <x v="663"/>
    <x v="200"/>
    <n v="44"/>
    <s v="INV01357"/>
    <n v="44"/>
    <n v="69.45"/>
    <m/>
    <m/>
    <m/>
    <m/>
    <m/>
    <n v="69.45"/>
    <d v="2023-08-31T00:00:00"/>
    <n v="0"/>
    <n v="0"/>
    <n v="0"/>
    <n v="0"/>
    <n v="0"/>
    <n v="0"/>
    <n v="0"/>
    <x v="0"/>
    <n v="3055.8"/>
    <n v="3055.8"/>
    <n v="0"/>
    <n v="0"/>
    <x v="0"/>
    <x v="18"/>
  </r>
  <r>
    <s v="ORD01358"/>
    <d v="2024-03-10T00:00:00"/>
    <x v="564"/>
    <x v="206"/>
    <n v="175"/>
    <s v="INV01358"/>
    <n v="175"/>
    <n v="82.026000000000025"/>
    <m/>
    <m/>
    <m/>
    <m/>
    <m/>
    <n v="82.026000000000025"/>
    <d v="2023-05-15T00:00:00"/>
    <n v="0"/>
    <n v="0"/>
    <n v="0"/>
    <n v="0"/>
    <n v="0"/>
    <n v="0"/>
    <n v="0"/>
    <x v="0"/>
    <n v="14354.550000000005"/>
    <n v="14354.550000000005"/>
    <n v="0"/>
    <n v="0"/>
    <x v="0"/>
    <x v="6"/>
  </r>
  <r>
    <s v="ORD01359"/>
    <d v="2023-02-03T00:00:00"/>
    <x v="352"/>
    <x v="265"/>
    <n v="148"/>
    <s v="INV01359"/>
    <n v="148"/>
    <n v="230.52"/>
    <m/>
    <m/>
    <m/>
    <m/>
    <m/>
    <n v="230.52"/>
    <d v="2022-05-30T00:00:00"/>
    <n v="0"/>
    <n v="0"/>
    <n v="0"/>
    <n v="0"/>
    <n v="0"/>
    <n v="0"/>
    <n v="0"/>
    <x v="0"/>
    <n v="34116.959999999999"/>
    <n v="34116.959999999999"/>
    <n v="0"/>
    <n v="0"/>
    <x v="0"/>
    <x v="11"/>
  </r>
  <r>
    <s v="ORD01360"/>
    <d v="2023-09-09T00:00:00"/>
    <x v="22"/>
    <x v="41"/>
    <n v="16"/>
    <s v="INV01360"/>
    <n v="16"/>
    <n v="1065.9095"/>
    <m/>
    <m/>
    <m/>
    <m/>
    <m/>
    <n v="1065.9095"/>
    <d v="2023-02-06T00:00:00"/>
    <n v="0"/>
    <n v="0"/>
    <n v="0"/>
    <n v="0"/>
    <n v="0"/>
    <n v="0"/>
    <n v="0"/>
    <x v="0"/>
    <n v="17054.552"/>
    <n v="17054.552"/>
    <n v="0"/>
    <n v="0"/>
    <x v="0"/>
    <x v="18"/>
  </r>
  <r>
    <s v="ORD01361"/>
    <d v="2023-03-05T00:00:00"/>
    <x v="166"/>
    <x v="133"/>
    <n v="194"/>
    <s v="INV01361"/>
    <n v="194"/>
    <n v="1140.74"/>
    <m/>
    <m/>
    <m/>
    <m/>
    <m/>
    <n v="1140.74"/>
    <d v="2022-01-03T00:00:00"/>
    <n v="0"/>
    <n v="0"/>
    <n v="0"/>
    <n v="0"/>
    <n v="0"/>
    <n v="0"/>
    <n v="0"/>
    <x v="0"/>
    <n v="221303.56"/>
    <n v="221303.56"/>
    <n v="0"/>
    <n v="0"/>
    <x v="0"/>
    <x v="17"/>
  </r>
  <r>
    <s v="ORD01362"/>
    <d v="2024-03-25T00:00:00"/>
    <x v="194"/>
    <x v="286"/>
    <n v="146"/>
    <s v="INV01362"/>
    <n v="146"/>
    <n v="278.27100000000002"/>
    <m/>
    <m/>
    <m/>
    <m/>
    <m/>
    <n v="278.27100000000002"/>
    <d v="2023-07-12T00:00:00"/>
    <n v="0"/>
    <n v="0"/>
    <n v="0"/>
    <n v="0"/>
    <n v="0"/>
    <n v="0"/>
    <n v="0"/>
    <x v="0"/>
    <n v="40627.565999999999"/>
    <n v="40627.565999999999"/>
    <n v="0"/>
    <n v="0"/>
    <x v="0"/>
    <x v="6"/>
  </r>
  <r>
    <s v="ORD01363"/>
    <d v="2023-10-23T00:00:00"/>
    <x v="11"/>
    <x v="264"/>
    <n v="97"/>
    <s v="INV01363"/>
    <n v="97"/>
    <n v="230.7345"/>
    <m/>
    <m/>
    <m/>
    <m/>
    <m/>
    <n v="230.7345"/>
    <d v="2023-08-04T00:00:00"/>
    <n v="0"/>
    <n v="0"/>
    <n v="0"/>
    <n v="0"/>
    <n v="0"/>
    <n v="0"/>
    <n v="0"/>
    <x v="0"/>
    <n v="22381.246500000001"/>
    <n v="22381.246500000001"/>
    <n v="0"/>
    <n v="0"/>
    <x v="0"/>
    <x v="19"/>
  </r>
  <r>
    <s v="ORD01364"/>
    <d v="2024-06-06T00:00:00"/>
    <x v="664"/>
    <x v="208"/>
    <n v="192"/>
    <s v="INV01364"/>
    <n v="192"/>
    <n v="107.1605"/>
    <m/>
    <m/>
    <m/>
    <m/>
    <m/>
    <n v="107.1605"/>
    <d v="2023-02-13T00:00:00"/>
    <n v="0"/>
    <n v="0"/>
    <n v="0"/>
    <n v="0"/>
    <n v="0"/>
    <n v="0"/>
    <n v="0"/>
    <x v="0"/>
    <n v="20574.815999999999"/>
    <n v="20574.815999999999"/>
    <n v="0"/>
    <n v="0"/>
    <x v="0"/>
    <x v="16"/>
  </r>
  <r>
    <s v="ORD01365"/>
    <d v="2023-09-27T00:00:00"/>
    <x v="337"/>
    <x v="84"/>
    <n v="199"/>
    <s v="INV01365"/>
    <n v="199"/>
    <n v="262.37120000000004"/>
    <m/>
    <m/>
    <m/>
    <m/>
    <m/>
    <n v="262.37120000000004"/>
    <d v="2023-06-28T00:00:00"/>
    <n v="0"/>
    <n v="0"/>
    <n v="0"/>
    <n v="0"/>
    <n v="0"/>
    <n v="0"/>
    <n v="0"/>
    <x v="0"/>
    <n v="52211.868800000011"/>
    <n v="52211.868800000011"/>
    <n v="0"/>
    <n v="0"/>
    <x v="0"/>
    <x v="18"/>
  </r>
  <r>
    <s v="ORD01366"/>
    <d v="2024-03-12T00:00:00"/>
    <x v="553"/>
    <x v="273"/>
    <n v="30"/>
    <s v="INV01366"/>
    <n v="30"/>
    <n v="1247.7911999999999"/>
    <m/>
    <m/>
    <m/>
    <m/>
    <m/>
    <n v="1247.7911999999999"/>
    <d v="2023-10-14T00:00:00"/>
    <n v="0"/>
    <n v="0"/>
    <n v="0"/>
    <n v="0"/>
    <n v="0"/>
    <n v="0"/>
    <n v="0"/>
    <x v="0"/>
    <n v="37433.735999999997"/>
    <n v="37433.735999999997"/>
    <n v="0"/>
    <n v="0"/>
    <x v="0"/>
    <x v="6"/>
  </r>
  <r>
    <s v="ORD01367"/>
    <d v="2024-10-02T00:00:00"/>
    <x v="318"/>
    <x v="24"/>
    <n v="135"/>
    <s v="INV01367"/>
    <n v="135"/>
    <n v="426.10500000000002"/>
    <n v="7"/>
    <d v="2024-01-26T00:00:00"/>
    <m/>
    <m/>
    <m/>
    <n v="426.10500000000002"/>
    <d v="2023-10-16T00:00:00"/>
    <n v="0"/>
    <n v="0"/>
    <n v="0"/>
    <n v="0"/>
    <n v="0"/>
    <n v="0"/>
    <n v="0"/>
    <x v="0"/>
    <n v="57524.175000000003"/>
    <n v="57524.175000000003"/>
    <n v="0"/>
    <n v="0"/>
    <x v="0"/>
    <x v="5"/>
  </r>
  <r>
    <s v="ORD01368"/>
    <d v="2024-08-02T00:00:00"/>
    <x v="258"/>
    <x v="272"/>
    <n v="135"/>
    <s v="INV01368"/>
    <n v="135"/>
    <n v="852.46560000000011"/>
    <n v="12"/>
    <d v="2024-01-21T00:00:00"/>
    <m/>
    <m/>
    <m/>
    <n v="852.46560000000011"/>
    <d v="2023-03-11T00:00:00"/>
    <n v="0"/>
    <n v="0"/>
    <n v="0"/>
    <n v="0"/>
    <n v="0"/>
    <n v="0"/>
    <n v="0"/>
    <x v="0"/>
    <n v="115082.85600000001"/>
    <n v="115082.85600000001"/>
    <n v="0"/>
    <n v="0"/>
    <x v="0"/>
    <x v="22"/>
  </r>
  <r>
    <s v="ORD01369"/>
    <d v="2023-12-28T00:00:00"/>
    <x v="289"/>
    <x v="61"/>
    <n v="191"/>
    <s v="INV01369"/>
    <n v="191"/>
    <n v="759.48969999999997"/>
    <m/>
    <m/>
    <m/>
    <m/>
    <m/>
    <n v="759.48969999999997"/>
    <d v="2023-07-31T00:00:00"/>
    <n v="0"/>
    <n v="0"/>
    <n v="0"/>
    <n v="0"/>
    <n v="0"/>
    <n v="0"/>
    <n v="0"/>
    <x v="0"/>
    <n v="145062.53269999998"/>
    <n v="145062.53269999998"/>
    <n v="0"/>
    <n v="0"/>
    <x v="0"/>
    <x v="20"/>
  </r>
  <r>
    <s v="ORD01370"/>
    <d v="2023-12-06T00:00:00"/>
    <x v="665"/>
    <x v="61"/>
    <n v="74"/>
    <s v="INV01370"/>
    <n v="74"/>
    <n v="759.48969999999997"/>
    <n v="19"/>
    <d v="2023-03-22T00:00:00"/>
    <m/>
    <m/>
    <m/>
    <n v="759.48969999999997"/>
    <d v="2023-07-31T00:00:00"/>
    <n v="0"/>
    <n v="0"/>
    <n v="0"/>
    <n v="0"/>
    <n v="0"/>
    <n v="0"/>
    <n v="0"/>
    <x v="0"/>
    <n v="56202.237799999995"/>
    <n v="56202.237799999995"/>
    <n v="0"/>
    <n v="0"/>
    <x v="0"/>
    <x v="20"/>
  </r>
  <r>
    <s v="ORD01371"/>
    <d v="2023-06-22T00:00:00"/>
    <x v="332"/>
    <x v="7"/>
    <n v="70"/>
    <s v="INV01371"/>
    <n v="70"/>
    <n v="510.91840000000002"/>
    <m/>
    <m/>
    <m/>
    <m/>
    <m/>
    <n v="510.91840000000002"/>
    <d v="2023-02-24T00:00:00"/>
    <n v="0"/>
    <n v="0"/>
    <n v="0"/>
    <n v="0"/>
    <n v="0"/>
    <n v="0"/>
    <n v="0"/>
    <x v="0"/>
    <n v="35764.288"/>
    <n v="35764.288"/>
    <n v="0"/>
    <n v="0"/>
    <x v="0"/>
    <x v="14"/>
  </r>
  <r>
    <s v="ORD01372"/>
    <d v="2023-02-17T00:00:00"/>
    <x v="666"/>
    <x v="250"/>
    <n v="128"/>
    <s v="INV01372"/>
    <n v="128"/>
    <n v="83.314999999999998"/>
    <m/>
    <m/>
    <m/>
    <m/>
    <m/>
    <n v="83.314999999999998"/>
    <d v="2022-09-15T00:00:00"/>
    <n v="0"/>
    <n v="0"/>
    <n v="0"/>
    <n v="0"/>
    <n v="0"/>
    <n v="0"/>
    <n v="0"/>
    <x v="0"/>
    <n v="10664.32"/>
    <n v="10664.32"/>
    <n v="0"/>
    <n v="0"/>
    <x v="0"/>
    <x v="11"/>
  </r>
  <r>
    <s v="ORD01373"/>
    <d v="2023-04-20T00:00:00"/>
    <x v="543"/>
    <x v="172"/>
    <n v="2"/>
    <s v="INV01373"/>
    <n v="2"/>
    <n v="370.82850000000002"/>
    <m/>
    <m/>
    <m/>
    <m/>
    <m/>
    <n v="370.82850000000002"/>
    <d v="2023-03-01T00:00:00"/>
    <n v="0"/>
    <n v="0"/>
    <n v="0"/>
    <n v="0"/>
    <n v="0"/>
    <n v="0"/>
    <n v="0"/>
    <x v="0"/>
    <n v="741.65700000000004"/>
    <n v="741.65700000000004"/>
    <n v="0"/>
    <n v="0"/>
    <x v="0"/>
    <x v="23"/>
  </r>
  <r>
    <s v="ORD01374"/>
    <d v="2024-07-27T00:00:00"/>
    <x v="46"/>
    <x v="50"/>
    <n v="101"/>
    <s v="INV01374"/>
    <n v="101"/>
    <n v="49.450800000000001"/>
    <m/>
    <m/>
    <m/>
    <m/>
    <m/>
    <n v="49.450800000000001"/>
    <d v="2023-08-30T00:00:00"/>
    <n v="0"/>
    <n v="0"/>
    <n v="0"/>
    <n v="0"/>
    <n v="0"/>
    <n v="0"/>
    <n v="0"/>
    <x v="0"/>
    <n v="4994.5308000000005"/>
    <n v="4994.5308000000005"/>
    <n v="0"/>
    <n v="0"/>
    <x v="0"/>
    <x v="21"/>
  </r>
  <r>
    <s v="ORD01375"/>
    <d v="2023-08-10T00:00:00"/>
    <x v="200"/>
    <x v="18"/>
    <n v="186"/>
    <s v="INV01375"/>
    <n v="186"/>
    <n v="361.57799999999997"/>
    <m/>
    <m/>
    <m/>
    <m/>
    <m/>
    <n v="361.57799999999997"/>
    <d v="2023-01-06T00:00:00"/>
    <n v="0"/>
    <n v="0"/>
    <n v="0"/>
    <n v="0"/>
    <n v="0"/>
    <n v="0"/>
    <n v="0"/>
    <x v="0"/>
    <n v="67253.508000000002"/>
    <n v="67253.508000000002"/>
    <n v="0"/>
    <n v="0"/>
    <x v="0"/>
    <x v="12"/>
  </r>
  <r>
    <s v="ORD01376"/>
    <d v="2023-11-29T00:00:00"/>
    <x v="98"/>
    <x v="190"/>
    <n v="150"/>
    <s v="INV01376"/>
    <n v="150"/>
    <n v="892.55520000000013"/>
    <m/>
    <m/>
    <m/>
    <m/>
    <m/>
    <n v="892.55520000000013"/>
    <d v="2023-02-28T00:00:00"/>
    <n v="0"/>
    <n v="0"/>
    <n v="0"/>
    <n v="0"/>
    <n v="0"/>
    <n v="0"/>
    <n v="0"/>
    <x v="0"/>
    <n v="133883.28000000003"/>
    <n v="133883.28000000003"/>
    <n v="0"/>
    <n v="0"/>
    <x v="0"/>
    <x v="0"/>
  </r>
  <r>
    <s v="ORD01377"/>
    <d v="2023-05-18T00:00:00"/>
    <x v="608"/>
    <x v="237"/>
    <n v="153"/>
    <s v="INV01377"/>
    <n v="153"/>
    <n v="579.65"/>
    <m/>
    <m/>
    <m/>
    <m/>
    <m/>
    <n v="579.65"/>
    <d v="2022-10-03T00:00:00"/>
    <n v="0"/>
    <n v="0"/>
    <n v="0"/>
    <n v="0"/>
    <n v="0"/>
    <n v="0"/>
    <n v="0"/>
    <x v="0"/>
    <n v="88686.45"/>
    <n v="88686.45"/>
    <n v="0"/>
    <n v="0"/>
    <x v="0"/>
    <x v="7"/>
  </r>
  <r>
    <s v="ORD01378"/>
    <d v="2023-07-13T00:00:00"/>
    <x v="575"/>
    <x v="142"/>
    <n v="3"/>
    <s v="INV01378"/>
    <n v="3"/>
    <n v="752.48910000000001"/>
    <m/>
    <m/>
    <m/>
    <m/>
    <m/>
    <n v="752.48910000000001"/>
    <d v="2023-01-27T00:00:00"/>
    <n v="0"/>
    <n v="0"/>
    <n v="0"/>
    <n v="0"/>
    <n v="0"/>
    <n v="0"/>
    <n v="0"/>
    <x v="0"/>
    <n v="2257.4673000000003"/>
    <n v="2257.4673000000003"/>
    <n v="0"/>
    <n v="0"/>
    <x v="0"/>
    <x v="10"/>
  </r>
  <r>
    <s v="ORD01379"/>
    <d v="2023-02-07T00:00:00"/>
    <x v="498"/>
    <x v="26"/>
    <n v="84"/>
    <s v="INV01379"/>
    <n v="84"/>
    <n v="126.5656"/>
    <m/>
    <m/>
    <m/>
    <m/>
    <m/>
    <n v="126.5656"/>
    <d v="2023-01-21T00:00:00"/>
    <n v="0"/>
    <n v="0"/>
    <n v="0"/>
    <n v="0"/>
    <n v="0"/>
    <n v="0"/>
    <n v="0"/>
    <x v="0"/>
    <n v="10631.510400000001"/>
    <n v="10631.510400000001"/>
    <n v="0"/>
    <n v="0"/>
    <x v="0"/>
    <x v="11"/>
  </r>
  <r>
    <s v="ORD01380"/>
    <d v="2024-01-18T00:00:00"/>
    <x v="525"/>
    <x v="0"/>
    <n v="85"/>
    <s v="INV01380"/>
    <n v="85"/>
    <n v="446.4905"/>
    <m/>
    <m/>
    <m/>
    <m/>
    <m/>
    <n v="446.4905"/>
    <d v="2023-08-23T00:00:00"/>
    <n v="0"/>
    <n v="0"/>
    <n v="0"/>
    <n v="0"/>
    <n v="0"/>
    <n v="0"/>
    <n v="0"/>
    <x v="0"/>
    <n v="37951.692499999997"/>
    <n v="37951.692499999997"/>
    <n v="0"/>
    <n v="0"/>
    <x v="0"/>
    <x v="15"/>
  </r>
  <r>
    <s v="ORD01381"/>
    <d v="2024-11-02T00:00:00"/>
    <x v="389"/>
    <x v="222"/>
    <n v="4"/>
    <s v="INV01381"/>
    <n v="4"/>
    <n v="273.24680000000001"/>
    <m/>
    <m/>
    <m/>
    <m/>
    <m/>
    <n v="273.24680000000001"/>
    <d v="2023-06-26T00:00:00"/>
    <n v="0"/>
    <n v="0"/>
    <n v="0"/>
    <n v="0"/>
    <n v="0"/>
    <n v="0"/>
    <n v="0"/>
    <x v="0"/>
    <n v="1092.9872"/>
    <n v="1092.9872"/>
    <n v="0"/>
    <n v="0"/>
    <x v="0"/>
    <x v="4"/>
  </r>
  <r>
    <s v="ORD01382"/>
    <d v="2023-01-01T00:00:00"/>
    <x v="389"/>
    <x v="153"/>
    <n v="21"/>
    <s v="INV01382"/>
    <n v="21"/>
    <n v="686.97910000000002"/>
    <m/>
    <m/>
    <m/>
    <m/>
    <m/>
    <n v="686.97910000000002"/>
    <d v="2022-08-17T00:00:00"/>
    <n v="0"/>
    <n v="0"/>
    <n v="0"/>
    <n v="0"/>
    <n v="0"/>
    <n v="0"/>
    <n v="0"/>
    <x v="0"/>
    <n v="14426.561100000001"/>
    <n v="14426.561100000001"/>
    <n v="0"/>
    <n v="0"/>
    <x v="0"/>
    <x v="8"/>
  </r>
  <r>
    <s v="ORD01383"/>
    <d v="2023-04-19T00:00:00"/>
    <x v="8"/>
    <x v="160"/>
    <n v="13"/>
    <s v="INV01383"/>
    <n v="13"/>
    <n v="431.81990000000002"/>
    <n v="8"/>
    <d v="2025-01-16T00:00:00"/>
    <m/>
    <m/>
    <m/>
    <n v="431.81990000000002"/>
    <d v="2022-09-03T00:00:00"/>
    <n v="0"/>
    <n v="0"/>
    <n v="0"/>
    <n v="0"/>
    <n v="0"/>
    <n v="1"/>
    <n v="0"/>
    <x v="1"/>
    <n v="5613.6587"/>
    <n v="5613.6587"/>
    <n v="0"/>
    <n v="2"/>
    <x v="1"/>
    <x v="23"/>
  </r>
  <r>
    <s v="ORD01384"/>
    <d v="2023-10-20T00:00:00"/>
    <x v="378"/>
    <x v="47"/>
    <n v="154"/>
    <s v="INV01384"/>
    <n v="154"/>
    <n v="385.42419999999998"/>
    <m/>
    <m/>
    <m/>
    <m/>
    <m/>
    <n v="385.42419999999998"/>
    <d v="2023-06-02T00:00:00"/>
    <n v="0"/>
    <n v="0"/>
    <n v="0"/>
    <n v="0"/>
    <n v="0"/>
    <n v="0"/>
    <n v="0"/>
    <x v="0"/>
    <n v="59355.326799999995"/>
    <n v="59355.326799999995"/>
    <n v="0"/>
    <n v="0"/>
    <x v="0"/>
    <x v="19"/>
  </r>
  <r>
    <s v="ORD01385"/>
    <d v="2023-03-05T00:00:00"/>
    <x v="22"/>
    <x v="121"/>
    <n v="56"/>
    <s v="INV01385"/>
    <n v="56"/>
    <n v="1032.2340000000002"/>
    <m/>
    <m/>
    <m/>
    <m/>
    <m/>
    <n v="1032.2340000000002"/>
    <d v="2022-08-25T00:00:00"/>
    <n v="0"/>
    <n v="0"/>
    <n v="0"/>
    <n v="0"/>
    <n v="0"/>
    <n v="0"/>
    <n v="0"/>
    <x v="0"/>
    <n v="57805.104000000007"/>
    <n v="57805.104000000007"/>
    <n v="0"/>
    <n v="0"/>
    <x v="0"/>
    <x v="17"/>
  </r>
  <r>
    <s v="ORD01386"/>
    <d v="2024-04-04T00:00:00"/>
    <x v="130"/>
    <x v="153"/>
    <n v="185"/>
    <s v="INV01386"/>
    <n v="185"/>
    <n v="680.30940000000021"/>
    <m/>
    <m/>
    <m/>
    <m/>
    <m/>
    <n v="680.30940000000021"/>
    <d v="2023-01-08T00:00:00"/>
    <n v="0"/>
    <n v="0"/>
    <n v="0"/>
    <n v="0"/>
    <n v="0"/>
    <n v="0"/>
    <n v="0"/>
    <x v="0"/>
    <n v="125857.23900000005"/>
    <n v="125857.23900000005"/>
    <n v="0"/>
    <n v="0"/>
    <x v="0"/>
    <x v="9"/>
  </r>
  <r>
    <s v="ORD01387"/>
    <d v="2024-06-05T00:00:00"/>
    <x v="300"/>
    <x v="65"/>
    <n v="140"/>
    <s v="INV01387"/>
    <n v="140"/>
    <n v="660.96040000000005"/>
    <m/>
    <m/>
    <m/>
    <m/>
    <m/>
    <n v="660.96040000000005"/>
    <d v="2023-01-21T00:00:00"/>
    <n v="0"/>
    <n v="0"/>
    <n v="0"/>
    <n v="0"/>
    <n v="0"/>
    <n v="0"/>
    <n v="0"/>
    <x v="0"/>
    <n v="92534.456000000006"/>
    <n v="92534.456000000006"/>
    <n v="0"/>
    <n v="0"/>
    <x v="0"/>
    <x v="16"/>
  </r>
  <r>
    <s v="ORD01388"/>
    <d v="2024-03-29T00:00:00"/>
    <x v="647"/>
    <x v="163"/>
    <n v="183"/>
    <s v="INV01388"/>
    <n v="183"/>
    <n v="147.87150000000003"/>
    <m/>
    <m/>
    <m/>
    <m/>
    <m/>
    <n v="147.87150000000003"/>
    <d v="2023-02-15T00:00:00"/>
    <n v="0"/>
    <n v="0"/>
    <n v="0"/>
    <n v="0"/>
    <n v="0"/>
    <n v="0"/>
    <n v="0"/>
    <x v="0"/>
    <n v="27060.484500000006"/>
    <n v="27060.484500000006"/>
    <n v="0"/>
    <n v="0"/>
    <x v="0"/>
    <x v="6"/>
  </r>
  <r>
    <s v="ORD01389"/>
    <d v="2023-09-15T00:00:00"/>
    <x v="115"/>
    <x v="112"/>
    <n v="41"/>
    <s v="INV01389"/>
    <n v="41"/>
    <n v="322.71780000000001"/>
    <m/>
    <m/>
    <m/>
    <m/>
    <m/>
    <n v="322.71780000000001"/>
    <d v="2023-08-31T00:00:00"/>
    <n v="0"/>
    <n v="0"/>
    <n v="0"/>
    <n v="0"/>
    <n v="0"/>
    <n v="0"/>
    <n v="0"/>
    <x v="0"/>
    <n v="13231.4298"/>
    <n v="13231.4298"/>
    <n v="0"/>
    <n v="0"/>
    <x v="0"/>
    <x v="18"/>
  </r>
  <r>
    <s v="ORD01390"/>
    <d v="2024-11-07T00:00:00"/>
    <x v="667"/>
    <x v="45"/>
    <n v="150"/>
    <s v="INV01390"/>
    <n v="150"/>
    <n v="169.22900000000001"/>
    <n v="15"/>
    <d v="2024-04-06T00:00:00"/>
    <m/>
    <m/>
    <m/>
    <n v="169.22900000000001"/>
    <d v="2023-04-23T00:00:00"/>
    <n v="0"/>
    <n v="0"/>
    <n v="0"/>
    <n v="0"/>
    <n v="0"/>
    <n v="0"/>
    <n v="0"/>
    <x v="0"/>
    <n v="25384.350000000002"/>
    <n v="25384.350000000002"/>
    <n v="0"/>
    <n v="0"/>
    <x v="0"/>
    <x v="4"/>
  </r>
  <r>
    <s v="ORD01391"/>
    <d v="2023-02-27T00:00:00"/>
    <x v="668"/>
    <x v="283"/>
    <n v="20"/>
    <s v="INV01391"/>
    <n v="20"/>
    <n v="112.0184"/>
    <m/>
    <m/>
    <m/>
    <m/>
    <m/>
    <n v="112.0184"/>
    <d v="2022-12-10T00:00:00"/>
    <n v="0"/>
    <n v="0"/>
    <n v="0"/>
    <n v="0"/>
    <n v="0"/>
    <n v="0"/>
    <n v="0"/>
    <x v="0"/>
    <n v="2240.3679999999999"/>
    <n v="2240.3679999999999"/>
    <n v="0"/>
    <n v="0"/>
    <x v="0"/>
    <x v="11"/>
  </r>
  <r>
    <s v="ORD01392"/>
    <d v="2023-04-03T00:00:00"/>
    <x v="92"/>
    <x v="244"/>
    <n v="139"/>
    <s v="INV01392"/>
    <n v="139"/>
    <n v="1114.3462"/>
    <m/>
    <m/>
    <m/>
    <m/>
    <m/>
    <n v="1114.3462"/>
    <d v="2023-03-30T00:00:00"/>
    <n v="0"/>
    <n v="0"/>
    <n v="0"/>
    <n v="0"/>
    <n v="0"/>
    <n v="0"/>
    <n v="0"/>
    <x v="0"/>
    <n v="154894.12179999999"/>
    <n v="154894.12179999999"/>
    <n v="0"/>
    <n v="0"/>
    <x v="0"/>
    <x v="23"/>
  </r>
  <r>
    <s v="ORD01393"/>
    <d v="2024-08-20T00:00:00"/>
    <x v="426"/>
    <x v="47"/>
    <n v="37"/>
    <s v="INV01393"/>
    <n v="37"/>
    <n v="385.42419999999998"/>
    <n v="8"/>
    <d v="2023-02-20T00:00:00"/>
    <m/>
    <m/>
    <m/>
    <n v="385.42419999999998"/>
    <d v="2023-06-02T00:00:00"/>
    <n v="0"/>
    <n v="0"/>
    <n v="0"/>
    <n v="0"/>
    <n v="0"/>
    <n v="0"/>
    <n v="0"/>
    <x v="0"/>
    <n v="14260.695399999999"/>
    <n v="14260.695399999999"/>
    <n v="0"/>
    <n v="0"/>
    <x v="0"/>
    <x v="22"/>
  </r>
  <r>
    <s v="ORD01394"/>
    <d v="2024-01-27T00:00:00"/>
    <x v="669"/>
    <x v="290"/>
    <n v="168"/>
    <s v="INV01394"/>
    <n v="168"/>
    <n v="1160.0259918152638"/>
    <m/>
    <m/>
    <m/>
    <m/>
    <m/>
    <n v="1159.732"/>
    <d v="2023-04-16T00:00:00"/>
    <n v="0"/>
    <n v="0"/>
    <n v="1"/>
    <n v="0"/>
    <n v="0"/>
    <n v="0"/>
    <n v="0"/>
    <x v="1"/>
    <n v="194884.36662496431"/>
    <n v="194834.976"/>
    <n v="49.390624964318704"/>
    <n v="4"/>
    <x v="1"/>
    <x v="15"/>
  </r>
  <r>
    <s v="ORD01395"/>
    <d v="2023-05-11T00:00:00"/>
    <x v="497"/>
    <x v="155"/>
    <n v="91"/>
    <s v="INV01395"/>
    <n v="91"/>
    <n v="565.82459999999992"/>
    <m/>
    <m/>
    <m/>
    <m/>
    <m/>
    <n v="565.82459999999992"/>
    <d v="2023-03-28T00:00:00"/>
    <n v="0"/>
    <n v="0"/>
    <n v="0"/>
    <n v="0"/>
    <n v="0"/>
    <n v="0"/>
    <n v="0"/>
    <x v="0"/>
    <n v="51490.038599999993"/>
    <n v="51490.038599999993"/>
    <n v="0"/>
    <n v="0"/>
    <x v="0"/>
    <x v="7"/>
  </r>
  <r>
    <s v="ORD01396"/>
    <d v="2023-12-07T00:00:00"/>
    <x v="304"/>
    <x v="109"/>
    <n v="110"/>
    <s v="INV01396"/>
    <n v="110"/>
    <n v="457.65019999999998"/>
    <m/>
    <m/>
    <m/>
    <m/>
    <m/>
    <n v="457.65019999999998"/>
    <d v="2023-01-24T00:00:00"/>
    <n v="0"/>
    <n v="0"/>
    <n v="0"/>
    <n v="0"/>
    <n v="0"/>
    <n v="0"/>
    <n v="0"/>
    <x v="0"/>
    <n v="50341.521999999997"/>
    <n v="50341.521999999997"/>
    <n v="0"/>
    <n v="0"/>
    <x v="0"/>
    <x v="20"/>
  </r>
  <r>
    <s v="ORD01397"/>
    <d v="2024-02-20T00:00:00"/>
    <x v="95"/>
    <x v="158"/>
    <n v="92"/>
    <s v="INV01397"/>
    <n v="92"/>
    <n v="754.20799999999997"/>
    <m/>
    <m/>
    <m/>
    <m/>
    <m/>
    <n v="754.20799999999997"/>
    <d v="2023-05-23T00:00:00"/>
    <n v="0"/>
    <n v="0"/>
    <n v="0"/>
    <n v="0"/>
    <n v="0"/>
    <n v="0"/>
    <n v="0"/>
    <x v="0"/>
    <n v="69387.135999999999"/>
    <n v="69387.135999999999"/>
    <n v="0"/>
    <n v="0"/>
    <x v="0"/>
    <x v="3"/>
  </r>
  <r>
    <s v="ORD01398"/>
    <d v="2024-07-08T00:00:00"/>
    <x v="204"/>
    <x v="281"/>
    <n v="18"/>
    <s v="INV01398"/>
    <n v="18"/>
    <n v="696.93029999999999"/>
    <m/>
    <m/>
    <m/>
    <m/>
    <m/>
    <n v="696.93029999999999"/>
    <d v="2023-08-12T00:00:00"/>
    <n v="0"/>
    <n v="0"/>
    <n v="0"/>
    <n v="0"/>
    <n v="0"/>
    <n v="0"/>
    <n v="0"/>
    <x v="0"/>
    <n v="12544.7454"/>
    <n v="12544.7454"/>
    <n v="0"/>
    <n v="0"/>
    <x v="0"/>
    <x v="21"/>
  </r>
  <r>
    <s v="ORD01399"/>
    <d v="2024-12-05T00:00:00"/>
    <x v="550"/>
    <x v="219"/>
    <n v="46"/>
    <s v="INV01399"/>
    <n v="46"/>
    <n v="556.99"/>
    <m/>
    <m/>
    <m/>
    <m/>
    <m/>
    <n v="556.99"/>
    <d v="2023-08-09T00:00:00"/>
    <n v="0"/>
    <n v="0"/>
    <n v="0"/>
    <n v="0"/>
    <n v="0"/>
    <n v="0"/>
    <n v="0"/>
    <x v="0"/>
    <n v="25621.54"/>
    <n v="25621.54"/>
    <n v="0"/>
    <n v="0"/>
    <x v="0"/>
    <x v="1"/>
  </r>
  <r>
    <s v="ORD01400"/>
    <d v="2024-05-16T00:00:00"/>
    <x v="71"/>
    <x v="231"/>
    <n v="18"/>
    <s v="INV01400"/>
    <n v="18"/>
    <n v="850.16200000000003"/>
    <m/>
    <m/>
    <m/>
    <m/>
    <m/>
    <n v="850.16200000000003"/>
    <d v="2023-06-22T00:00:00"/>
    <n v="0"/>
    <n v="0"/>
    <n v="0"/>
    <n v="0"/>
    <n v="0"/>
    <n v="0"/>
    <n v="0"/>
    <x v="0"/>
    <n v="15302.916000000001"/>
    <n v="15302.916000000001"/>
    <n v="0"/>
    <n v="0"/>
    <x v="0"/>
    <x v="13"/>
  </r>
  <r>
    <s v="ORD01401"/>
    <d v="2024-08-14T00:00:00"/>
    <x v="670"/>
    <x v="106"/>
    <n v="111"/>
    <s v="INV01401"/>
    <n v="111"/>
    <n v="652.1472"/>
    <m/>
    <m/>
    <m/>
    <m/>
    <m/>
    <n v="652.1472"/>
    <d v="2023-02-02T00:00:00"/>
    <n v="0"/>
    <n v="0"/>
    <n v="0"/>
    <n v="0"/>
    <n v="0"/>
    <n v="0"/>
    <n v="0"/>
    <x v="0"/>
    <n v="72388.339200000002"/>
    <n v="72388.339200000002"/>
    <n v="0"/>
    <n v="0"/>
    <x v="0"/>
    <x v="22"/>
  </r>
  <r>
    <s v="ORD01402"/>
    <d v="2023-01-10T00:00:00"/>
    <x v="671"/>
    <x v="146"/>
    <n v="46"/>
    <s v="INV01402"/>
    <n v="46"/>
    <n v="436.9466000000001"/>
    <m/>
    <m/>
    <m/>
    <m/>
    <m/>
    <n v="436.9466000000001"/>
    <d v="2022-07-22T00:00:00"/>
    <n v="0"/>
    <n v="0"/>
    <n v="0"/>
    <n v="0"/>
    <n v="0"/>
    <n v="0"/>
    <n v="0"/>
    <x v="0"/>
    <n v="20099.543600000005"/>
    <n v="20099.543600000005"/>
    <n v="0"/>
    <n v="0"/>
    <x v="0"/>
    <x v="8"/>
  </r>
  <r>
    <s v="ORD01403"/>
    <d v="2023-10-24T00:00:00"/>
    <x v="497"/>
    <x v="45"/>
    <n v="114"/>
    <s v="INV01403"/>
    <n v="123"/>
    <n v="169.22900000000001"/>
    <m/>
    <m/>
    <m/>
    <m/>
    <m/>
    <n v="169.22900000000001"/>
    <d v="2023-04-23T00:00:00"/>
    <n v="0"/>
    <n v="1"/>
    <n v="0"/>
    <n v="0"/>
    <n v="0"/>
    <n v="0"/>
    <n v="0"/>
    <x v="1"/>
    <n v="20815.167000000001"/>
    <n v="19292.106"/>
    <n v="1523.0610000000015"/>
    <n v="8"/>
    <x v="2"/>
    <x v="19"/>
  </r>
  <r>
    <s v="ORD01404"/>
    <d v="2024-06-02T00:00:00"/>
    <x v="671"/>
    <x v="31"/>
    <n v="144"/>
    <s v="INV01404"/>
    <n v="144"/>
    <n v="1147.3289"/>
    <m/>
    <m/>
    <m/>
    <m/>
    <m/>
    <n v="1147.3289"/>
    <d v="2023-01-19T00:00:00"/>
    <n v="0"/>
    <n v="0"/>
    <n v="0"/>
    <n v="0"/>
    <n v="0"/>
    <n v="0"/>
    <n v="0"/>
    <x v="0"/>
    <n v="165215.3616"/>
    <n v="165215.3616"/>
    <n v="0"/>
    <n v="0"/>
    <x v="0"/>
    <x v="16"/>
  </r>
  <r>
    <s v="ORD01405"/>
    <d v="2024-07-19T00:00:00"/>
    <x v="226"/>
    <x v="232"/>
    <n v="189"/>
    <s v="INV01405"/>
    <n v="195"/>
    <n v="1065.7722000000001"/>
    <m/>
    <m/>
    <m/>
    <m/>
    <m/>
    <n v="1065.7722000000001"/>
    <d v="2023-01-10T00:00:00"/>
    <n v="0"/>
    <n v="1"/>
    <n v="0"/>
    <n v="0"/>
    <n v="0"/>
    <n v="0"/>
    <n v="0"/>
    <x v="1"/>
    <n v="207825.57900000003"/>
    <n v="201430.94580000002"/>
    <n v="6394.6332000000111"/>
    <n v="8"/>
    <x v="2"/>
    <x v="21"/>
  </r>
  <r>
    <s v="ORD01406"/>
    <d v="2023-03-08T00:00:00"/>
    <x v="672"/>
    <x v="121"/>
    <n v="194"/>
    <s v="INV01406"/>
    <n v="194"/>
    <n v="1032.2340000000002"/>
    <m/>
    <m/>
    <m/>
    <m/>
    <m/>
    <n v="1032.2340000000002"/>
    <d v="2022-08-25T00:00:00"/>
    <n v="0"/>
    <n v="0"/>
    <n v="0"/>
    <n v="0"/>
    <n v="0"/>
    <n v="0"/>
    <n v="0"/>
    <x v="0"/>
    <n v="200253.39600000004"/>
    <n v="200253.39600000004"/>
    <n v="0"/>
    <n v="0"/>
    <x v="0"/>
    <x v="17"/>
  </r>
  <r>
    <s v="ORD01407"/>
    <d v="2024-06-26T00:00:00"/>
    <x v="496"/>
    <x v="24"/>
    <n v="103"/>
    <s v="INV01407"/>
    <n v="103"/>
    <n v="426.10500000000002"/>
    <n v="7"/>
    <d v="2024-08-10T00:00:00"/>
    <m/>
    <m/>
    <m/>
    <n v="426.10500000000002"/>
    <d v="2023-10-16T00:00:00"/>
    <n v="0"/>
    <n v="0"/>
    <n v="0"/>
    <n v="0"/>
    <n v="0"/>
    <n v="0"/>
    <n v="0"/>
    <x v="0"/>
    <n v="43888.815000000002"/>
    <n v="43888.815000000002"/>
    <n v="0"/>
    <n v="0"/>
    <x v="0"/>
    <x v="16"/>
  </r>
  <r>
    <s v="ORD01408"/>
    <d v="2023-08-12T00:00:00"/>
    <x v="365"/>
    <x v="98"/>
    <n v="140"/>
    <s v="INV01408"/>
    <n v="140"/>
    <n v="1119.6587000000002"/>
    <m/>
    <m/>
    <m/>
    <m/>
    <m/>
    <n v="1119.6587000000002"/>
    <d v="2023-08-09T00:00:00"/>
    <n v="0"/>
    <n v="0"/>
    <n v="0"/>
    <n v="0"/>
    <n v="0"/>
    <n v="0"/>
    <n v="0"/>
    <x v="0"/>
    <n v="156752.21800000002"/>
    <n v="156752.21800000002"/>
    <n v="0"/>
    <n v="0"/>
    <x v="0"/>
    <x v="12"/>
  </r>
  <r>
    <s v="ORD01409"/>
    <d v="2024-10-04T00:00:00"/>
    <x v="242"/>
    <x v="248"/>
    <n v="134"/>
    <s v="INV01409"/>
    <n v="134"/>
    <n v="226.88399999999999"/>
    <m/>
    <m/>
    <m/>
    <m/>
    <m/>
    <n v="226.88399999999999"/>
    <d v="2023-06-09T00:00:00"/>
    <n v="0"/>
    <n v="0"/>
    <n v="0"/>
    <n v="0"/>
    <n v="0"/>
    <n v="0"/>
    <n v="0"/>
    <x v="0"/>
    <n v="30402.455999999998"/>
    <n v="30402.455999999998"/>
    <n v="0"/>
    <n v="0"/>
    <x v="0"/>
    <x v="5"/>
  </r>
  <r>
    <s v="ORD01410"/>
    <d v="2024-03-12T00:00:00"/>
    <x v="288"/>
    <x v="276"/>
    <n v="17"/>
    <s v="INV01410"/>
    <n v="17"/>
    <n v="1066.4874"/>
    <m/>
    <m/>
    <m/>
    <m/>
    <m/>
    <n v="1066.4874"/>
    <d v="2023-05-31T00:00:00"/>
    <n v="0"/>
    <n v="0"/>
    <n v="0"/>
    <n v="0"/>
    <n v="0"/>
    <n v="0"/>
    <n v="0"/>
    <x v="0"/>
    <n v="18130.285799999998"/>
    <n v="18130.285799999998"/>
    <n v="0"/>
    <n v="0"/>
    <x v="0"/>
    <x v="6"/>
  </r>
  <r>
    <s v="ORD01411"/>
    <d v="2023-01-07T00:00:00"/>
    <x v="673"/>
    <x v="0"/>
    <n v="185"/>
    <s v="INV01411"/>
    <n v="185"/>
    <n v="502.88930000000011"/>
    <m/>
    <m/>
    <m/>
    <m/>
    <m/>
    <n v="502.88930000000011"/>
    <d v="2022-12-27T00:00:00"/>
    <n v="0"/>
    <n v="0"/>
    <n v="0"/>
    <n v="0"/>
    <n v="0"/>
    <n v="0"/>
    <n v="0"/>
    <x v="0"/>
    <n v="93034.520500000013"/>
    <n v="93034.520500000013"/>
    <n v="0"/>
    <n v="0"/>
    <x v="0"/>
    <x v="8"/>
  </r>
  <r>
    <s v="ORD01412"/>
    <d v="2023-12-30T00:00:00"/>
    <x v="480"/>
    <x v="117"/>
    <n v="69"/>
    <s v="INV01412"/>
    <n v="69"/>
    <n v="214.6182"/>
    <m/>
    <m/>
    <m/>
    <m/>
    <m/>
    <n v="214.6182"/>
    <d v="2023-07-09T00:00:00"/>
    <n v="0"/>
    <n v="0"/>
    <n v="0"/>
    <n v="0"/>
    <n v="0"/>
    <n v="0"/>
    <n v="0"/>
    <x v="0"/>
    <n v="14808.6558"/>
    <n v="14808.6558"/>
    <n v="0"/>
    <n v="0"/>
    <x v="0"/>
    <x v="20"/>
  </r>
  <r>
    <s v="ORD01413"/>
    <d v="2023-01-26T00:00:00"/>
    <x v="519"/>
    <x v="197"/>
    <n v="171"/>
    <s v="INV01413"/>
    <n v="171"/>
    <n v="240.40479999999999"/>
    <m/>
    <m/>
    <m/>
    <m/>
    <m/>
    <n v="240.40479999999999"/>
    <d v="2022-10-20T00:00:00"/>
    <n v="0"/>
    <n v="0"/>
    <n v="0"/>
    <n v="0"/>
    <n v="0"/>
    <n v="0"/>
    <n v="0"/>
    <x v="0"/>
    <n v="41109.220799999996"/>
    <n v="41109.220799999996"/>
    <n v="0"/>
    <n v="0"/>
    <x v="0"/>
    <x v="8"/>
  </r>
  <r>
    <s v="ORD01414"/>
    <d v="2023-12-09T00:00:00"/>
    <x v="23"/>
    <x v="41"/>
    <n v="91"/>
    <s v="INV01414"/>
    <n v="91"/>
    <n v="1211.7708"/>
    <m/>
    <m/>
    <m/>
    <m/>
    <m/>
    <n v="1211.7708"/>
    <d v="2023-09-24T00:00:00"/>
    <n v="0"/>
    <n v="0"/>
    <n v="0"/>
    <n v="0"/>
    <n v="0"/>
    <n v="0"/>
    <n v="0"/>
    <x v="0"/>
    <n v="110271.1428"/>
    <n v="110271.1428"/>
    <n v="0"/>
    <n v="0"/>
    <x v="0"/>
    <x v="20"/>
  </r>
  <r>
    <s v="ORD01415"/>
    <d v="2023-09-06T00:00:00"/>
    <x v="67"/>
    <x v="182"/>
    <n v="67"/>
    <s v="INV01415"/>
    <n v="67"/>
    <n v="1024.0545"/>
    <m/>
    <m/>
    <m/>
    <m/>
    <m/>
    <n v="1024.0545"/>
    <d v="2023-03-18T00:00:00"/>
    <n v="0"/>
    <n v="0"/>
    <n v="0"/>
    <n v="0"/>
    <n v="0"/>
    <n v="0"/>
    <n v="0"/>
    <x v="0"/>
    <n v="68611.651499999993"/>
    <n v="68611.651499999993"/>
    <n v="0"/>
    <n v="0"/>
    <x v="0"/>
    <x v="18"/>
  </r>
  <r>
    <s v="ORD01416"/>
    <d v="2024-03-17T00:00:00"/>
    <x v="628"/>
    <x v="34"/>
    <n v="20"/>
    <s v="INV01416"/>
    <n v="20"/>
    <n v="397.19560000000001"/>
    <m/>
    <m/>
    <m/>
    <m/>
    <m/>
    <n v="397.19560000000001"/>
    <d v="2023-01-06T00:00:00"/>
    <n v="0"/>
    <n v="0"/>
    <n v="0"/>
    <n v="0"/>
    <n v="0"/>
    <n v="0"/>
    <n v="0"/>
    <x v="0"/>
    <n v="7943.9120000000003"/>
    <n v="7943.9120000000003"/>
    <n v="0"/>
    <n v="0"/>
    <x v="0"/>
    <x v="6"/>
  </r>
  <r>
    <s v="ORD01417"/>
    <d v="2023-02-17T00:00:00"/>
    <x v="195"/>
    <x v="290"/>
    <n v="59"/>
    <s v="INV01417"/>
    <n v="59"/>
    <n v="1195.5999999999999"/>
    <n v="6"/>
    <d v="2024-09-22T00:00:00"/>
    <m/>
    <m/>
    <m/>
    <n v="1195.5999999999999"/>
    <d v="2022-05-14T00:00:00"/>
    <n v="0"/>
    <n v="0"/>
    <n v="0"/>
    <n v="0"/>
    <n v="0"/>
    <n v="1"/>
    <n v="0"/>
    <x v="1"/>
    <n v="70540.399999999994"/>
    <n v="70540.399999999994"/>
    <n v="0"/>
    <n v="2"/>
    <x v="1"/>
    <x v="11"/>
  </r>
  <r>
    <s v="ORD01418"/>
    <d v="2024-02-05T00:00:00"/>
    <x v="443"/>
    <x v="146"/>
    <n v="142"/>
    <s v="INV01418"/>
    <n v="142"/>
    <n v="428.46220000000005"/>
    <m/>
    <m/>
    <m/>
    <m/>
    <m/>
    <n v="428.46220000000005"/>
    <d v="2023-06-25T00:00:00"/>
    <n v="0"/>
    <n v="0"/>
    <n v="0"/>
    <n v="0"/>
    <n v="0"/>
    <n v="0"/>
    <n v="0"/>
    <x v="0"/>
    <n v="60841.63240000001"/>
    <n v="60841.63240000001"/>
    <n v="0"/>
    <n v="0"/>
    <x v="0"/>
    <x v="3"/>
  </r>
  <r>
    <s v="ORD01419"/>
    <d v="2024-04-25T00:00:00"/>
    <x v="674"/>
    <x v="164"/>
    <n v="60"/>
    <s v="INV01419"/>
    <n v="60"/>
    <n v="709.52"/>
    <m/>
    <m/>
    <m/>
    <m/>
    <m/>
    <n v="709.52"/>
    <d v="2023-01-26T00:00:00"/>
    <n v="0"/>
    <n v="0"/>
    <n v="0"/>
    <n v="0"/>
    <n v="0"/>
    <n v="0"/>
    <n v="0"/>
    <x v="0"/>
    <n v="42571.199999999997"/>
    <n v="42571.199999999997"/>
    <n v="0"/>
    <n v="0"/>
    <x v="0"/>
    <x v="9"/>
  </r>
  <r>
    <s v="ORD01420"/>
    <d v="2023-01-27T00:00:00"/>
    <x v="195"/>
    <x v="116"/>
    <n v="46"/>
    <s v="INV01420"/>
    <n v="46"/>
    <n v="288.07"/>
    <n v="16"/>
    <d v="2023-02-22T00:00:00"/>
    <m/>
    <m/>
    <m/>
    <n v="288.07"/>
    <d v="2022-03-27T00:00:00"/>
    <n v="0"/>
    <n v="0"/>
    <n v="0"/>
    <n v="0"/>
    <n v="0"/>
    <n v="0"/>
    <n v="0"/>
    <x v="0"/>
    <n v="13251.22"/>
    <n v="13251.22"/>
    <n v="0"/>
    <n v="0"/>
    <x v="0"/>
    <x v="8"/>
  </r>
  <r>
    <s v="ORD01421"/>
    <d v="2024-02-23T00:00:00"/>
    <x v="615"/>
    <x v="259"/>
    <n v="111"/>
    <s v="INV01421"/>
    <n v="111"/>
    <n v="1160.7750039494179"/>
    <m/>
    <m/>
    <m/>
    <m/>
    <m/>
    <n v="1160.71"/>
    <d v="2023-02-07T00:00:00"/>
    <n v="0"/>
    <n v="0"/>
    <n v="1"/>
    <n v="0"/>
    <n v="0"/>
    <n v="0"/>
    <n v="0"/>
    <x v="1"/>
    <n v="128846.02543838538"/>
    <n v="128838.81"/>
    <n v="7.215438385377638"/>
    <n v="4"/>
    <x v="1"/>
    <x v="3"/>
  </r>
  <r>
    <s v="ORD01422"/>
    <d v="2023-08-28T00:00:00"/>
    <x v="385"/>
    <x v="66"/>
    <n v="163"/>
    <s v="INV01422"/>
    <n v="163"/>
    <n v="1160.5650000000001"/>
    <m/>
    <m/>
    <m/>
    <m/>
    <m/>
    <n v="1160.5650000000001"/>
    <d v="2023-05-09T00:00:00"/>
    <n v="0"/>
    <n v="0"/>
    <n v="0"/>
    <n v="0"/>
    <n v="0"/>
    <n v="0"/>
    <n v="0"/>
    <x v="0"/>
    <n v="189172.095"/>
    <n v="189172.095"/>
    <n v="0"/>
    <n v="0"/>
    <x v="0"/>
    <x v="12"/>
  </r>
  <r>
    <s v="ORD01423"/>
    <d v="2024-01-20T00:00:00"/>
    <x v="675"/>
    <x v="33"/>
    <n v="102"/>
    <s v="INV01423"/>
    <n v="102"/>
    <n v="54.580199999999998"/>
    <m/>
    <m/>
    <m/>
    <m/>
    <m/>
    <n v="54.580199999999998"/>
    <d v="2023-02-27T00:00:00"/>
    <n v="0"/>
    <n v="0"/>
    <n v="0"/>
    <n v="0"/>
    <n v="0"/>
    <n v="0"/>
    <n v="0"/>
    <x v="0"/>
    <n v="5567.1804000000002"/>
    <n v="5567.1804000000002"/>
    <n v="0"/>
    <n v="0"/>
    <x v="0"/>
    <x v="15"/>
  </r>
  <r>
    <s v="ORD01424"/>
    <d v="2023-06-09T00:00:00"/>
    <x v="321"/>
    <x v="92"/>
    <n v="15"/>
    <s v="INV01424"/>
    <n v="15"/>
    <n v="859.25750000000005"/>
    <m/>
    <m/>
    <m/>
    <m/>
    <m/>
    <n v="859.25750000000005"/>
    <d v="2022-08-09T00:00:00"/>
    <n v="0"/>
    <n v="0"/>
    <n v="0"/>
    <n v="0"/>
    <n v="0"/>
    <n v="0"/>
    <n v="0"/>
    <x v="0"/>
    <n v="12888.862500000001"/>
    <n v="12888.862500000001"/>
    <n v="0"/>
    <n v="0"/>
    <x v="0"/>
    <x v="14"/>
  </r>
  <r>
    <s v="ORD01425"/>
    <d v="2023-09-01T00:00:00"/>
    <x v="596"/>
    <x v="297"/>
    <n v="23"/>
    <s v="INV01425"/>
    <n v="23"/>
    <n v="269.95269999999999"/>
    <m/>
    <m/>
    <m/>
    <m/>
    <m/>
    <n v="269.95269999999999"/>
    <d v="2022-08-08T00:00:00"/>
    <n v="0"/>
    <n v="0"/>
    <n v="0"/>
    <n v="0"/>
    <n v="0"/>
    <n v="0"/>
    <n v="0"/>
    <x v="0"/>
    <n v="6208.9120999999996"/>
    <n v="6208.9120999999996"/>
    <n v="0"/>
    <n v="0"/>
    <x v="0"/>
    <x v="18"/>
  </r>
  <r>
    <s v="ORD01426"/>
    <d v="2024-07-09T00:00:00"/>
    <x v="62"/>
    <x v="88"/>
    <n v="141"/>
    <s v="INV01426"/>
    <n v="141"/>
    <n v="211.68960000000001"/>
    <m/>
    <m/>
    <m/>
    <m/>
    <m/>
    <n v="211.68960000000001"/>
    <d v="2023-07-22T00:00:00"/>
    <n v="0"/>
    <n v="0"/>
    <n v="0"/>
    <n v="0"/>
    <n v="0"/>
    <n v="0"/>
    <n v="0"/>
    <x v="0"/>
    <n v="29848.233600000003"/>
    <n v="29848.233600000003"/>
    <n v="0"/>
    <n v="0"/>
    <x v="0"/>
    <x v="21"/>
  </r>
  <r>
    <s v="ORD01427"/>
    <d v="2024-01-27T00:00:00"/>
    <x v="218"/>
    <x v="255"/>
    <n v="129"/>
    <s v="INV01427"/>
    <n v="129"/>
    <n v="1178.6880000000001"/>
    <m/>
    <m/>
    <m/>
    <m/>
    <m/>
    <n v="1178.6880000000001"/>
    <d v="2023-01-04T00:00:00"/>
    <n v="0"/>
    <n v="0"/>
    <n v="0"/>
    <n v="0"/>
    <n v="0"/>
    <n v="0"/>
    <n v="0"/>
    <x v="0"/>
    <n v="152050.75200000001"/>
    <n v="152050.75200000001"/>
    <n v="0"/>
    <n v="0"/>
    <x v="0"/>
    <x v="15"/>
  </r>
  <r>
    <s v="ORD01428"/>
    <d v="2023-11-17T00:00:00"/>
    <x v="327"/>
    <x v="2"/>
    <n v="82"/>
    <s v="INV01428"/>
    <n v="82"/>
    <n v="189.1498"/>
    <m/>
    <m/>
    <m/>
    <m/>
    <m/>
    <n v="189.1498"/>
    <d v="2023-07-01T00:00:00"/>
    <n v="0"/>
    <n v="0"/>
    <n v="0"/>
    <n v="0"/>
    <n v="0"/>
    <n v="0"/>
    <n v="0"/>
    <x v="0"/>
    <n v="15510.283600000001"/>
    <n v="15510.283600000001"/>
    <n v="0"/>
    <n v="0"/>
    <x v="0"/>
    <x v="0"/>
  </r>
  <r>
    <s v="ORD01429"/>
    <d v="2023-08-17T00:00:00"/>
    <x v="69"/>
    <x v="190"/>
    <n v="113"/>
    <s v="INV01429"/>
    <n v="113"/>
    <n v="892.55520000000013"/>
    <m/>
    <m/>
    <m/>
    <m/>
    <m/>
    <n v="892.55520000000013"/>
    <d v="2023-02-28T00:00:00"/>
    <n v="0"/>
    <n v="0"/>
    <n v="0"/>
    <n v="0"/>
    <n v="0"/>
    <n v="0"/>
    <n v="0"/>
    <x v="0"/>
    <n v="100858.73760000001"/>
    <n v="100858.73760000001"/>
    <n v="0"/>
    <n v="0"/>
    <x v="0"/>
    <x v="12"/>
  </r>
  <r>
    <s v="ORD01430"/>
    <d v="2023-02-26T00:00:00"/>
    <x v="369"/>
    <x v="144"/>
    <n v="92"/>
    <s v="INV01430"/>
    <n v="92"/>
    <n v="309.07"/>
    <m/>
    <m/>
    <m/>
    <m/>
    <m/>
    <n v="309.07"/>
    <d v="2022-04-24T00:00:00"/>
    <n v="0"/>
    <n v="0"/>
    <n v="0"/>
    <n v="0"/>
    <n v="0"/>
    <n v="0"/>
    <n v="0"/>
    <x v="0"/>
    <n v="28434.44"/>
    <n v="28434.44"/>
    <n v="0"/>
    <n v="0"/>
    <x v="0"/>
    <x v="11"/>
  </r>
  <r>
    <s v="ORD01431"/>
    <d v="2024-07-23T00:00:00"/>
    <x v="631"/>
    <x v="17"/>
    <n v="114"/>
    <s v="INV01431"/>
    <n v="114"/>
    <n v="761.50400000000002"/>
    <m/>
    <m/>
    <m/>
    <m/>
    <m/>
    <n v="761.50400000000002"/>
    <d v="2023-08-23T00:00:00"/>
    <n v="0"/>
    <n v="0"/>
    <n v="0"/>
    <n v="0"/>
    <n v="0"/>
    <n v="0"/>
    <n v="0"/>
    <x v="0"/>
    <n v="86811.456000000006"/>
    <n v="86811.456000000006"/>
    <n v="0"/>
    <n v="0"/>
    <x v="0"/>
    <x v="21"/>
  </r>
  <r>
    <s v="ORD01432"/>
    <d v="2024-01-02T00:00:00"/>
    <x v="0"/>
    <x v="288"/>
    <n v="168"/>
    <s v="INV01432"/>
    <n v="168"/>
    <n v="907.24260000000004"/>
    <m/>
    <m/>
    <m/>
    <m/>
    <m/>
    <n v="907.24260000000004"/>
    <d v="2023-10-23T00:00:00"/>
    <n v="0"/>
    <n v="0"/>
    <n v="0"/>
    <n v="0"/>
    <n v="0"/>
    <n v="0"/>
    <n v="0"/>
    <x v="0"/>
    <n v="152416.7568"/>
    <n v="152416.7568"/>
    <n v="0"/>
    <n v="0"/>
    <x v="0"/>
    <x v="15"/>
  </r>
  <r>
    <s v="ORD01433"/>
    <d v="2023-03-12T00:00:00"/>
    <x v="620"/>
    <x v="130"/>
    <n v="51"/>
    <s v="INV01433"/>
    <n v="51"/>
    <n v="58.98"/>
    <m/>
    <m/>
    <m/>
    <m/>
    <m/>
    <n v="58.98"/>
    <d v="2023-01-08T00:00:00"/>
    <n v="0"/>
    <n v="0"/>
    <n v="0"/>
    <n v="0"/>
    <n v="0"/>
    <n v="0"/>
    <n v="0"/>
    <x v="0"/>
    <n v="3007.98"/>
    <n v="3007.98"/>
    <n v="0"/>
    <n v="0"/>
    <x v="0"/>
    <x v="17"/>
  </r>
  <r>
    <s v="ORD01434"/>
    <d v="2023-08-16T00:00:00"/>
    <x v="168"/>
    <x v="166"/>
    <n v="97"/>
    <s v="INV01434"/>
    <n v="97"/>
    <n v="156.37459999999999"/>
    <m/>
    <m/>
    <m/>
    <m/>
    <m/>
    <n v="156.37459999999999"/>
    <d v="2023-06-13T00:00:00"/>
    <n v="0"/>
    <n v="0"/>
    <n v="0"/>
    <n v="0"/>
    <n v="0"/>
    <n v="0"/>
    <n v="0"/>
    <x v="0"/>
    <n v="15168.336199999998"/>
    <n v="15168.336199999998"/>
    <n v="0"/>
    <n v="0"/>
    <x v="0"/>
    <x v="12"/>
  </r>
  <r>
    <s v="ORD01435"/>
    <d v="2023-01-26T00:00:00"/>
    <x v="445"/>
    <x v="178"/>
    <n v="118"/>
    <s v="INV01435"/>
    <n v="118"/>
    <n v="479.40280000000007"/>
    <m/>
    <m/>
    <m/>
    <m/>
    <m/>
    <n v="479.40280000000007"/>
    <d v="2023-01-15T00:00:00"/>
    <n v="0"/>
    <n v="0"/>
    <n v="0"/>
    <n v="0"/>
    <n v="0"/>
    <n v="0"/>
    <n v="0"/>
    <x v="0"/>
    <n v="56569.530400000011"/>
    <n v="56569.530400000011"/>
    <n v="0"/>
    <n v="0"/>
    <x v="0"/>
    <x v="8"/>
  </r>
  <r>
    <s v="ORD01436"/>
    <d v="2024-06-14T00:00:00"/>
    <x v="448"/>
    <x v="142"/>
    <n v="90"/>
    <s v="INV01436"/>
    <n v="90"/>
    <n v="752.48910000000001"/>
    <m/>
    <m/>
    <m/>
    <m/>
    <m/>
    <n v="752.48910000000001"/>
    <d v="2023-01-27T00:00:00"/>
    <n v="0"/>
    <n v="0"/>
    <n v="0"/>
    <n v="0"/>
    <n v="0"/>
    <n v="0"/>
    <n v="0"/>
    <x v="0"/>
    <n v="67724.019"/>
    <n v="67724.019"/>
    <n v="0"/>
    <n v="0"/>
    <x v="0"/>
    <x v="16"/>
  </r>
  <r>
    <s v="ORD01437"/>
    <d v="2024-05-16T00:00:00"/>
    <x v="676"/>
    <x v="267"/>
    <n v="116"/>
    <s v="INV01437"/>
    <n v="116"/>
    <n v="68.942999999999998"/>
    <m/>
    <m/>
    <m/>
    <m/>
    <m/>
    <n v="68.942999999999998"/>
    <d v="2023-03-13T00:00:00"/>
    <n v="0"/>
    <n v="0"/>
    <n v="0"/>
    <n v="0"/>
    <n v="0"/>
    <n v="0"/>
    <n v="0"/>
    <x v="0"/>
    <n v="7997.3879999999999"/>
    <n v="7997.3879999999999"/>
    <n v="0"/>
    <n v="0"/>
    <x v="0"/>
    <x v="13"/>
  </r>
  <r>
    <s v="ORD01438"/>
    <d v="2024-11-25T00:00:00"/>
    <x v="59"/>
    <x v="140"/>
    <n v="173"/>
    <s v="INV01438"/>
    <n v="173"/>
    <n v="521.54959999999994"/>
    <m/>
    <m/>
    <m/>
    <m/>
    <m/>
    <n v="521.54959999999994"/>
    <d v="2023-03-09T00:00:00"/>
    <n v="0"/>
    <n v="0"/>
    <n v="0"/>
    <n v="0"/>
    <n v="0"/>
    <n v="0"/>
    <n v="0"/>
    <x v="0"/>
    <n v="90228.080799999996"/>
    <n v="90228.080799999996"/>
    <n v="0"/>
    <n v="0"/>
    <x v="0"/>
    <x v="4"/>
  </r>
  <r>
    <s v="ORD01439"/>
    <d v="2024-10-04T00:00:00"/>
    <x v="102"/>
    <x v="12"/>
    <n v="32"/>
    <s v="INV01439"/>
    <n v="32"/>
    <n v="689.58720000000005"/>
    <m/>
    <m/>
    <m/>
    <m/>
    <m/>
    <n v="689.58720000000005"/>
    <d v="2023-10-25T00:00:00"/>
    <n v="0"/>
    <n v="0"/>
    <n v="0"/>
    <n v="0"/>
    <n v="0"/>
    <n v="0"/>
    <n v="0"/>
    <x v="0"/>
    <n v="22066.790400000002"/>
    <n v="22066.790400000002"/>
    <n v="0"/>
    <n v="0"/>
    <x v="0"/>
    <x v="5"/>
  </r>
  <r>
    <s v="ORD01440"/>
    <d v="2023-11-23T00:00:00"/>
    <x v="677"/>
    <x v="179"/>
    <n v="10"/>
    <s v="INV01440"/>
    <n v="10"/>
    <n v="72.63"/>
    <m/>
    <m/>
    <m/>
    <m/>
    <m/>
    <n v="72.63"/>
    <d v="2023-01-30T00:00:00"/>
    <n v="0"/>
    <n v="0"/>
    <n v="0"/>
    <n v="0"/>
    <n v="0"/>
    <n v="0"/>
    <n v="0"/>
    <x v="0"/>
    <n v="726.3"/>
    <n v="726.3"/>
    <n v="0"/>
    <n v="0"/>
    <x v="0"/>
    <x v="0"/>
  </r>
  <r>
    <s v="ORD01441"/>
    <d v="2024-02-17T00:00:00"/>
    <x v="32"/>
    <x v="292"/>
    <n v="173"/>
    <s v="INV01441"/>
    <n v="173"/>
    <n v="850.88400000000001"/>
    <n v="17"/>
    <d v="2024-09-27T00:00:00"/>
    <m/>
    <m/>
    <m/>
    <n v="850.88400000000001"/>
    <d v="2023-06-23T00:00:00"/>
    <n v="0"/>
    <n v="0"/>
    <n v="0"/>
    <n v="0"/>
    <n v="0"/>
    <n v="1"/>
    <n v="0"/>
    <x v="1"/>
    <n v="147202.932"/>
    <n v="147202.932"/>
    <n v="0"/>
    <n v="2"/>
    <x v="1"/>
    <x v="3"/>
  </r>
  <r>
    <s v="ORD01442"/>
    <d v="2023-11-12T00:00:00"/>
    <x v="41"/>
    <x v="102"/>
    <n v="176"/>
    <s v="INV01442"/>
    <n v="176"/>
    <n v="1093.1199999999999"/>
    <m/>
    <m/>
    <m/>
    <m/>
    <m/>
    <n v="1093.1199999999999"/>
    <d v="2023-04-19T00:00:00"/>
    <n v="0"/>
    <n v="0"/>
    <n v="0"/>
    <n v="0"/>
    <n v="0"/>
    <n v="0"/>
    <n v="0"/>
    <x v="0"/>
    <n v="192389.12"/>
    <n v="192389.12"/>
    <n v="0"/>
    <n v="0"/>
    <x v="0"/>
    <x v="0"/>
  </r>
  <r>
    <s v="ORD01443"/>
    <d v="2024-11-12T00:00:00"/>
    <x v="678"/>
    <x v="248"/>
    <n v="167"/>
    <s v="INV01443"/>
    <n v="167"/>
    <n v="226.88399999999999"/>
    <m/>
    <m/>
    <m/>
    <m/>
    <m/>
    <n v="226.88399999999999"/>
    <d v="2023-06-09T00:00:00"/>
    <n v="0"/>
    <n v="0"/>
    <n v="0"/>
    <n v="0"/>
    <n v="0"/>
    <n v="0"/>
    <n v="0"/>
    <x v="0"/>
    <n v="37889.627999999997"/>
    <n v="37889.627999999997"/>
    <n v="0"/>
    <n v="0"/>
    <x v="0"/>
    <x v="4"/>
  </r>
  <r>
    <s v="ORD01444"/>
    <d v="2024-02-22T00:00:00"/>
    <x v="679"/>
    <x v="269"/>
    <n v="59"/>
    <s v="INV01444"/>
    <n v="59"/>
    <n v="153.69479999999999"/>
    <m/>
    <m/>
    <m/>
    <m/>
    <m/>
    <n v="153.69479999999999"/>
    <d v="2023-02-03T00:00:00"/>
    <n v="0"/>
    <n v="0"/>
    <n v="0"/>
    <n v="0"/>
    <n v="0"/>
    <n v="0"/>
    <n v="0"/>
    <x v="0"/>
    <n v="9067.993199999999"/>
    <n v="9067.993199999999"/>
    <n v="0"/>
    <n v="0"/>
    <x v="0"/>
    <x v="3"/>
  </r>
  <r>
    <s v="ORD01445"/>
    <d v="2024-11-03T00:00:00"/>
    <x v="20"/>
    <x v="217"/>
    <n v="21"/>
    <s v="INV01445"/>
    <n v="24"/>
    <n v="189.52920000000003"/>
    <m/>
    <m/>
    <m/>
    <m/>
    <m/>
    <n v="189.52920000000003"/>
    <d v="2023-05-24T00:00:00"/>
    <n v="0"/>
    <n v="1"/>
    <n v="0"/>
    <n v="0"/>
    <n v="0"/>
    <n v="0"/>
    <n v="0"/>
    <x v="1"/>
    <n v="4548.7008000000005"/>
    <n v="3980.1132000000007"/>
    <n v="568.58759999999984"/>
    <n v="8"/>
    <x v="2"/>
    <x v="4"/>
  </r>
  <r>
    <s v="ORD01446"/>
    <d v="2023-02-27T00:00:00"/>
    <x v="593"/>
    <x v="217"/>
    <n v="44"/>
    <s v="INV01446"/>
    <n v="44"/>
    <n v="175.49"/>
    <m/>
    <m/>
    <m/>
    <m/>
    <m/>
    <n v="175.49"/>
    <d v="2022-07-18T00:00:00"/>
    <n v="0"/>
    <n v="0"/>
    <n v="0"/>
    <n v="0"/>
    <n v="0"/>
    <n v="0"/>
    <n v="0"/>
    <x v="0"/>
    <n v="7721.56"/>
    <n v="7721.56"/>
    <n v="0"/>
    <n v="0"/>
    <x v="0"/>
    <x v="11"/>
  </r>
  <r>
    <s v="ORD01447"/>
    <d v="2024-04-15T00:00:00"/>
    <x v="374"/>
    <x v="48"/>
    <n v="168"/>
    <s v="INV01447"/>
    <n v="168"/>
    <n v="1144.1684"/>
    <m/>
    <m/>
    <m/>
    <m/>
    <m/>
    <n v="1144.1684"/>
    <d v="2023-01-29T00:00:00"/>
    <n v="0"/>
    <n v="0"/>
    <n v="0"/>
    <n v="0"/>
    <n v="0"/>
    <n v="0"/>
    <n v="0"/>
    <x v="0"/>
    <n v="192220.29120000001"/>
    <n v="192220.29120000001"/>
    <n v="0"/>
    <n v="0"/>
    <x v="0"/>
    <x v="9"/>
  </r>
  <r>
    <s v="ORD01448"/>
    <d v="2023-10-28T00:00:00"/>
    <x v="27"/>
    <x v="201"/>
    <n v="50"/>
    <s v="INV01448"/>
    <n v="50"/>
    <n v="418.93040000000002"/>
    <m/>
    <m/>
    <m/>
    <m/>
    <m/>
    <n v="418.93040000000002"/>
    <d v="2023-10-15T00:00:00"/>
    <n v="0"/>
    <n v="0"/>
    <n v="0"/>
    <n v="0"/>
    <n v="0"/>
    <n v="0"/>
    <n v="0"/>
    <x v="0"/>
    <n v="20946.52"/>
    <n v="20946.52"/>
    <n v="0"/>
    <n v="0"/>
    <x v="0"/>
    <x v="19"/>
  </r>
  <r>
    <s v="ORD01449"/>
    <d v="2023-10-23T00:00:00"/>
    <x v="22"/>
    <x v="195"/>
    <n v="152"/>
    <s v="INV01449"/>
    <n v="152"/>
    <n v="825.40440000000001"/>
    <m/>
    <m/>
    <m/>
    <m/>
    <m/>
    <n v="825.40440000000001"/>
    <d v="2023-06-28T00:00:00"/>
    <n v="0"/>
    <n v="0"/>
    <n v="0"/>
    <n v="0"/>
    <n v="0"/>
    <n v="0"/>
    <n v="0"/>
    <x v="0"/>
    <n v="125461.4688"/>
    <n v="125461.4688"/>
    <n v="0"/>
    <n v="0"/>
    <x v="0"/>
    <x v="19"/>
  </r>
  <r>
    <s v="ORD01450"/>
    <d v="2023-03-06T00:00:00"/>
    <x v="623"/>
    <x v="135"/>
    <n v="77"/>
    <s v="INV01450"/>
    <n v="77"/>
    <n v="1173.1600000000001"/>
    <n v="13"/>
    <d v="2024-08-21T00:00:00"/>
    <m/>
    <m/>
    <m/>
    <n v="1173.1600000000001"/>
    <d v="2022-05-11T00:00:00"/>
    <n v="0"/>
    <n v="0"/>
    <n v="0"/>
    <n v="0"/>
    <n v="0"/>
    <n v="1"/>
    <n v="0"/>
    <x v="1"/>
    <n v="90333.32"/>
    <n v="90333.32"/>
    <n v="0"/>
    <n v="2"/>
    <x v="1"/>
    <x v="17"/>
  </r>
  <r>
    <s v="ORD01451"/>
    <d v="2023-02-04T00:00:00"/>
    <x v="332"/>
    <x v="250"/>
    <n v="92"/>
    <s v="INV01451"/>
    <n v="92"/>
    <n v="83.314999999999998"/>
    <m/>
    <m/>
    <m/>
    <m/>
    <m/>
    <n v="83.314999999999998"/>
    <d v="2022-09-15T00:00:00"/>
    <n v="0"/>
    <n v="0"/>
    <n v="0"/>
    <n v="0"/>
    <n v="0"/>
    <n v="0"/>
    <n v="0"/>
    <x v="0"/>
    <n v="7664.98"/>
    <n v="7664.98"/>
    <n v="0"/>
    <n v="0"/>
    <x v="0"/>
    <x v="11"/>
  </r>
  <r>
    <s v="ORD01452"/>
    <d v="2023-10-02T00:00:00"/>
    <x v="59"/>
    <x v="204"/>
    <n v="161"/>
    <s v="INV01452"/>
    <n v="161"/>
    <n v="940.1952"/>
    <m/>
    <m/>
    <m/>
    <m/>
    <m/>
    <n v="940.1952"/>
    <d v="2023-05-12T00:00:00"/>
    <n v="0"/>
    <n v="0"/>
    <n v="0"/>
    <n v="0"/>
    <n v="0"/>
    <n v="0"/>
    <n v="0"/>
    <x v="0"/>
    <n v="151371.42720000001"/>
    <n v="151371.42720000001"/>
    <n v="0"/>
    <n v="0"/>
    <x v="0"/>
    <x v="19"/>
  </r>
  <r>
    <s v="ORD01453"/>
    <d v="2024-07-09T00:00:00"/>
    <x v="680"/>
    <x v="80"/>
    <n v="185"/>
    <s v="INV01453"/>
    <n v="192"/>
    <n v="1014.5718000000001"/>
    <m/>
    <m/>
    <m/>
    <m/>
    <m/>
    <n v="1014.5718000000001"/>
    <d v="2023-04-19T00:00:00"/>
    <n v="0"/>
    <n v="1"/>
    <n v="0"/>
    <n v="0"/>
    <n v="0"/>
    <n v="0"/>
    <n v="0"/>
    <x v="1"/>
    <n v="194797.7856"/>
    <n v="187695.783"/>
    <n v="7102.0026000000071"/>
    <n v="8"/>
    <x v="2"/>
    <x v="21"/>
  </r>
  <r>
    <s v="ORD01454"/>
    <d v="2024-07-11T00:00:00"/>
    <x v="291"/>
    <x v="65"/>
    <n v="166"/>
    <s v="INV01454"/>
    <n v="166"/>
    <n v="660.96040000000005"/>
    <m/>
    <m/>
    <m/>
    <m/>
    <m/>
    <n v="660.96040000000005"/>
    <d v="2023-01-21T00:00:00"/>
    <n v="0"/>
    <n v="0"/>
    <n v="0"/>
    <n v="0"/>
    <n v="0"/>
    <n v="0"/>
    <n v="0"/>
    <x v="0"/>
    <n v="109719.42640000001"/>
    <n v="109719.42640000001"/>
    <n v="0"/>
    <n v="0"/>
    <x v="0"/>
    <x v="21"/>
  </r>
  <r>
    <s v="ORD01455"/>
    <d v="2023-09-07T00:00:00"/>
    <x v="275"/>
    <x v="217"/>
    <n v="9"/>
    <s v="INV01455"/>
    <n v="9"/>
    <n v="189.52920000000003"/>
    <m/>
    <m/>
    <m/>
    <m/>
    <m/>
    <n v="189.52920000000003"/>
    <d v="2023-05-24T00:00:00"/>
    <n v="0"/>
    <n v="0"/>
    <n v="0"/>
    <n v="0"/>
    <n v="0"/>
    <n v="0"/>
    <n v="0"/>
    <x v="0"/>
    <n v="1705.7628000000002"/>
    <n v="1705.7628000000002"/>
    <n v="0"/>
    <n v="0"/>
    <x v="0"/>
    <x v="18"/>
  </r>
  <r>
    <s v="ORD01456"/>
    <d v="2024-06-28T00:00:00"/>
    <x v="388"/>
    <x v="159"/>
    <n v="15"/>
    <s v="INV01456"/>
    <n v="15"/>
    <n v="159.06059999999999"/>
    <m/>
    <m/>
    <m/>
    <m/>
    <m/>
    <n v="159.06059999999999"/>
    <d v="2023-01-18T00:00:00"/>
    <n v="0"/>
    <n v="0"/>
    <n v="0"/>
    <n v="0"/>
    <n v="0"/>
    <n v="0"/>
    <n v="0"/>
    <x v="0"/>
    <n v="2385.9090000000001"/>
    <n v="2385.9090000000001"/>
    <n v="0"/>
    <n v="0"/>
    <x v="0"/>
    <x v="16"/>
  </r>
  <r>
    <s v="ORD01457"/>
    <d v="2023-07-11T00:00:00"/>
    <x v="419"/>
    <x v="286"/>
    <n v="97"/>
    <s v="INV01457"/>
    <n v="97"/>
    <n v="272.97059999999999"/>
    <m/>
    <m/>
    <m/>
    <m/>
    <m/>
    <n v="272.97059999999999"/>
    <d v="2022-11-18T00:00:00"/>
    <n v="0"/>
    <n v="0"/>
    <n v="0"/>
    <n v="0"/>
    <n v="0"/>
    <n v="0"/>
    <n v="0"/>
    <x v="0"/>
    <n v="26478.1482"/>
    <n v="26478.1482"/>
    <n v="0"/>
    <n v="0"/>
    <x v="0"/>
    <x v="10"/>
  </r>
  <r>
    <s v="ORD01458"/>
    <d v="2023-05-02T00:00:00"/>
    <x v="44"/>
    <x v="107"/>
    <n v="80"/>
    <s v="INV01458"/>
    <n v="80"/>
    <n v="52.185000000000002"/>
    <m/>
    <m/>
    <m/>
    <m/>
    <m/>
    <n v="52.185000000000002"/>
    <d v="2023-03-13T00:00:00"/>
    <n v="0"/>
    <n v="0"/>
    <n v="0"/>
    <n v="0"/>
    <n v="0"/>
    <n v="0"/>
    <n v="0"/>
    <x v="0"/>
    <n v="4174.8"/>
    <n v="4174.8"/>
    <n v="0"/>
    <n v="0"/>
    <x v="0"/>
    <x v="7"/>
  </r>
  <r>
    <s v="ORD01459"/>
    <d v="2024-11-16T00:00:00"/>
    <x v="386"/>
    <x v="57"/>
    <n v="98"/>
    <s v="INV01459"/>
    <n v="106"/>
    <n v="517.39100000000008"/>
    <m/>
    <m/>
    <m/>
    <m/>
    <m/>
    <n v="517.39100000000008"/>
    <d v="2023-04-29T00:00:00"/>
    <n v="0"/>
    <n v="1"/>
    <n v="0"/>
    <n v="0"/>
    <n v="0"/>
    <n v="0"/>
    <n v="0"/>
    <x v="1"/>
    <n v="54843.446000000011"/>
    <n v="50704.318000000007"/>
    <n v="4139.1280000000042"/>
    <n v="8"/>
    <x v="2"/>
    <x v="4"/>
  </r>
  <r>
    <s v="ORD01460"/>
    <d v="2024-09-08T00:00:00"/>
    <x v="668"/>
    <x v="116"/>
    <n v="194"/>
    <s v="INV01460"/>
    <n v="194"/>
    <n v="279.42789999999997"/>
    <m/>
    <m/>
    <m/>
    <m/>
    <m/>
    <n v="279.42789999999997"/>
    <d v="2023-06-26T00:00:00"/>
    <n v="0"/>
    <n v="0"/>
    <n v="0"/>
    <n v="0"/>
    <n v="0"/>
    <n v="0"/>
    <n v="0"/>
    <x v="0"/>
    <n v="54209.012599999995"/>
    <n v="54209.012599999995"/>
    <n v="0"/>
    <n v="0"/>
    <x v="0"/>
    <x v="2"/>
  </r>
  <r>
    <s v="ORD01461"/>
    <d v="2023-01-07T00:00:00"/>
    <x v="572"/>
    <x v="157"/>
    <n v="97"/>
    <s v="INV01461"/>
    <n v="97"/>
    <n v="1158.2643"/>
    <m/>
    <m/>
    <m/>
    <m/>
    <m/>
    <n v="1158.2643"/>
    <d v="2022-07-29T00:00:00"/>
    <n v="0"/>
    <n v="0"/>
    <n v="0"/>
    <n v="0"/>
    <n v="0"/>
    <n v="0"/>
    <n v="0"/>
    <x v="0"/>
    <n v="112351.63710000001"/>
    <n v="112351.63710000001"/>
    <n v="0"/>
    <n v="0"/>
    <x v="0"/>
    <x v="8"/>
  </r>
  <r>
    <s v="ORD01462"/>
    <d v="2024-05-05T00:00:00"/>
    <x v="249"/>
    <x v="230"/>
    <n v="76"/>
    <s v="INV01462"/>
    <n v="85"/>
    <n v="234.87090000000001"/>
    <m/>
    <m/>
    <m/>
    <m/>
    <m/>
    <n v="234.87090000000001"/>
    <d v="2023-08-12T00:00:00"/>
    <n v="0"/>
    <n v="1"/>
    <n v="0"/>
    <n v="0"/>
    <n v="0"/>
    <n v="0"/>
    <n v="0"/>
    <x v="1"/>
    <n v="19964.0265"/>
    <n v="17850.188399999999"/>
    <n v="2113.8381000000008"/>
    <n v="8"/>
    <x v="2"/>
    <x v="13"/>
  </r>
  <r>
    <s v="ORD01463"/>
    <d v="2023-06-13T00:00:00"/>
    <x v="216"/>
    <x v="287"/>
    <n v="142"/>
    <s v="INV01463"/>
    <n v="142"/>
    <n v="720.47380000000021"/>
    <n v="12"/>
    <d v="2024-06-27T00:00:00"/>
    <m/>
    <m/>
    <m/>
    <n v="720.47380000000021"/>
    <d v="2023-04-10T00:00:00"/>
    <n v="0"/>
    <n v="0"/>
    <n v="0"/>
    <n v="0"/>
    <n v="0"/>
    <n v="1"/>
    <n v="0"/>
    <x v="1"/>
    <n v="102307.27960000002"/>
    <n v="102307.27960000002"/>
    <n v="0"/>
    <n v="2"/>
    <x v="1"/>
    <x v="14"/>
  </r>
  <r>
    <s v="ORD01464"/>
    <d v="2024-08-21T00:00:00"/>
    <x v="56"/>
    <x v="216"/>
    <n v="31"/>
    <s v="INV01464"/>
    <n v="31"/>
    <n v="829.38407811833838"/>
    <m/>
    <m/>
    <m/>
    <m/>
    <m/>
    <n v="828.36189999999999"/>
    <d v="2023-07-30T00:00:00"/>
    <n v="0"/>
    <n v="0"/>
    <n v="1"/>
    <n v="0"/>
    <n v="0"/>
    <n v="0"/>
    <n v="0"/>
    <x v="1"/>
    <n v="25710.906421668489"/>
    <n v="25679.2189"/>
    <n v="31.687521668489353"/>
    <n v="4"/>
    <x v="1"/>
    <x v="22"/>
  </r>
  <r>
    <s v="ORD01465"/>
    <d v="2023-04-11T00:00:00"/>
    <x v="681"/>
    <x v="207"/>
    <n v="123"/>
    <s v="INV01465"/>
    <n v="123"/>
    <n v="296.2912"/>
    <m/>
    <m/>
    <m/>
    <m/>
    <m/>
    <n v="296.2912"/>
    <d v="2022-12-26T00:00:00"/>
    <n v="0"/>
    <n v="0"/>
    <n v="0"/>
    <n v="0"/>
    <n v="0"/>
    <n v="0"/>
    <n v="0"/>
    <x v="0"/>
    <n v="36443.817600000002"/>
    <n v="36443.817600000002"/>
    <n v="0"/>
    <n v="0"/>
    <x v="0"/>
    <x v="23"/>
  </r>
  <r>
    <s v="ORD01466"/>
    <d v="2023-10-22T00:00:00"/>
    <x v="538"/>
    <x v="259"/>
    <n v="114"/>
    <s v="INV01466"/>
    <n v="114"/>
    <n v="1160.71"/>
    <m/>
    <m/>
    <m/>
    <m/>
    <m/>
    <n v="1160.71"/>
    <d v="2023-02-07T00:00:00"/>
    <n v="0"/>
    <n v="0"/>
    <n v="0"/>
    <n v="0"/>
    <n v="0"/>
    <n v="0"/>
    <n v="0"/>
    <x v="0"/>
    <n v="132320.94"/>
    <n v="132320.94"/>
    <n v="0"/>
    <n v="0"/>
    <x v="0"/>
    <x v="19"/>
  </r>
  <r>
    <s v="ORD01467"/>
    <d v="2023-03-19T00:00:00"/>
    <x v="388"/>
    <x v="51"/>
    <n v="164"/>
    <s v="INV01467"/>
    <n v="164"/>
    <n v="574.3415"/>
    <m/>
    <m/>
    <m/>
    <m/>
    <m/>
    <n v="574.3415"/>
    <d v="2022-09-02T00:00:00"/>
    <n v="0"/>
    <n v="0"/>
    <n v="0"/>
    <n v="0"/>
    <n v="0"/>
    <n v="0"/>
    <n v="0"/>
    <x v="0"/>
    <n v="94192.005999999994"/>
    <n v="94192.005999999994"/>
    <n v="0"/>
    <n v="0"/>
    <x v="0"/>
    <x v="17"/>
  </r>
  <r>
    <s v="ORD01468"/>
    <d v="2024-06-13T00:00:00"/>
    <x v="335"/>
    <x v="296"/>
    <n v="16"/>
    <s v="INV01468"/>
    <n v="16"/>
    <n v="724.16120000000001"/>
    <m/>
    <m/>
    <m/>
    <m/>
    <m/>
    <n v="724.16120000000001"/>
    <d v="2023-04-28T00:00:00"/>
    <n v="0"/>
    <n v="0"/>
    <n v="0"/>
    <n v="0"/>
    <n v="0"/>
    <n v="0"/>
    <n v="0"/>
    <x v="0"/>
    <n v="11586.5792"/>
    <n v="11586.5792"/>
    <n v="0"/>
    <n v="0"/>
    <x v="0"/>
    <x v="16"/>
  </r>
  <r>
    <s v="ORD01469"/>
    <d v="2023-02-27T00:00:00"/>
    <x v="465"/>
    <x v="35"/>
    <n v="185"/>
    <s v="INV01469"/>
    <n v="185"/>
    <n v="1131.7511999999999"/>
    <m/>
    <m/>
    <m/>
    <m/>
    <m/>
    <n v="1131.7511999999999"/>
    <d v="2022-09-02T00:00:00"/>
    <n v="0"/>
    <n v="0"/>
    <n v="0"/>
    <n v="0"/>
    <n v="0"/>
    <n v="0"/>
    <n v="0"/>
    <x v="0"/>
    <n v="209373.97199999998"/>
    <n v="209373.97199999998"/>
    <n v="0"/>
    <n v="0"/>
    <x v="0"/>
    <x v="11"/>
  </r>
  <r>
    <s v="ORD01470"/>
    <d v="2023-08-20T00:00:00"/>
    <x v="552"/>
    <x v="275"/>
    <n v="133"/>
    <s v="INV01470"/>
    <n v="133"/>
    <n v="797.23339999999996"/>
    <m/>
    <m/>
    <m/>
    <m/>
    <m/>
    <n v="797.23339999999996"/>
    <d v="2023-06-08T00:00:00"/>
    <n v="0"/>
    <n v="0"/>
    <n v="0"/>
    <n v="0"/>
    <n v="0"/>
    <n v="0"/>
    <n v="0"/>
    <x v="0"/>
    <n v="106032.0422"/>
    <n v="106032.0422"/>
    <n v="0"/>
    <n v="0"/>
    <x v="0"/>
    <x v="12"/>
  </r>
  <r>
    <s v="ORD01471"/>
    <d v="2023-02-05T00:00:00"/>
    <x v="682"/>
    <x v="291"/>
    <n v="110"/>
    <s v="INV01471"/>
    <n v="110"/>
    <n v="924.19"/>
    <m/>
    <m/>
    <m/>
    <m/>
    <m/>
    <n v="924.19"/>
    <d v="2022-04-08T00:00:00"/>
    <n v="0"/>
    <n v="0"/>
    <n v="0"/>
    <n v="0"/>
    <n v="0"/>
    <n v="0"/>
    <n v="0"/>
    <x v="0"/>
    <n v="101660.90000000001"/>
    <n v="101660.90000000001"/>
    <n v="0"/>
    <n v="0"/>
    <x v="0"/>
    <x v="11"/>
  </r>
  <r>
    <s v="ORD01472"/>
    <d v="2023-09-21T00:00:00"/>
    <x v="520"/>
    <x v="114"/>
    <n v="53"/>
    <s v="INV01472"/>
    <n v="53"/>
    <n v="945.38850000000002"/>
    <m/>
    <m/>
    <m/>
    <m/>
    <m/>
    <n v="945.38850000000002"/>
    <d v="2023-05-01T00:00:00"/>
    <n v="0"/>
    <n v="0"/>
    <n v="0"/>
    <n v="0"/>
    <n v="0"/>
    <n v="0"/>
    <n v="0"/>
    <x v="0"/>
    <n v="50105.590499999998"/>
    <n v="50105.590499999998"/>
    <n v="0"/>
    <n v="0"/>
    <x v="0"/>
    <x v="18"/>
  </r>
  <r>
    <s v="ORD01473"/>
    <d v="2023-10-03T00:00:00"/>
    <x v="136"/>
    <x v="237"/>
    <n v="59"/>
    <s v="INV01473"/>
    <n v="59"/>
    <n v="620.22550000000001"/>
    <m/>
    <m/>
    <m/>
    <m/>
    <m/>
    <n v="620.22550000000001"/>
    <d v="2023-10-01T00:00:00"/>
    <n v="0"/>
    <n v="0"/>
    <n v="0"/>
    <n v="0"/>
    <n v="0"/>
    <n v="0"/>
    <n v="0"/>
    <x v="0"/>
    <n v="36593.304499999998"/>
    <n v="36593.304499999998"/>
    <n v="0"/>
    <n v="0"/>
    <x v="0"/>
    <x v="19"/>
  </r>
  <r>
    <s v="ORD01474"/>
    <d v="2024-12-02T00:00:00"/>
    <x v="683"/>
    <x v="57"/>
    <n v="160"/>
    <s v="INV01474"/>
    <n v="160"/>
    <n v="517.39100000000008"/>
    <m/>
    <m/>
    <m/>
    <m/>
    <m/>
    <n v="517.39100000000008"/>
    <d v="2023-04-29T00:00:00"/>
    <n v="0"/>
    <n v="0"/>
    <n v="0"/>
    <n v="0"/>
    <n v="0"/>
    <n v="0"/>
    <n v="0"/>
    <x v="0"/>
    <n v="82782.560000000012"/>
    <n v="82782.560000000012"/>
    <n v="0"/>
    <n v="0"/>
    <x v="0"/>
    <x v="1"/>
  </r>
  <r>
    <s v="ORD01475"/>
    <d v="2024-03-31T00:00:00"/>
    <x v="470"/>
    <x v="201"/>
    <n v="185"/>
    <s v="INV01475"/>
    <n v="185"/>
    <n v="418.93040000000002"/>
    <m/>
    <m/>
    <m/>
    <m/>
    <m/>
    <n v="418.93040000000002"/>
    <d v="2023-10-15T00:00:00"/>
    <n v="0"/>
    <n v="0"/>
    <n v="0"/>
    <n v="0"/>
    <n v="0"/>
    <n v="0"/>
    <n v="0"/>
    <x v="0"/>
    <n v="77502.124000000011"/>
    <n v="77502.124000000011"/>
    <n v="0"/>
    <n v="0"/>
    <x v="0"/>
    <x v="6"/>
  </r>
  <r>
    <s v="ORD01476"/>
    <d v="2024-05-11T00:00:00"/>
    <x v="315"/>
    <x v="235"/>
    <n v="115"/>
    <s v="INV01476"/>
    <n v="115"/>
    <n v="708.51900000000001"/>
    <m/>
    <m/>
    <m/>
    <m/>
    <m/>
    <n v="708.51900000000001"/>
    <d v="2023-05-17T00:00:00"/>
    <n v="0"/>
    <n v="0"/>
    <n v="0"/>
    <n v="0"/>
    <n v="0"/>
    <n v="0"/>
    <n v="0"/>
    <x v="0"/>
    <n v="81479.684999999998"/>
    <n v="81479.684999999998"/>
    <n v="0"/>
    <n v="0"/>
    <x v="0"/>
    <x v="13"/>
  </r>
  <r>
    <s v="ORD01477"/>
    <d v="2023-07-27T00:00:00"/>
    <x v="562"/>
    <x v="176"/>
    <n v="97"/>
    <s v="INV01477"/>
    <n v="97"/>
    <n v="78.298400000000001"/>
    <n v="4"/>
    <d v="2023-09-17T00:00:00"/>
    <m/>
    <m/>
    <m/>
    <n v="78.298400000000001"/>
    <d v="2022-12-24T00:00:00"/>
    <n v="0"/>
    <n v="0"/>
    <n v="0"/>
    <n v="0"/>
    <n v="0"/>
    <n v="0"/>
    <n v="0"/>
    <x v="0"/>
    <n v="7594.9448000000002"/>
    <n v="7594.9448000000002"/>
    <n v="0"/>
    <n v="0"/>
    <x v="0"/>
    <x v="10"/>
  </r>
  <r>
    <s v="ORD01478"/>
    <d v="2024-04-14T00:00:00"/>
    <x v="490"/>
    <x v="146"/>
    <n v="66"/>
    <s v="INV01478"/>
    <n v="66"/>
    <n v="428.46220000000005"/>
    <m/>
    <m/>
    <m/>
    <m/>
    <m/>
    <n v="428.46220000000005"/>
    <d v="2023-06-25T00:00:00"/>
    <n v="0"/>
    <n v="0"/>
    <n v="0"/>
    <n v="0"/>
    <n v="0"/>
    <n v="0"/>
    <n v="0"/>
    <x v="0"/>
    <n v="28278.505200000003"/>
    <n v="28278.505200000003"/>
    <n v="0"/>
    <n v="0"/>
    <x v="0"/>
    <x v="9"/>
  </r>
  <r>
    <s v="ORD01479"/>
    <d v="2024-04-22T00:00:00"/>
    <x v="119"/>
    <x v="146"/>
    <n v="122"/>
    <s v="INV01479"/>
    <n v="122"/>
    <n v="428.71915989592588"/>
    <m/>
    <m/>
    <m/>
    <m/>
    <m/>
    <n v="428.46220000000005"/>
    <d v="2023-06-25T00:00:00"/>
    <n v="0"/>
    <n v="0"/>
    <n v="1"/>
    <n v="0"/>
    <n v="0"/>
    <n v="0"/>
    <n v="0"/>
    <x v="1"/>
    <n v="52303.737507302954"/>
    <n v="52272.388400000003"/>
    <n v="31.34910730295087"/>
    <n v="4"/>
    <x v="1"/>
    <x v="9"/>
  </r>
  <r>
    <s v="ORD01480"/>
    <d v="2024-04-22T00:00:00"/>
    <x v="110"/>
    <x v="256"/>
    <n v="48"/>
    <s v="INV01480"/>
    <n v="48"/>
    <n v="717.0471"/>
    <m/>
    <m/>
    <m/>
    <m/>
    <m/>
    <n v="717.0471"/>
    <d v="2023-02-27T00:00:00"/>
    <n v="0"/>
    <n v="0"/>
    <n v="0"/>
    <n v="0"/>
    <n v="0"/>
    <n v="0"/>
    <n v="0"/>
    <x v="0"/>
    <n v="34418.260800000004"/>
    <n v="34418.260800000004"/>
    <n v="0"/>
    <n v="0"/>
    <x v="0"/>
    <x v="9"/>
  </r>
  <r>
    <s v="ORD01481"/>
    <d v="2023-02-10T00:00:00"/>
    <x v="123"/>
    <x v="90"/>
    <n v="194"/>
    <s v="INV01481"/>
    <n v="194"/>
    <n v="251.7174"/>
    <n v="4"/>
    <d v="2023-09-08T00:00:00"/>
    <m/>
    <m/>
    <m/>
    <n v="251.7174"/>
    <d v="2022-11-17T00:00:00"/>
    <n v="0"/>
    <n v="0"/>
    <n v="0"/>
    <n v="0"/>
    <n v="0"/>
    <n v="1"/>
    <n v="0"/>
    <x v="1"/>
    <n v="48833.175600000002"/>
    <n v="48833.175600000002"/>
    <n v="0"/>
    <n v="2"/>
    <x v="1"/>
    <x v="11"/>
  </r>
  <r>
    <s v="ORD01482"/>
    <d v="2024-06-16T00:00:00"/>
    <x v="661"/>
    <x v="177"/>
    <n v="167"/>
    <s v="INV01482"/>
    <n v="167"/>
    <n v="335.39150000000001"/>
    <m/>
    <m/>
    <m/>
    <m/>
    <m/>
    <n v="335.39150000000001"/>
    <d v="2023-08-13T00:00:00"/>
    <n v="0"/>
    <n v="0"/>
    <n v="0"/>
    <n v="0"/>
    <n v="0"/>
    <n v="0"/>
    <n v="0"/>
    <x v="0"/>
    <n v="56010.380499999999"/>
    <n v="56010.380499999999"/>
    <n v="0"/>
    <n v="0"/>
    <x v="0"/>
    <x v="16"/>
  </r>
  <r>
    <s v="ORD01483"/>
    <d v="2024-02-13T00:00:00"/>
    <x v="526"/>
    <x v="196"/>
    <n v="143"/>
    <s v="INV01483"/>
    <n v="143"/>
    <n v="1099.82"/>
    <m/>
    <m/>
    <m/>
    <m/>
    <m/>
    <n v="1099.82"/>
    <d v="2023-02-05T00:00:00"/>
    <n v="0"/>
    <n v="0"/>
    <n v="0"/>
    <n v="0"/>
    <n v="0"/>
    <n v="0"/>
    <n v="0"/>
    <x v="0"/>
    <n v="157274.25999999998"/>
    <n v="157274.25999999998"/>
    <n v="0"/>
    <n v="0"/>
    <x v="0"/>
    <x v="3"/>
  </r>
  <r>
    <s v="ORD01484"/>
    <d v="2024-04-20T00:00:00"/>
    <x v="524"/>
    <x v="241"/>
    <n v="121"/>
    <s v="INV01484"/>
    <n v="121"/>
    <n v="854.74350000000004"/>
    <m/>
    <m/>
    <m/>
    <m/>
    <m/>
    <n v="854.74350000000004"/>
    <d v="2023-02-27T00:00:00"/>
    <n v="0"/>
    <n v="0"/>
    <n v="0"/>
    <n v="0"/>
    <n v="0"/>
    <n v="0"/>
    <n v="0"/>
    <x v="0"/>
    <n v="103423.9635"/>
    <n v="103423.9635"/>
    <n v="0"/>
    <n v="0"/>
    <x v="0"/>
    <x v="9"/>
  </r>
  <r>
    <s v="ORD01485"/>
    <d v="2023-03-03T00:00:00"/>
    <x v="569"/>
    <x v="12"/>
    <n v="170"/>
    <s v="INV01485"/>
    <n v="170"/>
    <n v="726.19808721391485"/>
    <n v="14"/>
    <d v="2024-04-16T00:00:00"/>
    <m/>
    <m/>
    <m/>
    <n v="725.50320000000011"/>
    <d v="2022-10-24T00:00:00"/>
    <n v="0"/>
    <n v="0"/>
    <n v="1"/>
    <n v="0"/>
    <n v="0"/>
    <n v="1"/>
    <n v="0"/>
    <x v="1"/>
    <n v="123453.67482636552"/>
    <n v="123335.54400000002"/>
    <n v="118.1308263654937"/>
    <n v="6"/>
    <x v="2"/>
    <x v="17"/>
  </r>
  <r>
    <s v="ORD01486"/>
    <d v="2023-10-09T00:00:00"/>
    <x v="180"/>
    <x v="38"/>
    <n v="67"/>
    <s v="INV01486"/>
    <n v="67"/>
    <n v="455.04644931082737"/>
    <m/>
    <m/>
    <m/>
    <m/>
    <m/>
    <n v="454.98379999999997"/>
    <d v="2023-03-26T00:00:00"/>
    <n v="0"/>
    <n v="0"/>
    <n v="1"/>
    <n v="0"/>
    <n v="0"/>
    <n v="0"/>
    <n v="0"/>
    <x v="1"/>
    <n v="30488.112103825435"/>
    <n v="30483.914599999996"/>
    <n v="4.1975038254386163"/>
    <n v="4"/>
    <x v="1"/>
    <x v="19"/>
  </r>
  <r>
    <s v="ORD01487"/>
    <d v="2024-09-03T00:00:00"/>
    <x v="267"/>
    <x v="212"/>
    <n v="57"/>
    <s v="INV01487"/>
    <n v="57"/>
    <n v="1167.9120000000005"/>
    <m/>
    <m/>
    <m/>
    <m/>
    <m/>
    <n v="1167.9120000000005"/>
    <d v="2023-04-03T00:00:00"/>
    <n v="0"/>
    <n v="0"/>
    <n v="0"/>
    <n v="0"/>
    <n v="0"/>
    <n v="0"/>
    <n v="0"/>
    <x v="0"/>
    <n v="66570.984000000026"/>
    <n v="66570.984000000026"/>
    <n v="0"/>
    <n v="0"/>
    <x v="0"/>
    <x v="2"/>
  </r>
  <r>
    <s v="ORD01488"/>
    <d v="2024-02-09T00:00:00"/>
    <x v="684"/>
    <x v="271"/>
    <n v="149"/>
    <s v="INV01488"/>
    <n v="149"/>
    <n v="358.35930694874457"/>
    <m/>
    <m/>
    <m/>
    <m/>
    <m/>
    <n v="358.33919999999995"/>
    <d v="2023-07-01T00:00:00"/>
    <n v="0"/>
    <n v="0"/>
    <n v="1"/>
    <n v="0"/>
    <n v="0"/>
    <n v="0"/>
    <n v="0"/>
    <x v="1"/>
    <n v="53395.536735362941"/>
    <n v="53392.540799999995"/>
    <n v="2.9959353629456018"/>
    <n v="4"/>
    <x v="1"/>
    <x v="3"/>
  </r>
  <r>
    <s v="ORD01489"/>
    <d v="2023-08-11T00:00:00"/>
    <x v="259"/>
    <x v="209"/>
    <n v="149"/>
    <s v="INV01489"/>
    <n v="149"/>
    <n v="880.66300000000001"/>
    <m/>
    <m/>
    <m/>
    <m/>
    <m/>
    <n v="880.66300000000001"/>
    <d v="2023-02-09T00:00:00"/>
    <n v="0"/>
    <n v="0"/>
    <n v="0"/>
    <n v="0"/>
    <n v="0"/>
    <n v="0"/>
    <n v="0"/>
    <x v="0"/>
    <n v="131218.78700000001"/>
    <n v="131218.78700000001"/>
    <n v="0"/>
    <n v="0"/>
    <x v="0"/>
    <x v="12"/>
  </r>
  <r>
    <s v="ORD01490"/>
    <d v="2023-03-12T00:00:00"/>
    <x v="410"/>
    <x v="284"/>
    <n v="153"/>
    <s v="INV01490"/>
    <n v="153"/>
    <n v="1052.6012000000001"/>
    <m/>
    <m/>
    <m/>
    <m/>
    <m/>
    <n v="1052.6012000000001"/>
    <d v="2022-11-14T00:00:00"/>
    <n v="0"/>
    <n v="0"/>
    <n v="0"/>
    <n v="0"/>
    <n v="0"/>
    <n v="0"/>
    <n v="0"/>
    <x v="0"/>
    <n v="161047.98360000001"/>
    <n v="161047.98360000001"/>
    <n v="0"/>
    <n v="0"/>
    <x v="0"/>
    <x v="17"/>
  </r>
  <r>
    <s v="ORD01491"/>
    <d v="2024-09-13T00:00:00"/>
    <x v="685"/>
    <x v="79"/>
    <n v="103"/>
    <s v="INV01491"/>
    <n v="103"/>
    <n v="730.7886000000002"/>
    <n v="13"/>
    <d v="2025-01-25T00:00:00"/>
    <m/>
    <m/>
    <m/>
    <n v="730.7886000000002"/>
    <d v="2023-06-22T00:00:00"/>
    <n v="0"/>
    <n v="0"/>
    <n v="0"/>
    <n v="0"/>
    <n v="0"/>
    <n v="1"/>
    <n v="0"/>
    <x v="1"/>
    <n v="75271.225800000015"/>
    <n v="75271.225800000015"/>
    <n v="0"/>
    <n v="2"/>
    <x v="1"/>
    <x v="2"/>
  </r>
  <r>
    <s v="ORD01492"/>
    <d v="2024-08-19T00:00:00"/>
    <x v="686"/>
    <x v="282"/>
    <n v="110"/>
    <s v="INV01492"/>
    <n v="110"/>
    <n v="380.976"/>
    <m/>
    <m/>
    <m/>
    <m/>
    <m/>
    <n v="380.976"/>
    <d v="2023-09-03T00:00:00"/>
    <n v="0"/>
    <n v="0"/>
    <n v="0"/>
    <n v="0"/>
    <n v="0"/>
    <n v="0"/>
    <n v="0"/>
    <x v="0"/>
    <n v="41907.360000000001"/>
    <n v="41907.360000000001"/>
    <n v="0"/>
    <n v="0"/>
    <x v="0"/>
    <x v="22"/>
  </r>
  <r>
    <s v="ORD01493"/>
    <d v="2024-08-26T00:00:00"/>
    <x v="683"/>
    <x v="294"/>
    <n v="108"/>
    <s v="INV01493"/>
    <n v="108"/>
    <n v="143.86799999999999"/>
    <m/>
    <m/>
    <m/>
    <m/>
    <m/>
    <n v="143.86799999999999"/>
    <d v="2023-04-20T00:00:00"/>
    <n v="0"/>
    <n v="0"/>
    <n v="0"/>
    <n v="0"/>
    <n v="0"/>
    <n v="0"/>
    <n v="0"/>
    <x v="0"/>
    <n v="15537.743999999999"/>
    <n v="15537.743999999999"/>
    <n v="0"/>
    <n v="0"/>
    <x v="0"/>
    <x v="22"/>
  </r>
  <r>
    <s v="ORD01494"/>
    <d v="2023-08-03T00:00:00"/>
    <x v="686"/>
    <x v="245"/>
    <n v="96"/>
    <s v="INV01494"/>
    <n v="96"/>
    <n v="908.12130000000002"/>
    <m/>
    <m/>
    <m/>
    <m/>
    <m/>
    <n v="908.12130000000002"/>
    <d v="2023-08-02T00:00:00"/>
    <n v="0"/>
    <n v="0"/>
    <n v="0"/>
    <n v="0"/>
    <n v="0"/>
    <n v="0"/>
    <n v="0"/>
    <x v="0"/>
    <n v="87179.644800000009"/>
    <n v="87179.644800000009"/>
    <n v="0"/>
    <n v="0"/>
    <x v="0"/>
    <x v="12"/>
  </r>
  <r>
    <s v="ORD01495"/>
    <d v="2023-03-08T00:00:00"/>
    <x v="404"/>
    <x v="106"/>
    <n v="195"/>
    <s v="INV01495"/>
    <n v="204"/>
    <n v="652.1472"/>
    <m/>
    <m/>
    <m/>
    <m/>
    <m/>
    <n v="652.1472"/>
    <d v="2023-02-02T00:00:00"/>
    <n v="0"/>
    <n v="1"/>
    <n v="0"/>
    <n v="0"/>
    <n v="0"/>
    <n v="0"/>
    <n v="0"/>
    <x v="1"/>
    <n v="133038.0288"/>
    <n v="127168.704"/>
    <n v="5869.3248000000021"/>
    <n v="8"/>
    <x v="2"/>
    <x v="17"/>
  </r>
  <r>
    <s v="ORD01496"/>
    <d v="2023-10-31T00:00:00"/>
    <x v="500"/>
    <x v="75"/>
    <n v="20"/>
    <s v="INV01496"/>
    <n v="20"/>
    <n v="492.38400000000001"/>
    <m/>
    <m/>
    <m/>
    <m/>
    <m/>
    <n v="492.38400000000001"/>
    <d v="2023-02-09T00:00:00"/>
    <n v="0"/>
    <n v="0"/>
    <n v="0"/>
    <n v="0"/>
    <n v="0"/>
    <n v="0"/>
    <n v="0"/>
    <x v="0"/>
    <n v="9847.68"/>
    <n v="9847.68"/>
    <n v="0"/>
    <n v="0"/>
    <x v="0"/>
    <x v="19"/>
  </r>
  <r>
    <s v="ORD01497"/>
    <d v="2024-04-01T00:00:00"/>
    <x v="687"/>
    <x v="139"/>
    <n v="185"/>
    <s v="INV01497"/>
    <n v="185"/>
    <n v="383.63"/>
    <m/>
    <m/>
    <m/>
    <m/>
    <m/>
    <n v="383.63"/>
    <d v="2023-10-01T00:00:00"/>
    <n v="0"/>
    <n v="0"/>
    <n v="0"/>
    <n v="0"/>
    <n v="0"/>
    <n v="0"/>
    <n v="0"/>
    <x v="0"/>
    <n v="70971.55"/>
    <n v="70971.55"/>
    <n v="0"/>
    <n v="0"/>
    <x v="0"/>
    <x v="9"/>
  </r>
  <r>
    <s v="ORD01498"/>
    <d v="2023-06-17T00:00:00"/>
    <x v="95"/>
    <x v="95"/>
    <n v="39"/>
    <s v="INV01498"/>
    <n v="39"/>
    <n v="1072.1079000000002"/>
    <m/>
    <m/>
    <m/>
    <m/>
    <m/>
    <n v="1072.1079000000002"/>
    <d v="2023-04-19T00:00:00"/>
    <n v="0"/>
    <n v="0"/>
    <n v="0"/>
    <n v="0"/>
    <n v="0"/>
    <n v="0"/>
    <n v="0"/>
    <x v="0"/>
    <n v="41812.208100000011"/>
    <n v="41812.208100000011"/>
    <n v="0"/>
    <n v="0"/>
    <x v="0"/>
    <x v="14"/>
  </r>
  <r>
    <s v="ORD01499"/>
    <d v="2024-11-11T00:00:00"/>
    <x v="337"/>
    <x v="90"/>
    <n v="157"/>
    <s v="INV01499"/>
    <n v="157"/>
    <n v="249.1748"/>
    <n v="10"/>
    <d v="2024-12-17T00:00:00"/>
    <m/>
    <m/>
    <m/>
    <n v="249.1748"/>
    <d v="2023-08-03T00:00:00"/>
    <n v="0"/>
    <n v="0"/>
    <n v="0"/>
    <n v="0"/>
    <n v="0"/>
    <n v="0"/>
    <n v="0"/>
    <x v="0"/>
    <n v="39120.443599999999"/>
    <n v="39120.443599999999"/>
    <n v="0"/>
    <n v="0"/>
    <x v="0"/>
    <x v="4"/>
  </r>
  <r>
    <s v="ORD01500"/>
    <d v="2024-04-07T00:00:00"/>
    <x v="688"/>
    <x v="284"/>
    <n v="187"/>
    <s v="INV01500"/>
    <n v="187"/>
    <n v="1032.7408"/>
    <m/>
    <m/>
    <m/>
    <m/>
    <m/>
    <n v="1032.7408"/>
    <d v="2023-05-31T00:00:00"/>
    <n v="0"/>
    <n v="0"/>
    <n v="0"/>
    <n v="0"/>
    <n v="0"/>
    <n v="0"/>
    <n v="0"/>
    <x v="0"/>
    <n v="193122.52960000001"/>
    <n v="193122.52960000001"/>
    <n v="0"/>
    <n v="0"/>
    <x v="0"/>
    <x v="9"/>
  </r>
  <r>
    <s v="ORD01501"/>
    <d v="2023-03-20T00:00:00"/>
    <x v="468"/>
    <x v="240"/>
    <n v="82"/>
    <s v="INV01501"/>
    <n v="82"/>
    <n v="466.18778227584994"/>
    <m/>
    <m/>
    <m/>
    <m/>
    <m/>
    <n v="465.6096"/>
    <d v="2022-09-06T00:00:00"/>
    <n v="0"/>
    <n v="0"/>
    <n v="1"/>
    <n v="0"/>
    <n v="0"/>
    <n v="0"/>
    <n v="0"/>
    <x v="1"/>
    <n v="38227.398146619693"/>
    <n v="38179.987200000003"/>
    <n v="47.410946619689639"/>
    <n v="4"/>
    <x v="1"/>
    <x v="17"/>
  </r>
  <r>
    <s v="ORD01502"/>
    <d v="2024-01-16T00:00:00"/>
    <x v="186"/>
    <x v="239"/>
    <n v="38"/>
    <s v="INV01502"/>
    <n v="38"/>
    <n v="1197.9306999999999"/>
    <m/>
    <m/>
    <m/>
    <m/>
    <m/>
    <n v="1197.9306999999999"/>
    <d v="2023-06-12T00:00:00"/>
    <n v="0"/>
    <n v="0"/>
    <n v="0"/>
    <n v="0"/>
    <n v="0"/>
    <n v="0"/>
    <n v="0"/>
    <x v="0"/>
    <n v="45521.366599999994"/>
    <n v="45521.366599999994"/>
    <n v="0"/>
    <n v="0"/>
    <x v="0"/>
    <x v="15"/>
  </r>
  <r>
    <s v="ORD01503"/>
    <d v="2023-08-20T00:00:00"/>
    <x v="689"/>
    <x v="231"/>
    <n v="175"/>
    <s v="INV01503"/>
    <n v="175"/>
    <n v="850.16200000000003"/>
    <m/>
    <m/>
    <m/>
    <m/>
    <m/>
    <n v="850.16200000000003"/>
    <d v="2023-06-22T00:00:00"/>
    <n v="0"/>
    <n v="0"/>
    <n v="0"/>
    <n v="0"/>
    <n v="0"/>
    <n v="0"/>
    <n v="0"/>
    <x v="0"/>
    <n v="148778.35"/>
    <n v="148778.35"/>
    <n v="0"/>
    <n v="0"/>
    <x v="0"/>
    <x v="12"/>
  </r>
  <r>
    <s v="ORD01504"/>
    <d v="2024-04-11T00:00:00"/>
    <x v="342"/>
    <x v="105"/>
    <n v="169"/>
    <s v="INV01504"/>
    <n v="169"/>
    <n v="1085.8974999999998"/>
    <m/>
    <m/>
    <m/>
    <m/>
    <m/>
    <n v="1085.8974999999998"/>
    <d v="2023-08-09T00:00:00"/>
    <n v="0"/>
    <n v="0"/>
    <n v="0"/>
    <n v="0"/>
    <n v="0"/>
    <n v="0"/>
    <n v="0"/>
    <x v="0"/>
    <n v="183516.67749999996"/>
    <n v="183516.67749999996"/>
    <n v="0"/>
    <n v="0"/>
    <x v="0"/>
    <x v="9"/>
  </r>
  <r>
    <s v="ORD01505"/>
    <d v="2024-11-05T00:00:00"/>
    <x v="690"/>
    <x v="259"/>
    <n v="13"/>
    <s v="INV01505"/>
    <n v="13"/>
    <n v="1160.71"/>
    <m/>
    <m/>
    <m/>
    <m/>
    <m/>
    <n v="1160.71"/>
    <d v="2023-02-07T00:00:00"/>
    <n v="0"/>
    <n v="0"/>
    <n v="0"/>
    <n v="0"/>
    <n v="0"/>
    <n v="0"/>
    <n v="0"/>
    <x v="0"/>
    <n v="15089.23"/>
    <n v="15089.23"/>
    <n v="0"/>
    <n v="0"/>
    <x v="0"/>
    <x v="4"/>
  </r>
  <r>
    <s v="ORD01506"/>
    <d v="2023-01-30T00:00:00"/>
    <x v="391"/>
    <x v="260"/>
    <n v="74"/>
    <s v="INV01506"/>
    <n v="74"/>
    <n v="952.9855"/>
    <n v="13"/>
    <d v="2024-05-24T00:00:00"/>
    <m/>
    <m/>
    <m/>
    <n v="952.9855"/>
    <d v="2022-09-16T00:00:00"/>
    <n v="0"/>
    <n v="0"/>
    <n v="0"/>
    <n v="0"/>
    <n v="0"/>
    <n v="1"/>
    <n v="0"/>
    <x v="1"/>
    <n v="70520.926999999996"/>
    <n v="70520.926999999996"/>
    <n v="0"/>
    <n v="2"/>
    <x v="1"/>
    <x v="8"/>
  </r>
  <r>
    <s v="ORD01507"/>
    <d v="2024-07-14T00:00:00"/>
    <x v="658"/>
    <x v="97"/>
    <n v="69"/>
    <s v="INV01507"/>
    <n v="69"/>
    <n v="664.57040000000006"/>
    <m/>
    <m/>
    <m/>
    <m/>
    <m/>
    <n v="664.57040000000006"/>
    <d v="2023-05-20T00:00:00"/>
    <n v="0"/>
    <n v="0"/>
    <n v="0"/>
    <n v="0"/>
    <n v="0"/>
    <n v="0"/>
    <n v="0"/>
    <x v="0"/>
    <n v="45855.357600000003"/>
    <n v="45855.357600000003"/>
    <n v="0"/>
    <n v="0"/>
    <x v="0"/>
    <x v="21"/>
  </r>
  <r>
    <s v="ORD01508"/>
    <d v="2024-08-05T00:00:00"/>
    <x v="96"/>
    <x v="119"/>
    <n v="199"/>
    <s v="INV01508"/>
    <n v="199"/>
    <n v="88.578000000000003"/>
    <m/>
    <m/>
    <m/>
    <m/>
    <m/>
    <n v="88.578000000000003"/>
    <d v="2023-06-30T00:00:00"/>
    <n v="0"/>
    <n v="0"/>
    <n v="0"/>
    <n v="0"/>
    <n v="0"/>
    <n v="0"/>
    <n v="0"/>
    <x v="0"/>
    <n v="17627.022000000001"/>
    <n v="17627.022000000001"/>
    <n v="0"/>
    <n v="0"/>
    <x v="0"/>
    <x v="22"/>
  </r>
  <r>
    <s v="ORD01509"/>
    <d v="2023-03-01T00:00:00"/>
    <x v="320"/>
    <x v="265"/>
    <n v="90"/>
    <s v="INV01509"/>
    <n v="90"/>
    <n v="230.52"/>
    <n v="8"/>
    <d v="2023-11-21T00:00:00"/>
    <m/>
    <m/>
    <m/>
    <n v="230.52"/>
    <d v="2022-05-30T00:00:00"/>
    <n v="0"/>
    <n v="0"/>
    <n v="0"/>
    <n v="0"/>
    <n v="0"/>
    <n v="1"/>
    <n v="0"/>
    <x v="1"/>
    <n v="20746.8"/>
    <n v="20746.8"/>
    <n v="0"/>
    <n v="2"/>
    <x v="1"/>
    <x v="17"/>
  </r>
  <r>
    <s v="ORD01510"/>
    <d v="2024-05-21T00:00:00"/>
    <x v="212"/>
    <x v="185"/>
    <n v="94"/>
    <s v="INV01510"/>
    <n v="94"/>
    <n v="435.57279999999997"/>
    <m/>
    <m/>
    <m/>
    <m/>
    <m/>
    <n v="435.57279999999997"/>
    <d v="2023-08-21T00:00:00"/>
    <n v="0"/>
    <n v="0"/>
    <n v="0"/>
    <n v="0"/>
    <n v="0"/>
    <n v="0"/>
    <n v="0"/>
    <x v="0"/>
    <n v="40943.843199999996"/>
    <n v="40943.843199999996"/>
    <n v="0"/>
    <n v="0"/>
    <x v="0"/>
    <x v="13"/>
  </r>
  <r>
    <s v="ORD01511"/>
    <d v="2023-12-02T00:00:00"/>
    <x v="486"/>
    <x v="150"/>
    <n v="76"/>
    <s v="INV01511"/>
    <n v="76"/>
    <n v="956.41030000000001"/>
    <m/>
    <m/>
    <m/>
    <m/>
    <m/>
    <n v="956.41030000000001"/>
    <d v="2023-08-30T00:00:00"/>
    <n v="0"/>
    <n v="0"/>
    <n v="0"/>
    <n v="0"/>
    <n v="0"/>
    <n v="0"/>
    <n v="0"/>
    <x v="0"/>
    <n v="72687.182799999995"/>
    <n v="72687.182799999995"/>
    <n v="0"/>
    <n v="0"/>
    <x v="0"/>
    <x v="20"/>
  </r>
  <r>
    <s v="ORD01512"/>
    <d v="2023-07-18T00:00:00"/>
    <x v="363"/>
    <x v="194"/>
    <n v="45"/>
    <s v="INV01512"/>
    <n v="45"/>
    <n v="399.4169"/>
    <m/>
    <m/>
    <m/>
    <m/>
    <m/>
    <n v="399.4169"/>
    <d v="2023-04-04T00:00:00"/>
    <n v="0"/>
    <n v="0"/>
    <n v="0"/>
    <n v="0"/>
    <n v="0"/>
    <n v="0"/>
    <n v="0"/>
    <x v="0"/>
    <n v="17973.7605"/>
    <n v="17973.7605"/>
    <n v="0"/>
    <n v="0"/>
    <x v="0"/>
    <x v="10"/>
  </r>
  <r>
    <s v="ORD01513"/>
    <d v="2023-11-12T00:00:00"/>
    <x v="375"/>
    <x v="293"/>
    <n v="185"/>
    <s v="INV01513"/>
    <n v="185"/>
    <n v="104.9652"/>
    <m/>
    <m/>
    <m/>
    <m/>
    <m/>
    <n v="104.9652"/>
    <d v="2023-05-20T00:00:00"/>
    <n v="0"/>
    <n v="0"/>
    <n v="0"/>
    <n v="0"/>
    <n v="0"/>
    <n v="0"/>
    <n v="0"/>
    <x v="0"/>
    <n v="19418.561999999998"/>
    <n v="19418.561999999998"/>
    <n v="0"/>
    <n v="0"/>
    <x v="0"/>
    <x v="0"/>
  </r>
  <r>
    <s v="ORD01514"/>
    <d v="2023-07-13T00:00:00"/>
    <x v="135"/>
    <x v="156"/>
    <n v="91"/>
    <s v="INV01514"/>
    <n v="91"/>
    <n v="376.38049999999998"/>
    <m/>
    <m/>
    <m/>
    <m/>
    <m/>
    <n v="376.38049999999998"/>
    <d v="2023-02-27T00:00:00"/>
    <n v="0"/>
    <n v="0"/>
    <n v="0"/>
    <n v="0"/>
    <n v="0"/>
    <n v="0"/>
    <n v="0"/>
    <x v="0"/>
    <n v="34250.625500000002"/>
    <n v="34250.625500000002"/>
    <n v="0"/>
    <n v="0"/>
    <x v="0"/>
    <x v="10"/>
  </r>
  <r>
    <s v="ORD01515"/>
    <d v="2024-09-19T00:00:00"/>
    <x v="386"/>
    <x v="201"/>
    <n v="26"/>
    <s v="INV01515"/>
    <n v="26"/>
    <n v="419.62068108319448"/>
    <m/>
    <m/>
    <m/>
    <m/>
    <m/>
    <n v="418.93040000000002"/>
    <d v="2023-10-15T00:00:00"/>
    <n v="0"/>
    <n v="0"/>
    <n v="1"/>
    <n v="0"/>
    <n v="0"/>
    <n v="0"/>
    <n v="0"/>
    <x v="1"/>
    <n v="10910.137708163056"/>
    <n v="10892.190400000001"/>
    <n v="17.947308163054913"/>
    <n v="4"/>
    <x v="1"/>
    <x v="2"/>
  </r>
  <r>
    <s v="ORD01516"/>
    <d v="2023-02-16T00:00:00"/>
    <x v="342"/>
    <x v="91"/>
    <n v="36"/>
    <s v="INV01516"/>
    <n v="36"/>
    <n v="554.83000000000004"/>
    <m/>
    <m/>
    <m/>
    <m/>
    <m/>
    <n v="554.83000000000004"/>
    <d v="2022-07-07T00:00:00"/>
    <n v="0"/>
    <n v="0"/>
    <n v="0"/>
    <n v="0"/>
    <n v="0"/>
    <n v="0"/>
    <n v="0"/>
    <x v="0"/>
    <n v="19973.88"/>
    <n v="19973.88"/>
    <n v="0"/>
    <n v="0"/>
    <x v="0"/>
    <x v="11"/>
  </r>
  <r>
    <s v="ORD01517"/>
    <d v="2023-03-06T00:00:00"/>
    <x v="54"/>
    <x v="270"/>
    <n v="168"/>
    <s v="INV01517"/>
    <n v="168"/>
    <n v="1012.3984"/>
    <m/>
    <m/>
    <m/>
    <m/>
    <m/>
    <n v="1012.3984"/>
    <d v="2022-08-25T00:00:00"/>
    <n v="0"/>
    <n v="0"/>
    <n v="0"/>
    <n v="0"/>
    <n v="0"/>
    <n v="0"/>
    <n v="0"/>
    <x v="0"/>
    <n v="170082.93119999999"/>
    <n v="170082.93119999999"/>
    <n v="0"/>
    <n v="0"/>
    <x v="0"/>
    <x v="17"/>
  </r>
  <r>
    <s v="ORD01518"/>
    <d v="2024-03-09T00:00:00"/>
    <x v="579"/>
    <x v="261"/>
    <n v="11"/>
    <s v="INV01518"/>
    <n v="15"/>
    <n v="994.85640000000001"/>
    <n v="14"/>
    <d v="2024-07-16T00:00:00"/>
    <m/>
    <m/>
    <m/>
    <n v="994.85640000000001"/>
    <d v="2023-08-11T00:00:00"/>
    <n v="0"/>
    <n v="1"/>
    <n v="0"/>
    <n v="0"/>
    <n v="0"/>
    <n v="1"/>
    <n v="1"/>
    <x v="1"/>
    <n v="14922.846"/>
    <n v="10943.420400000001"/>
    <n v="3979.4255999999987"/>
    <n v="13"/>
    <x v="2"/>
    <x v="6"/>
  </r>
  <r>
    <s v="ORD01519"/>
    <d v="2024-09-22T00:00:00"/>
    <x v="691"/>
    <x v="48"/>
    <n v="81"/>
    <s v="INV01519"/>
    <n v="81"/>
    <n v="1144.1684"/>
    <m/>
    <m/>
    <m/>
    <m/>
    <m/>
    <n v="1144.1684"/>
    <d v="2023-01-29T00:00:00"/>
    <n v="0"/>
    <n v="0"/>
    <n v="0"/>
    <n v="0"/>
    <n v="0"/>
    <n v="0"/>
    <n v="0"/>
    <x v="0"/>
    <n v="92677.640400000004"/>
    <n v="92677.640400000004"/>
    <n v="0"/>
    <n v="0"/>
    <x v="0"/>
    <x v="2"/>
  </r>
  <r>
    <s v="ORD01520"/>
    <d v="2023-10-30T00:00:00"/>
    <x v="395"/>
    <x v="236"/>
    <n v="191"/>
    <s v="INV01520"/>
    <n v="191"/>
    <n v="1182.1740000000002"/>
    <n v="5"/>
    <d v="2024-03-31T00:00:00"/>
    <m/>
    <m/>
    <m/>
    <n v="1182.1740000000002"/>
    <d v="2023-07-23T00:00:00"/>
    <n v="0"/>
    <n v="0"/>
    <n v="0"/>
    <n v="0"/>
    <n v="0"/>
    <n v="1"/>
    <n v="0"/>
    <x v="1"/>
    <n v="225795.23400000003"/>
    <n v="225795.23400000003"/>
    <n v="0"/>
    <n v="2"/>
    <x v="1"/>
    <x v="19"/>
  </r>
  <r>
    <s v="ORD01521"/>
    <d v="2024-02-29T00:00:00"/>
    <x v="239"/>
    <x v="36"/>
    <n v="31"/>
    <s v="INV01521"/>
    <n v="31"/>
    <n v="415.70589999999999"/>
    <m/>
    <m/>
    <m/>
    <m/>
    <m/>
    <n v="415.70589999999999"/>
    <d v="2023-03-04T00:00:00"/>
    <n v="0"/>
    <n v="0"/>
    <n v="0"/>
    <n v="0"/>
    <n v="0"/>
    <n v="0"/>
    <n v="0"/>
    <x v="0"/>
    <n v="12886.882899999999"/>
    <n v="12886.882899999999"/>
    <n v="0"/>
    <n v="0"/>
    <x v="0"/>
    <x v="3"/>
  </r>
  <r>
    <s v="ORD01522"/>
    <d v="2023-09-29T00:00:00"/>
    <x v="512"/>
    <x v="276"/>
    <n v="174"/>
    <s v="INV01522"/>
    <n v="174"/>
    <n v="1066.4874"/>
    <m/>
    <m/>
    <m/>
    <m/>
    <m/>
    <n v="1066.4874"/>
    <d v="2023-05-31T00:00:00"/>
    <n v="0"/>
    <n v="0"/>
    <n v="0"/>
    <n v="0"/>
    <n v="0"/>
    <n v="0"/>
    <n v="0"/>
    <x v="0"/>
    <n v="185568.8076"/>
    <n v="185568.8076"/>
    <n v="0"/>
    <n v="0"/>
    <x v="0"/>
    <x v="18"/>
  </r>
  <r>
    <s v="ORD01523"/>
    <d v="2023-07-04T00:00:00"/>
    <x v="692"/>
    <x v="62"/>
    <n v="74"/>
    <s v="INV01523"/>
    <n v="74"/>
    <n v="1080.0740000000001"/>
    <m/>
    <m/>
    <m/>
    <m/>
    <m/>
    <n v="1080.0740000000001"/>
    <d v="2023-05-12T00:00:00"/>
    <n v="0"/>
    <n v="0"/>
    <n v="0"/>
    <n v="0"/>
    <n v="0"/>
    <n v="0"/>
    <n v="0"/>
    <x v="0"/>
    <n v="79925.47600000001"/>
    <n v="79925.47600000001"/>
    <n v="0"/>
    <n v="0"/>
    <x v="0"/>
    <x v="10"/>
  </r>
  <r>
    <s v="ORD01524"/>
    <d v="2023-12-25T00:00:00"/>
    <x v="550"/>
    <x v="57"/>
    <n v="180"/>
    <s v="INV01524"/>
    <n v="180"/>
    <n v="517.39100000000008"/>
    <m/>
    <m/>
    <m/>
    <m/>
    <m/>
    <n v="517.39100000000008"/>
    <d v="2023-04-29T00:00:00"/>
    <n v="0"/>
    <n v="0"/>
    <n v="0"/>
    <n v="0"/>
    <n v="0"/>
    <n v="0"/>
    <n v="0"/>
    <x v="0"/>
    <n v="93130.380000000019"/>
    <n v="93130.380000000019"/>
    <n v="0"/>
    <n v="0"/>
    <x v="0"/>
    <x v="20"/>
  </r>
  <r>
    <s v="ORD01525"/>
    <d v="2024-10-31T00:00:00"/>
    <x v="223"/>
    <x v="192"/>
    <n v="147"/>
    <s v="INV01525"/>
    <n v="147"/>
    <n v="247.48920000000001"/>
    <m/>
    <m/>
    <m/>
    <m/>
    <m/>
    <n v="247.48920000000001"/>
    <d v="2023-06-11T00:00:00"/>
    <n v="0"/>
    <n v="0"/>
    <n v="0"/>
    <n v="0"/>
    <n v="0"/>
    <n v="0"/>
    <n v="0"/>
    <x v="0"/>
    <n v="36380.912400000001"/>
    <n v="36380.912400000001"/>
    <n v="0"/>
    <n v="0"/>
    <x v="0"/>
    <x v="5"/>
  </r>
  <r>
    <s v="ORD01526"/>
    <d v="2024-04-21T00:00:00"/>
    <x v="243"/>
    <x v="244"/>
    <n v="110"/>
    <s v="INV01526"/>
    <n v="110"/>
    <n v="1072.2954"/>
    <m/>
    <m/>
    <m/>
    <m/>
    <m/>
    <n v="1072.2954"/>
    <d v="2023-07-13T00:00:00"/>
    <n v="0"/>
    <n v="0"/>
    <n v="0"/>
    <n v="0"/>
    <n v="0"/>
    <n v="0"/>
    <n v="0"/>
    <x v="0"/>
    <n v="117952.49399999999"/>
    <n v="117952.49399999999"/>
    <n v="0"/>
    <n v="0"/>
    <x v="0"/>
    <x v="9"/>
  </r>
  <r>
    <s v="ORD01527"/>
    <d v="2024-07-30T00:00:00"/>
    <x v="372"/>
    <x v="148"/>
    <n v="184"/>
    <s v="INV01527"/>
    <n v="184"/>
    <n v="815.08680000000004"/>
    <m/>
    <m/>
    <m/>
    <m/>
    <m/>
    <n v="815.08680000000004"/>
    <d v="2023-05-16T00:00:00"/>
    <n v="0"/>
    <n v="0"/>
    <n v="0"/>
    <n v="0"/>
    <n v="0"/>
    <n v="0"/>
    <n v="0"/>
    <x v="0"/>
    <n v="149975.9712"/>
    <n v="149975.9712"/>
    <n v="0"/>
    <n v="0"/>
    <x v="0"/>
    <x v="21"/>
  </r>
  <r>
    <s v="ORD01528"/>
    <d v="2023-09-05T00:00:00"/>
    <x v="119"/>
    <x v="238"/>
    <n v="108"/>
    <s v="INV01528"/>
    <n v="108"/>
    <n v="1137.9636"/>
    <n v="2"/>
    <d v="2023-03-25T00:00:00"/>
    <m/>
    <m/>
    <m/>
    <n v="1137.9636"/>
    <d v="2023-03-22T00:00:00"/>
    <n v="0"/>
    <n v="0"/>
    <n v="0"/>
    <n v="0"/>
    <n v="0"/>
    <n v="0"/>
    <n v="0"/>
    <x v="0"/>
    <n v="122900.06880000001"/>
    <n v="122900.06880000001"/>
    <n v="0"/>
    <n v="0"/>
    <x v="0"/>
    <x v="18"/>
  </r>
  <r>
    <s v="ORD01529"/>
    <d v="2023-07-09T00:00:00"/>
    <x v="492"/>
    <x v="51"/>
    <n v="169"/>
    <s v="INV01529"/>
    <n v="169"/>
    <n v="574.3415"/>
    <m/>
    <m/>
    <m/>
    <m/>
    <m/>
    <n v="574.3415"/>
    <d v="2022-09-02T00:00:00"/>
    <n v="0"/>
    <n v="0"/>
    <n v="0"/>
    <n v="0"/>
    <n v="0"/>
    <n v="0"/>
    <n v="0"/>
    <x v="0"/>
    <n v="97063.713499999998"/>
    <n v="97063.713499999998"/>
    <n v="0"/>
    <n v="0"/>
    <x v="0"/>
    <x v="10"/>
  </r>
  <r>
    <s v="ORD01530"/>
    <d v="2024-03-25T00:00:00"/>
    <x v="158"/>
    <x v="239"/>
    <n v="195"/>
    <s v="INV01530"/>
    <n v="195"/>
    <n v="1197.9306999999999"/>
    <m/>
    <m/>
    <m/>
    <m/>
    <m/>
    <n v="1197.9306999999999"/>
    <d v="2023-06-12T00:00:00"/>
    <n v="0"/>
    <n v="0"/>
    <n v="0"/>
    <n v="0"/>
    <n v="0"/>
    <n v="0"/>
    <n v="0"/>
    <x v="0"/>
    <n v="233596.48649999997"/>
    <n v="233596.48649999997"/>
    <n v="0"/>
    <n v="0"/>
    <x v="0"/>
    <x v="6"/>
  </r>
  <r>
    <s v="ORD01531"/>
    <d v="2023-06-23T00:00:00"/>
    <x v="302"/>
    <x v="69"/>
    <n v="148"/>
    <s v="INV01531"/>
    <n v="148"/>
    <n v="904.00099999999998"/>
    <m/>
    <m/>
    <m/>
    <m/>
    <m/>
    <n v="904.00099999999998"/>
    <d v="2022-09-27T00:00:00"/>
    <n v="0"/>
    <n v="0"/>
    <n v="0"/>
    <n v="0"/>
    <n v="0"/>
    <n v="0"/>
    <n v="0"/>
    <x v="0"/>
    <n v="133792.14799999999"/>
    <n v="133792.14799999999"/>
    <n v="0"/>
    <n v="0"/>
    <x v="0"/>
    <x v="14"/>
  </r>
  <r>
    <s v="ORD01532"/>
    <d v="2024-12-26T00:00:00"/>
    <x v="266"/>
    <x v="167"/>
    <n v="192"/>
    <s v="INV01532"/>
    <n v="192"/>
    <n v="226.1644"/>
    <m/>
    <m/>
    <m/>
    <m/>
    <m/>
    <n v="226.1644"/>
    <d v="2023-08-01T00:00:00"/>
    <n v="0"/>
    <n v="0"/>
    <n v="0"/>
    <n v="0"/>
    <n v="0"/>
    <n v="0"/>
    <n v="0"/>
    <x v="0"/>
    <n v="43423.5648"/>
    <n v="43423.5648"/>
    <n v="0"/>
    <n v="0"/>
    <x v="0"/>
    <x v="1"/>
  </r>
  <r>
    <s v="ORD01533"/>
    <d v="2023-04-26T00:00:00"/>
    <x v="316"/>
    <x v="142"/>
    <n v="111"/>
    <s v="INV01533"/>
    <n v="111"/>
    <n v="752.48910000000001"/>
    <m/>
    <m/>
    <m/>
    <m/>
    <m/>
    <n v="752.48910000000001"/>
    <d v="2023-01-27T00:00:00"/>
    <n v="0"/>
    <n v="0"/>
    <n v="0"/>
    <n v="0"/>
    <n v="0"/>
    <n v="0"/>
    <n v="0"/>
    <x v="0"/>
    <n v="83526.290099999998"/>
    <n v="83526.290099999998"/>
    <n v="0"/>
    <n v="0"/>
    <x v="0"/>
    <x v="23"/>
  </r>
  <r>
    <s v="ORD01534"/>
    <d v="2024-05-22T00:00:00"/>
    <x v="634"/>
    <x v="198"/>
    <n v="163"/>
    <s v="INV01534"/>
    <n v="163"/>
    <n v="906.88919999999996"/>
    <m/>
    <m/>
    <m/>
    <m/>
    <m/>
    <n v="906.88919999999996"/>
    <d v="2023-03-06T00:00:00"/>
    <n v="0"/>
    <n v="0"/>
    <n v="0"/>
    <n v="0"/>
    <n v="0"/>
    <n v="0"/>
    <n v="0"/>
    <x v="0"/>
    <n v="147822.93959999998"/>
    <n v="147822.93959999998"/>
    <n v="0"/>
    <n v="0"/>
    <x v="0"/>
    <x v="13"/>
  </r>
  <r>
    <s v="ORD01535"/>
    <d v="2024-06-24T00:00:00"/>
    <x v="693"/>
    <x v="9"/>
    <n v="47"/>
    <s v="INV01535"/>
    <n v="47"/>
    <n v="397.40159999999997"/>
    <m/>
    <m/>
    <m/>
    <m/>
    <m/>
    <n v="397.40159999999997"/>
    <d v="2023-04-05T00:00:00"/>
    <n v="0"/>
    <n v="0"/>
    <n v="0"/>
    <n v="0"/>
    <n v="0"/>
    <n v="0"/>
    <n v="0"/>
    <x v="0"/>
    <n v="18677.875199999999"/>
    <n v="18677.875199999999"/>
    <n v="0"/>
    <n v="0"/>
    <x v="0"/>
    <x v="16"/>
  </r>
  <r>
    <s v="ORD01536"/>
    <d v="2023-03-26T00:00:00"/>
    <x v="694"/>
    <x v="273"/>
    <n v="4"/>
    <s v="INV01536"/>
    <n v="4"/>
    <n v="1224.4680000000001"/>
    <m/>
    <m/>
    <m/>
    <m/>
    <m/>
    <n v="1224.4680000000001"/>
    <d v="2022-09-01T00:00:00"/>
    <n v="0"/>
    <n v="0"/>
    <n v="0"/>
    <n v="0"/>
    <n v="0"/>
    <n v="0"/>
    <n v="0"/>
    <x v="0"/>
    <n v="4897.8720000000003"/>
    <n v="4897.8720000000003"/>
    <n v="0"/>
    <n v="0"/>
    <x v="0"/>
    <x v="17"/>
  </r>
  <r>
    <s v="ORD01537"/>
    <d v="2024-08-14T00:00:00"/>
    <x v="695"/>
    <x v="138"/>
    <n v="179"/>
    <s v="INV01537"/>
    <n v="179"/>
    <n v="153.01650000000001"/>
    <n v="11"/>
    <d v="2025-01-16T00:00:00"/>
    <m/>
    <m/>
    <m/>
    <n v="153.01650000000001"/>
    <d v="2023-05-18T00:00:00"/>
    <n v="0"/>
    <n v="0"/>
    <n v="0"/>
    <n v="0"/>
    <n v="0"/>
    <n v="1"/>
    <n v="0"/>
    <x v="1"/>
    <n v="27389.9535"/>
    <n v="27389.9535"/>
    <n v="0"/>
    <n v="2"/>
    <x v="1"/>
    <x v="22"/>
  </r>
  <r>
    <s v="ORD01538"/>
    <d v="2024-12-09T00:00:00"/>
    <x v="651"/>
    <x v="231"/>
    <n v="145"/>
    <s v="INV01538"/>
    <n v="145"/>
    <n v="850.16200000000003"/>
    <n v="11"/>
    <d v="2023-05-03T00:00:00"/>
    <m/>
    <m/>
    <m/>
    <n v="850.16200000000003"/>
    <d v="2023-06-22T00:00:00"/>
    <n v="0"/>
    <n v="0"/>
    <n v="0"/>
    <n v="0"/>
    <n v="0"/>
    <n v="0"/>
    <n v="0"/>
    <x v="0"/>
    <n v="123273.49"/>
    <n v="123273.49"/>
    <n v="0"/>
    <n v="0"/>
    <x v="0"/>
    <x v="1"/>
  </r>
  <r>
    <s v="ORD01539"/>
    <d v="2023-06-18T00:00:00"/>
    <x v="696"/>
    <x v="244"/>
    <n v="95"/>
    <s v="INV01539"/>
    <n v="95"/>
    <n v="1114.3462"/>
    <m/>
    <m/>
    <m/>
    <m/>
    <m/>
    <n v="1114.3462"/>
    <d v="2023-03-30T00:00:00"/>
    <n v="0"/>
    <n v="0"/>
    <n v="0"/>
    <n v="0"/>
    <n v="0"/>
    <n v="0"/>
    <n v="0"/>
    <x v="0"/>
    <n v="105862.889"/>
    <n v="105862.889"/>
    <n v="0"/>
    <n v="0"/>
    <x v="0"/>
    <x v="14"/>
  </r>
  <r>
    <s v="ORD01540"/>
    <d v="2023-09-10T00:00:00"/>
    <x v="655"/>
    <x v="1"/>
    <n v="165"/>
    <s v="INV01540"/>
    <n v="165"/>
    <n v="444.22"/>
    <m/>
    <m/>
    <m/>
    <m/>
    <m/>
    <n v="444.22"/>
    <d v="2023-05-28T00:00:00"/>
    <n v="0"/>
    <n v="0"/>
    <n v="0"/>
    <n v="0"/>
    <n v="0"/>
    <n v="0"/>
    <n v="0"/>
    <x v="0"/>
    <n v="73296.3"/>
    <n v="73296.3"/>
    <n v="0"/>
    <n v="0"/>
    <x v="0"/>
    <x v="18"/>
  </r>
  <r>
    <s v="ORD01541"/>
    <d v="2024-12-16T00:00:00"/>
    <x v="76"/>
    <x v="59"/>
    <n v="180"/>
    <s v="INV01541"/>
    <n v="180"/>
    <n v="942.54840000000013"/>
    <m/>
    <m/>
    <m/>
    <m/>
    <m/>
    <n v="942.54840000000013"/>
    <d v="2023-06-09T00:00:00"/>
    <n v="0"/>
    <n v="0"/>
    <n v="0"/>
    <n v="0"/>
    <n v="0"/>
    <n v="0"/>
    <n v="0"/>
    <x v="0"/>
    <n v="169658.71200000003"/>
    <n v="169658.71200000003"/>
    <n v="0"/>
    <n v="0"/>
    <x v="0"/>
    <x v="1"/>
  </r>
  <r>
    <s v="ORD01542"/>
    <d v="2023-07-23T00:00:00"/>
    <x v="382"/>
    <x v="244"/>
    <n v="82"/>
    <s v="INV01542"/>
    <n v="82"/>
    <n v="1072.2954"/>
    <m/>
    <m/>
    <m/>
    <m/>
    <m/>
    <n v="1072.2954"/>
    <d v="2023-07-13T00:00:00"/>
    <n v="0"/>
    <n v="0"/>
    <n v="0"/>
    <n v="0"/>
    <n v="0"/>
    <n v="0"/>
    <n v="0"/>
    <x v="0"/>
    <n v="87928.222800000003"/>
    <n v="87928.222800000003"/>
    <n v="0"/>
    <n v="0"/>
    <x v="0"/>
    <x v="10"/>
  </r>
  <r>
    <s v="ORD01543"/>
    <d v="2024-08-04T00:00:00"/>
    <x v="697"/>
    <x v="228"/>
    <n v="140"/>
    <s v="INV01543"/>
    <n v="144"/>
    <n v="952.36940000000004"/>
    <m/>
    <m/>
    <m/>
    <m/>
    <m/>
    <n v="952.36940000000004"/>
    <d v="2023-08-31T00:00:00"/>
    <n v="0"/>
    <n v="1"/>
    <n v="0"/>
    <n v="0"/>
    <n v="0"/>
    <n v="0"/>
    <n v="0"/>
    <x v="1"/>
    <n v="137141.1936"/>
    <n v="133331.71600000001"/>
    <n v="3809.4775999999838"/>
    <n v="8"/>
    <x v="2"/>
    <x v="22"/>
  </r>
  <r>
    <s v="ORD01544"/>
    <d v="2023-12-14T00:00:00"/>
    <x v="209"/>
    <x v="263"/>
    <n v="185"/>
    <s v="INV01544"/>
    <n v="185"/>
    <n v="599.90620000000001"/>
    <m/>
    <m/>
    <m/>
    <m/>
    <m/>
    <n v="599.90620000000001"/>
    <d v="2023-05-14T00:00:00"/>
    <n v="0"/>
    <n v="0"/>
    <n v="0"/>
    <n v="0"/>
    <n v="0"/>
    <n v="0"/>
    <n v="0"/>
    <x v="0"/>
    <n v="110982.647"/>
    <n v="110982.647"/>
    <n v="0"/>
    <n v="0"/>
    <x v="0"/>
    <x v="20"/>
  </r>
  <r>
    <s v="ORD01545"/>
    <d v="2023-08-27T00:00:00"/>
    <x v="346"/>
    <x v="297"/>
    <n v="30"/>
    <s v="INV01545"/>
    <n v="30"/>
    <n v="269.95269999999999"/>
    <n v="14"/>
    <d v="2024-12-28T00:00:00"/>
    <m/>
    <m/>
    <m/>
    <n v="269.95269999999999"/>
    <d v="2022-08-08T00:00:00"/>
    <n v="0"/>
    <n v="0"/>
    <n v="0"/>
    <n v="0"/>
    <n v="0"/>
    <n v="1"/>
    <n v="0"/>
    <x v="1"/>
    <n v="8098.5810000000001"/>
    <n v="8098.5810000000001"/>
    <n v="0"/>
    <n v="2"/>
    <x v="1"/>
    <x v="12"/>
  </r>
  <r>
    <s v="ORD01546"/>
    <d v="2024-02-09T00:00:00"/>
    <x v="491"/>
    <x v="201"/>
    <n v="2"/>
    <s v="INV01546"/>
    <n v="2"/>
    <n v="418.93040000000002"/>
    <m/>
    <m/>
    <m/>
    <m/>
    <m/>
    <n v="418.93040000000002"/>
    <d v="2023-10-15T00:00:00"/>
    <n v="0"/>
    <n v="0"/>
    <n v="0"/>
    <n v="0"/>
    <n v="0"/>
    <n v="0"/>
    <n v="0"/>
    <x v="0"/>
    <n v="837.86080000000004"/>
    <n v="837.86080000000004"/>
    <n v="0"/>
    <n v="0"/>
    <x v="0"/>
    <x v="3"/>
  </r>
  <r>
    <s v="ORD01547"/>
    <d v="2024-12-30T00:00:00"/>
    <x v="619"/>
    <x v="165"/>
    <n v="65"/>
    <s v="INV01547"/>
    <n v="65"/>
    <n v="991.99"/>
    <m/>
    <m/>
    <m/>
    <m/>
    <m/>
    <n v="991.99"/>
    <d v="2023-02-19T00:00:00"/>
    <n v="0"/>
    <n v="0"/>
    <n v="0"/>
    <n v="0"/>
    <n v="0"/>
    <n v="0"/>
    <n v="0"/>
    <x v="0"/>
    <n v="64479.35"/>
    <n v="64479.35"/>
    <n v="0"/>
    <n v="0"/>
    <x v="0"/>
    <x v="1"/>
  </r>
  <r>
    <s v="ORD01548"/>
    <d v="2023-11-29T00:00:00"/>
    <x v="243"/>
    <x v="24"/>
    <n v="3"/>
    <s v="INV01548"/>
    <n v="3"/>
    <n v="426.10500000000002"/>
    <m/>
    <m/>
    <m/>
    <m/>
    <m/>
    <n v="426.10500000000002"/>
    <d v="2023-10-16T00:00:00"/>
    <n v="0"/>
    <n v="0"/>
    <n v="0"/>
    <n v="0"/>
    <n v="0"/>
    <n v="0"/>
    <n v="0"/>
    <x v="0"/>
    <n v="1278.3150000000001"/>
    <n v="1278.3150000000001"/>
    <n v="0"/>
    <n v="0"/>
    <x v="0"/>
    <x v="0"/>
  </r>
  <r>
    <s v="ORD01549"/>
    <d v="2024-06-17T00:00:00"/>
    <x v="542"/>
    <x v="294"/>
    <n v="156"/>
    <s v="INV01549"/>
    <n v="156"/>
    <n v="143.86799999999999"/>
    <m/>
    <m/>
    <m/>
    <m/>
    <m/>
    <n v="143.86799999999999"/>
    <d v="2023-04-20T00:00:00"/>
    <n v="0"/>
    <n v="0"/>
    <n v="0"/>
    <n v="0"/>
    <n v="0"/>
    <n v="0"/>
    <n v="0"/>
    <x v="0"/>
    <n v="22443.407999999999"/>
    <n v="22443.407999999999"/>
    <n v="0"/>
    <n v="0"/>
    <x v="0"/>
    <x v="16"/>
  </r>
  <r>
    <s v="ORD01550"/>
    <d v="2023-04-26T00:00:00"/>
    <x v="153"/>
    <x v="134"/>
    <n v="145"/>
    <s v="INV01550"/>
    <n v="145"/>
    <n v="410.02"/>
    <m/>
    <m/>
    <m/>
    <m/>
    <m/>
    <n v="410.02"/>
    <d v="2023-04-01T00:00:00"/>
    <n v="0"/>
    <n v="0"/>
    <n v="0"/>
    <n v="0"/>
    <n v="0"/>
    <n v="0"/>
    <n v="0"/>
    <x v="0"/>
    <n v="59452.899999999994"/>
    <n v="59452.899999999994"/>
    <n v="0"/>
    <n v="0"/>
    <x v="0"/>
    <x v="23"/>
  </r>
  <r>
    <s v="ORD01551"/>
    <d v="2024-05-31T00:00:00"/>
    <x v="209"/>
    <x v="82"/>
    <n v="63"/>
    <s v="INV01551"/>
    <n v="63"/>
    <n v="280.03500000000003"/>
    <m/>
    <m/>
    <m/>
    <m/>
    <m/>
    <n v="280.03500000000003"/>
    <d v="2023-08-08T00:00:00"/>
    <n v="0"/>
    <n v="0"/>
    <n v="0"/>
    <n v="0"/>
    <n v="0"/>
    <n v="0"/>
    <n v="0"/>
    <x v="0"/>
    <n v="17642.205000000002"/>
    <n v="17642.205000000002"/>
    <n v="0"/>
    <n v="0"/>
    <x v="0"/>
    <x v="13"/>
  </r>
  <r>
    <s v="ORD01552"/>
    <d v="2024-08-31T00:00:00"/>
    <x v="698"/>
    <x v="218"/>
    <n v="127"/>
    <s v="INV01552"/>
    <n v="127"/>
    <n v="960.85850000000005"/>
    <m/>
    <m/>
    <m/>
    <m/>
    <m/>
    <n v="960.85850000000005"/>
    <d v="2023-05-03T00:00:00"/>
    <n v="0"/>
    <n v="0"/>
    <n v="0"/>
    <n v="0"/>
    <n v="0"/>
    <n v="0"/>
    <n v="0"/>
    <x v="0"/>
    <n v="122029.0295"/>
    <n v="122029.0295"/>
    <n v="0"/>
    <n v="0"/>
    <x v="0"/>
    <x v="22"/>
  </r>
  <r>
    <s v="ORD01553"/>
    <d v="2024-11-09T00:00:00"/>
    <x v="613"/>
    <x v="291"/>
    <n v="187"/>
    <s v="INV01553"/>
    <n v="187"/>
    <n v="933.43190000000004"/>
    <m/>
    <m/>
    <m/>
    <m/>
    <m/>
    <n v="933.43190000000004"/>
    <d v="2023-03-26T00:00:00"/>
    <n v="0"/>
    <n v="0"/>
    <n v="0"/>
    <n v="0"/>
    <n v="0"/>
    <n v="0"/>
    <n v="0"/>
    <x v="0"/>
    <n v="174551.7653"/>
    <n v="174551.7653"/>
    <n v="0"/>
    <n v="0"/>
    <x v="0"/>
    <x v="4"/>
  </r>
  <r>
    <s v="ORD01554"/>
    <d v="2023-02-27T00:00:00"/>
    <x v="270"/>
    <x v="258"/>
    <n v="112"/>
    <s v="INV01554"/>
    <n v="112"/>
    <n v="486.65440000000001"/>
    <m/>
    <m/>
    <m/>
    <m/>
    <m/>
    <n v="486.65440000000001"/>
    <d v="2022-07-21T00:00:00"/>
    <n v="0"/>
    <n v="0"/>
    <n v="0"/>
    <n v="0"/>
    <n v="0"/>
    <n v="0"/>
    <n v="0"/>
    <x v="0"/>
    <n v="54505.292800000003"/>
    <n v="54505.292800000003"/>
    <n v="0"/>
    <n v="0"/>
    <x v="0"/>
    <x v="11"/>
  </r>
  <r>
    <s v="ORD01555"/>
    <d v="2023-09-20T00:00:00"/>
    <x v="604"/>
    <x v="199"/>
    <n v="155"/>
    <s v="INV01555"/>
    <n v="155"/>
    <n v="334.24649999999997"/>
    <m/>
    <m/>
    <m/>
    <m/>
    <m/>
    <n v="334.24649999999997"/>
    <d v="2023-07-18T00:00:00"/>
    <n v="0"/>
    <n v="0"/>
    <n v="0"/>
    <n v="0"/>
    <n v="0"/>
    <n v="0"/>
    <n v="0"/>
    <x v="0"/>
    <n v="51808.207499999997"/>
    <n v="51808.207499999997"/>
    <n v="0"/>
    <n v="0"/>
    <x v="0"/>
    <x v="18"/>
  </r>
  <r>
    <s v="ORD01556"/>
    <d v="2023-12-22T00:00:00"/>
    <x v="269"/>
    <x v="46"/>
    <n v="101"/>
    <s v="INV01556"/>
    <n v="101"/>
    <n v="509.36320000000001"/>
    <m/>
    <m/>
    <m/>
    <m/>
    <m/>
    <n v="509.36320000000001"/>
    <d v="2023-09-02T00:00:00"/>
    <n v="0"/>
    <n v="0"/>
    <n v="0"/>
    <n v="0"/>
    <n v="0"/>
    <n v="0"/>
    <n v="0"/>
    <x v="0"/>
    <n v="51445.683199999999"/>
    <n v="51445.683199999999"/>
    <n v="0"/>
    <n v="0"/>
    <x v="0"/>
    <x v="20"/>
  </r>
  <r>
    <s v="ORD01557"/>
    <d v="2023-01-17T00:00:00"/>
    <x v="206"/>
    <x v="229"/>
    <n v="46"/>
    <s v="INV01557"/>
    <n v="46"/>
    <n v="394.17"/>
    <m/>
    <m/>
    <m/>
    <m/>
    <m/>
    <n v="394.17"/>
    <d v="2022-07-20T00:00:00"/>
    <n v="0"/>
    <n v="0"/>
    <n v="0"/>
    <n v="0"/>
    <n v="0"/>
    <n v="0"/>
    <n v="0"/>
    <x v="0"/>
    <n v="18131.82"/>
    <n v="18131.82"/>
    <n v="0"/>
    <n v="0"/>
    <x v="0"/>
    <x v="8"/>
  </r>
  <r>
    <s v="ORD01558"/>
    <d v="2024-05-09T00:00:00"/>
    <x v="438"/>
    <x v="74"/>
    <n v="5"/>
    <s v="INV01558"/>
    <n v="5"/>
    <n v="1184.9544000000001"/>
    <m/>
    <m/>
    <m/>
    <m/>
    <m/>
    <n v="1184.9544000000001"/>
    <d v="2023-09-02T00:00:00"/>
    <n v="0"/>
    <n v="0"/>
    <n v="0"/>
    <n v="0"/>
    <n v="0"/>
    <n v="0"/>
    <n v="0"/>
    <x v="0"/>
    <n v="5924.7720000000008"/>
    <n v="5924.7720000000008"/>
    <n v="0"/>
    <n v="0"/>
    <x v="0"/>
    <x v="13"/>
  </r>
  <r>
    <s v="ORD01559"/>
    <d v="2023-02-04T00:00:00"/>
    <x v="535"/>
    <x v="72"/>
    <n v="154"/>
    <s v="INV01559"/>
    <n v="154"/>
    <n v="754.02560000000005"/>
    <m/>
    <m/>
    <m/>
    <m/>
    <m/>
    <n v="754.02560000000005"/>
    <d v="2023-01-23T00:00:00"/>
    <n v="0"/>
    <n v="0"/>
    <n v="0"/>
    <n v="0"/>
    <n v="0"/>
    <n v="0"/>
    <n v="0"/>
    <x v="0"/>
    <n v="116119.94240000001"/>
    <n v="116119.94240000001"/>
    <n v="0"/>
    <n v="0"/>
    <x v="0"/>
    <x v="11"/>
  </r>
  <r>
    <s v="ORD01560"/>
    <d v="2023-05-15T00:00:00"/>
    <x v="639"/>
    <x v="88"/>
    <n v="27"/>
    <s v="INV01560"/>
    <n v="33"/>
    <n v="209.48449999999997"/>
    <m/>
    <m/>
    <m/>
    <m/>
    <m/>
    <n v="209.48449999999997"/>
    <d v="2023-01-30T00:00:00"/>
    <n v="0"/>
    <n v="1"/>
    <n v="0"/>
    <n v="0"/>
    <n v="0"/>
    <n v="0"/>
    <n v="0"/>
    <x v="1"/>
    <n v="6912.9884999999986"/>
    <n v="5656.0814999999993"/>
    <n v="1256.9069999999992"/>
    <n v="8"/>
    <x v="2"/>
    <x v="7"/>
  </r>
  <r>
    <s v="ORD01561"/>
    <d v="2023-01-06T00:00:00"/>
    <x v="489"/>
    <x v="252"/>
    <n v="113"/>
    <s v="INV01561"/>
    <n v="113"/>
    <n v="752.34559999999999"/>
    <m/>
    <m/>
    <m/>
    <m/>
    <m/>
    <n v="752.34559999999999"/>
    <d v="2022-12-05T00:00:00"/>
    <n v="0"/>
    <n v="0"/>
    <n v="0"/>
    <n v="0"/>
    <n v="0"/>
    <n v="0"/>
    <n v="0"/>
    <x v="0"/>
    <n v="85015.052800000005"/>
    <n v="85015.052800000005"/>
    <n v="0"/>
    <n v="0"/>
    <x v="0"/>
    <x v="8"/>
  </r>
  <r>
    <s v="ORD01562"/>
    <d v="2024-02-13T00:00:00"/>
    <x v="675"/>
    <x v="293"/>
    <n v="63"/>
    <s v="INV01562"/>
    <n v="63"/>
    <n v="104.9652"/>
    <m/>
    <m/>
    <m/>
    <m/>
    <m/>
    <n v="104.9652"/>
    <d v="2023-05-20T00:00:00"/>
    <n v="0"/>
    <n v="0"/>
    <n v="0"/>
    <n v="0"/>
    <n v="0"/>
    <n v="0"/>
    <n v="0"/>
    <x v="0"/>
    <n v="6612.8076000000001"/>
    <n v="6612.8076000000001"/>
    <n v="0"/>
    <n v="0"/>
    <x v="0"/>
    <x v="3"/>
  </r>
  <r>
    <s v="ORD01563"/>
    <d v="2024-01-28T00:00:00"/>
    <x v="374"/>
    <x v="271"/>
    <n v="140"/>
    <s v="INV01563"/>
    <n v="140"/>
    <n v="358.33919999999995"/>
    <m/>
    <m/>
    <m/>
    <m/>
    <m/>
    <n v="358.33919999999995"/>
    <d v="2023-07-01T00:00:00"/>
    <n v="0"/>
    <n v="0"/>
    <n v="0"/>
    <n v="0"/>
    <n v="0"/>
    <n v="0"/>
    <n v="0"/>
    <x v="0"/>
    <n v="50167.48799999999"/>
    <n v="50167.48799999999"/>
    <n v="0"/>
    <n v="0"/>
    <x v="0"/>
    <x v="15"/>
  </r>
  <r>
    <s v="ORD01564"/>
    <d v="2023-09-27T00:00:00"/>
    <x v="699"/>
    <x v="160"/>
    <n v="159"/>
    <s v="INV01564"/>
    <n v="159"/>
    <n v="431.81990000000002"/>
    <m/>
    <m/>
    <m/>
    <m/>
    <m/>
    <n v="431.81990000000002"/>
    <d v="2022-09-03T00:00:00"/>
    <n v="0"/>
    <n v="0"/>
    <n v="0"/>
    <n v="0"/>
    <n v="0"/>
    <n v="0"/>
    <n v="0"/>
    <x v="0"/>
    <n v="68659.364100000006"/>
    <n v="68659.364100000006"/>
    <n v="0"/>
    <n v="0"/>
    <x v="0"/>
    <x v="18"/>
  </r>
  <r>
    <s v="ORD01565"/>
    <d v="2024-06-20T00:00:00"/>
    <x v="177"/>
    <x v="134"/>
    <n v="94"/>
    <s v="INV01565"/>
    <n v="94"/>
    <n v="410.02"/>
    <m/>
    <m/>
    <m/>
    <m/>
    <m/>
    <n v="410.02"/>
    <d v="2023-04-01T00:00:00"/>
    <n v="0"/>
    <n v="0"/>
    <n v="0"/>
    <n v="0"/>
    <n v="0"/>
    <n v="0"/>
    <n v="0"/>
    <x v="0"/>
    <n v="38541.879999999997"/>
    <n v="38541.879999999997"/>
    <n v="0"/>
    <n v="0"/>
    <x v="0"/>
    <x v="16"/>
  </r>
  <r>
    <s v="ORD01566"/>
    <d v="2023-04-27T00:00:00"/>
    <x v="214"/>
    <x v="113"/>
    <n v="78"/>
    <s v="INV01566"/>
    <n v="78"/>
    <n v="951.54780000000005"/>
    <m/>
    <m/>
    <m/>
    <m/>
    <m/>
    <n v="951.54780000000005"/>
    <d v="2023-02-07T00:00:00"/>
    <n v="0"/>
    <n v="0"/>
    <n v="0"/>
    <n v="0"/>
    <n v="0"/>
    <n v="0"/>
    <n v="0"/>
    <x v="0"/>
    <n v="74220.728400000007"/>
    <n v="74220.728400000007"/>
    <n v="0"/>
    <n v="0"/>
    <x v="0"/>
    <x v="23"/>
  </r>
  <r>
    <s v="ORD01567"/>
    <d v="2024-09-21T00:00:00"/>
    <x v="337"/>
    <x v="157"/>
    <n v="129"/>
    <s v="INV01567"/>
    <n v="129"/>
    <n v="1158.2643"/>
    <m/>
    <m/>
    <m/>
    <m/>
    <m/>
    <n v="1158.2643"/>
    <d v="2023-07-12T00:00:00"/>
    <n v="0"/>
    <n v="0"/>
    <n v="0"/>
    <n v="0"/>
    <n v="0"/>
    <n v="0"/>
    <n v="0"/>
    <x v="0"/>
    <n v="149416.09470000002"/>
    <n v="149416.09470000002"/>
    <n v="0"/>
    <n v="0"/>
    <x v="0"/>
    <x v="2"/>
  </r>
  <r>
    <s v="ORD01568"/>
    <d v="2024-03-30T00:00:00"/>
    <x v="700"/>
    <x v="23"/>
    <n v="44"/>
    <s v="INV01568"/>
    <n v="44"/>
    <n v="77.398200000000003"/>
    <m/>
    <m/>
    <m/>
    <m/>
    <m/>
    <n v="77.398200000000003"/>
    <d v="2023-04-16T00:00:00"/>
    <n v="0"/>
    <n v="0"/>
    <n v="0"/>
    <n v="0"/>
    <n v="0"/>
    <n v="0"/>
    <n v="0"/>
    <x v="0"/>
    <n v="3405.5208000000002"/>
    <n v="3405.5208000000002"/>
    <n v="0"/>
    <n v="0"/>
    <x v="0"/>
    <x v="6"/>
  </r>
  <r>
    <s v="ORD01569"/>
    <d v="2024-11-05T00:00:00"/>
    <x v="602"/>
    <x v="167"/>
    <n v="166"/>
    <s v="INV01569"/>
    <n v="166"/>
    <n v="226.1644"/>
    <m/>
    <m/>
    <m/>
    <m/>
    <m/>
    <n v="226.1644"/>
    <d v="2023-08-01T00:00:00"/>
    <n v="0"/>
    <n v="0"/>
    <n v="0"/>
    <n v="0"/>
    <n v="0"/>
    <n v="0"/>
    <n v="0"/>
    <x v="0"/>
    <n v="37543.290399999998"/>
    <n v="37543.290399999998"/>
    <n v="0"/>
    <n v="0"/>
    <x v="0"/>
    <x v="4"/>
  </r>
  <r>
    <s v="ORD01570"/>
    <d v="2023-07-28T00:00:00"/>
    <x v="447"/>
    <x v="109"/>
    <n v="189"/>
    <s v="INV01570"/>
    <n v="189"/>
    <n v="457.65019999999998"/>
    <m/>
    <m/>
    <n v="429.63"/>
    <d v="2023-02-10T00:00:00"/>
    <d v="2024-02-02T00:00:00"/>
    <n v="457.65019999999998"/>
    <d v="2023-01-24T00:00:00"/>
    <n v="0"/>
    <n v="0"/>
    <n v="0"/>
    <n v="1"/>
    <n v="0"/>
    <n v="0"/>
    <n v="0"/>
    <x v="1"/>
    <n v="86495.887799999997"/>
    <n v="86495.887799999997"/>
    <n v="0"/>
    <n v="4"/>
    <x v="1"/>
    <x v="10"/>
  </r>
  <r>
    <s v="ORD01571"/>
    <d v="2024-03-30T00:00:00"/>
    <x v="522"/>
    <x v="30"/>
    <n v="20"/>
    <s v="INV01571"/>
    <n v="20"/>
    <n v="360.68479999999994"/>
    <m/>
    <m/>
    <m/>
    <m/>
    <m/>
    <n v="360.68479999999994"/>
    <d v="2023-05-26T00:00:00"/>
    <n v="0"/>
    <n v="0"/>
    <n v="0"/>
    <n v="0"/>
    <n v="0"/>
    <n v="0"/>
    <n v="0"/>
    <x v="0"/>
    <n v="7213.695999999999"/>
    <n v="7213.695999999999"/>
    <n v="0"/>
    <n v="0"/>
    <x v="0"/>
    <x v="6"/>
  </r>
  <r>
    <s v="ORD01572"/>
    <d v="2024-04-18T00:00:00"/>
    <x v="57"/>
    <x v="86"/>
    <n v="8"/>
    <s v="INV01572"/>
    <n v="8"/>
    <n v="245.8853"/>
    <m/>
    <m/>
    <m/>
    <m/>
    <m/>
    <n v="245.8853"/>
    <d v="2023-04-09T00:00:00"/>
    <n v="0"/>
    <n v="0"/>
    <n v="0"/>
    <n v="0"/>
    <n v="0"/>
    <n v="0"/>
    <n v="0"/>
    <x v="0"/>
    <n v="1967.0824"/>
    <n v="1967.0824"/>
    <n v="0"/>
    <n v="0"/>
    <x v="0"/>
    <x v="9"/>
  </r>
  <r>
    <s v="ORD01573"/>
    <d v="2024-11-18T00:00:00"/>
    <x v="641"/>
    <x v="74"/>
    <n v="36"/>
    <s v="INV01573"/>
    <n v="36"/>
    <n v="1184.9544000000001"/>
    <m/>
    <m/>
    <m/>
    <m/>
    <m/>
    <n v="1184.9544000000001"/>
    <d v="2023-09-02T00:00:00"/>
    <n v="0"/>
    <n v="0"/>
    <n v="0"/>
    <n v="0"/>
    <n v="0"/>
    <n v="0"/>
    <n v="0"/>
    <x v="0"/>
    <n v="42658.358400000005"/>
    <n v="42658.358400000005"/>
    <n v="0"/>
    <n v="0"/>
    <x v="0"/>
    <x v="4"/>
  </r>
  <r>
    <s v="ORD01574"/>
    <d v="2024-12-25T00:00:00"/>
    <x v="77"/>
    <x v="259"/>
    <n v="157"/>
    <s v="INV01574"/>
    <n v="157"/>
    <n v="1160.71"/>
    <m/>
    <m/>
    <m/>
    <m/>
    <m/>
    <n v="1160.71"/>
    <d v="2023-02-07T00:00:00"/>
    <n v="0"/>
    <n v="0"/>
    <n v="0"/>
    <n v="0"/>
    <n v="0"/>
    <n v="0"/>
    <n v="0"/>
    <x v="0"/>
    <n v="182231.47"/>
    <n v="182231.47"/>
    <n v="0"/>
    <n v="0"/>
    <x v="0"/>
    <x v="1"/>
  </r>
  <r>
    <s v="ORD01575"/>
    <d v="2023-02-12T00:00:00"/>
    <x v="451"/>
    <x v="3"/>
    <n v="29"/>
    <s v="INV01575"/>
    <n v="29"/>
    <n v="817.07989999999995"/>
    <m/>
    <m/>
    <m/>
    <m/>
    <m/>
    <n v="817.07989999999995"/>
    <d v="2023-01-25T00:00:00"/>
    <n v="0"/>
    <n v="0"/>
    <n v="0"/>
    <n v="0"/>
    <n v="0"/>
    <n v="0"/>
    <n v="0"/>
    <x v="0"/>
    <n v="23695.3171"/>
    <n v="23695.3171"/>
    <n v="0"/>
    <n v="0"/>
    <x v="0"/>
    <x v="11"/>
  </r>
  <r>
    <s v="ORD01576"/>
    <d v="2023-06-26T00:00:00"/>
    <x v="701"/>
    <x v="111"/>
    <n v="47"/>
    <s v="INV01576"/>
    <n v="47"/>
    <n v="147.17669999999998"/>
    <m/>
    <m/>
    <m/>
    <m/>
    <m/>
    <n v="147.17669999999998"/>
    <d v="2023-04-23T00:00:00"/>
    <n v="0"/>
    <n v="0"/>
    <n v="0"/>
    <n v="0"/>
    <n v="0"/>
    <n v="0"/>
    <n v="0"/>
    <x v="0"/>
    <n v="6917.3048999999992"/>
    <n v="6917.3048999999992"/>
    <n v="0"/>
    <n v="0"/>
    <x v="0"/>
    <x v="14"/>
  </r>
  <r>
    <s v="ORD01577"/>
    <d v="2024-04-29T00:00:00"/>
    <x v="538"/>
    <x v="269"/>
    <n v="149"/>
    <s v="INV01577"/>
    <n v="149"/>
    <n v="153.69479999999999"/>
    <m/>
    <m/>
    <m/>
    <m/>
    <m/>
    <n v="153.69479999999999"/>
    <d v="2023-02-03T00:00:00"/>
    <n v="0"/>
    <n v="0"/>
    <n v="0"/>
    <n v="0"/>
    <n v="0"/>
    <n v="0"/>
    <n v="0"/>
    <x v="0"/>
    <n v="22900.525199999996"/>
    <n v="22900.525199999996"/>
    <n v="0"/>
    <n v="0"/>
    <x v="0"/>
    <x v="9"/>
  </r>
  <r>
    <s v="ORD01578"/>
    <d v="2023-11-25T00:00:00"/>
    <x v="443"/>
    <x v="90"/>
    <n v="112"/>
    <s v="INV01578"/>
    <n v="112"/>
    <n v="249.1748"/>
    <m/>
    <m/>
    <m/>
    <m/>
    <m/>
    <n v="249.1748"/>
    <d v="2023-08-03T00:00:00"/>
    <n v="0"/>
    <n v="0"/>
    <n v="0"/>
    <n v="0"/>
    <n v="0"/>
    <n v="0"/>
    <n v="0"/>
    <x v="0"/>
    <n v="27907.577600000001"/>
    <n v="27907.577600000001"/>
    <n v="0"/>
    <n v="0"/>
    <x v="0"/>
    <x v="0"/>
  </r>
  <r>
    <s v="ORD01579"/>
    <d v="2024-07-09T00:00:00"/>
    <x v="700"/>
    <x v="1"/>
    <n v="27"/>
    <s v="INV01579"/>
    <n v="27"/>
    <n v="444.22"/>
    <m/>
    <m/>
    <m/>
    <m/>
    <m/>
    <n v="444.22"/>
    <d v="2023-05-28T00:00:00"/>
    <n v="0"/>
    <n v="0"/>
    <n v="0"/>
    <n v="0"/>
    <n v="0"/>
    <n v="0"/>
    <n v="0"/>
    <x v="0"/>
    <n v="11993.94"/>
    <n v="11993.94"/>
    <n v="0"/>
    <n v="0"/>
    <x v="0"/>
    <x v="21"/>
  </r>
  <r>
    <s v="ORD01580"/>
    <d v="2023-10-11T00:00:00"/>
    <x v="263"/>
    <x v="127"/>
    <n v="80"/>
    <s v="INV01580"/>
    <n v="80"/>
    <n v="343.34190000000001"/>
    <m/>
    <m/>
    <m/>
    <m/>
    <m/>
    <n v="343.34190000000001"/>
    <d v="2023-07-19T00:00:00"/>
    <n v="0"/>
    <n v="0"/>
    <n v="0"/>
    <n v="0"/>
    <n v="0"/>
    <n v="0"/>
    <n v="0"/>
    <x v="0"/>
    <n v="27467.351999999999"/>
    <n v="27467.351999999999"/>
    <n v="0"/>
    <n v="0"/>
    <x v="0"/>
    <x v="19"/>
  </r>
  <r>
    <s v="ORD01581"/>
    <d v="2023-06-11T00:00:00"/>
    <x v="350"/>
    <x v="135"/>
    <n v="94"/>
    <s v="INV01581"/>
    <n v="94"/>
    <n v="1231.8180000000002"/>
    <m/>
    <m/>
    <m/>
    <m/>
    <m/>
    <n v="1231.8180000000002"/>
    <d v="2023-05-02T00:00:00"/>
    <n v="0"/>
    <n v="0"/>
    <n v="0"/>
    <n v="0"/>
    <n v="0"/>
    <n v="0"/>
    <n v="0"/>
    <x v="0"/>
    <n v="115790.89200000002"/>
    <n v="115790.89200000002"/>
    <n v="0"/>
    <n v="0"/>
    <x v="0"/>
    <x v="14"/>
  </r>
  <r>
    <s v="ORD01582"/>
    <d v="2024-12-27T00:00:00"/>
    <x v="178"/>
    <x v="146"/>
    <n v="116"/>
    <s v="INV01582"/>
    <n v="116"/>
    <n v="428.46220000000005"/>
    <m/>
    <m/>
    <m/>
    <m/>
    <m/>
    <n v="428.46220000000005"/>
    <d v="2023-06-25T00:00:00"/>
    <n v="0"/>
    <n v="0"/>
    <n v="0"/>
    <n v="0"/>
    <n v="0"/>
    <n v="0"/>
    <n v="0"/>
    <x v="0"/>
    <n v="49701.615200000007"/>
    <n v="49701.615200000007"/>
    <n v="0"/>
    <n v="0"/>
    <x v="0"/>
    <x v="1"/>
  </r>
  <r>
    <s v="ORD01583"/>
    <d v="2024-07-22T00:00:00"/>
    <x v="702"/>
    <x v="193"/>
    <n v="100"/>
    <s v="INV01583"/>
    <n v="108"/>
    <n v="1031.3214729464837"/>
    <m/>
    <m/>
    <m/>
    <m/>
    <m/>
    <n v="1030.7952"/>
    <d v="2023-08-16T00:00:00"/>
    <n v="0"/>
    <n v="1"/>
    <n v="1"/>
    <n v="0"/>
    <n v="0"/>
    <n v="0"/>
    <n v="0"/>
    <x v="1"/>
    <n v="111382.71907822024"/>
    <n v="103079.52"/>
    <n v="8303.1990782202338"/>
    <n v="12"/>
    <x v="2"/>
    <x v="21"/>
  </r>
  <r>
    <s v="ORD01584"/>
    <d v="2024-01-25T00:00:00"/>
    <x v="703"/>
    <x v="89"/>
    <n v="183"/>
    <s v="INV01584"/>
    <n v="183"/>
    <n v="826.46400000000006"/>
    <m/>
    <m/>
    <m/>
    <m/>
    <m/>
    <n v="826.46400000000006"/>
    <d v="2023-07-21T00:00:00"/>
    <n v="0"/>
    <n v="0"/>
    <n v="0"/>
    <n v="0"/>
    <n v="0"/>
    <n v="0"/>
    <n v="0"/>
    <x v="0"/>
    <n v="151242.91200000001"/>
    <n v="151242.91200000001"/>
    <n v="0"/>
    <n v="0"/>
    <x v="0"/>
    <x v="15"/>
  </r>
  <r>
    <s v="ORD01585"/>
    <d v="2023-07-07T00:00:00"/>
    <x v="676"/>
    <x v="25"/>
    <n v="122"/>
    <s v="INV01585"/>
    <n v="122"/>
    <n v="1218.568"/>
    <m/>
    <m/>
    <m/>
    <m/>
    <m/>
    <n v="1218.568"/>
    <d v="2023-05-15T00:00:00"/>
    <n v="0"/>
    <n v="0"/>
    <n v="0"/>
    <n v="0"/>
    <n v="0"/>
    <n v="0"/>
    <n v="0"/>
    <x v="0"/>
    <n v="148665.296"/>
    <n v="148665.296"/>
    <n v="0"/>
    <n v="0"/>
    <x v="0"/>
    <x v="10"/>
  </r>
  <r>
    <s v="ORD01586"/>
    <d v="2024-01-18T00:00:00"/>
    <x v="205"/>
    <x v="257"/>
    <n v="51"/>
    <s v="INV01586"/>
    <n v="51"/>
    <n v="296.90946098133321"/>
    <m/>
    <m/>
    <m/>
    <m/>
    <m/>
    <n v="296.17460000000005"/>
    <d v="2023-09-25T00:00:00"/>
    <n v="0"/>
    <n v="0"/>
    <n v="1"/>
    <n v="0"/>
    <n v="0"/>
    <n v="0"/>
    <n v="0"/>
    <x v="1"/>
    <n v="15142.382510047993"/>
    <n v="15104.904600000003"/>
    <n v="37.477910047990008"/>
    <n v="4"/>
    <x v="1"/>
    <x v="15"/>
  </r>
  <r>
    <s v="ORD01587"/>
    <d v="2023-04-13T00:00:00"/>
    <x v="127"/>
    <x v="242"/>
    <n v="174"/>
    <s v="INV01587"/>
    <n v="174"/>
    <n v="1066.4928"/>
    <m/>
    <m/>
    <m/>
    <m/>
    <m/>
    <n v="1066.4928"/>
    <d v="2023-03-08T00:00:00"/>
    <n v="0"/>
    <n v="0"/>
    <n v="0"/>
    <n v="0"/>
    <n v="0"/>
    <n v="0"/>
    <n v="0"/>
    <x v="0"/>
    <n v="185569.74719999998"/>
    <n v="185569.74719999998"/>
    <n v="0"/>
    <n v="0"/>
    <x v="0"/>
    <x v="23"/>
  </r>
  <r>
    <s v="ORD01588"/>
    <d v="2023-10-08T00:00:00"/>
    <x v="521"/>
    <x v="157"/>
    <n v="112"/>
    <s v="INV01588"/>
    <n v="112"/>
    <n v="1158.2643"/>
    <m/>
    <m/>
    <m/>
    <m/>
    <m/>
    <n v="1158.2643"/>
    <d v="2023-07-12T00:00:00"/>
    <n v="0"/>
    <n v="0"/>
    <n v="0"/>
    <n v="0"/>
    <n v="0"/>
    <n v="0"/>
    <n v="0"/>
    <x v="0"/>
    <n v="129725.60160000001"/>
    <n v="129725.60160000001"/>
    <n v="0"/>
    <n v="0"/>
    <x v="0"/>
    <x v="19"/>
  </r>
  <r>
    <s v="ORD01589"/>
    <d v="2024-11-15T00:00:00"/>
    <x v="464"/>
    <x v="122"/>
    <n v="67"/>
    <s v="INV01589"/>
    <n v="67"/>
    <n v="75.620999999999995"/>
    <m/>
    <m/>
    <m/>
    <m/>
    <m/>
    <n v="75.620999999999995"/>
    <d v="2023-07-01T00:00:00"/>
    <n v="0"/>
    <n v="0"/>
    <n v="0"/>
    <n v="0"/>
    <n v="0"/>
    <n v="0"/>
    <n v="0"/>
    <x v="0"/>
    <n v="5066.607"/>
    <n v="5066.607"/>
    <n v="0"/>
    <n v="0"/>
    <x v="0"/>
    <x v="4"/>
  </r>
  <r>
    <s v="ORD01590"/>
    <d v="2023-04-10T00:00:00"/>
    <x v="581"/>
    <x v="107"/>
    <n v="94"/>
    <s v="INV01590"/>
    <n v="94"/>
    <n v="52.185000000000002"/>
    <m/>
    <m/>
    <m/>
    <m/>
    <m/>
    <n v="52.185000000000002"/>
    <d v="2023-03-13T00:00:00"/>
    <n v="0"/>
    <n v="0"/>
    <n v="0"/>
    <n v="0"/>
    <n v="0"/>
    <n v="0"/>
    <n v="0"/>
    <x v="0"/>
    <n v="4905.3900000000003"/>
    <n v="4905.3900000000003"/>
    <n v="0"/>
    <n v="0"/>
    <x v="0"/>
    <x v="23"/>
  </r>
  <r>
    <s v="ORD01591"/>
    <d v="2024-08-20T00:00:00"/>
    <x v="125"/>
    <x v="43"/>
    <n v="127"/>
    <s v="INV01591"/>
    <n v="127"/>
    <n v="1190.6054999999999"/>
    <m/>
    <m/>
    <m/>
    <m/>
    <m/>
    <n v="1190.6054999999999"/>
    <d v="2023-02-27T00:00:00"/>
    <n v="0"/>
    <n v="0"/>
    <n v="0"/>
    <n v="0"/>
    <n v="0"/>
    <n v="0"/>
    <n v="0"/>
    <x v="0"/>
    <n v="151206.89849999998"/>
    <n v="151206.89849999998"/>
    <n v="0"/>
    <n v="0"/>
    <x v="0"/>
    <x v="22"/>
  </r>
  <r>
    <s v="ORD01592"/>
    <d v="2024-02-19T00:00:00"/>
    <x v="704"/>
    <x v="230"/>
    <n v="199"/>
    <s v="INV01592"/>
    <n v="199"/>
    <n v="234.87090000000001"/>
    <m/>
    <m/>
    <m/>
    <m/>
    <m/>
    <n v="234.87090000000001"/>
    <d v="2023-08-12T00:00:00"/>
    <n v="0"/>
    <n v="0"/>
    <n v="0"/>
    <n v="0"/>
    <n v="0"/>
    <n v="0"/>
    <n v="0"/>
    <x v="0"/>
    <n v="46739.309099999999"/>
    <n v="46739.309099999999"/>
    <n v="0"/>
    <n v="0"/>
    <x v="0"/>
    <x v="3"/>
  </r>
  <r>
    <s v="ORD01593"/>
    <d v="2024-01-20T00:00:00"/>
    <x v="418"/>
    <x v="28"/>
    <n v="61"/>
    <s v="INV01593"/>
    <n v="61"/>
    <n v="957.65700000000015"/>
    <m/>
    <m/>
    <m/>
    <m/>
    <m/>
    <n v="957.65700000000015"/>
    <d v="2023-05-11T00:00:00"/>
    <n v="0"/>
    <n v="0"/>
    <n v="0"/>
    <n v="0"/>
    <n v="0"/>
    <n v="0"/>
    <n v="0"/>
    <x v="0"/>
    <n v="58417.077000000012"/>
    <n v="58417.077000000012"/>
    <n v="0"/>
    <n v="0"/>
    <x v="0"/>
    <x v="15"/>
  </r>
  <r>
    <s v="ORD01594"/>
    <d v="2024-04-26T00:00:00"/>
    <x v="427"/>
    <x v="163"/>
    <n v="187"/>
    <s v="INV01594"/>
    <n v="187"/>
    <n v="147.87150000000003"/>
    <m/>
    <m/>
    <m/>
    <m/>
    <m/>
    <n v="147.87150000000003"/>
    <d v="2023-02-15T00:00:00"/>
    <n v="0"/>
    <n v="0"/>
    <n v="0"/>
    <n v="0"/>
    <n v="0"/>
    <n v="0"/>
    <n v="0"/>
    <x v="0"/>
    <n v="27651.970500000003"/>
    <n v="27651.970500000003"/>
    <n v="0"/>
    <n v="0"/>
    <x v="0"/>
    <x v="9"/>
  </r>
  <r>
    <s v="ORD01595"/>
    <d v="2023-07-09T00:00:00"/>
    <x v="344"/>
    <x v="3"/>
    <n v="37"/>
    <s v="INV01595"/>
    <n v="37"/>
    <n v="849.43949999999995"/>
    <m/>
    <m/>
    <m/>
    <m/>
    <m/>
    <n v="849.43949999999995"/>
    <d v="2023-07-07T00:00:00"/>
    <n v="0"/>
    <n v="0"/>
    <n v="0"/>
    <n v="0"/>
    <n v="0"/>
    <n v="0"/>
    <n v="0"/>
    <x v="0"/>
    <n v="31429.261499999997"/>
    <n v="31429.261499999997"/>
    <n v="0"/>
    <n v="0"/>
    <x v="0"/>
    <x v="10"/>
  </r>
  <r>
    <s v="ORD01596"/>
    <d v="2023-07-24T00:00:00"/>
    <x v="678"/>
    <x v="82"/>
    <n v="133"/>
    <s v="INV01596"/>
    <n v="133"/>
    <n v="285.36900000000003"/>
    <m/>
    <m/>
    <m/>
    <m/>
    <m/>
    <n v="285.36900000000003"/>
    <d v="2023-01-06T00:00:00"/>
    <n v="0"/>
    <n v="0"/>
    <n v="0"/>
    <n v="0"/>
    <n v="0"/>
    <n v="0"/>
    <n v="0"/>
    <x v="0"/>
    <n v="37954.077000000005"/>
    <n v="37954.077000000005"/>
    <n v="0"/>
    <n v="0"/>
    <x v="0"/>
    <x v="10"/>
  </r>
  <r>
    <s v="ORD01597"/>
    <d v="2024-01-19T00:00:00"/>
    <x v="420"/>
    <x v="185"/>
    <n v="66"/>
    <s v="INV01597"/>
    <n v="66"/>
    <n v="435.57279999999997"/>
    <m/>
    <m/>
    <m/>
    <m/>
    <m/>
    <n v="435.57279999999997"/>
    <d v="2023-08-21T00:00:00"/>
    <n v="0"/>
    <n v="0"/>
    <n v="0"/>
    <n v="0"/>
    <n v="0"/>
    <n v="0"/>
    <n v="0"/>
    <x v="0"/>
    <n v="28747.804799999998"/>
    <n v="28747.804799999998"/>
    <n v="0"/>
    <n v="0"/>
    <x v="0"/>
    <x v="15"/>
  </r>
  <r>
    <s v="ORD01598"/>
    <d v="2024-07-18T00:00:00"/>
    <x v="369"/>
    <x v="184"/>
    <n v="182"/>
    <s v="INV01598"/>
    <n v="182"/>
    <n v="427.43"/>
    <m/>
    <m/>
    <m/>
    <m/>
    <m/>
    <n v="427.43"/>
    <d v="2023-05-08T00:00:00"/>
    <n v="0"/>
    <n v="0"/>
    <n v="0"/>
    <n v="0"/>
    <n v="0"/>
    <n v="0"/>
    <n v="0"/>
    <x v="0"/>
    <n v="77792.259999999995"/>
    <n v="77792.259999999995"/>
    <n v="0"/>
    <n v="0"/>
    <x v="0"/>
    <x v="21"/>
  </r>
  <r>
    <s v="ORD01599"/>
    <d v="2023-02-27T00:00:00"/>
    <x v="120"/>
    <x v="44"/>
    <n v="117"/>
    <s v="INV01599"/>
    <n v="117"/>
    <n v="1015.6622"/>
    <m/>
    <m/>
    <m/>
    <m/>
    <m/>
    <n v="1015.6622"/>
    <d v="2022-08-24T00:00:00"/>
    <n v="0"/>
    <n v="0"/>
    <n v="0"/>
    <n v="0"/>
    <n v="0"/>
    <n v="0"/>
    <n v="0"/>
    <x v="0"/>
    <n v="118832.4774"/>
    <n v="118832.4774"/>
    <n v="0"/>
    <n v="0"/>
    <x v="0"/>
    <x v="11"/>
  </r>
  <r>
    <s v="ORD01600"/>
    <d v="2024-02-16T00:00:00"/>
    <x v="705"/>
    <x v="29"/>
    <n v="40"/>
    <s v="INV01600"/>
    <n v="40"/>
    <n v="1103.0465999999999"/>
    <m/>
    <m/>
    <m/>
    <m/>
    <m/>
    <n v="1103.0465999999999"/>
    <d v="2023-10-15T00:00:00"/>
    <n v="0"/>
    <n v="0"/>
    <n v="0"/>
    <n v="0"/>
    <n v="0"/>
    <n v="0"/>
    <n v="0"/>
    <x v="0"/>
    <n v="44121.863999999994"/>
    <n v="44121.863999999994"/>
    <n v="0"/>
    <n v="0"/>
    <x v="0"/>
    <x v="3"/>
  </r>
  <r>
    <s v="ORD01601"/>
    <d v="2024-08-11T00:00:00"/>
    <x v="706"/>
    <x v="122"/>
    <n v="153"/>
    <s v="INV01601"/>
    <n v="153"/>
    <n v="75.620999999999995"/>
    <m/>
    <m/>
    <m/>
    <m/>
    <m/>
    <n v="75.620999999999995"/>
    <d v="2023-07-01T00:00:00"/>
    <n v="0"/>
    <n v="0"/>
    <n v="0"/>
    <n v="0"/>
    <n v="0"/>
    <n v="0"/>
    <n v="0"/>
    <x v="0"/>
    <n v="11570.012999999999"/>
    <n v="11570.012999999999"/>
    <n v="0"/>
    <n v="0"/>
    <x v="0"/>
    <x v="22"/>
  </r>
  <r>
    <s v="ORD01602"/>
    <d v="2024-10-25T00:00:00"/>
    <x v="433"/>
    <x v="18"/>
    <n v="7"/>
    <s v="INV01602"/>
    <n v="7"/>
    <n v="337.47280000000001"/>
    <m/>
    <m/>
    <m/>
    <m/>
    <m/>
    <n v="337.47280000000001"/>
    <d v="2023-09-02T00:00:00"/>
    <n v="0"/>
    <n v="0"/>
    <n v="0"/>
    <n v="0"/>
    <n v="0"/>
    <n v="0"/>
    <n v="0"/>
    <x v="0"/>
    <n v="2362.3096"/>
    <n v="2362.3096"/>
    <n v="0"/>
    <n v="0"/>
    <x v="0"/>
    <x v="5"/>
  </r>
  <r>
    <s v="ORD01603"/>
    <d v="2024-09-18T00:00:00"/>
    <x v="505"/>
    <x v="148"/>
    <n v="141"/>
    <s v="INV01603"/>
    <n v="141"/>
    <n v="815.08680000000004"/>
    <m/>
    <m/>
    <m/>
    <m/>
    <m/>
    <n v="815.08680000000004"/>
    <d v="2023-05-16T00:00:00"/>
    <n v="0"/>
    <n v="0"/>
    <n v="0"/>
    <n v="0"/>
    <n v="0"/>
    <n v="0"/>
    <n v="0"/>
    <x v="0"/>
    <n v="114927.23880000001"/>
    <n v="114927.23880000001"/>
    <n v="0"/>
    <n v="0"/>
    <x v="0"/>
    <x v="2"/>
  </r>
  <r>
    <s v="ORD01604"/>
    <d v="2023-06-30T00:00:00"/>
    <x v="489"/>
    <x v="117"/>
    <n v="124"/>
    <s v="INV01604"/>
    <n v="124"/>
    <n v="199.8895"/>
    <m/>
    <m/>
    <m/>
    <m/>
    <m/>
    <n v="199.8895"/>
    <d v="2022-09-03T00:00:00"/>
    <n v="0"/>
    <n v="0"/>
    <n v="0"/>
    <n v="0"/>
    <n v="0"/>
    <n v="0"/>
    <n v="0"/>
    <x v="0"/>
    <n v="24786.297999999999"/>
    <n v="24786.297999999999"/>
    <n v="0"/>
    <n v="0"/>
    <x v="0"/>
    <x v="14"/>
  </r>
  <r>
    <s v="ORD01605"/>
    <d v="2024-07-01T00:00:00"/>
    <x v="416"/>
    <x v="31"/>
    <n v="95"/>
    <s v="INV01605"/>
    <n v="95"/>
    <n v="1147.3289"/>
    <m/>
    <m/>
    <m/>
    <m/>
    <m/>
    <n v="1147.3289"/>
    <d v="2023-01-19T00:00:00"/>
    <n v="0"/>
    <n v="0"/>
    <n v="0"/>
    <n v="0"/>
    <n v="0"/>
    <n v="0"/>
    <n v="0"/>
    <x v="0"/>
    <n v="108996.2455"/>
    <n v="108996.2455"/>
    <n v="0"/>
    <n v="0"/>
    <x v="0"/>
    <x v="21"/>
  </r>
  <r>
    <s v="ORD01606"/>
    <d v="2023-11-10T00:00:00"/>
    <x v="561"/>
    <x v="254"/>
    <n v="165"/>
    <s v="INV01606"/>
    <n v="165"/>
    <n v="571.49840000000006"/>
    <m/>
    <m/>
    <m/>
    <m/>
    <m/>
    <n v="571.49840000000006"/>
    <d v="2023-05-25T00:00:00"/>
    <n v="0"/>
    <n v="0"/>
    <n v="0"/>
    <n v="0"/>
    <n v="0"/>
    <n v="0"/>
    <n v="0"/>
    <x v="0"/>
    <n v="94297.236000000004"/>
    <n v="94297.236000000004"/>
    <n v="0"/>
    <n v="0"/>
    <x v="0"/>
    <x v="0"/>
  </r>
  <r>
    <s v="ORD01607"/>
    <d v="2024-02-10T00:00:00"/>
    <x v="557"/>
    <x v="145"/>
    <n v="25"/>
    <s v="INV01607"/>
    <n v="25"/>
    <n v="185.5224"/>
    <n v="15"/>
    <d v="2024-10-06T00:00:00"/>
    <m/>
    <m/>
    <m/>
    <n v="185.5224"/>
    <d v="2023-05-17T00:00:00"/>
    <n v="0"/>
    <n v="0"/>
    <n v="0"/>
    <n v="0"/>
    <n v="0"/>
    <n v="1"/>
    <n v="0"/>
    <x v="1"/>
    <n v="4638.0600000000004"/>
    <n v="4638.0600000000004"/>
    <n v="0"/>
    <n v="2"/>
    <x v="1"/>
    <x v="3"/>
  </r>
  <r>
    <s v="ORD01608"/>
    <d v="2023-05-02T00:00:00"/>
    <x v="422"/>
    <x v="274"/>
    <n v="20"/>
    <s v="INV01608"/>
    <n v="20"/>
    <n v="596.07000000000005"/>
    <n v="7"/>
    <d v="2024-01-29T00:00:00"/>
    <m/>
    <m/>
    <m/>
    <n v="596.07000000000005"/>
    <d v="2023-02-27T00:00:00"/>
    <n v="0"/>
    <n v="0"/>
    <n v="0"/>
    <n v="0"/>
    <n v="0"/>
    <n v="1"/>
    <n v="0"/>
    <x v="1"/>
    <n v="11921.400000000001"/>
    <n v="11921.400000000001"/>
    <n v="0"/>
    <n v="2"/>
    <x v="1"/>
    <x v="7"/>
  </r>
  <r>
    <s v="ORD01609"/>
    <d v="2024-09-13T00:00:00"/>
    <x v="343"/>
    <x v="160"/>
    <n v="75"/>
    <s v="INV01609"/>
    <n v="75"/>
    <n v="419.71280000000002"/>
    <n v="19"/>
    <d v="2024-07-09T00:00:00"/>
    <m/>
    <m/>
    <m/>
    <n v="419.71280000000002"/>
    <d v="2023-10-15T00:00:00"/>
    <n v="0"/>
    <n v="0"/>
    <n v="0"/>
    <n v="0"/>
    <n v="0"/>
    <n v="0"/>
    <n v="0"/>
    <x v="0"/>
    <n v="31478.460000000003"/>
    <n v="31478.460000000003"/>
    <n v="0"/>
    <n v="0"/>
    <x v="0"/>
    <x v="2"/>
  </r>
  <r>
    <s v="ORD01610"/>
    <d v="2023-03-15T00:00:00"/>
    <x v="487"/>
    <x v="19"/>
    <n v="149"/>
    <s v="INV01610"/>
    <n v="149"/>
    <n v="769.91809999999998"/>
    <m/>
    <m/>
    <m/>
    <m/>
    <m/>
    <n v="769.91809999999998"/>
    <d v="2022-12-30T00:00:00"/>
    <n v="0"/>
    <n v="0"/>
    <n v="0"/>
    <n v="0"/>
    <n v="0"/>
    <n v="0"/>
    <n v="0"/>
    <x v="0"/>
    <n v="114717.7969"/>
    <n v="114717.7969"/>
    <n v="0"/>
    <n v="0"/>
    <x v="0"/>
    <x v="17"/>
  </r>
  <r>
    <s v="ORD01611"/>
    <d v="2024-07-22T00:00:00"/>
    <x v="178"/>
    <x v="215"/>
    <n v="25"/>
    <s v="INV01611"/>
    <n v="25"/>
    <n v="174.32480000000001"/>
    <m/>
    <m/>
    <m/>
    <m/>
    <m/>
    <n v="174.32480000000001"/>
    <d v="2023-08-04T00:00:00"/>
    <n v="0"/>
    <n v="0"/>
    <n v="0"/>
    <n v="0"/>
    <n v="0"/>
    <n v="0"/>
    <n v="0"/>
    <x v="0"/>
    <n v="4358.12"/>
    <n v="4358.12"/>
    <n v="0"/>
    <n v="0"/>
    <x v="0"/>
    <x v="21"/>
  </r>
  <r>
    <s v="ORD01612"/>
    <d v="2024-04-17T00:00:00"/>
    <x v="707"/>
    <x v="284"/>
    <n v="174"/>
    <s v="INV01612"/>
    <n v="174"/>
    <n v="1032.7408"/>
    <m/>
    <m/>
    <m/>
    <m/>
    <m/>
    <n v="1032.7408"/>
    <d v="2023-05-31T00:00:00"/>
    <n v="0"/>
    <n v="0"/>
    <n v="0"/>
    <n v="0"/>
    <n v="0"/>
    <n v="0"/>
    <n v="0"/>
    <x v="0"/>
    <n v="179696.89920000001"/>
    <n v="179696.89920000001"/>
    <n v="0"/>
    <n v="0"/>
    <x v="0"/>
    <x v="9"/>
  </r>
  <r>
    <s v="ORD01613"/>
    <d v="2023-04-24T00:00:00"/>
    <x v="621"/>
    <x v="5"/>
    <n v="148"/>
    <s v="INV01613"/>
    <n v="148"/>
    <n v="1058.3499999999999"/>
    <m/>
    <m/>
    <m/>
    <m/>
    <m/>
    <n v="1058.3499999999999"/>
    <d v="2022-06-22T00:00:00"/>
    <n v="0"/>
    <n v="0"/>
    <n v="0"/>
    <n v="0"/>
    <n v="0"/>
    <n v="0"/>
    <n v="0"/>
    <x v="0"/>
    <n v="156635.79999999999"/>
    <n v="156635.79999999999"/>
    <n v="0"/>
    <n v="0"/>
    <x v="0"/>
    <x v="23"/>
  </r>
  <r>
    <s v="ORD01614"/>
    <d v="2023-09-01T00:00:00"/>
    <x v="471"/>
    <x v="172"/>
    <n v="116"/>
    <s v="INV01614"/>
    <n v="116"/>
    <n v="370.82850000000002"/>
    <m/>
    <m/>
    <m/>
    <m/>
    <m/>
    <n v="370.82850000000002"/>
    <d v="2023-03-01T00:00:00"/>
    <n v="0"/>
    <n v="0"/>
    <n v="0"/>
    <n v="0"/>
    <n v="0"/>
    <n v="0"/>
    <n v="0"/>
    <x v="0"/>
    <n v="43016.106"/>
    <n v="43016.106"/>
    <n v="0"/>
    <n v="0"/>
    <x v="0"/>
    <x v="18"/>
  </r>
  <r>
    <s v="ORD01615"/>
    <d v="2023-06-26T00:00:00"/>
    <x v="694"/>
    <x v="5"/>
    <n v="106"/>
    <s v="INV01615"/>
    <n v="106"/>
    <n v="1037.183"/>
    <n v="5"/>
    <d v="2024-01-16T00:00:00"/>
    <m/>
    <m/>
    <m/>
    <n v="1037.183"/>
    <d v="2023-05-08T00:00:00"/>
    <n v="0"/>
    <n v="0"/>
    <n v="0"/>
    <n v="0"/>
    <n v="0"/>
    <n v="1"/>
    <n v="0"/>
    <x v="1"/>
    <n v="109941.398"/>
    <n v="109941.398"/>
    <n v="0"/>
    <n v="2"/>
    <x v="1"/>
    <x v="14"/>
  </r>
  <r>
    <s v="ORD01616"/>
    <d v="2024-05-21T00:00:00"/>
    <x v="301"/>
    <x v="260"/>
    <n v="49"/>
    <s v="INV01616"/>
    <n v="49"/>
    <n v="990.72749999999996"/>
    <n v="5"/>
    <d v="2023-03-22T00:00:00"/>
    <m/>
    <m/>
    <m/>
    <n v="990.72749999999996"/>
    <d v="2023-05-22T00:00:00"/>
    <n v="0"/>
    <n v="0"/>
    <n v="0"/>
    <n v="0"/>
    <n v="0"/>
    <n v="0"/>
    <n v="0"/>
    <x v="0"/>
    <n v="48545.647499999999"/>
    <n v="48545.647499999999"/>
    <n v="0"/>
    <n v="0"/>
    <x v="0"/>
    <x v="13"/>
  </r>
  <r>
    <s v="ORD01617"/>
    <d v="2023-03-03T00:00:00"/>
    <x v="595"/>
    <x v="187"/>
    <n v="70"/>
    <s v="INV01617"/>
    <n v="70"/>
    <n v="953.97479999999996"/>
    <m/>
    <m/>
    <m/>
    <m/>
    <m/>
    <n v="953.97479999999996"/>
    <d v="2022-12-31T00:00:00"/>
    <n v="0"/>
    <n v="0"/>
    <n v="0"/>
    <n v="0"/>
    <n v="0"/>
    <n v="0"/>
    <n v="0"/>
    <x v="0"/>
    <n v="66778.236000000004"/>
    <n v="66778.236000000004"/>
    <n v="0"/>
    <n v="0"/>
    <x v="0"/>
    <x v="17"/>
  </r>
  <r>
    <s v="ORD01618"/>
    <d v="2023-04-13T00:00:00"/>
    <x v="595"/>
    <x v="125"/>
    <n v="161"/>
    <s v="INV01618"/>
    <n v="161"/>
    <n v="405.98"/>
    <m/>
    <m/>
    <m/>
    <m/>
    <m/>
    <n v="405.98"/>
    <d v="2023-02-13T00:00:00"/>
    <n v="0"/>
    <n v="0"/>
    <n v="0"/>
    <n v="0"/>
    <n v="0"/>
    <n v="0"/>
    <n v="0"/>
    <x v="0"/>
    <n v="65362.780000000006"/>
    <n v="65362.780000000006"/>
    <n v="0"/>
    <n v="0"/>
    <x v="0"/>
    <x v="23"/>
  </r>
  <r>
    <s v="ORD01619"/>
    <d v="2023-11-07T00:00:00"/>
    <x v="518"/>
    <x v="240"/>
    <n v="133"/>
    <s v="INV01619"/>
    <n v="133"/>
    <n v="488.43360000000007"/>
    <m/>
    <m/>
    <m/>
    <m/>
    <m/>
    <n v="488.43360000000007"/>
    <d v="2023-06-30T00:00:00"/>
    <n v="0"/>
    <n v="0"/>
    <n v="0"/>
    <n v="0"/>
    <n v="0"/>
    <n v="0"/>
    <n v="0"/>
    <x v="0"/>
    <n v="64961.668800000007"/>
    <n v="64961.668800000007"/>
    <n v="0"/>
    <n v="0"/>
    <x v="0"/>
    <x v="0"/>
  </r>
  <r>
    <s v="ORD01620"/>
    <d v="2024-10-18T00:00:00"/>
    <x v="311"/>
    <x v="12"/>
    <n v="61"/>
    <s v="INV01620"/>
    <n v="61"/>
    <n v="689.58720000000005"/>
    <m/>
    <m/>
    <m/>
    <m/>
    <m/>
    <n v="689.58720000000005"/>
    <d v="2023-10-25T00:00:00"/>
    <n v="0"/>
    <n v="0"/>
    <n v="0"/>
    <n v="0"/>
    <n v="0"/>
    <n v="0"/>
    <n v="0"/>
    <x v="0"/>
    <n v="42064.819200000005"/>
    <n v="42064.819200000005"/>
    <n v="0"/>
    <n v="0"/>
    <x v="0"/>
    <x v="5"/>
  </r>
  <r>
    <s v="ORD01621"/>
    <d v="2024-06-04T00:00:00"/>
    <x v="680"/>
    <x v="149"/>
    <n v="192"/>
    <s v="INV01621"/>
    <n v="192"/>
    <n v="1146.7456000000002"/>
    <m/>
    <m/>
    <m/>
    <m/>
    <m/>
    <n v="1146.7456000000002"/>
    <d v="2023-08-10T00:00:00"/>
    <n v="0"/>
    <n v="0"/>
    <n v="0"/>
    <n v="0"/>
    <n v="0"/>
    <n v="0"/>
    <n v="0"/>
    <x v="0"/>
    <n v="220175.15520000004"/>
    <n v="220175.15520000004"/>
    <n v="0"/>
    <n v="0"/>
    <x v="0"/>
    <x v="16"/>
  </r>
  <r>
    <s v="ORD01622"/>
    <d v="2023-02-28T00:00:00"/>
    <x v="708"/>
    <x v="170"/>
    <n v="161"/>
    <s v="INV01622"/>
    <n v="161"/>
    <n v="770.64570000000003"/>
    <m/>
    <m/>
    <m/>
    <m/>
    <m/>
    <n v="770.64570000000003"/>
    <d v="2023-01-15T00:00:00"/>
    <n v="0"/>
    <n v="0"/>
    <n v="0"/>
    <n v="0"/>
    <n v="0"/>
    <n v="0"/>
    <n v="0"/>
    <x v="0"/>
    <n v="124073.9577"/>
    <n v="124073.9577"/>
    <n v="0"/>
    <n v="0"/>
    <x v="0"/>
    <x v="11"/>
  </r>
  <r>
    <s v="ORD01623"/>
    <d v="2024-11-15T00:00:00"/>
    <x v="189"/>
    <x v="296"/>
    <n v="173"/>
    <s v="INV01623"/>
    <n v="173"/>
    <n v="724.16120000000001"/>
    <m/>
    <m/>
    <m/>
    <m/>
    <m/>
    <n v="724.16120000000001"/>
    <d v="2023-04-28T00:00:00"/>
    <n v="0"/>
    <n v="0"/>
    <n v="0"/>
    <n v="0"/>
    <n v="0"/>
    <n v="0"/>
    <n v="0"/>
    <x v="0"/>
    <n v="125279.8876"/>
    <n v="125279.8876"/>
    <n v="0"/>
    <n v="0"/>
    <x v="0"/>
    <x v="4"/>
  </r>
  <r>
    <s v="ORD01624"/>
    <d v="2023-09-26T00:00:00"/>
    <x v="560"/>
    <x v="5"/>
    <n v="5"/>
    <s v="INV01624"/>
    <n v="5"/>
    <n v="1058.3499999999999"/>
    <m/>
    <m/>
    <m/>
    <m/>
    <m/>
    <n v="1058.3499999999999"/>
    <d v="2023-07-29T00:00:00"/>
    <n v="0"/>
    <n v="0"/>
    <n v="0"/>
    <n v="0"/>
    <n v="0"/>
    <n v="0"/>
    <n v="0"/>
    <x v="0"/>
    <n v="5291.75"/>
    <n v="5291.75"/>
    <n v="0"/>
    <n v="0"/>
    <x v="0"/>
    <x v="18"/>
  </r>
  <r>
    <s v="ORD01625"/>
    <d v="2024-01-31T00:00:00"/>
    <x v="698"/>
    <x v="275"/>
    <n v="118"/>
    <s v="INV01625"/>
    <n v="118"/>
    <n v="797.23339999999996"/>
    <n v="11"/>
    <d v="2023-10-05T00:00:00"/>
    <m/>
    <m/>
    <m/>
    <n v="797.23339999999996"/>
    <d v="2023-06-08T00:00:00"/>
    <n v="0"/>
    <n v="0"/>
    <n v="0"/>
    <n v="0"/>
    <n v="0"/>
    <n v="0"/>
    <n v="0"/>
    <x v="0"/>
    <n v="94073.541199999992"/>
    <n v="94073.541199999992"/>
    <n v="0"/>
    <n v="0"/>
    <x v="0"/>
    <x v="15"/>
  </r>
  <r>
    <s v="ORD01626"/>
    <d v="2023-12-28T00:00:00"/>
    <x v="163"/>
    <x v="195"/>
    <n v="131"/>
    <s v="INV01626"/>
    <n v="131"/>
    <n v="825.40440000000001"/>
    <n v="3"/>
    <d v="2023-02-17T00:00:00"/>
    <m/>
    <m/>
    <m/>
    <n v="825.40440000000001"/>
    <d v="2023-06-28T00:00:00"/>
    <n v="0"/>
    <n v="0"/>
    <n v="0"/>
    <n v="0"/>
    <n v="0"/>
    <n v="0"/>
    <n v="0"/>
    <x v="0"/>
    <n v="108127.9764"/>
    <n v="108127.9764"/>
    <n v="0"/>
    <n v="0"/>
    <x v="0"/>
    <x v="20"/>
  </r>
  <r>
    <s v="ORD01627"/>
    <d v="2024-07-28T00:00:00"/>
    <x v="709"/>
    <x v="125"/>
    <n v="24"/>
    <s v="INV01627"/>
    <n v="24"/>
    <n v="405.98"/>
    <n v="9"/>
    <d v="2023-05-24T00:00:00"/>
    <m/>
    <m/>
    <m/>
    <n v="405.98"/>
    <d v="2023-08-14T00:00:00"/>
    <n v="0"/>
    <n v="0"/>
    <n v="0"/>
    <n v="0"/>
    <n v="0"/>
    <n v="0"/>
    <n v="0"/>
    <x v="0"/>
    <n v="9743.52"/>
    <n v="9743.52"/>
    <n v="0"/>
    <n v="0"/>
    <x v="0"/>
    <x v="21"/>
  </r>
  <r>
    <s v="ORD01628"/>
    <d v="2024-05-15T00:00:00"/>
    <x v="599"/>
    <x v="265"/>
    <n v="131"/>
    <s v="INV01628"/>
    <n v="131"/>
    <n v="224.95167111671211"/>
    <m/>
    <m/>
    <m/>
    <m/>
    <m/>
    <n v="223.6044"/>
    <d v="2023-06-14T00:00:00"/>
    <n v="0"/>
    <n v="0"/>
    <n v="1"/>
    <n v="0"/>
    <n v="0"/>
    <n v="0"/>
    <n v="0"/>
    <x v="1"/>
    <n v="29468.668916289287"/>
    <n v="29292.1764"/>
    <n v="176.49251628928687"/>
    <n v="4"/>
    <x v="1"/>
    <x v="13"/>
  </r>
  <r>
    <s v="ORD01629"/>
    <d v="2024-11-28T00:00:00"/>
    <x v="11"/>
    <x v="106"/>
    <n v="186"/>
    <s v="INV01629"/>
    <n v="186"/>
    <n v="652.1472"/>
    <m/>
    <m/>
    <m/>
    <m/>
    <m/>
    <n v="652.1472"/>
    <d v="2023-02-02T00:00:00"/>
    <n v="0"/>
    <n v="0"/>
    <n v="0"/>
    <n v="0"/>
    <n v="0"/>
    <n v="0"/>
    <n v="0"/>
    <x v="0"/>
    <n v="121299.3792"/>
    <n v="121299.3792"/>
    <n v="0"/>
    <n v="0"/>
    <x v="0"/>
    <x v="4"/>
  </r>
  <r>
    <s v="ORD01630"/>
    <d v="2023-08-07T00:00:00"/>
    <x v="651"/>
    <x v="100"/>
    <n v="121"/>
    <s v="INV01630"/>
    <n v="116"/>
    <n v="1231.9933000000001"/>
    <m/>
    <m/>
    <m/>
    <m/>
    <m/>
    <n v="1231.9933000000001"/>
    <d v="2023-01-08T00:00:00"/>
    <n v="0"/>
    <n v="1"/>
    <n v="0"/>
    <n v="0"/>
    <n v="0"/>
    <n v="0"/>
    <n v="0"/>
    <x v="1"/>
    <n v="142911.22280000002"/>
    <n v="149071.1893"/>
    <n v="-6159.9664999999804"/>
    <n v="8"/>
    <x v="2"/>
    <x v="12"/>
  </r>
  <r>
    <s v="ORD01631"/>
    <d v="2024-03-30T00:00:00"/>
    <x v="555"/>
    <x v="288"/>
    <n v="181"/>
    <s v="INV01631"/>
    <n v="181"/>
    <n v="907.24260000000004"/>
    <n v="13"/>
    <d v="2023-11-17T00:00:00"/>
    <m/>
    <m/>
    <m/>
    <n v="907.24260000000004"/>
    <d v="2023-10-23T00:00:00"/>
    <n v="0"/>
    <n v="0"/>
    <n v="0"/>
    <n v="0"/>
    <n v="0"/>
    <n v="0"/>
    <n v="0"/>
    <x v="0"/>
    <n v="164210.9106"/>
    <n v="164210.9106"/>
    <n v="0"/>
    <n v="0"/>
    <x v="0"/>
    <x v="6"/>
  </r>
  <r>
    <s v="ORD01632"/>
    <d v="2023-04-24T00:00:00"/>
    <x v="317"/>
    <x v="10"/>
    <n v="151"/>
    <s v="INV01632"/>
    <n v="151"/>
    <n v="461.69279999999998"/>
    <m/>
    <m/>
    <m/>
    <m/>
    <m/>
    <n v="461.69279999999998"/>
    <d v="2023-04-15T00:00:00"/>
    <n v="0"/>
    <n v="0"/>
    <n v="0"/>
    <n v="0"/>
    <n v="0"/>
    <n v="0"/>
    <n v="0"/>
    <x v="0"/>
    <n v="69715.612800000003"/>
    <n v="69715.612800000003"/>
    <n v="0"/>
    <n v="0"/>
    <x v="0"/>
    <x v="23"/>
  </r>
  <r>
    <s v="ORD01633"/>
    <d v="2024-11-18T00:00:00"/>
    <x v="680"/>
    <x v="124"/>
    <n v="183"/>
    <s v="INV01633"/>
    <n v="183"/>
    <n v="381.97550000000001"/>
    <m/>
    <m/>
    <m/>
    <m/>
    <m/>
    <n v="381.97550000000001"/>
    <d v="2023-05-19T00:00:00"/>
    <n v="0"/>
    <n v="0"/>
    <n v="0"/>
    <n v="0"/>
    <n v="0"/>
    <n v="0"/>
    <n v="0"/>
    <x v="0"/>
    <n v="69901.516499999998"/>
    <n v="69901.516499999998"/>
    <n v="0"/>
    <n v="0"/>
    <x v="0"/>
    <x v="4"/>
  </r>
  <r>
    <s v="ORD01634"/>
    <d v="2023-04-27T00:00:00"/>
    <x v="710"/>
    <x v="189"/>
    <n v="39"/>
    <s v="INV01634"/>
    <n v="39"/>
    <n v="75.847200000000001"/>
    <m/>
    <m/>
    <m/>
    <m/>
    <m/>
    <n v="75.847200000000001"/>
    <d v="2023-03-06T00:00:00"/>
    <n v="0"/>
    <n v="0"/>
    <n v="0"/>
    <n v="0"/>
    <n v="0"/>
    <n v="0"/>
    <n v="0"/>
    <x v="0"/>
    <n v="2958.0408000000002"/>
    <n v="2958.0408000000002"/>
    <n v="0"/>
    <n v="0"/>
    <x v="0"/>
    <x v="23"/>
  </r>
  <r>
    <s v="ORD01635"/>
    <d v="2023-08-25T00:00:00"/>
    <x v="482"/>
    <x v="93"/>
    <n v="23"/>
    <s v="INV01635"/>
    <n v="32"/>
    <n v="432.839"/>
    <m/>
    <m/>
    <m/>
    <m/>
    <m/>
    <n v="432.839"/>
    <d v="2023-05-02T00:00:00"/>
    <n v="0"/>
    <n v="1"/>
    <n v="0"/>
    <n v="0"/>
    <n v="0"/>
    <n v="0"/>
    <n v="0"/>
    <x v="1"/>
    <n v="13850.848"/>
    <n v="9955.2970000000005"/>
    <n v="3895.5509999999995"/>
    <n v="8"/>
    <x v="2"/>
    <x v="12"/>
  </r>
  <r>
    <s v="ORD01636"/>
    <d v="2024-03-20T00:00:00"/>
    <x v="135"/>
    <x v="15"/>
    <n v="82"/>
    <s v="INV01636"/>
    <n v="82"/>
    <n v="1039.0536"/>
    <m/>
    <m/>
    <m/>
    <m/>
    <m/>
    <n v="1039.0536"/>
    <d v="2023-05-08T00:00:00"/>
    <n v="0"/>
    <n v="0"/>
    <n v="0"/>
    <n v="0"/>
    <n v="0"/>
    <n v="0"/>
    <n v="0"/>
    <x v="0"/>
    <n v="85202.395199999999"/>
    <n v="85202.395199999999"/>
    <n v="0"/>
    <n v="0"/>
    <x v="0"/>
    <x v="6"/>
  </r>
  <r>
    <s v="ORD01637"/>
    <d v="2024-11-17T00:00:00"/>
    <x v="196"/>
    <x v="182"/>
    <n v="12"/>
    <s v="INV01637"/>
    <n v="12"/>
    <n v="926.52549999999997"/>
    <m/>
    <m/>
    <m/>
    <m/>
    <m/>
    <n v="926.52549999999997"/>
    <d v="2023-09-14T00:00:00"/>
    <n v="0"/>
    <n v="0"/>
    <n v="0"/>
    <n v="0"/>
    <n v="0"/>
    <n v="0"/>
    <n v="0"/>
    <x v="0"/>
    <n v="11118.306"/>
    <n v="11118.306"/>
    <n v="0"/>
    <n v="0"/>
    <x v="0"/>
    <x v="4"/>
  </r>
  <r>
    <s v="ORD01638"/>
    <d v="2023-10-06T00:00:00"/>
    <x v="703"/>
    <x v="117"/>
    <n v="122"/>
    <s v="INV01638"/>
    <n v="122"/>
    <n v="214.6182"/>
    <m/>
    <m/>
    <m/>
    <m/>
    <m/>
    <n v="214.6182"/>
    <d v="2023-07-09T00:00:00"/>
    <n v="0"/>
    <n v="0"/>
    <n v="0"/>
    <n v="0"/>
    <n v="0"/>
    <n v="0"/>
    <n v="0"/>
    <x v="0"/>
    <n v="26183.420399999999"/>
    <n v="26183.420399999999"/>
    <n v="0"/>
    <n v="0"/>
    <x v="0"/>
    <x v="19"/>
  </r>
  <r>
    <s v="ORD01639"/>
    <d v="2023-12-14T00:00:00"/>
    <x v="588"/>
    <x v="111"/>
    <n v="47"/>
    <s v="INV01639"/>
    <n v="47"/>
    <n v="147.17669999999998"/>
    <m/>
    <m/>
    <m/>
    <m/>
    <m/>
    <n v="147.17669999999998"/>
    <d v="2023-04-23T00:00:00"/>
    <n v="0"/>
    <n v="0"/>
    <n v="0"/>
    <n v="0"/>
    <n v="0"/>
    <n v="0"/>
    <n v="0"/>
    <x v="0"/>
    <n v="6917.3048999999992"/>
    <n v="6917.3048999999992"/>
    <n v="0"/>
    <n v="0"/>
    <x v="0"/>
    <x v="20"/>
  </r>
  <r>
    <s v="ORD01640"/>
    <d v="2023-05-27T00:00:00"/>
    <x v="137"/>
    <x v="24"/>
    <n v="87"/>
    <s v="INV01640"/>
    <n v="87"/>
    <n v="421.92750000000001"/>
    <m/>
    <m/>
    <m/>
    <m/>
    <m/>
    <n v="421.92750000000001"/>
    <d v="2023-02-12T00:00:00"/>
    <n v="0"/>
    <n v="0"/>
    <n v="0"/>
    <n v="0"/>
    <n v="0"/>
    <n v="0"/>
    <n v="0"/>
    <x v="0"/>
    <n v="36707.692499999997"/>
    <n v="36707.692499999997"/>
    <n v="0"/>
    <n v="0"/>
    <x v="0"/>
    <x v="7"/>
  </r>
  <r>
    <s v="ORD01641"/>
    <d v="2024-12-28T00:00:00"/>
    <x v="524"/>
    <x v="222"/>
    <n v="87"/>
    <s v="INV01641"/>
    <n v="87"/>
    <n v="273.24680000000001"/>
    <m/>
    <m/>
    <m/>
    <m/>
    <m/>
    <n v="273.24680000000001"/>
    <d v="2023-06-26T00:00:00"/>
    <n v="0"/>
    <n v="0"/>
    <n v="0"/>
    <n v="0"/>
    <n v="0"/>
    <n v="0"/>
    <n v="0"/>
    <x v="0"/>
    <n v="23772.471600000001"/>
    <n v="23772.471600000001"/>
    <n v="0"/>
    <n v="0"/>
    <x v="0"/>
    <x v="1"/>
  </r>
  <r>
    <s v="ORD01642"/>
    <d v="2024-02-11T00:00:00"/>
    <x v="680"/>
    <x v="262"/>
    <n v="97"/>
    <s v="INV01642"/>
    <n v="97"/>
    <n v="251.7122"/>
    <m/>
    <m/>
    <m/>
    <m/>
    <m/>
    <n v="251.7122"/>
    <d v="2023-06-11T00:00:00"/>
    <n v="0"/>
    <n v="0"/>
    <n v="0"/>
    <n v="0"/>
    <n v="0"/>
    <n v="0"/>
    <n v="0"/>
    <x v="0"/>
    <n v="24416.0834"/>
    <n v="24416.0834"/>
    <n v="0"/>
    <n v="0"/>
    <x v="0"/>
    <x v="3"/>
  </r>
  <r>
    <s v="ORD01643"/>
    <d v="2023-12-01T00:00:00"/>
    <x v="276"/>
    <x v="281"/>
    <n v="128"/>
    <s v="INV01643"/>
    <n v="128"/>
    <n v="696.93029999999999"/>
    <m/>
    <m/>
    <m/>
    <m/>
    <m/>
    <n v="696.93029999999999"/>
    <d v="2023-08-12T00:00:00"/>
    <n v="0"/>
    <n v="0"/>
    <n v="0"/>
    <n v="0"/>
    <n v="0"/>
    <n v="0"/>
    <n v="0"/>
    <x v="0"/>
    <n v="89207.078399999999"/>
    <n v="89207.078399999999"/>
    <n v="0"/>
    <n v="0"/>
    <x v="0"/>
    <x v="20"/>
  </r>
  <r>
    <s v="ORD01644"/>
    <d v="2024-04-16T00:00:00"/>
    <x v="504"/>
    <x v="264"/>
    <n v="134"/>
    <s v="INV01644"/>
    <n v="134"/>
    <n v="230.7345"/>
    <m/>
    <m/>
    <m/>
    <m/>
    <m/>
    <n v="230.7345"/>
    <d v="2023-08-04T00:00:00"/>
    <n v="0"/>
    <n v="0"/>
    <n v="0"/>
    <n v="0"/>
    <n v="0"/>
    <n v="0"/>
    <n v="0"/>
    <x v="0"/>
    <n v="30918.422999999999"/>
    <n v="30918.422999999999"/>
    <n v="0"/>
    <n v="0"/>
    <x v="0"/>
    <x v="9"/>
  </r>
  <r>
    <s v="ORD01645"/>
    <d v="2023-07-26T00:00:00"/>
    <x v="254"/>
    <x v="34"/>
    <n v="115"/>
    <s v="INV01645"/>
    <n v="115"/>
    <n v="397.19560000000001"/>
    <m/>
    <m/>
    <m/>
    <m/>
    <m/>
    <n v="397.19560000000001"/>
    <d v="2023-01-06T00:00:00"/>
    <n v="0"/>
    <n v="0"/>
    <n v="0"/>
    <n v="0"/>
    <n v="0"/>
    <n v="0"/>
    <n v="0"/>
    <x v="0"/>
    <n v="45677.493999999999"/>
    <n v="45677.493999999999"/>
    <n v="0"/>
    <n v="0"/>
    <x v="0"/>
    <x v="10"/>
  </r>
  <r>
    <s v="ORD01646"/>
    <d v="2024-06-19T00:00:00"/>
    <x v="272"/>
    <x v="123"/>
    <n v="181"/>
    <s v="INV01646"/>
    <n v="181"/>
    <n v="618.375"/>
    <m/>
    <m/>
    <m/>
    <m/>
    <m/>
    <n v="618.375"/>
    <d v="2023-07-17T00:00:00"/>
    <n v="0"/>
    <n v="0"/>
    <n v="0"/>
    <n v="0"/>
    <n v="0"/>
    <n v="0"/>
    <n v="0"/>
    <x v="0"/>
    <n v="111925.875"/>
    <n v="111925.875"/>
    <n v="0"/>
    <n v="0"/>
    <x v="0"/>
    <x v="16"/>
  </r>
  <r>
    <s v="ORD01647"/>
    <d v="2024-01-09T00:00:00"/>
    <x v="252"/>
    <x v="37"/>
    <n v="10"/>
    <s v="INV01647"/>
    <n v="10"/>
    <n v="637.18399999999997"/>
    <m/>
    <m/>
    <m/>
    <m/>
    <m/>
    <n v="637.18399999999997"/>
    <d v="2023-09-06T00:00:00"/>
    <n v="0"/>
    <n v="0"/>
    <n v="0"/>
    <n v="0"/>
    <n v="0"/>
    <n v="0"/>
    <n v="0"/>
    <x v="0"/>
    <n v="6371.84"/>
    <n v="6371.84"/>
    <n v="0"/>
    <n v="0"/>
    <x v="0"/>
    <x v="15"/>
  </r>
  <r>
    <s v="ORD01648"/>
    <d v="2023-11-21T00:00:00"/>
    <x v="711"/>
    <x v="180"/>
    <n v="144"/>
    <s v="INV01648"/>
    <n v="144"/>
    <n v="977.22280000000001"/>
    <m/>
    <m/>
    <m/>
    <m/>
    <m/>
    <n v="977.22280000000001"/>
    <d v="2023-02-27T00:00:00"/>
    <n v="0"/>
    <n v="0"/>
    <n v="0"/>
    <n v="0"/>
    <n v="0"/>
    <n v="0"/>
    <n v="0"/>
    <x v="0"/>
    <n v="140720.08319999999"/>
    <n v="140720.08319999999"/>
    <n v="0"/>
    <n v="0"/>
    <x v="0"/>
    <x v="0"/>
  </r>
  <r>
    <s v="ORD01649"/>
    <d v="2024-01-27T00:00:00"/>
    <x v="549"/>
    <x v="224"/>
    <n v="102"/>
    <s v="INV01649"/>
    <n v="102"/>
    <n v="377.08350000000002"/>
    <m/>
    <m/>
    <m/>
    <m/>
    <m/>
    <n v="377.08350000000002"/>
    <d v="2023-05-18T00:00:00"/>
    <n v="0"/>
    <n v="0"/>
    <n v="0"/>
    <n v="0"/>
    <n v="0"/>
    <n v="0"/>
    <n v="0"/>
    <x v="0"/>
    <n v="38462.517"/>
    <n v="38462.517"/>
    <n v="0"/>
    <n v="0"/>
    <x v="0"/>
    <x v="15"/>
  </r>
  <r>
    <s v="ORD01650"/>
    <d v="2024-03-23T00:00:00"/>
    <x v="513"/>
    <x v="4"/>
    <n v="7"/>
    <s v="INV01650"/>
    <n v="7"/>
    <n v="353.52719999999999"/>
    <m/>
    <m/>
    <m/>
    <m/>
    <m/>
    <n v="353.52719999999999"/>
    <d v="2023-09-13T00:00:00"/>
    <n v="0"/>
    <n v="0"/>
    <n v="0"/>
    <n v="0"/>
    <n v="0"/>
    <n v="0"/>
    <n v="0"/>
    <x v="0"/>
    <n v="2474.6904"/>
    <n v="2474.6904"/>
    <n v="0"/>
    <n v="0"/>
    <x v="0"/>
    <x v="6"/>
  </r>
  <r>
    <s v="ORD01651"/>
    <d v="2024-12-27T00:00:00"/>
    <x v="228"/>
    <x v="124"/>
    <n v="9"/>
    <s v="INV01651"/>
    <n v="9"/>
    <n v="381.97550000000001"/>
    <m/>
    <m/>
    <m/>
    <m/>
    <m/>
    <n v="381.97550000000001"/>
    <d v="2023-05-19T00:00:00"/>
    <n v="0"/>
    <n v="0"/>
    <n v="0"/>
    <n v="0"/>
    <n v="0"/>
    <n v="0"/>
    <n v="0"/>
    <x v="0"/>
    <n v="3437.7795000000001"/>
    <n v="3437.7795000000001"/>
    <n v="0"/>
    <n v="0"/>
    <x v="0"/>
    <x v="1"/>
  </r>
  <r>
    <s v="ORD01652"/>
    <d v="2023-08-20T00:00:00"/>
    <x v="438"/>
    <x v="45"/>
    <n v="124"/>
    <s v="INV01652"/>
    <n v="124"/>
    <n v="169.22900000000001"/>
    <m/>
    <m/>
    <m/>
    <m/>
    <m/>
    <n v="169.22900000000001"/>
    <d v="2023-04-23T00:00:00"/>
    <n v="0"/>
    <n v="0"/>
    <n v="0"/>
    <n v="0"/>
    <n v="0"/>
    <n v="0"/>
    <n v="0"/>
    <x v="0"/>
    <n v="20984.396000000001"/>
    <n v="20984.396000000001"/>
    <n v="0"/>
    <n v="0"/>
    <x v="0"/>
    <x v="12"/>
  </r>
  <r>
    <s v="ORD01653"/>
    <d v="2023-01-13T00:00:00"/>
    <x v="653"/>
    <x v="141"/>
    <n v="139"/>
    <s v="INV01653"/>
    <n v="139"/>
    <n v="778.26"/>
    <n v="10"/>
    <d v="2024-08-27T00:00:00"/>
    <m/>
    <m/>
    <m/>
    <n v="778.26"/>
    <d v="2022-07-30T00:00:00"/>
    <n v="0"/>
    <n v="0"/>
    <n v="0"/>
    <n v="0"/>
    <n v="0"/>
    <n v="1"/>
    <n v="0"/>
    <x v="1"/>
    <n v="108178.14"/>
    <n v="108178.14"/>
    <n v="0"/>
    <n v="2"/>
    <x v="1"/>
    <x v="8"/>
  </r>
  <r>
    <s v="ORD01654"/>
    <d v="2023-11-09T00:00:00"/>
    <x v="427"/>
    <x v="209"/>
    <n v="136"/>
    <s v="INV01654"/>
    <n v="136"/>
    <n v="880.66300000000001"/>
    <m/>
    <m/>
    <m/>
    <m/>
    <m/>
    <n v="880.66300000000001"/>
    <d v="2023-02-09T00:00:00"/>
    <n v="0"/>
    <n v="0"/>
    <n v="0"/>
    <n v="0"/>
    <n v="0"/>
    <n v="0"/>
    <n v="0"/>
    <x v="0"/>
    <n v="119770.16800000001"/>
    <n v="119770.16800000001"/>
    <n v="0"/>
    <n v="0"/>
    <x v="0"/>
    <x v="0"/>
  </r>
  <r>
    <s v="ORD01655"/>
    <d v="2023-11-13T00:00:00"/>
    <x v="587"/>
    <x v="196"/>
    <n v="165"/>
    <s v="INV01655"/>
    <n v="165"/>
    <n v="1099.82"/>
    <m/>
    <m/>
    <m/>
    <m/>
    <m/>
    <n v="1099.82"/>
    <d v="2023-02-05T00:00:00"/>
    <n v="0"/>
    <n v="0"/>
    <n v="0"/>
    <n v="0"/>
    <n v="0"/>
    <n v="0"/>
    <n v="0"/>
    <x v="0"/>
    <n v="181470.3"/>
    <n v="181470.3"/>
    <n v="0"/>
    <n v="0"/>
    <x v="0"/>
    <x v="0"/>
  </r>
  <r>
    <s v="ORD01656"/>
    <d v="2024-10-04T00:00:00"/>
    <x v="712"/>
    <x v="27"/>
    <n v="188"/>
    <s v="INV01656"/>
    <n v="188"/>
    <n v="715.86900000000003"/>
    <n v="7"/>
    <d v="2024-03-01T00:00:00"/>
    <m/>
    <m/>
    <m/>
    <n v="715.86900000000003"/>
    <d v="2023-08-02T00:00:00"/>
    <n v="0"/>
    <n v="0"/>
    <n v="0"/>
    <n v="0"/>
    <n v="0"/>
    <n v="0"/>
    <n v="0"/>
    <x v="0"/>
    <n v="134583.372"/>
    <n v="134583.372"/>
    <n v="0"/>
    <n v="0"/>
    <x v="0"/>
    <x v="5"/>
  </r>
  <r>
    <s v="ORD01657"/>
    <d v="2023-03-04T00:00:00"/>
    <x v="666"/>
    <x v="149"/>
    <n v="64"/>
    <s v="INV01657"/>
    <n v="64"/>
    <n v="1146.7456000000002"/>
    <m/>
    <m/>
    <m/>
    <m/>
    <m/>
    <n v="1146.7456000000002"/>
    <d v="2022-11-19T00:00:00"/>
    <n v="0"/>
    <n v="0"/>
    <n v="0"/>
    <n v="0"/>
    <n v="0"/>
    <n v="0"/>
    <n v="0"/>
    <x v="0"/>
    <n v="73391.718400000012"/>
    <n v="73391.718400000012"/>
    <n v="0"/>
    <n v="0"/>
    <x v="0"/>
    <x v="17"/>
  </r>
  <r>
    <s v="ORD01658"/>
    <d v="2023-12-14T00:00:00"/>
    <x v="290"/>
    <x v="26"/>
    <n v="173"/>
    <s v="INV01658"/>
    <n v="173"/>
    <n v="129.17519999999999"/>
    <m/>
    <m/>
    <m/>
    <m/>
    <m/>
    <n v="129.17519999999999"/>
    <d v="2023-09-15T00:00:00"/>
    <n v="0"/>
    <n v="0"/>
    <n v="0"/>
    <n v="0"/>
    <n v="0"/>
    <n v="0"/>
    <n v="0"/>
    <x v="0"/>
    <n v="22347.309599999997"/>
    <n v="22347.309599999997"/>
    <n v="0"/>
    <n v="0"/>
    <x v="0"/>
    <x v="20"/>
  </r>
  <r>
    <s v="ORD01659"/>
    <d v="2023-09-19T00:00:00"/>
    <x v="369"/>
    <x v="223"/>
    <n v="22"/>
    <s v="INV01659"/>
    <n v="22"/>
    <n v="919.86659999999995"/>
    <m/>
    <m/>
    <m/>
    <m/>
    <m/>
    <n v="919.86659999999995"/>
    <d v="2023-07-01T00:00:00"/>
    <n v="0"/>
    <n v="0"/>
    <n v="0"/>
    <n v="0"/>
    <n v="0"/>
    <n v="0"/>
    <n v="0"/>
    <x v="0"/>
    <n v="20237.065199999997"/>
    <n v="20237.065199999997"/>
    <n v="0"/>
    <n v="0"/>
    <x v="0"/>
    <x v="18"/>
  </r>
  <r>
    <s v="ORD01660"/>
    <d v="2023-09-27T00:00:00"/>
    <x v="585"/>
    <x v="239"/>
    <n v="43"/>
    <s v="INV01660"/>
    <n v="43"/>
    <n v="1197.9306999999999"/>
    <m/>
    <m/>
    <m/>
    <m/>
    <m/>
    <n v="1197.9306999999999"/>
    <d v="2023-06-12T00:00:00"/>
    <n v="0"/>
    <n v="0"/>
    <n v="0"/>
    <n v="0"/>
    <n v="0"/>
    <n v="0"/>
    <n v="0"/>
    <x v="0"/>
    <n v="51511.020099999994"/>
    <n v="51511.020099999994"/>
    <n v="0"/>
    <n v="0"/>
    <x v="0"/>
    <x v="18"/>
  </r>
  <r>
    <s v="ORD01661"/>
    <d v="2024-05-04T00:00:00"/>
    <x v="141"/>
    <x v="69"/>
    <n v="194"/>
    <s v="INV01661"/>
    <n v="194"/>
    <n v="876.91119523826444"/>
    <m/>
    <m/>
    <m/>
    <m/>
    <m/>
    <n v="876.32749999999999"/>
    <d v="2023-06-29T00:00:00"/>
    <n v="0"/>
    <n v="0"/>
    <n v="1"/>
    <n v="0"/>
    <n v="0"/>
    <n v="0"/>
    <n v="0"/>
    <x v="1"/>
    <n v="170120.7718762233"/>
    <n v="170007.535"/>
    <n v="113.23687622329453"/>
    <n v="4"/>
    <x v="1"/>
    <x v="13"/>
  </r>
  <r>
    <s v="ORD01662"/>
    <d v="2023-04-22T00:00:00"/>
    <x v="97"/>
    <x v="246"/>
    <n v="23"/>
    <s v="INV01662"/>
    <n v="23"/>
    <n v="471.65280000000001"/>
    <m/>
    <m/>
    <m/>
    <m/>
    <m/>
    <n v="471.65280000000001"/>
    <d v="2023-01-03T00:00:00"/>
    <n v="0"/>
    <n v="0"/>
    <n v="0"/>
    <n v="0"/>
    <n v="0"/>
    <n v="0"/>
    <n v="0"/>
    <x v="0"/>
    <n v="10848.0144"/>
    <n v="10848.0144"/>
    <n v="0"/>
    <n v="0"/>
    <x v="0"/>
    <x v="23"/>
  </r>
  <r>
    <s v="ORD01663"/>
    <d v="2024-10-01T00:00:00"/>
    <x v="521"/>
    <x v="11"/>
    <n v="96"/>
    <s v="INV01663"/>
    <n v="96"/>
    <n v="687.65840000000003"/>
    <m/>
    <m/>
    <m/>
    <m/>
    <m/>
    <n v="687.65840000000003"/>
    <d v="2023-08-01T00:00:00"/>
    <n v="0"/>
    <n v="0"/>
    <n v="0"/>
    <n v="0"/>
    <n v="0"/>
    <n v="0"/>
    <n v="0"/>
    <x v="0"/>
    <n v="66015.206399999995"/>
    <n v="66015.206399999995"/>
    <n v="0"/>
    <n v="0"/>
    <x v="0"/>
    <x v="5"/>
  </r>
  <r>
    <s v="ORD01664"/>
    <d v="2023-12-10T00:00:00"/>
    <x v="254"/>
    <x v="216"/>
    <n v="160"/>
    <s v="INV01664"/>
    <n v="160"/>
    <n v="828.36189999999999"/>
    <m/>
    <m/>
    <m/>
    <m/>
    <m/>
    <n v="828.36189999999999"/>
    <d v="2023-07-30T00:00:00"/>
    <n v="0"/>
    <n v="0"/>
    <n v="0"/>
    <n v="0"/>
    <n v="0"/>
    <n v="0"/>
    <n v="0"/>
    <x v="0"/>
    <n v="132537.90400000001"/>
    <n v="132537.90400000001"/>
    <n v="0"/>
    <n v="0"/>
    <x v="0"/>
    <x v="20"/>
  </r>
  <r>
    <s v="ORD01665"/>
    <d v="2023-11-12T00:00:00"/>
    <x v="215"/>
    <x v="191"/>
    <n v="191"/>
    <s v="INV01665"/>
    <n v="191"/>
    <n v="355.32000000000005"/>
    <m/>
    <m/>
    <m/>
    <m/>
    <m/>
    <n v="355.32000000000005"/>
    <d v="2023-05-12T00:00:00"/>
    <n v="0"/>
    <n v="0"/>
    <n v="0"/>
    <n v="0"/>
    <n v="0"/>
    <n v="0"/>
    <n v="0"/>
    <x v="0"/>
    <n v="67866.12000000001"/>
    <n v="67866.12000000001"/>
    <n v="0"/>
    <n v="0"/>
    <x v="0"/>
    <x v="0"/>
  </r>
  <r>
    <s v="ORD01666"/>
    <d v="2024-10-21T00:00:00"/>
    <x v="471"/>
    <x v="272"/>
    <n v="9"/>
    <s v="INV01666"/>
    <n v="9"/>
    <n v="852.46560000000011"/>
    <m/>
    <m/>
    <m/>
    <m/>
    <m/>
    <n v="852.46560000000011"/>
    <d v="2023-03-11T00:00:00"/>
    <n v="0"/>
    <n v="0"/>
    <n v="0"/>
    <n v="0"/>
    <n v="0"/>
    <n v="0"/>
    <n v="0"/>
    <x v="0"/>
    <n v="7672.1904000000013"/>
    <n v="7672.1904000000013"/>
    <n v="0"/>
    <n v="0"/>
    <x v="0"/>
    <x v="5"/>
  </r>
  <r>
    <s v="ORD01667"/>
    <d v="2023-01-27T00:00:00"/>
    <x v="202"/>
    <x v="231"/>
    <n v="183"/>
    <s v="INV01667"/>
    <n v="183"/>
    <n v="825.4"/>
    <m/>
    <m/>
    <m/>
    <m/>
    <m/>
    <n v="825.4"/>
    <d v="2022-05-31T00:00:00"/>
    <n v="0"/>
    <n v="0"/>
    <n v="0"/>
    <n v="0"/>
    <n v="0"/>
    <n v="0"/>
    <n v="0"/>
    <x v="0"/>
    <n v="151048.19999999998"/>
    <n v="151048.19999999998"/>
    <n v="0"/>
    <n v="0"/>
    <x v="0"/>
    <x v="8"/>
  </r>
  <r>
    <s v="ORD01668"/>
    <d v="2024-11-27T00:00:00"/>
    <x v="590"/>
    <x v="130"/>
    <n v="187"/>
    <s v="INV01668"/>
    <n v="187"/>
    <n v="58.98"/>
    <m/>
    <m/>
    <m/>
    <m/>
    <m/>
    <n v="58.98"/>
    <d v="2023-01-08T00:00:00"/>
    <n v="0"/>
    <n v="0"/>
    <n v="0"/>
    <n v="0"/>
    <n v="0"/>
    <n v="0"/>
    <n v="0"/>
    <x v="0"/>
    <n v="11029.26"/>
    <n v="11029.26"/>
    <n v="0"/>
    <n v="0"/>
    <x v="0"/>
    <x v="4"/>
  </r>
  <r>
    <s v="ORD01669"/>
    <d v="2024-08-07T00:00:00"/>
    <x v="553"/>
    <x v="161"/>
    <n v="30"/>
    <s v="INV01669"/>
    <n v="30"/>
    <n v="1006.8318"/>
    <n v="20"/>
    <d v="2023-12-28T00:00:00"/>
    <m/>
    <m/>
    <m/>
    <n v="1006.8318"/>
    <d v="2023-10-05T00:00:00"/>
    <n v="0"/>
    <n v="0"/>
    <n v="0"/>
    <n v="0"/>
    <n v="0"/>
    <n v="0"/>
    <n v="0"/>
    <x v="0"/>
    <n v="30204.954000000002"/>
    <n v="30204.954000000002"/>
    <n v="0"/>
    <n v="0"/>
    <x v="0"/>
    <x v="22"/>
  </r>
  <r>
    <s v="ORD01670"/>
    <d v="2023-06-27T00:00:00"/>
    <x v="421"/>
    <x v="78"/>
    <n v="113"/>
    <s v="INV01670"/>
    <n v="113"/>
    <n v="387.91860000000003"/>
    <m/>
    <m/>
    <m/>
    <m/>
    <m/>
    <n v="387.91860000000003"/>
    <d v="2023-05-04T00:00:00"/>
    <n v="0"/>
    <n v="0"/>
    <n v="0"/>
    <n v="0"/>
    <n v="0"/>
    <n v="0"/>
    <n v="0"/>
    <x v="0"/>
    <n v="43834.801800000001"/>
    <n v="43834.801800000001"/>
    <n v="0"/>
    <n v="0"/>
    <x v="0"/>
    <x v="14"/>
  </r>
  <r>
    <s v="ORD01671"/>
    <d v="2024-12-18T00:00:00"/>
    <x v="258"/>
    <x v="101"/>
    <n v="172"/>
    <s v="INV01671"/>
    <n v="172"/>
    <n v="1223.9694"/>
    <m/>
    <m/>
    <m/>
    <m/>
    <m/>
    <n v="1223.9694"/>
    <d v="2023-08-16T00:00:00"/>
    <n v="0"/>
    <n v="0"/>
    <n v="0"/>
    <n v="0"/>
    <n v="0"/>
    <n v="0"/>
    <n v="0"/>
    <x v="0"/>
    <n v="210522.73679999998"/>
    <n v="210522.73679999998"/>
    <n v="0"/>
    <n v="0"/>
    <x v="0"/>
    <x v="1"/>
  </r>
  <r>
    <s v="ORD01672"/>
    <d v="2023-05-17T00:00:00"/>
    <x v="236"/>
    <x v="1"/>
    <n v="100"/>
    <s v="INV01672"/>
    <n v="100"/>
    <n v="466.43099999999998"/>
    <m/>
    <m/>
    <m/>
    <m/>
    <m/>
    <n v="466.43099999999998"/>
    <d v="2022-11-17T00:00:00"/>
    <n v="0"/>
    <n v="0"/>
    <n v="0"/>
    <n v="0"/>
    <n v="0"/>
    <n v="0"/>
    <n v="0"/>
    <x v="0"/>
    <n v="46643.1"/>
    <n v="46643.1"/>
    <n v="0"/>
    <n v="0"/>
    <x v="0"/>
    <x v="7"/>
  </r>
  <r>
    <s v="ORD01673"/>
    <d v="2023-07-11T00:00:00"/>
    <x v="26"/>
    <x v="161"/>
    <n v="49"/>
    <s v="INV01673"/>
    <n v="49"/>
    <n v="1016.7027"/>
    <m/>
    <m/>
    <m/>
    <m/>
    <m/>
    <n v="1016.7027"/>
    <d v="2023-01-29T00:00:00"/>
    <n v="0"/>
    <n v="0"/>
    <n v="0"/>
    <n v="0"/>
    <n v="0"/>
    <n v="0"/>
    <n v="0"/>
    <x v="0"/>
    <n v="49818.4323"/>
    <n v="49818.4323"/>
    <n v="0"/>
    <n v="0"/>
    <x v="0"/>
    <x v="10"/>
  </r>
  <r>
    <s v="ORD01674"/>
    <d v="2024-07-09T00:00:00"/>
    <x v="352"/>
    <x v="119"/>
    <n v="152"/>
    <s v="INV01674"/>
    <n v="152"/>
    <n v="88.578000000000003"/>
    <m/>
    <m/>
    <m/>
    <m/>
    <m/>
    <n v="88.578000000000003"/>
    <d v="2023-06-30T00:00:00"/>
    <n v="0"/>
    <n v="0"/>
    <n v="0"/>
    <n v="0"/>
    <n v="0"/>
    <n v="0"/>
    <n v="0"/>
    <x v="0"/>
    <n v="13463.856"/>
    <n v="13463.856"/>
    <n v="0"/>
    <n v="0"/>
    <x v="0"/>
    <x v="21"/>
  </r>
  <r>
    <s v="ORD01675"/>
    <d v="2024-07-15T00:00:00"/>
    <x v="627"/>
    <x v="121"/>
    <n v="165"/>
    <s v="INV01675"/>
    <n v="165"/>
    <n v="1061.7264"/>
    <m/>
    <m/>
    <m/>
    <m/>
    <m/>
    <n v="1061.7264"/>
    <d v="2023-09-11T00:00:00"/>
    <n v="0"/>
    <n v="0"/>
    <n v="0"/>
    <n v="0"/>
    <n v="0"/>
    <n v="0"/>
    <n v="0"/>
    <x v="0"/>
    <n v="175184.856"/>
    <n v="175184.856"/>
    <n v="0"/>
    <n v="0"/>
    <x v="0"/>
    <x v="21"/>
  </r>
  <r>
    <s v="ORD01676"/>
    <d v="2024-04-29T00:00:00"/>
    <x v="221"/>
    <x v="41"/>
    <n v="4"/>
    <s v="INV01676"/>
    <n v="4"/>
    <n v="1211.7708"/>
    <m/>
    <m/>
    <m/>
    <m/>
    <m/>
    <n v="1211.7708"/>
    <d v="2023-09-24T00:00:00"/>
    <n v="0"/>
    <n v="0"/>
    <n v="0"/>
    <n v="0"/>
    <n v="0"/>
    <n v="0"/>
    <n v="0"/>
    <x v="0"/>
    <n v="4847.0832"/>
    <n v="4847.0832"/>
    <n v="0"/>
    <n v="0"/>
    <x v="0"/>
    <x v="9"/>
  </r>
  <r>
    <s v="ORD01677"/>
    <d v="2024-06-19T00:00:00"/>
    <x v="191"/>
    <x v="248"/>
    <n v="149"/>
    <s v="INV01677"/>
    <n v="149"/>
    <n v="226.88399999999999"/>
    <m/>
    <m/>
    <m/>
    <m/>
    <m/>
    <n v="226.88399999999999"/>
    <d v="2023-06-09T00:00:00"/>
    <n v="0"/>
    <n v="0"/>
    <n v="0"/>
    <n v="0"/>
    <n v="0"/>
    <n v="0"/>
    <n v="0"/>
    <x v="0"/>
    <n v="33805.716"/>
    <n v="33805.716"/>
    <n v="0"/>
    <n v="0"/>
    <x v="0"/>
    <x v="16"/>
  </r>
  <r>
    <s v="ORD01678"/>
    <d v="2023-10-09T00:00:00"/>
    <x v="459"/>
    <x v="27"/>
    <n v="38"/>
    <s v="INV01678"/>
    <n v="38"/>
    <n v="715.86900000000003"/>
    <m/>
    <m/>
    <m/>
    <m/>
    <m/>
    <n v="715.86900000000003"/>
    <d v="2023-08-02T00:00:00"/>
    <n v="0"/>
    <n v="0"/>
    <n v="0"/>
    <n v="0"/>
    <n v="0"/>
    <n v="0"/>
    <n v="0"/>
    <x v="0"/>
    <n v="27203.022000000001"/>
    <n v="27203.022000000001"/>
    <n v="0"/>
    <n v="0"/>
    <x v="0"/>
    <x v="19"/>
  </r>
  <r>
    <s v="ORD01679"/>
    <d v="2023-01-04T00:00:00"/>
    <x v="247"/>
    <x v="59"/>
    <n v="152"/>
    <s v="INV01679"/>
    <n v="152"/>
    <n v="933.82110000000011"/>
    <m/>
    <m/>
    <m/>
    <m/>
    <m/>
    <n v="933.82110000000011"/>
    <d v="2022-10-21T00:00:00"/>
    <n v="0"/>
    <n v="0"/>
    <n v="0"/>
    <n v="0"/>
    <n v="0"/>
    <n v="0"/>
    <n v="0"/>
    <x v="0"/>
    <n v="141940.80720000001"/>
    <n v="141940.80720000001"/>
    <n v="0"/>
    <n v="0"/>
    <x v="0"/>
    <x v="8"/>
  </r>
  <r>
    <s v="ORD01680"/>
    <d v="2024-09-13T00:00:00"/>
    <x v="429"/>
    <x v="66"/>
    <n v="22"/>
    <s v="INV01680"/>
    <n v="22"/>
    <n v="1160.5650000000001"/>
    <m/>
    <m/>
    <m/>
    <m/>
    <m/>
    <n v="1160.5650000000001"/>
    <d v="2023-05-09T00:00:00"/>
    <n v="0"/>
    <n v="0"/>
    <n v="0"/>
    <n v="0"/>
    <n v="0"/>
    <n v="0"/>
    <n v="0"/>
    <x v="0"/>
    <n v="25532.43"/>
    <n v="25532.43"/>
    <n v="0"/>
    <n v="0"/>
    <x v="0"/>
    <x v="2"/>
  </r>
  <r>
    <s v="ORD01681"/>
    <d v="2023-09-05T00:00:00"/>
    <x v="238"/>
    <x v="232"/>
    <n v="21"/>
    <s v="INV01681"/>
    <n v="21"/>
    <n v="1065.7722000000001"/>
    <m/>
    <m/>
    <m/>
    <m/>
    <m/>
    <n v="1065.7722000000001"/>
    <d v="2023-01-10T00:00:00"/>
    <n v="0"/>
    <n v="0"/>
    <n v="0"/>
    <n v="0"/>
    <n v="0"/>
    <n v="0"/>
    <n v="0"/>
    <x v="0"/>
    <n v="22381.216200000003"/>
    <n v="22381.216200000003"/>
    <n v="0"/>
    <n v="0"/>
    <x v="0"/>
    <x v="18"/>
  </r>
  <r>
    <s v="ORD01682"/>
    <d v="2023-11-30T00:00:00"/>
    <x v="365"/>
    <x v="102"/>
    <n v="42"/>
    <s v="INV01682"/>
    <n v="42"/>
    <n v="1093.1199999999999"/>
    <m/>
    <m/>
    <m/>
    <m/>
    <m/>
    <n v="1093.1199999999999"/>
    <d v="2023-04-19T00:00:00"/>
    <n v="0"/>
    <n v="0"/>
    <n v="0"/>
    <n v="0"/>
    <n v="0"/>
    <n v="0"/>
    <n v="0"/>
    <x v="0"/>
    <n v="45911.039999999994"/>
    <n v="45911.039999999994"/>
    <n v="0"/>
    <n v="0"/>
    <x v="0"/>
    <x v="0"/>
  </r>
  <r>
    <s v="ORD01683"/>
    <d v="2023-03-23T00:00:00"/>
    <x v="371"/>
    <x v="298"/>
    <n v="40"/>
    <s v="INV01683"/>
    <n v="40"/>
    <n v="728.84"/>
    <m/>
    <m/>
    <m/>
    <m/>
    <m/>
    <n v="728.84"/>
    <d v="2022-03-06T00:00:00"/>
    <n v="0"/>
    <n v="0"/>
    <n v="0"/>
    <n v="0"/>
    <n v="0"/>
    <n v="0"/>
    <n v="0"/>
    <x v="0"/>
    <n v="29153.600000000002"/>
    <n v="29153.600000000002"/>
    <n v="0"/>
    <n v="0"/>
    <x v="0"/>
    <x v="17"/>
  </r>
  <r>
    <s v="ORD01684"/>
    <d v="2023-02-21T00:00:00"/>
    <x v="636"/>
    <x v="187"/>
    <n v="177"/>
    <s v="INV01684"/>
    <n v="177"/>
    <n v="953.97479999999996"/>
    <m/>
    <m/>
    <m/>
    <m/>
    <m/>
    <n v="953.97479999999996"/>
    <d v="2022-12-31T00:00:00"/>
    <n v="0"/>
    <n v="0"/>
    <n v="0"/>
    <n v="0"/>
    <n v="0"/>
    <n v="0"/>
    <n v="0"/>
    <x v="0"/>
    <n v="168853.53959999999"/>
    <n v="168853.53959999999"/>
    <n v="0"/>
    <n v="0"/>
    <x v="0"/>
    <x v="11"/>
  </r>
  <r>
    <s v="ORD01685"/>
    <d v="2024-09-09T00:00:00"/>
    <x v="708"/>
    <x v="54"/>
    <n v="95"/>
    <s v="INV01685"/>
    <n v="95"/>
    <n v="465.21179999999998"/>
    <m/>
    <m/>
    <m/>
    <m/>
    <m/>
    <n v="465.21179999999998"/>
    <d v="2023-07-30T00:00:00"/>
    <n v="0"/>
    <n v="0"/>
    <n v="0"/>
    <n v="0"/>
    <n v="0"/>
    <n v="0"/>
    <n v="0"/>
    <x v="0"/>
    <n v="44195.120999999999"/>
    <n v="44195.120999999999"/>
    <n v="0"/>
    <n v="0"/>
    <x v="0"/>
    <x v="2"/>
  </r>
  <r>
    <s v="ORD01686"/>
    <d v="2023-09-08T00:00:00"/>
    <x v="177"/>
    <x v="297"/>
    <n v="21"/>
    <s v="INV01686"/>
    <n v="21"/>
    <n v="269.95269999999999"/>
    <n v="4"/>
    <d v="2024-12-09T00:00:00"/>
    <m/>
    <m/>
    <m/>
    <n v="269.95269999999999"/>
    <d v="2022-08-08T00:00:00"/>
    <n v="0"/>
    <n v="0"/>
    <n v="0"/>
    <n v="0"/>
    <n v="0"/>
    <n v="1"/>
    <n v="0"/>
    <x v="1"/>
    <n v="5669.0066999999999"/>
    <n v="5669.0066999999999"/>
    <n v="0"/>
    <n v="2"/>
    <x v="1"/>
    <x v="18"/>
  </r>
  <r>
    <s v="ORD01687"/>
    <d v="2023-04-11T00:00:00"/>
    <x v="478"/>
    <x v="10"/>
    <n v="10"/>
    <s v="INV01687"/>
    <n v="10"/>
    <n v="457.28011284833457"/>
    <n v="5"/>
    <d v="2024-05-17T00:00:00"/>
    <m/>
    <m/>
    <m/>
    <n v="457.16640000000001"/>
    <d v="2023-03-23T00:00:00"/>
    <n v="0"/>
    <n v="0"/>
    <n v="1"/>
    <n v="0"/>
    <n v="0"/>
    <n v="1"/>
    <n v="0"/>
    <x v="1"/>
    <n v="4572.8011284833456"/>
    <n v="4571.6639999999998"/>
    <n v="1.1371284833458049"/>
    <n v="6"/>
    <x v="2"/>
    <x v="23"/>
  </r>
  <r>
    <s v="ORD01688"/>
    <d v="2024-02-20T00:00:00"/>
    <x v="380"/>
    <x v="297"/>
    <n v="182"/>
    <s v="INV01688"/>
    <n v="182"/>
    <n v="275.19450000000001"/>
    <m/>
    <m/>
    <m/>
    <m/>
    <m/>
    <n v="275.19450000000001"/>
    <d v="2023-10-19T00:00:00"/>
    <n v="0"/>
    <n v="0"/>
    <n v="0"/>
    <n v="0"/>
    <n v="0"/>
    <n v="0"/>
    <n v="0"/>
    <x v="0"/>
    <n v="50085.398999999998"/>
    <n v="50085.398999999998"/>
    <n v="0"/>
    <n v="0"/>
    <x v="0"/>
    <x v="3"/>
  </r>
  <r>
    <s v="ORD01689"/>
    <d v="2023-02-05T00:00:00"/>
    <x v="269"/>
    <x v="246"/>
    <n v="74"/>
    <s v="INV01689"/>
    <n v="74"/>
    <n v="471.65280000000001"/>
    <m/>
    <m/>
    <m/>
    <m/>
    <m/>
    <n v="471.65280000000001"/>
    <d v="2023-01-03T00:00:00"/>
    <n v="0"/>
    <n v="0"/>
    <n v="0"/>
    <n v="0"/>
    <n v="0"/>
    <n v="0"/>
    <n v="0"/>
    <x v="0"/>
    <n v="34902.307200000003"/>
    <n v="34902.307200000003"/>
    <n v="0"/>
    <n v="0"/>
    <x v="0"/>
    <x v="11"/>
  </r>
  <r>
    <s v="ORD01690"/>
    <d v="2024-11-01T00:00:00"/>
    <x v="278"/>
    <x v="12"/>
    <n v="30"/>
    <s v="INV01690"/>
    <n v="30"/>
    <n v="689.58720000000005"/>
    <m/>
    <m/>
    <m/>
    <m/>
    <m/>
    <n v="689.58720000000005"/>
    <d v="2023-10-25T00:00:00"/>
    <n v="0"/>
    <n v="0"/>
    <n v="0"/>
    <n v="0"/>
    <n v="0"/>
    <n v="0"/>
    <n v="0"/>
    <x v="0"/>
    <n v="20687.616000000002"/>
    <n v="20687.616000000002"/>
    <n v="0"/>
    <n v="0"/>
    <x v="0"/>
    <x v="4"/>
  </r>
  <r>
    <s v="ORD01691"/>
    <d v="2023-10-08T00:00:00"/>
    <x v="252"/>
    <x v="195"/>
    <n v="183"/>
    <s v="INV01691"/>
    <n v="183"/>
    <n v="825.40440000000001"/>
    <m/>
    <m/>
    <m/>
    <m/>
    <m/>
    <n v="825.40440000000001"/>
    <d v="2023-06-28T00:00:00"/>
    <n v="0"/>
    <n v="0"/>
    <n v="0"/>
    <n v="0"/>
    <n v="0"/>
    <n v="0"/>
    <n v="0"/>
    <x v="0"/>
    <n v="151049.00520000001"/>
    <n v="151049.00520000001"/>
    <n v="0"/>
    <n v="0"/>
    <x v="0"/>
    <x v="19"/>
  </r>
  <r>
    <s v="ORD01692"/>
    <d v="2024-10-02T00:00:00"/>
    <x v="689"/>
    <x v="12"/>
    <n v="64"/>
    <s v="INV01692"/>
    <n v="68"/>
    <n v="689.58720000000005"/>
    <m/>
    <m/>
    <m/>
    <m/>
    <m/>
    <n v="689.58720000000005"/>
    <d v="2023-10-25T00:00:00"/>
    <n v="0"/>
    <n v="1"/>
    <n v="0"/>
    <n v="0"/>
    <n v="0"/>
    <n v="0"/>
    <n v="0"/>
    <x v="1"/>
    <n v="46891.929600000003"/>
    <n v="44133.580800000003"/>
    <n v="2758.3487999999998"/>
    <n v="8"/>
    <x v="2"/>
    <x v="5"/>
  </r>
  <r>
    <s v="ORD01693"/>
    <d v="2023-06-13T00:00:00"/>
    <x v="547"/>
    <x v="166"/>
    <n v="19"/>
    <s v="INV01693"/>
    <n v="19"/>
    <n v="156.37459999999999"/>
    <m/>
    <m/>
    <m/>
    <m/>
    <m/>
    <n v="156.37459999999999"/>
    <d v="2023-06-13T00:00:00"/>
    <n v="0"/>
    <n v="0"/>
    <n v="0"/>
    <n v="0"/>
    <n v="0"/>
    <n v="0"/>
    <n v="0"/>
    <x v="0"/>
    <n v="2971.1173999999996"/>
    <n v="2971.1173999999996"/>
    <n v="0"/>
    <n v="0"/>
    <x v="0"/>
    <x v="14"/>
  </r>
  <r>
    <s v="ORD01694"/>
    <d v="2023-08-18T00:00:00"/>
    <x v="102"/>
    <x v="22"/>
    <n v="28"/>
    <s v="INV01694"/>
    <n v="28"/>
    <n v="626.68790000000001"/>
    <n v="17"/>
    <d v="2023-10-23T00:00:00"/>
    <m/>
    <m/>
    <m/>
    <n v="626.68790000000001"/>
    <d v="2023-06-26T00:00:00"/>
    <n v="0"/>
    <n v="0"/>
    <n v="0"/>
    <n v="0"/>
    <n v="0"/>
    <n v="1"/>
    <n v="0"/>
    <x v="1"/>
    <n v="17547.261200000001"/>
    <n v="17547.261200000001"/>
    <n v="0"/>
    <n v="2"/>
    <x v="1"/>
    <x v="12"/>
  </r>
  <r>
    <s v="ORD01695"/>
    <d v="2024-02-22T00:00:00"/>
    <x v="329"/>
    <x v="92"/>
    <n v="23"/>
    <s v="INV01695"/>
    <n v="23"/>
    <n v="833.73500000000001"/>
    <m/>
    <m/>
    <m/>
    <m/>
    <m/>
    <n v="833.73500000000001"/>
    <d v="2023-08-29T00:00:00"/>
    <n v="0"/>
    <n v="0"/>
    <n v="0"/>
    <n v="0"/>
    <n v="0"/>
    <n v="0"/>
    <n v="0"/>
    <x v="0"/>
    <n v="19175.904999999999"/>
    <n v="19175.904999999999"/>
    <n v="0"/>
    <n v="0"/>
    <x v="0"/>
    <x v="3"/>
  </r>
  <r>
    <s v="ORD01696"/>
    <d v="2024-02-15T00:00:00"/>
    <x v="65"/>
    <x v="137"/>
    <n v="197"/>
    <s v="INV01696"/>
    <n v="197"/>
    <n v="1026.4637"/>
    <m/>
    <m/>
    <m/>
    <m/>
    <m/>
    <n v="1026.4637"/>
    <d v="2023-02-10T00:00:00"/>
    <n v="0"/>
    <n v="0"/>
    <n v="0"/>
    <n v="0"/>
    <n v="0"/>
    <n v="0"/>
    <n v="0"/>
    <x v="0"/>
    <n v="202213.34890000001"/>
    <n v="202213.34890000001"/>
    <n v="0"/>
    <n v="0"/>
    <x v="0"/>
    <x v="3"/>
  </r>
  <r>
    <s v="ORD01697"/>
    <d v="2024-07-17T00:00:00"/>
    <x v="167"/>
    <x v="267"/>
    <n v="87"/>
    <s v="INV01697"/>
    <n v="87"/>
    <n v="68.942999999999998"/>
    <m/>
    <m/>
    <m/>
    <m/>
    <m/>
    <n v="68.942999999999998"/>
    <d v="2023-03-13T00:00:00"/>
    <n v="0"/>
    <n v="0"/>
    <n v="0"/>
    <n v="0"/>
    <n v="0"/>
    <n v="0"/>
    <n v="0"/>
    <x v="0"/>
    <n v="5998.0410000000002"/>
    <n v="5998.0410000000002"/>
    <n v="0"/>
    <n v="0"/>
    <x v="0"/>
    <x v="21"/>
  </r>
  <r>
    <s v="ORD01698"/>
    <d v="2023-05-31T00:00:00"/>
    <x v="256"/>
    <x v="59"/>
    <n v="101"/>
    <s v="INV01698"/>
    <n v="101"/>
    <n v="933.82110000000011"/>
    <m/>
    <m/>
    <m/>
    <m/>
    <m/>
    <n v="933.82110000000011"/>
    <d v="2022-10-21T00:00:00"/>
    <n v="0"/>
    <n v="0"/>
    <n v="0"/>
    <n v="0"/>
    <n v="0"/>
    <n v="0"/>
    <n v="0"/>
    <x v="0"/>
    <n v="94315.931100000016"/>
    <n v="94315.931100000016"/>
    <n v="0"/>
    <n v="0"/>
    <x v="0"/>
    <x v="7"/>
  </r>
  <r>
    <s v="ORD01699"/>
    <d v="2024-03-09T00:00:00"/>
    <x v="294"/>
    <x v="255"/>
    <n v="169"/>
    <s v="INV01699"/>
    <n v="169"/>
    <n v="1178.6880000000001"/>
    <m/>
    <m/>
    <m/>
    <m/>
    <m/>
    <n v="1178.6880000000001"/>
    <d v="2023-01-04T00:00:00"/>
    <n v="0"/>
    <n v="0"/>
    <n v="0"/>
    <n v="0"/>
    <n v="0"/>
    <n v="0"/>
    <n v="0"/>
    <x v="0"/>
    <n v="199198.27200000003"/>
    <n v="199198.27200000003"/>
    <n v="0"/>
    <n v="0"/>
    <x v="0"/>
    <x v="6"/>
  </r>
  <r>
    <s v="ORD01700"/>
    <d v="2024-09-07T00:00:00"/>
    <x v="617"/>
    <x v="13"/>
    <n v="129"/>
    <s v="INV01700"/>
    <n v="129"/>
    <n v="248.24449999999999"/>
    <m/>
    <m/>
    <m/>
    <m/>
    <m/>
    <n v="248.24449999999999"/>
    <d v="2023-01-07T00:00:00"/>
    <n v="0"/>
    <n v="0"/>
    <n v="0"/>
    <n v="0"/>
    <n v="0"/>
    <n v="0"/>
    <n v="0"/>
    <x v="0"/>
    <n v="32023.540499999999"/>
    <n v="32023.540499999999"/>
    <n v="0"/>
    <n v="0"/>
    <x v="0"/>
    <x v="2"/>
  </r>
  <r>
    <s v="ORD01701"/>
    <d v="2024-04-21T00:00:00"/>
    <x v="248"/>
    <x v="42"/>
    <n v="85"/>
    <s v="INV01701"/>
    <n v="85"/>
    <n v="946.74860000000001"/>
    <m/>
    <m/>
    <m/>
    <m/>
    <m/>
    <n v="946.74860000000001"/>
    <d v="2023-04-22T00:00:00"/>
    <n v="0"/>
    <n v="0"/>
    <n v="0"/>
    <n v="0"/>
    <n v="0"/>
    <n v="0"/>
    <n v="0"/>
    <x v="0"/>
    <n v="80473.630999999994"/>
    <n v="80473.630999999994"/>
    <n v="0"/>
    <n v="0"/>
    <x v="0"/>
    <x v="9"/>
  </r>
  <r>
    <s v="ORD01702"/>
    <d v="2023-04-23T00:00:00"/>
    <x v="221"/>
    <x v="180"/>
    <n v="115"/>
    <s v="INV01702"/>
    <n v="115"/>
    <n v="977.22280000000001"/>
    <m/>
    <m/>
    <m/>
    <m/>
    <m/>
    <n v="977.22280000000001"/>
    <d v="2023-02-27T00:00:00"/>
    <n v="0"/>
    <n v="0"/>
    <n v="0"/>
    <n v="0"/>
    <n v="0"/>
    <n v="0"/>
    <n v="0"/>
    <x v="0"/>
    <n v="112380.622"/>
    <n v="112380.622"/>
    <n v="0"/>
    <n v="0"/>
    <x v="0"/>
    <x v="23"/>
  </r>
  <r>
    <s v="ORD01703"/>
    <d v="2023-04-09T00:00:00"/>
    <x v="214"/>
    <x v="218"/>
    <n v="188"/>
    <s v="INV01703"/>
    <n v="188"/>
    <n v="1011.43"/>
    <n v="10"/>
    <d v="2024-05-23T00:00:00"/>
    <m/>
    <m/>
    <m/>
    <n v="1011.43"/>
    <d v="2022-06-12T00:00:00"/>
    <n v="0"/>
    <n v="0"/>
    <n v="0"/>
    <n v="0"/>
    <n v="0"/>
    <n v="1"/>
    <n v="0"/>
    <x v="1"/>
    <n v="190148.84"/>
    <n v="190148.84"/>
    <n v="0"/>
    <n v="2"/>
    <x v="1"/>
    <x v="23"/>
  </r>
  <r>
    <s v="ORD01704"/>
    <d v="2023-05-13T00:00:00"/>
    <x v="116"/>
    <x v="3"/>
    <n v="142"/>
    <s v="INV01704"/>
    <n v="142"/>
    <n v="817.07989999999995"/>
    <n v="20"/>
    <d v="2024-09-06T00:00:00"/>
    <m/>
    <m/>
    <m/>
    <n v="817.07989999999995"/>
    <d v="2023-01-25T00:00:00"/>
    <n v="0"/>
    <n v="0"/>
    <n v="0"/>
    <n v="0"/>
    <n v="0"/>
    <n v="1"/>
    <n v="0"/>
    <x v="1"/>
    <n v="116025.3458"/>
    <n v="116025.3458"/>
    <n v="0"/>
    <n v="2"/>
    <x v="1"/>
    <x v="7"/>
  </r>
  <r>
    <s v="ORD01705"/>
    <d v="2023-08-04T00:00:00"/>
    <x v="710"/>
    <x v="1"/>
    <n v="97"/>
    <s v="INV01705"/>
    <n v="97"/>
    <n v="444.22"/>
    <m/>
    <m/>
    <m/>
    <m/>
    <m/>
    <n v="444.22"/>
    <d v="2023-05-28T00:00:00"/>
    <n v="0"/>
    <n v="0"/>
    <n v="0"/>
    <n v="0"/>
    <n v="0"/>
    <n v="0"/>
    <n v="0"/>
    <x v="0"/>
    <n v="43089.340000000004"/>
    <n v="43089.340000000004"/>
    <n v="0"/>
    <n v="0"/>
    <x v="0"/>
    <x v="12"/>
  </r>
  <r>
    <s v="ORD01706"/>
    <d v="2023-07-26T00:00:00"/>
    <x v="391"/>
    <x v="210"/>
    <n v="19"/>
    <s v="INV01706"/>
    <n v="19"/>
    <n v="512.04"/>
    <m/>
    <m/>
    <m/>
    <m/>
    <m/>
    <n v="512.04"/>
    <d v="2023-01-02T00:00:00"/>
    <n v="0"/>
    <n v="0"/>
    <n v="0"/>
    <n v="0"/>
    <n v="0"/>
    <n v="0"/>
    <n v="0"/>
    <x v="0"/>
    <n v="9728.7599999999984"/>
    <n v="9728.7599999999984"/>
    <n v="0"/>
    <n v="0"/>
    <x v="0"/>
    <x v="10"/>
  </r>
  <r>
    <s v="ORD01707"/>
    <d v="2023-04-12T00:00:00"/>
    <x v="586"/>
    <x v="69"/>
    <n v="167"/>
    <s v="INV01707"/>
    <n v="169"/>
    <n v="904.00099999999998"/>
    <m/>
    <m/>
    <m/>
    <m/>
    <m/>
    <n v="904.00099999999998"/>
    <d v="2022-09-27T00:00:00"/>
    <n v="0"/>
    <n v="1"/>
    <n v="0"/>
    <n v="0"/>
    <n v="0"/>
    <n v="0"/>
    <n v="0"/>
    <x v="1"/>
    <n v="152776.16899999999"/>
    <n v="150968.16699999999"/>
    <n v="1808.0020000000077"/>
    <n v="8"/>
    <x v="2"/>
    <x v="23"/>
  </r>
  <r>
    <s v="ORD01708"/>
    <d v="2023-12-26T00:00:00"/>
    <x v="534"/>
    <x v="109"/>
    <n v="55"/>
    <s v="INV01708"/>
    <n v="55"/>
    <n v="457.65019999999998"/>
    <n v="3"/>
    <d v="2023-05-09T00:00:00"/>
    <m/>
    <m/>
    <m/>
    <n v="457.65019999999998"/>
    <d v="2023-01-24T00:00:00"/>
    <n v="0"/>
    <n v="0"/>
    <n v="0"/>
    <n v="0"/>
    <n v="0"/>
    <n v="0"/>
    <n v="0"/>
    <x v="0"/>
    <n v="25170.760999999999"/>
    <n v="25170.760999999999"/>
    <n v="0"/>
    <n v="0"/>
    <x v="0"/>
    <x v="20"/>
  </r>
  <r>
    <s v="ORD01709"/>
    <d v="2023-03-13T00:00:00"/>
    <x v="229"/>
    <x v="183"/>
    <n v="152"/>
    <s v="INV01709"/>
    <n v="152"/>
    <n v="624.37260000000003"/>
    <m/>
    <m/>
    <m/>
    <m/>
    <m/>
    <n v="624.37260000000003"/>
    <d v="2023-01-06T00:00:00"/>
    <n v="0"/>
    <n v="0"/>
    <n v="0"/>
    <n v="0"/>
    <n v="0"/>
    <n v="0"/>
    <n v="0"/>
    <x v="0"/>
    <n v="94904.635200000004"/>
    <n v="94904.635200000004"/>
    <n v="0"/>
    <n v="0"/>
    <x v="0"/>
    <x v="17"/>
  </r>
  <r>
    <s v="ORD01710"/>
    <d v="2023-04-04T00:00:00"/>
    <x v="649"/>
    <x v="252"/>
    <n v="111"/>
    <s v="INV01710"/>
    <n v="111"/>
    <n v="752.34559999999999"/>
    <m/>
    <m/>
    <m/>
    <m/>
    <m/>
    <n v="752.34559999999999"/>
    <d v="2022-12-05T00:00:00"/>
    <n v="0"/>
    <n v="0"/>
    <n v="0"/>
    <n v="0"/>
    <n v="0"/>
    <n v="0"/>
    <n v="0"/>
    <x v="0"/>
    <n v="83510.361600000004"/>
    <n v="83510.361600000004"/>
    <n v="0"/>
    <n v="0"/>
    <x v="0"/>
    <x v="23"/>
  </r>
  <r>
    <s v="ORD01711"/>
    <d v="2023-04-07T00:00:00"/>
    <x v="336"/>
    <x v="130"/>
    <n v="76"/>
    <s v="INV01711"/>
    <n v="76"/>
    <n v="58.98"/>
    <m/>
    <m/>
    <m/>
    <m/>
    <m/>
    <n v="58.98"/>
    <d v="2023-01-08T00:00:00"/>
    <n v="0"/>
    <n v="0"/>
    <n v="0"/>
    <n v="0"/>
    <n v="0"/>
    <n v="0"/>
    <n v="0"/>
    <x v="0"/>
    <n v="4482.4799999999996"/>
    <n v="4482.4799999999996"/>
    <n v="0"/>
    <n v="0"/>
    <x v="0"/>
    <x v="23"/>
  </r>
  <r>
    <s v="ORD01712"/>
    <d v="2024-05-31T00:00:00"/>
    <x v="294"/>
    <x v="177"/>
    <n v="29"/>
    <s v="INV01712"/>
    <n v="29"/>
    <n v="335.39150000000001"/>
    <m/>
    <m/>
    <m/>
    <m/>
    <m/>
    <n v="335.39150000000001"/>
    <d v="2023-08-13T00:00:00"/>
    <n v="0"/>
    <n v="0"/>
    <n v="0"/>
    <n v="0"/>
    <n v="0"/>
    <n v="0"/>
    <n v="0"/>
    <x v="0"/>
    <n v="9726.3535000000011"/>
    <n v="9726.3535000000011"/>
    <n v="0"/>
    <n v="0"/>
    <x v="0"/>
    <x v="13"/>
  </r>
  <r>
    <s v="ORD01713"/>
    <d v="2024-12-29T00:00:00"/>
    <x v="689"/>
    <x v="218"/>
    <n v="51"/>
    <s v="INV01713"/>
    <n v="51"/>
    <n v="960.85850000000005"/>
    <m/>
    <m/>
    <m/>
    <m/>
    <m/>
    <n v="960.85850000000005"/>
    <d v="2023-05-03T00:00:00"/>
    <n v="0"/>
    <n v="0"/>
    <n v="0"/>
    <n v="0"/>
    <n v="0"/>
    <n v="0"/>
    <n v="0"/>
    <x v="0"/>
    <n v="49003.783500000005"/>
    <n v="49003.783500000005"/>
    <n v="0"/>
    <n v="0"/>
    <x v="0"/>
    <x v="1"/>
  </r>
  <r>
    <s v="ORD01714"/>
    <d v="2023-03-21T00:00:00"/>
    <x v="426"/>
    <x v="95"/>
    <n v="17"/>
    <s v="INV01714"/>
    <n v="17"/>
    <n v="951.87149999999997"/>
    <m/>
    <m/>
    <m/>
    <m/>
    <m/>
    <n v="951.87149999999997"/>
    <d v="2022-11-22T00:00:00"/>
    <n v="0"/>
    <n v="0"/>
    <n v="0"/>
    <n v="0"/>
    <n v="0"/>
    <n v="0"/>
    <n v="0"/>
    <x v="0"/>
    <n v="16181.815499999999"/>
    <n v="16181.815499999999"/>
    <n v="0"/>
    <n v="0"/>
    <x v="0"/>
    <x v="17"/>
  </r>
  <r>
    <s v="ORD01715"/>
    <d v="2023-12-24T00:00:00"/>
    <x v="230"/>
    <x v="98"/>
    <n v="168"/>
    <s v="INV01715"/>
    <n v="168"/>
    <n v="1119.6587000000002"/>
    <m/>
    <m/>
    <m/>
    <m/>
    <m/>
    <n v="1119.6587000000002"/>
    <d v="2023-08-09T00:00:00"/>
    <n v="0"/>
    <n v="0"/>
    <n v="0"/>
    <n v="0"/>
    <n v="0"/>
    <n v="0"/>
    <n v="0"/>
    <x v="0"/>
    <n v="188102.66160000002"/>
    <n v="188102.66160000002"/>
    <n v="0"/>
    <n v="0"/>
    <x v="0"/>
    <x v="20"/>
  </r>
  <r>
    <s v="ORD01716"/>
    <d v="2024-01-05T00:00:00"/>
    <x v="51"/>
    <x v="256"/>
    <n v="125"/>
    <s v="INV01716"/>
    <n v="125"/>
    <n v="717.55482284967115"/>
    <m/>
    <m/>
    <m/>
    <m/>
    <m/>
    <n v="717.0471"/>
    <d v="2023-02-27T00:00:00"/>
    <n v="0"/>
    <n v="0"/>
    <n v="1"/>
    <n v="0"/>
    <n v="0"/>
    <n v="0"/>
    <n v="0"/>
    <x v="1"/>
    <n v="89694.35285620889"/>
    <n v="89630.887499999997"/>
    <n v="63.465356208893354"/>
    <n v="4"/>
    <x v="1"/>
    <x v="15"/>
  </r>
  <r>
    <s v="ORD01717"/>
    <d v="2024-07-17T00:00:00"/>
    <x v="615"/>
    <x v="291"/>
    <n v="67"/>
    <s v="INV01717"/>
    <n v="67"/>
    <n v="933.43190000000004"/>
    <m/>
    <m/>
    <m/>
    <m/>
    <m/>
    <n v="933.43190000000004"/>
    <d v="2023-03-26T00:00:00"/>
    <n v="0"/>
    <n v="0"/>
    <n v="0"/>
    <n v="0"/>
    <n v="0"/>
    <n v="0"/>
    <n v="0"/>
    <x v="0"/>
    <n v="62539.937300000005"/>
    <n v="62539.937300000005"/>
    <n v="0"/>
    <n v="0"/>
    <x v="0"/>
    <x v="21"/>
  </r>
  <r>
    <s v="ORD01718"/>
    <d v="2024-09-28T00:00:00"/>
    <x v="247"/>
    <x v="268"/>
    <n v="127"/>
    <s v="INV01718"/>
    <n v="127"/>
    <n v="1119.27"/>
    <m/>
    <m/>
    <m/>
    <m/>
    <m/>
    <n v="1119.27"/>
    <d v="2023-07-20T00:00:00"/>
    <n v="0"/>
    <n v="0"/>
    <n v="0"/>
    <n v="0"/>
    <n v="0"/>
    <n v="0"/>
    <n v="0"/>
    <x v="0"/>
    <n v="142147.29"/>
    <n v="142147.29"/>
    <n v="0"/>
    <n v="0"/>
    <x v="0"/>
    <x v="2"/>
  </r>
  <r>
    <s v="ORD01719"/>
    <d v="2023-07-18T00:00:00"/>
    <x v="594"/>
    <x v="24"/>
    <n v="162"/>
    <s v="INV01719"/>
    <n v="162"/>
    <n v="421.92750000000001"/>
    <n v="11"/>
    <d v="2024-09-05T00:00:00"/>
    <m/>
    <m/>
    <m/>
    <n v="421.92750000000001"/>
    <d v="2023-02-12T00:00:00"/>
    <n v="0"/>
    <n v="0"/>
    <n v="0"/>
    <n v="0"/>
    <n v="0"/>
    <n v="1"/>
    <n v="0"/>
    <x v="1"/>
    <n v="68352.255000000005"/>
    <n v="68352.255000000005"/>
    <n v="0"/>
    <n v="2"/>
    <x v="1"/>
    <x v="10"/>
  </r>
  <r>
    <s v="ORD01720"/>
    <d v="2024-11-04T00:00:00"/>
    <x v="141"/>
    <x v="233"/>
    <n v="144"/>
    <s v="INV01720"/>
    <n v="144"/>
    <n v="799.8357000000002"/>
    <m/>
    <m/>
    <m/>
    <m/>
    <m/>
    <n v="799.8357000000002"/>
    <d v="2023-05-17T00:00:00"/>
    <n v="0"/>
    <n v="0"/>
    <n v="0"/>
    <n v="0"/>
    <n v="0"/>
    <n v="0"/>
    <n v="0"/>
    <x v="0"/>
    <n v="115176.34080000003"/>
    <n v="115176.34080000003"/>
    <n v="0"/>
    <n v="0"/>
    <x v="0"/>
    <x v="4"/>
  </r>
  <r>
    <s v="ORD01721"/>
    <d v="2023-02-12T00:00:00"/>
    <x v="265"/>
    <x v="50"/>
    <n v="29"/>
    <s v="INV01721"/>
    <n v="29"/>
    <n v="47.936999999999998"/>
    <m/>
    <m/>
    <m/>
    <m/>
    <m/>
    <n v="47.936999999999998"/>
    <d v="2023-01-08T00:00:00"/>
    <n v="0"/>
    <n v="0"/>
    <n v="0"/>
    <n v="0"/>
    <n v="0"/>
    <n v="0"/>
    <n v="0"/>
    <x v="0"/>
    <n v="1390.173"/>
    <n v="1390.173"/>
    <n v="0"/>
    <n v="0"/>
    <x v="0"/>
    <x v="11"/>
  </r>
  <r>
    <s v="ORD01722"/>
    <d v="2023-11-26T00:00:00"/>
    <x v="680"/>
    <x v="48"/>
    <n v="26"/>
    <s v="INV01722"/>
    <n v="26"/>
    <n v="1144.1684"/>
    <m/>
    <m/>
    <m/>
    <m/>
    <m/>
    <n v="1144.1684"/>
    <d v="2023-01-29T00:00:00"/>
    <n v="0"/>
    <n v="0"/>
    <n v="0"/>
    <n v="0"/>
    <n v="0"/>
    <n v="0"/>
    <n v="0"/>
    <x v="0"/>
    <n v="29748.378400000001"/>
    <n v="29748.378400000001"/>
    <n v="0"/>
    <n v="0"/>
    <x v="0"/>
    <x v="0"/>
  </r>
  <r>
    <s v="ORD01723"/>
    <d v="2024-07-31T00:00:00"/>
    <x v="322"/>
    <x v="282"/>
    <n v="4"/>
    <s v="INV01723"/>
    <n v="4"/>
    <n v="380.976"/>
    <m/>
    <m/>
    <m/>
    <m/>
    <m/>
    <n v="380.976"/>
    <d v="2023-09-03T00:00:00"/>
    <n v="0"/>
    <n v="0"/>
    <n v="0"/>
    <n v="0"/>
    <n v="0"/>
    <n v="0"/>
    <n v="0"/>
    <x v="0"/>
    <n v="1523.904"/>
    <n v="1523.904"/>
    <n v="0"/>
    <n v="0"/>
    <x v="0"/>
    <x v="21"/>
  </r>
  <r>
    <s v="ORD01724"/>
    <d v="2023-07-02T00:00:00"/>
    <x v="54"/>
    <x v="191"/>
    <n v="34"/>
    <s v="INV01724"/>
    <n v="40"/>
    <n v="355.32000000000005"/>
    <m/>
    <m/>
    <m/>
    <m/>
    <m/>
    <n v="355.32000000000005"/>
    <d v="2023-05-12T00:00:00"/>
    <n v="0"/>
    <n v="1"/>
    <n v="0"/>
    <n v="0"/>
    <n v="0"/>
    <n v="0"/>
    <n v="0"/>
    <x v="1"/>
    <n v="14212.800000000003"/>
    <n v="12080.880000000001"/>
    <n v="2131.9200000000019"/>
    <n v="8"/>
    <x v="2"/>
    <x v="10"/>
  </r>
  <r>
    <s v="ORD01725"/>
    <d v="2023-02-10T00:00:00"/>
    <x v="380"/>
    <x v="284"/>
    <n v="136"/>
    <s v="INV01725"/>
    <n v="136"/>
    <n v="1052.6012000000001"/>
    <m/>
    <m/>
    <m/>
    <m/>
    <m/>
    <n v="1052.6012000000001"/>
    <d v="2022-11-14T00:00:00"/>
    <n v="0"/>
    <n v="0"/>
    <n v="0"/>
    <n v="0"/>
    <n v="0"/>
    <n v="0"/>
    <n v="0"/>
    <x v="0"/>
    <n v="143153.76320000002"/>
    <n v="143153.76320000002"/>
    <n v="0"/>
    <n v="0"/>
    <x v="0"/>
    <x v="11"/>
  </r>
  <r>
    <s v="ORD01726"/>
    <d v="2023-09-01T00:00:00"/>
    <x v="713"/>
    <x v="20"/>
    <n v="16"/>
    <s v="INV01726"/>
    <n v="16"/>
    <n v="1046.6099999999999"/>
    <m/>
    <m/>
    <m/>
    <m/>
    <m/>
    <n v="1046.6099999999999"/>
    <d v="2023-01-14T00:00:00"/>
    <n v="0"/>
    <n v="0"/>
    <n v="0"/>
    <n v="0"/>
    <n v="0"/>
    <n v="0"/>
    <n v="0"/>
    <x v="0"/>
    <n v="16745.759999999998"/>
    <n v="16745.759999999998"/>
    <n v="0"/>
    <n v="0"/>
    <x v="0"/>
    <x v="18"/>
  </r>
  <r>
    <s v="ORD01727"/>
    <d v="2024-10-12T00:00:00"/>
    <x v="157"/>
    <x v="285"/>
    <n v="190"/>
    <s v="INV01727"/>
    <n v="190"/>
    <n v="1037.4366"/>
    <m/>
    <m/>
    <m/>
    <m/>
    <m/>
    <n v="1037.4366"/>
    <d v="2023-09-29T00:00:00"/>
    <n v="0"/>
    <n v="0"/>
    <n v="0"/>
    <n v="0"/>
    <n v="0"/>
    <n v="0"/>
    <n v="0"/>
    <x v="0"/>
    <n v="197112.954"/>
    <n v="197112.954"/>
    <n v="0"/>
    <n v="0"/>
    <x v="0"/>
    <x v="5"/>
  </r>
  <r>
    <s v="ORD01728"/>
    <d v="2024-08-06T00:00:00"/>
    <x v="187"/>
    <x v="48"/>
    <n v="153"/>
    <s v="INV01728"/>
    <n v="153"/>
    <n v="1144.1684"/>
    <m/>
    <m/>
    <m/>
    <m/>
    <m/>
    <n v="1144.1684"/>
    <d v="2023-01-29T00:00:00"/>
    <n v="0"/>
    <n v="0"/>
    <n v="0"/>
    <n v="0"/>
    <n v="0"/>
    <n v="0"/>
    <n v="0"/>
    <x v="0"/>
    <n v="175057.76519999999"/>
    <n v="175057.76519999999"/>
    <n v="0"/>
    <n v="0"/>
    <x v="0"/>
    <x v="22"/>
  </r>
  <r>
    <s v="ORD01729"/>
    <d v="2024-06-07T00:00:00"/>
    <x v="284"/>
    <x v="64"/>
    <n v="38"/>
    <s v="INV01729"/>
    <n v="38"/>
    <n v="1129.6166000000001"/>
    <m/>
    <m/>
    <m/>
    <m/>
    <m/>
    <n v="1129.6166000000001"/>
    <d v="2023-02-03T00:00:00"/>
    <n v="0"/>
    <n v="0"/>
    <n v="0"/>
    <n v="0"/>
    <n v="0"/>
    <n v="0"/>
    <n v="0"/>
    <x v="0"/>
    <n v="42925.430800000002"/>
    <n v="42925.430800000002"/>
    <n v="0"/>
    <n v="0"/>
    <x v="0"/>
    <x v="16"/>
  </r>
  <r>
    <s v="ORD01730"/>
    <d v="2023-02-19T00:00:00"/>
    <x v="179"/>
    <x v="149"/>
    <n v="93"/>
    <s v="INV01730"/>
    <n v="93"/>
    <n v="1147.0158038454663"/>
    <m/>
    <m/>
    <m/>
    <m/>
    <m/>
    <n v="1146.7456000000002"/>
    <d v="2022-11-19T00:00:00"/>
    <n v="0"/>
    <n v="0"/>
    <n v="1"/>
    <n v="0"/>
    <n v="0"/>
    <n v="0"/>
    <n v="0"/>
    <x v="1"/>
    <n v="106672.46975762837"/>
    <n v="106647.34080000002"/>
    <n v="25.128957628345233"/>
    <n v="4"/>
    <x v="1"/>
    <x v="11"/>
  </r>
  <r>
    <s v="ORD01731"/>
    <d v="2023-10-19T00:00:00"/>
    <x v="714"/>
    <x v="299"/>
    <n v="1"/>
    <s v="INV01731"/>
    <n v="1"/>
    <n v="1005.2222"/>
    <m/>
    <m/>
    <m/>
    <m/>
    <m/>
    <n v="1005.2222"/>
    <d v="2023-08-05T00:00:00"/>
    <n v="0"/>
    <n v="0"/>
    <n v="0"/>
    <n v="0"/>
    <n v="0"/>
    <n v="0"/>
    <n v="0"/>
    <x v="0"/>
    <n v="1005.2222"/>
    <n v="1005.2222"/>
    <n v="0"/>
    <n v="0"/>
    <x v="0"/>
    <x v="19"/>
  </r>
  <r>
    <s v="ORD01732"/>
    <d v="2023-10-01T00:00:00"/>
    <x v="400"/>
    <x v="273"/>
    <n v="194"/>
    <s v="INV01732"/>
    <n v="194"/>
    <n v="1224.4680000000001"/>
    <m/>
    <m/>
    <m/>
    <m/>
    <m/>
    <n v="1224.4680000000001"/>
    <d v="2022-09-01T00:00:00"/>
    <n v="0"/>
    <n v="0"/>
    <n v="0"/>
    <n v="0"/>
    <n v="0"/>
    <n v="0"/>
    <n v="0"/>
    <x v="0"/>
    <n v="237546.79200000002"/>
    <n v="237546.79200000002"/>
    <n v="0"/>
    <n v="0"/>
    <x v="0"/>
    <x v="19"/>
  </r>
  <r>
    <s v="ORD01733"/>
    <d v="2023-05-23T00:00:00"/>
    <x v="354"/>
    <x v="53"/>
    <n v="33"/>
    <s v="INV01733"/>
    <n v="33"/>
    <n v="413.47289999999998"/>
    <m/>
    <m/>
    <m/>
    <m/>
    <m/>
    <n v="413.47289999999998"/>
    <d v="2022-09-25T00:00:00"/>
    <n v="0"/>
    <n v="0"/>
    <n v="0"/>
    <n v="0"/>
    <n v="0"/>
    <n v="0"/>
    <n v="0"/>
    <x v="0"/>
    <n v="13644.6057"/>
    <n v="13644.6057"/>
    <n v="0"/>
    <n v="0"/>
    <x v="0"/>
    <x v="7"/>
  </r>
  <r>
    <s v="ORD01734"/>
    <d v="2023-11-24T00:00:00"/>
    <x v="409"/>
    <x v="115"/>
    <n v="24"/>
    <s v="INV01734"/>
    <n v="24"/>
    <n v="208.65799999999999"/>
    <m/>
    <m/>
    <m/>
    <m/>
    <m/>
    <n v="208.65799999999999"/>
    <d v="2023-02-14T00:00:00"/>
    <n v="0"/>
    <n v="0"/>
    <n v="0"/>
    <n v="0"/>
    <n v="0"/>
    <n v="0"/>
    <n v="0"/>
    <x v="0"/>
    <n v="5007.7919999999995"/>
    <n v="5007.7919999999995"/>
    <n v="0"/>
    <n v="0"/>
    <x v="0"/>
    <x v="0"/>
  </r>
  <r>
    <s v="ORD01735"/>
    <d v="2023-11-03T00:00:00"/>
    <x v="645"/>
    <x v="29"/>
    <n v="120"/>
    <s v="INV01735"/>
    <n v="120"/>
    <n v="1103.0465999999999"/>
    <m/>
    <m/>
    <m/>
    <m/>
    <m/>
    <n v="1103.0465999999999"/>
    <d v="2023-10-15T00:00:00"/>
    <n v="0"/>
    <n v="0"/>
    <n v="0"/>
    <n v="0"/>
    <n v="0"/>
    <n v="0"/>
    <n v="0"/>
    <x v="0"/>
    <n v="132365.59199999998"/>
    <n v="132365.59199999998"/>
    <n v="0"/>
    <n v="0"/>
    <x v="0"/>
    <x v="0"/>
  </r>
  <r>
    <s v="ORD01736"/>
    <d v="2023-10-07T00:00:00"/>
    <x v="350"/>
    <x v="180"/>
    <n v="42"/>
    <s v="INV01736"/>
    <n v="42"/>
    <n v="977.22280000000001"/>
    <n v="13"/>
    <d v="2023-07-12T00:00:00"/>
    <m/>
    <m/>
    <m/>
    <n v="977.22280000000001"/>
    <d v="2023-02-27T00:00:00"/>
    <n v="0"/>
    <n v="0"/>
    <n v="0"/>
    <n v="0"/>
    <n v="0"/>
    <n v="0"/>
    <n v="0"/>
    <x v="0"/>
    <n v="41043.357600000003"/>
    <n v="41043.357600000003"/>
    <n v="0"/>
    <n v="0"/>
    <x v="0"/>
    <x v="19"/>
  </r>
  <r>
    <s v="ORD01737"/>
    <d v="2023-04-26T00:00:00"/>
    <x v="460"/>
    <x v="145"/>
    <n v="36"/>
    <s v="INV01737"/>
    <n v="36"/>
    <n v="171.78"/>
    <m/>
    <m/>
    <m/>
    <m/>
    <m/>
    <n v="171.78"/>
    <d v="2023-03-25T00:00:00"/>
    <n v="0"/>
    <n v="0"/>
    <n v="0"/>
    <n v="0"/>
    <n v="0"/>
    <n v="0"/>
    <n v="0"/>
    <x v="0"/>
    <n v="6184.08"/>
    <n v="6184.08"/>
    <n v="0"/>
    <n v="0"/>
    <x v="0"/>
    <x v="23"/>
  </r>
  <r>
    <s v="ORD01738"/>
    <d v="2023-03-03T00:00:00"/>
    <x v="341"/>
    <x v="138"/>
    <n v="182"/>
    <s v="INV01738"/>
    <n v="182"/>
    <n v="145.72999999999999"/>
    <n v="12"/>
    <d v="2024-05-03T00:00:00"/>
    <m/>
    <m/>
    <m/>
    <n v="145.72999999999999"/>
    <d v="2022-12-04T00:00:00"/>
    <n v="0"/>
    <n v="0"/>
    <n v="0"/>
    <n v="0"/>
    <n v="0"/>
    <n v="1"/>
    <n v="0"/>
    <x v="1"/>
    <n v="26522.859999999997"/>
    <n v="26522.859999999997"/>
    <n v="0"/>
    <n v="2"/>
    <x v="1"/>
    <x v="17"/>
  </r>
  <r>
    <s v="ORD01739"/>
    <d v="2024-04-14T00:00:00"/>
    <x v="490"/>
    <x v="9"/>
    <n v="80"/>
    <s v="INV01739"/>
    <n v="80"/>
    <n v="397.40159999999997"/>
    <m/>
    <m/>
    <m/>
    <m/>
    <m/>
    <n v="397.40159999999997"/>
    <d v="2023-04-05T00:00:00"/>
    <n v="0"/>
    <n v="0"/>
    <n v="0"/>
    <n v="0"/>
    <n v="0"/>
    <n v="0"/>
    <n v="0"/>
    <x v="0"/>
    <n v="31792.127999999997"/>
    <n v="31792.127999999997"/>
    <n v="0"/>
    <n v="0"/>
    <x v="0"/>
    <x v="9"/>
  </r>
  <r>
    <s v="ORD01740"/>
    <d v="2023-02-02T00:00:00"/>
    <x v="135"/>
    <x v="59"/>
    <n v="174"/>
    <s v="INV01740"/>
    <n v="174"/>
    <n v="933.82110000000011"/>
    <m/>
    <m/>
    <m/>
    <m/>
    <m/>
    <n v="933.82110000000011"/>
    <d v="2022-10-21T00:00:00"/>
    <n v="0"/>
    <n v="0"/>
    <n v="0"/>
    <n v="0"/>
    <n v="0"/>
    <n v="0"/>
    <n v="0"/>
    <x v="0"/>
    <n v="162484.87140000003"/>
    <n v="162484.87140000003"/>
    <n v="0"/>
    <n v="0"/>
    <x v="0"/>
    <x v="11"/>
  </r>
  <r>
    <s v="ORD01741"/>
    <d v="2023-09-10T00:00:00"/>
    <x v="119"/>
    <x v="48"/>
    <n v="190"/>
    <s v="INV01741"/>
    <n v="190"/>
    <n v="1144.1684"/>
    <m/>
    <m/>
    <m/>
    <m/>
    <m/>
    <n v="1144.1684"/>
    <d v="2023-01-29T00:00:00"/>
    <n v="0"/>
    <n v="0"/>
    <n v="0"/>
    <n v="0"/>
    <n v="0"/>
    <n v="0"/>
    <n v="0"/>
    <x v="0"/>
    <n v="217391.99600000001"/>
    <n v="217391.99600000001"/>
    <n v="0"/>
    <n v="0"/>
    <x v="0"/>
    <x v="18"/>
  </r>
  <r>
    <s v="ORD01742"/>
    <d v="2023-05-15T00:00:00"/>
    <x v="442"/>
    <x v="271"/>
    <n v="130"/>
    <s v="INV01742"/>
    <n v="130"/>
    <n v="365.80459999999999"/>
    <m/>
    <m/>
    <m/>
    <m/>
    <m/>
    <n v="365.80459999999999"/>
    <d v="2022-11-27T00:00:00"/>
    <n v="0"/>
    <n v="0"/>
    <n v="0"/>
    <n v="0"/>
    <n v="0"/>
    <n v="0"/>
    <n v="0"/>
    <x v="0"/>
    <n v="47554.597999999998"/>
    <n v="47554.597999999998"/>
    <n v="0"/>
    <n v="0"/>
    <x v="0"/>
    <x v="7"/>
  </r>
  <r>
    <s v="ORD01743"/>
    <d v="2023-01-07T00:00:00"/>
    <x v="547"/>
    <x v="25"/>
    <n v="1"/>
    <s v="INV01743"/>
    <n v="1"/>
    <n v="1171.7"/>
    <m/>
    <m/>
    <m/>
    <m/>
    <m/>
    <n v="1171.7"/>
    <d v="2022-04-03T00:00:00"/>
    <n v="0"/>
    <n v="0"/>
    <n v="0"/>
    <n v="0"/>
    <n v="0"/>
    <n v="0"/>
    <n v="0"/>
    <x v="0"/>
    <n v="1171.7"/>
    <n v="1171.7"/>
    <n v="0"/>
    <n v="0"/>
    <x v="0"/>
    <x v="8"/>
  </r>
  <r>
    <s v="ORD01744"/>
    <d v="2023-06-09T00:00:00"/>
    <x v="439"/>
    <x v="98"/>
    <n v="147"/>
    <s v="INV01744"/>
    <n v="147"/>
    <n v="1088.2664000000002"/>
    <m/>
    <m/>
    <m/>
    <m/>
    <m/>
    <n v="1088.2664000000002"/>
    <d v="2022-12-23T00:00:00"/>
    <n v="0"/>
    <n v="0"/>
    <n v="0"/>
    <n v="0"/>
    <n v="0"/>
    <n v="0"/>
    <n v="0"/>
    <x v="0"/>
    <n v="159975.16080000004"/>
    <n v="159975.16080000004"/>
    <n v="0"/>
    <n v="0"/>
    <x v="0"/>
    <x v="14"/>
  </r>
  <r>
    <s v="ORD01745"/>
    <d v="2023-03-11T00:00:00"/>
    <x v="621"/>
    <x v="82"/>
    <n v="154"/>
    <s v="INV01745"/>
    <n v="154"/>
    <n v="285.36900000000003"/>
    <m/>
    <m/>
    <m/>
    <m/>
    <m/>
    <n v="285.36900000000003"/>
    <d v="2023-01-06T00:00:00"/>
    <n v="0"/>
    <n v="0"/>
    <n v="0"/>
    <n v="0"/>
    <n v="0"/>
    <n v="0"/>
    <n v="0"/>
    <x v="0"/>
    <n v="43946.826000000001"/>
    <n v="43946.826000000001"/>
    <n v="0"/>
    <n v="0"/>
    <x v="0"/>
    <x v="17"/>
  </r>
  <r>
    <s v="ORD01746"/>
    <d v="2024-08-17T00:00:00"/>
    <x v="40"/>
    <x v="197"/>
    <n v="162"/>
    <s v="INV01746"/>
    <n v="162"/>
    <n v="250.3184"/>
    <n v="3"/>
    <d v="2024-05-27T00:00:00"/>
    <m/>
    <m/>
    <m/>
    <n v="250.3184"/>
    <d v="2023-10-13T00:00:00"/>
    <n v="0"/>
    <n v="0"/>
    <n v="0"/>
    <n v="0"/>
    <n v="0"/>
    <n v="0"/>
    <n v="0"/>
    <x v="0"/>
    <n v="40551.580799999996"/>
    <n v="40551.580799999996"/>
    <n v="0"/>
    <n v="0"/>
    <x v="0"/>
    <x v="22"/>
  </r>
  <r>
    <s v="ORD01747"/>
    <d v="2024-12-20T00:00:00"/>
    <x v="326"/>
    <x v="165"/>
    <n v="135"/>
    <s v="INV01747"/>
    <n v="135"/>
    <n v="991.99"/>
    <m/>
    <m/>
    <m/>
    <m/>
    <m/>
    <n v="991.99"/>
    <d v="2023-02-19T00:00:00"/>
    <n v="0"/>
    <n v="0"/>
    <n v="0"/>
    <n v="0"/>
    <n v="0"/>
    <n v="0"/>
    <n v="0"/>
    <x v="0"/>
    <n v="133918.65"/>
    <n v="133918.65"/>
    <n v="0"/>
    <n v="0"/>
    <x v="0"/>
    <x v="1"/>
  </r>
  <r>
    <s v="ORD01748"/>
    <d v="2024-06-21T00:00:00"/>
    <x v="286"/>
    <x v="30"/>
    <n v="74"/>
    <s v="INV01748"/>
    <n v="74"/>
    <n v="360.68479999999994"/>
    <m/>
    <m/>
    <m/>
    <m/>
    <m/>
    <n v="360.68479999999994"/>
    <d v="2023-05-26T00:00:00"/>
    <n v="0"/>
    <n v="0"/>
    <n v="0"/>
    <n v="0"/>
    <n v="0"/>
    <n v="0"/>
    <n v="0"/>
    <x v="0"/>
    <n v="26690.675199999994"/>
    <n v="26690.675199999994"/>
    <n v="0"/>
    <n v="0"/>
    <x v="0"/>
    <x v="16"/>
  </r>
  <r>
    <s v="ORD01749"/>
    <d v="2024-04-27T00:00:00"/>
    <x v="451"/>
    <x v="271"/>
    <n v="18"/>
    <s v="INV01749"/>
    <n v="18"/>
    <n v="358.33919999999995"/>
    <m/>
    <m/>
    <m/>
    <m/>
    <m/>
    <n v="358.33919999999995"/>
    <d v="2023-07-01T00:00:00"/>
    <n v="0"/>
    <n v="0"/>
    <n v="0"/>
    <n v="0"/>
    <n v="0"/>
    <n v="0"/>
    <n v="0"/>
    <x v="0"/>
    <n v="6450.105599999999"/>
    <n v="6450.105599999999"/>
    <n v="0"/>
    <n v="0"/>
    <x v="0"/>
    <x v="9"/>
  </r>
  <r>
    <s v="ORD01750"/>
    <d v="2023-02-26T00:00:00"/>
    <x v="317"/>
    <x v="65"/>
    <n v="163"/>
    <s v="INV01750"/>
    <n v="163"/>
    <n v="660.96040000000005"/>
    <m/>
    <m/>
    <m/>
    <m/>
    <m/>
    <n v="660.96040000000005"/>
    <d v="2023-01-21T00:00:00"/>
    <n v="0"/>
    <n v="0"/>
    <n v="0"/>
    <n v="0"/>
    <n v="0"/>
    <n v="0"/>
    <n v="0"/>
    <x v="0"/>
    <n v="107736.54520000001"/>
    <n v="107736.54520000001"/>
    <n v="0"/>
    <n v="0"/>
    <x v="0"/>
    <x v="11"/>
  </r>
  <r>
    <s v="ORD01751"/>
    <d v="2024-08-02T00:00:00"/>
    <x v="118"/>
    <x v="232"/>
    <n v="10"/>
    <s v="INV01751"/>
    <n v="10"/>
    <n v="1066.5735649707872"/>
    <m/>
    <m/>
    <m/>
    <m/>
    <m/>
    <n v="1065.7722000000001"/>
    <d v="2023-01-10T00:00:00"/>
    <n v="0"/>
    <n v="0"/>
    <n v="1"/>
    <n v="0"/>
    <n v="0"/>
    <n v="0"/>
    <n v="0"/>
    <x v="1"/>
    <n v="10665.735649707873"/>
    <n v="10657.722000000002"/>
    <n v="8.0136497078710818"/>
    <n v="4"/>
    <x v="1"/>
    <x v="22"/>
  </r>
  <r>
    <s v="ORD01752"/>
    <d v="2023-05-08T00:00:00"/>
    <x v="343"/>
    <x v="221"/>
    <n v="149"/>
    <s v="INV01752"/>
    <n v="149"/>
    <n v="690.05370000000005"/>
    <m/>
    <m/>
    <m/>
    <m/>
    <m/>
    <n v="690.05370000000005"/>
    <d v="2023-02-19T00:00:00"/>
    <n v="0"/>
    <n v="0"/>
    <n v="0"/>
    <n v="0"/>
    <n v="0"/>
    <n v="0"/>
    <n v="0"/>
    <x v="0"/>
    <n v="102818.0013"/>
    <n v="102818.0013"/>
    <n v="0"/>
    <n v="0"/>
    <x v="0"/>
    <x v="7"/>
  </r>
  <r>
    <s v="ORD01753"/>
    <d v="2023-01-01T00:00:00"/>
    <x v="280"/>
    <x v="123"/>
    <n v="12"/>
    <s v="INV01753"/>
    <n v="12"/>
    <n v="650.25"/>
    <m/>
    <m/>
    <m/>
    <m/>
    <m/>
    <n v="650.25"/>
    <d v="2022-11-13T00:00:00"/>
    <n v="0"/>
    <n v="0"/>
    <n v="0"/>
    <n v="0"/>
    <n v="0"/>
    <n v="0"/>
    <n v="0"/>
    <x v="0"/>
    <n v="7803"/>
    <n v="7803"/>
    <n v="0"/>
    <n v="0"/>
    <x v="0"/>
    <x v="8"/>
  </r>
  <r>
    <s v="ORD01754"/>
    <d v="2023-11-30T00:00:00"/>
    <x v="715"/>
    <x v="157"/>
    <n v="141"/>
    <s v="INV01754"/>
    <n v="141"/>
    <n v="1158.2643"/>
    <m/>
    <m/>
    <m/>
    <m/>
    <m/>
    <n v="1158.2643"/>
    <d v="2023-07-12T00:00:00"/>
    <n v="0"/>
    <n v="0"/>
    <n v="0"/>
    <n v="0"/>
    <n v="0"/>
    <n v="0"/>
    <n v="0"/>
    <x v="0"/>
    <n v="163315.26630000002"/>
    <n v="163315.26630000002"/>
    <n v="0"/>
    <n v="0"/>
    <x v="0"/>
    <x v="0"/>
  </r>
  <r>
    <s v="ORD01755"/>
    <d v="2023-02-02T00:00:00"/>
    <x v="622"/>
    <x v="104"/>
    <n v="108"/>
    <s v="INV01755"/>
    <n v="108"/>
    <n v="916.35"/>
    <m/>
    <m/>
    <m/>
    <m/>
    <m/>
    <n v="916.35"/>
    <d v="2022-02-24T00:00:00"/>
    <n v="0"/>
    <n v="0"/>
    <n v="0"/>
    <n v="0"/>
    <n v="0"/>
    <n v="0"/>
    <n v="0"/>
    <x v="0"/>
    <n v="98965.8"/>
    <n v="98965.8"/>
    <n v="0"/>
    <n v="0"/>
    <x v="0"/>
    <x v="11"/>
  </r>
  <r>
    <s v="ORD01756"/>
    <d v="2024-05-17T00:00:00"/>
    <x v="183"/>
    <x v="143"/>
    <n v="132"/>
    <s v="INV01756"/>
    <n v="132"/>
    <n v="893.8972"/>
    <m/>
    <m/>
    <m/>
    <m/>
    <m/>
    <n v="893.8972"/>
    <d v="2023-05-03T00:00:00"/>
    <n v="0"/>
    <n v="0"/>
    <n v="0"/>
    <n v="0"/>
    <n v="0"/>
    <n v="0"/>
    <n v="0"/>
    <x v="0"/>
    <n v="117994.4304"/>
    <n v="117994.4304"/>
    <n v="0"/>
    <n v="0"/>
    <x v="0"/>
    <x v="13"/>
  </r>
  <r>
    <s v="ORD01757"/>
    <d v="2024-08-26T00:00:00"/>
    <x v="18"/>
    <x v="92"/>
    <n v="91"/>
    <s v="INV01757"/>
    <n v="91"/>
    <n v="833.73500000000001"/>
    <m/>
    <m/>
    <m/>
    <m/>
    <m/>
    <n v="833.73500000000001"/>
    <d v="2023-08-29T00:00:00"/>
    <n v="0"/>
    <n v="0"/>
    <n v="0"/>
    <n v="0"/>
    <n v="0"/>
    <n v="0"/>
    <n v="0"/>
    <x v="0"/>
    <n v="75869.884999999995"/>
    <n v="75869.884999999995"/>
    <n v="0"/>
    <n v="0"/>
    <x v="0"/>
    <x v="22"/>
  </r>
  <r>
    <s v="ORD01758"/>
    <d v="2023-07-20T00:00:00"/>
    <x v="190"/>
    <x v="143"/>
    <n v="61"/>
    <s v="INV01758"/>
    <n v="61"/>
    <n v="893.8972"/>
    <m/>
    <m/>
    <m/>
    <m/>
    <m/>
    <n v="893.8972"/>
    <d v="2023-05-03T00:00:00"/>
    <n v="0"/>
    <n v="0"/>
    <n v="0"/>
    <n v="0"/>
    <n v="0"/>
    <n v="0"/>
    <n v="0"/>
    <x v="0"/>
    <n v="54527.729200000002"/>
    <n v="54527.729200000002"/>
    <n v="0"/>
    <n v="0"/>
    <x v="0"/>
    <x v="10"/>
  </r>
  <r>
    <s v="ORD01759"/>
    <d v="2023-09-01T00:00:00"/>
    <x v="275"/>
    <x v="25"/>
    <n v="68"/>
    <s v="INV01759"/>
    <n v="68"/>
    <n v="1218.568"/>
    <m/>
    <m/>
    <m/>
    <m/>
    <m/>
    <n v="1218.568"/>
    <d v="2023-05-15T00:00:00"/>
    <n v="0"/>
    <n v="0"/>
    <n v="0"/>
    <n v="0"/>
    <n v="0"/>
    <n v="0"/>
    <n v="0"/>
    <x v="0"/>
    <n v="82862.623999999996"/>
    <n v="82862.623999999996"/>
    <n v="0"/>
    <n v="0"/>
    <x v="0"/>
    <x v="18"/>
  </r>
  <r>
    <s v="ORD01760"/>
    <d v="2024-09-25T00:00:00"/>
    <x v="470"/>
    <x v="18"/>
    <n v="12"/>
    <s v="INV01760"/>
    <n v="12"/>
    <n v="337.47280000000001"/>
    <m/>
    <m/>
    <m/>
    <m/>
    <m/>
    <n v="337.47280000000001"/>
    <d v="2023-09-02T00:00:00"/>
    <n v="0"/>
    <n v="0"/>
    <n v="0"/>
    <n v="0"/>
    <n v="0"/>
    <n v="0"/>
    <n v="0"/>
    <x v="0"/>
    <n v="4049.6736000000001"/>
    <n v="4049.6736000000001"/>
    <n v="0"/>
    <n v="0"/>
    <x v="0"/>
    <x v="2"/>
  </r>
  <r>
    <s v="ORD01761"/>
    <d v="2023-06-02T00:00:00"/>
    <x v="64"/>
    <x v="192"/>
    <n v="95"/>
    <s v="INV01761"/>
    <n v="95"/>
    <n v="255.06540000000001"/>
    <m/>
    <m/>
    <m/>
    <m/>
    <m/>
    <n v="255.06540000000001"/>
    <d v="2023-02-21T00:00:00"/>
    <n v="0"/>
    <n v="0"/>
    <n v="0"/>
    <n v="0"/>
    <n v="0"/>
    <n v="0"/>
    <n v="0"/>
    <x v="0"/>
    <n v="24231.213"/>
    <n v="24231.213"/>
    <n v="0"/>
    <n v="0"/>
    <x v="0"/>
    <x v="14"/>
  </r>
  <r>
    <s v="ORD01762"/>
    <d v="2024-09-26T00:00:00"/>
    <x v="331"/>
    <x v="206"/>
    <n v="67"/>
    <s v="INV01762"/>
    <n v="67"/>
    <n v="82.026000000000025"/>
    <m/>
    <m/>
    <m/>
    <m/>
    <m/>
    <n v="82.026000000000025"/>
    <d v="2023-05-15T00:00:00"/>
    <n v="0"/>
    <n v="0"/>
    <n v="0"/>
    <n v="0"/>
    <n v="0"/>
    <n v="0"/>
    <n v="0"/>
    <x v="0"/>
    <n v="5495.742000000002"/>
    <n v="5495.742000000002"/>
    <n v="0"/>
    <n v="0"/>
    <x v="0"/>
    <x v="2"/>
  </r>
  <r>
    <s v="ORD01763"/>
    <d v="2023-08-25T00:00:00"/>
    <x v="388"/>
    <x v="215"/>
    <n v="113"/>
    <s v="INV01763"/>
    <n v="113"/>
    <n v="174.32480000000001"/>
    <m/>
    <m/>
    <m/>
    <m/>
    <m/>
    <n v="174.32480000000001"/>
    <d v="2023-08-04T00:00:00"/>
    <n v="0"/>
    <n v="0"/>
    <n v="0"/>
    <n v="0"/>
    <n v="0"/>
    <n v="0"/>
    <n v="0"/>
    <x v="0"/>
    <n v="19698.702400000002"/>
    <n v="19698.702400000002"/>
    <n v="0"/>
    <n v="0"/>
    <x v="0"/>
    <x v="12"/>
  </r>
  <r>
    <s v="ORD01764"/>
    <d v="2023-11-09T00:00:00"/>
    <x v="56"/>
    <x v="91"/>
    <n v="63"/>
    <s v="INV01764"/>
    <n v="63"/>
    <n v="560.93099147722182"/>
    <m/>
    <m/>
    <m/>
    <m/>
    <m/>
    <n v="560.37830000000008"/>
    <d v="2023-06-12T00:00:00"/>
    <n v="0"/>
    <n v="0"/>
    <n v="1"/>
    <n v="0"/>
    <n v="0"/>
    <n v="0"/>
    <n v="0"/>
    <x v="1"/>
    <n v="35338.652463064973"/>
    <n v="35303.832900000009"/>
    <n v="34.819563064964314"/>
    <n v="4"/>
    <x v="1"/>
    <x v="0"/>
  </r>
  <r>
    <s v="ORD01765"/>
    <d v="2023-10-09T00:00:00"/>
    <x v="196"/>
    <x v="129"/>
    <n v="1"/>
    <s v="INV01765"/>
    <n v="1"/>
    <n v="664.8768"/>
    <m/>
    <m/>
    <m/>
    <m/>
    <m/>
    <n v="664.8768"/>
    <d v="2023-07-09T00:00:00"/>
    <n v="0"/>
    <n v="0"/>
    <n v="0"/>
    <n v="0"/>
    <n v="0"/>
    <n v="0"/>
    <n v="0"/>
    <x v="0"/>
    <n v="664.8768"/>
    <n v="664.8768"/>
    <n v="0"/>
    <n v="0"/>
    <x v="0"/>
    <x v="19"/>
  </r>
  <r>
    <s v="ORD01766"/>
    <d v="2024-03-07T00:00:00"/>
    <x v="173"/>
    <x v="104"/>
    <n v="67"/>
    <s v="INV01766"/>
    <n v="67"/>
    <n v="898.02300000000002"/>
    <m/>
    <m/>
    <m/>
    <m/>
    <m/>
    <n v="898.02300000000002"/>
    <d v="2023-04-10T00:00:00"/>
    <n v="0"/>
    <n v="0"/>
    <n v="0"/>
    <n v="0"/>
    <n v="0"/>
    <n v="0"/>
    <n v="0"/>
    <x v="0"/>
    <n v="60167.541000000005"/>
    <n v="60167.541000000005"/>
    <n v="0"/>
    <n v="0"/>
    <x v="0"/>
    <x v="6"/>
  </r>
  <r>
    <s v="ORD01767"/>
    <d v="2024-05-27T00:00:00"/>
    <x v="504"/>
    <x v="251"/>
    <n v="192"/>
    <s v="INV01767"/>
    <n v="192"/>
    <n v="75.504800000000003"/>
    <m/>
    <m/>
    <m/>
    <m/>
    <m/>
    <n v="75.504800000000003"/>
    <d v="2023-06-03T00:00:00"/>
    <n v="0"/>
    <n v="0"/>
    <n v="0"/>
    <n v="0"/>
    <n v="0"/>
    <n v="0"/>
    <n v="0"/>
    <x v="0"/>
    <n v="14496.921600000001"/>
    <n v="14496.921600000001"/>
    <n v="0"/>
    <n v="0"/>
    <x v="0"/>
    <x v="13"/>
  </r>
  <r>
    <s v="ORD01768"/>
    <d v="2024-02-01T00:00:00"/>
    <x v="155"/>
    <x v="216"/>
    <n v="80"/>
    <s v="INV01768"/>
    <n v="80"/>
    <n v="828.36189999999999"/>
    <m/>
    <m/>
    <m/>
    <m/>
    <m/>
    <n v="828.36189999999999"/>
    <d v="2023-07-30T00:00:00"/>
    <n v="0"/>
    <n v="0"/>
    <n v="0"/>
    <n v="0"/>
    <n v="0"/>
    <n v="0"/>
    <n v="0"/>
    <x v="0"/>
    <n v="66268.952000000005"/>
    <n v="66268.952000000005"/>
    <n v="0"/>
    <n v="0"/>
    <x v="0"/>
    <x v="3"/>
  </r>
  <r>
    <s v="ORD01769"/>
    <d v="2024-02-17T00:00:00"/>
    <x v="681"/>
    <x v="251"/>
    <n v="85"/>
    <s v="INV01769"/>
    <n v="85"/>
    <n v="75.504800000000003"/>
    <m/>
    <m/>
    <m/>
    <m/>
    <m/>
    <n v="75.504800000000003"/>
    <d v="2023-06-03T00:00:00"/>
    <n v="0"/>
    <n v="0"/>
    <n v="0"/>
    <n v="0"/>
    <n v="0"/>
    <n v="0"/>
    <n v="0"/>
    <x v="0"/>
    <n v="6417.9080000000004"/>
    <n v="6417.9080000000004"/>
    <n v="0"/>
    <n v="0"/>
    <x v="0"/>
    <x v="3"/>
  </r>
  <r>
    <s v="ORD01770"/>
    <d v="2024-08-18T00:00:00"/>
    <x v="32"/>
    <x v="134"/>
    <n v="169"/>
    <s v="INV01770"/>
    <n v="169"/>
    <n v="410.02"/>
    <m/>
    <m/>
    <m/>
    <m/>
    <m/>
    <n v="410.02"/>
    <d v="2023-04-01T00:00:00"/>
    <n v="0"/>
    <n v="0"/>
    <n v="0"/>
    <n v="0"/>
    <n v="0"/>
    <n v="0"/>
    <n v="0"/>
    <x v="0"/>
    <n v="69293.37999999999"/>
    <n v="69293.37999999999"/>
    <n v="0"/>
    <n v="0"/>
    <x v="0"/>
    <x v="22"/>
  </r>
  <r>
    <s v="ORD01771"/>
    <d v="2023-06-13T00:00:00"/>
    <x v="264"/>
    <x v="7"/>
    <n v="68"/>
    <s v="INV01771"/>
    <n v="68"/>
    <n v="510.91840000000002"/>
    <m/>
    <m/>
    <m/>
    <m/>
    <m/>
    <n v="510.91840000000002"/>
    <d v="2023-02-24T00:00:00"/>
    <n v="0"/>
    <n v="0"/>
    <n v="0"/>
    <n v="0"/>
    <n v="0"/>
    <n v="0"/>
    <n v="0"/>
    <x v="0"/>
    <n v="34742.451200000003"/>
    <n v="34742.451200000003"/>
    <n v="0"/>
    <n v="0"/>
    <x v="0"/>
    <x v="14"/>
  </r>
  <r>
    <s v="ORD01772"/>
    <d v="2023-07-20T00:00:00"/>
    <x v="360"/>
    <x v="178"/>
    <n v="113"/>
    <s v="INV01772"/>
    <n v="113"/>
    <n v="479.40280000000007"/>
    <m/>
    <m/>
    <m/>
    <m/>
    <m/>
    <n v="479.40280000000007"/>
    <d v="2023-01-15T00:00:00"/>
    <n v="0"/>
    <n v="0"/>
    <n v="0"/>
    <n v="0"/>
    <n v="0"/>
    <n v="0"/>
    <n v="0"/>
    <x v="0"/>
    <n v="54172.516400000008"/>
    <n v="54172.516400000008"/>
    <n v="0"/>
    <n v="0"/>
    <x v="0"/>
    <x v="10"/>
  </r>
  <r>
    <s v="ORD01773"/>
    <d v="2023-10-12T00:00:00"/>
    <x v="672"/>
    <x v="62"/>
    <n v="194"/>
    <s v="INV01773"/>
    <n v="194"/>
    <n v="1080.0740000000001"/>
    <m/>
    <m/>
    <m/>
    <m/>
    <m/>
    <n v="1080.0740000000001"/>
    <d v="2023-05-12T00:00:00"/>
    <n v="0"/>
    <n v="0"/>
    <n v="0"/>
    <n v="0"/>
    <n v="0"/>
    <n v="0"/>
    <n v="0"/>
    <x v="0"/>
    <n v="209534.356"/>
    <n v="209534.356"/>
    <n v="0"/>
    <n v="0"/>
    <x v="0"/>
    <x v="19"/>
  </r>
  <r>
    <s v="ORD01774"/>
    <d v="2023-10-15T00:00:00"/>
    <x v="275"/>
    <x v="151"/>
    <n v="67"/>
    <s v="INV01774"/>
    <n v="67"/>
    <n v="212.73140000000001"/>
    <m/>
    <m/>
    <m/>
    <m/>
    <m/>
    <n v="212.73140000000001"/>
    <d v="2023-08-06T00:00:00"/>
    <n v="0"/>
    <n v="0"/>
    <n v="0"/>
    <n v="0"/>
    <n v="0"/>
    <n v="0"/>
    <n v="0"/>
    <x v="0"/>
    <n v="14253.0038"/>
    <n v="14253.0038"/>
    <n v="0"/>
    <n v="0"/>
    <x v="0"/>
    <x v="19"/>
  </r>
  <r>
    <s v="ORD01775"/>
    <d v="2023-01-26T00:00:00"/>
    <x v="516"/>
    <x v="179"/>
    <n v="151"/>
    <s v="INV01775"/>
    <n v="151"/>
    <n v="72.63"/>
    <m/>
    <m/>
    <m/>
    <m/>
    <m/>
    <n v="72.63"/>
    <d v="2022-10-13T00:00:00"/>
    <n v="0"/>
    <n v="0"/>
    <n v="0"/>
    <n v="0"/>
    <n v="0"/>
    <n v="0"/>
    <n v="0"/>
    <x v="0"/>
    <n v="10967.13"/>
    <n v="10967.13"/>
    <n v="0"/>
    <n v="0"/>
    <x v="0"/>
    <x v="8"/>
  </r>
  <r>
    <s v="ORD01776"/>
    <d v="2024-12-12T00:00:00"/>
    <x v="716"/>
    <x v="158"/>
    <n v="62"/>
    <s v="INV01776"/>
    <n v="62"/>
    <n v="754.20799999999997"/>
    <m/>
    <m/>
    <m/>
    <m/>
    <m/>
    <n v="754.20799999999997"/>
    <d v="2023-05-23T00:00:00"/>
    <n v="0"/>
    <n v="0"/>
    <n v="0"/>
    <n v="0"/>
    <n v="0"/>
    <n v="0"/>
    <n v="0"/>
    <x v="0"/>
    <n v="46760.896000000001"/>
    <n v="46760.896000000001"/>
    <n v="0"/>
    <n v="0"/>
    <x v="0"/>
    <x v="1"/>
  </r>
  <r>
    <s v="ORD01777"/>
    <d v="2024-05-31T00:00:00"/>
    <x v="554"/>
    <x v="95"/>
    <n v="189"/>
    <s v="INV01777"/>
    <n v="189"/>
    <n v="1072.1079000000002"/>
    <m/>
    <m/>
    <m/>
    <m/>
    <m/>
    <n v="1072.1079000000002"/>
    <d v="2023-04-19T00:00:00"/>
    <n v="0"/>
    <n v="0"/>
    <n v="0"/>
    <n v="0"/>
    <n v="0"/>
    <n v="0"/>
    <n v="0"/>
    <x v="0"/>
    <n v="202628.39310000004"/>
    <n v="202628.39310000004"/>
    <n v="0"/>
    <n v="0"/>
    <x v="0"/>
    <x v="13"/>
  </r>
  <r>
    <s v="ORD01778"/>
    <d v="2023-01-28T00:00:00"/>
    <x v="360"/>
    <x v="11"/>
    <n v="13"/>
    <s v="INV01778"/>
    <n v="13"/>
    <n v="634.76160000000004"/>
    <m/>
    <m/>
    <m/>
    <m/>
    <m/>
    <n v="634.76160000000004"/>
    <d v="2023-01-02T00:00:00"/>
    <n v="0"/>
    <n v="0"/>
    <n v="0"/>
    <n v="0"/>
    <n v="0"/>
    <n v="0"/>
    <n v="0"/>
    <x v="0"/>
    <n v="8251.9008000000013"/>
    <n v="8251.9008000000013"/>
    <n v="0"/>
    <n v="0"/>
    <x v="0"/>
    <x v="8"/>
  </r>
  <r>
    <s v="ORD01779"/>
    <d v="2024-08-07T00:00:00"/>
    <x v="618"/>
    <x v="247"/>
    <n v="148"/>
    <s v="INV01779"/>
    <n v="148"/>
    <n v="648.86940000000004"/>
    <m/>
    <m/>
    <m/>
    <m/>
    <m/>
    <n v="648.86940000000004"/>
    <d v="2023-05-18T00:00:00"/>
    <n v="0"/>
    <n v="0"/>
    <n v="0"/>
    <n v="0"/>
    <n v="0"/>
    <n v="0"/>
    <n v="0"/>
    <x v="0"/>
    <n v="96032.671200000012"/>
    <n v="96032.671200000012"/>
    <n v="0"/>
    <n v="0"/>
    <x v="0"/>
    <x v="22"/>
  </r>
  <r>
    <s v="ORD01780"/>
    <d v="2024-06-20T00:00:00"/>
    <x v="52"/>
    <x v="176"/>
    <n v="181"/>
    <s v="INV01780"/>
    <n v="181"/>
    <n v="79.105599999999995"/>
    <m/>
    <m/>
    <m/>
    <m/>
    <m/>
    <n v="79.105599999999995"/>
    <d v="2023-10-05T00:00:00"/>
    <n v="0"/>
    <n v="0"/>
    <n v="0"/>
    <n v="0"/>
    <n v="0"/>
    <n v="0"/>
    <n v="0"/>
    <x v="0"/>
    <n v="14318.113599999999"/>
    <n v="14318.113599999999"/>
    <n v="0"/>
    <n v="0"/>
    <x v="0"/>
    <x v="16"/>
  </r>
  <r>
    <s v="ORD01781"/>
    <d v="2024-07-23T00:00:00"/>
    <x v="717"/>
    <x v="53"/>
    <n v="197"/>
    <s v="INV01781"/>
    <n v="197"/>
    <n v="393.40140000000002"/>
    <m/>
    <m/>
    <m/>
    <m/>
    <m/>
    <n v="393.40140000000002"/>
    <d v="2023-08-08T00:00:00"/>
    <n v="0"/>
    <n v="0"/>
    <n v="0"/>
    <n v="0"/>
    <n v="0"/>
    <n v="0"/>
    <n v="0"/>
    <x v="0"/>
    <n v="77500.075800000006"/>
    <n v="77500.075800000006"/>
    <n v="0"/>
    <n v="0"/>
    <x v="0"/>
    <x v="21"/>
  </r>
  <r>
    <s v="ORD01782"/>
    <d v="2024-10-05T00:00:00"/>
    <x v="203"/>
    <x v="237"/>
    <n v="68"/>
    <s v="INV01782"/>
    <n v="68"/>
    <n v="620.22550000000001"/>
    <m/>
    <m/>
    <m/>
    <m/>
    <m/>
    <n v="620.22550000000001"/>
    <d v="2023-10-01T00:00:00"/>
    <n v="0"/>
    <n v="0"/>
    <n v="0"/>
    <n v="0"/>
    <n v="0"/>
    <n v="0"/>
    <n v="0"/>
    <x v="0"/>
    <n v="42175.334000000003"/>
    <n v="42175.334000000003"/>
    <n v="0"/>
    <n v="0"/>
    <x v="0"/>
    <x v="5"/>
  </r>
  <r>
    <s v="ORD01783"/>
    <d v="2024-03-21T00:00:00"/>
    <x v="714"/>
    <x v="266"/>
    <n v="95"/>
    <s v="INV01783"/>
    <n v="95"/>
    <n v="378.91109999999998"/>
    <m/>
    <m/>
    <m/>
    <m/>
    <m/>
    <n v="378.91109999999998"/>
    <d v="2023-07-10T00:00:00"/>
    <n v="0"/>
    <n v="0"/>
    <n v="0"/>
    <n v="0"/>
    <n v="0"/>
    <n v="0"/>
    <n v="0"/>
    <x v="0"/>
    <n v="35996.554499999998"/>
    <n v="35996.554499999998"/>
    <n v="0"/>
    <n v="0"/>
    <x v="0"/>
    <x v="6"/>
  </r>
  <r>
    <s v="ORD01784"/>
    <d v="2023-04-14T00:00:00"/>
    <x v="403"/>
    <x v="65"/>
    <n v="69"/>
    <s v="INV01784"/>
    <n v="69"/>
    <n v="660.96040000000005"/>
    <m/>
    <m/>
    <m/>
    <m/>
    <m/>
    <n v="660.96040000000005"/>
    <d v="2023-01-21T00:00:00"/>
    <n v="0"/>
    <n v="0"/>
    <n v="0"/>
    <n v="0"/>
    <n v="0"/>
    <n v="0"/>
    <n v="0"/>
    <x v="0"/>
    <n v="45606.267600000006"/>
    <n v="45606.267600000006"/>
    <n v="0"/>
    <n v="0"/>
    <x v="0"/>
    <x v="23"/>
  </r>
  <r>
    <s v="ORD01785"/>
    <d v="2023-11-29T00:00:00"/>
    <x v="509"/>
    <x v="6"/>
    <n v="190"/>
    <s v="INV01785"/>
    <n v="190"/>
    <n v="700.93560000000002"/>
    <m/>
    <m/>
    <m/>
    <m/>
    <m/>
    <n v="700.93560000000002"/>
    <d v="2023-05-31T00:00:00"/>
    <n v="0"/>
    <n v="0"/>
    <n v="0"/>
    <n v="0"/>
    <n v="0"/>
    <n v="0"/>
    <n v="0"/>
    <x v="0"/>
    <n v="133177.764"/>
    <n v="133177.764"/>
    <n v="0"/>
    <n v="0"/>
    <x v="0"/>
    <x v="0"/>
  </r>
  <r>
    <s v="ORD01786"/>
    <d v="2023-09-29T00:00:00"/>
    <x v="47"/>
    <x v="131"/>
    <n v="139"/>
    <s v="INV01786"/>
    <n v="139"/>
    <n v="741.88620000000003"/>
    <m/>
    <m/>
    <m/>
    <m/>
    <m/>
    <n v="741.88620000000003"/>
    <d v="2023-01-04T00:00:00"/>
    <n v="0"/>
    <n v="0"/>
    <n v="0"/>
    <n v="0"/>
    <n v="0"/>
    <n v="0"/>
    <n v="0"/>
    <x v="0"/>
    <n v="103122.18180000001"/>
    <n v="103122.18180000001"/>
    <n v="0"/>
    <n v="0"/>
    <x v="0"/>
    <x v="18"/>
  </r>
  <r>
    <s v="ORD01787"/>
    <d v="2024-01-06T00:00:00"/>
    <x v="201"/>
    <x v="32"/>
    <n v="67"/>
    <s v="INV01787"/>
    <n v="67"/>
    <n v="973.43799999999999"/>
    <m/>
    <m/>
    <m/>
    <m/>
    <m/>
    <n v="973.43799999999999"/>
    <d v="2023-03-26T00:00:00"/>
    <n v="0"/>
    <n v="0"/>
    <n v="0"/>
    <n v="0"/>
    <n v="0"/>
    <n v="0"/>
    <n v="0"/>
    <x v="0"/>
    <n v="65220.345999999998"/>
    <n v="65220.345999999998"/>
    <n v="0"/>
    <n v="0"/>
    <x v="0"/>
    <x v="15"/>
  </r>
  <r>
    <s v="ORD01788"/>
    <d v="2024-01-19T00:00:00"/>
    <x v="330"/>
    <x v="132"/>
    <n v="35"/>
    <s v="INV01788"/>
    <n v="35"/>
    <n v="744.44590000000005"/>
    <m/>
    <m/>
    <m/>
    <m/>
    <m/>
    <n v="744.44590000000005"/>
    <d v="2023-03-23T00:00:00"/>
    <n v="0"/>
    <n v="0"/>
    <n v="0"/>
    <n v="0"/>
    <n v="0"/>
    <n v="0"/>
    <n v="0"/>
    <x v="0"/>
    <n v="26055.606500000002"/>
    <n v="26055.606500000002"/>
    <n v="0"/>
    <n v="0"/>
    <x v="0"/>
    <x v="15"/>
  </r>
  <r>
    <s v="ORD01789"/>
    <d v="2024-10-15T00:00:00"/>
    <x v="521"/>
    <x v="130"/>
    <n v="115"/>
    <s v="INV01789"/>
    <n v="115"/>
    <n v="58.98"/>
    <m/>
    <m/>
    <m/>
    <m/>
    <m/>
    <n v="58.98"/>
    <d v="2023-01-08T00:00:00"/>
    <n v="0"/>
    <n v="0"/>
    <n v="0"/>
    <n v="0"/>
    <n v="0"/>
    <n v="0"/>
    <n v="0"/>
    <x v="0"/>
    <n v="6782.7"/>
    <n v="6782.7"/>
    <n v="0"/>
    <n v="0"/>
    <x v="0"/>
    <x v="5"/>
  </r>
  <r>
    <s v="ORD01790"/>
    <d v="2024-06-26T00:00:00"/>
    <x v="342"/>
    <x v="26"/>
    <n v="169"/>
    <s v="INV01790"/>
    <n v="169"/>
    <n v="129.17519999999999"/>
    <n v="18"/>
    <d v="2023-12-07T00:00:00"/>
    <m/>
    <m/>
    <m/>
    <n v="129.17519999999999"/>
    <d v="2023-09-15T00:00:00"/>
    <n v="0"/>
    <n v="0"/>
    <n v="0"/>
    <n v="0"/>
    <n v="0"/>
    <n v="0"/>
    <n v="0"/>
    <x v="0"/>
    <n v="21830.608799999998"/>
    <n v="21830.608799999998"/>
    <n v="0"/>
    <n v="0"/>
    <x v="0"/>
    <x v="16"/>
  </r>
  <r>
    <s v="ORD01791"/>
    <d v="2023-06-15T00:00:00"/>
    <x v="78"/>
    <x v="239"/>
    <n v="3"/>
    <s v="INV01791"/>
    <n v="3"/>
    <n v="1197.9306999999999"/>
    <m/>
    <m/>
    <m/>
    <m/>
    <m/>
    <n v="1197.9306999999999"/>
    <d v="2023-06-12T00:00:00"/>
    <n v="0"/>
    <n v="0"/>
    <n v="0"/>
    <n v="0"/>
    <n v="0"/>
    <n v="0"/>
    <n v="0"/>
    <x v="0"/>
    <n v="3593.7920999999997"/>
    <n v="3593.7920999999997"/>
    <n v="0"/>
    <n v="0"/>
    <x v="0"/>
    <x v="14"/>
  </r>
  <r>
    <s v="ORD01792"/>
    <d v="2023-03-06T00:00:00"/>
    <x v="325"/>
    <x v="29"/>
    <n v="58"/>
    <s v="INV01792"/>
    <n v="58"/>
    <n v="1040.6099999999999"/>
    <m/>
    <m/>
    <m/>
    <m/>
    <m/>
    <n v="1040.6099999999999"/>
    <d v="2022-05-01T00:00:00"/>
    <n v="0"/>
    <n v="0"/>
    <n v="0"/>
    <n v="0"/>
    <n v="0"/>
    <n v="0"/>
    <n v="0"/>
    <x v="0"/>
    <n v="60355.38"/>
    <n v="60355.38"/>
    <n v="0"/>
    <n v="0"/>
    <x v="0"/>
    <x v="17"/>
  </r>
  <r>
    <s v="ORD01793"/>
    <d v="2024-10-28T00:00:00"/>
    <x v="244"/>
    <x v="292"/>
    <n v="52"/>
    <s v="INV01793"/>
    <n v="52"/>
    <n v="850.88400000000001"/>
    <m/>
    <m/>
    <m/>
    <m/>
    <m/>
    <n v="850.88400000000001"/>
    <d v="2023-06-23T00:00:00"/>
    <n v="0"/>
    <n v="0"/>
    <n v="0"/>
    <n v="0"/>
    <n v="0"/>
    <n v="0"/>
    <n v="0"/>
    <x v="0"/>
    <n v="44245.968000000001"/>
    <n v="44245.968000000001"/>
    <n v="0"/>
    <n v="0"/>
    <x v="0"/>
    <x v="5"/>
  </r>
  <r>
    <s v="ORD01794"/>
    <d v="2024-02-15T00:00:00"/>
    <x v="433"/>
    <x v="278"/>
    <n v="178"/>
    <s v="INV01794"/>
    <n v="178"/>
    <n v="312.56310000000002"/>
    <m/>
    <m/>
    <m/>
    <m/>
    <m/>
    <n v="312.56310000000002"/>
    <d v="2023-04-12T00:00:00"/>
    <n v="0"/>
    <n v="0"/>
    <n v="0"/>
    <n v="0"/>
    <n v="0"/>
    <n v="0"/>
    <n v="0"/>
    <x v="0"/>
    <n v="55636.231800000001"/>
    <n v="55636.231800000001"/>
    <n v="0"/>
    <n v="0"/>
    <x v="0"/>
    <x v="3"/>
  </r>
  <r>
    <s v="ORD01795"/>
    <d v="2024-01-14T00:00:00"/>
    <x v="73"/>
    <x v="128"/>
    <n v="61"/>
    <s v="INV01795"/>
    <n v="61"/>
    <n v="440.38799999999998"/>
    <m/>
    <m/>
    <m/>
    <m/>
    <m/>
    <n v="440.38799999999998"/>
    <d v="2023-03-31T00:00:00"/>
    <n v="0"/>
    <n v="0"/>
    <n v="0"/>
    <n v="0"/>
    <n v="0"/>
    <n v="0"/>
    <n v="0"/>
    <x v="0"/>
    <n v="26863.667999999998"/>
    <n v="26863.667999999998"/>
    <n v="0"/>
    <n v="0"/>
    <x v="0"/>
    <x v="15"/>
  </r>
  <r>
    <s v="ORD01796"/>
    <d v="2024-02-02T00:00:00"/>
    <x v="476"/>
    <x v="19"/>
    <n v="179"/>
    <s v="INV01796"/>
    <n v="179"/>
    <n v="833.41650000000004"/>
    <m/>
    <m/>
    <m/>
    <m/>
    <m/>
    <n v="833.41650000000004"/>
    <d v="2023-09-25T00:00:00"/>
    <n v="0"/>
    <n v="0"/>
    <n v="0"/>
    <n v="0"/>
    <n v="0"/>
    <n v="0"/>
    <n v="0"/>
    <x v="0"/>
    <n v="149181.55350000001"/>
    <n v="149181.55350000001"/>
    <n v="0"/>
    <n v="0"/>
    <x v="0"/>
    <x v="3"/>
  </r>
  <r>
    <s v="ORD01797"/>
    <d v="2024-04-08T00:00:00"/>
    <x v="390"/>
    <x v="282"/>
    <n v="168"/>
    <s v="INV01797"/>
    <n v="168"/>
    <n v="380.976"/>
    <m/>
    <m/>
    <m/>
    <m/>
    <m/>
    <n v="380.976"/>
    <d v="2023-09-03T00:00:00"/>
    <n v="0"/>
    <n v="0"/>
    <n v="0"/>
    <n v="0"/>
    <n v="0"/>
    <n v="0"/>
    <n v="0"/>
    <x v="0"/>
    <n v="64003.968000000001"/>
    <n v="64003.968000000001"/>
    <n v="0"/>
    <n v="0"/>
    <x v="0"/>
    <x v="9"/>
  </r>
  <r>
    <s v="ORD01798"/>
    <d v="2024-03-28T00:00:00"/>
    <x v="124"/>
    <x v="186"/>
    <n v="137"/>
    <s v="INV01798"/>
    <n v="137"/>
    <n v="589.66600000000005"/>
    <m/>
    <m/>
    <m/>
    <m/>
    <m/>
    <n v="589.66600000000005"/>
    <d v="2023-10-19T00:00:00"/>
    <n v="0"/>
    <n v="0"/>
    <n v="0"/>
    <n v="0"/>
    <n v="0"/>
    <n v="0"/>
    <n v="0"/>
    <x v="0"/>
    <n v="80784.242000000013"/>
    <n v="80784.242000000013"/>
    <n v="0"/>
    <n v="0"/>
    <x v="0"/>
    <x v="6"/>
  </r>
  <r>
    <s v="ORD01799"/>
    <d v="2024-10-25T00:00:00"/>
    <x v="718"/>
    <x v="112"/>
    <n v="119"/>
    <s v="INV01799"/>
    <n v="119"/>
    <n v="322.71780000000001"/>
    <m/>
    <m/>
    <m/>
    <m/>
    <m/>
    <n v="322.71780000000001"/>
    <d v="2023-08-31T00:00:00"/>
    <n v="0"/>
    <n v="0"/>
    <n v="0"/>
    <n v="0"/>
    <n v="0"/>
    <n v="0"/>
    <n v="0"/>
    <x v="0"/>
    <n v="38403.4182"/>
    <n v="38403.4182"/>
    <n v="0"/>
    <n v="0"/>
    <x v="0"/>
    <x v="5"/>
  </r>
  <r>
    <s v="ORD01800"/>
    <d v="2024-03-30T00:00:00"/>
    <x v="387"/>
    <x v="183"/>
    <n v="181"/>
    <s v="INV01800"/>
    <n v="181"/>
    <n v="624.37260000000003"/>
    <m/>
    <m/>
    <m/>
    <m/>
    <m/>
    <n v="624.37260000000003"/>
    <d v="2023-01-06T00:00:00"/>
    <n v="0"/>
    <n v="0"/>
    <n v="0"/>
    <n v="0"/>
    <n v="0"/>
    <n v="0"/>
    <n v="0"/>
    <x v="0"/>
    <n v="113011.4406"/>
    <n v="113011.4406"/>
    <n v="0"/>
    <n v="0"/>
    <x v="0"/>
    <x v="6"/>
  </r>
  <r>
    <s v="ORD01801"/>
    <d v="2023-06-11T00:00:00"/>
    <x v="217"/>
    <x v="154"/>
    <n v="102"/>
    <s v="INV01801"/>
    <n v="102"/>
    <n v="775.08529999999996"/>
    <m/>
    <m/>
    <m/>
    <m/>
    <m/>
    <n v="775.08529999999996"/>
    <d v="2022-11-27T00:00:00"/>
    <n v="0"/>
    <n v="0"/>
    <n v="0"/>
    <n v="0"/>
    <n v="0"/>
    <n v="0"/>
    <n v="0"/>
    <x v="0"/>
    <n v="79058.700599999996"/>
    <n v="79058.700599999996"/>
    <n v="0"/>
    <n v="0"/>
    <x v="0"/>
    <x v="14"/>
  </r>
  <r>
    <s v="ORD01802"/>
    <d v="2024-10-02T00:00:00"/>
    <x v="148"/>
    <x v="2"/>
    <n v="92"/>
    <s v="INV01802"/>
    <n v="92"/>
    <n v="189.1498"/>
    <m/>
    <m/>
    <m/>
    <m/>
    <m/>
    <n v="189.1498"/>
    <d v="2023-07-01T00:00:00"/>
    <n v="0"/>
    <n v="0"/>
    <n v="0"/>
    <n v="0"/>
    <n v="0"/>
    <n v="0"/>
    <n v="0"/>
    <x v="0"/>
    <n v="17401.781599999998"/>
    <n v="17401.781599999998"/>
    <n v="0"/>
    <n v="0"/>
    <x v="0"/>
    <x v="5"/>
  </r>
  <r>
    <s v="ORD01803"/>
    <d v="2024-08-05T00:00:00"/>
    <x v="210"/>
    <x v="89"/>
    <n v="83"/>
    <s v="INV01803"/>
    <n v="83"/>
    <n v="826.46400000000006"/>
    <m/>
    <m/>
    <m/>
    <m/>
    <m/>
    <n v="826.46400000000006"/>
    <d v="2023-07-21T00:00:00"/>
    <n v="0"/>
    <n v="0"/>
    <n v="0"/>
    <n v="0"/>
    <n v="0"/>
    <n v="0"/>
    <n v="0"/>
    <x v="0"/>
    <n v="68596.512000000002"/>
    <n v="68596.512000000002"/>
    <n v="0"/>
    <n v="0"/>
    <x v="0"/>
    <x v="22"/>
  </r>
  <r>
    <s v="ORD01804"/>
    <d v="2024-09-20T00:00:00"/>
    <x v="719"/>
    <x v="44"/>
    <n v="35"/>
    <s v="INV01804"/>
    <n v="35"/>
    <n v="1119.3012000000001"/>
    <m/>
    <m/>
    <m/>
    <m/>
    <m/>
    <n v="1119.3012000000001"/>
    <d v="2023-06-14T00:00:00"/>
    <n v="0"/>
    <n v="0"/>
    <n v="0"/>
    <n v="0"/>
    <n v="0"/>
    <n v="0"/>
    <n v="0"/>
    <x v="0"/>
    <n v="39175.542000000001"/>
    <n v="39175.542000000001"/>
    <n v="0"/>
    <n v="0"/>
    <x v="0"/>
    <x v="2"/>
  </r>
  <r>
    <s v="ORD01805"/>
    <d v="2024-01-10T00:00:00"/>
    <x v="637"/>
    <x v="90"/>
    <n v="65"/>
    <s v="INV01805"/>
    <n v="65"/>
    <n v="249.1748"/>
    <m/>
    <m/>
    <m/>
    <m/>
    <m/>
    <n v="249.1748"/>
    <d v="2023-08-03T00:00:00"/>
    <n v="0"/>
    <n v="0"/>
    <n v="0"/>
    <n v="0"/>
    <n v="0"/>
    <n v="0"/>
    <n v="0"/>
    <x v="0"/>
    <n v="16196.362000000001"/>
    <n v="16196.362000000001"/>
    <n v="0"/>
    <n v="0"/>
    <x v="0"/>
    <x v="15"/>
  </r>
  <r>
    <s v="ORD01806"/>
    <d v="2024-05-04T00:00:00"/>
    <x v="278"/>
    <x v="255"/>
    <n v="17"/>
    <s v="INV01806"/>
    <n v="17"/>
    <n v="1178.6880000000001"/>
    <m/>
    <m/>
    <m/>
    <m/>
    <m/>
    <n v="1178.6880000000001"/>
    <d v="2023-01-04T00:00:00"/>
    <n v="0"/>
    <n v="0"/>
    <n v="0"/>
    <n v="0"/>
    <n v="0"/>
    <n v="0"/>
    <n v="0"/>
    <x v="0"/>
    <n v="20037.696000000004"/>
    <n v="20037.696000000004"/>
    <n v="0"/>
    <n v="0"/>
    <x v="0"/>
    <x v="13"/>
  </r>
  <r>
    <s v="ORD01807"/>
    <d v="2024-11-22T00:00:00"/>
    <x v="120"/>
    <x v="145"/>
    <n v="47"/>
    <s v="INV01807"/>
    <n v="47"/>
    <n v="185.5224"/>
    <m/>
    <m/>
    <m/>
    <m/>
    <m/>
    <n v="185.5224"/>
    <d v="2023-05-17T00:00:00"/>
    <n v="0"/>
    <n v="0"/>
    <n v="0"/>
    <n v="0"/>
    <n v="0"/>
    <n v="0"/>
    <n v="0"/>
    <x v="0"/>
    <n v="8719.5527999999995"/>
    <n v="8719.5527999999995"/>
    <n v="0"/>
    <n v="0"/>
    <x v="0"/>
    <x v="4"/>
  </r>
  <r>
    <s v="ORD01808"/>
    <d v="2023-07-03T00:00:00"/>
    <x v="64"/>
    <x v="281"/>
    <n v="53"/>
    <s v="INV01808"/>
    <n v="53"/>
    <n v="703.97"/>
    <m/>
    <m/>
    <m/>
    <m/>
    <m/>
    <n v="703.97"/>
    <d v="2023-04-06T00:00:00"/>
    <n v="0"/>
    <n v="0"/>
    <n v="0"/>
    <n v="0"/>
    <n v="0"/>
    <n v="0"/>
    <n v="0"/>
    <x v="0"/>
    <n v="37310.410000000003"/>
    <n v="37310.410000000003"/>
    <n v="0"/>
    <n v="0"/>
    <x v="0"/>
    <x v="10"/>
  </r>
  <r>
    <s v="ORD01809"/>
    <d v="2024-01-09T00:00:00"/>
    <x v="409"/>
    <x v="161"/>
    <n v="16"/>
    <s v="INV01809"/>
    <n v="16"/>
    <n v="1006.8318"/>
    <m/>
    <m/>
    <m/>
    <m/>
    <m/>
    <n v="1006.8318"/>
    <d v="2023-10-05T00:00:00"/>
    <n v="0"/>
    <n v="0"/>
    <n v="0"/>
    <n v="0"/>
    <n v="0"/>
    <n v="0"/>
    <n v="0"/>
    <x v="0"/>
    <n v="16109.308800000001"/>
    <n v="16109.308800000001"/>
    <n v="0"/>
    <n v="0"/>
    <x v="0"/>
    <x v="15"/>
  </r>
  <r>
    <s v="ORD01810"/>
    <d v="2024-05-26T00:00:00"/>
    <x v="720"/>
    <x v="226"/>
    <n v="34"/>
    <s v="INV01810"/>
    <n v="34"/>
    <n v="1067.6925000000001"/>
    <m/>
    <m/>
    <m/>
    <m/>
    <m/>
    <n v="1067.6925000000001"/>
    <d v="2023-03-14T00:00:00"/>
    <n v="0"/>
    <n v="0"/>
    <n v="0"/>
    <n v="0"/>
    <n v="0"/>
    <n v="0"/>
    <n v="0"/>
    <x v="0"/>
    <n v="36301.545000000006"/>
    <n v="36301.545000000006"/>
    <n v="0"/>
    <n v="0"/>
    <x v="0"/>
    <x v="13"/>
  </r>
  <r>
    <s v="ORD01811"/>
    <d v="2023-09-17T00:00:00"/>
    <x v="53"/>
    <x v="137"/>
    <n v="186"/>
    <s v="INV01811"/>
    <n v="186"/>
    <n v="1026.4637"/>
    <m/>
    <m/>
    <m/>
    <m/>
    <m/>
    <n v="1026.4637"/>
    <d v="2023-02-10T00:00:00"/>
    <n v="0"/>
    <n v="0"/>
    <n v="0"/>
    <n v="0"/>
    <n v="0"/>
    <n v="0"/>
    <n v="0"/>
    <x v="0"/>
    <n v="190922.2482"/>
    <n v="190922.2482"/>
    <n v="0"/>
    <n v="0"/>
    <x v="0"/>
    <x v="18"/>
  </r>
  <r>
    <s v="ORD01812"/>
    <d v="2024-07-07T00:00:00"/>
    <x v="482"/>
    <x v="44"/>
    <n v="83"/>
    <s v="INV01812"/>
    <n v="83"/>
    <n v="1119.3012000000001"/>
    <m/>
    <m/>
    <m/>
    <m/>
    <m/>
    <n v="1119.3012000000001"/>
    <d v="2023-06-14T00:00:00"/>
    <n v="0"/>
    <n v="0"/>
    <n v="0"/>
    <n v="0"/>
    <n v="0"/>
    <n v="0"/>
    <n v="0"/>
    <x v="0"/>
    <n v="92901.99960000001"/>
    <n v="92901.99960000001"/>
    <n v="0"/>
    <n v="0"/>
    <x v="0"/>
    <x v="21"/>
  </r>
  <r>
    <s v="ORD01813"/>
    <d v="2024-04-11T00:00:00"/>
    <x v="29"/>
    <x v="260"/>
    <n v="112"/>
    <s v="INV01813"/>
    <n v="112"/>
    <n v="990.72749999999996"/>
    <m/>
    <m/>
    <m/>
    <m/>
    <m/>
    <n v="990.72749999999996"/>
    <d v="2023-05-22T00:00:00"/>
    <n v="0"/>
    <n v="0"/>
    <n v="0"/>
    <n v="0"/>
    <n v="0"/>
    <n v="0"/>
    <n v="0"/>
    <x v="0"/>
    <n v="110961.48"/>
    <n v="110961.48"/>
    <n v="0"/>
    <n v="0"/>
    <x v="0"/>
    <x v="9"/>
  </r>
  <r>
    <s v="ORD01814"/>
    <d v="2023-10-30T00:00:00"/>
    <x v="95"/>
    <x v="52"/>
    <n v="77"/>
    <s v="INV01814"/>
    <n v="77"/>
    <n v="61.845300000000002"/>
    <m/>
    <m/>
    <m/>
    <m/>
    <m/>
    <n v="61.845300000000002"/>
    <d v="2023-10-27T00:00:00"/>
    <n v="0"/>
    <n v="0"/>
    <n v="0"/>
    <n v="0"/>
    <n v="0"/>
    <n v="0"/>
    <n v="0"/>
    <x v="0"/>
    <n v="4762.0880999999999"/>
    <n v="4762.0880999999999"/>
    <n v="0"/>
    <n v="0"/>
    <x v="0"/>
    <x v="19"/>
  </r>
  <r>
    <s v="ORD01815"/>
    <d v="2024-04-17T00:00:00"/>
    <x v="8"/>
    <x v="232"/>
    <n v="58"/>
    <s v="INV01815"/>
    <n v="58"/>
    <n v="1065.7722000000001"/>
    <m/>
    <m/>
    <m/>
    <m/>
    <m/>
    <n v="1065.7722000000001"/>
    <d v="2023-01-10T00:00:00"/>
    <n v="0"/>
    <n v="0"/>
    <n v="0"/>
    <n v="0"/>
    <n v="0"/>
    <n v="0"/>
    <n v="0"/>
    <x v="0"/>
    <n v="61814.787600000003"/>
    <n v="61814.787600000003"/>
    <n v="0"/>
    <n v="0"/>
    <x v="0"/>
    <x v="9"/>
  </r>
  <r>
    <s v="ORD01816"/>
    <d v="2024-10-10T00:00:00"/>
    <x v="542"/>
    <x v="246"/>
    <n v="24"/>
    <s v="INV01816"/>
    <n v="24"/>
    <n v="491.10239999999999"/>
    <m/>
    <m/>
    <m/>
    <m/>
    <m/>
    <n v="491.10239999999999"/>
    <d v="2023-09-18T00:00:00"/>
    <n v="0"/>
    <n v="0"/>
    <n v="0"/>
    <n v="0"/>
    <n v="0"/>
    <n v="0"/>
    <n v="0"/>
    <x v="0"/>
    <n v="11786.4576"/>
    <n v="11786.4576"/>
    <n v="0"/>
    <n v="0"/>
    <x v="0"/>
    <x v="5"/>
  </r>
  <r>
    <s v="ORD01817"/>
    <d v="2024-05-13T00:00:00"/>
    <x v="441"/>
    <x v="9"/>
    <n v="36"/>
    <s v="INV01817"/>
    <n v="36"/>
    <n v="397.40159999999997"/>
    <m/>
    <m/>
    <m/>
    <m/>
    <m/>
    <n v="397.40159999999997"/>
    <d v="2023-04-05T00:00:00"/>
    <n v="0"/>
    <n v="0"/>
    <n v="0"/>
    <n v="0"/>
    <n v="0"/>
    <n v="0"/>
    <n v="0"/>
    <x v="0"/>
    <n v="14306.4576"/>
    <n v="14306.4576"/>
    <n v="0"/>
    <n v="0"/>
    <x v="0"/>
    <x v="13"/>
  </r>
  <r>
    <s v="ORD01818"/>
    <d v="2023-05-01T00:00:00"/>
    <x v="522"/>
    <x v="236"/>
    <n v="32"/>
    <s v="INV01818"/>
    <n v="32"/>
    <n v="1170.9151999999999"/>
    <m/>
    <m/>
    <m/>
    <m/>
    <m/>
    <n v="1170.9151999999999"/>
    <d v="2023-04-07T00:00:00"/>
    <n v="0"/>
    <n v="0"/>
    <n v="0"/>
    <n v="0"/>
    <n v="0"/>
    <n v="0"/>
    <n v="0"/>
    <x v="0"/>
    <n v="37469.286399999997"/>
    <n v="37469.286399999997"/>
    <n v="0"/>
    <n v="0"/>
    <x v="0"/>
    <x v="7"/>
  </r>
  <r>
    <s v="ORD01819"/>
    <d v="2024-01-18T00:00:00"/>
    <x v="547"/>
    <x v="258"/>
    <n v="165"/>
    <s v="INV01819"/>
    <n v="165"/>
    <n v="510.27839999999998"/>
    <m/>
    <m/>
    <m/>
    <m/>
    <m/>
    <n v="510.27839999999998"/>
    <d v="2023-07-20T00:00:00"/>
    <n v="0"/>
    <n v="0"/>
    <n v="0"/>
    <n v="0"/>
    <n v="0"/>
    <n v="0"/>
    <n v="0"/>
    <x v="0"/>
    <n v="84195.936000000002"/>
    <n v="84195.936000000002"/>
    <n v="0"/>
    <n v="0"/>
    <x v="0"/>
    <x v="15"/>
  </r>
  <r>
    <s v="ORD01820"/>
    <d v="2023-01-16T00:00:00"/>
    <x v="563"/>
    <x v="40"/>
    <n v="100"/>
    <s v="INV01820"/>
    <n v="100"/>
    <n v="184.27"/>
    <m/>
    <m/>
    <m/>
    <m/>
    <m/>
    <n v="184.27"/>
    <d v="2022-03-09T00:00:00"/>
    <n v="0"/>
    <n v="0"/>
    <n v="0"/>
    <n v="0"/>
    <n v="0"/>
    <n v="0"/>
    <n v="0"/>
    <x v="0"/>
    <n v="18427"/>
    <n v="18427"/>
    <n v="0"/>
    <n v="0"/>
    <x v="0"/>
    <x v="8"/>
  </r>
  <r>
    <s v="ORD01821"/>
    <d v="2024-11-28T00:00:00"/>
    <x v="477"/>
    <x v="183"/>
    <n v="106"/>
    <s v="INV01821"/>
    <n v="106"/>
    <n v="624.37260000000003"/>
    <m/>
    <m/>
    <m/>
    <m/>
    <m/>
    <n v="624.37260000000003"/>
    <d v="2023-01-06T00:00:00"/>
    <n v="0"/>
    <n v="0"/>
    <n v="0"/>
    <n v="0"/>
    <n v="0"/>
    <n v="0"/>
    <n v="0"/>
    <x v="0"/>
    <n v="66183.495600000009"/>
    <n v="66183.495600000009"/>
    <n v="0"/>
    <n v="0"/>
    <x v="0"/>
    <x v="4"/>
  </r>
  <r>
    <s v="ORD01822"/>
    <d v="2024-03-26T00:00:00"/>
    <x v="380"/>
    <x v="9"/>
    <n v="39"/>
    <s v="INV01822"/>
    <n v="39"/>
    <n v="397.40159999999997"/>
    <m/>
    <m/>
    <m/>
    <m/>
    <m/>
    <n v="397.40159999999997"/>
    <d v="2023-04-05T00:00:00"/>
    <n v="0"/>
    <n v="0"/>
    <n v="0"/>
    <n v="0"/>
    <n v="0"/>
    <n v="0"/>
    <n v="0"/>
    <x v="0"/>
    <n v="15498.662399999999"/>
    <n v="15498.662399999999"/>
    <n v="0"/>
    <n v="0"/>
    <x v="0"/>
    <x v="6"/>
  </r>
  <r>
    <s v="ORD01823"/>
    <d v="2024-09-01T00:00:00"/>
    <x v="95"/>
    <x v="158"/>
    <n v="120"/>
    <s v="INV01823"/>
    <n v="120"/>
    <n v="754.20799999999997"/>
    <m/>
    <m/>
    <m/>
    <m/>
    <m/>
    <n v="754.20799999999997"/>
    <d v="2023-05-23T00:00:00"/>
    <n v="0"/>
    <n v="0"/>
    <n v="0"/>
    <n v="0"/>
    <n v="0"/>
    <n v="0"/>
    <n v="0"/>
    <x v="0"/>
    <n v="90504.959999999992"/>
    <n v="90504.959999999992"/>
    <n v="0"/>
    <n v="0"/>
    <x v="0"/>
    <x v="2"/>
  </r>
  <r>
    <s v="ORD01824"/>
    <d v="2023-12-26T00:00:00"/>
    <x v="361"/>
    <x v="296"/>
    <n v="116"/>
    <s v="INV01824"/>
    <n v="116"/>
    <n v="724.16120000000001"/>
    <n v="17"/>
    <d v="2025-01-07T00:00:00"/>
    <m/>
    <m/>
    <m/>
    <n v="724.16120000000001"/>
    <d v="2023-04-28T00:00:00"/>
    <n v="0"/>
    <n v="0"/>
    <n v="0"/>
    <n v="0"/>
    <n v="0"/>
    <n v="1"/>
    <n v="0"/>
    <x v="1"/>
    <n v="84002.699200000003"/>
    <n v="84002.699200000003"/>
    <n v="0"/>
    <n v="2"/>
    <x v="1"/>
    <x v="20"/>
  </r>
  <r>
    <s v="ORD01825"/>
    <d v="2024-01-14T00:00:00"/>
    <x v="437"/>
    <x v="54"/>
    <n v="43"/>
    <s v="INV01825"/>
    <n v="43"/>
    <n v="465.64031353124466"/>
    <m/>
    <m/>
    <m/>
    <m/>
    <m/>
    <n v="465.21179999999998"/>
    <d v="2023-07-30T00:00:00"/>
    <n v="0"/>
    <n v="0"/>
    <n v="1"/>
    <n v="0"/>
    <n v="0"/>
    <n v="0"/>
    <n v="0"/>
    <x v="1"/>
    <n v="20022.533481843519"/>
    <n v="20004.107400000001"/>
    <n v="18.42608184351775"/>
    <n v="4"/>
    <x v="1"/>
    <x v="15"/>
  </r>
  <r>
    <s v="ORD01826"/>
    <d v="2023-10-01T00:00:00"/>
    <x v="468"/>
    <x v="231"/>
    <n v="23"/>
    <s v="INV01826"/>
    <n v="23"/>
    <n v="850.16200000000003"/>
    <n v="12"/>
    <d v="2024-03-28T00:00:00"/>
    <m/>
    <m/>
    <m/>
    <n v="850.16200000000003"/>
    <d v="2023-06-22T00:00:00"/>
    <n v="0"/>
    <n v="0"/>
    <n v="0"/>
    <n v="0"/>
    <n v="0"/>
    <n v="1"/>
    <n v="0"/>
    <x v="1"/>
    <n v="19553.726000000002"/>
    <n v="19553.726000000002"/>
    <n v="0"/>
    <n v="2"/>
    <x v="1"/>
    <x v="19"/>
  </r>
  <r>
    <s v="ORD01827"/>
    <d v="2023-12-09T00:00:00"/>
    <x v="66"/>
    <x v="182"/>
    <n v="105"/>
    <s v="INV01827"/>
    <n v="105"/>
    <n v="926.52549999999997"/>
    <m/>
    <m/>
    <m/>
    <m/>
    <m/>
    <n v="926.52549999999997"/>
    <d v="2023-09-14T00:00:00"/>
    <n v="0"/>
    <n v="0"/>
    <n v="0"/>
    <n v="0"/>
    <n v="0"/>
    <n v="0"/>
    <n v="0"/>
    <x v="0"/>
    <n v="97285.177499999991"/>
    <n v="97285.177499999991"/>
    <n v="0"/>
    <n v="0"/>
    <x v="0"/>
    <x v="20"/>
  </r>
  <r>
    <s v="ORD01828"/>
    <d v="2024-07-30T00:00:00"/>
    <x v="621"/>
    <x v="87"/>
    <n v="192"/>
    <s v="INV01828"/>
    <n v="192"/>
    <n v="443.27359999999999"/>
    <m/>
    <m/>
    <m/>
    <m/>
    <m/>
    <n v="443.27359999999999"/>
    <d v="2023-02-15T00:00:00"/>
    <n v="0"/>
    <n v="0"/>
    <n v="0"/>
    <n v="0"/>
    <n v="0"/>
    <n v="0"/>
    <n v="0"/>
    <x v="0"/>
    <n v="85108.531199999998"/>
    <n v="85108.531199999998"/>
    <n v="0"/>
    <n v="0"/>
    <x v="0"/>
    <x v="21"/>
  </r>
  <r>
    <s v="ORD01829"/>
    <d v="2023-12-19T00:00:00"/>
    <x v="134"/>
    <x v="99"/>
    <n v="168"/>
    <s v="INV01829"/>
    <n v="168"/>
    <n v="1171.7046"/>
    <m/>
    <m/>
    <m/>
    <m/>
    <m/>
    <n v="1171.7046"/>
    <d v="2023-05-31T00:00:00"/>
    <n v="0"/>
    <n v="0"/>
    <n v="0"/>
    <n v="0"/>
    <n v="0"/>
    <n v="0"/>
    <n v="0"/>
    <x v="0"/>
    <n v="196846.37280000001"/>
    <n v="196846.37280000001"/>
    <n v="0"/>
    <n v="0"/>
    <x v="0"/>
    <x v="20"/>
  </r>
  <r>
    <s v="ORD01830"/>
    <d v="2023-09-04T00:00:00"/>
    <x v="228"/>
    <x v="80"/>
    <n v="105"/>
    <s v="INV01830"/>
    <n v="105"/>
    <n v="1014.5718000000001"/>
    <m/>
    <m/>
    <m/>
    <m/>
    <m/>
    <n v="1014.5718000000001"/>
    <d v="2023-04-19T00:00:00"/>
    <n v="0"/>
    <n v="0"/>
    <n v="0"/>
    <n v="0"/>
    <n v="0"/>
    <n v="0"/>
    <n v="0"/>
    <x v="0"/>
    <n v="106530.039"/>
    <n v="106530.039"/>
    <n v="0"/>
    <n v="0"/>
    <x v="0"/>
    <x v="18"/>
  </r>
  <r>
    <s v="ORD01831"/>
    <d v="2024-05-18T00:00:00"/>
    <x v="255"/>
    <x v="235"/>
    <n v="125"/>
    <s v="INV01831"/>
    <n v="125"/>
    <n v="708.51900000000001"/>
    <m/>
    <m/>
    <m/>
    <m/>
    <m/>
    <n v="708.51900000000001"/>
    <d v="2023-05-17T00:00:00"/>
    <n v="0"/>
    <n v="0"/>
    <n v="0"/>
    <n v="0"/>
    <n v="0"/>
    <n v="0"/>
    <n v="0"/>
    <x v="0"/>
    <n v="88564.875"/>
    <n v="88564.875"/>
    <n v="0"/>
    <n v="0"/>
    <x v="0"/>
    <x v="13"/>
  </r>
  <r>
    <s v="ORD01832"/>
    <d v="2024-12-23T00:00:00"/>
    <x v="147"/>
    <x v="50"/>
    <n v="144"/>
    <s v="INV01832"/>
    <n v="144"/>
    <n v="49.450800000000001"/>
    <m/>
    <m/>
    <m/>
    <m/>
    <m/>
    <n v="49.450800000000001"/>
    <d v="2023-08-30T00:00:00"/>
    <n v="0"/>
    <n v="0"/>
    <n v="0"/>
    <n v="0"/>
    <n v="0"/>
    <n v="0"/>
    <n v="0"/>
    <x v="0"/>
    <n v="7120.9152000000004"/>
    <n v="7120.9152000000004"/>
    <n v="0"/>
    <n v="0"/>
    <x v="0"/>
    <x v="1"/>
  </r>
  <r>
    <s v="ORD01833"/>
    <d v="2023-12-25T00:00:00"/>
    <x v="361"/>
    <x v="128"/>
    <n v="150"/>
    <s v="INV01833"/>
    <n v="147"/>
    <n v="440.38799999999998"/>
    <m/>
    <m/>
    <m/>
    <m/>
    <m/>
    <n v="440.38799999999998"/>
    <d v="2023-03-31T00:00:00"/>
    <n v="0"/>
    <n v="1"/>
    <n v="0"/>
    <n v="0"/>
    <n v="0"/>
    <n v="0"/>
    <n v="0"/>
    <x v="1"/>
    <n v="64737.036"/>
    <n v="66058.2"/>
    <n v="-1321.163999999997"/>
    <n v="8"/>
    <x v="2"/>
    <x v="20"/>
  </r>
  <r>
    <s v="ORD01834"/>
    <d v="2023-08-26T00:00:00"/>
    <x v="250"/>
    <x v="286"/>
    <n v="68"/>
    <s v="INV01834"/>
    <n v="68"/>
    <n v="278.27100000000002"/>
    <n v="5"/>
    <d v="2024-07-13T00:00:00"/>
    <m/>
    <m/>
    <m/>
    <n v="278.27100000000002"/>
    <d v="2023-07-12T00:00:00"/>
    <n v="0"/>
    <n v="0"/>
    <n v="0"/>
    <n v="0"/>
    <n v="0"/>
    <n v="1"/>
    <n v="0"/>
    <x v="1"/>
    <n v="18922.428"/>
    <n v="18922.428"/>
    <n v="0"/>
    <n v="2"/>
    <x v="1"/>
    <x v="12"/>
  </r>
  <r>
    <s v="ORD01835"/>
    <d v="2023-12-17T00:00:00"/>
    <x v="660"/>
    <x v="90"/>
    <n v="67"/>
    <s v="INV01835"/>
    <n v="67"/>
    <n v="249.1748"/>
    <m/>
    <m/>
    <m/>
    <m/>
    <m/>
    <n v="249.1748"/>
    <d v="2023-08-03T00:00:00"/>
    <n v="0"/>
    <n v="0"/>
    <n v="0"/>
    <n v="0"/>
    <n v="0"/>
    <n v="0"/>
    <n v="0"/>
    <x v="0"/>
    <n v="16694.711599999999"/>
    <n v="16694.711599999999"/>
    <n v="0"/>
    <n v="0"/>
    <x v="0"/>
    <x v="20"/>
  </r>
  <r>
    <s v="ORD01836"/>
    <d v="2024-04-14T00:00:00"/>
    <x v="238"/>
    <x v="165"/>
    <n v="147"/>
    <s v="INV01836"/>
    <n v="147"/>
    <n v="991.99"/>
    <m/>
    <m/>
    <m/>
    <m/>
    <m/>
    <n v="991.99"/>
    <d v="2023-02-19T00:00:00"/>
    <n v="0"/>
    <n v="0"/>
    <n v="0"/>
    <n v="0"/>
    <n v="0"/>
    <n v="0"/>
    <n v="0"/>
    <x v="0"/>
    <n v="145822.53"/>
    <n v="145822.53"/>
    <n v="0"/>
    <n v="0"/>
    <x v="0"/>
    <x v="9"/>
  </r>
  <r>
    <s v="ORD01837"/>
    <d v="2024-09-26T00:00:00"/>
    <x v="92"/>
    <x v="224"/>
    <n v="2"/>
    <s v="INV01837"/>
    <n v="2"/>
    <n v="377.08350000000002"/>
    <m/>
    <m/>
    <m/>
    <m/>
    <m/>
    <n v="377.08350000000002"/>
    <d v="2023-05-18T00:00:00"/>
    <n v="0"/>
    <n v="0"/>
    <n v="0"/>
    <n v="0"/>
    <n v="0"/>
    <n v="0"/>
    <n v="0"/>
    <x v="0"/>
    <n v="754.16700000000003"/>
    <n v="754.16700000000003"/>
    <n v="0"/>
    <n v="0"/>
    <x v="0"/>
    <x v="2"/>
  </r>
  <r>
    <s v="ORD01838"/>
    <d v="2024-08-04T00:00:00"/>
    <x v="721"/>
    <x v="254"/>
    <n v="39"/>
    <s v="INV01838"/>
    <n v="39"/>
    <n v="571.49840000000006"/>
    <m/>
    <m/>
    <m/>
    <m/>
    <m/>
    <n v="571.49840000000006"/>
    <d v="2023-05-25T00:00:00"/>
    <n v="0"/>
    <n v="0"/>
    <n v="0"/>
    <n v="0"/>
    <n v="0"/>
    <n v="0"/>
    <n v="0"/>
    <x v="0"/>
    <n v="22288.437600000001"/>
    <n v="22288.437600000001"/>
    <n v="0"/>
    <n v="0"/>
    <x v="0"/>
    <x v="22"/>
  </r>
  <r>
    <s v="ORD01839"/>
    <d v="2024-10-09T00:00:00"/>
    <x v="163"/>
    <x v="119"/>
    <n v="68"/>
    <s v="INV01839"/>
    <n v="68"/>
    <n v="88.578000000000003"/>
    <m/>
    <m/>
    <m/>
    <m/>
    <m/>
    <n v="88.578000000000003"/>
    <d v="2023-06-30T00:00:00"/>
    <n v="0"/>
    <n v="0"/>
    <n v="0"/>
    <n v="0"/>
    <n v="0"/>
    <n v="0"/>
    <n v="0"/>
    <x v="0"/>
    <n v="6023.3040000000001"/>
    <n v="6023.3040000000001"/>
    <n v="0"/>
    <n v="0"/>
    <x v="0"/>
    <x v="5"/>
  </r>
  <r>
    <s v="ORD01840"/>
    <d v="2024-11-18T00:00:00"/>
    <x v="556"/>
    <x v="294"/>
    <n v="115"/>
    <s v="INV01840"/>
    <n v="115"/>
    <n v="143.86799999999999"/>
    <m/>
    <m/>
    <m/>
    <m/>
    <m/>
    <n v="143.86799999999999"/>
    <d v="2023-04-20T00:00:00"/>
    <n v="0"/>
    <n v="0"/>
    <n v="0"/>
    <n v="0"/>
    <n v="0"/>
    <n v="0"/>
    <n v="0"/>
    <x v="0"/>
    <n v="16544.82"/>
    <n v="16544.82"/>
    <n v="0"/>
    <n v="0"/>
    <x v="0"/>
    <x v="4"/>
  </r>
  <r>
    <s v="ORD01841"/>
    <d v="2023-12-29T00:00:00"/>
    <x v="135"/>
    <x v="96"/>
    <n v="103"/>
    <s v="INV01841"/>
    <n v="103"/>
    <n v="497.4264"/>
    <m/>
    <m/>
    <m/>
    <m/>
    <m/>
    <n v="497.4264"/>
    <d v="2023-10-13T00:00:00"/>
    <n v="0"/>
    <n v="0"/>
    <n v="0"/>
    <n v="0"/>
    <n v="0"/>
    <n v="0"/>
    <n v="0"/>
    <x v="0"/>
    <n v="51234.919199999997"/>
    <n v="51234.919199999997"/>
    <n v="0"/>
    <n v="0"/>
    <x v="0"/>
    <x v="20"/>
  </r>
  <r>
    <s v="ORD01842"/>
    <d v="2023-04-30T00:00:00"/>
    <x v="210"/>
    <x v="15"/>
    <n v="23"/>
    <s v="INV01842"/>
    <n v="23"/>
    <n v="1039.0536"/>
    <m/>
    <m/>
    <m/>
    <m/>
    <m/>
    <n v="1039.0536"/>
    <d v="2023-02-04T00:00:00"/>
    <n v="0"/>
    <n v="0"/>
    <n v="0"/>
    <n v="0"/>
    <n v="0"/>
    <n v="0"/>
    <n v="0"/>
    <x v="0"/>
    <n v="23898.232799999998"/>
    <n v="23898.232799999998"/>
    <n v="0"/>
    <n v="0"/>
    <x v="0"/>
    <x v="23"/>
  </r>
  <r>
    <s v="ORD01843"/>
    <d v="2024-04-25T00:00:00"/>
    <x v="500"/>
    <x v="214"/>
    <n v="95"/>
    <s v="INV01843"/>
    <n v="95"/>
    <n v="77.178600000000003"/>
    <m/>
    <m/>
    <m/>
    <m/>
    <m/>
    <n v="77.178600000000003"/>
    <d v="2023-02-18T00:00:00"/>
    <n v="0"/>
    <n v="0"/>
    <n v="0"/>
    <n v="0"/>
    <n v="0"/>
    <n v="0"/>
    <n v="0"/>
    <x v="0"/>
    <n v="7331.9670000000006"/>
    <n v="7331.9670000000006"/>
    <n v="0"/>
    <n v="0"/>
    <x v="0"/>
    <x v="9"/>
  </r>
  <r>
    <s v="ORD01844"/>
    <d v="2023-10-21T00:00:00"/>
    <x v="722"/>
    <x v="100"/>
    <n v="108"/>
    <s v="INV01844"/>
    <n v="108"/>
    <n v="1231.9933000000001"/>
    <n v="19"/>
    <d v="2023-12-29T00:00:00"/>
    <m/>
    <m/>
    <m/>
    <n v="1231.9933000000001"/>
    <d v="2023-01-08T00:00:00"/>
    <n v="0"/>
    <n v="0"/>
    <n v="0"/>
    <n v="0"/>
    <n v="0"/>
    <n v="1"/>
    <n v="0"/>
    <x v="1"/>
    <n v="133055.2764"/>
    <n v="133055.2764"/>
    <n v="0"/>
    <n v="2"/>
    <x v="1"/>
    <x v="19"/>
  </r>
  <r>
    <s v="ORD01845"/>
    <d v="2024-06-07T00:00:00"/>
    <x v="479"/>
    <x v="41"/>
    <n v="7"/>
    <s v="INV01845"/>
    <n v="7"/>
    <n v="1211.7708"/>
    <m/>
    <m/>
    <m/>
    <m/>
    <m/>
    <n v="1211.7708"/>
    <d v="2023-09-24T00:00:00"/>
    <n v="0"/>
    <n v="0"/>
    <n v="0"/>
    <n v="0"/>
    <n v="0"/>
    <n v="0"/>
    <n v="0"/>
    <x v="0"/>
    <n v="8482.3955999999998"/>
    <n v="8482.3955999999998"/>
    <n v="0"/>
    <n v="0"/>
    <x v="0"/>
    <x v="16"/>
  </r>
  <r>
    <s v="ORD01846"/>
    <d v="2024-10-10T00:00:00"/>
    <x v="204"/>
    <x v="130"/>
    <n v="197"/>
    <s v="INV01846"/>
    <n v="197"/>
    <n v="58.98"/>
    <m/>
    <m/>
    <m/>
    <m/>
    <m/>
    <n v="58.98"/>
    <d v="2023-01-08T00:00:00"/>
    <n v="0"/>
    <n v="0"/>
    <n v="0"/>
    <n v="0"/>
    <n v="0"/>
    <n v="0"/>
    <n v="0"/>
    <x v="0"/>
    <n v="11619.06"/>
    <n v="11619.06"/>
    <n v="0"/>
    <n v="0"/>
    <x v="0"/>
    <x v="5"/>
  </r>
  <r>
    <s v="ORD01847"/>
    <d v="2024-03-23T00:00:00"/>
    <x v="723"/>
    <x v="148"/>
    <n v="180"/>
    <s v="INV01847"/>
    <n v="180"/>
    <n v="815.08680000000004"/>
    <m/>
    <m/>
    <m/>
    <m/>
    <m/>
    <n v="815.08680000000004"/>
    <d v="2023-05-16T00:00:00"/>
    <n v="0"/>
    <n v="0"/>
    <n v="0"/>
    <n v="0"/>
    <n v="0"/>
    <n v="0"/>
    <n v="0"/>
    <x v="0"/>
    <n v="146715.62400000001"/>
    <n v="146715.62400000001"/>
    <n v="0"/>
    <n v="0"/>
    <x v="0"/>
    <x v="6"/>
  </r>
  <r>
    <s v="ORD01848"/>
    <d v="2023-05-15T00:00:00"/>
    <x v="318"/>
    <x v="71"/>
    <n v="160"/>
    <s v="INV01848"/>
    <n v="160"/>
    <n v="238.7328"/>
    <n v="1"/>
    <d v="2024-05-24T00:00:00"/>
    <m/>
    <m/>
    <m/>
    <n v="238.7328"/>
    <d v="2023-03-02T00:00:00"/>
    <n v="0"/>
    <n v="0"/>
    <n v="0"/>
    <n v="0"/>
    <n v="0"/>
    <n v="1"/>
    <n v="0"/>
    <x v="1"/>
    <n v="38197.248"/>
    <n v="38197.248"/>
    <n v="0"/>
    <n v="2"/>
    <x v="1"/>
    <x v="7"/>
  </r>
  <r>
    <s v="ORD01849"/>
    <d v="2023-11-19T00:00:00"/>
    <x v="499"/>
    <x v="213"/>
    <n v="40"/>
    <s v="INV01849"/>
    <n v="40"/>
    <n v="872.7808"/>
    <m/>
    <m/>
    <m/>
    <m/>
    <m/>
    <n v="872.7808"/>
    <d v="2023-10-26T00:00:00"/>
    <n v="0"/>
    <n v="0"/>
    <n v="0"/>
    <n v="0"/>
    <n v="0"/>
    <n v="0"/>
    <n v="0"/>
    <x v="0"/>
    <n v="34911.232000000004"/>
    <n v="34911.232000000004"/>
    <n v="0"/>
    <n v="0"/>
    <x v="0"/>
    <x v="0"/>
  </r>
  <r>
    <s v="ORD01850"/>
    <d v="2023-12-30T00:00:00"/>
    <x v="234"/>
    <x v="208"/>
    <n v="77"/>
    <s v="INV01850"/>
    <n v="77"/>
    <n v="107.1605"/>
    <m/>
    <m/>
    <m/>
    <m/>
    <m/>
    <n v="107.1605"/>
    <d v="2023-02-13T00:00:00"/>
    <n v="0"/>
    <n v="0"/>
    <n v="0"/>
    <n v="0"/>
    <n v="0"/>
    <n v="0"/>
    <n v="0"/>
    <x v="0"/>
    <n v="8251.3585000000003"/>
    <n v="8251.3585000000003"/>
    <n v="0"/>
    <n v="0"/>
    <x v="0"/>
    <x v="20"/>
  </r>
  <r>
    <s v="ORD01851"/>
    <d v="2024-03-10T00:00:00"/>
    <x v="196"/>
    <x v="266"/>
    <n v="199"/>
    <s v="INV01851"/>
    <n v="199"/>
    <n v="378.91109999999998"/>
    <m/>
    <m/>
    <m/>
    <m/>
    <m/>
    <n v="378.91109999999998"/>
    <d v="2023-07-10T00:00:00"/>
    <n v="0"/>
    <n v="0"/>
    <n v="0"/>
    <n v="0"/>
    <n v="0"/>
    <n v="0"/>
    <n v="0"/>
    <x v="0"/>
    <n v="75403.308899999989"/>
    <n v="75403.308899999989"/>
    <n v="0"/>
    <n v="0"/>
    <x v="0"/>
    <x v="6"/>
  </r>
  <r>
    <s v="ORD01852"/>
    <d v="2023-09-19T00:00:00"/>
    <x v="91"/>
    <x v="99"/>
    <n v="100"/>
    <s v="INV01852"/>
    <n v="100"/>
    <n v="1171.7046"/>
    <m/>
    <m/>
    <m/>
    <m/>
    <m/>
    <n v="1171.7046"/>
    <d v="2023-05-31T00:00:00"/>
    <n v="0"/>
    <n v="0"/>
    <n v="0"/>
    <n v="0"/>
    <n v="0"/>
    <n v="0"/>
    <n v="0"/>
    <x v="0"/>
    <n v="117170.46"/>
    <n v="117170.46"/>
    <n v="0"/>
    <n v="0"/>
    <x v="0"/>
    <x v="18"/>
  </r>
  <r>
    <s v="ORD01853"/>
    <d v="2024-10-22T00:00:00"/>
    <x v="352"/>
    <x v="1"/>
    <n v="84"/>
    <s v="INV01853"/>
    <n v="84"/>
    <n v="444.22"/>
    <m/>
    <m/>
    <m/>
    <m/>
    <m/>
    <n v="444.22"/>
    <d v="2023-05-28T00:00:00"/>
    <n v="0"/>
    <n v="0"/>
    <n v="0"/>
    <n v="0"/>
    <n v="0"/>
    <n v="0"/>
    <n v="0"/>
    <x v="0"/>
    <n v="37314.480000000003"/>
    <n v="37314.480000000003"/>
    <n v="0"/>
    <n v="0"/>
    <x v="0"/>
    <x v="5"/>
  </r>
  <r>
    <s v="ORD01854"/>
    <d v="2023-07-31T00:00:00"/>
    <x v="119"/>
    <x v="253"/>
    <n v="153"/>
    <s v="INV01854"/>
    <n v="154"/>
    <n v="1093.018102547464"/>
    <m/>
    <m/>
    <m/>
    <m/>
    <m/>
    <n v="1092.5376000000001"/>
    <d v="2023-03-11T00:00:00"/>
    <n v="0"/>
    <n v="1"/>
    <n v="1"/>
    <n v="0"/>
    <n v="0"/>
    <n v="0"/>
    <n v="0"/>
    <x v="1"/>
    <n v="168324.78779230945"/>
    <n v="167158.25280000002"/>
    <n v="1166.5349923094327"/>
    <n v="12"/>
    <x v="2"/>
    <x v="10"/>
  </r>
  <r>
    <s v="ORD01855"/>
    <d v="2024-12-11T00:00:00"/>
    <x v="302"/>
    <x v="181"/>
    <n v="120"/>
    <s v="INV01855"/>
    <n v="120"/>
    <n v="796.53"/>
    <m/>
    <m/>
    <m/>
    <m/>
    <m/>
    <n v="796.53"/>
    <d v="2023-09-03T00:00:00"/>
    <n v="0"/>
    <n v="0"/>
    <n v="0"/>
    <n v="0"/>
    <n v="0"/>
    <n v="0"/>
    <n v="0"/>
    <x v="0"/>
    <n v="95583.599999999991"/>
    <n v="95583.599999999991"/>
    <n v="0"/>
    <n v="0"/>
    <x v="0"/>
    <x v="1"/>
  </r>
  <r>
    <s v="ORD01856"/>
    <d v="2023-12-01T00:00:00"/>
    <x v="392"/>
    <x v="186"/>
    <n v="126"/>
    <s v="INV01856"/>
    <n v="126"/>
    <n v="589.66600000000005"/>
    <n v="20"/>
    <d v="2023-05-08T00:00:00"/>
    <m/>
    <m/>
    <m/>
    <n v="589.66600000000005"/>
    <d v="2023-10-19T00:00:00"/>
    <n v="0"/>
    <n v="0"/>
    <n v="0"/>
    <n v="0"/>
    <n v="0"/>
    <n v="0"/>
    <n v="0"/>
    <x v="0"/>
    <n v="74297.916000000012"/>
    <n v="74297.916000000012"/>
    <n v="0"/>
    <n v="0"/>
    <x v="0"/>
    <x v="20"/>
  </r>
  <r>
    <s v="ORD01857"/>
    <d v="2024-04-16T00:00:00"/>
    <x v="296"/>
    <x v="169"/>
    <n v="143"/>
    <s v="INV01857"/>
    <n v="143"/>
    <n v="1153.4984999999999"/>
    <m/>
    <m/>
    <m/>
    <m/>
    <m/>
    <n v="1153.4984999999999"/>
    <d v="2023-02-05T00:00:00"/>
    <n v="0"/>
    <n v="0"/>
    <n v="0"/>
    <n v="0"/>
    <n v="0"/>
    <n v="0"/>
    <n v="0"/>
    <x v="0"/>
    <n v="164950.2855"/>
    <n v="164950.2855"/>
    <n v="0"/>
    <n v="0"/>
    <x v="0"/>
    <x v="9"/>
  </r>
  <r>
    <s v="ORD01858"/>
    <d v="2024-06-21T00:00:00"/>
    <x v="41"/>
    <x v="69"/>
    <n v="98"/>
    <s v="INV01858"/>
    <n v="98"/>
    <n v="876.32749999999999"/>
    <m/>
    <m/>
    <m/>
    <m/>
    <m/>
    <n v="876.32749999999999"/>
    <d v="2023-06-29T00:00:00"/>
    <n v="0"/>
    <n v="0"/>
    <n v="0"/>
    <n v="0"/>
    <n v="0"/>
    <n v="0"/>
    <n v="0"/>
    <x v="0"/>
    <n v="85880.095000000001"/>
    <n v="85880.095000000001"/>
    <n v="0"/>
    <n v="0"/>
    <x v="0"/>
    <x v="16"/>
  </r>
  <r>
    <s v="ORD01859"/>
    <d v="2023-01-15T00:00:00"/>
    <x v="668"/>
    <x v="171"/>
    <n v="71"/>
    <s v="INV01859"/>
    <n v="71"/>
    <n v="121.13"/>
    <m/>
    <m/>
    <m/>
    <m/>
    <m/>
    <n v="121.13"/>
    <d v="2022-02-16T00:00:00"/>
    <n v="0"/>
    <n v="0"/>
    <n v="0"/>
    <n v="0"/>
    <n v="0"/>
    <n v="0"/>
    <n v="0"/>
    <x v="0"/>
    <n v="8600.23"/>
    <n v="8600.23"/>
    <n v="0"/>
    <n v="0"/>
    <x v="0"/>
    <x v="8"/>
  </r>
  <r>
    <s v="ORD01860"/>
    <d v="2023-05-13T00:00:00"/>
    <x v="724"/>
    <x v="267"/>
    <n v="6"/>
    <s v="INV01860"/>
    <n v="6"/>
    <n v="68.942999999999998"/>
    <m/>
    <m/>
    <m/>
    <m/>
    <m/>
    <n v="68.942999999999998"/>
    <d v="2023-03-13T00:00:00"/>
    <n v="0"/>
    <n v="0"/>
    <n v="0"/>
    <n v="0"/>
    <n v="0"/>
    <n v="0"/>
    <n v="0"/>
    <x v="0"/>
    <n v="413.65800000000002"/>
    <n v="413.65800000000002"/>
    <n v="0"/>
    <n v="0"/>
    <x v="0"/>
    <x v="7"/>
  </r>
  <r>
    <s v="ORD01861"/>
    <d v="2023-06-03T00:00:00"/>
    <x v="725"/>
    <x v="169"/>
    <n v="21"/>
    <s v="INV01861"/>
    <n v="21"/>
    <n v="1153.4984999999999"/>
    <m/>
    <m/>
    <m/>
    <m/>
    <m/>
    <n v="1153.4984999999999"/>
    <d v="2023-02-05T00:00:00"/>
    <n v="0"/>
    <n v="0"/>
    <n v="0"/>
    <n v="0"/>
    <n v="0"/>
    <n v="0"/>
    <n v="0"/>
    <x v="0"/>
    <n v="24223.468499999999"/>
    <n v="24223.468499999999"/>
    <n v="0"/>
    <n v="0"/>
    <x v="0"/>
    <x v="14"/>
  </r>
  <r>
    <s v="ORD01862"/>
    <d v="2023-06-06T00:00:00"/>
    <x v="678"/>
    <x v="64"/>
    <n v="34"/>
    <s v="INV01862"/>
    <n v="34"/>
    <n v="1129.6166000000001"/>
    <m/>
    <m/>
    <m/>
    <m/>
    <m/>
    <n v="1129.6166000000001"/>
    <d v="2023-02-03T00:00:00"/>
    <n v="0"/>
    <n v="0"/>
    <n v="0"/>
    <n v="0"/>
    <n v="0"/>
    <n v="0"/>
    <n v="0"/>
    <x v="0"/>
    <n v="38406.964400000004"/>
    <n v="38406.964400000004"/>
    <n v="0"/>
    <n v="0"/>
    <x v="0"/>
    <x v="14"/>
  </r>
  <r>
    <s v="ORD01863"/>
    <d v="2024-11-10T00:00:00"/>
    <x v="469"/>
    <x v="263"/>
    <n v="113"/>
    <s v="INV01863"/>
    <n v="113"/>
    <n v="599.90620000000001"/>
    <m/>
    <m/>
    <m/>
    <m/>
    <m/>
    <n v="599.90620000000001"/>
    <d v="2023-05-14T00:00:00"/>
    <n v="0"/>
    <n v="0"/>
    <n v="0"/>
    <n v="0"/>
    <n v="0"/>
    <n v="0"/>
    <n v="0"/>
    <x v="0"/>
    <n v="67789.400600000008"/>
    <n v="67789.400600000008"/>
    <n v="0"/>
    <n v="0"/>
    <x v="0"/>
    <x v="4"/>
  </r>
  <r>
    <s v="ORD01864"/>
    <d v="2024-08-31T00:00:00"/>
    <x v="654"/>
    <x v="148"/>
    <n v="110"/>
    <s v="INV01864"/>
    <n v="110"/>
    <n v="815.08680000000004"/>
    <m/>
    <m/>
    <m/>
    <m/>
    <m/>
    <n v="815.08680000000004"/>
    <d v="2023-05-16T00:00:00"/>
    <n v="0"/>
    <n v="0"/>
    <n v="0"/>
    <n v="0"/>
    <n v="0"/>
    <n v="0"/>
    <n v="0"/>
    <x v="0"/>
    <n v="89659.54800000001"/>
    <n v="89659.54800000001"/>
    <n v="0"/>
    <n v="0"/>
    <x v="0"/>
    <x v="22"/>
  </r>
  <r>
    <s v="ORD01865"/>
    <d v="2023-07-12T00:00:00"/>
    <x v="373"/>
    <x v="293"/>
    <n v="187"/>
    <s v="INV01865"/>
    <n v="187"/>
    <n v="104.9652"/>
    <m/>
    <m/>
    <m/>
    <m/>
    <m/>
    <n v="104.9652"/>
    <d v="2023-05-20T00:00:00"/>
    <n v="0"/>
    <n v="0"/>
    <n v="0"/>
    <n v="0"/>
    <n v="0"/>
    <n v="0"/>
    <n v="0"/>
    <x v="0"/>
    <n v="19628.492399999999"/>
    <n v="19628.492399999999"/>
    <n v="0"/>
    <n v="0"/>
    <x v="0"/>
    <x v="10"/>
  </r>
  <r>
    <s v="ORD01866"/>
    <d v="2023-07-11T00:00:00"/>
    <x v="338"/>
    <x v="207"/>
    <n v="18"/>
    <s v="INV01866"/>
    <n v="22"/>
    <n v="296.62625990482485"/>
    <m/>
    <m/>
    <m/>
    <m/>
    <m/>
    <n v="296.2912"/>
    <d v="2022-12-26T00:00:00"/>
    <n v="0"/>
    <n v="1"/>
    <n v="1"/>
    <n v="0"/>
    <n v="0"/>
    <n v="0"/>
    <n v="0"/>
    <x v="1"/>
    <n v="6525.7777179061468"/>
    <n v="5333.2416000000003"/>
    <n v="1192.5361179061465"/>
    <n v="12"/>
    <x v="2"/>
    <x v="10"/>
  </r>
  <r>
    <s v="ORD01867"/>
    <d v="2023-05-19T00:00:00"/>
    <x v="726"/>
    <x v="58"/>
    <n v="71"/>
    <s v="INV01867"/>
    <n v="71"/>
    <n v="601.32929999999999"/>
    <m/>
    <m/>
    <m/>
    <m/>
    <m/>
    <n v="601.32929999999999"/>
    <d v="2023-02-05T00:00:00"/>
    <n v="0"/>
    <n v="0"/>
    <n v="0"/>
    <n v="0"/>
    <n v="0"/>
    <n v="0"/>
    <n v="0"/>
    <x v="0"/>
    <n v="42694.380299999997"/>
    <n v="42694.380299999997"/>
    <n v="0"/>
    <n v="0"/>
    <x v="0"/>
    <x v="7"/>
  </r>
  <r>
    <s v="ORD01868"/>
    <d v="2024-07-16T00:00:00"/>
    <x v="259"/>
    <x v="28"/>
    <n v="32"/>
    <s v="INV01868"/>
    <n v="32"/>
    <n v="957.65700000000015"/>
    <m/>
    <m/>
    <m/>
    <m/>
    <m/>
    <n v="957.65700000000015"/>
    <d v="2023-05-11T00:00:00"/>
    <n v="0"/>
    <n v="0"/>
    <n v="0"/>
    <n v="0"/>
    <n v="0"/>
    <n v="0"/>
    <n v="0"/>
    <x v="0"/>
    <n v="30645.024000000005"/>
    <n v="30645.024000000005"/>
    <n v="0"/>
    <n v="0"/>
    <x v="0"/>
    <x v="21"/>
  </r>
  <r>
    <s v="ORD01869"/>
    <d v="2023-03-05T00:00:00"/>
    <x v="727"/>
    <x v="295"/>
    <n v="156"/>
    <s v="INV01869"/>
    <n v="156"/>
    <n v="708.94"/>
    <m/>
    <m/>
    <m/>
    <m/>
    <m/>
    <n v="708.94"/>
    <d v="2022-05-07T00:00:00"/>
    <n v="0"/>
    <n v="0"/>
    <n v="0"/>
    <n v="0"/>
    <n v="0"/>
    <n v="0"/>
    <n v="0"/>
    <x v="0"/>
    <n v="110594.64000000001"/>
    <n v="110594.64000000001"/>
    <n v="0"/>
    <n v="0"/>
    <x v="0"/>
    <x v="17"/>
  </r>
  <r>
    <s v="ORD01870"/>
    <d v="2024-03-26T00:00:00"/>
    <x v="28"/>
    <x v="15"/>
    <n v="99"/>
    <s v="INV01870"/>
    <n v="99"/>
    <n v="1039.0536"/>
    <m/>
    <m/>
    <m/>
    <m/>
    <m/>
    <n v="1039.0536"/>
    <d v="2023-05-08T00:00:00"/>
    <n v="0"/>
    <n v="0"/>
    <n v="0"/>
    <n v="0"/>
    <n v="0"/>
    <n v="0"/>
    <n v="0"/>
    <x v="0"/>
    <n v="102866.3064"/>
    <n v="102866.3064"/>
    <n v="0"/>
    <n v="0"/>
    <x v="0"/>
    <x v="6"/>
  </r>
  <r>
    <s v="ORD01871"/>
    <d v="2023-10-29T00:00:00"/>
    <x v="728"/>
    <x v="160"/>
    <n v="33"/>
    <s v="INV01871"/>
    <n v="33"/>
    <n v="419.71280000000002"/>
    <m/>
    <m/>
    <m/>
    <m/>
    <m/>
    <n v="419.71280000000002"/>
    <d v="2023-10-15T00:00:00"/>
    <n v="0"/>
    <n v="0"/>
    <n v="0"/>
    <n v="0"/>
    <n v="0"/>
    <n v="0"/>
    <n v="0"/>
    <x v="0"/>
    <n v="13850.5224"/>
    <n v="13850.5224"/>
    <n v="0"/>
    <n v="0"/>
    <x v="0"/>
    <x v="19"/>
  </r>
  <r>
    <s v="ORD01872"/>
    <d v="2024-07-25T00:00:00"/>
    <x v="63"/>
    <x v="182"/>
    <n v="9"/>
    <s v="INV01872"/>
    <n v="9"/>
    <n v="926.52549999999997"/>
    <m/>
    <m/>
    <m/>
    <m/>
    <m/>
    <n v="926.52549999999997"/>
    <d v="2023-09-14T00:00:00"/>
    <n v="0"/>
    <n v="0"/>
    <n v="0"/>
    <n v="0"/>
    <n v="0"/>
    <n v="0"/>
    <n v="0"/>
    <x v="0"/>
    <n v="8338.7294999999995"/>
    <n v="8338.7294999999995"/>
    <n v="0"/>
    <n v="0"/>
    <x v="0"/>
    <x v="21"/>
  </r>
  <r>
    <s v="ORD01873"/>
    <d v="2023-06-29T00:00:00"/>
    <x v="145"/>
    <x v="231"/>
    <n v="97"/>
    <s v="INV01873"/>
    <n v="97"/>
    <n v="850.16200000000003"/>
    <m/>
    <m/>
    <m/>
    <m/>
    <m/>
    <n v="850.16200000000003"/>
    <d v="2023-06-22T00:00:00"/>
    <n v="0"/>
    <n v="0"/>
    <n v="0"/>
    <n v="0"/>
    <n v="0"/>
    <n v="0"/>
    <n v="0"/>
    <x v="0"/>
    <n v="82465.714000000007"/>
    <n v="82465.714000000007"/>
    <n v="0"/>
    <n v="0"/>
    <x v="0"/>
    <x v="14"/>
  </r>
  <r>
    <s v="ORD01874"/>
    <d v="2024-08-31T00:00:00"/>
    <x v="184"/>
    <x v="186"/>
    <n v="158"/>
    <s v="INV01874"/>
    <n v="158"/>
    <n v="589.66600000000005"/>
    <m/>
    <m/>
    <m/>
    <m/>
    <m/>
    <n v="589.66600000000005"/>
    <d v="2023-10-19T00:00:00"/>
    <n v="0"/>
    <n v="0"/>
    <n v="0"/>
    <n v="0"/>
    <n v="0"/>
    <n v="0"/>
    <n v="0"/>
    <x v="0"/>
    <n v="93167.228000000003"/>
    <n v="93167.228000000003"/>
    <n v="0"/>
    <n v="0"/>
    <x v="0"/>
    <x v="22"/>
  </r>
  <r>
    <s v="ORD01875"/>
    <d v="2023-11-24T00:00:00"/>
    <x v="494"/>
    <x v="244"/>
    <n v="140"/>
    <s v="INV01875"/>
    <n v="140"/>
    <n v="1072.2954"/>
    <n v="11"/>
    <d v="2024-03-10T00:00:00"/>
    <m/>
    <m/>
    <m/>
    <n v="1072.2954"/>
    <d v="2023-07-13T00:00:00"/>
    <n v="0"/>
    <n v="0"/>
    <n v="0"/>
    <n v="0"/>
    <n v="0"/>
    <n v="1"/>
    <n v="0"/>
    <x v="1"/>
    <n v="150121.356"/>
    <n v="150121.356"/>
    <n v="0"/>
    <n v="2"/>
    <x v="1"/>
    <x v="0"/>
  </r>
  <r>
    <s v="ORD01876"/>
    <d v="2023-10-16T00:00:00"/>
    <x v="295"/>
    <x v="40"/>
    <n v="50"/>
    <s v="INV01876"/>
    <n v="50"/>
    <n v="182.4273"/>
    <m/>
    <m/>
    <m/>
    <m/>
    <m/>
    <n v="182.4273"/>
    <d v="2023-03-04T00:00:00"/>
    <n v="0"/>
    <n v="0"/>
    <n v="0"/>
    <n v="0"/>
    <n v="0"/>
    <n v="0"/>
    <n v="0"/>
    <x v="0"/>
    <n v="9121.3649999999998"/>
    <n v="9121.3649999999998"/>
    <n v="0"/>
    <n v="0"/>
    <x v="0"/>
    <x v="19"/>
  </r>
  <r>
    <s v="ORD01877"/>
    <d v="2024-09-21T00:00:00"/>
    <x v="729"/>
    <x v="233"/>
    <n v="34"/>
    <s v="INV01877"/>
    <n v="34"/>
    <n v="799.8357000000002"/>
    <m/>
    <m/>
    <m/>
    <m/>
    <m/>
    <n v="799.8357000000002"/>
    <d v="2023-05-17T00:00:00"/>
    <n v="0"/>
    <n v="0"/>
    <n v="0"/>
    <n v="0"/>
    <n v="0"/>
    <n v="0"/>
    <n v="0"/>
    <x v="0"/>
    <n v="27194.413800000006"/>
    <n v="27194.413800000006"/>
    <n v="0"/>
    <n v="0"/>
    <x v="0"/>
    <x v="2"/>
  </r>
  <r>
    <s v="ORD01878"/>
    <d v="2024-01-18T00:00:00"/>
    <x v="636"/>
    <x v="68"/>
    <n v="103"/>
    <s v="INV01878"/>
    <n v="103"/>
    <n v="168.12909999999999"/>
    <m/>
    <m/>
    <m/>
    <m/>
    <m/>
    <n v="168.12909999999999"/>
    <d v="2023-03-28T00:00:00"/>
    <n v="0"/>
    <n v="0"/>
    <n v="0"/>
    <n v="0"/>
    <n v="0"/>
    <n v="0"/>
    <n v="0"/>
    <x v="0"/>
    <n v="17317.297299999998"/>
    <n v="17317.297299999998"/>
    <n v="0"/>
    <n v="0"/>
    <x v="0"/>
    <x v="15"/>
  </r>
  <r>
    <s v="ORD01879"/>
    <d v="2024-04-14T00:00:00"/>
    <x v="618"/>
    <x v="164"/>
    <n v="49"/>
    <s v="INV01879"/>
    <n v="49"/>
    <n v="709.52"/>
    <m/>
    <m/>
    <m/>
    <m/>
    <m/>
    <n v="709.52"/>
    <d v="2023-01-26T00:00:00"/>
    <n v="0"/>
    <n v="0"/>
    <n v="0"/>
    <n v="0"/>
    <n v="0"/>
    <n v="0"/>
    <n v="0"/>
    <x v="0"/>
    <n v="34766.479999999996"/>
    <n v="34766.479999999996"/>
    <n v="0"/>
    <n v="0"/>
    <x v="0"/>
    <x v="9"/>
  </r>
  <r>
    <s v="ORD01880"/>
    <d v="2024-11-21T00:00:00"/>
    <x v="292"/>
    <x v="180"/>
    <n v="62"/>
    <s v="INV01880"/>
    <n v="62"/>
    <n v="977.22280000000001"/>
    <m/>
    <m/>
    <m/>
    <m/>
    <m/>
    <n v="977.22280000000001"/>
    <d v="2023-02-27T00:00:00"/>
    <n v="0"/>
    <n v="0"/>
    <n v="0"/>
    <n v="0"/>
    <n v="0"/>
    <n v="0"/>
    <n v="0"/>
    <x v="0"/>
    <n v="60587.813600000001"/>
    <n v="60587.813600000001"/>
    <n v="0"/>
    <n v="0"/>
    <x v="0"/>
    <x v="4"/>
  </r>
  <r>
    <s v="ORD01881"/>
    <d v="2024-01-12T00:00:00"/>
    <x v="534"/>
    <x v="135"/>
    <n v="191"/>
    <s v="INV01881"/>
    <n v="191"/>
    <n v="1231.8180000000002"/>
    <m/>
    <m/>
    <m/>
    <m/>
    <m/>
    <n v="1231.8180000000002"/>
    <d v="2023-05-02T00:00:00"/>
    <n v="0"/>
    <n v="0"/>
    <n v="0"/>
    <n v="0"/>
    <n v="0"/>
    <n v="0"/>
    <n v="0"/>
    <x v="0"/>
    <n v="235277.23800000004"/>
    <n v="235277.23800000004"/>
    <n v="0"/>
    <n v="0"/>
    <x v="0"/>
    <x v="15"/>
  </r>
  <r>
    <s v="ORD01882"/>
    <d v="2023-03-18T00:00:00"/>
    <x v="406"/>
    <x v="31"/>
    <n v="57"/>
    <s v="INV01882"/>
    <n v="57"/>
    <n v="1147.3289"/>
    <m/>
    <m/>
    <m/>
    <m/>
    <m/>
    <n v="1147.3289"/>
    <d v="2023-01-19T00:00:00"/>
    <n v="0"/>
    <n v="0"/>
    <n v="0"/>
    <n v="0"/>
    <n v="0"/>
    <n v="0"/>
    <n v="0"/>
    <x v="0"/>
    <n v="65397.747299999995"/>
    <n v="65397.747299999995"/>
    <n v="0"/>
    <n v="0"/>
    <x v="0"/>
    <x v="17"/>
  </r>
  <r>
    <s v="ORD01883"/>
    <d v="2023-04-14T00:00:00"/>
    <x v="620"/>
    <x v="282"/>
    <n v="38"/>
    <s v="INV01883"/>
    <n v="38"/>
    <n v="428.59800000000007"/>
    <m/>
    <m/>
    <m/>
    <m/>
    <m/>
    <n v="428.59800000000007"/>
    <d v="2022-08-25T00:00:00"/>
    <n v="0"/>
    <n v="0"/>
    <n v="0"/>
    <n v="0"/>
    <n v="0"/>
    <n v="0"/>
    <n v="0"/>
    <x v="0"/>
    <n v="16286.724000000002"/>
    <n v="16286.724000000002"/>
    <n v="0"/>
    <n v="0"/>
    <x v="0"/>
    <x v="23"/>
  </r>
  <r>
    <s v="ORD01884"/>
    <d v="2023-04-01T00:00:00"/>
    <x v="127"/>
    <x v="259"/>
    <n v="173"/>
    <s v="INV01884"/>
    <n v="173"/>
    <n v="1160.71"/>
    <m/>
    <m/>
    <m/>
    <m/>
    <m/>
    <n v="1160.71"/>
    <d v="2023-02-07T00:00:00"/>
    <n v="0"/>
    <n v="0"/>
    <n v="0"/>
    <n v="0"/>
    <n v="0"/>
    <n v="0"/>
    <n v="0"/>
    <x v="0"/>
    <n v="200802.83000000002"/>
    <n v="200802.83000000002"/>
    <n v="0"/>
    <n v="0"/>
    <x v="0"/>
    <x v="23"/>
  </r>
  <r>
    <s v="ORD01885"/>
    <d v="2023-09-17T00:00:00"/>
    <x v="76"/>
    <x v="244"/>
    <n v="171"/>
    <s v="INV01885"/>
    <n v="171"/>
    <n v="1072.2954"/>
    <m/>
    <m/>
    <m/>
    <m/>
    <m/>
    <n v="1072.2954"/>
    <d v="2023-07-13T00:00:00"/>
    <n v="0"/>
    <n v="0"/>
    <n v="0"/>
    <n v="0"/>
    <n v="0"/>
    <n v="0"/>
    <n v="0"/>
    <x v="0"/>
    <n v="183362.5134"/>
    <n v="183362.5134"/>
    <n v="0"/>
    <n v="0"/>
    <x v="0"/>
    <x v="18"/>
  </r>
  <r>
    <s v="ORD01886"/>
    <d v="2023-06-22T00:00:00"/>
    <x v="724"/>
    <x v="248"/>
    <n v="195"/>
    <s v="INV01886"/>
    <n v="195"/>
    <n v="226.88399999999999"/>
    <m/>
    <m/>
    <m/>
    <m/>
    <m/>
    <n v="226.88399999999999"/>
    <d v="2023-06-09T00:00:00"/>
    <n v="0"/>
    <n v="0"/>
    <n v="0"/>
    <n v="0"/>
    <n v="0"/>
    <n v="0"/>
    <n v="0"/>
    <x v="0"/>
    <n v="44242.38"/>
    <n v="44242.38"/>
    <n v="0"/>
    <n v="0"/>
    <x v="0"/>
    <x v="14"/>
  </r>
  <r>
    <s v="ORD01887"/>
    <d v="2024-09-29T00:00:00"/>
    <x v="437"/>
    <x v="277"/>
    <n v="25"/>
    <s v="INV01887"/>
    <n v="25"/>
    <n v="544.5"/>
    <m/>
    <m/>
    <m/>
    <m/>
    <m/>
    <n v="544.5"/>
    <d v="2023-08-21T00:00:00"/>
    <n v="0"/>
    <n v="0"/>
    <n v="0"/>
    <n v="0"/>
    <n v="0"/>
    <n v="0"/>
    <n v="0"/>
    <x v="0"/>
    <n v="13612.5"/>
    <n v="13612.5"/>
    <n v="0"/>
    <n v="0"/>
    <x v="0"/>
    <x v="2"/>
  </r>
  <r>
    <s v="ORD01888"/>
    <d v="2023-11-26T00:00:00"/>
    <x v="555"/>
    <x v="219"/>
    <n v="151"/>
    <s v="INV01888"/>
    <n v="151"/>
    <n v="556.99"/>
    <m/>
    <m/>
    <m/>
    <m/>
    <m/>
    <n v="556.99"/>
    <d v="2023-08-09T00:00:00"/>
    <n v="0"/>
    <n v="0"/>
    <n v="0"/>
    <n v="0"/>
    <n v="0"/>
    <n v="0"/>
    <n v="0"/>
    <x v="0"/>
    <n v="84105.49"/>
    <n v="84105.49"/>
    <n v="0"/>
    <n v="0"/>
    <x v="0"/>
    <x v="0"/>
  </r>
  <r>
    <s v="ORD01889"/>
    <d v="2024-07-23T00:00:00"/>
    <x v="131"/>
    <x v="286"/>
    <n v="83"/>
    <s v="INV01889"/>
    <n v="83"/>
    <n v="278.27100000000002"/>
    <m/>
    <m/>
    <m/>
    <m/>
    <m/>
    <n v="278.27100000000002"/>
    <d v="2023-07-12T00:00:00"/>
    <n v="0"/>
    <n v="0"/>
    <n v="0"/>
    <n v="0"/>
    <n v="0"/>
    <n v="0"/>
    <n v="0"/>
    <x v="0"/>
    <n v="23096.493000000002"/>
    <n v="23096.493000000002"/>
    <n v="0"/>
    <n v="0"/>
    <x v="0"/>
    <x v="21"/>
  </r>
  <r>
    <s v="ORD01890"/>
    <d v="2024-02-23T00:00:00"/>
    <x v="560"/>
    <x v="89"/>
    <n v="101"/>
    <s v="INV01890"/>
    <n v="101"/>
    <n v="826.46400000000006"/>
    <m/>
    <m/>
    <m/>
    <m/>
    <m/>
    <n v="826.46400000000006"/>
    <d v="2023-07-21T00:00:00"/>
    <n v="0"/>
    <n v="0"/>
    <n v="0"/>
    <n v="0"/>
    <n v="0"/>
    <n v="0"/>
    <n v="0"/>
    <x v="0"/>
    <n v="83472.864000000001"/>
    <n v="83472.864000000001"/>
    <n v="0"/>
    <n v="0"/>
    <x v="0"/>
    <x v="3"/>
  </r>
  <r>
    <s v="ORD01891"/>
    <d v="2024-12-16T00:00:00"/>
    <x v="689"/>
    <x v="4"/>
    <n v="40"/>
    <s v="INV01891"/>
    <n v="40"/>
    <n v="353.52719999999999"/>
    <m/>
    <m/>
    <m/>
    <m/>
    <m/>
    <n v="353.52719999999999"/>
    <d v="2023-09-13T00:00:00"/>
    <n v="0"/>
    <n v="0"/>
    <n v="0"/>
    <n v="0"/>
    <n v="0"/>
    <n v="0"/>
    <n v="0"/>
    <x v="0"/>
    <n v="14141.088"/>
    <n v="14141.088"/>
    <n v="0"/>
    <n v="0"/>
    <x v="0"/>
    <x v="1"/>
  </r>
  <r>
    <s v="ORD01892"/>
    <d v="2024-03-06T00:00:00"/>
    <x v="730"/>
    <x v="90"/>
    <n v="128"/>
    <s v="INV01892"/>
    <n v="128"/>
    <n v="249.1748"/>
    <m/>
    <m/>
    <m/>
    <m/>
    <m/>
    <n v="249.1748"/>
    <d v="2023-08-03T00:00:00"/>
    <n v="0"/>
    <n v="0"/>
    <n v="0"/>
    <n v="0"/>
    <n v="0"/>
    <n v="0"/>
    <n v="0"/>
    <x v="0"/>
    <n v="31894.374400000001"/>
    <n v="31894.374400000001"/>
    <n v="0"/>
    <n v="0"/>
    <x v="0"/>
    <x v="6"/>
  </r>
  <r>
    <s v="ORD01893"/>
    <d v="2023-04-15T00:00:00"/>
    <x v="64"/>
    <x v="179"/>
    <n v="164"/>
    <s v="INV01893"/>
    <n v="164"/>
    <n v="72.63"/>
    <m/>
    <m/>
    <m/>
    <m/>
    <m/>
    <n v="72.63"/>
    <d v="2023-01-30T00:00:00"/>
    <n v="0"/>
    <n v="0"/>
    <n v="0"/>
    <n v="0"/>
    <n v="0"/>
    <n v="0"/>
    <n v="0"/>
    <x v="0"/>
    <n v="11911.32"/>
    <n v="11911.32"/>
    <n v="0"/>
    <n v="0"/>
    <x v="0"/>
    <x v="23"/>
  </r>
  <r>
    <s v="ORD01894"/>
    <d v="2023-01-30T00:00:00"/>
    <x v="13"/>
    <x v="296"/>
    <n v="180"/>
    <s v="INV01894"/>
    <n v="180"/>
    <n v="798.05520000000013"/>
    <m/>
    <m/>
    <m/>
    <m/>
    <m/>
    <n v="798.05520000000013"/>
    <d v="2022-10-04T00:00:00"/>
    <n v="0"/>
    <n v="0"/>
    <n v="0"/>
    <n v="0"/>
    <n v="0"/>
    <n v="0"/>
    <n v="0"/>
    <x v="0"/>
    <n v="143649.93600000002"/>
    <n v="143649.93600000002"/>
    <n v="0"/>
    <n v="0"/>
    <x v="0"/>
    <x v="8"/>
  </r>
  <r>
    <s v="ORD01895"/>
    <d v="2024-04-03T00:00:00"/>
    <x v="462"/>
    <x v="270"/>
    <n v="133"/>
    <s v="INV01895"/>
    <n v="133"/>
    <n v="983.19460000000004"/>
    <m/>
    <m/>
    <m/>
    <m/>
    <m/>
    <n v="983.19460000000004"/>
    <d v="2023-08-04T00:00:00"/>
    <n v="0"/>
    <n v="0"/>
    <n v="0"/>
    <n v="0"/>
    <n v="0"/>
    <n v="0"/>
    <n v="0"/>
    <x v="0"/>
    <n v="130764.8818"/>
    <n v="130764.8818"/>
    <n v="0"/>
    <n v="0"/>
    <x v="0"/>
    <x v="9"/>
  </r>
  <r>
    <s v="ORD01896"/>
    <d v="2023-06-04T00:00:00"/>
    <x v="629"/>
    <x v="193"/>
    <n v="107"/>
    <s v="INV01896"/>
    <n v="107"/>
    <n v="1040.4287999999999"/>
    <m/>
    <m/>
    <m/>
    <m/>
    <m/>
    <n v="1040.4287999999999"/>
    <d v="2023-03-31T00:00:00"/>
    <n v="0"/>
    <n v="0"/>
    <n v="0"/>
    <n v="0"/>
    <n v="0"/>
    <n v="0"/>
    <n v="0"/>
    <x v="0"/>
    <n v="111325.88159999999"/>
    <n v="111325.88159999999"/>
    <n v="0"/>
    <n v="0"/>
    <x v="0"/>
    <x v="14"/>
  </r>
  <r>
    <s v="ORD01897"/>
    <d v="2024-10-21T00:00:00"/>
    <x v="353"/>
    <x v="192"/>
    <n v="198"/>
    <s v="INV01897"/>
    <n v="198"/>
    <n v="247.48920000000001"/>
    <m/>
    <m/>
    <m/>
    <m/>
    <m/>
    <n v="247.48920000000001"/>
    <d v="2023-06-11T00:00:00"/>
    <n v="0"/>
    <n v="0"/>
    <n v="0"/>
    <n v="0"/>
    <n v="0"/>
    <n v="0"/>
    <n v="0"/>
    <x v="0"/>
    <n v="49002.861600000004"/>
    <n v="49002.861600000004"/>
    <n v="0"/>
    <n v="0"/>
    <x v="0"/>
    <x v="5"/>
  </r>
  <r>
    <s v="ORD01898"/>
    <d v="2024-05-26T00:00:00"/>
    <x v="410"/>
    <x v="291"/>
    <n v="99"/>
    <s v="INV01898"/>
    <n v="95"/>
    <n v="933.43190000000004"/>
    <m/>
    <m/>
    <m/>
    <m/>
    <m/>
    <n v="933.43190000000004"/>
    <d v="2023-03-26T00:00:00"/>
    <n v="0"/>
    <n v="1"/>
    <n v="0"/>
    <n v="0"/>
    <n v="0"/>
    <n v="0"/>
    <n v="0"/>
    <x v="1"/>
    <n v="88676.030500000008"/>
    <n v="92409.758100000006"/>
    <n v="-3733.7275999999983"/>
    <n v="8"/>
    <x v="2"/>
    <x v="13"/>
  </r>
  <r>
    <s v="ORD01899"/>
    <d v="2024-01-17T00:00:00"/>
    <x v="48"/>
    <x v="131"/>
    <n v="191"/>
    <s v="INV01899"/>
    <n v="191"/>
    <n v="741.88620000000003"/>
    <m/>
    <m/>
    <m/>
    <m/>
    <m/>
    <n v="741.88620000000003"/>
    <d v="2023-01-04T00:00:00"/>
    <n v="0"/>
    <n v="0"/>
    <n v="0"/>
    <n v="0"/>
    <n v="0"/>
    <n v="0"/>
    <n v="0"/>
    <x v="0"/>
    <n v="141700.26420000001"/>
    <n v="141700.26420000001"/>
    <n v="0"/>
    <n v="0"/>
    <x v="0"/>
    <x v="15"/>
  </r>
  <r>
    <s v="ORD01900"/>
    <d v="2024-05-28T00:00:00"/>
    <x v="294"/>
    <x v="124"/>
    <n v="19"/>
    <s v="INV01900"/>
    <n v="19"/>
    <n v="381.97550000000001"/>
    <m/>
    <m/>
    <m/>
    <m/>
    <m/>
    <n v="381.97550000000001"/>
    <d v="2023-05-19T00:00:00"/>
    <n v="0"/>
    <n v="0"/>
    <n v="0"/>
    <n v="0"/>
    <n v="0"/>
    <n v="0"/>
    <n v="0"/>
    <x v="0"/>
    <n v="7257.5344999999998"/>
    <n v="7257.5344999999998"/>
    <n v="0"/>
    <n v="0"/>
    <x v="0"/>
    <x v="13"/>
  </r>
  <r>
    <s v="ORD01901"/>
    <d v="2024-01-08T00:00:00"/>
    <x v="480"/>
    <x v="106"/>
    <n v="94"/>
    <s v="INV01901"/>
    <n v="94"/>
    <n v="652.1472"/>
    <m/>
    <m/>
    <m/>
    <m/>
    <m/>
    <n v="652.1472"/>
    <d v="2023-02-02T00:00:00"/>
    <n v="0"/>
    <n v="0"/>
    <n v="0"/>
    <n v="0"/>
    <n v="0"/>
    <n v="0"/>
    <n v="0"/>
    <x v="0"/>
    <n v="61301.836799999997"/>
    <n v="61301.836799999997"/>
    <n v="0"/>
    <n v="0"/>
    <x v="0"/>
    <x v="15"/>
  </r>
  <r>
    <s v="ORD01902"/>
    <d v="2023-05-06T00:00:00"/>
    <x v="731"/>
    <x v="116"/>
    <n v="178"/>
    <s v="INV01902"/>
    <n v="178"/>
    <n v="288.07"/>
    <m/>
    <m/>
    <m/>
    <m/>
    <m/>
    <n v="288.07"/>
    <d v="2023-01-28T00:00:00"/>
    <n v="0"/>
    <n v="0"/>
    <n v="0"/>
    <n v="0"/>
    <n v="0"/>
    <n v="0"/>
    <n v="0"/>
    <x v="0"/>
    <n v="51276.46"/>
    <n v="51276.46"/>
    <n v="0"/>
    <n v="0"/>
    <x v="0"/>
    <x v="7"/>
  </r>
  <r>
    <s v="ORD01903"/>
    <d v="2024-12-06T00:00:00"/>
    <x v="317"/>
    <x v="283"/>
    <n v="192"/>
    <s v="INV01903"/>
    <n v="192"/>
    <n v="110.9413"/>
    <m/>
    <m/>
    <m/>
    <m/>
    <m/>
    <n v="110.9413"/>
    <d v="2023-08-15T00:00:00"/>
    <n v="0"/>
    <n v="0"/>
    <n v="0"/>
    <n v="0"/>
    <n v="0"/>
    <n v="0"/>
    <n v="0"/>
    <x v="0"/>
    <n v="21300.729599999999"/>
    <n v="21300.729599999999"/>
    <n v="0"/>
    <n v="0"/>
    <x v="0"/>
    <x v="1"/>
  </r>
  <r>
    <s v="ORD01904"/>
    <d v="2024-07-06T00:00:00"/>
    <x v="364"/>
    <x v="109"/>
    <n v="186"/>
    <s v="INV01904"/>
    <n v="186"/>
    <n v="457.65019999999998"/>
    <m/>
    <m/>
    <m/>
    <m/>
    <m/>
    <n v="457.65019999999998"/>
    <d v="2023-01-24T00:00:00"/>
    <n v="0"/>
    <n v="0"/>
    <n v="0"/>
    <n v="0"/>
    <n v="0"/>
    <n v="0"/>
    <n v="0"/>
    <x v="0"/>
    <n v="85122.9372"/>
    <n v="85122.9372"/>
    <n v="0"/>
    <n v="0"/>
    <x v="0"/>
    <x v="21"/>
  </r>
  <r>
    <s v="ORD01905"/>
    <d v="2023-11-13T00:00:00"/>
    <x v="565"/>
    <x v="203"/>
    <n v="192"/>
    <s v="INV01905"/>
    <n v="192"/>
    <n v="60.239800000000002"/>
    <m/>
    <m/>
    <m/>
    <m/>
    <m/>
    <n v="60.239800000000002"/>
    <d v="2023-08-07T00:00:00"/>
    <n v="0"/>
    <n v="0"/>
    <n v="0"/>
    <n v="0"/>
    <n v="0"/>
    <n v="0"/>
    <n v="0"/>
    <x v="0"/>
    <n v="11566.0416"/>
    <n v="11566.0416"/>
    <n v="0"/>
    <n v="0"/>
    <x v="0"/>
    <x v="0"/>
  </r>
  <r>
    <s v="ORD01906"/>
    <d v="2024-04-10T00:00:00"/>
    <x v="474"/>
    <x v="254"/>
    <n v="106"/>
    <s v="INV01906"/>
    <n v="106"/>
    <n v="571.49840000000006"/>
    <m/>
    <m/>
    <m/>
    <m/>
    <m/>
    <n v="571.49840000000006"/>
    <d v="2023-05-25T00:00:00"/>
    <n v="0"/>
    <n v="0"/>
    <n v="0"/>
    <n v="0"/>
    <n v="0"/>
    <n v="0"/>
    <n v="0"/>
    <x v="0"/>
    <n v="60578.830400000006"/>
    <n v="60578.830400000006"/>
    <n v="0"/>
    <n v="0"/>
    <x v="0"/>
    <x v="9"/>
  </r>
  <r>
    <s v="ORD01907"/>
    <d v="2023-11-23T00:00:00"/>
    <x v="179"/>
    <x v="217"/>
    <n v="172"/>
    <s v="INV01907"/>
    <n v="172"/>
    <n v="189.52920000000003"/>
    <m/>
    <m/>
    <m/>
    <m/>
    <m/>
    <n v="189.52920000000003"/>
    <d v="2023-05-24T00:00:00"/>
    <n v="0"/>
    <n v="0"/>
    <n v="0"/>
    <n v="0"/>
    <n v="0"/>
    <n v="0"/>
    <n v="0"/>
    <x v="0"/>
    <n v="32599.022400000005"/>
    <n v="32599.022400000005"/>
    <n v="0"/>
    <n v="0"/>
    <x v="0"/>
    <x v="0"/>
  </r>
  <r>
    <s v="ORD01908"/>
    <d v="2023-05-30T00:00:00"/>
    <x v="548"/>
    <x v="65"/>
    <n v="38"/>
    <s v="INV01908"/>
    <n v="38"/>
    <n v="660.96040000000005"/>
    <m/>
    <m/>
    <m/>
    <m/>
    <m/>
    <n v="660.96040000000005"/>
    <d v="2023-01-21T00:00:00"/>
    <n v="0"/>
    <n v="0"/>
    <n v="0"/>
    <n v="0"/>
    <n v="0"/>
    <n v="0"/>
    <n v="0"/>
    <x v="0"/>
    <n v="25116.495200000001"/>
    <n v="25116.495200000001"/>
    <n v="0"/>
    <n v="0"/>
    <x v="0"/>
    <x v="7"/>
  </r>
  <r>
    <s v="ORD01909"/>
    <d v="2024-12-07T00:00:00"/>
    <x v="8"/>
    <x v="82"/>
    <n v="143"/>
    <s v="INV01909"/>
    <n v="143"/>
    <n v="280.03500000000003"/>
    <m/>
    <m/>
    <m/>
    <m/>
    <m/>
    <n v="280.03500000000003"/>
    <d v="2023-08-08T00:00:00"/>
    <n v="0"/>
    <n v="0"/>
    <n v="0"/>
    <n v="0"/>
    <n v="0"/>
    <n v="0"/>
    <n v="0"/>
    <x v="0"/>
    <n v="40045.005000000005"/>
    <n v="40045.005000000005"/>
    <n v="0"/>
    <n v="0"/>
    <x v="0"/>
    <x v="1"/>
  </r>
  <r>
    <s v="ORD01910"/>
    <d v="2024-09-09T00:00:00"/>
    <x v="437"/>
    <x v="69"/>
    <n v="32"/>
    <s v="INV01910"/>
    <n v="32"/>
    <n v="876.32749999999999"/>
    <m/>
    <m/>
    <m/>
    <m/>
    <m/>
    <n v="876.32749999999999"/>
    <d v="2023-06-29T00:00:00"/>
    <n v="0"/>
    <n v="0"/>
    <n v="0"/>
    <n v="0"/>
    <n v="0"/>
    <n v="0"/>
    <n v="0"/>
    <x v="0"/>
    <n v="28042.48"/>
    <n v="28042.48"/>
    <n v="0"/>
    <n v="0"/>
    <x v="0"/>
    <x v="2"/>
  </r>
  <r>
    <s v="ORD01911"/>
    <d v="2023-05-17T00:00:00"/>
    <x v="625"/>
    <x v="206"/>
    <n v="103"/>
    <s v="INV01911"/>
    <n v="103"/>
    <n v="82.026000000000025"/>
    <m/>
    <m/>
    <m/>
    <m/>
    <m/>
    <n v="82.026000000000025"/>
    <d v="2023-05-15T00:00:00"/>
    <n v="0"/>
    <n v="0"/>
    <n v="0"/>
    <n v="0"/>
    <n v="0"/>
    <n v="0"/>
    <n v="0"/>
    <x v="0"/>
    <n v="8448.6780000000017"/>
    <n v="8448.6780000000017"/>
    <n v="0"/>
    <n v="0"/>
    <x v="0"/>
    <x v="7"/>
  </r>
  <r>
    <s v="ORD01912"/>
    <d v="2023-12-02T00:00:00"/>
    <x v="666"/>
    <x v="162"/>
    <n v="46"/>
    <s v="INV01912"/>
    <n v="46"/>
    <n v="571.32999999999993"/>
    <m/>
    <m/>
    <m/>
    <m/>
    <m/>
    <n v="571.32999999999993"/>
    <d v="2023-10-07T00:00:00"/>
    <n v="0"/>
    <n v="0"/>
    <n v="0"/>
    <n v="0"/>
    <n v="0"/>
    <n v="0"/>
    <n v="0"/>
    <x v="0"/>
    <n v="26281.179999999997"/>
    <n v="26281.179999999997"/>
    <n v="0"/>
    <n v="0"/>
    <x v="0"/>
    <x v="20"/>
  </r>
  <r>
    <s v="ORD01913"/>
    <d v="2024-06-26T00:00:00"/>
    <x v="573"/>
    <x v="185"/>
    <n v="120"/>
    <s v="INV01913"/>
    <n v="120"/>
    <n v="435.57279999999997"/>
    <m/>
    <m/>
    <m/>
    <m/>
    <m/>
    <n v="435.57279999999997"/>
    <d v="2023-08-21T00:00:00"/>
    <n v="0"/>
    <n v="0"/>
    <n v="0"/>
    <n v="0"/>
    <n v="0"/>
    <n v="0"/>
    <n v="0"/>
    <x v="0"/>
    <n v="52268.735999999997"/>
    <n v="52268.735999999997"/>
    <n v="0"/>
    <n v="0"/>
    <x v="0"/>
    <x v="16"/>
  </r>
  <r>
    <s v="ORD01914"/>
    <d v="2023-12-15T00:00:00"/>
    <x v="732"/>
    <x v="214"/>
    <n v="28"/>
    <s v="INV01914"/>
    <n v="28"/>
    <n v="77.178600000000003"/>
    <m/>
    <m/>
    <m/>
    <m/>
    <m/>
    <n v="77.178600000000003"/>
    <d v="2023-02-18T00:00:00"/>
    <n v="0"/>
    <n v="0"/>
    <n v="0"/>
    <n v="0"/>
    <n v="0"/>
    <n v="0"/>
    <n v="0"/>
    <x v="0"/>
    <n v="2161.0008000000003"/>
    <n v="2161.0008000000003"/>
    <n v="0"/>
    <n v="0"/>
    <x v="0"/>
    <x v="20"/>
  </r>
  <r>
    <s v="ORD01915"/>
    <d v="2024-03-24T00:00:00"/>
    <x v="31"/>
    <x v="287"/>
    <n v="47"/>
    <s v="INV01915"/>
    <n v="47"/>
    <n v="720.47380000000021"/>
    <m/>
    <m/>
    <m/>
    <m/>
    <m/>
    <n v="720.47380000000021"/>
    <d v="2023-04-10T00:00:00"/>
    <n v="0"/>
    <n v="0"/>
    <n v="0"/>
    <n v="0"/>
    <n v="0"/>
    <n v="0"/>
    <n v="0"/>
    <x v="0"/>
    <n v="33862.26860000001"/>
    <n v="33862.26860000001"/>
    <n v="0"/>
    <n v="0"/>
    <x v="0"/>
    <x v="6"/>
  </r>
  <r>
    <s v="ORD01916"/>
    <d v="2024-01-02T00:00:00"/>
    <x v="582"/>
    <x v="127"/>
    <n v="171"/>
    <s v="INV01916"/>
    <n v="171"/>
    <n v="343.34190000000001"/>
    <m/>
    <m/>
    <m/>
    <m/>
    <m/>
    <n v="343.34190000000001"/>
    <d v="2023-07-19T00:00:00"/>
    <n v="0"/>
    <n v="0"/>
    <n v="0"/>
    <n v="0"/>
    <n v="0"/>
    <n v="0"/>
    <n v="0"/>
    <x v="0"/>
    <n v="58711.464899999999"/>
    <n v="58711.464899999999"/>
    <n v="0"/>
    <n v="0"/>
    <x v="0"/>
    <x v="15"/>
  </r>
  <r>
    <s v="ORD01917"/>
    <d v="2023-02-17T00:00:00"/>
    <x v="107"/>
    <x v="281"/>
    <n v="37"/>
    <s v="INV01917"/>
    <n v="37"/>
    <n v="703.97"/>
    <n v="8"/>
    <d v="2024-05-14T00:00:00"/>
    <m/>
    <m/>
    <m/>
    <n v="703.97"/>
    <d v="2022-01-06T00:00:00"/>
    <n v="0"/>
    <n v="0"/>
    <n v="0"/>
    <n v="0"/>
    <n v="0"/>
    <n v="1"/>
    <n v="0"/>
    <x v="1"/>
    <n v="26046.89"/>
    <n v="26046.89"/>
    <n v="0"/>
    <n v="2"/>
    <x v="1"/>
    <x v="11"/>
  </r>
  <r>
    <s v="ORD01918"/>
    <d v="2023-07-25T00:00:00"/>
    <x v="180"/>
    <x v="77"/>
    <n v="154"/>
    <s v="INV01918"/>
    <n v="154"/>
    <n v="709.45920000000001"/>
    <m/>
    <m/>
    <m/>
    <m/>
    <m/>
    <n v="709.45920000000001"/>
    <d v="2022-09-26T00:00:00"/>
    <n v="0"/>
    <n v="0"/>
    <n v="0"/>
    <n v="0"/>
    <n v="0"/>
    <n v="0"/>
    <n v="0"/>
    <x v="0"/>
    <n v="109256.71679999999"/>
    <n v="109256.71679999999"/>
    <n v="0"/>
    <n v="0"/>
    <x v="0"/>
    <x v="10"/>
  </r>
  <r>
    <s v="ORD01919"/>
    <d v="2024-02-26T00:00:00"/>
    <x v="281"/>
    <x v="246"/>
    <n v="55"/>
    <s v="INV01919"/>
    <n v="55"/>
    <n v="491.10239999999999"/>
    <m/>
    <m/>
    <m/>
    <m/>
    <m/>
    <n v="491.10239999999999"/>
    <d v="2023-09-18T00:00:00"/>
    <n v="0"/>
    <n v="0"/>
    <n v="0"/>
    <n v="0"/>
    <n v="0"/>
    <n v="0"/>
    <n v="0"/>
    <x v="0"/>
    <n v="27010.631999999998"/>
    <n v="27010.631999999998"/>
    <n v="0"/>
    <n v="0"/>
    <x v="0"/>
    <x v="3"/>
  </r>
  <r>
    <s v="ORD01920"/>
    <d v="2024-12-11T00:00:00"/>
    <x v="693"/>
    <x v="114"/>
    <n v="56"/>
    <s v="INV01920"/>
    <n v="56"/>
    <n v="945.38850000000002"/>
    <m/>
    <m/>
    <m/>
    <m/>
    <m/>
    <n v="945.38850000000002"/>
    <d v="2023-05-01T00:00:00"/>
    <n v="0"/>
    <n v="0"/>
    <n v="0"/>
    <n v="0"/>
    <n v="0"/>
    <n v="0"/>
    <n v="0"/>
    <x v="0"/>
    <n v="52941.756000000001"/>
    <n v="52941.756000000001"/>
    <n v="0"/>
    <n v="0"/>
    <x v="0"/>
    <x v="1"/>
  </r>
  <r>
    <s v="ORD01921"/>
    <d v="2023-05-11T00:00:00"/>
    <x v="329"/>
    <x v="294"/>
    <n v="122"/>
    <s v="INV01921"/>
    <n v="122"/>
    <n v="143.86799999999999"/>
    <m/>
    <m/>
    <m/>
    <m/>
    <m/>
    <n v="143.86799999999999"/>
    <d v="2023-04-20T00:00:00"/>
    <n v="0"/>
    <n v="0"/>
    <n v="0"/>
    <n v="0"/>
    <n v="0"/>
    <n v="0"/>
    <n v="0"/>
    <x v="0"/>
    <n v="17551.896000000001"/>
    <n v="17551.896000000001"/>
    <n v="0"/>
    <n v="0"/>
    <x v="0"/>
    <x v="7"/>
  </r>
  <r>
    <s v="ORD01922"/>
    <d v="2024-12-22T00:00:00"/>
    <x v="138"/>
    <x v="48"/>
    <n v="114"/>
    <s v="INV01922"/>
    <n v="114"/>
    <n v="1144.1684"/>
    <m/>
    <m/>
    <m/>
    <m/>
    <m/>
    <n v="1144.1684"/>
    <d v="2023-01-29T00:00:00"/>
    <n v="0"/>
    <n v="0"/>
    <n v="0"/>
    <n v="0"/>
    <n v="0"/>
    <n v="0"/>
    <n v="0"/>
    <x v="0"/>
    <n v="130435.1976"/>
    <n v="130435.1976"/>
    <n v="0"/>
    <n v="0"/>
    <x v="0"/>
    <x v="1"/>
  </r>
  <r>
    <s v="ORD01923"/>
    <d v="2023-09-11T00:00:00"/>
    <x v="733"/>
    <x v="235"/>
    <n v="117"/>
    <s v="INV01923"/>
    <n v="117"/>
    <n v="708.51900000000001"/>
    <n v="16"/>
    <d v="2024-02-11T00:00:00"/>
    <m/>
    <m/>
    <m/>
    <n v="708.51900000000001"/>
    <d v="2023-05-17T00:00:00"/>
    <n v="0"/>
    <n v="0"/>
    <n v="0"/>
    <n v="0"/>
    <n v="0"/>
    <n v="1"/>
    <n v="0"/>
    <x v="1"/>
    <n v="82896.722999999998"/>
    <n v="82896.722999999998"/>
    <n v="0"/>
    <n v="2"/>
    <x v="1"/>
    <x v="18"/>
  </r>
  <r>
    <s v="ORD01924"/>
    <d v="2024-12-20T00:00:00"/>
    <x v="734"/>
    <x v="246"/>
    <n v="98"/>
    <s v="INV01924"/>
    <n v="98"/>
    <n v="491.10239999999999"/>
    <m/>
    <m/>
    <m/>
    <m/>
    <m/>
    <n v="491.10239999999999"/>
    <d v="2023-09-18T00:00:00"/>
    <n v="0"/>
    <n v="0"/>
    <n v="0"/>
    <n v="0"/>
    <n v="0"/>
    <n v="0"/>
    <n v="0"/>
    <x v="0"/>
    <n v="48128.035199999998"/>
    <n v="48128.035199999998"/>
    <n v="0"/>
    <n v="0"/>
    <x v="0"/>
    <x v="1"/>
  </r>
  <r>
    <s v="ORD01925"/>
    <d v="2023-08-22T00:00:00"/>
    <x v="648"/>
    <x v="116"/>
    <n v="21"/>
    <s v="INV01925"/>
    <n v="21"/>
    <n v="279.42789999999997"/>
    <m/>
    <m/>
    <m/>
    <m/>
    <m/>
    <n v="279.42789999999997"/>
    <d v="2023-06-26T00:00:00"/>
    <n v="0"/>
    <n v="0"/>
    <n v="0"/>
    <n v="0"/>
    <n v="0"/>
    <n v="0"/>
    <n v="0"/>
    <x v="0"/>
    <n v="5867.9858999999997"/>
    <n v="5867.9858999999997"/>
    <n v="0"/>
    <n v="0"/>
    <x v="0"/>
    <x v="12"/>
  </r>
  <r>
    <s v="ORD01926"/>
    <d v="2024-11-09T00:00:00"/>
    <x v="70"/>
    <x v="9"/>
    <n v="166"/>
    <s v="INV01926"/>
    <n v="166"/>
    <n v="397.40159999999997"/>
    <m/>
    <m/>
    <m/>
    <m/>
    <m/>
    <n v="397.40159999999997"/>
    <d v="2023-04-05T00:00:00"/>
    <n v="0"/>
    <n v="0"/>
    <n v="0"/>
    <n v="0"/>
    <n v="0"/>
    <n v="0"/>
    <n v="0"/>
    <x v="0"/>
    <n v="65968.665599999993"/>
    <n v="65968.665599999993"/>
    <n v="0"/>
    <n v="0"/>
    <x v="0"/>
    <x v="4"/>
  </r>
  <r>
    <s v="ORD01927"/>
    <d v="2024-10-11T00:00:00"/>
    <x v="564"/>
    <x v="175"/>
    <n v="59"/>
    <s v="INV01927"/>
    <n v="59"/>
    <n v="212.07900000000001"/>
    <m/>
    <m/>
    <m/>
    <m/>
    <m/>
    <n v="212.07900000000001"/>
    <d v="2023-05-11T00:00:00"/>
    <n v="0"/>
    <n v="0"/>
    <n v="0"/>
    <n v="0"/>
    <n v="0"/>
    <n v="0"/>
    <n v="0"/>
    <x v="0"/>
    <n v="12512.661"/>
    <n v="12512.661"/>
    <n v="0"/>
    <n v="0"/>
    <x v="0"/>
    <x v="5"/>
  </r>
  <r>
    <s v="ORD01928"/>
    <d v="2023-03-17T00:00:00"/>
    <x v="559"/>
    <x v="177"/>
    <n v="53"/>
    <s v="INV01928"/>
    <n v="53"/>
    <n v="335.39150000000001"/>
    <m/>
    <m/>
    <m/>
    <m/>
    <m/>
    <n v="335.39150000000001"/>
    <d v="2023-03-01T00:00:00"/>
    <n v="0"/>
    <n v="0"/>
    <n v="0"/>
    <n v="0"/>
    <n v="0"/>
    <n v="0"/>
    <n v="0"/>
    <x v="0"/>
    <n v="17775.749500000002"/>
    <n v="17775.749500000002"/>
    <n v="0"/>
    <n v="0"/>
    <x v="0"/>
    <x v="17"/>
  </r>
  <r>
    <s v="ORD01929"/>
    <d v="2023-05-13T00:00:00"/>
    <x v="705"/>
    <x v="237"/>
    <n v="190"/>
    <s v="INV01929"/>
    <n v="190"/>
    <n v="579.65"/>
    <m/>
    <m/>
    <m/>
    <m/>
    <m/>
    <n v="579.65"/>
    <d v="2022-10-03T00:00:00"/>
    <n v="0"/>
    <n v="0"/>
    <n v="0"/>
    <n v="0"/>
    <n v="0"/>
    <n v="0"/>
    <n v="0"/>
    <x v="0"/>
    <n v="110133.5"/>
    <n v="110133.5"/>
    <n v="0"/>
    <n v="0"/>
    <x v="0"/>
    <x v="7"/>
  </r>
  <r>
    <s v="ORD01930"/>
    <d v="2023-09-05T00:00:00"/>
    <x v="289"/>
    <x v="236"/>
    <n v="37"/>
    <s v="INV01930"/>
    <n v="37"/>
    <n v="1182.1740000000002"/>
    <m/>
    <m/>
    <m/>
    <m/>
    <m/>
    <n v="1182.1740000000002"/>
    <d v="2023-07-23T00:00:00"/>
    <n v="0"/>
    <n v="0"/>
    <n v="0"/>
    <n v="0"/>
    <n v="0"/>
    <n v="0"/>
    <n v="0"/>
    <x v="0"/>
    <n v="43740.438000000009"/>
    <n v="43740.438000000009"/>
    <n v="0"/>
    <n v="0"/>
    <x v="0"/>
    <x v="18"/>
  </r>
  <r>
    <s v="ORD01931"/>
    <d v="2023-10-02T00:00:00"/>
    <x v="48"/>
    <x v="78"/>
    <n v="188"/>
    <s v="INV01931"/>
    <n v="188"/>
    <n v="372.85379999999998"/>
    <m/>
    <m/>
    <m/>
    <m/>
    <m/>
    <n v="372.85379999999998"/>
    <d v="2023-09-06T00:00:00"/>
    <n v="0"/>
    <n v="0"/>
    <n v="0"/>
    <n v="0"/>
    <n v="0"/>
    <n v="0"/>
    <n v="0"/>
    <x v="0"/>
    <n v="70096.5144"/>
    <n v="70096.5144"/>
    <n v="0"/>
    <n v="0"/>
    <x v="0"/>
    <x v="19"/>
  </r>
  <r>
    <s v="ORD01932"/>
    <d v="2023-09-21T00:00:00"/>
    <x v="617"/>
    <x v="265"/>
    <n v="38"/>
    <s v="INV01932"/>
    <n v="38"/>
    <n v="223.6044"/>
    <n v="15"/>
    <d v="2024-06-29T00:00:00"/>
    <m/>
    <m/>
    <m/>
    <n v="223.6044"/>
    <d v="2023-06-14T00:00:00"/>
    <n v="0"/>
    <n v="0"/>
    <n v="0"/>
    <n v="0"/>
    <n v="0"/>
    <n v="1"/>
    <n v="0"/>
    <x v="1"/>
    <n v="8496.9671999999991"/>
    <n v="8496.9671999999991"/>
    <n v="0"/>
    <n v="2"/>
    <x v="1"/>
    <x v="18"/>
  </r>
  <r>
    <s v="ORD01933"/>
    <d v="2023-08-22T00:00:00"/>
    <x v="735"/>
    <x v="265"/>
    <n v="9"/>
    <s v="INV01933"/>
    <n v="9"/>
    <n v="223.6044"/>
    <m/>
    <m/>
    <m/>
    <m/>
    <m/>
    <n v="223.6044"/>
    <d v="2023-06-14T00:00:00"/>
    <n v="0"/>
    <n v="0"/>
    <n v="0"/>
    <n v="0"/>
    <n v="0"/>
    <n v="0"/>
    <n v="0"/>
    <x v="0"/>
    <n v="2012.4395999999999"/>
    <n v="2012.4395999999999"/>
    <n v="0"/>
    <n v="0"/>
    <x v="0"/>
    <x v="12"/>
  </r>
  <r>
    <s v="ORD01934"/>
    <d v="2024-12-08T00:00:00"/>
    <x v="291"/>
    <x v="267"/>
    <n v="167"/>
    <s v="INV01934"/>
    <n v="167"/>
    <n v="68.942999999999998"/>
    <m/>
    <m/>
    <m/>
    <m/>
    <m/>
    <n v="68.942999999999998"/>
    <d v="2023-03-13T00:00:00"/>
    <n v="0"/>
    <n v="0"/>
    <n v="0"/>
    <n v="0"/>
    <n v="0"/>
    <n v="0"/>
    <n v="0"/>
    <x v="0"/>
    <n v="11513.481"/>
    <n v="11513.481"/>
    <n v="0"/>
    <n v="0"/>
    <x v="0"/>
    <x v="1"/>
  </r>
  <r>
    <s v="ORD01935"/>
    <d v="2024-07-23T00:00:00"/>
    <x v="279"/>
    <x v="107"/>
    <n v="3"/>
    <s v="INV01935"/>
    <n v="3"/>
    <n v="52.185000000000002"/>
    <m/>
    <m/>
    <m/>
    <m/>
    <m/>
    <n v="52.185000000000002"/>
    <d v="2023-03-13T00:00:00"/>
    <n v="0"/>
    <n v="0"/>
    <n v="0"/>
    <n v="0"/>
    <n v="0"/>
    <n v="0"/>
    <n v="0"/>
    <x v="0"/>
    <n v="156.55500000000001"/>
    <n v="156.55500000000001"/>
    <n v="0"/>
    <n v="0"/>
    <x v="0"/>
    <x v="21"/>
  </r>
  <r>
    <s v="ORD01936"/>
    <d v="2024-11-23T00:00:00"/>
    <x v="251"/>
    <x v="251"/>
    <n v="116"/>
    <s v="INV01936"/>
    <n v="116"/>
    <n v="75.504800000000003"/>
    <m/>
    <m/>
    <m/>
    <m/>
    <m/>
    <n v="75.504800000000003"/>
    <d v="2023-06-03T00:00:00"/>
    <n v="0"/>
    <n v="0"/>
    <n v="0"/>
    <n v="0"/>
    <n v="0"/>
    <n v="0"/>
    <n v="0"/>
    <x v="0"/>
    <n v="8758.5568000000003"/>
    <n v="8758.5568000000003"/>
    <n v="0"/>
    <n v="0"/>
    <x v="0"/>
    <x v="4"/>
  </r>
  <r>
    <s v="ORD01937"/>
    <d v="2024-05-16T00:00:00"/>
    <x v="704"/>
    <x v="65"/>
    <n v="28"/>
    <s v="INV01937"/>
    <n v="28"/>
    <n v="660.96040000000005"/>
    <m/>
    <m/>
    <m/>
    <m/>
    <m/>
    <n v="660.96040000000005"/>
    <d v="2023-01-21T00:00:00"/>
    <n v="0"/>
    <n v="0"/>
    <n v="0"/>
    <n v="0"/>
    <n v="0"/>
    <n v="0"/>
    <n v="0"/>
    <x v="0"/>
    <n v="18506.891200000002"/>
    <n v="18506.891200000002"/>
    <n v="0"/>
    <n v="0"/>
    <x v="0"/>
    <x v="13"/>
  </r>
  <r>
    <s v="ORD01938"/>
    <d v="2023-10-13T00:00:00"/>
    <x v="62"/>
    <x v="266"/>
    <n v="58"/>
    <s v="INV01938"/>
    <n v="58"/>
    <n v="378.91109999999998"/>
    <n v="19"/>
    <d v="2023-10-06T00:00:00"/>
    <m/>
    <m/>
    <m/>
    <n v="378.91109999999998"/>
    <d v="2023-07-10T00:00:00"/>
    <n v="0"/>
    <n v="0"/>
    <n v="0"/>
    <n v="0"/>
    <n v="0"/>
    <n v="0"/>
    <n v="0"/>
    <x v="0"/>
    <n v="21976.843799999999"/>
    <n v="21976.843799999999"/>
    <n v="0"/>
    <n v="0"/>
    <x v="0"/>
    <x v="19"/>
  </r>
  <r>
    <s v="ORD01939"/>
    <d v="2023-08-24T00:00:00"/>
    <x v="151"/>
    <x v="169"/>
    <n v="72"/>
    <s v="INV01939"/>
    <n v="72"/>
    <n v="1153.4984999999999"/>
    <m/>
    <m/>
    <m/>
    <m/>
    <m/>
    <n v="1153.4984999999999"/>
    <d v="2023-02-05T00:00:00"/>
    <n v="0"/>
    <n v="0"/>
    <n v="0"/>
    <n v="0"/>
    <n v="0"/>
    <n v="0"/>
    <n v="0"/>
    <x v="0"/>
    <n v="83051.891999999993"/>
    <n v="83051.891999999993"/>
    <n v="0"/>
    <n v="0"/>
    <x v="0"/>
    <x v="12"/>
  </r>
  <r>
    <s v="ORD01940"/>
    <d v="2023-11-06T00:00:00"/>
    <x v="661"/>
    <x v="18"/>
    <n v="34"/>
    <s v="INV01940"/>
    <n v="34"/>
    <n v="338.6422928082315"/>
    <m/>
    <m/>
    <m/>
    <m/>
    <m/>
    <n v="337.47280000000001"/>
    <d v="2023-09-02T00:00:00"/>
    <n v="0"/>
    <n v="0"/>
    <n v="1"/>
    <n v="0"/>
    <n v="0"/>
    <n v="0"/>
    <n v="0"/>
    <x v="1"/>
    <n v="11513.83795547987"/>
    <n v="11474.075199999999"/>
    <n v="39.762755479870975"/>
    <n v="4"/>
    <x v="1"/>
    <x v="0"/>
  </r>
  <r>
    <s v="ORD01941"/>
    <d v="2024-10-14T00:00:00"/>
    <x v="157"/>
    <x v="67"/>
    <n v="101"/>
    <s v="INV01941"/>
    <n v="101"/>
    <n v="1016.9848"/>
    <m/>
    <m/>
    <m/>
    <m/>
    <m/>
    <n v="1016.9848"/>
    <d v="2023-04-17T00:00:00"/>
    <n v="0"/>
    <n v="0"/>
    <n v="0"/>
    <n v="0"/>
    <n v="0"/>
    <n v="0"/>
    <n v="0"/>
    <x v="0"/>
    <n v="102715.4648"/>
    <n v="102715.4648"/>
    <n v="0"/>
    <n v="0"/>
    <x v="0"/>
    <x v="5"/>
  </r>
  <r>
    <s v="ORD01942"/>
    <d v="2023-04-29T00:00:00"/>
    <x v="7"/>
    <x v="133"/>
    <n v="16"/>
    <s v="INV01942"/>
    <n v="16"/>
    <n v="1220.5917999999999"/>
    <m/>
    <m/>
    <m/>
    <m/>
    <m/>
    <n v="1220.5917999999999"/>
    <d v="2023-03-31T00:00:00"/>
    <n v="0"/>
    <n v="0"/>
    <n v="0"/>
    <n v="0"/>
    <n v="0"/>
    <n v="0"/>
    <n v="0"/>
    <x v="0"/>
    <n v="19529.468799999999"/>
    <n v="19529.468799999999"/>
    <n v="0"/>
    <n v="0"/>
    <x v="0"/>
    <x v="23"/>
  </r>
  <r>
    <s v="ORD01943"/>
    <d v="2024-02-23T00:00:00"/>
    <x v="304"/>
    <x v="44"/>
    <n v="176"/>
    <s v="INV01943"/>
    <n v="176"/>
    <n v="1119.3012000000001"/>
    <m/>
    <m/>
    <m/>
    <m/>
    <m/>
    <n v="1119.3012000000001"/>
    <d v="2023-06-14T00:00:00"/>
    <n v="0"/>
    <n v="0"/>
    <n v="0"/>
    <n v="0"/>
    <n v="0"/>
    <n v="0"/>
    <n v="0"/>
    <x v="0"/>
    <n v="196997.01120000001"/>
    <n v="196997.01120000001"/>
    <n v="0"/>
    <n v="0"/>
    <x v="0"/>
    <x v="3"/>
  </r>
  <r>
    <s v="ORD01944"/>
    <d v="2024-07-21T00:00:00"/>
    <x v="390"/>
    <x v="230"/>
    <n v="79"/>
    <s v="INV01944"/>
    <n v="79"/>
    <n v="234.87090000000001"/>
    <m/>
    <m/>
    <m/>
    <m/>
    <m/>
    <n v="234.87090000000001"/>
    <d v="2023-08-12T00:00:00"/>
    <n v="0"/>
    <n v="0"/>
    <n v="0"/>
    <n v="0"/>
    <n v="0"/>
    <n v="0"/>
    <n v="0"/>
    <x v="0"/>
    <n v="18554.801100000001"/>
    <n v="18554.801100000001"/>
    <n v="0"/>
    <n v="0"/>
    <x v="0"/>
    <x v="21"/>
  </r>
  <r>
    <s v="ORD01945"/>
    <d v="2024-06-24T00:00:00"/>
    <x v="303"/>
    <x v="291"/>
    <n v="69"/>
    <s v="INV01945"/>
    <n v="69"/>
    <n v="933.43190000000004"/>
    <n v="15"/>
    <d v="2023-02-25T00:00:00"/>
    <m/>
    <m/>
    <m/>
    <n v="933.43190000000004"/>
    <d v="2023-03-26T00:00:00"/>
    <n v="0"/>
    <n v="0"/>
    <n v="0"/>
    <n v="0"/>
    <n v="0"/>
    <n v="0"/>
    <n v="0"/>
    <x v="0"/>
    <n v="64406.801100000004"/>
    <n v="64406.801100000004"/>
    <n v="0"/>
    <n v="0"/>
    <x v="0"/>
    <x v="16"/>
  </r>
  <r>
    <s v="ORD01946"/>
    <d v="2023-08-24T00:00:00"/>
    <x v="734"/>
    <x v="195"/>
    <n v="180"/>
    <s v="INV01946"/>
    <n v="180"/>
    <n v="825.40440000000001"/>
    <m/>
    <m/>
    <m/>
    <m/>
    <m/>
    <n v="825.40440000000001"/>
    <d v="2023-06-28T00:00:00"/>
    <n v="0"/>
    <n v="0"/>
    <n v="0"/>
    <n v="0"/>
    <n v="0"/>
    <n v="0"/>
    <n v="0"/>
    <x v="0"/>
    <n v="148572.79200000002"/>
    <n v="148572.79200000002"/>
    <n v="0"/>
    <n v="0"/>
    <x v="0"/>
    <x v="12"/>
  </r>
  <r>
    <s v="ORD01947"/>
    <d v="2024-01-19T00:00:00"/>
    <x v="573"/>
    <x v="255"/>
    <n v="174"/>
    <s v="INV01947"/>
    <n v="174"/>
    <n v="1178.6880000000001"/>
    <m/>
    <m/>
    <m/>
    <m/>
    <m/>
    <n v="1178.6880000000001"/>
    <d v="2023-01-04T00:00:00"/>
    <n v="0"/>
    <n v="0"/>
    <n v="0"/>
    <n v="0"/>
    <n v="0"/>
    <n v="0"/>
    <n v="0"/>
    <x v="0"/>
    <n v="205091.71200000003"/>
    <n v="205091.71200000003"/>
    <n v="0"/>
    <n v="0"/>
    <x v="0"/>
    <x v="15"/>
  </r>
  <r>
    <s v="ORD01948"/>
    <d v="2023-07-28T00:00:00"/>
    <x v="678"/>
    <x v="53"/>
    <n v="68"/>
    <s v="INV01948"/>
    <n v="68"/>
    <n v="413.47289999999998"/>
    <m/>
    <m/>
    <m/>
    <m/>
    <m/>
    <n v="413.47289999999998"/>
    <d v="2022-09-25T00:00:00"/>
    <n v="0"/>
    <n v="0"/>
    <n v="0"/>
    <n v="0"/>
    <n v="0"/>
    <n v="0"/>
    <n v="0"/>
    <x v="0"/>
    <n v="28116.157199999998"/>
    <n v="28116.157199999998"/>
    <n v="0"/>
    <n v="0"/>
    <x v="0"/>
    <x v="10"/>
  </r>
  <r>
    <s v="ORD01949"/>
    <d v="2023-02-17T00:00:00"/>
    <x v="645"/>
    <x v="5"/>
    <n v="135"/>
    <s v="INV01949"/>
    <n v="138"/>
    <n v="1058.3499999999999"/>
    <m/>
    <m/>
    <m/>
    <m/>
    <m/>
    <n v="1058.3499999999999"/>
    <d v="2022-06-22T00:00:00"/>
    <n v="0"/>
    <n v="1"/>
    <n v="0"/>
    <n v="0"/>
    <n v="0"/>
    <n v="0"/>
    <n v="0"/>
    <x v="1"/>
    <n v="146052.29999999999"/>
    <n v="142877.25"/>
    <n v="3175.0499999999884"/>
    <n v="8"/>
    <x v="2"/>
    <x v="11"/>
  </r>
  <r>
    <s v="ORD01950"/>
    <d v="2024-11-30T00:00:00"/>
    <x v="585"/>
    <x v="122"/>
    <n v="80"/>
    <s v="INV01950"/>
    <n v="80"/>
    <n v="75.620999999999995"/>
    <m/>
    <m/>
    <m/>
    <m/>
    <m/>
    <n v="75.620999999999995"/>
    <d v="2023-07-01T00:00:00"/>
    <n v="0"/>
    <n v="0"/>
    <n v="0"/>
    <n v="0"/>
    <n v="0"/>
    <n v="0"/>
    <n v="0"/>
    <x v="0"/>
    <n v="6049.6799999999994"/>
    <n v="6049.6799999999994"/>
    <n v="0"/>
    <n v="0"/>
    <x v="0"/>
    <x v="4"/>
  </r>
  <r>
    <s v="ORD01951"/>
    <d v="2023-05-29T00:00:00"/>
    <x v="207"/>
    <x v="56"/>
    <n v="113"/>
    <s v="INV01951"/>
    <n v="113"/>
    <n v="639.91840000000002"/>
    <m/>
    <m/>
    <m/>
    <m/>
    <m/>
    <n v="639.91840000000002"/>
    <d v="2023-01-04T00:00:00"/>
    <n v="0"/>
    <n v="0"/>
    <n v="0"/>
    <n v="0"/>
    <n v="0"/>
    <n v="0"/>
    <n v="0"/>
    <x v="0"/>
    <n v="72310.779200000004"/>
    <n v="72310.779200000004"/>
    <n v="0"/>
    <n v="0"/>
    <x v="0"/>
    <x v="7"/>
  </r>
  <r>
    <s v="ORD01952"/>
    <d v="2023-11-12T00:00:00"/>
    <x v="549"/>
    <x v="122"/>
    <n v="138"/>
    <s v="INV01952"/>
    <n v="138"/>
    <n v="75.620999999999995"/>
    <m/>
    <m/>
    <m/>
    <m/>
    <m/>
    <n v="75.620999999999995"/>
    <d v="2023-07-01T00:00:00"/>
    <n v="0"/>
    <n v="0"/>
    <n v="0"/>
    <n v="0"/>
    <n v="0"/>
    <n v="0"/>
    <n v="0"/>
    <x v="0"/>
    <n v="10435.697999999999"/>
    <n v="10435.697999999999"/>
    <n v="0"/>
    <n v="0"/>
    <x v="0"/>
    <x v="0"/>
  </r>
  <r>
    <s v="ORD01953"/>
    <d v="2024-01-18T00:00:00"/>
    <x v="247"/>
    <x v="230"/>
    <n v="60"/>
    <s v="INV01953"/>
    <n v="59"/>
    <n v="234.87090000000001"/>
    <m/>
    <m/>
    <m/>
    <m/>
    <m/>
    <n v="234.87090000000001"/>
    <d v="2023-08-12T00:00:00"/>
    <n v="0"/>
    <n v="1"/>
    <n v="0"/>
    <n v="0"/>
    <n v="0"/>
    <n v="0"/>
    <n v="0"/>
    <x v="1"/>
    <n v="13857.383100000001"/>
    <n v="14092.254000000001"/>
    <n v="-234.87089999999989"/>
    <n v="3"/>
    <x v="1"/>
    <x v="15"/>
  </r>
  <r>
    <s v="ORD01954"/>
    <d v="2024-08-02T00:00:00"/>
    <x v="736"/>
    <x v="33"/>
    <n v="121"/>
    <s v="INV01954"/>
    <n v="121"/>
    <n v="54.580199999999998"/>
    <m/>
    <m/>
    <m/>
    <m/>
    <m/>
    <n v="54.580199999999998"/>
    <d v="2023-02-27T00:00:00"/>
    <n v="0"/>
    <n v="0"/>
    <n v="0"/>
    <n v="0"/>
    <n v="0"/>
    <n v="0"/>
    <n v="0"/>
    <x v="0"/>
    <n v="6604.2042000000001"/>
    <n v="6604.2042000000001"/>
    <n v="0"/>
    <n v="0"/>
    <x v="0"/>
    <x v="22"/>
  </r>
  <r>
    <s v="ORD01955"/>
    <d v="2024-12-24T00:00:00"/>
    <x v="428"/>
    <x v="168"/>
    <n v="72"/>
    <s v="INV01955"/>
    <n v="72"/>
    <n v="232.3732"/>
    <m/>
    <m/>
    <m/>
    <m/>
    <m/>
    <n v="232.3732"/>
    <d v="2023-05-19T00:00:00"/>
    <n v="0"/>
    <n v="0"/>
    <n v="0"/>
    <n v="0"/>
    <n v="0"/>
    <n v="0"/>
    <n v="0"/>
    <x v="0"/>
    <n v="16730.8704"/>
    <n v="16730.8704"/>
    <n v="0"/>
    <n v="0"/>
    <x v="0"/>
    <x v="1"/>
  </r>
  <r>
    <s v="ORD01956"/>
    <d v="2024-08-12T00:00:00"/>
    <x v="142"/>
    <x v="21"/>
    <n v="177"/>
    <s v="INV01956"/>
    <n v="177"/>
    <n v="561.4076"/>
    <n v="17"/>
    <d v="2023-03-07T00:00:00"/>
    <m/>
    <m/>
    <m/>
    <n v="561.4076"/>
    <d v="2023-03-21T00:00:00"/>
    <n v="0"/>
    <n v="0"/>
    <n v="0"/>
    <n v="0"/>
    <n v="0"/>
    <n v="0"/>
    <n v="0"/>
    <x v="0"/>
    <n v="99369.145199999999"/>
    <n v="99369.145199999999"/>
    <n v="0"/>
    <n v="0"/>
    <x v="0"/>
    <x v="22"/>
  </r>
  <r>
    <s v="ORD01957"/>
    <d v="2023-09-03T00:00:00"/>
    <x v="737"/>
    <x v="121"/>
    <n v="32"/>
    <s v="INV01957"/>
    <n v="32"/>
    <n v="1032.2340000000002"/>
    <m/>
    <m/>
    <m/>
    <m/>
    <m/>
    <n v="1032.2340000000002"/>
    <d v="2022-08-25T00:00:00"/>
    <n v="0"/>
    <n v="0"/>
    <n v="0"/>
    <n v="0"/>
    <n v="0"/>
    <n v="0"/>
    <n v="0"/>
    <x v="0"/>
    <n v="33031.488000000005"/>
    <n v="33031.488000000005"/>
    <n v="0"/>
    <n v="0"/>
    <x v="0"/>
    <x v="18"/>
  </r>
  <r>
    <s v="ORD01958"/>
    <d v="2023-04-02T00:00:00"/>
    <x v="162"/>
    <x v="179"/>
    <n v="134"/>
    <s v="INV01958"/>
    <n v="133"/>
    <n v="72.63"/>
    <m/>
    <m/>
    <m/>
    <m/>
    <m/>
    <n v="72.63"/>
    <d v="2023-01-30T00:00:00"/>
    <n v="0"/>
    <n v="1"/>
    <n v="0"/>
    <n v="0"/>
    <n v="0"/>
    <n v="0"/>
    <n v="0"/>
    <x v="1"/>
    <n v="9659.7899999999991"/>
    <n v="9732.42"/>
    <n v="-72.630000000001019"/>
    <n v="3"/>
    <x v="1"/>
    <x v="23"/>
  </r>
  <r>
    <s v="ORD01959"/>
    <d v="2024-01-30T00:00:00"/>
    <x v="139"/>
    <x v="142"/>
    <n v="169"/>
    <s v="INV01959"/>
    <n v="169"/>
    <n v="752.48910000000001"/>
    <m/>
    <m/>
    <m/>
    <m/>
    <m/>
    <n v="752.48910000000001"/>
    <d v="2023-01-27T00:00:00"/>
    <n v="0"/>
    <n v="0"/>
    <n v="0"/>
    <n v="0"/>
    <n v="0"/>
    <n v="0"/>
    <n v="0"/>
    <x v="0"/>
    <n v="127170.65790000001"/>
    <n v="127170.65790000001"/>
    <n v="0"/>
    <n v="0"/>
    <x v="0"/>
    <x v="15"/>
  </r>
  <r>
    <s v="ORD01960"/>
    <d v="2023-08-05T00:00:00"/>
    <x v="90"/>
    <x v="293"/>
    <n v="183"/>
    <s v="INV01960"/>
    <n v="183"/>
    <n v="104.9652"/>
    <m/>
    <m/>
    <m/>
    <m/>
    <m/>
    <n v="104.9652"/>
    <d v="2023-05-20T00:00:00"/>
    <n v="0"/>
    <n v="0"/>
    <n v="0"/>
    <n v="0"/>
    <n v="0"/>
    <n v="0"/>
    <n v="0"/>
    <x v="0"/>
    <n v="19208.631600000001"/>
    <n v="19208.631600000001"/>
    <n v="0"/>
    <n v="0"/>
    <x v="0"/>
    <x v="12"/>
  </r>
  <r>
    <s v="ORD01961"/>
    <d v="2024-10-05T00:00:00"/>
    <x v="359"/>
    <x v="19"/>
    <n v="96"/>
    <s v="INV01961"/>
    <n v="96"/>
    <n v="833.41650000000004"/>
    <m/>
    <m/>
    <m/>
    <m/>
    <m/>
    <n v="833.41650000000004"/>
    <d v="2023-09-25T00:00:00"/>
    <n v="0"/>
    <n v="0"/>
    <n v="0"/>
    <n v="0"/>
    <n v="0"/>
    <n v="0"/>
    <n v="0"/>
    <x v="0"/>
    <n v="80007.983999999997"/>
    <n v="80007.983999999997"/>
    <n v="0"/>
    <n v="0"/>
    <x v="0"/>
    <x v="5"/>
  </r>
  <r>
    <s v="ORD01962"/>
    <d v="2023-11-02T00:00:00"/>
    <x v="716"/>
    <x v="43"/>
    <n v="92"/>
    <s v="INV01962"/>
    <n v="92"/>
    <n v="1190.6054999999999"/>
    <m/>
    <m/>
    <m/>
    <m/>
    <m/>
    <n v="1190.6054999999999"/>
    <d v="2023-02-27T00:00:00"/>
    <n v="0"/>
    <n v="0"/>
    <n v="0"/>
    <n v="0"/>
    <n v="0"/>
    <n v="0"/>
    <n v="0"/>
    <x v="0"/>
    <n v="109535.70599999999"/>
    <n v="109535.70599999999"/>
    <n v="0"/>
    <n v="0"/>
    <x v="0"/>
    <x v="0"/>
  </r>
  <r>
    <s v="ORD01963"/>
    <d v="2023-08-29T00:00:00"/>
    <x v="69"/>
    <x v="113"/>
    <n v="105"/>
    <s v="INV01963"/>
    <n v="105"/>
    <n v="951.54780000000005"/>
    <m/>
    <m/>
    <m/>
    <m/>
    <m/>
    <n v="951.54780000000005"/>
    <d v="2023-02-07T00:00:00"/>
    <n v="0"/>
    <n v="0"/>
    <n v="0"/>
    <n v="0"/>
    <n v="0"/>
    <n v="0"/>
    <n v="0"/>
    <x v="0"/>
    <n v="99912.519"/>
    <n v="99912.519"/>
    <n v="0"/>
    <n v="0"/>
    <x v="0"/>
    <x v="12"/>
  </r>
  <r>
    <s v="ORD01964"/>
    <d v="2023-10-20T00:00:00"/>
    <x v="381"/>
    <x v="208"/>
    <n v="16"/>
    <s v="INV01964"/>
    <n v="16"/>
    <n v="107.1605"/>
    <m/>
    <m/>
    <m/>
    <m/>
    <m/>
    <n v="107.1605"/>
    <d v="2023-02-13T00:00:00"/>
    <n v="0"/>
    <n v="0"/>
    <n v="0"/>
    <n v="0"/>
    <n v="0"/>
    <n v="0"/>
    <n v="0"/>
    <x v="0"/>
    <n v="1714.568"/>
    <n v="1714.568"/>
    <n v="0"/>
    <n v="0"/>
    <x v="0"/>
    <x v="19"/>
  </r>
  <r>
    <s v="ORD01965"/>
    <d v="2023-07-26T00:00:00"/>
    <x v="564"/>
    <x v="92"/>
    <n v="58"/>
    <s v="INV01965"/>
    <n v="58"/>
    <n v="859.25750000000005"/>
    <m/>
    <m/>
    <m/>
    <m/>
    <m/>
    <n v="859.25750000000005"/>
    <d v="2022-08-09T00:00:00"/>
    <n v="0"/>
    <n v="0"/>
    <n v="0"/>
    <n v="0"/>
    <n v="0"/>
    <n v="0"/>
    <n v="0"/>
    <x v="0"/>
    <n v="49836.935000000005"/>
    <n v="49836.935000000005"/>
    <n v="0"/>
    <n v="0"/>
    <x v="0"/>
    <x v="10"/>
  </r>
  <r>
    <s v="ORD01966"/>
    <d v="2023-10-30T00:00:00"/>
    <x v="328"/>
    <x v="42"/>
    <n v="105"/>
    <s v="INV01966"/>
    <n v="105"/>
    <n v="946.74860000000001"/>
    <m/>
    <m/>
    <m/>
    <m/>
    <m/>
    <n v="946.74860000000001"/>
    <d v="2023-04-22T00:00:00"/>
    <n v="0"/>
    <n v="0"/>
    <n v="0"/>
    <n v="0"/>
    <n v="0"/>
    <n v="0"/>
    <n v="0"/>
    <x v="0"/>
    <n v="99408.603000000003"/>
    <n v="99408.603000000003"/>
    <n v="0"/>
    <n v="0"/>
    <x v="0"/>
    <x v="19"/>
  </r>
  <r>
    <s v="ORD01967"/>
    <d v="2024-03-28T00:00:00"/>
    <x v="510"/>
    <x v="138"/>
    <n v="149"/>
    <s v="INV01967"/>
    <n v="149"/>
    <n v="153.01650000000001"/>
    <m/>
    <m/>
    <m/>
    <m/>
    <m/>
    <n v="153.01650000000001"/>
    <d v="2023-05-18T00:00:00"/>
    <n v="0"/>
    <n v="0"/>
    <n v="0"/>
    <n v="0"/>
    <n v="0"/>
    <n v="0"/>
    <n v="0"/>
    <x v="0"/>
    <n v="22799.458500000001"/>
    <n v="22799.458500000001"/>
    <n v="0"/>
    <n v="0"/>
    <x v="0"/>
    <x v="6"/>
  </r>
  <r>
    <s v="ORD01968"/>
    <d v="2023-03-19T00:00:00"/>
    <x v="64"/>
    <x v="156"/>
    <n v="161"/>
    <s v="INV01968"/>
    <n v="161"/>
    <n v="376.38049999999998"/>
    <m/>
    <m/>
    <m/>
    <m/>
    <m/>
    <n v="376.38049999999998"/>
    <d v="2023-02-27T00:00:00"/>
    <n v="0"/>
    <n v="0"/>
    <n v="0"/>
    <n v="0"/>
    <n v="0"/>
    <n v="0"/>
    <n v="0"/>
    <x v="0"/>
    <n v="60597.260499999997"/>
    <n v="60597.260499999997"/>
    <n v="0"/>
    <n v="0"/>
    <x v="0"/>
    <x v="17"/>
  </r>
  <r>
    <s v="ORD01969"/>
    <d v="2024-09-30T00:00:00"/>
    <x v="545"/>
    <x v="273"/>
    <n v="93"/>
    <s v="INV01969"/>
    <n v="93"/>
    <n v="1247.7911999999999"/>
    <n v="15"/>
    <d v="2025-01-23T00:00:00"/>
    <m/>
    <m/>
    <m/>
    <n v="1247.7911999999999"/>
    <d v="2023-10-14T00:00:00"/>
    <n v="0"/>
    <n v="0"/>
    <n v="0"/>
    <n v="0"/>
    <n v="0"/>
    <n v="1"/>
    <n v="0"/>
    <x v="1"/>
    <n v="116044.58159999999"/>
    <n v="116044.58159999999"/>
    <n v="0"/>
    <n v="2"/>
    <x v="1"/>
    <x v="2"/>
  </r>
  <r>
    <s v="ORD01970"/>
    <d v="2023-03-29T00:00:00"/>
    <x v="738"/>
    <x v="17"/>
    <n v="23"/>
    <s v="INV01970"/>
    <n v="23"/>
    <n v="696.84799999999996"/>
    <m/>
    <m/>
    <m/>
    <m/>
    <m/>
    <n v="696.84799999999996"/>
    <d v="2022-07-31T00:00:00"/>
    <n v="0"/>
    <n v="0"/>
    <n v="0"/>
    <n v="0"/>
    <n v="0"/>
    <n v="0"/>
    <n v="0"/>
    <x v="0"/>
    <n v="16027.503999999999"/>
    <n v="16027.503999999999"/>
    <n v="0"/>
    <n v="0"/>
    <x v="0"/>
    <x v="17"/>
  </r>
  <r>
    <s v="ORD01971"/>
    <d v="2024-05-06T00:00:00"/>
    <x v="13"/>
    <x v="167"/>
    <n v="62"/>
    <s v="INV01971"/>
    <n v="62"/>
    <n v="226.1644"/>
    <m/>
    <m/>
    <m/>
    <m/>
    <m/>
    <n v="226.1644"/>
    <d v="2023-08-01T00:00:00"/>
    <n v="0"/>
    <n v="0"/>
    <n v="0"/>
    <n v="0"/>
    <n v="0"/>
    <n v="0"/>
    <n v="0"/>
    <x v="0"/>
    <n v="14022.192800000001"/>
    <n v="14022.192800000001"/>
    <n v="0"/>
    <n v="0"/>
    <x v="0"/>
    <x v="13"/>
  </r>
  <r>
    <s v="ORD01972"/>
    <d v="2024-09-03T00:00:00"/>
    <x v="305"/>
    <x v="115"/>
    <n v="16"/>
    <s v="INV01972"/>
    <n v="16"/>
    <n v="208.65799999999999"/>
    <n v="3"/>
    <d v="2023-06-23T00:00:00"/>
    <m/>
    <m/>
    <m/>
    <n v="208.65799999999999"/>
    <d v="2023-02-14T00:00:00"/>
    <n v="0"/>
    <n v="0"/>
    <n v="0"/>
    <n v="0"/>
    <n v="0"/>
    <n v="0"/>
    <n v="0"/>
    <x v="0"/>
    <n v="3338.5279999999998"/>
    <n v="3338.5279999999998"/>
    <n v="0"/>
    <n v="0"/>
    <x v="0"/>
    <x v="2"/>
  </r>
  <r>
    <s v="ORD01973"/>
    <d v="2024-08-16T00:00:00"/>
    <x v="258"/>
    <x v="9"/>
    <n v="35"/>
    <s v="INV01973"/>
    <n v="35"/>
    <n v="397.40159999999997"/>
    <m/>
    <m/>
    <m/>
    <m/>
    <m/>
    <n v="397.40159999999997"/>
    <d v="2023-04-05T00:00:00"/>
    <n v="0"/>
    <n v="0"/>
    <n v="0"/>
    <n v="0"/>
    <n v="0"/>
    <n v="0"/>
    <n v="0"/>
    <x v="0"/>
    <n v="13909.055999999999"/>
    <n v="13909.055999999999"/>
    <n v="0"/>
    <n v="0"/>
    <x v="0"/>
    <x v="22"/>
  </r>
  <r>
    <s v="ORD01974"/>
    <d v="2024-06-24T00:00:00"/>
    <x v="739"/>
    <x v="26"/>
    <n v="17"/>
    <s v="INV01974"/>
    <n v="17"/>
    <n v="129.18017788680706"/>
    <m/>
    <m/>
    <m/>
    <m/>
    <m/>
    <n v="129.17519999999999"/>
    <d v="2023-09-15T00:00:00"/>
    <n v="0"/>
    <n v="0"/>
    <n v="1"/>
    <n v="0"/>
    <n v="0"/>
    <n v="0"/>
    <n v="0"/>
    <x v="1"/>
    <n v="2196.06302407572"/>
    <n v="2195.9784"/>
    <n v="8.462407572005759E-2"/>
    <n v="4"/>
    <x v="1"/>
    <x v="16"/>
  </r>
  <r>
    <s v="ORD01975"/>
    <d v="2024-05-04T00:00:00"/>
    <x v="471"/>
    <x v="60"/>
    <n v="50"/>
    <s v="INV01975"/>
    <n v="50"/>
    <n v="1087.8191999999999"/>
    <m/>
    <m/>
    <m/>
    <m/>
    <m/>
    <n v="1087.8191999999999"/>
    <d v="2023-08-22T00:00:00"/>
    <n v="0"/>
    <n v="0"/>
    <n v="0"/>
    <n v="0"/>
    <n v="0"/>
    <n v="0"/>
    <n v="0"/>
    <x v="0"/>
    <n v="54390.959999999992"/>
    <n v="54390.959999999992"/>
    <n v="0"/>
    <n v="0"/>
    <x v="0"/>
    <x v="13"/>
  </r>
  <r>
    <s v="ORD01976"/>
    <d v="2024-08-07T00:00:00"/>
    <x v="324"/>
    <x v="191"/>
    <n v="184"/>
    <s v="INV01976"/>
    <n v="184"/>
    <n v="355.32000000000005"/>
    <m/>
    <m/>
    <m/>
    <m/>
    <m/>
    <n v="355.32000000000005"/>
    <d v="2023-05-12T00:00:00"/>
    <n v="0"/>
    <n v="0"/>
    <n v="0"/>
    <n v="0"/>
    <n v="0"/>
    <n v="0"/>
    <n v="0"/>
    <x v="0"/>
    <n v="65378.880000000012"/>
    <n v="65378.880000000012"/>
    <n v="0"/>
    <n v="0"/>
    <x v="0"/>
    <x v="22"/>
  </r>
  <r>
    <s v="ORD01977"/>
    <d v="2023-01-21T00:00:00"/>
    <x v="514"/>
    <x v="59"/>
    <n v="106"/>
    <s v="INV01977"/>
    <n v="106"/>
    <n v="933.82110000000011"/>
    <m/>
    <m/>
    <m/>
    <m/>
    <m/>
    <n v="933.82110000000011"/>
    <d v="2022-10-21T00:00:00"/>
    <n v="0"/>
    <n v="0"/>
    <n v="0"/>
    <n v="0"/>
    <n v="0"/>
    <n v="0"/>
    <n v="0"/>
    <x v="0"/>
    <n v="98985.036600000007"/>
    <n v="98985.036600000007"/>
    <n v="0"/>
    <n v="0"/>
    <x v="0"/>
    <x v="8"/>
  </r>
  <r>
    <s v="ORD01978"/>
    <d v="2024-06-26T00:00:00"/>
    <x v="723"/>
    <x v="219"/>
    <n v="189"/>
    <s v="INV01978"/>
    <n v="189"/>
    <n v="556.99"/>
    <m/>
    <m/>
    <m/>
    <m/>
    <m/>
    <n v="556.99"/>
    <d v="2023-08-09T00:00:00"/>
    <n v="0"/>
    <n v="0"/>
    <n v="0"/>
    <n v="0"/>
    <n v="0"/>
    <n v="0"/>
    <n v="0"/>
    <x v="0"/>
    <n v="105271.11"/>
    <n v="105271.11"/>
    <n v="0"/>
    <n v="0"/>
    <x v="0"/>
    <x v="16"/>
  </r>
  <r>
    <s v="ORD01979"/>
    <d v="2024-10-12T00:00:00"/>
    <x v="56"/>
    <x v="261"/>
    <n v="59"/>
    <s v="INV01979"/>
    <n v="59"/>
    <n v="994.85640000000001"/>
    <m/>
    <m/>
    <m/>
    <m/>
    <m/>
    <n v="994.85640000000001"/>
    <d v="2023-08-11T00:00:00"/>
    <n v="0"/>
    <n v="0"/>
    <n v="0"/>
    <n v="0"/>
    <n v="0"/>
    <n v="0"/>
    <n v="0"/>
    <x v="0"/>
    <n v="58696.527600000001"/>
    <n v="58696.527600000001"/>
    <n v="0"/>
    <n v="0"/>
    <x v="0"/>
    <x v="5"/>
  </r>
  <r>
    <s v="ORD01980"/>
    <d v="2024-05-22T00:00:00"/>
    <x v="555"/>
    <x v="187"/>
    <n v="16"/>
    <s v="INV01980"/>
    <n v="16"/>
    <n v="892.1431"/>
    <m/>
    <m/>
    <m/>
    <m/>
    <m/>
    <n v="892.1431"/>
    <d v="2023-10-23T00:00:00"/>
    <n v="0"/>
    <n v="0"/>
    <n v="0"/>
    <n v="0"/>
    <n v="0"/>
    <n v="0"/>
    <n v="0"/>
    <x v="0"/>
    <n v="14274.2896"/>
    <n v="14274.2896"/>
    <n v="0"/>
    <n v="0"/>
    <x v="0"/>
    <x v="13"/>
  </r>
  <r>
    <s v="ORD01981"/>
    <d v="2024-08-07T00:00:00"/>
    <x v="270"/>
    <x v="201"/>
    <n v="29"/>
    <s v="INV01981"/>
    <n v="29"/>
    <n v="418.93040000000002"/>
    <m/>
    <m/>
    <m/>
    <m/>
    <m/>
    <n v="418.93040000000002"/>
    <d v="2023-10-15T00:00:00"/>
    <n v="0"/>
    <n v="0"/>
    <n v="0"/>
    <n v="0"/>
    <n v="0"/>
    <n v="0"/>
    <n v="0"/>
    <x v="0"/>
    <n v="12148.981600000001"/>
    <n v="12148.981600000001"/>
    <n v="0"/>
    <n v="0"/>
    <x v="0"/>
    <x v="22"/>
  </r>
  <r>
    <s v="ORD01982"/>
    <d v="2023-11-20T00:00:00"/>
    <x v="198"/>
    <x v="185"/>
    <n v="105"/>
    <s v="INV01982"/>
    <n v="112"/>
    <n v="435.57279999999997"/>
    <m/>
    <m/>
    <m/>
    <m/>
    <m/>
    <n v="435.57279999999997"/>
    <d v="2023-08-21T00:00:00"/>
    <n v="0"/>
    <n v="1"/>
    <n v="0"/>
    <n v="0"/>
    <n v="0"/>
    <n v="0"/>
    <n v="0"/>
    <x v="1"/>
    <n v="48784.153599999998"/>
    <n v="45735.144"/>
    <n v="3049.0095999999976"/>
    <n v="8"/>
    <x v="2"/>
    <x v="0"/>
  </r>
  <r>
    <s v="ORD01983"/>
    <d v="2024-01-18T00:00:00"/>
    <x v="89"/>
    <x v="293"/>
    <n v="127"/>
    <s v="INV01983"/>
    <n v="127"/>
    <n v="104.9652"/>
    <m/>
    <m/>
    <m/>
    <m/>
    <m/>
    <n v="104.9652"/>
    <d v="2023-05-20T00:00:00"/>
    <n v="0"/>
    <n v="0"/>
    <n v="0"/>
    <n v="0"/>
    <n v="0"/>
    <n v="0"/>
    <n v="0"/>
    <x v="0"/>
    <n v="13330.580399999999"/>
    <n v="13330.580399999999"/>
    <n v="0"/>
    <n v="0"/>
    <x v="0"/>
    <x v="15"/>
  </r>
  <r>
    <s v="ORD01984"/>
    <d v="2024-01-30T00:00:00"/>
    <x v="159"/>
    <x v="184"/>
    <n v="22"/>
    <s v="INV01984"/>
    <n v="22"/>
    <n v="427.43"/>
    <m/>
    <m/>
    <m/>
    <m/>
    <m/>
    <n v="427.43"/>
    <d v="2023-05-08T00:00:00"/>
    <n v="0"/>
    <n v="0"/>
    <n v="0"/>
    <n v="0"/>
    <n v="0"/>
    <n v="0"/>
    <n v="0"/>
    <x v="0"/>
    <n v="9403.4600000000009"/>
    <n v="9403.4600000000009"/>
    <n v="0"/>
    <n v="0"/>
    <x v="0"/>
    <x v="15"/>
  </r>
  <r>
    <s v="ORD01985"/>
    <d v="2023-10-21T00:00:00"/>
    <x v="321"/>
    <x v="105"/>
    <n v="4"/>
    <s v="INV01985"/>
    <n v="4"/>
    <n v="1085.8974999999998"/>
    <m/>
    <m/>
    <m/>
    <m/>
    <m/>
    <n v="1085.8974999999998"/>
    <d v="2023-08-09T00:00:00"/>
    <n v="0"/>
    <n v="0"/>
    <n v="0"/>
    <n v="0"/>
    <n v="0"/>
    <n v="0"/>
    <n v="0"/>
    <x v="0"/>
    <n v="4343.5899999999992"/>
    <n v="4343.5899999999992"/>
    <n v="0"/>
    <n v="0"/>
    <x v="0"/>
    <x v="19"/>
  </r>
  <r>
    <s v="ORD01986"/>
    <d v="2023-10-19T00:00:00"/>
    <x v="552"/>
    <x v="8"/>
    <n v="163"/>
    <s v="INV01986"/>
    <n v="163"/>
    <n v="376.82319999999999"/>
    <m/>
    <m/>
    <m/>
    <m/>
    <m/>
    <n v="376.82319999999999"/>
    <d v="2023-09-02T00:00:00"/>
    <n v="0"/>
    <n v="0"/>
    <n v="0"/>
    <n v="0"/>
    <n v="0"/>
    <n v="0"/>
    <n v="0"/>
    <x v="0"/>
    <n v="61422.181599999996"/>
    <n v="61422.181599999996"/>
    <n v="0"/>
    <n v="0"/>
    <x v="0"/>
    <x v="19"/>
  </r>
  <r>
    <s v="ORD01987"/>
    <d v="2024-07-30T00:00:00"/>
    <x v="374"/>
    <x v="76"/>
    <n v="181"/>
    <s v="INV01987"/>
    <n v="181"/>
    <n v="1114.2336"/>
    <m/>
    <m/>
    <m/>
    <m/>
    <m/>
    <n v="1114.2336"/>
    <d v="2023-08-03T00:00:00"/>
    <n v="0"/>
    <n v="0"/>
    <n v="0"/>
    <n v="0"/>
    <n v="0"/>
    <n v="0"/>
    <n v="0"/>
    <x v="0"/>
    <n v="201676.28160000002"/>
    <n v="201676.28160000002"/>
    <n v="0"/>
    <n v="0"/>
    <x v="0"/>
    <x v="21"/>
  </r>
  <r>
    <s v="ORD01988"/>
    <d v="2023-05-28T00:00:00"/>
    <x v="296"/>
    <x v="128"/>
    <n v="94"/>
    <s v="INV01988"/>
    <n v="94"/>
    <n v="440.38799999999998"/>
    <m/>
    <m/>
    <m/>
    <m/>
    <m/>
    <n v="440.38799999999998"/>
    <d v="2023-03-31T00:00:00"/>
    <n v="0"/>
    <n v="0"/>
    <n v="0"/>
    <n v="0"/>
    <n v="0"/>
    <n v="0"/>
    <n v="0"/>
    <x v="0"/>
    <n v="41396.471999999994"/>
    <n v="41396.471999999994"/>
    <n v="0"/>
    <n v="0"/>
    <x v="0"/>
    <x v="7"/>
  </r>
  <r>
    <s v="ORD01989"/>
    <d v="2023-12-20T00:00:00"/>
    <x v="459"/>
    <x v="117"/>
    <n v="160"/>
    <s v="INV01989"/>
    <n v="160"/>
    <n v="214.6182"/>
    <m/>
    <m/>
    <m/>
    <m/>
    <m/>
    <n v="214.6182"/>
    <d v="2023-07-09T00:00:00"/>
    <n v="0"/>
    <n v="0"/>
    <n v="0"/>
    <n v="0"/>
    <n v="0"/>
    <n v="0"/>
    <n v="0"/>
    <x v="0"/>
    <n v="34338.911999999997"/>
    <n v="34338.911999999997"/>
    <n v="0"/>
    <n v="0"/>
    <x v="0"/>
    <x v="20"/>
  </r>
  <r>
    <s v="ORD01990"/>
    <d v="2024-06-18T00:00:00"/>
    <x v="376"/>
    <x v="55"/>
    <n v="93"/>
    <s v="INV01990"/>
    <n v="93"/>
    <n v="499.17750000000001"/>
    <m/>
    <m/>
    <m/>
    <m/>
    <m/>
    <n v="499.17750000000001"/>
    <d v="2023-07-16T00:00:00"/>
    <n v="0"/>
    <n v="0"/>
    <n v="0"/>
    <n v="0"/>
    <n v="0"/>
    <n v="0"/>
    <n v="0"/>
    <x v="0"/>
    <n v="46423.5075"/>
    <n v="46423.5075"/>
    <n v="0"/>
    <n v="0"/>
    <x v="0"/>
    <x v="16"/>
  </r>
  <r>
    <s v="ORD01991"/>
    <d v="2023-08-02T00:00:00"/>
    <x v="35"/>
    <x v="165"/>
    <n v="65"/>
    <s v="INV01991"/>
    <n v="65"/>
    <n v="991.99"/>
    <m/>
    <m/>
    <m/>
    <m/>
    <m/>
    <n v="991.99"/>
    <d v="2023-02-19T00:00:00"/>
    <n v="0"/>
    <n v="0"/>
    <n v="0"/>
    <n v="0"/>
    <n v="0"/>
    <n v="0"/>
    <n v="0"/>
    <x v="0"/>
    <n v="64479.35"/>
    <n v="64479.35"/>
    <n v="0"/>
    <n v="0"/>
    <x v="0"/>
    <x v="12"/>
  </r>
  <r>
    <s v="ORD01992"/>
    <d v="2024-10-18T00:00:00"/>
    <x v="677"/>
    <x v="1"/>
    <n v="123"/>
    <s v="INV01992"/>
    <n v="123"/>
    <n v="444.22"/>
    <m/>
    <m/>
    <m/>
    <m/>
    <m/>
    <n v="444.22"/>
    <d v="2023-05-28T00:00:00"/>
    <n v="0"/>
    <n v="0"/>
    <n v="0"/>
    <n v="0"/>
    <n v="0"/>
    <n v="0"/>
    <n v="0"/>
    <x v="0"/>
    <n v="54639.060000000005"/>
    <n v="54639.060000000005"/>
    <n v="0"/>
    <n v="0"/>
    <x v="0"/>
    <x v="5"/>
  </r>
  <r>
    <s v="ORD01993"/>
    <d v="2024-10-12T00:00:00"/>
    <x v="740"/>
    <x v="46"/>
    <n v="88"/>
    <s v="INV01993"/>
    <n v="87"/>
    <n v="509.36320000000001"/>
    <m/>
    <m/>
    <m/>
    <m/>
    <m/>
    <n v="509.36320000000001"/>
    <d v="2023-09-02T00:00:00"/>
    <n v="0"/>
    <n v="1"/>
    <n v="0"/>
    <n v="0"/>
    <n v="0"/>
    <n v="0"/>
    <n v="0"/>
    <x v="1"/>
    <n v="44314.598400000003"/>
    <n v="44823.961600000002"/>
    <n v="-509.36319999999978"/>
    <n v="8"/>
    <x v="2"/>
    <x v="5"/>
  </r>
  <r>
    <s v="ORD01994"/>
    <d v="2023-07-20T00:00:00"/>
    <x v="663"/>
    <x v="231"/>
    <n v="95"/>
    <s v="INV01994"/>
    <n v="95"/>
    <n v="850.16200000000003"/>
    <m/>
    <m/>
    <m/>
    <m/>
    <m/>
    <n v="850.16200000000003"/>
    <d v="2023-06-22T00:00:00"/>
    <n v="0"/>
    <n v="0"/>
    <n v="0"/>
    <n v="0"/>
    <n v="0"/>
    <n v="0"/>
    <n v="0"/>
    <x v="0"/>
    <n v="80765.39"/>
    <n v="80765.39"/>
    <n v="0"/>
    <n v="0"/>
    <x v="0"/>
    <x v="10"/>
  </r>
  <r>
    <s v="ORD01995"/>
    <d v="2023-02-20T00:00:00"/>
    <x v="245"/>
    <x v="35"/>
    <n v="168"/>
    <s v="INV01995"/>
    <n v="168"/>
    <n v="1131.7511999999999"/>
    <n v="19"/>
    <d v="2024-06-26T00:00:00"/>
    <m/>
    <m/>
    <m/>
    <n v="1131.7511999999999"/>
    <d v="2022-09-02T00:00:00"/>
    <n v="0"/>
    <n v="0"/>
    <n v="0"/>
    <n v="0"/>
    <n v="0"/>
    <n v="1"/>
    <n v="0"/>
    <x v="1"/>
    <n v="190134.2016"/>
    <n v="190134.2016"/>
    <n v="0"/>
    <n v="2"/>
    <x v="1"/>
    <x v="11"/>
  </r>
  <r>
    <s v="ORD01996"/>
    <d v="2023-03-18T00:00:00"/>
    <x v="54"/>
    <x v="218"/>
    <n v="177"/>
    <s v="INV01996"/>
    <n v="177"/>
    <n v="1011.43"/>
    <m/>
    <m/>
    <m/>
    <m/>
    <m/>
    <n v="1011.43"/>
    <d v="2022-06-12T00:00:00"/>
    <n v="0"/>
    <n v="0"/>
    <n v="0"/>
    <n v="0"/>
    <n v="0"/>
    <n v="0"/>
    <n v="0"/>
    <x v="0"/>
    <n v="179023.11"/>
    <n v="179023.11"/>
    <n v="0"/>
    <n v="0"/>
    <x v="0"/>
    <x v="17"/>
  </r>
  <r>
    <s v="ORD01997"/>
    <d v="2023-01-11T00:00:00"/>
    <x v="100"/>
    <x v="33"/>
    <n v="80"/>
    <s v="INV01997"/>
    <n v="80"/>
    <n v="53.51"/>
    <m/>
    <m/>
    <m/>
    <m/>
    <m/>
    <n v="53.51"/>
    <d v="2022-04-01T00:00:00"/>
    <n v="0"/>
    <n v="0"/>
    <n v="0"/>
    <n v="0"/>
    <n v="0"/>
    <n v="0"/>
    <n v="0"/>
    <x v="0"/>
    <n v="4280.8"/>
    <n v="4280.8"/>
    <n v="0"/>
    <n v="0"/>
    <x v="0"/>
    <x v="8"/>
  </r>
  <r>
    <s v="ORD01998"/>
    <d v="2024-08-07T00:00:00"/>
    <x v="460"/>
    <x v="106"/>
    <n v="15"/>
    <s v="INV01998"/>
    <n v="15"/>
    <n v="652.1472"/>
    <m/>
    <m/>
    <m/>
    <m/>
    <m/>
    <n v="652.1472"/>
    <d v="2023-02-02T00:00:00"/>
    <n v="0"/>
    <n v="0"/>
    <n v="0"/>
    <n v="0"/>
    <n v="0"/>
    <n v="0"/>
    <n v="0"/>
    <x v="0"/>
    <n v="9782.2080000000005"/>
    <n v="9782.2080000000005"/>
    <n v="0"/>
    <n v="0"/>
    <x v="0"/>
    <x v="22"/>
  </r>
  <r>
    <s v="ORD01999"/>
    <d v="2023-10-11T00:00:00"/>
    <x v="623"/>
    <x v="257"/>
    <n v="192"/>
    <s v="INV01999"/>
    <n v="192"/>
    <n v="296.17460000000005"/>
    <m/>
    <m/>
    <m/>
    <m/>
    <m/>
    <n v="296.17460000000005"/>
    <d v="2023-09-25T00:00:00"/>
    <n v="0"/>
    <n v="0"/>
    <n v="0"/>
    <n v="0"/>
    <n v="0"/>
    <n v="0"/>
    <n v="0"/>
    <x v="0"/>
    <n v="56865.523200000011"/>
    <n v="56865.523200000011"/>
    <n v="0"/>
    <n v="0"/>
    <x v="0"/>
    <x v="19"/>
  </r>
  <r>
    <s v="ORD02000"/>
    <d v="2024-05-19T00:00:00"/>
    <x v="548"/>
    <x v="187"/>
    <n v="33"/>
    <s v="INV02000"/>
    <n v="33"/>
    <n v="892.1431"/>
    <m/>
    <m/>
    <m/>
    <m/>
    <m/>
    <n v="892.1431"/>
    <d v="2023-10-23T00:00:00"/>
    <n v="0"/>
    <n v="0"/>
    <n v="0"/>
    <n v="0"/>
    <n v="0"/>
    <n v="0"/>
    <n v="0"/>
    <x v="0"/>
    <n v="29440.722300000001"/>
    <n v="29440.722300000001"/>
    <n v="0"/>
    <n v="0"/>
    <x v="0"/>
    <x v="13"/>
  </r>
  <r>
    <s v="ORD02001"/>
    <d v="2023-08-20T00:00:00"/>
    <x v="173"/>
    <x v="54"/>
    <n v="66"/>
    <s v="INV02001"/>
    <n v="66"/>
    <n v="465.21179999999998"/>
    <m/>
    <m/>
    <m/>
    <m/>
    <m/>
    <n v="465.21179999999998"/>
    <d v="2023-07-30T00:00:00"/>
    <n v="0"/>
    <n v="0"/>
    <n v="0"/>
    <n v="0"/>
    <n v="0"/>
    <n v="0"/>
    <n v="0"/>
    <x v="0"/>
    <n v="30703.978799999997"/>
    <n v="30703.978799999997"/>
    <n v="0"/>
    <n v="0"/>
    <x v="0"/>
    <x v="12"/>
  </r>
  <r>
    <s v="ORD02002"/>
    <d v="2024-06-04T00:00:00"/>
    <x v="166"/>
    <x v="284"/>
    <n v="16"/>
    <s v="INV02002"/>
    <n v="16"/>
    <n v="1032.7408"/>
    <m/>
    <m/>
    <m/>
    <m/>
    <m/>
    <n v="1032.7408"/>
    <d v="2023-05-31T00:00:00"/>
    <n v="0"/>
    <n v="0"/>
    <n v="0"/>
    <n v="0"/>
    <n v="0"/>
    <n v="0"/>
    <n v="0"/>
    <x v="0"/>
    <n v="16523.852800000001"/>
    <n v="16523.852800000001"/>
    <n v="0"/>
    <n v="0"/>
    <x v="0"/>
    <x v="16"/>
  </r>
  <r>
    <s v="ORD02003"/>
    <d v="2023-09-07T00:00:00"/>
    <x v="388"/>
    <x v="201"/>
    <n v="119"/>
    <s v="INV02003"/>
    <n v="119"/>
    <n v="414.65559999999999"/>
    <m/>
    <m/>
    <m/>
    <m/>
    <m/>
    <n v="414.65559999999999"/>
    <d v="2022-12-29T00:00:00"/>
    <n v="0"/>
    <n v="0"/>
    <n v="0"/>
    <n v="0"/>
    <n v="0"/>
    <n v="0"/>
    <n v="0"/>
    <x v="0"/>
    <n v="49344.0164"/>
    <n v="49344.0164"/>
    <n v="0"/>
    <n v="0"/>
    <x v="0"/>
    <x v="18"/>
  </r>
  <r>
    <s v="ORD02004"/>
    <d v="2024-09-10T00:00:00"/>
    <x v="496"/>
    <x v="91"/>
    <n v="33"/>
    <s v="INV02004"/>
    <n v="33"/>
    <n v="560.37830000000008"/>
    <m/>
    <m/>
    <m/>
    <m/>
    <m/>
    <n v="560.37830000000008"/>
    <d v="2023-06-12T00:00:00"/>
    <n v="0"/>
    <n v="0"/>
    <n v="0"/>
    <n v="0"/>
    <n v="0"/>
    <n v="0"/>
    <n v="0"/>
    <x v="0"/>
    <n v="18492.483900000003"/>
    <n v="18492.483900000003"/>
    <n v="0"/>
    <n v="0"/>
    <x v="0"/>
    <x v="2"/>
  </r>
  <r>
    <s v="ORD02005"/>
    <d v="2023-05-22T00:00:00"/>
    <x v="162"/>
    <x v="205"/>
    <n v="49"/>
    <s v="INV02005"/>
    <n v="57"/>
    <n v="82.749600000000015"/>
    <n v="12"/>
    <d v="2025-01-18T00:00:00"/>
    <m/>
    <m/>
    <m/>
    <n v="82.749600000000015"/>
    <d v="2023-05-22T00:00:00"/>
    <n v="0"/>
    <n v="1"/>
    <n v="0"/>
    <n v="0"/>
    <n v="0"/>
    <n v="1"/>
    <n v="0"/>
    <x v="1"/>
    <n v="4716.7272000000012"/>
    <n v="4054.7304000000008"/>
    <n v="661.99680000000035"/>
    <n v="10"/>
    <x v="2"/>
    <x v="7"/>
  </r>
  <r>
    <s v="ORD02006"/>
    <d v="2024-06-19T00:00:00"/>
    <x v="633"/>
    <x v="179"/>
    <n v="88"/>
    <s v="INV02006"/>
    <n v="88"/>
    <n v="72.63"/>
    <m/>
    <m/>
    <m/>
    <m/>
    <m/>
    <n v="72.63"/>
    <d v="2023-01-30T00:00:00"/>
    <n v="0"/>
    <n v="0"/>
    <n v="0"/>
    <n v="0"/>
    <n v="0"/>
    <n v="0"/>
    <n v="0"/>
    <x v="0"/>
    <n v="6391.44"/>
    <n v="6391.44"/>
    <n v="0"/>
    <n v="0"/>
    <x v="0"/>
    <x v="16"/>
  </r>
  <r>
    <s v="ORD02007"/>
    <d v="2023-04-25T00:00:00"/>
    <x v="741"/>
    <x v="135"/>
    <n v="89"/>
    <s v="INV02007"/>
    <n v="89"/>
    <n v="1114.502"/>
    <n v="16"/>
    <d v="2024-05-24T00:00:00"/>
    <m/>
    <m/>
    <m/>
    <n v="1114.502"/>
    <d v="2023-04-02T00:00:00"/>
    <n v="0"/>
    <n v="0"/>
    <n v="0"/>
    <n v="0"/>
    <n v="0"/>
    <n v="1"/>
    <n v="0"/>
    <x v="1"/>
    <n v="99190.678"/>
    <n v="99190.678"/>
    <n v="0"/>
    <n v="2"/>
    <x v="1"/>
    <x v="23"/>
  </r>
  <r>
    <s v="ORD02008"/>
    <d v="2024-11-05T00:00:00"/>
    <x v="134"/>
    <x v="61"/>
    <n v="39"/>
    <s v="INV02008"/>
    <n v="39"/>
    <n v="759.48969999999997"/>
    <n v="2"/>
    <d v="2024-04-30T00:00:00"/>
    <m/>
    <m/>
    <m/>
    <n v="759.48969999999997"/>
    <d v="2023-07-31T00:00:00"/>
    <n v="0"/>
    <n v="0"/>
    <n v="0"/>
    <n v="0"/>
    <n v="0"/>
    <n v="0"/>
    <n v="0"/>
    <x v="0"/>
    <n v="29620.098299999998"/>
    <n v="29620.098299999998"/>
    <n v="0"/>
    <n v="0"/>
    <x v="0"/>
    <x v="4"/>
  </r>
  <r>
    <s v="ORD02009"/>
    <d v="2024-10-29T00:00:00"/>
    <x v="571"/>
    <x v="179"/>
    <n v="75"/>
    <s v="INV02009"/>
    <n v="75"/>
    <n v="72.63"/>
    <m/>
    <m/>
    <m/>
    <m/>
    <m/>
    <n v="72.63"/>
    <d v="2023-01-30T00:00:00"/>
    <n v="0"/>
    <n v="0"/>
    <n v="0"/>
    <n v="0"/>
    <n v="0"/>
    <n v="0"/>
    <n v="0"/>
    <x v="0"/>
    <n v="5447.25"/>
    <n v="5447.25"/>
    <n v="0"/>
    <n v="0"/>
    <x v="0"/>
    <x v="5"/>
  </r>
  <r>
    <s v="ORD02010"/>
    <d v="2024-04-26T00:00:00"/>
    <x v="742"/>
    <x v="168"/>
    <n v="175"/>
    <s v="INV02010"/>
    <n v="175"/>
    <n v="232.3732"/>
    <m/>
    <m/>
    <m/>
    <m/>
    <m/>
    <n v="232.3732"/>
    <d v="2023-05-19T00:00:00"/>
    <n v="0"/>
    <n v="0"/>
    <n v="0"/>
    <n v="0"/>
    <n v="0"/>
    <n v="0"/>
    <n v="0"/>
    <x v="0"/>
    <n v="40665.31"/>
    <n v="40665.31"/>
    <n v="0"/>
    <n v="0"/>
    <x v="0"/>
    <x v="9"/>
  </r>
  <r>
    <s v="ORD02011"/>
    <d v="2024-11-04T00:00:00"/>
    <x v="95"/>
    <x v="279"/>
    <n v="48"/>
    <s v="INV02011"/>
    <n v="48"/>
    <n v="461.00940000000003"/>
    <m/>
    <m/>
    <m/>
    <m/>
    <m/>
    <n v="461.00940000000003"/>
    <d v="2023-04-20T00:00:00"/>
    <n v="0"/>
    <n v="0"/>
    <n v="0"/>
    <n v="0"/>
    <n v="0"/>
    <n v="0"/>
    <n v="0"/>
    <x v="0"/>
    <n v="22128.451200000003"/>
    <n v="22128.451200000003"/>
    <n v="0"/>
    <n v="0"/>
    <x v="0"/>
    <x v="4"/>
  </r>
  <r>
    <s v="ORD02012"/>
    <d v="2024-03-13T00:00:00"/>
    <x v="128"/>
    <x v="109"/>
    <n v="151"/>
    <s v="INV02012"/>
    <n v="151"/>
    <n v="457.65019999999998"/>
    <m/>
    <m/>
    <m/>
    <m/>
    <m/>
    <n v="457.65019999999998"/>
    <d v="2023-01-24T00:00:00"/>
    <n v="0"/>
    <n v="0"/>
    <n v="0"/>
    <n v="0"/>
    <n v="0"/>
    <n v="0"/>
    <n v="0"/>
    <x v="0"/>
    <n v="69105.180200000003"/>
    <n v="69105.180200000003"/>
    <n v="0"/>
    <n v="0"/>
    <x v="0"/>
    <x v="6"/>
  </r>
  <r>
    <s v="ORD02013"/>
    <d v="2023-12-19T00:00:00"/>
    <x v="234"/>
    <x v="245"/>
    <n v="136"/>
    <s v="INV02013"/>
    <n v="136"/>
    <n v="908.12130000000002"/>
    <m/>
    <m/>
    <m/>
    <m/>
    <m/>
    <n v="908.12130000000002"/>
    <d v="2023-08-02T00:00:00"/>
    <n v="0"/>
    <n v="0"/>
    <n v="0"/>
    <n v="0"/>
    <n v="0"/>
    <n v="0"/>
    <n v="0"/>
    <x v="0"/>
    <n v="123504.49680000001"/>
    <n v="123504.49680000001"/>
    <n v="0"/>
    <n v="0"/>
    <x v="0"/>
    <x v="20"/>
  </r>
  <r>
    <s v="ORD02014"/>
    <d v="2024-10-17T00:00:00"/>
    <x v="355"/>
    <x v="250"/>
    <n v="35"/>
    <s v="INV02014"/>
    <n v="35"/>
    <n v="92.962000000000003"/>
    <m/>
    <m/>
    <m/>
    <m/>
    <m/>
    <n v="92.962000000000003"/>
    <d v="2023-08-13T00:00:00"/>
    <n v="0"/>
    <n v="0"/>
    <n v="0"/>
    <n v="0"/>
    <n v="0"/>
    <n v="0"/>
    <n v="0"/>
    <x v="0"/>
    <n v="3253.67"/>
    <n v="3253.67"/>
    <n v="0"/>
    <n v="0"/>
    <x v="0"/>
    <x v="5"/>
  </r>
  <r>
    <s v="ORD02015"/>
    <d v="2024-06-30T00:00:00"/>
    <x v="277"/>
    <x v="26"/>
    <n v="103"/>
    <s v="INV02015"/>
    <n v="103"/>
    <n v="129.17519999999999"/>
    <m/>
    <m/>
    <m/>
    <m/>
    <m/>
    <n v="129.17519999999999"/>
    <d v="2023-09-15T00:00:00"/>
    <n v="0"/>
    <n v="0"/>
    <n v="0"/>
    <n v="0"/>
    <n v="0"/>
    <n v="0"/>
    <n v="0"/>
    <x v="0"/>
    <n v="13305.045599999999"/>
    <n v="13305.045599999999"/>
    <n v="0"/>
    <n v="0"/>
    <x v="0"/>
    <x v="16"/>
  </r>
  <r>
    <s v="ORD02016"/>
    <d v="2024-11-29T00:00:00"/>
    <x v="186"/>
    <x v="1"/>
    <n v="130"/>
    <s v="INV02016"/>
    <n v="130"/>
    <n v="444.22"/>
    <m/>
    <m/>
    <m/>
    <m/>
    <m/>
    <n v="444.22"/>
    <d v="2023-05-28T00:00:00"/>
    <n v="0"/>
    <n v="0"/>
    <n v="0"/>
    <n v="0"/>
    <n v="0"/>
    <n v="0"/>
    <n v="0"/>
    <x v="0"/>
    <n v="57748.600000000006"/>
    <n v="57748.600000000006"/>
    <n v="0"/>
    <n v="0"/>
    <x v="0"/>
    <x v="4"/>
  </r>
  <r>
    <s v="ORD02017"/>
    <d v="2023-09-15T00:00:00"/>
    <x v="483"/>
    <x v="20"/>
    <n v="79"/>
    <s v="INV02017"/>
    <n v="79"/>
    <n v="1046.6099999999999"/>
    <m/>
    <m/>
    <m/>
    <m/>
    <m/>
    <n v="1046.6099999999999"/>
    <d v="2023-01-14T00:00:00"/>
    <n v="0"/>
    <n v="0"/>
    <n v="0"/>
    <n v="0"/>
    <n v="0"/>
    <n v="0"/>
    <n v="0"/>
    <x v="0"/>
    <n v="82682.189999999988"/>
    <n v="82682.189999999988"/>
    <n v="0"/>
    <n v="0"/>
    <x v="0"/>
    <x v="18"/>
  </r>
  <r>
    <s v="ORD02018"/>
    <d v="2023-11-24T00:00:00"/>
    <x v="734"/>
    <x v="136"/>
    <n v="160"/>
    <s v="INV02018"/>
    <n v="160"/>
    <n v="216.67271108283128"/>
    <m/>
    <m/>
    <m/>
    <m/>
    <m/>
    <n v="216.2484"/>
    <d v="2023-01-18T00:00:00"/>
    <n v="0"/>
    <n v="0"/>
    <n v="1"/>
    <n v="0"/>
    <n v="0"/>
    <n v="0"/>
    <n v="0"/>
    <x v="1"/>
    <n v="34667.633773253008"/>
    <n v="34599.743999999999"/>
    <n v="67.88977325300948"/>
    <n v="4"/>
    <x v="1"/>
    <x v="0"/>
  </r>
  <r>
    <s v="ORD02019"/>
    <d v="2023-12-10T00:00:00"/>
    <x v="422"/>
    <x v="127"/>
    <n v="113"/>
    <s v="INV02019"/>
    <n v="113"/>
    <n v="343.34190000000001"/>
    <m/>
    <m/>
    <m/>
    <m/>
    <m/>
    <n v="343.34190000000001"/>
    <d v="2023-07-19T00:00:00"/>
    <n v="0"/>
    <n v="0"/>
    <n v="0"/>
    <n v="0"/>
    <n v="0"/>
    <n v="0"/>
    <n v="0"/>
    <x v="0"/>
    <n v="38797.634700000002"/>
    <n v="38797.634700000002"/>
    <n v="0"/>
    <n v="0"/>
    <x v="0"/>
    <x v="20"/>
  </r>
  <r>
    <s v="ORD02020"/>
    <d v="2023-02-15T00:00:00"/>
    <x v="90"/>
    <x v="21"/>
    <n v="156"/>
    <s v="INV02020"/>
    <n v="156"/>
    <n v="514.18639999999994"/>
    <m/>
    <m/>
    <m/>
    <m/>
    <m/>
    <n v="514.18639999999994"/>
    <d v="2023-01-10T00:00:00"/>
    <n v="0"/>
    <n v="0"/>
    <n v="0"/>
    <n v="0"/>
    <n v="0"/>
    <n v="0"/>
    <n v="0"/>
    <x v="0"/>
    <n v="80213.078399999984"/>
    <n v="80213.078399999984"/>
    <n v="0"/>
    <n v="0"/>
    <x v="0"/>
    <x v="11"/>
  </r>
  <r>
    <s v="ORD02021"/>
    <d v="2024-01-24T00:00:00"/>
    <x v="185"/>
    <x v="142"/>
    <n v="66"/>
    <s v="INV02021"/>
    <n v="66"/>
    <n v="752.48910000000001"/>
    <m/>
    <m/>
    <m/>
    <m/>
    <m/>
    <n v="752.48910000000001"/>
    <d v="2023-01-27T00:00:00"/>
    <n v="0"/>
    <n v="0"/>
    <n v="0"/>
    <n v="0"/>
    <n v="0"/>
    <n v="0"/>
    <n v="0"/>
    <x v="0"/>
    <n v="49664.280599999998"/>
    <n v="49664.280599999998"/>
    <n v="0"/>
    <n v="0"/>
    <x v="0"/>
    <x v="15"/>
  </r>
  <r>
    <s v="ORD02022"/>
    <d v="2024-02-29T00:00:00"/>
    <x v="425"/>
    <x v="293"/>
    <n v="165"/>
    <s v="INV02022"/>
    <n v="165"/>
    <n v="104.9652"/>
    <m/>
    <m/>
    <m/>
    <m/>
    <m/>
    <n v="104.9652"/>
    <d v="2023-05-20T00:00:00"/>
    <n v="0"/>
    <n v="0"/>
    <n v="0"/>
    <n v="0"/>
    <n v="0"/>
    <n v="0"/>
    <n v="0"/>
    <x v="0"/>
    <n v="17319.257999999998"/>
    <n v="17319.257999999998"/>
    <n v="0"/>
    <n v="0"/>
    <x v="0"/>
    <x v="3"/>
  </r>
  <r>
    <s v="ORD02023"/>
    <d v="2023-03-24T00:00:00"/>
    <x v="305"/>
    <x v="220"/>
    <n v="200"/>
    <s v="INV02023"/>
    <n v="200"/>
    <n v="1208.5299"/>
    <m/>
    <m/>
    <m/>
    <m/>
    <m/>
    <n v="1208.5299"/>
    <d v="2023-02-26T00:00:00"/>
    <n v="0"/>
    <n v="0"/>
    <n v="0"/>
    <n v="0"/>
    <n v="0"/>
    <n v="0"/>
    <n v="0"/>
    <x v="0"/>
    <n v="241705.98"/>
    <n v="241705.98"/>
    <n v="0"/>
    <n v="0"/>
    <x v="0"/>
    <x v="17"/>
  </r>
  <r>
    <s v="ORD02024"/>
    <d v="2024-11-20T00:00:00"/>
    <x v="9"/>
    <x v="255"/>
    <n v="149"/>
    <s v="INV02024"/>
    <n v="149"/>
    <n v="1178.6880000000001"/>
    <m/>
    <m/>
    <m/>
    <m/>
    <m/>
    <n v="1178.6880000000001"/>
    <d v="2023-01-04T00:00:00"/>
    <n v="0"/>
    <n v="0"/>
    <n v="0"/>
    <n v="0"/>
    <n v="0"/>
    <n v="0"/>
    <n v="0"/>
    <x v="0"/>
    <n v="175624.51200000002"/>
    <n v="175624.51200000002"/>
    <n v="0"/>
    <n v="0"/>
    <x v="0"/>
    <x v="4"/>
  </r>
  <r>
    <s v="ORD02025"/>
    <d v="2023-01-20T00:00:00"/>
    <x v="688"/>
    <x v="275"/>
    <n v="61"/>
    <s v="INV02025"/>
    <n v="61"/>
    <n v="789.34"/>
    <m/>
    <m/>
    <m/>
    <m/>
    <m/>
    <n v="789.34"/>
    <d v="2022-04-11T00:00:00"/>
    <n v="0"/>
    <n v="0"/>
    <n v="0"/>
    <n v="0"/>
    <n v="0"/>
    <n v="0"/>
    <n v="0"/>
    <x v="0"/>
    <n v="48149.740000000005"/>
    <n v="48149.740000000005"/>
    <n v="0"/>
    <n v="0"/>
    <x v="0"/>
    <x v="8"/>
  </r>
  <r>
    <s v="ORD02026"/>
    <d v="2023-06-18T00:00:00"/>
    <x v="169"/>
    <x v="76"/>
    <n v="7"/>
    <s v="INV02026"/>
    <n v="7"/>
    <n v="1218.6930000000002"/>
    <m/>
    <m/>
    <m/>
    <m/>
    <m/>
    <n v="1218.6930000000002"/>
    <d v="2022-12-31T00:00:00"/>
    <n v="0"/>
    <n v="0"/>
    <n v="0"/>
    <n v="0"/>
    <n v="0"/>
    <n v="0"/>
    <n v="0"/>
    <x v="0"/>
    <n v="8530.8510000000024"/>
    <n v="8530.8510000000024"/>
    <n v="0"/>
    <n v="0"/>
    <x v="0"/>
    <x v="14"/>
  </r>
  <r>
    <s v="ORD02027"/>
    <d v="2023-07-11T00:00:00"/>
    <x v="319"/>
    <x v="142"/>
    <n v="101"/>
    <s v="INV02027"/>
    <n v="101"/>
    <n v="752.48910000000001"/>
    <m/>
    <m/>
    <m/>
    <m/>
    <m/>
    <n v="752.48910000000001"/>
    <d v="2023-01-27T00:00:00"/>
    <n v="0"/>
    <n v="0"/>
    <n v="0"/>
    <n v="0"/>
    <n v="0"/>
    <n v="0"/>
    <n v="0"/>
    <x v="0"/>
    <n v="76001.399099999995"/>
    <n v="76001.399099999995"/>
    <n v="0"/>
    <n v="0"/>
    <x v="0"/>
    <x v="10"/>
  </r>
  <r>
    <s v="ORD02028"/>
    <d v="2023-05-16T00:00:00"/>
    <x v="355"/>
    <x v="120"/>
    <n v="196"/>
    <s v="INV02028"/>
    <n v="196"/>
    <n v="989.96579999999994"/>
    <m/>
    <m/>
    <m/>
    <m/>
    <m/>
    <n v="989.96579999999994"/>
    <d v="2023-02-18T00:00:00"/>
    <n v="0"/>
    <n v="0"/>
    <n v="0"/>
    <n v="0"/>
    <n v="0"/>
    <n v="0"/>
    <n v="0"/>
    <x v="0"/>
    <n v="194033.29679999998"/>
    <n v="194033.29679999998"/>
    <n v="0"/>
    <n v="0"/>
    <x v="0"/>
    <x v="7"/>
  </r>
  <r>
    <s v="ORD02029"/>
    <d v="2023-08-30T00:00:00"/>
    <x v="326"/>
    <x v="141"/>
    <n v="28"/>
    <s v="INV02029"/>
    <n v="28"/>
    <n v="785.89"/>
    <m/>
    <m/>
    <m/>
    <m/>
    <m/>
    <n v="785.89"/>
    <d v="2023-03-04T00:00:00"/>
    <n v="0"/>
    <n v="0"/>
    <n v="0"/>
    <n v="0"/>
    <n v="0"/>
    <n v="0"/>
    <n v="0"/>
    <x v="0"/>
    <n v="22004.92"/>
    <n v="22004.92"/>
    <n v="0"/>
    <n v="0"/>
    <x v="0"/>
    <x v="12"/>
  </r>
  <r>
    <s v="ORD02030"/>
    <d v="2023-12-19T00:00:00"/>
    <x v="367"/>
    <x v="178"/>
    <n v="199"/>
    <s v="INV02030"/>
    <n v="199"/>
    <n v="479.40280000000007"/>
    <m/>
    <m/>
    <m/>
    <m/>
    <m/>
    <n v="479.40280000000007"/>
    <d v="2023-01-15T00:00:00"/>
    <n v="0"/>
    <n v="0"/>
    <n v="0"/>
    <n v="0"/>
    <n v="0"/>
    <n v="0"/>
    <n v="0"/>
    <x v="0"/>
    <n v="95401.157200000016"/>
    <n v="95401.157200000016"/>
    <n v="0"/>
    <n v="0"/>
    <x v="0"/>
    <x v="20"/>
  </r>
  <r>
    <s v="ORD02031"/>
    <d v="2023-06-21T00:00:00"/>
    <x v="142"/>
    <x v="134"/>
    <n v="85"/>
    <s v="INV02031"/>
    <n v="85"/>
    <n v="410.3820356625647"/>
    <m/>
    <m/>
    <m/>
    <m/>
    <m/>
    <n v="410.02"/>
    <d v="2023-04-01T00:00:00"/>
    <n v="0"/>
    <n v="0"/>
    <n v="1"/>
    <n v="0"/>
    <n v="0"/>
    <n v="0"/>
    <n v="0"/>
    <x v="1"/>
    <n v="34882.473031317997"/>
    <n v="34851.699999999997"/>
    <n v="30.773031317999994"/>
    <n v="4"/>
    <x v="1"/>
    <x v="14"/>
  </r>
  <r>
    <s v="ORD02032"/>
    <d v="2024-05-22T00:00:00"/>
    <x v="723"/>
    <x v="234"/>
    <n v="182"/>
    <s v="INV02032"/>
    <n v="182"/>
    <n v="1226.9154000000001"/>
    <m/>
    <m/>
    <m/>
    <m/>
    <m/>
    <n v="1226.9154000000001"/>
    <d v="2023-04-16T00:00:00"/>
    <n v="0"/>
    <n v="0"/>
    <n v="0"/>
    <n v="0"/>
    <n v="0"/>
    <n v="0"/>
    <n v="0"/>
    <x v="0"/>
    <n v="223298.60280000002"/>
    <n v="223298.60280000002"/>
    <n v="0"/>
    <n v="0"/>
    <x v="0"/>
    <x v="13"/>
  </r>
  <r>
    <s v="ORD02033"/>
    <d v="2023-11-26T00:00:00"/>
    <x v="621"/>
    <x v="239"/>
    <n v="14"/>
    <s v="INV02033"/>
    <n v="14"/>
    <n v="1197.9306999999999"/>
    <m/>
    <m/>
    <m/>
    <m/>
    <m/>
    <n v="1197.9306999999999"/>
    <d v="2023-06-12T00:00:00"/>
    <n v="0"/>
    <n v="0"/>
    <n v="0"/>
    <n v="0"/>
    <n v="0"/>
    <n v="0"/>
    <n v="0"/>
    <x v="0"/>
    <n v="16771.029799999997"/>
    <n v="16771.029799999997"/>
    <n v="0"/>
    <n v="0"/>
    <x v="0"/>
    <x v="0"/>
  </r>
  <r>
    <s v="ORD02034"/>
    <d v="2023-07-14T00:00:00"/>
    <x v="454"/>
    <x v="197"/>
    <n v="190"/>
    <s v="INV02034"/>
    <n v="190"/>
    <n v="240.40479999999999"/>
    <m/>
    <m/>
    <m/>
    <m/>
    <m/>
    <n v="240.40479999999999"/>
    <d v="2022-10-20T00:00:00"/>
    <n v="0"/>
    <n v="0"/>
    <n v="0"/>
    <n v="0"/>
    <n v="0"/>
    <n v="0"/>
    <n v="0"/>
    <x v="0"/>
    <n v="45676.911999999997"/>
    <n v="45676.911999999997"/>
    <n v="0"/>
    <n v="0"/>
    <x v="0"/>
    <x v="10"/>
  </r>
  <r>
    <s v="ORD02035"/>
    <d v="2024-05-07T00:00:00"/>
    <x v="523"/>
    <x v="4"/>
    <n v="152"/>
    <s v="INV02035"/>
    <n v="152"/>
    <n v="353.52719999999999"/>
    <n v="4"/>
    <d v="2024-05-18T00:00:00"/>
    <m/>
    <m/>
    <m/>
    <n v="353.52719999999999"/>
    <d v="2023-09-13T00:00:00"/>
    <n v="0"/>
    <n v="0"/>
    <n v="0"/>
    <n v="0"/>
    <n v="0"/>
    <n v="0"/>
    <n v="0"/>
    <x v="0"/>
    <n v="53736.134399999995"/>
    <n v="53736.134399999995"/>
    <n v="0"/>
    <n v="0"/>
    <x v="0"/>
    <x v="13"/>
  </r>
  <r>
    <s v="ORD02036"/>
    <d v="2023-01-03T00:00:00"/>
    <x v="116"/>
    <x v="137"/>
    <n v="39"/>
    <s v="INV02036"/>
    <n v="39"/>
    <n v="1142.8668"/>
    <m/>
    <m/>
    <m/>
    <m/>
    <m/>
    <n v="1142.8668"/>
    <d v="2022-09-01T00:00:00"/>
    <n v="0"/>
    <n v="0"/>
    <n v="0"/>
    <n v="0"/>
    <n v="0"/>
    <n v="0"/>
    <n v="0"/>
    <x v="0"/>
    <n v="44571.805200000003"/>
    <n v="44571.805200000003"/>
    <n v="0"/>
    <n v="0"/>
    <x v="0"/>
    <x v="8"/>
  </r>
  <r>
    <s v="ORD02037"/>
    <d v="2023-06-11T00:00:00"/>
    <x v="242"/>
    <x v="171"/>
    <n v="158"/>
    <s v="INV02037"/>
    <n v="158"/>
    <n v="121.13"/>
    <m/>
    <m/>
    <m/>
    <m/>
    <m/>
    <n v="121.13"/>
    <d v="2023-01-31T00:00:00"/>
    <n v="0"/>
    <n v="0"/>
    <n v="0"/>
    <n v="0"/>
    <n v="0"/>
    <n v="0"/>
    <n v="0"/>
    <x v="0"/>
    <n v="19138.54"/>
    <n v="19138.54"/>
    <n v="0"/>
    <n v="0"/>
    <x v="0"/>
    <x v="14"/>
  </r>
  <r>
    <s v="ORD02038"/>
    <d v="2024-11-16T00:00:00"/>
    <x v="743"/>
    <x v="274"/>
    <n v="65"/>
    <s v="INV02038"/>
    <n v="65"/>
    <n v="631.83420000000012"/>
    <m/>
    <m/>
    <m/>
    <m/>
    <m/>
    <n v="631.83420000000012"/>
    <d v="2023-09-03T00:00:00"/>
    <n v="0"/>
    <n v="0"/>
    <n v="0"/>
    <n v="0"/>
    <n v="0"/>
    <n v="0"/>
    <n v="0"/>
    <x v="0"/>
    <n v="41069.223000000005"/>
    <n v="41069.223000000005"/>
    <n v="0"/>
    <n v="0"/>
    <x v="0"/>
    <x v="4"/>
  </r>
  <r>
    <s v="ORD02039"/>
    <d v="2023-03-29T00:00:00"/>
    <x v="700"/>
    <x v="231"/>
    <n v="193"/>
    <s v="INV02039"/>
    <n v="193"/>
    <n v="874.92399999999998"/>
    <m/>
    <m/>
    <m/>
    <m/>
    <m/>
    <n v="874.92399999999998"/>
    <d v="2023-02-09T00:00:00"/>
    <n v="0"/>
    <n v="0"/>
    <n v="0"/>
    <n v="0"/>
    <n v="0"/>
    <n v="0"/>
    <n v="0"/>
    <x v="0"/>
    <n v="168860.33199999999"/>
    <n v="168860.33199999999"/>
    <n v="0"/>
    <n v="0"/>
    <x v="0"/>
    <x v="17"/>
  </r>
  <r>
    <s v="ORD02040"/>
    <d v="2024-05-28T00:00:00"/>
    <x v="351"/>
    <x v="109"/>
    <n v="109"/>
    <s v="INV02040"/>
    <n v="109"/>
    <n v="457.65019999999998"/>
    <m/>
    <m/>
    <m/>
    <m/>
    <m/>
    <n v="457.65019999999998"/>
    <d v="2023-01-24T00:00:00"/>
    <n v="0"/>
    <n v="0"/>
    <n v="0"/>
    <n v="0"/>
    <n v="0"/>
    <n v="0"/>
    <n v="0"/>
    <x v="0"/>
    <n v="49883.871800000001"/>
    <n v="49883.871800000001"/>
    <n v="0"/>
    <n v="0"/>
    <x v="0"/>
    <x v="13"/>
  </r>
  <r>
    <s v="ORD02041"/>
    <d v="2023-11-14T00:00:00"/>
    <x v="576"/>
    <x v="12"/>
    <n v="82"/>
    <s v="INV02041"/>
    <n v="82"/>
    <n v="689.58720000000005"/>
    <m/>
    <m/>
    <m/>
    <m/>
    <m/>
    <n v="689.58720000000005"/>
    <d v="2023-10-25T00:00:00"/>
    <n v="0"/>
    <n v="0"/>
    <n v="0"/>
    <n v="0"/>
    <n v="0"/>
    <n v="0"/>
    <n v="0"/>
    <x v="0"/>
    <n v="56546.150400000006"/>
    <n v="56546.150400000006"/>
    <n v="0"/>
    <n v="0"/>
    <x v="0"/>
    <x v="0"/>
  </r>
  <r>
    <s v="ORD02042"/>
    <d v="2023-03-23T00:00:00"/>
    <x v="16"/>
    <x v="266"/>
    <n v="137"/>
    <s v="INV02042"/>
    <n v="137"/>
    <n v="382.81740000000002"/>
    <m/>
    <m/>
    <m/>
    <m/>
    <m/>
    <n v="382.81740000000002"/>
    <d v="2022-11-13T00:00:00"/>
    <n v="0"/>
    <n v="0"/>
    <n v="0"/>
    <n v="0"/>
    <n v="0"/>
    <n v="0"/>
    <n v="0"/>
    <x v="0"/>
    <n v="52445.983800000002"/>
    <n v="52445.983800000002"/>
    <n v="0"/>
    <n v="0"/>
    <x v="0"/>
    <x v="17"/>
  </r>
  <r>
    <s v="ORD02043"/>
    <d v="2023-01-02T00:00:00"/>
    <x v="293"/>
    <x v="72"/>
    <n v="55"/>
    <s v="INV02043"/>
    <n v="55"/>
    <n v="746.56"/>
    <m/>
    <m/>
    <m/>
    <m/>
    <m/>
    <n v="746.56"/>
    <d v="2022-01-09T00:00:00"/>
    <n v="0"/>
    <n v="0"/>
    <n v="0"/>
    <n v="0"/>
    <n v="0"/>
    <n v="0"/>
    <n v="0"/>
    <x v="0"/>
    <n v="41060.799999999996"/>
    <n v="41060.799999999996"/>
    <n v="0"/>
    <n v="0"/>
    <x v="0"/>
    <x v="8"/>
  </r>
  <r>
    <s v="ORD02044"/>
    <d v="2024-07-18T00:00:00"/>
    <x v="744"/>
    <x v="153"/>
    <n v="89"/>
    <s v="INV02044"/>
    <n v="92"/>
    <n v="680.30940000000021"/>
    <m/>
    <m/>
    <m/>
    <m/>
    <m/>
    <n v="680.30940000000021"/>
    <d v="2023-01-08T00:00:00"/>
    <n v="0"/>
    <n v="1"/>
    <n v="0"/>
    <n v="0"/>
    <n v="0"/>
    <n v="0"/>
    <n v="0"/>
    <x v="1"/>
    <n v="62588.464800000016"/>
    <n v="60547.536600000021"/>
    <n v="2040.9281999999948"/>
    <n v="8"/>
    <x v="2"/>
    <x v="21"/>
  </r>
  <r>
    <s v="ORD02045"/>
    <d v="2023-06-16T00:00:00"/>
    <x v="69"/>
    <x v="149"/>
    <n v="195"/>
    <s v="INV02045"/>
    <n v="195"/>
    <n v="1146.7456000000002"/>
    <m/>
    <m/>
    <m/>
    <m/>
    <m/>
    <n v="1146.7456000000002"/>
    <d v="2022-11-19T00:00:00"/>
    <n v="0"/>
    <n v="0"/>
    <n v="0"/>
    <n v="0"/>
    <n v="0"/>
    <n v="0"/>
    <n v="0"/>
    <x v="0"/>
    <n v="223615.39200000005"/>
    <n v="223615.39200000005"/>
    <n v="0"/>
    <n v="0"/>
    <x v="0"/>
    <x v="14"/>
  </r>
  <r>
    <s v="ORD02046"/>
    <d v="2024-12-20T00:00:00"/>
    <x v="244"/>
    <x v="265"/>
    <n v="63"/>
    <s v="INV02046"/>
    <n v="63"/>
    <n v="223.6044"/>
    <m/>
    <m/>
    <m/>
    <m/>
    <m/>
    <n v="223.6044"/>
    <d v="2023-06-14T00:00:00"/>
    <n v="0"/>
    <n v="0"/>
    <n v="0"/>
    <n v="0"/>
    <n v="0"/>
    <n v="0"/>
    <n v="0"/>
    <x v="0"/>
    <n v="14087.0772"/>
    <n v="14087.0772"/>
    <n v="0"/>
    <n v="0"/>
    <x v="0"/>
    <x v="1"/>
  </r>
  <r>
    <s v="ORD02047"/>
    <d v="2023-12-08T00:00:00"/>
    <x v="716"/>
    <x v="120"/>
    <n v="11"/>
    <s v="INV02047"/>
    <n v="11"/>
    <n v="989.96579999999994"/>
    <m/>
    <m/>
    <m/>
    <m/>
    <m/>
    <n v="989.96579999999994"/>
    <d v="2023-02-18T00:00:00"/>
    <n v="0"/>
    <n v="0"/>
    <n v="0"/>
    <n v="0"/>
    <n v="0"/>
    <n v="0"/>
    <n v="0"/>
    <x v="0"/>
    <n v="10889.623799999999"/>
    <n v="10889.623799999999"/>
    <n v="0"/>
    <n v="0"/>
    <x v="0"/>
    <x v="20"/>
  </r>
  <r>
    <s v="ORD02048"/>
    <d v="2024-06-04T00:00:00"/>
    <x v="146"/>
    <x v="162"/>
    <n v="11"/>
    <s v="INV02048"/>
    <n v="11"/>
    <n v="571.32999999999993"/>
    <m/>
    <m/>
    <m/>
    <m/>
    <m/>
    <n v="571.32999999999993"/>
    <d v="2023-10-07T00:00:00"/>
    <n v="0"/>
    <n v="0"/>
    <n v="0"/>
    <n v="0"/>
    <n v="0"/>
    <n v="0"/>
    <n v="0"/>
    <x v="0"/>
    <n v="6284.6299999999992"/>
    <n v="6284.6299999999992"/>
    <n v="0"/>
    <n v="0"/>
    <x v="0"/>
    <x v="16"/>
  </r>
  <r>
    <s v="ORD02049"/>
    <d v="2024-09-23T00:00:00"/>
    <x v="408"/>
    <x v="21"/>
    <n v="195"/>
    <s v="INV02049"/>
    <n v="195"/>
    <n v="561.4076"/>
    <m/>
    <m/>
    <m/>
    <m/>
    <m/>
    <n v="561.4076"/>
    <d v="2023-03-21T00:00:00"/>
    <n v="0"/>
    <n v="0"/>
    <n v="0"/>
    <n v="0"/>
    <n v="0"/>
    <n v="0"/>
    <n v="0"/>
    <x v="0"/>
    <n v="109474.482"/>
    <n v="109474.482"/>
    <n v="0"/>
    <n v="0"/>
    <x v="0"/>
    <x v="2"/>
  </r>
  <r>
    <s v="ORD02050"/>
    <d v="2023-04-08T00:00:00"/>
    <x v="682"/>
    <x v="117"/>
    <n v="162"/>
    <s v="INV02050"/>
    <n v="157"/>
    <n v="199.8895"/>
    <m/>
    <m/>
    <m/>
    <m/>
    <m/>
    <n v="199.8895"/>
    <d v="2022-09-03T00:00:00"/>
    <n v="0"/>
    <n v="1"/>
    <n v="0"/>
    <n v="0"/>
    <n v="0"/>
    <n v="0"/>
    <n v="0"/>
    <x v="1"/>
    <n v="31382.6515"/>
    <n v="32382.098999999998"/>
    <n v="-999.4474999999984"/>
    <n v="8"/>
    <x v="2"/>
    <x v="23"/>
  </r>
  <r>
    <s v="ORD02051"/>
    <d v="2023-11-03T00:00:00"/>
    <x v="270"/>
    <x v="11"/>
    <n v="139"/>
    <s v="INV02051"/>
    <n v="139"/>
    <n v="687.65840000000003"/>
    <m/>
    <m/>
    <m/>
    <m/>
    <m/>
    <n v="687.65840000000003"/>
    <d v="2023-08-01T00:00:00"/>
    <n v="0"/>
    <n v="0"/>
    <n v="0"/>
    <n v="0"/>
    <n v="0"/>
    <n v="0"/>
    <n v="0"/>
    <x v="0"/>
    <n v="95584.517600000006"/>
    <n v="95584.517600000006"/>
    <n v="0"/>
    <n v="0"/>
    <x v="0"/>
    <x v="0"/>
  </r>
  <r>
    <s v="ORD02052"/>
    <d v="2024-02-16T00:00:00"/>
    <x v="151"/>
    <x v="271"/>
    <n v="118"/>
    <s v="INV02052"/>
    <n v="118"/>
    <n v="358.33919999999995"/>
    <n v="11"/>
    <d v="2024-10-13T00:00:00"/>
    <m/>
    <m/>
    <m/>
    <n v="358.33919999999995"/>
    <d v="2023-07-01T00:00:00"/>
    <n v="0"/>
    <n v="0"/>
    <n v="0"/>
    <n v="0"/>
    <n v="0"/>
    <n v="1"/>
    <n v="0"/>
    <x v="1"/>
    <n v="42284.025599999994"/>
    <n v="42284.025599999994"/>
    <n v="0"/>
    <n v="2"/>
    <x v="1"/>
    <x v="3"/>
  </r>
  <r>
    <s v="ORD02053"/>
    <d v="2024-04-30T00:00:00"/>
    <x v="283"/>
    <x v="190"/>
    <n v="38"/>
    <s v="INV02053"/>
    <n v="33"/>
    <n v="892.55520000000013"/>
    <m/>
    <m/>
    <m/>
    <m/>
    <m/>
    <n v="892.55520000000013"/>
    <d v="2023-02-28T00:00:00"/>
    <n v="0"/>
    <n v="1"/>
    <n v="0"/>
    <n v="0"/>
    <n v="0"/>
    <n v="0"/>
    <n v="0"/>
    <x v="1"/>
    <n v="29454.321600000003"/>
    <n v="33917.097600000008"/>
    <n v="-4462.7760000000053"/>
    <n v="8"/>
    <x v="2"/>
    <x v="9"/>
  </r>
  <r>
    <s v="ORD02054"/>
    <d v="2023-09-27T00:00:00"/>
    <x v="33"/>
    <x v="191"/>
    <n v="84"/>
    <s v="INV02054"/>
    <n v="84"/>
    <n v="355.32000000000005"/>
    <m/>
    <m/>
    <m/>
    <m/>
    <m/>
    <n v="355.32000000000005"/>
    <d v="2023-05-12T00:00:00"/>
    <n v="0"/>
    <n v="0"/>
    <n v="0"/>
    <n v="0"/>
    <n v="0"/>
    <n v="0"/>
    <n v="0"/>
    <x v="0"/>
    <n v="29846.880000000005"/>
    <n v="29846.880000000005"/>
    <n v="0"/>
    <n v="0"/>
    <x v="0"/>
    <x v="18"/>
  </r>
  <r>
    <s v="ORD02055"/>
    <d v="2024-02-25T00:00:00"/>
    <x v="581"/>
    <x v="177"/>
    <n v="142"/>
    <s v="INV02055"/>
    <n v="142"/>
    <n v="335.39150000000001"/>
    <m/>
    <m/>
    <m/>
    <m/>
    <m/>
    <n v="335.39150000000001"/>
    <d v="2023-08-13T00:00:00"/>
    <n v="0"/>
    <n v="0"/>
    <n v="0"/>
    <n v="0"/>
    <n v="0"/>
    <n v="0"/>
    <n v="0"/>
    <x v="0"/>
    <n v="47625.593000000001"/>
    <n v="47625.593000000001"/>
    <n v="0"/>
    <n v="0"/>
    <x v="0"/>
    <x v="3"/>
  </r>
  <r>
    <s v="ORD02056"/>
    <d v="2024-01-02T00:00:00"/>
    <x v="245"/>
    <x v="72"/>
    <n v="21"/>
    <s v="INV02056"/>
    <n v="21"/>
    <n v="791.35360000000003"/>
    <m/>
    <m/>
    <m/>
    <m/>
    <m/>
    <n v="791.35360000000003"/>
    <d v="2023-06-20T00:00:00"/>
    <n v="0"/>
    <n v="0"/>
    <n v="0"/>
    <n v="0"/>
    <n v="0"/>
    <n v="0"/>
    <n v="0"/>
    <x v="0"/>
    <n v="16618.425600000002"/>
    <n v="16618.425600000002"/>
    <n v="0"/>
    <n v="0"/>
    <x v="0"/>
    <x v="15"/>
  </r>
  <r>
    <s v="ORD02057"/>
    <d v="2023-11-24T00:00:00"/>
    <x v="137"/>
    <x v="9"/>
    <n v="193"/>
    <s v="INV02057"/>
    <n v="193"/>
    <n v="397.40159999999997"/>
    <m/>
    <m/>
    <m/>
    <m/>
    <m/>
    <n v="397.40159999999997"/>
    <d v="2023-04-05T00:00:00"/>
    <n v="0"/>
    <n v="0"/>
    <n v="0"/>
    <n v="0"/>
    <n v="0"/>
    <n v="0"/>
    <n v="0"/>
    <x v="0"/>
    <n v="76698.508799999996"/>
    <n v="76698.508799999996"/>
    <n v="0"/>
    <n v="0"/>
    <x v="0"/>
    <x v="0"/>
  </r>
  <r>
    <s v="ORD02058"/>
    <d v="2023-04-16T00:00:00"/>
    <x v="613"/>
    <x v="113"/>
    <n v="66"/>
    <s v="INV02058"/>
    <n v="66"/>
    <n v="951.54780000000005"/>
    <m/>
    <m/>
    <m/>
    <m/>
    <m/>
    <n v="951.54780000000005"/>
    <d v="2023-02-07T00:00:00"/>
    <n v="0"/>
    <n v="0"/>
    <n v="0"/>
    <n v="0"/>
    <n v="0"/>
    <n v="0"/>
    <n v="0"/>
    <x v="0"/>
    <n v="62802.154800000004"/>
    <n v="62802.154800000004"/>
    <n v="0"/>
    <n v="0"/>
    <x v="0"/>
    <x v="23"/>
  </r>
  <r>
    <s v="ORD02059"/>
    <d v="2024-01-24T00:00:00"/>
    <x v="557"/>
    <x v="142"/>
    <n v="113"/>
    <s v="INV02059"/>
    <n v="113"/>
    <n v="752.48910000000001"/>
    <m/>
    <m/>
    <m/>
    <m/>
    <m/>
    <n v="752.48910000000001"/>
    <d v="2023-01-27T00:00:00"/>
    <n v="0"/>
    <n v="0"/>
    <n v="0"/>
    <n v="0"/>
    <n v="0"/>
    <n v="0"/>
    <n v="0"/>
    <x v="0"/>
    <n v="85031.268299999996"/>
    <n v="85031.268299999996"/>
    <n v="0"/>
    <n v="0"/>
    <x v="0"/>
    <x v="15"/>
  </r>
  <r>
    <s v="ORD02060"/>
    <d v="2024-08-17T00:00:00"/>
    <x v="385"/>
    <x v="92"/>
    <n v="112"/>
    <s v="INV02060"/>
    <n v="112"/>
    <n v="833.73500000000001"/>
    <m/>
    <m/>
    <m/>
    <m/>
    <m/>
    <n v="833.73500000000001"/>
    <d v="2023-08-29T00:00:00"/>
    <n v="0"/>
    <n v="0"/>
    <n v="0"/>
    <n v="0"/>
    <n v="0"/>
    <n v="0"/>
    <n v="0"/>
    <x v="0"/>
    <n v="93378.32"/>
    <n v="93378.32"/>
    <n v="0"/>
    <n v="0"/>
    <x v="0"/>
    <x v="22"/>
  </r>
  <r>
    <s v="ORD02061"/>
    <d v="2023-10-30T00:00:00"/>
    <x v="74"/>
    <x v="13"/>
    <n v="131"/>
    <s v="INV02061"/>
    <n v="131"/>
    <n v="248.24449999999999"/>
    <m/>
    <m/>
    <m/>
    <m/>
    <m/>
    <n v="248.24449999999999"/>
    <d v="2023-01-07T00:00:00"/>
    <n v="0"/>
    <n v="0"/>
    <n v="0"/>
    <n v="0"/>
    <n v="0"/>
    <n v="0"/>
    <n v="0"/>
    <x v="0"/>
    <n v="32520.029499999997"/>
    <n v="32520.029499999997"/>
    <n v="0"/>
    <n v="0"/>
    <x v="0"/>
    <x v="19"/>
  </r>
  <r>
    <s v="ORD02062"/>
    <d v="2023-07-15T00:00:00"/>
    <x v="745"/>
    <x v="149"/>
    <n v="4"/>
    <s v="INV02062"/>
    <n v="4"/>
    <n v="1146.7456000000002"/>
    <m/>
    <m/>
    <m/>
    <m/>
    <m/>
    <n v="1146.7456000000002"/>
    <d v="2022-11-19T00:00:00"/>
    <n v="0"/>
    <n v="0"/>
    <n v="0"/>
    <n v="0"/>
    <n v="0"/>
    <n v="0"/>
    <n v="0"/>
    <x v="0"/>
    <n v="4586.9824000000008"/>
    <n v="4586.9824000000008"/>
    <n v="0"/>
    <n v="0"/>
    <x v="0"/>
    <x v="10"/>
  </r>
  <r>
    <s v="ORD02063"/>
    <d v="2024-05-15T00:00:00"/>
    <x v="589"/>
    <x v="173"/>
    <n v="136"/>
    <s v="INV02063"/>
    <n v="136"/>
    <n v="539.57150000000001"/>
    <m/>
    <m/>
    <m/>
    <m/>
    <m/>
    <n v="539.57150000000001"/>
    <d v="2023-09-22T00:00:00"/>
    <n v="0"/>
    <n v="0"/>
    <n v="0"/>
    <n v="0"/>
    <n v="0"/>
    <n v="0"/>
    <n v="0"/>
    <x v="0"/>
    <n v="73381.724000000002"/>
    <n v="73381.724000000002"/>
    <n v="0"/>
    <n v="0"/>
    <x v="0"/>
    <x v="13"/>
  </r>
  <r>
    <s v="ORD02064"/>
    <d v="2023-02-05T00:00:00"/>
    <x v="582"/>
    <x v="215"/>
    <n v="152"/>
    <s v="INV02064"/>
    <n v="152"/>
    <n v="167.62"/>
    <m/>
    <m/>
    <m/>
    <m/>
    <m/>
    <n v="167.62"/>
    <d v="2022-06-21T00:00:00"/>
    <n v="0"/>
    <n v="0"/>
    <n v="0"/>
    <n v="0"/>
    <n v="0"/>
    <n v="0"/>
    <n v="0"/>
    <x v="0"/>
    <n v="25478.240000000002"/>
    <n v="25478.240000000002"/>
    <n v="0"/>
    <n v="0"/>
    <x v="0"/>
    <x v="11"/>
  </r>
  <r>
    <s v="ORD02065"/>
    <d v="2024-02-16T00:00:00"/>
    <x v="255"/>
    <x v="255"/>
    <n v="194"/>
    <s v="INV02065"/>
    <n v="194"/>
    <n v="1178.6880000000001"/>
    <m/>
    <m/>
    <m/>
    <m/>
    <m/>
    <n v="1178.6880000000001"/>
    <d v="2023-01-04T00:00:00"/>
    <n v="0"/>
    <n v="0"/>
    <n v="0"/>
    <n v="0"/>
    <n v="0"/>
    <n v="0"/>
    <n v="0"/>
    <x v="0"/>
    <n v="228665.47200000001"/>
    <n v="228665.47200000001"/>
    <n v="0"/>
    <n v="0"/>
    <x v="0"/>
    <x v="3"/>
  </r>
  <r>
    <s v="ORD02066"/>
    <d v="2023-09-18T00:00:00"/>
    <x v="28"/>
    <x v="297"/>
    <n v="165"/>
    <s v="INV02066"/>
    <n v="165"/>
    <n v="269.95269999999999"/>
    <m/>
    <m/>
    <m/>
    <m/>
    <m/>
    <n v="269.95269999999999"/>
    <d v="2022-08-08T00:00:00"/>
    <n v="0"/>
    <n v="0"/>
    <n v="0"/>
    <n v="0"/>
    <n v="0"/>
    <n v="0"/>
    <n v="0"/>
    <x v="0"/>
    <n v="44542.195500000002"/>
    <n v="44542.195500000002"/>
    <n v="0"/>
    <n v="0"/>
    <x v="0"/>
    <x v="18"/>
  </r>
  <r>
    <s v="ORD02067"/>
    <d v="2023-01-03T00:00:00"/>
    <x v="242"/>
    <x v="267"/>
    <n v="27"/>
    <s v="INV02067"/>
    <n v="27"/>
    <n v="68.942999999999998"/>
    <m/>
    <m/>
    <m/>
    <m/>
    <m/>
    <n v="68.942999999999998"/>
    <d v="2022-12-10T00:00:00"/>
    <n v="0"/>
    <n v="0"/>
    <n v="0"/>
    <n v="0"/>
    <n v="0"/>
    <n v="0"/>
    <n v="0"/>
    <x v="0"/>
    <n v="1861.461"/>
    <n v="1861.461"/>
    <n v="0"/>
    <n v="0"/>
    <x v="0"/>
    <x v="8"/>
  </r>
  <r>
    <s v="ORD02068"/>
    <d v="2024-12-23T00:00:00"/>
    <x v="702"/>
    <x v="199"/>
    <n v="196"/>
    <s v="INV02068"/>
    <n v="196"/>
    <n v="334.24649999999997"/>
    <m/>
    <m/>
    <m/>
    <m/>
    <m/>
    <n v="334.24649999999997"/>
    <d v="2023-07-18T00:00:00"/>
    <n v="0"/>
    <n v="0"/>
    <n v="0"/>
    <n v="0"/>
    <n v="0"/>
    <n v="0"/>
    <n v="0"/>
    <x v="0"/>
    <n v="65512.313999999991"/>
    <n v="65512.313999999991"/>
    <n v="0"/>
    <n v="0"/>
    <x v="0"/>
    <x v="1"/>
  </r>
  <r>
    <s v="ORD02069"/>
    <d v="2023-02-28T00:00:00"/>
    <x v="746"/>
    <x v="3"/>
    <n v="168"/>
    <s v="INV02069"/>
    <n v="168"/>
    <n v="817.07989999999995"/>
    <m/>
    <m/>
    <m/>
    <m/>
    <m/>
    <n v="817.07989999999995"/>
    <d v="2023-01-25T00:00:00"/>
    <n v="0"/>
    <n v="0"/>
    <n v="0"/>
    <n v="0"/>
    <n v="0"/>
    <n v="0"/>
    <n v="0"/>
    <x v="0"/>
    <n v="137269.42319999999"/>
    <n v="137269.42319999999"/>
    <n v="0"/>
    <n v="0"/>
    <x v="0"/>
    <x v="11"/>
  </r>
  <r>
    <s v="ORD02070"/>
    <d v="2024-02-09T00:00:00"/>
    <x v="436"/>
    <x v="142"/>
    <n v="97"/>
    <s v="INV02070"/>
    <n v="100"/>
    <n v="752.48910000000001"/>
    <m/>
    <m/>
    <m/>
    <m/>
    <m/>
    <n v="752.48910000000001"/>
    <d v="2023-01-27T00:00:00"/>
    <n v="0"/>
    <n v="1"/>
    <n v="0"/>
    <n v="0"/>
    <n v="0"/>
    <n v="0"/>
    <n v="0"/>
    <x v="1"/>
    <n v="75248.91"/>
    <n v="72991.4427"/>
    <n v="2257.4673000000039"/>
    <n v="8"/>
    <x v="2"/>
    <x v="3"/>
  </r>
  <r>
    <s v="ORD02071"/>
    <d v="2023-06-11T00:00:00"/>
    <x v="504"/>
    <x v="184"/>
    <n v="7"/>
    <s v="INV02071"/>
    <n v="7"/>
    <n v="427.43"/>
    <m/>
    <m/>
    <m/>
    <m/>
    <m/>
    <n v="427.43"/>
    <d v="2023-05-08T00:00:00"/>
    <n v="0"/>
    <n v="0"/>
    <n v="0"/>
    <n v="0"/>
    <n v="0"/>
    <n v="0"/>
    <n v="0"/>
    <x v="0"/>
    <n v="2992.01"/>
    <n v="2992.01"/>
    <n v="0"/>
    <n v="0"/>
    <x v="0"/>
    <x v="14"/>
  </r>
  <r>
    <s v="ORD02072"/>
    <d v="2024-04-08T00:00:00"/>
    <x v="483"/>
    <x v="213"/>
    <n v="199"/>
    <s v="INV02072"/>
    <n v="199"/>
    <n v="872.7808"/>
    <m/>
    <m/>
    <m/>
    <m/>
    <m/>
    <n v="872.7808"/>
    <d v="2023-10-26T00:00:00"/>
    <n v="0"/>
    <n v="0"/>
    <n v="0"/>
    <n v="0"/>
    <n v="0"/>
    <n v="0"/>
    <n v="0"/>
    <x v="0"/>
    <n v="173683.3792"/>
    <n v="173683.3792"/>
    <n v="0"/>
    <n v="0"/>
    <x v="0"/>
    <x v="9"/>
  </r>
  <r>
    <s v="ORD02073"/>
    <d v="2023-02-12T00:00:00"/>
    <x v="102"/>
    <x v="49"/>
    <n v="54"/>
    <s v="INV02073"/>
    <n v="54"/>
    <n v="982.02"/>
    <m/>
    <m/>
    <m/>
    <m/>
    <m/>
    <n v="982.02"/>
    <d v="2022-06-19T00:00:00"/>
    <n v="0"/>
    <n v="0"/>
    <n v="0"/>
    <n v="0"/>
    <n v="0"/>
    <n v="0"/>
    <n v="0"/>
    <x v="0"/>
    <n v="53029.08"/>
    <n v="53029.08"/>
    <n v="0"/>
    <n v="0"/>
    <x v="0"/>
    <x v="11"/>
  </r>
  <r>
    <s v="ORD02074"/>
    <d v="2024-05-02T00:00:00"/>
    <x v="316"/>
    <x v="6"/>
    <n v="138"/>
    <s v="INV02074"/>
    <n v="138"/>
    <n v="700.93560000000002"/>
    <m/>
    <m/>
    <m/>
    <m/>
    <m/>
    <n v="700.93560000000002"/>
    <d v="2023-05-31T00:00:00"/>
    <n v="0"/>
    <n v="0"/>
    <n v="0"/>
    <n v="0"/>
    <n v="0"/>
    <n v="0"/>
    <n v="0"/>
    <x v="0"/>
    <n v="96729.112800000003"/>
    <n v="96729.112800000003"/>
    <n v="0"/>
    <n v="0"/>
    <x v="0"/>
    <x v="13"/>
  </r>
  <r>
    <s v="ORD02075"/>
    <d v="2023-01-30T00:00:00"/>
    <x v="156"/>
    <x v="147"/>
    <n v="50"/>
    <s v="INV02075"/>
    <n v="50"/>
    <n v="1138.74"/>
    <m/>
    <m/>
    <m/>
    <m/>
    <m/>
    <n v="1138.74"/>
    <d v="2023-01-28T00:00:00"/>
    <n v="0"/>
    <n v="0"/>
    <n v="0"/>
    <n v="0"/>
    <n v="0"/>
    <n v="0"/>
    <n v="0"/>
    <x v="0"/>
    <n v="56937"/>
    <n v="56937"/>
    <n v="0"/>
    <n v="0"/>
    <x v="0"/>
    <x v="8"/>
  </r>
  <r>
    <s v="ORD02076"/>
    <d v="2024-03-16T00:00:00"/>
    <x v="219"/>
    <x v="271"/>
    <n v="170"/>
    <s v="INV02076"/>
    <n v="170"/>
    <n v="358.33919999999995"/>
    <m/>
    <m/>
    <m/>
    <m/>
    <m/>
    <n v="358.33919999999995"/>
    <d v="2023-07-01T00:00:00"/>
    <n v="0"/>
    <n v="0"/>
    <n v="0"/>
    <n v="0"/>
    <n v="0"/>
    <n v="0"/>
    <n v="0"/>
    <x v="0"/>
    <n v="60917.66399999999"/>
    <n v="60917.66399999999"/>
    <n v="0"/>
    <n v="0"/>
    <x v="0"/>
    <x v="6"/>
  </r>
  <r>
    <s v="ORD02077"/>
    <d v="2023-12-27T00:00:00"/>
    <x v="629"/>
    <x v="155"/>
    <n v="68"/>
    <s v="INV02077"/>
    <n v="68"/>
    <n v="565.82459999999992"/>
    <n v="5"/>
    <d v="2023-04-13T00:00:00"/>
    <m/>
    <m/>
    <m/>
    <n v="565.82459999999992"/>
    <d v="2023-03-28T00:00:00"/>
    <n v="0"/>
    <n v="0"/>
    <n v="0"/>
    <n v="0"/>
    <n v="0"/>
    <n v="0"/>
    <n v="0"/>
    <x v="0"/>
    <n v="38476.072799999994"/>
    <n v="38476.072799999994"/>
    <n v="0"/>
    <n v="0"/>
    <x v="0"/>
    <x v="20"/>
  </r>
  <r>
    <s v="ORD02078"/>
    <d v="2024-01-15T00:00:00"/>
    <x v="186"/>
    <x v="170"/>
    <n v="179"/>
    <s v="INV02078"/>
    <n v="179"/>
    <n v="825.13580000000002"/>
    <m/>
    <m/>
    <m/>
    <m/>
    <m/>
    <n v="825.13580000000002"/>
    <d v="2023-03-13T00:00:00"/>
    <n v="0"/>
    <n v="0"/>
    <n v="0"/>
    <n v="0"/>
    <n v="0"/>
    <n v="0"/>
    <n v="0"/>
    <x v="0"/>
    <n v="147699.3082"/>
    <n v="147699.3082"/>
    <n v="0"/>
    <n v="0"/>
    <x v="0"/>
    <x v="15"/>
  </r>
  <r>
    <s v="ORD02079"/>
    <d v="2024-06-14T00:00:00"/>
    <x v="648"/>
    <x v="173"/>
    <n v="122"/>
    <s v="INV02079"/>
    <n v="122"/>
    <n v="539.57150000000001"/>
    <m/>
    <m/>
    <m/>
    <m/>
    <m/>
    <n v="539.57150000000001"/>
    <d v="2023-09-22T00:00:00"/>
    <n v="0"/>
    <n v="0"/>
    <n v="0"/>
    <n v="0"/>
    <n v="0"/>
    <n v="0"/>
    <n v="0"/>
    <x v="0"/>
    <n v="65827.722999999998"/>
    <n v="65827.722999999998"/>
    <n v="0"/>
    <n v="0"/>
    <x v="0"/>
    <x v="16"/>
  </r>
  <r>
    <s v="ORD02080"/>
    <d v="2024-06-11T00:00:00"/>
    <x v="565"/>
    <x v="221"/>
    <n v="119"/>
    <s v="INV02080"/>
    <n v="119"/>
    <n v="690.05370000000005"/>
    <m/>
    <m/>
    <m/>
    <m/>
    <m/>
    <n v="690.05370000000005"/>
    <d v="2023-02-19T00:00:00"/>
    <n v="0"/>
    <n v="0"/>
    <n v="0"/>
    <n v="0"/>
    <n v="0"/>
    <n v="0"/>
    <n v="0"/>
    <x v="0"/>
    <n v="82116.390299999999"/>
    <n v="82116.390299999999"/>
    <n v="0"/>
    <n v="0"/>
    <x v="0"/>
    <x v="16"/>
  </r>
  <r>
    <s v="ORD02081"/>
    <d v="2024-04-15T00:00:00"/>
    <x v="213"/>
    <x v="218"/>
    <n v="157"/>
    <s v="INV02081"/>
    <n v="157"/>
    <n v="960.85850000000005"/>
    <m/>
    <m/>
    <m/>
    <m/>
    <m/>
    <n v="960.85850000000005"/>
    <d v="2023-05-03T00:00:00"/>
    <n v="0"/>
    <n v="0"/>
    <n v="0"/>
    <n v="0"/>
    <n v="0"/>
    <n v="0"/>
    <n v="0"/>
    <x v="0"/>
    <n v="150854.78450000001"/>
    <n v="150854.78450000001"/>
    <n v="0"/>
    <n v="0"/>
    <x v="0"/>
    <x v="9"/>
  </r>
  <r>
    <s v="ORD02082"/>
    <d v="2024-02-28T00:00:00"/>
    <x v="470"/>
    <x v="164"/>
    <n v="140"/>
    <s v="INV02082"/>
    <n v="140"/>
    <n v="709.52"/>
    <m/>
    <m/>
    <m/>
    <m/>
    <m/>
    <n v="709.52"/>
    <d v="2023-01-26T00:00:00"/>
    <n v="0"/>
    <n v="0"/>
    <n v="0"/>
    <n v="0"/>
    <n v="0"/>
    <n v="0"/>
    <n v="0"/>
    <x v="0"/>
    <n v="99332.800000000003"/>
    <n v="99332.800000000003"/>
    <n v="0"/>
    <n v="0"/>
    <x v="0"/>
    <x v="3"/>
  </r>
  <r>
    <s v="ORD02083"/>
    <d v="2023-10-25T00:00:00"/>
    <x v="523"/>
    <x v="135"/>
    <n v="188"/>
    <s v="INV02083"/>
    <n v="188"/>
    <n v="1231.8180000000002"/>
    <m/>
    <m/>
    <m/>
    <m/>
    <m/>
    <n v="1231.8180000000002"/>
    <d v="2023-05-02T00:00:00"/>
    <n v="0"/>
    <n v="0"/>
    <n v="0"/>
    <n v="0"/>
    <n v="0"/>
    <n v="0"/>
    <n v="0"/>
    <x v="0"/>
    <n v="231581.78400000004"/>
    <n v="231581.78400000004"/>
    <n v="0"/>
    <n v="0"/>
    <x v="0"/>
    <x v="19"/>
  </r>
  <r>
    <s v="ORD02084"/>
    <d v="2023-06-10T00:00:00"/>
    <x v="398"/>
    <x v="9"/>
    <n v="51"/>
    <s v="INV02084"/>
    <n v="51"/>
    <n v="397.40159999999997"/>
    <m/>
    <m/>
    <m/>
    <m/>
    <m/>
    <n v="397.40159999999997"/>
    <d v="2023-04-05T00:00:00"/>
    <n v="0"/>
    <n v="0"/>
    <n v="0"/>
    <n v="0"/>
    <n v="0"/>
    <n v="0"/>
    <n v="0"/>
    <x v="0"/>
    <n v="20267.481599999999"/>
    <n v="20267.481599999999"/>
    <n v="0"/>
    <n v="0"/>
    <x v="0"/>
    <x v="14"/>
  </r>
  <r>
    <s v="ORD02085"/>
    <d v="2024-02-29T00:00:00"/>
    <x v="73"/>
    <x v="36"/>
    <n v="8"/>
    <s v="INV02085"/>
    <n v="8"/>
    <n v="415.70589999999999"/>
    <m/>
    <m/>
    <m/>
    <m/>
    <m/>
    <n v="415.70589999999999"/>
    <d v="2023-03-04T00:00:00"/>
    <n v="0"/>
    <n v="0"/>
    <n v="0"/>
    <n v="0"/>
    <n v="0"/>
    <n v="0"/>
    <n v="0"/>
    <x v="0"/>
    <n v="3325.6471999999999"/>
    <n v="3325.6471999999999"/>
    <n v="0"/>
    <n v="0"/>
    <x v="0"/>
    <x v="3"/>
  </r>
  <r>
    <s v="ORD02086"/>
    <d v="2024-10-09T00:00:00"/>
    <x v="22"/>
    <x v="143"/>
    <n v="185"/>
    <s v="INV02086"/>
    <n v="185"/>
    <n v="893.8972"/>
    <m/>
    <m/>
    <m/>
    <m/>
    <m/>
    <n v="893.8972"/>
    <d v="2023-05-03T00:00:00"/>
    <n v="0"/>
    <n v="0"/>
    <n v="0"/>
    <n v="0"/>
    <n v="0"/>
    <n v="0"/>
    <n v="0"/>
    <x v="0"/>
    <n v="165370.98199999999"/>
    <n v="165370.98199999999"/>
    <n v="0"/>
    <n v="0"/>
    <x v="0"/>
    <x v="5"/>
  </r>
  <r>
    <s v="ORD02087"/>
    <d v="2023-06-09T00:00:00"/>
    <x v="101"/>
    <x v="252"/>
    <n v="8"/>
    <s v="INV02087"/>
    <n v="8"/>
    <n v="752.34559999999999"/>
    <m/>
    <m/>
    <m/>
    <m/>
    <m/>
    <n v="752.34559999999999"/>
    <d v="2022-12-05T00:00:00"/>
    <n v="0"/>
    <n v="0"/>
    <n v="0"/>
    <n v="0"/>
    <n v="0"/>
    <n v="0"/>
    <n v="0"/>
    <x v="0"/>
    <n v="6018.7647999999999"/>
    <n v="6018.7647999999999"/>
    <n v="0"/>
    <n v="0"/>
    <x v="0"/>
    <x v="14"/>
  </r>
  <r>
    <s v="ORD02088"/>
    <d v="2023-04-24T00:00:00"/>
    <x v="635"/>
    <x v="72"/>
    <n v="125"/>
    <s v="INV02088"/>
    <n v="125"/>
    <n v="754.02560000000005"/>
    <m/>
    <m/>
    <m/>
    <m/>
    <m/>
    <n v="754.02560000000005"/>
    <d v="2023-01-23T00:00:00"/>
    <n v="0"/>
    <n v="0"/>
    <n v="0"/>
    <n v="0"/>
    <n v="0"/>
    <n v="0"/>
    <n v="0"/>
    <x v="0"/>
    <n v="94253.200000000012"/>
    <n v="94253.200000000012"/>
    <n v="0"/>
    <n v="0"/>
    <x v="0"/>
    <x v="23"/>
  </r>
  <r>
    <s v="ORD02089"/>
    <d v="2024-02-07T00:00:00"/>
    <x v="32"/>
    <x v="34"/>
    <n v="17"/>
    <s v="INV02089"/>
    <n v="17"/>
    <n v="397.19560000000001"/>
    <m/>
    <m/>
    <m/>
    <m/>
    <m/>
    <n v="397.19560000000001"/>
    <d v="2023-01-06T00:00:00"/>
    <n v="0"/>
    <n v="0"/>
    <n v="0"/>
    <n v="0"/>
    <n v="0"/>
    <n v="0"/>
    <n v="0"/>
    <x v="0"/>
    <n v="6752.3252000000002"/>
    <n v="6752.3252000000002"/>
    <n v="0"/>
    <n v="0"/>
    <x v="0"/>
    <x v="3"/>
  </r>
  <r>
    <s v="ORD02090"/>
    <d v="2023-10-23T00:00:00"/>
    <x v="423"/>
    <x v="98"/>
    <n v="98"/>
    <s v="INV02090"/>
    <n v="98"/>
    <n v="1119.6587000000002"/>
    <m/>
    <m/>
    <m/>
    <m/>
    <m/>
    <n v="1119.6587000000002"/>
    <d v="2023-08-09T00:00:00"/>
    <n v="0"/>
    <n v="0"/>
    <n v="0"/>
    <n v="0"/>
    <n v="0"/>
    <n v="0"/>
    <n v="0"/>
    <x v="0"/>
    <n v="109726.55260000002"/>
    <n v="109726.55260000002"/>
    <n v="0"/>
    <n v="0"/>
    <x v="0"/>
    <x v="19"/>
  </r>
  <r>
    <s v="ORD02091"/>
    <d v="2023-03-01T00:00:00"/>
    <x v="391"/>
    <x v="274"/>
    <n v="84"/>
    <s v="INV02091"/>
    <n v="84"/>
    <n v="596.07000000000005"/>
    <m/>
    <m/>
    <m/>
    <m/>
    <m/>
    <n v="596.07000000000005"/>
    <d v="2023-02-27T00:00:00"/>
    <n v="0"/>
    <n v="0"/>
    <n v="0"/>
    <n v="0"/>
    <n v="0"/>
    <n v="0"/>
    <n v="0"/>
    <x v="0"/>
    <n v="50069.880000000005"/>
    <n v="50069.880000000005"/>
    <n v="0"/>
    <n v="0"/>
    <x v="0"/>
    <x v="17"/>
  </r>
  <r>
    <s v="ORD02092"/>
    <d v="2024-01-01T00:00:00"/>
    <x v="625"/>
    <x v="296"/>
    <n v="148"/>
    <s v="INV02092"/>
    <n v="148"/>
    <n v="724.16120000000001"/>
    <n v="7"/>
    <d v="2025-01-20T00:00:00"/>
    <m/>
    <m/>
    <m/>
    <n v="724.16120000000001"/>
    <d v="2023-04-28T00:00:00"/>
    <n v="0"/>
    <n v="0"/>
    <n v="0"/>
    <n v="0"/>
    <n v="0"/>
    <n v="1"/>
    <n v="0"/>
    <x v="1"/>
    <n v="107175.8576"/>
    <n v="107175.8576"/>
    <n v="0"/>
    <n v="2"/>
    <x v="1"/>
    <x v="15"/>
  </r>
  <r>
    <s v="ORD02093"/>
    <d v="2024-06-09T00:00:00"/>
    <x v="419"/>
    <x v="284"/>
    <n v="110"/>
    <s v="INV02093"/>
    <n v="110"/>
    <n v="1032.7408"/>
    <m/>
    <m/>
    <m/>
    <m/>
    <m/>
    <n v="1032.7408"/>
    <d v="2023-05-31T00:00:00"/>
    <n v="0"/>
    <n v="0"/>
    <n v="0"/>
    <n v="0"/>
    <n v="0"/>
    <n v="0"/>
    <n v="0"/>
    <x v="0"/>
    <n v="113601.488"/>
    <n v="113601.488"/>
    <n v="0"/>
    <n v="0"/>
    <x v="0"/>
    <x v="16"/>
  </r>
  <r>
    <s v="ORD02094"/>
    <d v="2023-12-09T00:00:00"/>
    <x v="566"/>
    <x v="7"/>
    <n v="30"/>
    <s v="INV02094"/>
    <n v="30"/>
    <n v="510.91840000000002"/>
    <m/>
    <m/>
    <m/>
    <m/>
    <m/>
    <n v="510.91840000000002"/>
    <d v="2023-02-24T00:00:00"/>
    <n v="0"/>
    <n v="0"/>
    <n v="0"/>
    <n v="0"/>
    <n v="0"/>
    <n v="0"/>
    <n v="0"/>
    <x v="0"/>
    <n v="15327.552"/>
    <n v="15327.552"/>
    <n v="0"/>
    <n v="0"/>
    <x v="0"/>
    <x v="20"/>
  </r>
  <r>
    <s v="ORD02095"/>
    <d v="2023-03-08T00:00:00"/>
    <x v="612"/>
    <x v="161"/>
    <n v="11"/>
    <s v="INV02095"/>
    <n v="11"/>
    <n v="1016.7027"/>
    <m/>
    <m/>
    <m/>
    <m/>
    <m/>
    <n v="1016.7027"/>
    <d v="2023-01-29T00:00:00"/>
    <n v="0"/>
    <n v="0"/>
    <n v="0"/>
    <n v="0"/>
    <n v="0"/>
    <n v="0"/>
    <n v="0"/>
    <x v="0"/>
    <n v="11183.7297"/>
    <n v="11183.7297"/>
    <n v="0"/>
    <n v="0"/>
    <x v="0"/>
    <x v="17"/>
  </r>
  <r>
    <s v="ORD02096"/>
    <d v="2024-01-30T00:00:00"/>
    <x v="501"/>
    <x v="249"/>
    <n v="188"/>
    <s v="INV02096"/>
    <n v="188"/>
    <n v="901.84500000000003"/>
    <m/>
    <m/>
    <m/>
    <m/>
    <m/>
    <n v="901.84500000000003"/>
    <d v="2023-10-17T00:00:00"/>
    <n v="0"/>
    <n v="0"/>
    <n v="0"/>
    <n v="0"/>
    <n v="0"/>
    <n v="0"/>
    <n v="0"/>
    <x v="0"/>
    <n v="169546.86000000002"/>
    <n v="169546.86000000002"/>
    <n v="0"/>
    <n v="0"/>
    <x v="0"/>
    <x v="15"/>
  </r>
  <r>
    <s v="ORD02097"/>
    <d v="2024-10-05T00:00:00"/>
    <x v="462"/>
    <x v="147"/>
    <n v="65"/>
    <s v="INV02097"/>
    <n v="65"/>
    <n v="1195.6769999999999"/>
    <m/>
    <m/>
    <m/>
    <m/>
    <m/>
    <n v="1195.6769999999999"/>
    <d v="2023-03-25T00:00:00"/>
    <n v="0"/>
    <n v="0"/>
    <n v="0"/>
    <n v="0"/>
    <n v="0"/>
    <n v="0"/>
    <n v="0"/>
    <x v="0"/>
    <n v="77719.00499999999"/>
    <n v="77719.00499999999"/>
    <n v="0"/>
    <n v="0"/>
    <x v="0"/>
    <x v="5"/>
  </r>
  <r>
    <s v="ORD02098"/>
    <d v="2023-11-13T00:00:00"/>
    <x v="8"/>
    <x v="162"/>
    <n v="173"/>
    <s v="INV02098"/>
    <n v="173"/>
    <n v="571.32999999999993"/>
    <m/>
    <m/>
    <m/>
    <m/>
    <m/>
    <n v="571.32999999999993"/>
    <d v="2023-10-07T00:00:00"/>
    <n v="0"/>
    <n v="0"/>
    <n v="0"/>
    <n v="0"/>
    <n v="0"/>
    <n v="0"/>
    <n v="0"/>
    <x v="0"/>
    <n v="98840.089999999982"/>
    <n v="98840.089999999982"/>
    <n v="0"/>
    <n v="0"/>
    <x v="0"/>
    <x v="0"/>
  </r>
  <r>
    <s v="ORD02099"/>
    <d v="2023-01-08T00:00:00"/>
    <x v="199"/>
    <x v="8"/>
    <n v="30"/>
    <s v="INV02099"/>
    <n v="30"/>
    <n v="365.95330000000001"/>
    <m/>
    <m/>
    <m/>
    <m/>
    <m/>
    <n v="365.95330000000001"/>
    <d v="2022-09-20T00:00:00"/>
    <n v="0"/>
    <n v="0"/>
    <n v="0"/>
    <n v="0"/>
    <n v="0"/>
    <n v="0"/>
    <n v="0"/>
    <x v="0"/>
    <n v="10978.599"/>
    <n v="10978.599"/>
    <n v="0"/>
    <n v="0"/>
    <x v="0"/>
    <x v="8"/>
  </r>
  <r>
    <s v="ORD02100"/>
    <d v="2023-09-12T00:00:00"/>
    <x v="249"/>
    <x v="136"/>
    <n v="103"/>
    <s v="INV02100"/>
    <n v="112"/>
    <n v="216.2484"/>
    <m/>
    <m/>
    <m/>
    <m/>
    <m/>
    <n v="216.2484"/>
    <d v="2023-01-18T00:00:00"/>
    <n v="0"/>
    <n v="1"/>
    <n v="0"/>
    <n v="0"/>
    <n v="0"/>
    <n v="0"/>
    <n v="0"/>
    <x v="1"/>
    <n v="24219.820800000001"/>
    <n v="22273.585200000001"/>
    <n v="1946.2356"/>
    <n v="8"/>
    <x v="2"/>
    <x v="18"/>
  </r>
  <r>
    <s v="ORD02101"/>
    <d v="2023-02-13T00:00:00"/>
    <x v="703"/>
    <x v="291"/>
    <n v="10"/>
    <s v="INV02101"/>
    <n v="10"/>
    <n v="998.12520000000018"/>
    <m/>
    <m/>
    <m/>
    <m/>
    <m/>
    <n v="998.12520000000018"/>
    <d v="2023-02-06T00:00:00"/>
    <n v="0"/>
    <n v="0"/>
    <n v="0"/>
    <n v="0"/>
    <n v="0"/>
    <n v="0"/>
    <n v="0"/>
    <x v="0"/>
    <n v="9981.2520000000022"/>
    <n v="9981.2520000000022"/>
    <n v="0"/>
    <n v="0"/>
    <x v="0"/>
    <x v="11"/>
  </r>
  <r>
    <s v="ORD02102"/>
    <d v="2023-02-14T00:00:00"/>
    <x v="495"/>
    <x v="54"/>
    <n v="14"/>
    <s v="INV02102"/>
    <n v="14"/>
    <n v="456.09"/>
    <m/>
    <m/>
    <m/>
    <m/>
    <m/>
    <n v="456.09"/>
    <d v="2022-04-27T00:00:00"/>
    <n v="0"/>
    <n v="0"/>
    <n v="0"/>
    <n v="0"/>
    <n v="0"/>
    <n v="0"/>
    <n v="0"/>
    <x v="0"/>
    <n v="6385.2599999999993"/>
    <n v="6385.2599999999993"/>
    <n v="0"/>
    <n v="0"/>
    <x v="0"/>
    <x v="11"/>
  </r>
  <r>
    <s v="ORD02103"/>
    <d v="2023-08-08T00:00:00"/>
    <x v="223"/>
    <x v="92"/>
    <n v="107"/>
    <s v="INV02103"/>
    <n v="107"/>
    <n v="859.25750000000005"/>
    <m/>
    <m/>
    <m/>
    <m/>
    <m/>
    <n v="859.25750000000005"/>
    <d v="2022-08-09T00:00:00"/>
    <n v="0"/>
    <n v="0"/>
    <n v="0"/>
    <n v="0"/>
    <n v="0"/>
    <n v="0"/>
    <n v="0"/>
    <x v="0"/>
    <n v="91940.552500000005"/>
    <n v="91940.552500000005"/>
    <n v="0"/>
    <n v="0"/>
    <x v="0"/>
    <x v="12"/>
  </r>
  <r>
    <s v="ORD02104"/>
    <d v="2024-01-29T00:00:00"/>
    <x v="230"/>
    <x v="132"/>
    <n v="94"/>
    <s v="INV02104"/>
    <n v="94"/>
    <n v="744.44590000000005"/>
    <m/>
    <m/>
    <m/>
    <m/>
    <m/>
    <n v="744.44590000000005"/>
    <d v="2023-03-23T00:00:00"/>
    <n v="0"/>
    <n v="0"/>
    <n v="0"/>
    <n v="0"/>
    <n v="0"/>
    <n v="0"/>
    <n v="0"/>
    <x v="0"/>
    <n v="69977.914600000004"/>
    <n v="69977.914600000004"/>
    <n v="0"/>
    <n v="0"/>
    <x v="0"/>
    <x v="15"/>
  </r>
  <r>
    <s v="ORD02105"/>
    <d v="2023-08-25T00:00:00"/>
    <x v="239"/>
    <x v="275"/>
    <n v="86"/>
    <s v="INV02105"/>
    <n v="86"/>
    <n v="797.23339999999996"/>
    <m/>
    <m/>
    <m/>
    <m/>
    <m/>
    <n v="797.23339999999996"/>
    <d v="2023-06-08T00:00:00"/>
    <n v="0"/>
    <n v="0"/>
    <n v="0"/>
    <n v="0"/>
    <n v="0"/>
    <n v="0"/>
    <n v="0"/>
    <x v="0"/>
    <n v="68562.07239999999"/>
    <n v="68562.07239999999"/>
    <n v="0"/>
    <n v="0"/>
    <x v="0"/>
    <x v="12"/>
  </r>
  <r>
    <s v="ORD02106"/>
    <d v="2024-03-16T00:00:00"/>
    <x v="555"/>
    <x v="75"/>
    <n v="169"/>
    <s v="INV02106"/>
    <n v="169"/>
    <n v="492.38400000000001"/>
    <m/>
    <m/>
    <m/>
    <m/>
    <m/>
    <n v="492.38400000000001"/>
    <d v="2023-02-09T00:00:00"/>
    <n v="0"/>
    <n v="0"/>
    <n v="0"/>
    <n v="0"/>
    <n v="0"/>
    <n v="0"/>
    <n v="0"/>
    <x v="0"/>
    <n v="83212.896000000008"/>
    <n v="83212.896000000008"/>
    <n v="0"/>
    <n v="0"/>
    <x v="0"/>
    <x v="6"/>
  </r>
  <r>
    <s v="ORD02107"/>
    <d v="2024-08-03T00:00:00"/>
    <x v="747"/>
    <x v="218"/>
    <n v="127"/>
    <s v="INV02107"/>
    <n v="127"/>
    <n v="960.85850000000005"/>
    <m/>
    <m/>
    <m/>
    <m/>
    <m/>
    <n v="960.85850000000005"/>
    <d v="2023-05-03T00:00:00"/>
    <n v="0"/>
    <n v="0"/>
    <n v="0"/>
    <n v="0"/>
    <n v="0"/>
    <n v="0"/>
    <n v="0"/>
    <x v="0"/>
    <n v="122029.0295"/>
    <n v="122029.0295"/>
    <n v="0"/>
    <n v="0"/>
    <x v="0"/>
    <x v="22"/>
  </r>
  <r>
    <s v="ORD02108"/>
    <d v="2023-11-02T00:00:00"/>
    <x v="493"/>
    <x v="120"/>
    <n v="152"/>
    <s v="INV02108"/>
    <n v="152"/>
    <n v="990.40954436083621"/>
    <m/>
    <m/>
    <m/>
    <m/>
    <m/>
    <n v="989.96579999999994"/>
    <d v="2023-02-18T00:00:00"/>
    <n v="0"/>
    <n v="0"/>
    <n v="1"/>
    <n v="0"/>
    <n v="0"/>
    <n v="0"/>
    <n v="0"/>
    <x v="1"/>
    <n v="150542.2507428471"/>
    <n v="150474.80160000001"/>
    <n v="67.449142847093754"/>
    <n v="4"/>
    <x v="1"/>
    <x v="0"/>
  </r>
  <r>
    <s v="ORD02109"/>
    <d v="2023-02-18T00:00:00"/>
    <x v="49"/>
    <x v="242"/>
    <n v="166"/>
    <s v="INV02109"/>
    <n v="166"/>
    <n v="1110.93"/>
    <m/>
    <m/>
    <m/>
    <m/>
    <m/>
    <n v="1110.93"/>
    <d v="2022-06-15T00:00:00"/>
    <n v="0"/>
    <n v="0"/>
    <n v="0"/>
    <n v="0"/>
    <n v="0"/>
    <n v="0"/>
    <n v="0"/>
    <x v="0"/>
    <n v="184414.38"/>
    <n v="184414.38"/>
    <n v="0"/>
    <n v="0"/>
    <x v="0"/>
    <x v="11"/>
  </r>
  <r>
    <s v="ORD02110"/>
    <d v="2024-11-15T00:00:00"/>
    <x v="599"/>
    <x v="37"/>
    <n v="106"/>
    <s v="INV02110"/>
    <n v="106"/>
    <n v="637.18399999999997"/>
    <m/>
    <m/>
    <m/>
    <m/>
    <m/>
    <n v="637.18399999999997"/>
    <d v="2023-09-06T00:00:00"/>
    <n v="0"/>
    <n v="0"/>
    <n v="0"/>
    <n v="0"/>
    <n v="0"/>
    <n v="0"/>
    <n v="0"/>
    <x v="0"/>
    <n v="67541.504000000001"/>
    <n v="67541.504000000001"/>
    <n v="0"/>
    <n v="0"/>
    <x v="0"/>
    <x v="4"/>
  </r>
  <r>
    <s v="ORD02111"/>
    <d v="2024-03-11T00:00:00"/>
    <x v="412"/>
    <x v="263"/>
    <n v="69"/>
    <s v="INV02111"/>
    <n v="69"/>
    <n v="599.90620000000001"/>
    <m/>
    <m/>
    <m/>
    <m/>
    <m/>
    <n v="599.90620000000001"/>
    <d v="2023-05-14T00:00:00"/>
    <n v="0"/>
    <n v="0"/>
    <n v="0"/>
    <n v="0"/>
    <n v="0"/>
    <n v="0"/>
    <n v="0"/>
    <x v="0"/>
    <n v="41393.527800000003"/>
    <n v="41393.527800000003"/>
    <n v="0"/>
    <n v="0"/>
    <x v="0"/>
    <x v="6"/>
  </r>
  <r>
    <s v="ORD02112"/>
    <d v="2023-05-06T00:00:00"/>
    <x v="561"/>
    <x v="146"/>
    <n v="19"/>
    <s v="INV02112"/>
    <n v="19"/>
    <n v="436.9466000000001"/>
    <m/>
    <m/>
    <m/>
    <m/>
    <m/>
    <n v="436.9466000000001"/>
    <d v="2022-07-22T00:00:00"/>
    <n v="0"/>
    <n v="0"/>
    <n v="0"/>
    <n v="0"/>
    <n v="0"/>
    <n v="0"/>
    <n v="0"/>
    <x v="0"/>
    <n v="8301.9854000000014"/>
    <n v="8301.9854000000014"/>
    <n v="0"/>
    <n v="0"/>
    <x v="0"/>
    <x v="7"/>
  </r>
  <r>
    <s v="ORD02113"/>
    <d v="2024-01-23T00:00:00"/>
    <x v="427"/>
    <x v="136"/>
    <n v="94"/>
    <s v="INV02113"/>
    <n v="94"/>
    <n v="216.2484"/>
    <m/>
    <m/>
    <m/>
    <m/>
    <m/>
    <n v="216.2484"/>
    <d v="2023-01-18T00:00:00"/>
    <n v="0"/>
    <n v="0"/>
    <n v="0"/>
    <n v="0"/>
    <n v="0"/>
    <n v="0"/>
    <n v="0"/>
    <x v="0"/>
    <n v="20327.349600000001"/>
    <n v="20327.349600000001"/>
    <n v="0"/>
    <n v="0"/>
    <x v="0"/>
    <x v="15"/>
  </r>
  <r>
    <s v="ORD02114"/>
    <d v="2024-02-18T00:00:00"/>
    <x v="125"/>
    <x v="29"/>
    <n v="74"/>
    <s v="INV02114"/>
    <n v="74"/>
    <n v="1103.0465999999999"/>
    <m/>
    <m/>
    <m/>
    <m/>
    <m/>
    <n v="1103.0465999999999"/>
    <d v="2023-10-15T00:00:00"/>
    <n v="0"/>
    <n v="0"/>
    <n v="0"/>
    <n v="0"/>
    <n v="0"/>
    <n v="0"/>
    <n v="0"/>
    <x v="0"/>
    <n v="81625.448399999994"/>
    <n v="81625.448399999994"/>
    <n v="0"/>
    <n v="0"/>
    <x v="0"/>
    <x v="3"/>
  </r>
  <r>
    <s v="ORD02115"/>
    <d v="2023-02-18T00:00:00"/>
    <x v="217"/>
    <x v="225"/>
    <n v="125"/>
    <s v="INV02115"/>
    <n v="125"/>
    <n v="302.05259999999998"/>
    <m/>
    <m/>
    <m/>
    <m/>
    <m/>
    <n v="302.05259999999998"/>
    <d v="2023-01-19T00:00:00"/>
    <n v="0"/>
    <n v="0"/>
    <n v="0"/>
    <n v="0"/>
    <n v="0"/>
    <n v="0"/>
    <n v="0"/>
    <x v="0"/>
    <n v="37756.574999999997"/>
    <n v="37756.574999999997"/>
    <n v="0"/>
    <n v="0"/>
    <x v="0"/>
    <x v="11"/>
  </r>
  <r>
    <s v="ORD02116"/>
    <d v="2024-01-17T00:00:00"/>
    <x v="399"/>
    <x v="59"/>
    <n v="56"/>
    <s v="INV02116"/>
    <n v="56"/>
    <n v="942.54840000000013"/>
    <n v="2"/>
    <d v="2024-06-08T00:00:00"/>
    <m/>
    <m/>
    <m/>
    <n v="942.54840000000013"/>
    <d v="2023-06-09T00:00:00"/>
    <n v="0"/>
    <n v="0"/>
    <n v="0"/>
    <n v="0"/>
    <n v="0"/>
    <n v="1"/>
    <n v="0"/>
    <x v="1"/>
    <n v="52782.710400000011"/>
    <n v="52782.710400000011"/>
    <n v="0"/>
    <n v="2"/>
    <x v="1"/>
    <x v="15"/>
  </r>
  <r>
    <s v="ORD02117"/>
    <d v="2024-03-28T00:00:00"/>
    <x v="320"/>
    <x v="181"/>
    <n v="40"/>
    <s v="INV02117"/>
    <n v="40"/>
    <n v="796.53"/>
    <m/>
    <m/>
    <m/>
    <m/>
    <m/>
    <n v="796.53"/>
    <d v="2023-09-03T00:00:00"/>
    <n v="0"/>
    <n v="0"/>
    <n v="0"/>
    <n v="0"/>
    <n v="0"/>
    <n v="0"/>
    <n v="0"/>
    <x v="0"/>
    <n v="31861.199999999997"/>
    <n v="31861.199999999997"/>
    <n v="0"/>
    <n v="0"/>
    <x v="0"/>
    <x v="6"/>
  </r>
  <r>
    <s v="ORD02118"/>
    <d v="2024-08-13T00:00:00"/>
    <x v="677"/>
    <x v="35"/>
    <n v="54"/>
    <s v="INV02118"/>
    <n v="54"/>
    <n v="1120.6556"/>
    <m/>
    <m/>
    <m/>
    <m/>
    <m/>
    <n v="1120.6556"/>
    <d v="2023-04-10T00:00:00"/>
    <n v="0"/>
    <n v="0"/>
    <n v="0"/>
    <n v="0"/>
    <n v="0"/>
    <n v="0"/>
    <n v="0"/>
    <x v="0"/>
    <n v="60515.402400000006"/>
    <n v="60515.402400000006"/>
    <n v="0"/>
    <n v="0"/>
    <x v="0"/>
    <x v="22"/>
  </r>
  <r>
    <s v="ORD02119"/>
    <d v="2023-02-11T00:00:00"/>
    <x v="158"/>
    <x v="65"/>
    <n v="51"/>
    <s v="INV02119"/>
    <n v="51"/>
    <n v="660.96040000000005"/>
    <n v="20"/>
    <d v="2024-02-23T00:00:00"/>
    <m/>
    <m/>
    <m/>
    <n v="660.96040000000005"/>
    <d v="2023-01-21T00:00:00"/>
    <n v="0"/>
    <n v="0"/>
    <n v="0"/>
    <n v="0"/>
    <n v="0"/>
    <n v="1"/>
    <n v="0"/>
    <x v="1"/>
    <n v="33708.9804"/>
    <n v="33708.9804"/>
    <n v="0"/>
    <n v="2"/>
    <x v="1"/>
    <x v="11"/>
  </r>
  <r>
    <s v="ORD02120"/>
    <d v="2023-10-14T00:00:00"/>
    <x v="101"/>
    <x v="70"/>
    <n v="118"/>
    <s v="INV02120"/>
    <n v="118"/>
    <n v="68.572800000000001"/>
    <m/>
    <m/>
    <m/>
    <m/>
    <m/>
    <n v="68.572800000000001"/>
    <d v="2023-06-21T00:00:00"/>
    <n v="0"/>
    <n v="0"/>
    <n v="0"/>
    <n v="0"/>
    <n v="0"/>
    <n v="0"/>
    <n v="0"/>
    <x v="0"/>
    <n v="8091.5904"/>
    <n v="8091.5904"/>
    <n v="0"/>
    <n v="0"/>
    <x v="0"/>
    <x v="19"/>
  </r>
  <r>
    <s v="ORD02121"/>
    <d v="2024-03-12T00:00:00"/>
    <x v="88"/>
    <x v="76"/>
    <n v="124"/>
    <s v="INV02121"/>
    <n v="124"/>
    <n v="1114.2336"/>
    <m/>
    <m/>
    <m/>
    <m/>
    <m/>
    <n v="1114.2336"/>
    <d v="2023-08-03T00:00:00"/>
    <n v="0"/>
    <n v="0"/>
    <n v="0"/>
    <n v="0"/>
    <n v="0"/>
    <n v="0"/>
    <n v="0"/>
    <x v="0"/>
    <n v="138164.9664"/>
    <n v="138164.9664"/>
    <n v="0"/>
    <n v="0"/>
    <x v="0"/>
    <x v="6"/>
  </r>
  <r>
    <s v="ORD02122"/>
    <d v="2023-03-04T00:00:00"/>
    <x v="459"/>
    <x v="62"/>
    <n v="26"/>
    <s v="INV02122"/>
    <n v="26"/>
    <n v="1136.92"/>
    <m/>
    <m/>
    <m/>
    <m/>
    <m/>
    <n v="1136.92"/>
    <d v="2022-03-06T00:00:00"/>
    <n v="0"/>
    <n v="0"/>
    <n v="0"/>
    <n v="0"/>
    <n v="0"/>
    <n v="0"/>
    <n v="0"/>
    <x v="0"/>
    <n v="29559.920000000002"/>
    <n v="29559.920000000002"/>
    <n v="0"/>
    <n v="0"/>
    <x v="0"/>
    <x v="17"/>
  </r>
  <r>
    <s v="ORD02123"/>
    <d v="2023-12-16T00:00:00"/>
    <x v="748"/>
    <x v="157"/>
    <n v="67"/>
    <s v="INV02123"/>
    <n v="67"/>
    <n v="1158.2643"/>
    <m/>
    <m/>
    <m/>
    <m/>
    <m/>
    <n v="1158.2643"/>
    <d v="2023-07-12T00:00:00"/>
    <n v="0"/>
    <n v="0"/>
    <n v="0"/>
    <n v="0"/>
    <n v="0"/>
    <n v="0"/>
    <n v="0"/>
    <x v="0"/>
    <n v="77603.708100000003"/>
    <n v="77603.708100000003"/>
    <n v="0"/>
    <n v="0"/>
    <x v="0"/>
    <x v="20"/>
  </r>
  <r>
    <s v="ORD02124"/>
    <d v="2023-02-16T00:00:00"/>
    <x v="70"/>
    <x v="8"/>
    <n v="189"/>
    <s v="INV02124"/>
    <n v="189"/>
    <n v="365.95330000000001"/>
    <m/>
    <m/>
    <m/>
    <m/>
    <m/>
    <n v="365.95330000000001"/>
    <d v="2022-09-20T00:00:00"/>
    <n v="0"/>
    <n v="0"/>
    <n v="0"/>
    <n v="0"/>
    <n v="0"/>
    <n v="0"/>
    <n v="0"/>
    <x v="0"/>
    <n v="69165.173699999999"/>
    <n v="69165.173699999999"/>
    <n v="0"/>
    <n v="0"/>
    <x v="0"/>
    <x v="11"/>
  </r>
  <r>
    <s v="ORD02125"/>
    <d v="2023-02-03T00:00:00"/>
    <x v="500"/>
    <x v="262"/>
    <n v="88"/>
    <s v="INV02125"/>
    <n v="88"/>
    <n v="249.22"/>
    <m/>
    <m/>
    <m/>
    <m/>
    <m/>
    <n v="249.22"/>
    <d v="2022-10-03T00:00:00"/>
    <n v="0"/>
    <n v="0"/>
    <n v="0"/>
    <n v="0"/>
    <n v="0"/>
    <n v="0"/>
    <n v="0"/>
    <x v="0"/>
    <n v="21931.360000000001"/>
    <n v="21931.360000000001"/>
    <n v="0"/>
    <n v="0"/>
    <x v="0"/>
    <x v="11"/>
  </r>
  <r>
    <s v="ORD02126"/>
    <d v="2023-01-22T00:00:00"/>
    <x v="448"/>
    <x v="15"/>
    <n v="140"/>
    <s v="INV02126"/>
    <n v="140"/>
    <n v="999.09"/>
    <m/>
    <m/>
    <m/>
    <m/>
    <m/>
    <n v="999.09"/>
    <d v="2022-07-02T00:00:00"/>
    <n v="0"/>
    <n v="0"/>
    <n v="0"/>
    <n v="0"/>
    <n v="0"/>
    <n v="0"/>
    <n v="0"/>
    <x v="0"/>
    <n v="139872.6"/>
    <n v="139872.6"/>
    <n v="0"/>
    <n v="0"/>
    <x v="0"/>
    <x v="8"/>
  </r>
  <r>
    <s v="ORD02127"/>
    <d v="2023-05-09T00:00:00"/>
    <x v="7"/>
    <x v="93"/>
    <n v="129"/>
    <s v="INV02127"/>
    <n v="129"/>
    <n v="432.839"/>
    <m/>
    <m/>
    <m/>
    <m/>
    <m/>
    <n v="432.839"/>
    <d v="2023-05-02T00:00:00"/>
    <n v="0"/>
    <n v="0"/>
    <n v="0"/>
    <n v="0"/>
    <n v="0"/>
    <n v="0"/>
    <n v="0"/>
    <x v="0"/>
    <n v="55836.231"/>
    <n v="55836.231"/>
    <n v="0"/>
    <n v="0"/>
    <x v="0"/>
    <x v="7"/>
  </r>
  <r>
    <s v="ORD02128"/>
    <d v="2023-11-06T00:00:00"/>
    <x v="7"/>
    <x v="229"/>
    <n v="123"/>
    <s v="INV02128"/>
    <n v="123"/>
    <n v="402.05340000000001"/>
    <m/>
    <m/>
    <m/>
    <m/>
    <m/>
    <n v="402.05340000000001"/>
    <d v="2023-10-15T00:00:00"/>
    <n v="0"/>
    <n v="0"/>
    <n v="0"/>
    <n v="0"/>
    <n v="0"/>
    <n v="0"/>
    <n v="0"/>
    <x v="0"/>
    <n v="49452.568200000002"/>
    <n v="49452.568200000002"/>
    <n v="0"/>
    <n v="0"/>
    <x v="0"/>
    <x v="0"/>
  </r>
  <r>
    <s v="ORD02129"/>
    <d v="2023-04-25T00:00:00"/>
    <x v="418"/>
    <x v="118"/>
    <n v="195"/>
    <s v="INV02129"/>
    <n v="195"/>
    <n v="134.64880000000002"/>
    <m/>
    <m/>
    <m/>
    <m/>
    <m/>
    <n v="134.64880000000002"/>
    <d v="2023-03-06T00:00:00"/>
    <n v="0"/>
    <n v="0"/>
    <n v="0"/>
    <n v="0"/>
    <n v="0"/>
    <n v="0"/>
    <n v="0"/>
    <x v="0"/>
    <n v="26256.516000000003"/>
    <n v="26256.516000000003"/>
    <n v="0"/>
    <n v="0"/>
    <x v="0"/>
    <x v="23"/>
  </r>
  <r>
    <s v="ORD02130"/>
    <d v="2024-06-27T00:00:00"/>
    <x v="148"/>
    <x v="7"/>
    <n v="19"/>
    <s v="INV02130"/>
    <n v="27"/>
    <n v="510.91840000000002"/>
    <m/>
    <m/>
    <m/>
    <m/>
    <m/>
    <n v="510.91840000000002"/>
    <d v="2023-02-24T00:00:00"/>
    <n v="0"/>
    <n v="1"/>
    <n v="0"/>
    <n v="0"/>
    <n v="0"/>
    <n v="0"/>
    <n v="0"/>
    <x v="1"/>
    <n v="13794.7968"/>
    <n v="9707.4495999999999"/>
    <n v="4087.3472000000002"/>
    <n v="8"/>
    <x v="2"/>
    <x v="16"/>
  </r>
  <r>
    <s v="ORD02131"/>
    <d v="2023-08-08T00:00:00"/>
    <x v="307"/>
    <x v="38"/>
    <n v="102"/>
    <s v="INV02131"/>
    <n v="102"/>
    <n v="454.98379999999997"/>
    <m/>
    <m/>
    <m/>
    <m/>
    <m/>
    <n v="454.98379999999997"/>
    <d v="2023-03-26T00:00:00"/>
    <n v="0"/>
    <n v="0"/>
    <n v="0"/>
    <n v="0"/>
    <n v="0"/>
    <n v="0"/>
    <n v="0"/>
    <x v="0"/>
    <n v="46408.347599999994"/>
    <n v="46408.347599999994"/>
    <n v="0"/>
    <n v="0"/>
    <x v="0"/>
    <x v="12"/>
  </r>
  <r>
    <s v="ORD02132"/>
    <d v="2024-07-27T00:00:00"/>
    <x v="697"/>
    <x v="176"/>
    <n v="145"/>
    <s v="INV02132"/>
    <n v="145"/>
    <n v="79.105599999999995"/>
    <m/>
    <m/>
    <m/>
    <m/>
    <m/>
    <n v="79.105599999999995"/>
    <d v="2023-10-05T00:00:00"/>
    <n v="0"/>
    <n v="0"/>
    <n v="0"/>
    <n v="0"/>
    <n v="0"/>
    <n v="0"/>
    <n v="0"/>
    <x v="0"/>
    <n v="11470.312"/>
    <n v="11470.312"/>
    <n v="0"/>
    <n v="0"/>
    <x v="0"/>
    <x v="21"/>
  </r>
  <r>
    <s v="ORD02133"/>
    <d v="2023-05-30T00:00:00"/>
    <x v="12"/>
    <x v="291"/>
    <n v="11"/>
    <s v="INV02133"/>
    <n v="11"/>
    <n v="933.43190000000004"/>
    <m/>
    <m/>
    <m/>
    <m/>
    <m/>
    <n v="933.43190000000004"/>
    <d v="2023-03-26T00:00:00"/>
    <n v="0"/>
    <n v="0"/>
    <n v="0"/>
    <n v="0"/>
    <n v="0"/>
    <n v="0"/>
    <n v="0"/>
    <x v="0"/>
    <n v="10267.750900000001"/>
    <n v="10267.750900000001"/>
    <n v="0"/>
    <n v="0"/>
    <x v="0"/>
    <x v="7"/>
  </r>
  <r>
    <s v="ORD02134"/>
    <d v="2024-03-21T00:00:00"/>
    <x v="380"/>
    <x v="220"/>
    <n v="22"/>
    <s v="INV02134"/>
    <n v="22"/>
    <n v="1149.8634"/>
    <m/>
    <m/>
    <m/>
    <m/>
    <m/>
    <n v="1149.8634"/>
    <d v="2023-07-28T00:00:00"/>
    <n v="0"/>
    <n v="0"/>
    <n v="0"/>
    <n v="0"/>
    <n v="0"/>
    <n v="0"/>
    <n v="0"/>
    <x v="0"/>
    <n v="25296.9948"/>
    <n v="25296.9948"/>
    <n v="0"/>
    <n v="0"/>
    <x v="0"/>
    <x v="6"/>
  </r>
  <r>
    <s v="ORD02135"/>
    <d v="2023-03-28T00:00:00"/>
    <x v="432"/>
    <x v="227"/>
    <n v="42"/>
    <s v="INV02135"/>
    <n v="42"/>
    <n v="1131.7711000000002"/>
    <m/>
    <m/>
    <m/>
    <m/>
    <m/>
    <n v="1131.7711000000002"/>
    <d v="2022-11-04T00:00:00"/>
    <n v="0"/>
    <n v="0"/>
    <n v="0"/>
    <n v="0"/>
    <n v="0"/>
    <n v="0"/>
    <n v="0"/>
    <x v="0"/>
    <n v="47534.386200000008"/>
    <n v="47534.386200000008"/>
    <n v="0"/>
    <n v="0"/>
    <x v="0"/>
    <x v="17"/>
  </r>
  <r>
    <s v="ORD02136"/>
    <d v="2023-11-01T00:00:00"/>
    <x v="456"/>
    <x v="244"/>
    <n v="120"/>
    <s v="INV02136"/>
    <n v="120"/>
    <n v="1072.2954"/>
    <m/>
    <m/>
    <m/>
    <m/>
    <m/>
    <n v="1072.2954"/>
    <d v="2023-07-13T00:00:00"/>
    <n v="0"/>
    <n v="0"/>
    <n v="0"/>
    <n v="0"/>
    <n v="0"/>
    <n v="0"/>
    <n v="0"/>
    <x v="0"/>
    <n v="128675.448"/>
    <n v="128675.448"/>
    <n v="0"/>
    <n v="0"/>
    <x v="0"/>
    <x v="0"/>
  </r>
  <r>
    <s v="ORD02137"/>
    <d v="2024-09-26T00:00:00"/>
    <x v="623"/>
    <x v="125"/>
    <n v="114"/>
    <s v="INV02137"/>
    <n v="114"/>
    <n v="405.98"/>
    <m/>
    <m/>
    <m/>
    <m/>
    <m/>
    <n v="405.98"/>
    <d v="2023-08-14T00:00:00"/>
    <n v="0"/>
    <n v="0"/>
    <n v="0"/>
    <n v="0"/>
    <n v="0"/>
    <n v="0"/>
    <n v="0"/>
    <x v="0"/>
    <n v="46281.72"/>
    <n v="46281.72"/>
    <n v="0"/>
    <n v="0"/>
    <x v="0"/>
    <x v="2"/>
  </r>
  <r>
    <s v="ORD02138"/>
    <d v="2023-02-16T00:00:00"/>
    <x v="165"/>
    <x v="42"/>
    <n v="158"/>
    <s v="INV02138"/>
    <n v="158"/>
    <n v="1043.3556000000001"/>
    <m/>
    <m/>
    <m/>
    <m/>
    <m/>
    <n v="1043.3556000000001"/>
    <d v="2022-11-17T00:00:00"/>
    <n v="0"/>
    <n v="0"/>
    <n v="0"/>
    <n v="0"/>
    <n v="0"/>
    <n v="0"/>
    <n v="0"/>
    <x v="0"/>
    <n v="164850.18480000002"/>
    <n v="164850.18480000002"/>
    <n v="0"/>
    <n v="0"/>
    <x v="0"/>
    <x v="11"/>
  </r>
  <r>
    <s v="ORD02139"/>
    <d v="2023-05-21T00:00:00"/>
    <x v="410"/>
    <x v="249"/>
    <n v="110"/>
    <s v="INV02139"/>
    <n v="110"/>
    <n v="833.13300000000004"/>
    <n v="6"/>
    <d v="2023-09-07T00:00:00"/>
    <m/>
    <m/>
    <m/>
    <n v="833.13300000000004"/>
    <d v="2022-12-25T00:00:00"/>
    <n v="0"/>
    <n v="0"/>
    <n v="0"/>
    <n v="0"/>
    <n v="0"/>
    <n v="1"/>
    <n v="0"/>
    <x v="1"/>
    <n v="91644.63"/>
    <n v="91644.63"/>
    <n v="0"/>
    <n v="2"/>
    <x v="1"/>
    <x v="7"/>
  </r>
  <r>
    <s v="ORD02140"/>
    <d v="2023-08-23T00:00:00"/>
    <x v="632"/>
    <x v="247"/>
    <n v="8"/>
    <s v="INV02140"/>
    <n v="8"/>
    <n v="648.86940000000004"/>
    <m/>
    <m/>
    <m/>
    <m/>
    <m/>
    <n v="648.86940000000004"/>
    <d v="2023-05-18T00:00:00"/>
    <n v="0"/>
    <n v="0"/>
    <n v="0"/>
    <n v="0"/>
    <n v="0"/>
    <n v="0"/>
    <n v="0"/>
    <x v="0"/>
    <n v="5190.9552000000003"/>
    <n v="5190.9552000000003"/>
    <n v="0"/>
    <n v="0"/>
    <x v="0"/>
    <x v="12"/>
  </r>
  <r>
    <s v="ORD02141"/>
    <d v="2024-12-11T00:00:00"/>
    <x v="138"/>
    <x v="281"/>
    <n v="116"/>
    <s v="INV02141"/>
    <n v="116"/>
    <n v="697.22459290062136"/>
    <m/>
    <m/>
    <m/>
    <m/>
    <m/>
    <n v="696.93029999999999"/>
    <d v="2023-08-12T00:00:00"/>
    <n v="0"/>
    <n v="0"/>
    <n v="1"/>
    <n v="0"/>
    <n v="0"/>
    <n v="0"/>
    <n v="0"/>
    <x v="1"/>
    <n v="80878.052776472075"/>
    <n v="80843.914799999999"/>
    <n v="34.137976472076843"/>
    <n v="4"/>
    <x v="1"/>
    <x v="1"/>
  </r>
  <r>
    <s v="ORD02142"/>
    <d v="2024-01-06T00:00:00"/>
    <x v="749"/>
    <x v="5"/>
    <n v="40"/>
    <s v="INV02142"/>
    <n v="40"/>
    <n v="1058.3499999999999"/>
    <m/>
    <m/>
    <m/>
    <m/>
    <m/>
    <n v="1058.3499999999999"/>
    <d v="2023-07-29T00:00:00"/>
    <n v="0"/>
    <n v="0"/>
    <n v="0"/>
    <n v="0"/>
    <n v="0"/>
    <n v="0"/>
    <n v="0"/>
    <x v="0"/>
    <n v="42334"/>
    <n v="42334"/>
    <n v="0"/>
    <n v="0"/>
    <x v="0"/>
    <x v="15"/>
  </r>
  <r>
    <s v="ORD02143"/>
    <d v="2023-01-15T00:00:00"/>
    <x v="462"/>
    <x v="214"/>
    <n v="163"/>
    <s v="INV02143"/>
    <n v="163"/>
    <n v="77.178600000000003"/>
    <m/>
    <m/>
    <m/>
    <m/>
    <m/>
    <n v="77.178600000000003"/>
    <d v="2022-11-13T00:00:00"/>
    <n v="0"/>
    <n v="0"/>
    <n v="0"/>
    <n v="0"/>
    <n v="0"/>
    <n v="0"/>
    <n v="0"/>
    <x v="0"/>
    <n v="12580.111800000001"/>
    <n v="12580.111800000001"/>
    <n v="0"/>
    <n v="0"/>
    <x v="0"/>
    <x v="8"/>
  </r>
  <r>
    <s v="ORD02144"/>
    <d v="2024-09-04T00:00:00"/>
    <x v="487"/>
    <x v="167"/>
    <n v="156"/>
    <s v="INV02144"/>
    <n v="156"/>
    <n v="226.1644"/>
    <m/>
    <m/>
    <m/>
    <m/>
    <m/>
    <n v="226.1644"/>
    <d v="2023-08-01T00:00:00"/>
    <n v="0"/>
    <n v="0"/>
    <n v="0"/>
    <n v="0"/>
    <n v="0"/>
    <n v="0"/>
    <n v="0"/>
    <x v="0"/>
    <n v="35281.646399999998"/>
    <n v="35281.646399999998"/>
    <n v="0"/>
    <n v="0"/>
    <x v="0"/>
    <x v="2"/>
  </r>
  <r>
    <s v="ORD02145"/>
    <d v="2024-06-21T00:00:00"/>
    <x v="345"/>
    <x v="48"/>
    <n v="9"/>
    <s v="INV02145"/>
    <n v="9"/>
    <n v="1144.1684"/>
    <n v="23"/>
    <d v="2024-03-18T00:00:00"/>
    <m/>
    <m/>
    <m/>
    <n v="1144.1684"/>
    <d v="2023-01-29T00:00:00"/>
    <n v="0"/>
    <n v="0"/>
    <n v="0"/>
    <n v="0"/>
    <n v="0"/>
    <n v="0"/>
    <n v="1"/>
    <x v="1"/>
    <n v="10297.515600000001"/>
    <n v="10297.515600000001"/>
    <n v="0"/>
    <n v="3"/>
    <x v="1"/>
    <x v="16"/>
  </r>
  <r>
    <s v="ORD02146"/>
    <d v="2024-05-17T00:00:00"/>
    <x v="376"/>
    <x v="261"/>
    <n v="64"/>
    <s v="INV02146"/>
    <n v="64"/>
    <n v="994.85640000000001"/>
    <m/>
    <m/>
    <m/>
    <m/>
    <m/>
    <n v="994.85640000000001"/>
    <d v="2023-08-11T00:00:00"/>
    <n v="0"/>
    <n v="0"/>
    <n v="0"/>
    <n v="0"/>
    <n v="0"/>
    <n v="0"/>
    <n v="0"/>
    <x v="0"/>
    <n v="63670.809600000001"/>
    <n v="63670.809600000001"/>
    <n v="0"/>
    <n v="0"/>
    <x v="0"/>
    <x v="13"/>
  </r>
  <r>
    <s v="ORD02147"/>
    <d v="2024-04-28T00:00:00"/>
    <x v="708"/>
    <x v="170"/>
    <n v="79"/>
    <s v="INV02147"/>
    <n v="79"/>
    <n v="825.13580000000002"/>
    <m/>
    <m/>
    <m/>
    <m/>
    <m/>
    <n v="825.13580000000002"/>
    <d v="2023-03-13T00:00:00"/>
    <n v="0"/>
    <n v="0"/>
    <n v="0"/>
    <n v="0"/>
    <n v="0"/>
    <n v="0"/>
    <n v="0"/>
    <x v="0"/>
    <n v="65185.728199999998"/>
    <n v="65185.728199999998"/>
    <n v="0"/>
    <n v="0"/>
    <x v="0"/>
    <x v="9"/>
  </r>
  <r>
    <s v="ORD02148"/>
    <d v="2024-08-10T00:00:00"/>
    <x v="539"/>
    <x v="253"/>
    <n v="76"/>
    <s v="INV02148"/>
    <n v="76"/>
    <n v="1092.5376000000001"/>
    <m/>
    <m/>
    <m/>
    <m/>
    <m/>
    <n v="1092.5376000000001"/>
    <d v="2023-03-11T00:00:00"/>
    <n v="0"/>
    <n v="0"/>
    <n v="0"/>
    <n v="0"/>
    <n v="0"/>
    <n v="0"/>
    <n v="0"/>
    <x v="0"/>
    <n v="83032.857600000003"/>
    <n v="83032.857600000003"/>
    <n v="0"/>
    <n v="0"/>
    <x v="0"/>
    <x v="22"/>
  </r>
  <r>
    <s v="ORD02149"/>
    <d v="2023-07-28T00:00:00"/>
    <x v="249"/>
    <x v="119"/>
    <n v="161"/>
    <s v="INV02149"/>
    <n v="161"/>
    <n v="88.578000000000003"/>
    <m/>
    <m/>
    <m/>
    <m/>
    <m/>
    <n v="88.578000000000003"/>
    <d v="2023-06-30T00:00:00"/>
    <n v="0"/>
    <n v="0"/>
    <n v="0"/>
    <n v="0"/>
    <n v="0"/>
    <n v="0"/>
    <n v="0"/>
    <x v="0"/>
    <n v="14261.058000000001"/>
    <n v="14261.058000000001"/>
    <n v="0"/>
    <n v="0"/>
    <x v="0"/>
    <x v="10"/>
  </r>
  <r>
    <s v="ORD02150"/>
    <d v="2023-09-15T00:00:00"/>
    <x v="698"/>
    <x v="118"/>
    <n v="165"/>
    <s v="INV02150"/>
    <n v="165"/>
    <n v="130.87360000000001"/>
    <m/>
    <m/>
    <m/>
    <m/>
    <m/>
    <n v="130.87360000000001"/>
    <d v="2023-05-28T00:00:00"/>
    <n v="0"/>
    <n v="0"/>
    <n v="0"/>
    <n v="0"/>
    <n v="0"/>
    <n v="0"/>
    <n v="0"/>
    <x v="0"/>
    <n v="21594.144"/>
    <n v="21594.144"/>
    <n v="0"/>
    <n v="0"/>
    <x v="0"/>
    <x v="18"/>
  </r>
  <r>
    <s v="ORD02151"/>
    <d v="2023-11-08T00:00:00"/>
    <x v="296"/>
    <x v="169"/>
    <n v="29"/>
    <s v="INV02151"/>
    <n v="29"/>
    <n v="1153.9935634718181"/>
    <m/>
    <m/>
    <m/>
    <m/>
    <m/>
    <n v="1153.4984999999999"/>
    <d v="2023-02-05T00:00:00"/>
    <n v="0"/>
    <n v="0"/>
    <n v="1"/>
    <n v="0"/>
    <n v="0"/>
    <n v="0"/>
    <n v="0"/>
    <x v="1"/>
    <n v="33465.813340682726"/>
    <n v="33451.4565"/>
    <n v="14.356840682725306"/>
    <n v="4"/>
    <x v="1"/>
    <x v="0"/>
  </r>
  <r>
    <s v="ORD02152"/>
    <d v="2023-08-10T00:00:00"/>
    <x v="205"/>
    <x v="38"/>
    <n v="126"/>
    <s v="INV02152"/>
    <n v="126"/>
    <n v="454.98379999999997"/>
    <m/>
    <m/>
    <m/>
    <m/>
    <m/>
    <n v="454.98379999999997"/>
    <d v="2023-03-26T00:00:00"/>
    <n v="0"/>
    <n v="0"/>
    <n v="0"/>
    <n v="0"/>
    <n v="0"/>
    <n v="0"/>
    <n v="0"/>
    <x v="0"/>
    <n v="57327.958799999993"/>
    <n v="57327.958799999993"/>
    <n v="0"/>
    <n v="0"/>
    <x v="0"/>
    <x v="12"/>
  </r>
  <r>
    <s v="ORD02153"/>
    <d v="2023-05-28T00:00:00"/>
    <x v="212"/>
    <x v="266"/>
    <n v="26"/>
    <s v="INV02153"/>
    <n v="26"/>
    <n v="382.81740000000002"/>
    <m/>
    <m/>
    <m/>
    <m/>
    <m/>
    <n v="382.81740000000002"/>
    <d v="2022-11-13T00:00:00"/>
    <n v="0"/>
    <n v="0"/>
    <n v="0"/>
    <n v="0"/>
    <n v="0"/>
    <n v="0"/>
    <n v="0"/>
    <x v="0"/>
    <n v="9953.2524000000012"/>
    <n v="9953.2524000000012"/>
    <n v="0"/>
    <n v="0"/>
    <x v="0"/>
    <x v="7"/>
  </r>
  <r>
    <s v="ORD02154"/>
    <d v="2023-08-20T00:00:00"/>
    <x v="108"/>
    <x v="250"/>
    <n v="28"/>
    <s v="INV02154"/>
    <n v="28"/>
    <n v="92.962000000000003"/>
    <m/>
    <m/>
    <m/>
    <m/>
    <m/>
    <n v="92.962000000000003"/>
    <d v="2023-08-13T00:00:00"/>
    <n v="0"/>
    <n v="0"/>
    <n v="0"/>
    <n v="0"/>
    <n v="0"/>
    <n v="0"/>
    <n v="0"/>
    <x v="0"/>
    <n v="2602.9360000000001"/>
    <n v="2602.9360000000001"/>
    <n v="0"/>
    <n v="0"/>
    <x v="0"/>
    <x v="12"/>
  </r>
  <r>
    <s v="ORD02155"/>
    <d v="2023-01-09T00:00:00"/>
    <x v="720"/>
    <x v="145"/>
    <n v="118"/>
    <s v="INV02155"/>
    <n v="118"/>
    <n v="171.78"/>
    <m/>
    <m/>
    <m/>
    <m/>
    <m/>
    <n v="171.78"/>
    <d v="2022-02-06T00:00:00"/>
    <n v="0"/>
    <n v="0"/>
    <n v="0"/>
    <n v="0"/>
    <n v="0"/>
    <n v="0"/>
    <n v="0"/>
    <x v="0"/>
    <n v="20270.04"/>
    <n v="20270.04"/>
    <n v="0"/>
    <n v="0"/>
    <x v="0"/>
    <x v="8"/>
  </r>
  <r>
    <s v="ORD02156"/>
    <d v="2024-08-06T00:00:00"/>
    <x v="739"/>
    <x v="272"/>
    <n v="111"/>
    <s v="INV02156"/>
    <n v="111"/>
    <n v="852.46560000000011"/>
    <m/>
    <m/>
    <m/>
    <m/>
    <m/>
    <n v="852.46560000000011"/>
    <d v="2023-03-11T00:00:00"/>
    <n v="0"/>
    <n v="0"/>
    <n v="0"/>
    <n v="0"/>
    <n v="0"/>
    <n v="0"/>
    <n v="0"/>
    <x v="0"/>
    <n v="94623.681600000011"/>
    <n v="94623.681600000011"/>
    <n v="0"/>
    <n v="0"/>
    <x v="0"/>
    <x v="22"/>
  </r>
  <r>
    <s v="ORD02157"/>
    <d v="2024-03-27T00:00:00"/>
    <x v="341"/>
    <x v="158"/>
    <n v="40"/>
    <s v="INV02157"/>
    <n v="40"/>
    <n v="754.20799999999997"/>
    <m/>
    <m/>
    <m/>
    <m/>
    <m/>
    <n v="754.20799999999997"/>
    <d v="2023-05-23T00:00:00"/>
    <n v="0"/>
    <n v="0"/>
    <n v="0"/>
    <n v="0"/>
    <n v="0"/>
    <n v="0"/>
    <n v="0"/>
    <x v="0"/>
    <n v="30168.32"/>
    <n v="30168.32"/>
    <n v="0"/>
    <n v="0"/>
    <x v="0"/>
    <x v="6"/>
  </r>
  <r>
    <s v="ORD02158"/>
    <d v="2023-05-24T00:00:00"/>
    <x v="676"/>
    <x v="218"/>
    <n v="130"/>
    <s v="INV02158"/>
    <n v="130"/>
    <n v="960.85850000000005"/>
    <m/>
    <m/>
    <m/>
    <m/>
    <m/>
    <n v="960.85850000000005"/>
    <d v="2023-05-03T00:00:00"/>
    <n v="0"/>
    <n v="0"/>
    <n v="0"/>
    <n v="0"/>
    <n v="0"/>
    <n v="0"/>
    <n v="0"/>
    <x v="0"/>
    <n v="124911.60500000001"/>
    <n v="124911.60500000001"/>
    <n v="0"/>
    <n v="0"/>
    <x v="0"/>
    <x v="7"/>
  </r>
  <r>
    <s v="ORD02159"/>
    <d v="2024-10-12T00:00:00"/>
    <x v="600"/>
    <x v="114"/>
    <n v="31"/>
    <s v="INV02159"/>
    <n v="31"/>
    <n v="945.47868399503022"/>
    <n v="5"/>
    <d v="2023-10-08T00:00:00"/>
    <m/>
    <m/>
    <m/>
    <n v="945.38850000000002"/>
    <d v="2023-05-01T00:00:00"/>
    <n v="0"/>
    <n v="0"/>
    <n v="1"/>
    <n v="0"/>
    <n v="0"/>
    <n v="0"/>
    <n v="0"/>
    <x v="1"/>
    <n v="29309.839203845935"/>
    <n v="29307.0435"/>
    <n v="2.7957038459353498"/>
    <n v="4"/>
    <x v="1"/>
    <x v="5"/>
  </r>
  <r>
    <s v="ORD02160"/>
    <d v="2024-01-11T00:00:00"/>
    <x v="266"/>
    <x v="168"/>
    <n v="137"/>
    <s v="INV02160"/>
    <n v="137"/>
    <n v="232.3732"/>
    <m/>
    <m/>
    <m/>
    <m/>
    <m/>
    <n v="232.3732"/>
    <d v="2023-05-19T00:00:00"/>
    <n v="0"/>
    <n v="0"/>
    <n v="0"/>
    <n v="0"/>
    <n v="0"/>
    <n v="0"/>
    <n v="0"/>
    <x v="0"/>
    <n v="31835.128400000001"/>
    <n v="31835.128400000001"/>
    <n v="0"/>
    <n v="0"/>
    <x v="0"/>
    <x v="15"/>
  </r>
  <r>
    <s v="ORD02161"/>
    <d v="2024-02-03T00:00:00"/>
    <x v="491"/>
    <x v="161"/>
    <n v="187"/>
    <s v="INV02161"/>
    <n v="187"/>
    <n v="1006.8318"/>
    <m/>
    <m/>
    <m/>
    <m/>
    <m/>
    <n v="1006.8318"/>
    <d v="2023-10-05T00:00:00"/>
    <n v="0"/>
    <n v="0"/>
    <n v="0"/>
    <n v="0"/>
    <n v="0"/>
    <n v="0"/>
    <n v="0"/>
    <x v="0"/>
    <n v="188277.5466"/>
    <n v="188277.5466"/>
    <n v="0"/>
    <n v="0"/>
    <x v="0"/>
    <x v="3"/>
  </r>
  <r>
    <s v="ORD02162"/>
    <d v="2023-02-04T00:00:00"/>
    <x v="401"/>
    <x v="96"/>
    <n v="15"/>
    <s v="INV02162"/>
    <n v="15"/>
    <n v="442.15679999999998"/>
    <m/>
    <m/>
    <m/>
    <m/>
    <m/>
    <n v="442.15679999999998"/>
    <d v="2022-09-28T00:00:00"/>
    <n v="0"/>
    <n v="0"/>
    <n v="0"/>
    <n v="0"/>
    <n v="0"/>
    <n v="0"/>
    <n v="0"/>
    <x v="0"/>
    <n v="6632.3519999999999"/>
    <n v="6632.3519999999999"/>
    <n v="0"/>
    <n v="0"/>
    <x v="0"/>
    <x v="11"/>
  </r>
  <r>
    <s v="ORD02163"/>
    <d v="2023-09-11T00:00:00"/>
    <x v="24"/>
    <x v="220"/>
    <n v="94"/>
    <s v="INV02163"/>
    <n v="94"/>
    <n v="1149.8634"/>
    <m/>
    <m/>
    <m/>
    <m/>
    <m/>
    <n v="1149.8634"/>
    <d v="2023-07-28T00:00:00"/>
    <n v="0"/>
    <n v="0"/>
    <n v="0"/>
    <n v="0"/>
    <n v="0"/>
    <n v="0"/>
    <n v="0"/>
    <x v="0"/>
    <n v="108087.1596"/>
    <n v="108087.1596"/>
    <n v="0"/>
    <n v="0"/>
    <x v="0"/>
    <x v="18"/>
  </r>
  <r>
    <s v="ORD02164"/>
    <d v="2023-08-31T00:00:00"/>
    <x v="438"/>
    <x v="147"/>
    <n v="177"/>
    <s v="INV02164"/>
    <n v="177"/>
    <n v="1195.6769999999999"/>
    <m/>
    <m/>
    <m/>
    <m/>
    <m/>
    <n v="1195.6769999999999"/>
    <d v="2023-03-25T00:00:00"/>
    <n v="0"/>
    <n v="0"/>
    <n v="0"/>
    <n v="0"/>
    <n v="0"/>
    <n v="0"/>
    <n v="0"/>
    <x v="0"/>
    <n v="211634.829"/>
    <n v="211634.829"/>
    <n v="0"/>
    <n v="0"/>
    <x v="0"/>
    <x v="12"/>
  </r>
  <r>
    <s v="ORD02165"/>
    <d v="2023-09-25T00:00:00"/>
    <x v="669"/>
    <x v="297"/>
    <n v="117"/>
    <s v="INV02165"/>
    <n v="117"/>
    <n v="269.95269999999999"/>
    <m/>
    <m/>
    <m/>
    <m/>
    <m/>
    <n v="269.95269999999999"/>
    <d v="2022-08-08T00:00:00"/>
    <n v="0"/>
    <n v="0"/>
    <n v="0"/>
    <n v="0"/>
    <n v="0"/>
    <n v="0"/>
    <n v="0"/>
    <x v="0"/>
    <n v="31584.465899999999"/>
    <n v="31584.465899999999"/>
    <n v="0"/>
    <n v="0"/>
    <x v="0"/>
    <x v="18"/>
  </r>
  <r>
    <s v="ORD02166"/>
    <d v="2023-10-11T00:00:00"/>
    <x v="197"/>
    <x v="157"/>
    <n v="175"/>
    <s v="INV02166"/>
    <n v="175"/>
    <n v="1158.2643"/>
    <m/>
    <m/>
    <m/>
    <m/>
    <m/>
    <n v="1158.2643"/>
    <d v="2023-07-12T00:00:00"/>
    <n v="0"/>
    <n v="0"/>
    <n v="0"/>
    <n v="0"/>
    <n v="0"/>
    <n v="0"/>
    <n v="0"/>
    <x v="0"/>
    <n v="202696.2525"/>
    <n v="202696.2525"/>
    <n v="0"/>
    <n v="0"/>
    <x v="0"/>
    <x v="19"/>
  </r>
  <r>
    <s v="ORD02167"/>
    <d v="2023-03-02T00:00:00"/>
    <x v="630"/>
    <x v="148"/>
    <n v="178"/>
    <s v="INV02167"/>
    <n v="178"/>
    <n v="724.52160000000003"/>
    <m/>
    <m/>
    <m/>
    <m/>
    <m/>
    <n v="724.52160000000003"/>
    <d v="2022-10-03T00:00:00"/>
    <n v="0"/>
    <n v="0"/>
    <n v="0"/>
    <n v="0"/>
    <n v="0"/>
    <n v="0"/>
    <n v="0"/>
    <x v="0"/>
    <n v="128964.84480000001"/>
    <n v="128964.84480000001"/>
    <n v="0"/>
    <n v="0"/>
    <x v="0"/>
    <x v="17"/>
  </r>
  <r>
    <s v="ORD02168"/>
    <d v="2023-10-09T00:00:00"/>
    <x v="564"/>
    <x v="54"/>
    <n v="9"/>
    <s v="INV02168"/>
    <n v="9"/>
    <n v="465.21179999999998"/>
    <m/>
    <m/>
    <m/>
    <m/>
    <m/>
    <n v="465.21179999999998"/>
    <d v="2023-07-30T00:00:00"/>
    <n v="0"/>
    <n v="0"/>
    <n v="0"/>
    <n v="0"/>
    <n v="0"/>
    <n v="0"/>
    <n v="0"/>
    <x v="0"/>
    <n v="4186.9061999999994"/>
    <n v="4186.9061999999994"/>
    <n v="0"/>
    <n v="0"/>
    <x v="0"/>
    <x v="19"/>
  </r>
  <r>
    <s v="ORD02169"/>
    <d v="2024-06-21T00:00:00"/>
    <x v="435"/>
    <x v="135"/>
    <n v="74"/>
    <s v="INV02169"/>
    <n v="74"/>
    <n v="1231.8180000000002"/>
    <m/>
    <m/>
    <m/>
    <m/>
    <m/>
    <n v="1231.8180000000002"/>
    <d v="2023-05-02T00:00:00"/>
    <n v="0"/>
    <n v="0"/>
    <n v="0"/>
    <n v="0"/>
    <n v="0"/>
    <n v="0"/>
    <n v="0"/>
    <x v="0"/>
    <n v="91154.532000000021"/>
    <n v="91154.532000000021"/>
    <n v="0"/>
    <n v="0"/>
    <x v="0"/>
    <x v="16"/>
  </r>
  <r>
    <s v="ORD02170"/>
    <d v="2024-01-29T00:00:00"/>
    <x v="370"/>
    <x v="198"/>
    <n v="17"/>
    <s v="INV02170"/>
    <n v="17"/>
    <n v="906.88919999999996"/>
    <m/>
    <m/>
    <m/>
    <m/>
    <m/>
    <n v="906.88919999999996"/>
    <d v="2023-03-06T00:00:00"/>
    <n v="0"/>
    <n v="0"/>
    <n v="0"/>
    <n v="0"/>
    <n v="0"/>
    <n v="0"/>
    <n v="0"/>
    <x v="0"/>
    <n v="15417.116399999999"/>
    <n v="15417.116399999999"/>
    <n v="0"/>
    <n v="0"/>
    <x v="0"/>
    <x v="15"/>
  </r>
  <r>
    <s v="ORD02171"/>
    <d v="2023-12-06T00:00:00"/>
    <x v="290"/>
    <x v="265"/>
    <n v="184"/>
    <s v="INV02171"/>
    <n v="184"/>
    <n v="223.6044"/>
    <m/>
    <m/>
    <m/>
    <m/>
    <m/>
    <n v="223.6044"/>
    <d v="2023-06-14T00:00:00"/>
    <n v="0"/>
    <n v="0"/>
    <n v="0"/>
    <n v="0"/>
    <n v="0"/>
    <n v="0"/>
    <n v="0"/>
    <x v="0"/>
    <n v="41143.209600000002"/>
    <n v="41143.209600000002"/>
    <n v="0"/>
    <n v="0"/>
    <x v="0"/>
    <x v="20"/>
  </r>
  <r>
    <s v="ORD02172"/>
    <d v="2024-06-06T00:00:00"/>
    <x v="466"/>
    <x v="166"/>
    <n v="194"/>
    <s v="INV02172"/>
    <n v="194"/>
    <n v="156.37459999999999"/>
    <m/>
    <m/>
    <m/>
    <m/>
    <m/>
    <n v="156.37459999999999"/>
    <d v="2023-06-13T00:00:00"/>
    <n v="0"/>
    <n v="0"/>
    <n v="0"/>
    <n v="0"/>
    <n v="0"/>
    <n v="0"/>
    <n v="0"/>
    <x v="0"/>
    <n v="30336.672399999996"/>
    <n v="30336.672399999996"/>
    <n v="0"/>
    <n v="0"/>
    <x v="0"/>
    <x v="16"/>
  </r>
  <r>
    <s v="ORD02173"/>
    <d v="2023-07-02T00:00:00"/>
    <x v="613"/>
    <x v="179"/>
    <n v="118"/>
    <s v="INV02173"/>
    <n v="118"/>
    <n v="72.63"/>
    <m/>
    <m/>
    <m/>
    <m/>
    <m/>
    <n v="72.63"/>
    <d v="2023-01-30T00:00:00"/>
    <n v="0"/>
    <n v="0"/>
    <n v="0"/>
    <n v="0"/>
    <n v="0"/>
    <n v="0"/>
    <n v="0"/>
    <x v="0"/>
    <n v="8570.34"/>
    <n v="8570.34"/>
    <n v="0"/>
    <n v="0"/>
    <x v="0"/>
    <x v="10"/>
  </r>
  <r>
    <s v="ORD02174"/>
    <d v="2023-04-11T00:00:00"/>
    <x v="394"/>
    <x v="92"/>
    <n v="118"/>
    <s v="INV02174"/>
    <n v="118"/>
    <n v="859.25750000000005"/>
    <n v="19"/>
    <d v="2024-12-21T00:00:00"/>
    <m/>
    <m/>
    <m/>
    <n v="859.25750000000005"/>
    <d v="2022-08-09T00:00:00"/>
    <n v="0"/>
    <n v="0"/>
    <n v="0"/>
    <n v="0"/>
    <n v="0"/>
    <n v="1"/>
    <n v="0"/>
    <x v="1"/>
    <n v="101392.38500000001"/>
    <n v="101392.38500000001"/>
    <n v="0"/>
    <n v="2"/>
    <x v="1"/>
    <x v="23"/>
  </r>
  <r>
    <s v="ORD02175"/>
    <d v="2024-09-29T00:00:00"/>
    <x v="293"/>
    <x v="58"/>
    <n v="28"/>
    <s v="INV02175"/>
    <n v="28"/>
    <n v="601.32929999999999"/>
    <m/>
    <m/>
    <m/>
    <m/>
    <m/>
    <n v="601.32929999999999"/>
    <d v="2023-02-05T00:00:00"/>
    <n v="0"/>
    <n v="0"/>
    <n v="0"/>
    <n v="0"/>
    <n v="0"/>
    <n v="0"/>
    <n v="0"/>
    <x v="0"/>
    <n v="16837.220399999998"/>
    <n v="16837.220399999998"/>
    <n v="0"/>
    <n v="0"/>
    <x v="0"/>
    <x v="2"/>
  </r>
  <r>
    <s v="ORD02176"/>
    <d v="2023-01-18T00:00:00"/>
    <x v="321"/>
    <x v="51"/>
    <n v="177"/>
    <s v="INV02176"/>
    <n v="177"/>
    <n v="574.3415"/>
    <m/>
    <m/>
    <m/>
    <m/>
    <m/>
    <n v="574.3415"/>
    <d v="2022-09-02T00:00:00"/>
    <n v="0"/>
    <n v="0"/>
    <n v="0"/>
    <n v="0"/>
    <n v="0"/>
    <n v="0"/>
    <n v="0"/>
    <x v="0"/>
    <n v="101658.4455"/>
    <n v="101658.4455"/>
    <n v="0"/>
    <n v="0"/>
    <x v="0"/>
    <x v="8"/>
  </r>
  <r>
    <s v="ORD02177"/>
    <d v="2023-11-10T00:00:00"/>
    <x v="651"/>
    <x v="275"/>
    <n v="73"/>
    <s v="INV02177"/>
    <n v="73"/>
    <n v="797.23339999999996"/>
    <m/>
    <m/>
    <m/>
    <m/>
    <m/>
    <n v="797.23339999999996"/>
    <d v="2023-06-08T00:00:00"/>
    <n v="0"/>
    <n v="0"/>
    <n v="0"/>
    <n v="0"/>
    <n v="0"/>
    <n v="0"/>
    <n v="0"/>
    <x v="0"/>
    <n v="58198.038199999995"/>
    <n v="58198.038199999995"/>
    <n v="0"/>
    <n v="0"/>
    <x v="0"/>
    <x v="0"/>
  </r>
  <r>
    <s v="ORD02178"/>
    <d v="2023-02-14T00:00:00"/>
    <x v="725"/>
    <x v="212"/>
    <n v="59"/>
    <s v="INV02178"/>
    <n v="59"/>
    <n v="1092.2140000000002"/>
    <m/>
    <m/>
    <m/>
    <m/>
    <m/>
    <n v="1092.2140000000002"/>
    <d v="2022-09-07T00:00:00"/>
    <n v="0"/>
    <n v="0"/>
    <n v="0"/>
    <n v="0"/>
    <n v="0"/>
    <n v="0"/>
    <n v="0"/>
    <x v="0"/>
    <n v="64440.626000000011"/>
    <n v="64440.626000000011"/>
    <n v="0"/>
    <n v="0"/>
    <x v="0"/>
    <x v="11"/>
  </r>
  <r>
    <s v="ORD02179"/>
    <d v="2023-03-16T00:00:00"/>
    <x v="342"/>
    <x v="254"/>
    <n v="107"/>
    <s v="INV02179"/>
    <n v="107"/>
    <n v="582.8152"/>
    <m/>
    <m/>
    <m/>
    <m/>
    <m/>
    <n v="582.8152"/>
    <d v="2022-09-30T00:00:00"/>
    <n v="0"/>
    <n v="0"/>
    <n v="0"/>
    <n v="0"/>
    <n v="0"/>
    <n v="0"/>
    <n v="0"/>
    <x v="0"/>
    <n v="62361.2264"/>
    <n v="62361.2264"/>
    <n v="0"/>
    <n v="0"/>
    <x v="0"/>
    <x v="17"/>
  </r>
  <r>
    <s v="ORD02180"/>
    <d v="2024-01-04T00:00:00"/>
    <x v="82"/>
    <x v="205"/>
    <n v="118"/>
    <s v="INV02180"/>
    <n v="118"/>
    <n v="82.749600000000015"/>
    <m/>
    <m/>
    <m/>
    <m/>
    <m/>
    <n v="82.749600000000015"/>
    <d v="2023-05-22T00:00:00"/>
    <n v="0"/>
    <n v="0"/>
    <n v="0"/>
    <n v="0"/>
    <n v="0"/>
    <n v="0"/>
    <n v="0"/>
    <x v="0"/>
    <n v="9764.4528000000009"/>
    <n v="9764.4528000000009"/>
    <n v="0"/>
    <n v="0"/>
    <x v="0"/>
    <x v="15"/>
  </r>
  <r>
    <s v="ORD02181"/>
    <d v="2024-06-07T00:00:00"/>
    <x v="160"/>
    <x v="31"/>
    <n v="165"/>
    <s v="INV02181"/>
    <n v="165"/>
    <n v="1147.3289"/>
    <m/>
    <m/>
    <m/>
    <m/>
    <m/>
    <n v="1147.3289"/>
    <d v="2023-01-19T00:00:00"/>
    <n v="0"/>
    <n v="0"/>
    <n v="0"/>
    <n v="0"/>
    <n v="0"/>
    <n v="0"/>
    <n v="0"/>
    <x v="0"/>
    <n v="189309.26850000001"/>
    <n v="189309.26850000001"/>
    <n v="0"/>
    <n v="0"/>
    <x v="0"/>
    <x v="16"/>
  </r>
  <r>
    <s v="ORD02182"/>
    <d v="2024-11-13T00:00:00"/>
    <x v="537"/>
    <x v="122"/>
    <n v="40"/>
    <s v="INV02182"/>
    <n v="40"/>
    <n v="75.620999999999995"/>
    <m/>
    <m/>
    <m/>
    <m/>
    <m/>
    <n v="75.620999999999995"/>
    <d v="2023-07-01T00:00:00"/>
    <n v="0"/>
    <n v="0"/>
    <n v="0"/>
    <n v="0"/>
    <n v="0"/>
    <n v="0"/>
    <n v="0"/>
    <x v="0"/>
    <n v="3024.8399999999997"/>
    <n v="3024.8399999999997"/>
    <n v="0"/>
    <n v="0"/>
    <x v="0"/>
    <x v="4"/>
  </r>
  <r>
    <s v="ORD02183"/>
    <d v="2024-10-18T00:00:00"/>
    <x v="80"/>
    <x v="34"/>
    <n v="104"/>
    <s v="INV02183"/>
    <n v="104"/>
    <n v="397.19560000000001"/>
    <m/>
    <m/>
    <m/>
    <m/>
    <m/>
    <n v="397.19560000000001"/>
    <d v="2023-01-06T00:00:00"/>
    <n v="0"/>
    <n v="0"/>
    <n v="0"/>
    <n v="0"/>
    <n v="0"/>
    <n v="0"/>
    <n v="0"/>
    <x v="0"/>
    <n v="41308.342400000001"/>
    <n v="41308.342400000001"/>
    <n v="0"/>
    <n v="0"/>
    <x v="0"/>
    <x v="5"/>
  </r>
  <r>
    <s v="ORD02184"/>
    <d v="2024-05-13T00:00:00"/>
    <x v="355"/>
    <x v="290"/>
    <n v="145"/>
    <s v="INV02184"/>
    <n v="145"/>
    <n v="1159.732"/>
    <m/>
    <m/>
    <m/>
    <m/>
    <m/>
    <n v="1159.732"/>
    <d v="2023-04-16T00:00:00"/>
    <n v="0"/>
    <n v="0"/>
    <n v="0"/>
    <n v="0"/>
    <n v="0"/>
    <n v="0"/>
    <n v="0"/>
    <x v="0"/>
    <n v="168161.13999999998"/>
    <n v="168161.13999999998"/>
    <n v="0"/>
    <n v="0"/>
    <x v="0"/>
    <x v="13"/>
  </r>
  <r>
    <s v="ORD02185"/>
    <d v="2024-11-14T00:00:00"/>
    <x v="576"/>
    <x v="56"/>
    <n v="101"/>
    <s v="INV02185"/>
    <n v="101"/>
    <n v="639.91840000000002"/>
    <m/>
    <m/>
    <m/>
    <m/>
    <m/>
    <n v="639.91840000000002"/>
    <d v="2023-01-04T00:00:00"/>
    <n v="0"/>
    <n v="0"/>
    <n v="0"/>
    <n v="0"/>
    <n v="0"/>
    <n v="0"/>
    <n v="0"/>
    <x v="0"/>
    <n v="64631.758399999999"/>
    <n v="64631.758399999999"/>
    <n v="0"/>
    <n v="0"/>
    <x v="0"/>
    <x v="4"/>
  </r>
  <r>
    <s v="ORD02186"/>
    <d v="2023-12-11T00:00:00"/>
    <x v="526"/>
    <x v="86"/>
    <n v="10"/>
    <s v="INV02186"/>
    <n v="10"/>
    <n v="245.8853"/>
    <m/>
    <m/>
    <m/>
    <m/>
    <m/>
    <n v="245.8853"/>
    <d v="2023-04-09T00:00:00"/>
    <n v="0"/>
    <n v="0"/>
    <n v="0"/>
    <n v="0"/>
    <n v="0"/>
    <n v="0"/>
    <n v="0"/>
    <x v="0"/>
    <n v="2458.8530000000001"/>
    <n v="2458.8530000000001"/>
    <n v="0"/>
    <n v="0"/>
    <x v="0"/>
    <x v="20"/>
  </r>
  <r>
    <s v="ORD02187"/>
    <d v="2024-05-29T00:00:00"/>
    <x v="616"/>
    <x v="19"/>
    <n v="61"/>
    <s v="INV02187"/>
    <n v="65"/>
    <n v="833.41650000000004"/>
    <m/>
    <m/>
    <m/>
    <m/>
    <m/>
    <n v="833.41650000000004"/>
    <d v="2023-09-25T00:00:00"/>
    <n v="0"/>
    <n v="1"/>
    <n v="0"/>
    <n v="0"/>
    <n v="0"/>
    <n v="0"/>
    <n v="0"/>
    <x v="1"/>
    <n v="54172.072500000002"/>
    <n v="50838.406500000005"/>
    <n v="3333.6659999999974"/>
    <n v="8"/>
    <x v="2"/>
    <x v="13"/>
  </r>
  <r>
    <s v="ORD02188"/>
    <d v="2024-12-17T00:00:00"/>
    <x v="354"/>
    <x v="38"/>
    <n v="134"/>
    <s v="INV02188"/>
    <n v="134"/>
    <n v="454.98379999999997"/>
    <m/>
    <m/>
    <m/>
    <m/>
    <m/>
    <n v="454.98379999999997"/>
    <d v="2023-03-26T00:00:00"/>
    <n v="0"/>
    <n v="0"/>
    <n v="0"/>
    <n v="0"/>
    <n v="0"/>
    <n v="0"/>
    <n v="0"/>
    <x v="0"/>
    <n v="60967.829199999993"/>
    <n v="60967.829199999993"/>
    <n v="0"/>
    <n v="0"/>
    <x v="0"/>
    <x v="1"/>
  </r>
  <r>
    <s v="ORD02189"/>
    <d v="2024-07-20T00:00:00"/>
    <x v="649"/>
    <x v="34"/>
    <n v="32"/>
    <s v="INV02189"/>
    <n v="32"/>
    <n v="397.19560000000001"/>
    <m/>
    <m/>
    <m/>
    <m/>
    <m/>
    <n v="397.19560000000001"/>
    <d v="2023-01-06T00:00:00"/>
    <n v="0"/>
    <n v="0"/>
    <n v="0"/>
    <n v="0"/>
    <n v="0"/>
    <n v="0"/>
    <n v="0"/>
    <x v="0"/>
    <n v="12710.2592"/>
    <n v="12710.2592"/>
    <n v="0"/>
    <n v="0"/>
    <x v="0"/>
    <x v="21"/>
  </r>
  <r>
    <s v="ORD02190"/>
    <d v="2024-02-17T00:00:00"/>
    <x v="445"/>
    <x v="141"/>
    <n v="47"/>
    <s v="INV02190"/>
    <n v="47"/>
    <n v="785.89"/>
    <n v="19"/>
    <d v="2024-09-23T00:00:00"/>
    <m/>
    <m/>
    <m/>
    <n v="785.89"/>
    <d v="2023-03-04T00:00:00"/>
    <n v="0"/>
    <n v="0"/>
    <n v="0"/>
    <n v="0"/>
    <n v="0"/>
    <n v="1"/>
    <n v="0"/>
    <x v="1"/>
    <n v="36936.83"/>
    <n v="36936.83"/>
    <n v="0"/>
    <n v="2"/>
    <x v="1"/>
    <x v="3"/>
  </r>
  <r>
    <s v="ORD02191"/>
    <d v="2024-09-24T00:00:00"/>
    <x v="9"/>
    <x v="256"/>
    <n v="34"/>
    <s v="INV02191"/>
    <n v="34"/>
    <n v="717.0471"/>
    <m/>
    <m/>
    <m/>
    <m/>
    <m/>
    <n v="717.0471"/>
    <d v="2023-02-27T00:00:00"/>
    <n v="0"/>
    <n v="0"/>
    <n v="0"/>
    <n v="0"/>
    <n v="0"/>
    <n v="0"/>
    <n v="0"/>
    <x v="0"/>
    <n v="24379.6014"/>
    <n v="24379.6014"/>
    <n v="0"/>
    <n v="0"/>
    <x v="0"/>
    <x v="2"/>
  </r>
  <r>
    <s v="ORD02192"/>
    <d v="2024-10-07T00:00:00"/>
    <x v="103"/>
    <x v="274"/>
    <n v="141"/>
    <s v="INV02192"/>
    <n v="141"/>
    <n v="631.83420000000012"/>
    <m/>
    <m/>
    <m/>
    <m/>
    <m/>
    <n v="631.83420000000012"/>
    <d v="2023-09-03T00:00:00"/>
    <n v="0"/>
    <n v="0"/>
    <n v="0"/>
    <n v="0"/>
    <n v="0"/>
    <n v="0"/>
    <n v="0"/>
    <x v="0"/>
    <n v="89088.622200000013"/>
    <n v="89088.622200000013"/>
    <n v="0"/>
    <n v="0"/>
    <x v="0"/>
    <x v="5"/>
  </r>
  <r>
    <s v="ORD02193"/>
    <d v="2024-11-06T00:00:00"/>
    <x v="156"/>
    <x v="244"/>
    <n v="63"/>
    <s v="INV02193"/>
    <n v="63"/>
    <n v="1072.2954"/>
    <m/>
    <m/>
    <m/>
    <m/>
    <m/>
    <n v="1072.2954"/>
    <d v="2023-07-13T00:00:00"/>
    <n v="0"/>
    <n v="0"/>
    <n v="0"/>
    <n v="0"/>
    <n v="0"/>
    <n v="0"/>
    <n v="0"/>
    <x v="0"/>
    <n v="67554.610199999996"/>
    <n v="67554.610199999996"/>
    <n v="0"/>
    <n v="0"/>
    <x v="0"/>
    <x v="4"/>
  </r>
  <r>
    <s v="ORD02194"/>
    <d v="2023-04-26T00:00:00"/>
    <x v="276"/>
    <x v="24"/>
    <n v="89"/>
    <s v="INV02194"/>
    <n v="89"/>
    <n v="421.92750000000001"/>
    <n v="11"/>
    <d v="2023-10-29T00:00:00"/>
    <m/>
    <m/>
    <m/>
    <n v="421.92750000000001"/>
    <d v="2023-02-12T00:00:00"/>
    <n v="0"/>
    <n v="0"/>
    <n v="0"/>
    <n v="0"/>
    <n v="0"/>
    <n v="1"/>
    <n v="0"/>
    <x v="1"/>
    <n v="37551.547500000001"/>
    <n v="37551.547500000001"/>
    <n v="0"/>
    <n v="2"/>
    <x v="1"/>
    <x v="23"/>
  </r>
  <r>
    <s v="ORD02195"/>
    <d v="2023-02-05T00:00:00"/>
    <x v="506"/>
    <x v="228"/>
    <n v="132"/>
    <s v="INV02195"/>
    <n v="132"/>
    <n v="942.94"/>
    <m/>
    <m/>
    <m/>
    <m/>
    <m/>
    <n v="942.94"/>
    <d v="2022-04-15T00:00:00"/>
    <n v="0"/>
    <n v="0"/>
    <n v="0"/>
    <n v="0"/>
    <n v="0"/>
    <n v="0"/>
    <n v="0"/>
    <x v="0"/>
    <n v="124468.08"/>
    <n v="124468.08"/>
    <n v="0"/>
    <n v="0"/>
    <x v="0"/>
    <x v="11"/>
  </r>
  <r>
    <s v="ORD02196"/>
    <d v="2023-12-01T00:00:00"/>
    <x v="716"/>
    <x v="152"/>
    <n v="68"/>
    <s v="INV02196"/>
    <n v="68"/>
    <n v="403.01909999999998"/>
    <m/>
    <m/>
    <m/>
    <m/>
    <m/>
    <n v="403.01909999999998"/>
    <d v="2023-05-10T00:00:00"/>
    <n v="0"/>
    <n v="0"/>
    <n v="0"/>
    <n v="0"/>
    <n v="0"/>
    <n v="0"/>
    <n v="0"/>
    <x v="0"/>
    <n v="27405.298799999997"/>
    <n v="27405.298799999997"/>
    <n v="0"/>
    <n v="0"/>
    <x v="0"/>
    <x v="20"/>
  </r>
  <r>
    <s v="ORD02197"/>
    <d v="2023-11-28T00:00:00"/>
    <x v="744"/>
    <x v="227"/>
    <n v="57"/>
    <s v="INV02197"/>
    <n v="57"/>
    <n v="1131.7711000000002"/>
    <n v="17"/>
    <d v="2024-03-11T00:00:00"/>
    <m/>
    <m/>
    <m/>
    <n v="1131.7711000000002"/>
    <d v="2023-05-02T00:00:00"/>
    <n v="0"/>
    <n v="0"/>
    <n v="0"/>
    <n v="0"/>
    <n v="0"/>
    <n v="1"/>
    <n v="0"/>
    <x v="1"/>
    <n v="64510.952700000009"/>
    <n v="64510.952700000009"/>
    <n v="0"/>
    <n v="2"/>
    <x v="1"/>
    <x v="0"/>
  </r>
  <r>
    <s v="ORD02198"/>
    <d v="2023-05-04T00:00:00"/>
    <x v="443"/>
    <x v="79"/>
    <n v="72"/>
    <s v="INV02198"/>
    <n v="72"/>
    <n v="689.8098"/>
    <m/>
    <m/>
    <m/>
    <m/>
    <m/>
    <n v="689.8098"/>
    <d v="2023-04-28T00:00:00"/>
    <n v="0"/>
    <n v="0"/>
    <n v="0"/>
    <n v="0"/>
    <n v="0"/>
    <n v="0"/>
    <n v="0"/>
    <x v="0"/>
    <n v="49666.3056"/>
    <n v="49666.3056"/>
    <n v="0"/>
    <n v="0"/>
    <x v="0"/>
    <x v="7"/>
  </r>
  <r>
    <s v="ORD02199"/>
    <d v="2024-10-12T00:00:00"/>
    <x v="40"/>
    <x v="3"/>
    <n v="52"/>
    <s v="INV02199"/>
    <n v="52"/>
    <n v="849.43949999999995"/>
    <m/>
    <m/>
    <m/>
    <m/>
    <m/>
    <n v="849.43949999999995"/>
    <d v="2023-07-07T00:00:00"/>
    <n v="0"/>
    <n v="0"/>
    <n v="0"/>
    <n v="0"/>
    <n v="0"/>
    <n v="0"/>
    <n v="0"/>
    <x v="0"/>
    <n v="44170.853999999999"/>
    <n v="44170.853999999999"/>
    <n v="0"/>
    <n v="0"/>
    <x v="0"/>
    <x v="5"/>
  </r>
  <r>
    <s v="ORD02200"/>
    <d v="2024-10-08T00:00:00"/>
    <x v="13"/>
    <x v="82"/>
    <n v="85"/>
    <s v="INV02200"/>
    <n v="85"/>
    <n v="280.03500000000003"/>
    <m/>
    <m/>
    <m/>
    <m/>
    <m/>
    <n v="280.03500000000003"/>
    <d v="2023-08-08T00:00:00"/>
    <n v="0"/>
    <n v="0"/>
    <n v="0"/>
    <n v="0"/>
    <n v="0"/>
    <n v="0"/>
    <n v="0"/>
    <x v="0"/>
    <n v="23802.975000000002"/>
    <n v="23802.975000000002"/>
    <n v="0"/>
    <n v="0"/>
    <x v="0"/>
    <x v="5"/>
  </r>
  <r>
    <s v="ORD02201"/>
    <d v="2024-01-05T00:00:00"/>
    <x v="91"/>
    <x v="243"/>
    <n v="132"/>
    <s v="INV02201"/>
    <n v="132"/>
    <n v="191.1936"/>
    <m/>
    <m/>
    <m/>
    <m/>
    <m/>
    <n v="191.1936"/>
    <d v="2023-04-10T00:00:00"/>
    <n v="0"/>
    <n v="0"/>
    <n v="0"/>
    <n v="0"/>
    <n v="0"/>
    <n v="0"/>
    <n v="0"/>
    <x v="0"/>
    <n v="25237.555199999999"/>
    <n v="25237.555199999999"/>
    <n v="0"/>
    <n v="0"/>
    <x v="0"/>
    <x v="15"/>
  </r>
  <r>
    <s v="ORD02202"/>
    <d v="2023-02-03T00:00:00"/>
    <x v="732"/>
    <x v="159"/>
    <n v="53"/>
    <s v="INV02202"/>
    <n v="53"/>
    <n v="159.06059999999999"/>
    <m/>
    <m/>
    <m/>
    <m/>
    <m/>
    <n v="159.06059999999999"/>
    <d v="2023-01-18T00:00:00"/>
    <n v="0"/>
    <n v="0"/>
    <n v="0"/>
    <n v="0"/>
    <n v="0"/>
    <n v="0"/>
    <n v="0"/>
    <x v="0"/>
    <n v="8430.2117999999991"/>
    <n v="8430.2117999999991"/>
    <n v="0"/>
    <n v="0"/>
    <x v="0"/>
    <x v="11"/>
  </r>
  <r>
    <s v="ORD02203"/>
    <d v="2024-05-01T00:00:00"/>
    <x v="555"/>
    <x v="281"/>
    <n v="156"/>
    <s v="INV02203"/>
    <n v="156"/>
    <n v="696.93029999999999"/>
    <n v="14"/>
    <d v="2024-05-09T00:00:00"/>
    <m/>
    <m/>
    <m/>
    <n v="696.93029999999999"/>
    <d v="2023-08-12T00:00:00"/>
    <n v="0"/>
    <n v="0"/>
    <n v="0"/>
    <n v="0"/>
    <n v="0"/>
    <n v="0"/>
    <n v="0"/>
    <x v="0"/>
    <n v="108721.1268"/>
    <n v="108721.1268"/>
    <n v="0"/>
    <n v="0"/>
    <x v="0"/>
    <x v="13"/>
  </r>
  <r>
    <s v="ORD02204"/>
    <d v="2023-04-04T00:00:00"/>
    <x v="275"/>
    <x v="166"/>
    <n v="28"/>
    <s v="INV02204"/>
    <n v="28"/>
    <n v="151.82"/>
    <m/>
    <m/>
    <m/>
    <m/>
    <m/>
    <n v="151.82"/>
    <d v="2022-10-26T00:00:00"/>
    <n v="0"/>
    <n v="0"/>
    <n v="0"/>
    <n v="0"/>
    <n v="0"/>
    <n v="0"/>
    <n v="0"/>
    <x v="0"/>
    <n v="4250.96"/>
    <n v="4250.96"/>
    <n v="0"/>
    <n v="0"/>
    <x v="0"/>
    <x v="23"/>
  </r>
  <r>
    <s v="ORD02205"/>
    <d v="2023-07-01T00:00:00"/>
    <x v="750"/>
    <x v="207"/>
    <n v="130"/>
    <s v="INV02205"/>
    <n v="130"/>
    <n v="296.2912"/>
    <m/>
    <m/>
    <m/>
    <m/>
    <m/>
    <n v="296.2912"/>
    <d v="2022-12-26T00:00:00"/>
    <n v="0"/>
    <n v="0"/>
    <n v="0"/>
    <n v="0"/>
    <n v="0"/>
    <n v="0"/>
    <n v="0"/>
    <x v="0"/>
    <n v="38517.856"/>
    <n v="38517.856"/>
    <n v="0"/>
    <n v="0"/>
    <x v="0"/>
    <x v="10"/>
  </r>
  <r>
    <s v="ORD02206"/>
    <d v="2024-05-24T00:00:00"/>
    <x v="381"/>
    <x v="188"/>
    <n v="199"/>
    <s v="INV02206"/>
    <n v="199"/>
    <n v="73.305100000000024"/>
    <m/>
    <m/>
    <m/>
    <m/>
    <m/>
    <n v="73.305100000000024"/>
    <d v="2023-04-30T00:00:00"/>
    <n v="0"/>
    <n v="0"/>
    <n v="0"/>
    <n v="0"/>
    <n v="0"/>
    <n v="0"/>
    <n v="0"/>
    <x v="0"/>
    <n v="14587.714900000004"/>
    <n v="14587.714900000004"/>
    <n v="0"/>
    <n v="0"/>
    <x v="0"/>
    <x v="13"/>
  </r>
  <r>
    <s v="ORD02207"/>
    <d v="2024-09-11T00:00:00"/>
    <x v="402"/>
    <x v="9"/>
    <n v="139"/>
    <s v="INV02207"/>
    <n v="139"/>
    <n v="397.40159999999997"/>
    <m/>
    <m/>
    <m/>
    <m/>
    <m/>
    <n v="397.40159999999997"/>
    <d v="2023-04-05T00:00:00"/>
    <n v="0"/>
    <n v="0"/>
    <n v="0"/>
    <n v="0"/>
    <n v="0"/>
    <n v="0"/>
    <n v="0"/>
    <x v="0"/>
    <n v="55238.822399999997"/>
    <n v="55238.822399999997"/>
    <n v="0"/>
    <n v="0"/>
    <x v="0"/>
    <x v="2"/>
  </r>
  <r>
    <s v="ORD02208"/>
    <d v="2024-09-24T00:00:00"/>
    <x v="140"/>
    <x v="89"/>
    <n v="104"/>
    <s v="INV02208"/>
    <n v="104"/>
    <n v="826.72450038929776"/>
    <m/>
    <m/>
    <m/>
    <m/>
    <m/>
    <n v="826.46400000000006"/>
    <d v="2023-07-21T00:00:00"/>
    <n v="0"/>
    <n v="0"/>
    <n v="1"/>
    <n v="0"/>
    <n v="0"/>
    <n v="0"/>
    <n v="0"/>
    <x v="1"/>
    <n v="85979.348040486962"/>
    <n v="85952.256000000008"/>
    <n v="27.09204048695392"/>
    <n v="4"/>
    <x v="1"/>
    <x v="2"/>
  </r>
  <r>
    <s v="ORD02209"/>
    <d v="2023-08-12T00:00:00"/>
    <x v="351"/>
    <x v="129"/>
    <n v="161"/>
    <s v="INV02209"/>
    <n v="161"/>
    <n v="664.8768"/>
    <m/>
    <m/>
    <m/>
    <m/>
    <m/>
    <n v="664.8768"/>
    <d v="2023-07-09T00:00:00"/>
    <n v="0"/>
    <n v="0"/>
    <n v="0"/>
    <n v="0"/>
    <n v="0"/>
    <n v="0"/>
    <n v="0"/>
    <x v="0"/>
    <n v="107045.1648"/>
    <n v="107045.1648"/>
    <n v="0"/>
    <n v="0"/>
    <x v="0"/>
    <x v="12"/>
  </r>
  <r>
    <s v="ORD02210"/>
    <d v="2024-04-16T00:00:00"/>
    <x v="312"/>
    <x v="169"/>
    <n v="154"/>
    <s v="INV02210"/>
    <n v="154"/>
    <n v="1153.4984999999999"/>
    <m/>
    <m/>
    <m/>
    <m/>
    <m/>
    <n v="1153.4984999999999"/>
    <d v="2023-02-05T00:00:00"/>
    <n v="0"/>
    <n v="0"/>
    <n v="0"/>
    <n v="0"/>
    <n v="0"/>
    <n v="0"/>
    <n v="0"/>
    <x v="0"/>
    <n v="177638.769"/>
    <n v="177638.769"/>
    <n v="0"/>
    <n v="0"/>
    <x v="0"/>
    <x v="9"/>
  </r>
  <r>
    <s v="ORD02211"/>
    <d v="2023-02-07T00:00:00"/>
    <x v="97"/>
    <x v="121"/>
    <n v="97"/>
    <s v="INV02211"/>
    <n v="97"/>
    <n v="1032.2340000000002"/>
    <m/>
    <m/>
    <m/>
    <m/>
    <m/>
    <n v="1032.2340000000002"/>
    <d v="2022-08-25T00:00:00"/>
    <n v="0"/>
    <n v="0"/>
    <n v="0"/>
    <n v="0"/>
    <n v="0"/>
    <n v="0"/>
    <n v="0"/>
    <x v="0"/>
    <n v="100126.69800000002"/>
    <n v="100126.69800000002"/>
    <n v="0"/>
    <n v="0"/>
    <x v="0"/>
    <x v="11"/>
  </r>
  <r>
    <s v="ORD02212"/>
    <d v="2023-03-20T00:00:00"/>
    <x v="751"/>
    <x v="155"/>
    <n v="18"/>
    <s v="INV02212"/>
    <n v="18"/>
    <n v="560.10919999999999"/>
    <m/>
    <m/>
    <m/>
    <m/>
    <m/>
    <n v="560.10919999999999"/>
    <d v="2022-10-17T00:00:00"/>
    <n v="0"/>
    <n v="0"/>
    <n v="0"/>
    <n v="0"/>
    <n v="0"/>
    <n v="0"/>
    <n v="0"/>
    <x v="0"/>
    <n v="10081.9656"/>
    <n v="10081.9656"/>
    <n v="0"/>
    <n v="0"/>
    <x v="0"/>
    <x v="17"/>
  </r>
  <r>
    <s v="ORD02213"/>
    <d v="2023-09-27T00:00:00"/>
    <x v="613"/>
    <x v="30"/>
    <n v="181"/>
    <s v="INV02213"/>
    <n v="181"/>
    <n v="360.68479999999994"/>
    <m/>
    <m/>
    <m/>
    <m/>
    <m/>
    <n v="360.68479999999994"/>
    <d v="2023-05-26T00:00:00"/>
    <n v="0"/>
    <n v="0"/>
    <n v="0"/>
    <n v="0"/>
    <n v="0"/>
    <n v="0"/>
    <n v="0"/>
    <x v="0"/>
    <n v="65283.948799999991"/>
    <n v="65283.948799999991"/>
    <n v="0"/>
    <n v="0"/>
    <x v="0"/>
    <x v="18"/>
  </r>
  <r>
    <s v="ORD02214"/>
    <d v="2024-08-20T00:00:00"/>
    <x v="453"/>
    <x v="45"/>
    <n v="133"/>
    <s v="INV02214"/>
    <n v="133"/>
    <n v="169.22900000000001"/>
    <m/>
    <m/>
    <m/>
    <m/>
    <m/>
    <n v="169.22900000000001"/>
    <d v="2023-04-23T00:00:00"/>
    <n v="0"/>
    <n v="0"/>
    <n v="0"/>
    <n v="0"/>
    <n v="0"/>
    <n v="0"/>
    <n v="0"/>
    <x v="0"/>
    <n v="22507.457000000002"/>
    <n v="22507.457000000002"/>
    <n v="0"/>
    <n v="0"/>
    <x v="0"/>
    <x v="22"/>
  </r>
  <r>
    <s v="ORD02215"/>
    <d v="2023-05-30T00:00:00"/>
    <x v="465"/>
    <x v="78"/>
    <n v="76"/>
    <s v="INV02215"/>
    <n v="76"/>
    <n v="387.91860000000003"/>
    <m/>
    <m/>
    <m/>
    <m/>
    <m/>
    <n v="387.91860000000003"/>
    <d v="2023-05-04T00:00:00"/>
    <n v="0"/>
    <n v="0"/>
    <n v="0"/>
    <n v="0"/>
    <n v="0"/>
    <n v="0"/>
    <n v="0"/>
    <x v="0"/>
    <n v="29481.813600000001"/>
    <n v="29481.813600000001"/>
    <n v="0"/>
    <n v="0"/>
    <x v="0"/>
    <x v="7"/>
  </r>
  <r>
    <s v="ORD02216"/>
    <d v="2023-11-03T00:00:00"/>
    <x v="752"/>
    <x v="120"/>
    <n v="12"/>
    <s v="INV02216"/>
    <n v="12"/>
    <n v="989.96579999999994"/>
    <m/>
    <m/>
    <m/>
    <m/>
    <m/>
    <n v="989.96579999999994"/>
    <d v="2023-02-18T00:00:00"/>
    <n v="0"/>
    <n v="0"/>
    <n v="0"/>
    <n v="0"/>
    <n v="0"/>
    <n v="0"/>
    <n v="0"/>
    <x v="0"/>
    <n v="11879.589599999999"/>
    <n v="11879.589599999999"/>
    <n v="0"/>
    <n v="0"/>
    <x v="0"/>
    <x v="0"/>
  </r>
  <r>
    <s v="ORD02217"/>
    <d v="2023-09-30T00:00:00"/>
    <x v="62"/>
    <x v="281"/>
    <n v="192"/>
    <s v="INV02217"/>
    <n v="192"/>
    <n v="696.93029999999999"/>
    <n v="11"/>
    <d v="2024-04-16T00:00:00"/>
    <m/>
    <m/>
    <m/>
    <n v="696.93029999999999"/>
    <d v="2023-08-12T00:00:00"/>
    <n v="0"/>
    <n v="0"/>
    <n v="0"/>
    <n v="0"/>
    <n v="0"/>
    <n v="1"/>
    <n v="0"/>
    <x v="1"/>
    <n v="133810.6176"/>
    <n v="133810.6176"/>
    <n v="0"/>
    <n v="2"/>
    <x v="1"/>
    <x v="18"/>
  </r>
  <r>
    <s v="ORD02218"/>
    <d v="2024-10-10T00:00:00"/>
    <x v="625"/>
    <x v="147"/>
    <n v="128"/>
    <s v="INV02218"/>
    <n v="128"/>
    <n v="1195.6769999999999"/>
    <m/>
    <m/>
    <m/>
    <m/>
    <m/>
    <n v="1195.6769999999999"/>
    <d v="2023-03-25T00:00:00"/>
    <n v="0"/>
    <n v="0"/>
    <n v="0"/>
    <n v="0"/>
    <n v="0"/>
    <n v="0"/>
    <n v="0"/>
    <x v="0"/>
    <n v="153046.65599999999"/>
    <n v="153046.65599999999"/>
    <n v="0"/>
    <n v="0"/>
    <x v="0"/>
    <x v="5"/>
  </r>
  <r>
    <s v="ORD02219"/>
    <d v="2023-06-21T00:00:00"/>
    <x v="89"/>
    <x v="188"/>
    <n v="191"/>
    <s v="INV02219"/>
    <n v="196"/>
    <n v="73.305100000000024"/>
    <m/>
    <m/>
    <m/>
    <m/>
    <m/>
    <n v="73.305100000000024"/>
    <d v="2023-04-30T00:00:00"/>
    <n v="0"/>
    <n v="1"/>
    <n v="0"/>
    <n v="0"/>
    <n v="0"/>
    <n v="0"/>
    <n v="0"/>
    <x v="1"/>
    <n v="14367.799600000004"/>
    <n v="14001.274100000004"/>
    <n v="366.52549999999974"/>
    <n v="3"/>
    <x v="1"/>
    <x v="14"/>
  </r>
  <r>
    <s v="ORD02220"/>
    <d v="2024-12-19T00:00:00"/>
    <x v="753"/>
    <x v="291"/>
    <n v="198"/>
    <s v="INV02220"/>
    <n v="198"/>
    <n v="933.43190000000004"/>
    <m/>
    <m/>
    <m/>
    <m/>
    <m/>
    <n v="933.43190000000004"/>
    <d v="2023-03-26T00:00:00"/>
    <n v="0"/>
    <n v="0"/>
    <n v="0"/>
    <n v="0"/>
    <n v="0"/>
    <n v="0"/>
    <n v="0"/>
    <x v="0"/>
    <n v="184819.51620000001"/>
    <n v="184819.51620000001"/>
    <n v="0"/>
    <n v="0"/>
    <x v="0"/>
    <x v="1"/>
  </r>
  <r>
    <s v="ORD02221"/>
    <d v="2023-05-28T00:00:00"/>
    <x v="647"/>
    <x v="279"/>
    <n v="91"/>
    <s v="INV02221"/>
    <n v="90"/>
    <n v="461.00940000000003"/>
    <m/>
    <m/>
    <m/>
    <m/>
    <m/>
    <n v="461.00940000000003"/>
    <d v="2023-04-20T00:00:00"/>
    <n v="0"/>
    <n v="1"/>
    <n v="0"/>
    <n v="0"/>
    <n v="0"/>
    <n v="0"/>
    <n v="0"/>
    <x v="1"/>
    <n v="41490.846000000005"/>
    <n v="41951.8554"/>
    <n v="-461.00939999999537"/>
    <n v="3"/>
    <x v="1"/>
    <x v="7"/>
  </r>
  <r>
    <s v="ORD02222"/>
    <d v="2023-06-20T00:00:00"/>
    <x v="182"/>
    <x v="99"/>
    <n v="115"/>
    <s v="INV02222"/>
    <n v="115"/>
    <n v="1171.7046"/>
    <m/>
    <m/>
    <m/>
    <m/>
    <m/>
    <n v="1171.7046"/>
    <d v="2023-05-31T00:00:00"/>
    <n v="0"/>
    <n v="0"/>
    <n v="0"/>
    <n v="0"/>
    <n v="0"/>
    <n v="0"/>
    <n v="0"/>
    <x v="0"/>
    <n v="134746.02900000001"/>
    <n v="134746.02900000001"/>
    <n v="0"/>
    <n v="0"/>
    <x v="0"/>
    <x v="14"/>
  </r>
  <r>
    <s v="ORD02223"/>
    <d v="2024-01-26T00:00:00"/>
    <x v="754"/>
    <x v="124"/>
    <n v="180"/>
    <s v="INV02223"/>
    <n v="180"/>
    <n v="382.86715657062604"/>
    <n v="7"/>
    <d v="2023-03-12T00:00:00"/>
    <m/>
    <m/>
    <m/>
    <n v="381.97550000000001"/>
    <d v="2023-05-19T00:00:00"/>
    <n v="0"/>
    <n v="0"/>
    <n v="1"/>
    <n v="0"/>
    <n v="0"/>
    <n v="0"/>
    <n v="0"/>
    <x v="1"/>
    <n v="68916.088182712687"/>
    <n v="68755.59"/>
    <n v="160.49818271269032"/>
    <n v="4"/>
    <x v="1"/>
    <x v="15"/>
  </r>
  <r>
    <s v="ORD02224"/>
    <d v="2023-04-23T00:00:00"/>
    <x v="372"/>
    <x v="39"/>
    <n v="80"/>
    <s v="INV02224"/>
    <n v="80"/>
    <n v="838.77149999999995"/>
    <m/>
    <m/>
    <m/>
    <m/>
    <m/>
    <n v="838.77149999999995"/>
    <d v="2022-12-07T00:00:00"/>
    <n v="0"/>
    <n v="0"/>
    <n v="0"/>
    <n v="0"/>
    <n v="0"/>
    <n v="0"/>
    <n v="0"/>
    <x v="0"/>
    <n v="67101.72"/>
    <n v="67101.72"/>
    <n v="0"/>
    <n v="0"/>
    <x v="0"/>
    <x v="23"/>
  </r>
  <r>
    <s v="ORD02225"/>
    <d v="2024-09-21T00:00:00"/>
    <x v="515"/>
    <x v="32"/>
    <n v="125"/>
    <s v="INV02225"/>
    <n v="125"/>
    <n v="973.43799999999999"/>
    <m/>
    <m/>
    <m/>
    <m/>
    <m/>
    <n v="973.43799999999999"/>
    <d v="2023-03-26T00:00:00"/>
    <n v="0"/>
    <n v="0"/>
    <n v="0"/>
    <n v="0"/>
    <n v="0"/>
    <n v="0"/>
    <n v="0"/>
    <x v="0"/>
    <n v="121679.75"/>
    <n v="121679.75"/>
    <n v="0"/>
    <n v="0"/>
    <x v="0"/>
    <x v="2"/>
  </r>
  <r>
    <s v="ORD02226"/>
    <d v="2024-01-03T00:00:00"/>
    <x v="314"/>
    <x v="220"/>
    <n v="77"/>
    <s v="INV02226"/>
    <n v="77"/>
    <n v="1149.8634"/>
    <m/>
    <m/>
    <m/>
    <m/>
    <m/>
    <n v="1149.8634"/>
    <d v="2023-07-28T00:00:00"/>
    <n v="0"/>
    <n v="0"/>
    <n v="0"/>
    <n v="0"/>
    <n v="0"/>
    <n v="0"/>
    <n v="0"/>
    <x v="0"/>
    <n v="88539.481799999994"/>
    <n v="88539.481799999994"/>
    <n v="0"/>
    <n v="0"/>
    <x v="0"/>
    <x v="15"/>
  </r>
  <r>
    <s v="ORD02227"/>
    <d v="2024-05-10T00:00:00"/>
    <x v="196"/>
    <x v="137"/>
    <n v="16"/>
    <s v="INV02227"/>
    <n v="16"/>
    <n v="1026.4637"/>
    <m/>
    <m/>
    <m/>
    <m/>
    <m/>
    <n v="1026.4637"/>
    <d v="2023-02-10T00:00:00"/>
    <n v="0"/>
    <n v="0"/>
    <n v="0"/>
    <n v="0"/>
    <n v="0"/>
    <n v="0"/>
    <n v="0"/>
    <x v="0"/>
    <n v="16423.4192"/>
    <n v="16423.4192"/>
    <n v="0"/>
    <n v="0"/>
    <x v="0"/>
    <x v="13"/>
  </r>
  <r>
    <s v="ORD02228"/>
    <d v="2024-02-18T00:00:00"/>
    <x v="52"/>
    <x v="213"/>
    <n v="94"/>
    <s v="INV02228"/>
    <n v="94"/>
    <n v="872.7808"/>
    <m/>
    <m/>
    <m/>
    <m/>
    <m/>
    <n v="872.7808"/>
    <d v="2023-10-26T00:00:00"/>
    <n v="0"/>
    <n v="0"/>
    <n v="0"/>
    <n v="0"/>
    <n v="0"/>
    <n v="0"/>
    <n v="0"/>
    <x v="0"/>
    <n v="82041.395199999999"/>
    <n v="82041.395199999999"/>
    <n v="0"/>
    <n v="0"/>
    <x v="0"/>
    <x v="3"/>
  </r>
  <r>
    <s v="ORD02229"/>
    <d v="2024-07-03T00:00:00"/>
    <x v="426"/>
    <x v="163"/>
    <n v="47"/>
    <s v="INV02229"/>
    <n v="47"/>
    <n v="147.87150000000003"/>
    <n v="6"/>
    <d v="2024-09-27T00:00:00"/>
    <m/>
    <m/>
    <m/>
    <n v="147.87150000000003"/>
    <d v="2023-02-15T00:00:00"/>
    <n v="0"/>
    <n v="0"/>
    <n v="0"/>
    <n v="0"/>
    <n v="0"/>
    <n v="1"/>
    <n v="0"/>
    <x v="1"/>
    <n v="6949.960500000001"/>
    <n v="6949.960500000001"/>
    <n v="0"/>
    <n v="2"/>
    <x v="1"/>
    <x v="21"/>
  </r>
  <r>
    <s v="ORD02230"/>
    <d v="2024-06-09T00:00:00"/>
    <x v="161"/>
    <x v="24"/>
    <n v="122"/>
    <s v="INV02230"/>
    <n v="122"/>
    <n v="426.10500000000002"/>
    <m/>
    <m/>
    <m/>
    <m/>
    <m/>
    <n v="426.10500000000002"/>
    <d v="2023-10-16T00:00:00"/>
    <n v="0"/>
    <n v="0"/>
    <n v="0"/>
    <n v="0"/>
    <n v="0"/>
    <n v="0"/>
    <n v="0"/>
    <x v="0"/>
    <n v="51984.810000000005"/>
    <n v="51984.810000000005"/>
    <n v="0"/>
    <n v="0"/>
    <x v="0"/>
    <x v="16"/>
  </r>
  <r>
    <s v="ORD02231"/>
    <d v="2024-05-20T00:00:00"/>
    <x v="611"/>
    <x v="215"/>
    <n v="21"/>
    <s v="INV02231"/>
    <n v="21"/>
    <n v="174.32480000000001"/>
    <m/>
    <m/>
    <m/>
    <m/>
    <m/>
    <n v="174.32480000000001"/>
    <d v="2023-08-04T00:00:00"/>
    <n v="0"/>
    <n v="0"/>
    <n v="0"/>
    <n v="0"/>
    <n v="0"/>
    <n v="0"/>
    <n v="0"/>
    <x v="0"/>
    <n v="3660.8208000000004"/>
    <n v="3660.8208000000004"/>
    <n v="0"/>
    <n v="0"/>
    <x v="0"/>
    <x v="13"/>
  </r>
  <r>
    <s v="ORD02232"/>
    <d v="2024-12-15T00:00:00"/>
    <x v="296"/>
    <x v="52"/>
    <n v="156"/>
    <s v="INV02232"/>
    <n v="156"/>
    <n v="61.845300000000002"/>
    <m/>
    <m/>
    <m/>
    <m/>
    <m/>
    <n v="61.845300000000002"/>
    <d v="2023-10-27T00:00:00"/>
    <n v="0"/>
    <n v="0"/>
    <n v="0"/>
    <n v="0"/>
    <n v="0"/>
    <n v="0"/>
    <n v="0"/>
    <x v="0"/>
    <n v="9647.8667999999998"/>
    <n v="9647.8667999999998"/>
    <n v="0"/>
    <n v="0"/>
    <x v="0"/>
    <x v="1"/>
  </r>
  <r>
    <s v="ORD02233"/>
    <d v="2024-11-15T00:00:00"/>
    <x v="38"/>
    <x v="116"/>
    <n v="13"/>
    <s v="INV02233"/>
    <n v="13"/>
    <n v="279.42789999999997"/>
    <m/>
    <m/>
    <m/>
    <m/>
    <m/>
    <n v="279.42789999999997"/>
    <d v="2023-06-26T00:00:00"/>
    <n v="0"/>
    <n v="0"/>
    <n v="0"/>
    <n v="0"/>
    <n v="0"/>
    <n v="0"/>
    <n v="0"/>
    <x v="0"/>
    <n v="3632.5626999999995"/>
    <n v="3632.5626999999995"/>
    <n v="0"/>
    <n v="0"/>
    <x v="0"/>
    <x v="4"/>
  </r>
  <r>
    <s v="ORD02234"/>
    <d v="2024-01-09T00:00:00"/>
    <x v="641"/>
    <x v="278"/>
    <n v="181"/>
    <s v="INV02234"/>
    <n v="181"/>
    <n v="312.56310000000002"/>
    <m/>
    <m/>
    <m/>
    <m/>
    <m/>
    <n v="312.56310000000002"/>
    <d v="2023-04-12T00:00:00"/>
    <n v="0"/>
    <n v="0"/>
    <n v="0"/>
    <n v="0"/>
    <n v="0"/>
    <n v="0"/>
    <n v="0"/>
    <x v="0"/>
    <n v="56573.921100000007"/>
    <n v="56573.921100000007"/>
    <n v="0"/>
    <n v="0"/>
    <x v="0"/>
    <x v="15"/>
  </r>
  <r>
    <s v="ORD02235"/>
    <d v="2024-06-19T00:00:00"/>
    <x v="240"/>
    <x v="283"/>
    <n v="168"/>
    <s v="INV02235"/>
    <n v="168"/>
    <n v="110.9413"/>
    <m/>
    <m/>
    <m/>
    <m/>
    <m/>
    <n v="110.9413"/>
    <d v="2023-08-15T00:00:00"/>
    <n v="0"/>
    <n v="0"/>
    <n v="0"/>
    <n v="0"/>
    <n v="0"/>
    <n v="0"/>
    <n v="0"/>
    <x v="0"/>
    <n v="18638.1384"/>
    <n v="18638.1384"/>
    <n v="0"/>
    <n v="0"/>
    <x v="0"/>
    <x v="16"/>
  </r>
  <r>
    <s v="ORD02236"/>
    <d v="2023-03-08T00:00:00"/>
    <x v="458"/>
    <x v="163"/>
    <n v="72"/>
    <s v="INV02236"/>
    <n v="72"/>
    <n v="147.87150000000003"/>
    <m/>
    <m/>
    <m/>
    <m/>
    <m/>
    <n v="147.87150000000003"/>
    <d v="2023-02-15T00:00:00"/>
    <n v="0"/>
    <n v="0"/>
    <n v="0"/>
    <n v="0"/>
    <n v="0"/>
    <n v="0"/>
    <n v="0"/>
    <x v="0"/>
    <n v="10646.748000000001"/>
    <n v="10646.748000000001"/>
    <n v="0"/>
    <n v="0"/>
    <x v="0"/>
    <x v="17"/>
  </r>
  <r>
    <s v="ORD02237"/>
    <d v="2023-12-09T00:00:00"/>
    <x v="435"/>
    <x v="240"/>
    <n v="62"/>
    <s v="INV02237"/>
    <n v="69"/>
    <n v="488.43360000000007"/>
    <m/>
    <m/>
    <m/>
    <m/>
    <m/>
    <n v="488.43360000000007"/>
    <d v="2023-06-30T00:00:00"/>
    <n v="0"/>
    <n v="1"/>
    <n v="0"/>
    <n v="0"/>
    <n v="0"/>
    <n v="0"/>
    <n v="0"/>
    <x v="1"/>
    <n v="33701.918400000002"/>
    <n v="30282.883200000004"/>
    <n v="3419.0351999999984"/>
    <n v="8"/>
    <x v="2"/>
    <x v="20"/>
  </r>
  <r>
    <s v="ORD02238"/>
    <d v="2024-05-04T00:00:00"/>
    <x v="605"/>
    <x v="135"/>
    <n v="43"/>
    <s v="INV02238"/>
    <n v="43"/>
    <n v="1231.8180000000002"/>
    <m/>
    <m/>
    <m/>
    <m/>
    <m/>
    <n v="1231.8180000000002"/>
    <d v="2023-05-02T00:00:00"/>
    <n v="0"/>
    <n v="0"/>
    <n v="0"/>
    <n v="0"/>
    <n v="0"/>
    <n v="0"/>
    <n v="0"/>
    <x v="0"/>
    <n v="52968.174000000006"/>
    <n v="52968.174000000006"/>
    <n v="0"/>
    <n v="0"/>
    <x v="0"/>
    <x v="13"/>
  </r>
  <r>
    <s v="ORD02239"/>
    <d v="2024-11-04T00:00:00"/>
    <x v="101"/>
    <x v="23"/>
    <n v="84"/>
    <s v="INV02239"/>
    <n v="84"/>
    <n v="77.398200000000003"/>
    <n v="18"/>
    <d v="2023-04-11T00:00:00"/>
    <m/>
    <m/>
    <m/>
    <n v="77.398200000000003"/>
    <d v="2023-04-16T00:00:00"/>
    <n v="0"/>
    <n v="0"/>
    <n v="0"/>
    <n v="0"/>
    <n v="0"/>
    <n v="0"/>
    <n v="0"/>
    <x v="0"/>
    <n v="6501.4488000000001"/>
    <n v="6501.4488000000001"/>
    <n v="0"/>
    <n v="0"/>
    <x v="0"/>
    <x v="4"/>
  </r>
  <r>
    <s v="ORD02240"/>
    <d v="2023-11-06T00:00:00"/>
    <x v="135"/>
    <x v="266"/>
    <n v="55"/>
    <s v="INV02240"/>
    <n v="55"/>
    <n v="378.91109999999998"/>
    <m/>
    <m/>
    <m/>
    <m/>
    <m/>
    <n v="378.91109999999998"/>
    <d v="2023-07-10T00:00:00"/>
    <n v="0"/>
    <n v="0"/>
    <n v="0"/>
    <n v="0"/>
    <n v="0"/>
    <n v="0"/>
    <n v="0"/>
    <x v="0"/>
    <n v="20840.110499999999"/>
    <n v="20840.110499999999"/>
    <n v="0"/>
    <n v="0"/>
    <x v="0"/>
    <x v="0"/>
  </r>
  <r>
    <s v="ORD02241"/>
    <d v="2023-01-17T00:00:00"/>
    <x v="484"/>
    <x v="7"/>
    <n v="4"/>
    <s v="INV02241"/>
    <n v="4"/>
    <n v="563.59040000000005"/>
    <m/>
    <m/>
    <m/>
    <m/>
    <m/>
    <n v="563.59040000000005"/>
    <d v="2022-10-01T00:00:00"/>
    <n v="0"/>
    <n v="0"/>
    <n v="0"/>
    <n v="0"/>
    <n v="0"/>
    <n v="0"/>
    <n v="0"/>
    <x v="0"/>
    <n v="2254.3616000000002"/>
    <n v="2254.3616000000002"/>
    <n v="0"/>
    <n v="0"/>
    <x v="0"/>
    <x v="8"/>
  </r>
  <r>
    <s v="ORD02242"/>
    <d v="2023-09-06T00:00:00"/>
    <x v="422"/>
    <x v="156"/>
    <n v="53"/>
    <s v="INV02242"/>
    <n v="53"/>
    <n v="376.38049999999998"/>
    <m/>
    <m/>
    <m/>
    <m/>
    <m/>
    <n v="376.38049999999998"/>
    <d v="2023-02-27T00:00:00"/>
    <n v="0"/>
    <n v="0"/>
    <n v="0"/>
    <n v="0"/>
    <n v="0"/>
    <n v="0"/>
    <n v="0"/>
    <x v="0"/>
    <n v="19948.166499999999"/>
    <n v="19948.166499999999"/>
    <n v="0"/>
    <n v="0"/>
    <x v="0"/>
    <x v="18"/>
  </r>
  <r>
    <s v="ORD02243"/>
    <d v="2023-08-29T00:00:00"/>
    <x v="480"/>
    <x v="110"/>
    <n v="64"/>
    <s v="INV02243"/>
    <n v="64"/>
    <n v="1021.8869999999999"/>
    <m/>
    <m/>
    <m/>
    <m/>
    <m/>
    <n v="1021.8869999999999"/>
    <d v="2023-04-04T00:00:00"/>
    <n v="0"/>
    <n v="0"/>
    <n v="0"/>
    <n v="0"/>
    <n v="0"/>
    <n v="0"/>
    <n v="0"/>
    <x v="0"/>
    <n v="65400.767999999996"/>
    <n v="65400.767999999996"/>
    <n v="0"/>
    <n v="0"/>
    <x v="0"/>
    <x v="12"/>
  </r>
  <r>
    <s v="ORD02244"/>
    <d v="2024-01-06T00:00:00"/>
    <x v="420"/>
    <x v="95"/>
    <n v="139"/>
    <s v="INV02244"/>
    <n v="139"/>
    <n v="1072.1079000000002"/>
    <m/>
    <m/>
    <m/>
    <m/>
    <m/>
    <n v="1072.1079000000002"/>
    <d v="2023-04-19T00:00:00"/>
    <n v="0"/>
    <n v="0"/>
    <n v="0"/>
    <n v="0"/>
    <n v="0"/>
    <n v="0"/>
    <n v="0"/>
    <x v="0"/>
    <n v="149022.99810000003"/>
    <n v="149022.99810000003"/>
    <n v="0"/>
    <n v="0"/>
    <x v="0"/>
    <x v="15"/>
  </r>
  <r>
    <s v="ORD02245"/>
    <d v="2024-12-17T00:00:00"/>
    <x v="202"/>
    <x v="91"/>
    <n v="43"/>
    <s v="INV02245"/>
    <n v="43"/>
    <n v="560.37830000000008"/>
    <m/>
    <m/>
    <m/>
    <m/>
    <m/>
    <n v="560.37830000000008"/>
    <d v="2023-06-12T00:00:00"/>
    <n v="0"/>
    <n v="0"/>
    <n v="0"/>
    <n v="0"/>
    <n v="0"/>
    <n v="0"/>
    <n v="0"/>
    <x v="0"/>
    <n v="24096.266900000002"/>
    <n v="24096.266900000002"/>
    <n v="0"/>
    <n v="0"/>
    <x v="0"/>
    <x v="1"/>
  </r>
  <r>
    <s v="ORD02246"/>
    <d v="2023-07-11T00:00:00"/>
    <x v="546"/>
    <x v="148"/>
    <n v="106"/>
    <s v="INV02246"/>
    <n v="106"/>
    <n v="815.08680000000004"/>
    <m/>
    <m/>
    <m/>
    <m/>
    <m/>
    <n v="815.08680000000004"/>
    <d v="2023-05-16T00:00:00"/>
    <n v="0"/>
    <n v="0"/>
    <n v="0"/>
    <n v="0"/>
    <n v="0"/>
    <n v="0"/>
    <n v="0"/>
    <x v="0"/>
    <n v="86399.200800000006"/>
    <n v="86399.200800000006"/>
    <n v="0"/>
    <n v="0"/>
    <x v="0"/>
    <x v="10"/>
  </r>
  <r>
    <s v="ORD02247"/>
    <d v="2023-02-01T00:00:00"/>
    <x v="598"/>
    <x v="128"/>
    <n v="64"/>
    <s v="INV02247"/>
    <n v="69"/>
    <n v="423.45"/>
    <m/>
    <m/>
    <m/>
    <m/>
    <m/>
    <n v="423.45"/>
    <d v="2022-02-20T00:00:00"/>
    <n v="0"/>
    <n v="1"/>
    <n v="0"/>
    <n v="0"/>
    <n v="0"/>
    <n v="0"/>
    <n v="0"/>
    <x v="1"/>
    <n v="29218.05"/>
    <n v="27100.799999999999"/>
    <n v="2117.25"/>
    <n v="8"/>
    <x v="2"/>
    <x v="11"/>
  </r>
  <r>
    <s v="ORD02248"/>
    <d v="2024-04-01T00:00:00"/>
    <x v="70"/>
    <x v="39"/>
    <n v="2"/>
    <s v="INV02248"/>
    <n v="2"/>
    <n v="862.73640000000012"/>
    <m/>
    <m/>
    <m/>
    <m/>
    <m/>
    <n v="862.73640000000012"/>
    <d v="2023-10-24T00:00:00"/>
    <n v="0"/>
    <n v="0"/>
    <n v="0"/>
    <n v="0"/>
    <n v="0"/>
    <n v="0"/>
    <n v="0"/>
    <x v="0"/>
    <n v="1725.4728000000002"/>
    <n v="1725.4728000000002"/>
    <n v="0"/>
    <n v="0"/>
    <x v="0"/>
    <x v="9"/>
  </r>
  <r>
    <s v="ORD02249"/>
    <d v="2024-05-10T00:00:00"/>
    <x v="358"/>
    <x v="37"/>
    <n v="148"/>
    <s v="INV02249"/>
    <n v="148"/>
    <n v="637.18399999999997"/>
    <m/>
    <m/>
    <m/>
    <m/>
    <m/>
    <n v="637.18399999999997"/>
    <d v="2023-09-06T00:00:00"/>
    <n v="0"/>
    <n v="0"/>
    <n v="0"/>
    <n v="0"/>
    <n v="0"/>
    <n v="0"/>
    <n v="0"/>
    <x v="0"/>
    <n v="94303.231999999989"/>
    <n v="94303.231999999989"/>
    <n v="0"/>
    <n v="0"/>
    <x v="0"/>
    <x v="13"/>
  </r>
  <r>
    <s v="ORD02250"/>
    <d v="2024-02-09T00:00:00"/>
    <x v="755"/>
    <x v="217"/>
    <n v="94"/>
    <s v="INV02250"/>
    <n v="94"/>
    <n v="189.52920000000003"/>
    <m/>
    <m/>
    <m/>
    <m/>
    <m/>
    <n v="189.52920000000003"/>
    <d v="2023-05-24T00:00:00"/>
    <n v="0"/>
    <n v="0"/>
    <n v="0"/>
    <n v="0"/>
    <n v="0"/>
    <n v="0"/>
    <n v="0"/>
    <x v="0"/>
    <n v="17815.744800000004"/>
    <n v="17815.744800000004"/>
    <n v="0"/>
    <n v="0"/>
    <x v="0"/>
    <x v="3"/>
  </r>
  <r>
    <s v="ORD02251"/>
    <d v="2023-07-21T00:00:00"/>
    <x v="232"/>
    <x v="113"/>
    <n v="167"/>
    <s v="INV02251"/>
    <n v="167"/>
    <n v="951.54780000000005"/>
    <m/>
    <m/>
    <m/>
    <m/>
    <m/>
    <n v="951.54780000000005"/>
    <d v="2023-02-07T00:00:00"/>
    <n v="0"/>
    <n v="0"/>
    <n v="0"/>
    <n v="0"/>
    <n v="0"/>
    <n v="0"/>
    <n v="0"/>
    <x v="0"/>
    <n v="158908.48260000002"/>
    <n v="158908.48260000002"/>
    <n v="0"/>
    <n v="0"/>
    <x v="0"/>
    <x v="10"/>
  </r>
  <r>
    <s v="ORD02252"/>
    <d v="2024-07-12T00:00:00"/>
    <x v="135"/>
    <x v="122"/>
    <n v="173"/>
    <s v="INV02252"/>
    <n v="173"/>
    <n v="75.620999999999995"/>
    <m/>
    <m/>
    <m/>
    <m/>
    <m/>
    <n v="75.620999999999995"/>
    <d v="2023-07-01T00:00:00"/>
    <n v="0"/>
    <n v="0"/>
    <n v="0"/>
    <n v="0"/>
    <n v="0"/>
    <n v="0"/>
    <n v="0"/>
    <x v="0"/>
    <n v="13082.432999999999"/>
    <n v="13082.432999999999"/>
    <n v="0"/>
    <n v="0"/>
    <x v="0"/>
    <x v="21"/>
  </r>
  <r>
    <s v="ORD02253"/>
    <d v="2023-01-12T00:00:00"/>
    <x v="642"/>
    <x v="276"/>
    <n v="190"/>
    <s v="INV02253"/>
    <n v="190"/>
    <n v="1077.26"/>
    <m/>
    <m/>
    <m/>
    <m/>
    <m/>
    <n v="1077.26"/>
    <d v="2022-05-30T00:00:00"/>
    <n v="0"/>
    <n v="0"/>
    <n v="0"/>
    <n v="0"/>
    <n v="0"/>
    <n v="0"/>
    <n v="0"/>
    <x v="0"/>
    <n v="204679.4"/>
    <n v="204679.4"/>
    <n v="0"/>
    <n v="0"/>
    <x v="0"/>
    <x v="8"/>
  </r>
  <r>
    <s v="ORD02254"/>
    <d v="2024-02-28T00:00:00"/>
    <x v="371"/>
    <x v="71"/>
    <n v="25"/>
    <s v="INV02254"/>
    <n v="25"/>
    <n v="238.7328"/>
    <m/>
    <m/>
    <m/>
    <m/>
    <m/>
    <n v="238.7328"/>
    <d v="2023-03-02T00:00:00"/>
    <n v="0"/>
    <n v="0"/>
    <n v="0"/>
    <n v="0"/>
    <n v="0"/>
    <n v="0"/>
    <n v="0"/>
    <x v="0"/>
    <n v="5968.32"/>
    <n v="5968.32"/>
    <n v="0"/>
    <n v="0"/>
    <x v="0"/>
    <x v="3"/>
  </r>
  <r>
    <s v="ORD02255"/>
    <d v="2023-02-23T00:00:00"/>
    <x v="585"/>
    <x v="152"/>
    <n v="60"/>
    <s v="INV02255"/>
    <n v="60"/>
    <n v="407.09"/>
    <m/>
    <m/>
    <m/>
    <m/>
    <m/>
    <n v="407.09"/>
    <d v="2022-01-24T00:00:00"/>
    <n v="0"/>
    <n v="0"/>
    <n v="0"/>
    <n v="0"/>
    <n v="0"/>
    <n v="0"/>
    <n v="0"/>
    <x v="0"/>
    <n v="24425.399999999998"/>
    <n v="24425.399999999998"/>
    <n v="0"/>
    <n v="0"/>
    <x v="0"/>
    <x v="11"/>
  </r>
  <r>
    <s v="ORD02256"/>
    <d v="2023-08-22T00:00:00"/>
    <x v="261"/>
    <x v="160"/>
    <n v="125"/>
    <s v="INV02256"/>
    <n v="125"/>
    <n v="431.81990000000002"/>
    <m/>
    <m/>
    <m/>
    <m/>
    <m/>
    <n v="431.81990000000002"/>
    <d v="2022-09-03T00:00:00"/>
    <n v="0"/>
    <n v="0"/>
    <n v="0"/>
    <n v="0"/>
    <n v="0"/>
    <n v="0"/>
    <n v="0"/>
    <x v="0"/>
    <n v="53977.487500000003"/>
    <n v="53977.487500000003"/>
    <n v="0"/>
    <n v="0"/>
    <x v="0"/>
    <x v="12"/>
  </r>
  <r>
    <s v="ORD02257"/>
    <d v="2024-05-08T00:00:00"/>
    <x v="410"/>
    <x v="13"/>
    <n v="169"/>
    <s v="INV02257"/>
    <n v="169"/>
    <n v="248.24449999999999"/>
    <m/>
    <m/>
    <m/>
    <m/>
    <m/>
    <n v="248.24449999999999"/>
    <d v="2023-01-07T00:00:00"/>
    <n v="0"/>
    <n v="0"/>
    <n v="0"/>
    <n v="0"/>
    <n v="0"/>
    <n v="0"/>
    <n v="0"/>
    <x v="0"/>
    <n v="41953.320499999994"/>
    <n v="41953.320499999994"/>
    <n v="0"/>
    <n v="0"/>
    <x v="0"/>
    <x v="13"/>
  </r>
  <r>
    <s v="ORD02258"/>
    <d v="2023-01-20T00:00:00"/>
    <x v="253"/>
    <x v="176"/>
    <n v="127"/>
    <s v="INV02258"/>
    <n v="127"/>
    <n v="78.298400000000001"/>
    <m/>
    <m/>
    <m/>
    <m/>
    <m/>
    <n v="78.298400000000001"/>
    <d v="2022-12-24T00:00:00"/>
    <n v="0"/>
    <n v="0"/>
    <n v="0"/>
    <n v="0"/>
    <n v="0"/>
    <n v="0"/>
    <n v="0"/>
    <x v="0"/>
    <n v="9943.8968000000004"/>
    <n v="9943.8968000000004"/>
    <n v="0"/>
    <n v="0"/>
    <x v="0"/>
    <x v="8"/>
  </r>
  <r>
    <s v="ORD02259"/>
    <d v="2024-09-25T00:00:00"/>
    <x v="494"/>
    <x v="288"/>
    <n v="193"/>
    <s v="INV02259"/>
    <n v="191"/>
    <n v="907.24260000000004"/>
    <m/>
    <m/>
    <m/>
    <m/>
    <m/>
    <n v="907.24260000000004"/>
    <d v="2023-10-23T00:00:00"/>
    <n v="0"/>
    <n v="1"/>
    <n v="0"/>
    <n v="0"/>
    <n v="0"/>
    <n v="0"/>
    <n v="0"/>
    <x v="1"/>
    <n v="173283.33660000001"/>
    <n v="175097.82180000001"/>
    <n v="-1814.4851999999955"/>
    <n v="8"/>
    <x v="2"/>
    <x v="2"/>
  </r>
  <r>
    <s v="ORD02260"/>
    <d v="2024-01-04T00:00:00"/>
    <x v="529"/>
    <x v="114"/>
    <n v="181"/>
    <s v="INV02260"/>
    <n v="181"/>
    <n v="945.38850000000002"/>
    <m/>
    <m/>
    <m/>
    <m/>
    <m/>
    <n v="945.38850000000002"/>
    <d v="2023-05-01T00:00:00"/>
    <n v="0"/>
    <n v="0"/>
    <n v="0"/>
    <n v="0"/>
    <n v="0"/>
    <n v="0"/>
    <n v="0"/>
    <x v="0"/>
    <n v="171115.31849999999"/>
    <n v="171115.31849999999"/>
    <n v="0"/>
    <n v="0"/>
    <x v="0"/>
    <x v="15"/>
  </r>
  <r>
    <s v="ORD02261"/>
    <d v="2024-12-27T00:00:00"/>
    <x v="363"/>
    <x v="100"/>
    <n v="45"/>
    <s v="INV02261"/>
    <n v="45"/>
    <n v="1231.9933000000001"/>
    <m/>
    <m/>
    <m/>
    <m/>
    <m/>
    <n v="1231.9933000000001"/>
    <d v="2023-01-08T00:00:00"/>
    <n v="0"/>
    <n v="0"/>
    <n v="0"/>
    <n v="0"/>
    <n v="0"/>
    <n v="0"/>
    <n v="0"/>
    <x v="0"/>
    <n v="55439.698500000006"/>
    <n v="55439.698500000006"/>
    <n v="0"/>
    <n v="0"/>
    <x v="0"/>
    <x v="1"/>
  </r>
  <r>
    <s v="ORD02262"/>
    <d v="2024-02-09T00:00:00"/>
    <x v="19"/>
    <x v="168"/>
    <n v="173"/>
    <s v="INV02262"/>
    <n v="173"/>
    <n v="232.56778562414399"/>
    <m/>
    <m/>
    <m/>
    <m/>
    <m/>
    <n v="232.3732"/>
    <d v="2023-05-19T00:00:00"/>
    <n v="0"/>
    <n v="0"/>
    <n v="1"/>
    <n v="0"/>
    <n v="0"/>
    <n v="0"/>
    <n v="0"/>
    <x v="1"/>
    <n v="40234.226912976912"/>
    <n v="40200.563600000001"/>
    <n v="33.663312976910674"/>
    <n v="4"/>
    <x v="1"/>
    <x v="3"/>
  </r>
  <r>
    <s v="ORD02263"/>
    <d v="2023-10-12T00:00:00"/>
    <x v="511"/>
    <x v="119"/>
    <n v="164"/>
    <s v="INV02263"/>
    <n v="164"/>
    <n v="88.578000000000003"/>
    <m/>
    <m/>
    <m/>
    <m/>
    <m/>
    <n v="88.578000000000003"/>
    <d v="2023-06-30T00:00:00"/>
    <n v="0"/>
    <n v="0"/>
    <n v="0"/>
    <n v="0"/>
    <n v="0"/>
    <n v="0"/>
    <n v="0"/>
    <x v="0"/>
    <n v="14526.792000000001"/>
    <n v="14526.792000000001"/>
    <n v="0"/>
    <n v="0"/>
    <x v="0"/>
    <x v="19"/>
  </r>
  <r>
    <s v="ORD02264"/>
    <d v="2023-04-13T00:00:00"/>
    <x v="302"/>
    <x v="215"/>
    <n v="159"/>
    <s v="INV02264"/>
    <n v="159"/>
    <n v="181.02959999999999"/>
    <m/>
    <m/>
    <m/>
    <m/>
    <m/>
    <n v="181.02959999999999"/>
    <d v="2023-03-04T00:00:00"/>
    <n v="0"/>
    <n v="0"/>
    <n v="0"/>
    <n v="0"/>
    <n v="0"/>
    <n v="0"/>
    <n v="0"/>
    <x v="0"/>
    <n v="28783.706399999999"/>
    <n v="28783.706399999999"/>
    <n v="0"/>
    <n v="0"/>
    <x v="0"/>
    <x v="23"/>
  </r>
  <r>
    <s v="ORD02265"/>
    <d v="2024-06-26T00:00:00"/>
    <x v="78"/>
    <x v="90"/>
    <n v="183"/>
    <s v="INV02265"/>
    <n v="183"/>
    <n v="249.1748"/>
    <m/>
    <m/>
    <m/>
    <m/>
    <m/>
    <n v="249.1748"/>
    <d v="2023-08-03T00:00:00"/>
    <n v="0"/>
    <n v="0"/>
    <n v="0"/>
    <n v="0"/>
    <n v="0"/>
    <n v="0"/>
    <n v="0"/>
    <x v="0"/>
    <n v="45598.988400000002"/>
    <n v="45598.988400000002"/>
    <n v="0"/>
    <n v="0"/>
    <x v="0"/>
    <x v="16"/>
  </r>
  <r>
    <s v="ORD02266"/>
    <d v="2023-06-05T00:00:00"/>
    <x v="43"/>
    <x v="288"/>
    <n v="52"/>
    <s v="INV02266"/>
    <n v="52"/>
    <n v="880.29480000000001"/>
    <m/>
    <m/>
    <m/>
    <m/>
    <m/>
    <n v="880.29480000000001"/>
    <d v="2023-03-13T00:00:00"/>
    <n v="0"/>
    <n v="0"/>
    <n v="0"/>
    <n v="0"/>
    <n v="0"/>
    <n v="0"/>
    <n v="0"/>
    <x v="0"/>
    <n v="45775.329599999997"/>
    <n v="45775.329599999997"/>
    <n v="0"/>
    <n v="0"/>
    <x v="0"/>
    <x v="14"/>
  </r>
  <r>
    <s v="ORD02267"/>
    <d v="2023-10-05T00:00:00"/>
    <x v="346"/>
    <x v="284"/>
    <n v="198"/>
    <s v="INV02267"/>
    <n v="198"/>
    <n v="1032.7408"/>
    <m/>
    <m/>
    <m/>
    <m/>
    <m/>
    <n v="1032.7408"/>
    <d v="2023-05-31T00:00:00"/>
    <n v="0"/>
    <n v="0"/>
    <n v="0"/>
    <n v="0"/>
    <n v="0"/>
    <n v="0"/>
    <n v="0"/>
    <x v="0"/>
    <n v="204482.6784"/>
    <n v="204482.6784"/>
    <n v="0"/>
    <n v="0"/>
    <x v="0"/>
    <x v="19"/>
  </r>
  <r>
    <s v="ORD02268"/>
    <d v="2023-10-29T00:00:00"/>
    <x v="166"/>
    <x v="255"/>
    <n v="182"/>
    <s v="INV02268"/>
    <n v="182"/>
    <n v="1178.6880000000001"/>
    <m/>
    <m/>
    <m/>
    <m/>
    <m/>
    <n v="1178.6880000000001"/>
    <d v="2023-01-04T00:00:00"/>
    <n v="0"/>
    <n v="0"/>
    <n v="0"/>
    <n v="0"/>
    <n v="0"/>
    <n v="0"/>
    <n v="0"/>
    <x v="0"/>
    <n v="214521.21600000001"/>
    <n v="214521.21600000001"/>
    <n v="0"/>
    <n v="0"/>
    <x v="0"/>
    <x v="19"/>
  </r>
  <r>
    <s v="ORD02269"/>
    <d v="2023-12-06T00:00:00"/>
    <x v="616"/>
    <x v="250"/>
    <n v="38"/>
    <s v="INV02269"/>
    <n v="38"/>
    <n v="92.962000000000003"/>
    <m/>
    <m/>
    <m/>
    <m/>
    <m/>
    <n v="92.962000000000003"/>
    <d v="2023-08-13T00:00:00"/>
    <n v="0"/>
    <n v="0"/>
    <n v="0"/>
    <n v="0"/>
    <n v="0"/>
    <n v="0"/>
    <n v="0"/>
    <x v="0"/>
    <n v="3532.556"/>
    <n v="3532.556"/>
    <n v="0"/>
    <n v="0"/>
    <x v="0"/>
    <x v="20"/>
  </r>
  <r>
    <s v="ORD02270"/>
    <d v="2024-12-16T00:00:00"/>
    <x v="343"/>
    <x v="201"/>
    <n v="16"/>
    <s v="INV02270"/>
    <n v="16"/>
    <n v="418.93040000000002"/>
    <m/>
    <m/>
    <m/>
    <m/>
    <m/>
    <n v="418.93040000000002"/>
    <d v="2023-10-15T00:00:00"/>
    <n v="0"/>
    <n v="0"/>
    <n v="0"/>
    <n v="0"/>
    <n v="0"/>
    <n v="0"/>
    <n v="0"/>
    <x v="0"/>
    <n v="6702.8864000000003"/>
    <n v="6702.8864000000003"/>
    <n v="0"/>
    <n v="0"/>
    <x v="0"/>
    <x v="1"/>
  </r>
  <r>
    <s v="ORD02271"/>
    <d v="2023-02-18T00:00:00"/>
    <x v="252"/>
    <x v="4"/>
    <n v="160"/>
    <s v="INV02271"/>
    <n v="160"/>
    <n v="346.72860000000003"/>
    <m/>
    <m/>
    <m/>
    <m/>
    <m/>
    <n v="346.72860000000003"/>
    <d v="2022-09-15T00:00:00"/>
    <n v="0"/>
    <n v="0"/>
    <n v="0"/>
    <n v="0"/>
    <n v="0"/>
    <n v="0"/>
    <n v="0"/>
    <x v="0"/>
    <n v="55476.576000000001"/>
    <n v="55476.576000000001"/>
    <n v="0"/>
    <n v="0"/>
    <x v="0"/>
    <x v="11"/>
  </r>
  <r>
    <s v="ORD02272"/>
    <d v="2023-03-06T00:00:00"/>
    <x v="379"/>
    <x v="106"/>
    <n v="35"/>
    <s v="INV02272"/>
    <n v="35"/>
    <n v="652.1472"/>
    <m/>
    <m/>
    <m/>
    <m/>
    <m/>
    <n v="652.1472"/>
    <d v="2023-02-02T00:00:00"/>
    <n v="0"/>
    <n v="0"/>
    <n v="0"/>
    <n v="0"/>
    <n v="0"/>
    <n v="0"/>
    <n v="0"/>
    <x v="0"/>
    <n v="22825.151999999998"/>
    <n v="22825.151999999998"/>
    <n v="0"/>
    <n v="0"/>
    <x v="0"/>
    <x v="17"/>
  </r>
  <r>
    <s v="ORD02273"/>
    <d v="2024-02-06T00:00:00"/>
    <x v="426"/>
    <x v="201"/>
    <n v="77"/>
    <s v="INV02273"/>
    <n v="77"/>
    <n v="418.93040000000002"/>
    <m/>
    <m/>
    <m/>
    <m/>
    <m/>
    <n v="418.93040000000002"/>
    <d v="2023-10-15T00:00:00"/>
    <n v="0"/>
    <n v="0"/>
    <n v="0"/>
    <n v="0"/>
    <n v="0"/>
    <n v="0"/>
    <n v="0"/>
    <x v="0"/>
    <n v="32257.640800000001"/>
    <n v="32257.640800000001"/>
    <n v="0"/>
    <n v="0"/>
    <x v="0"/>
    <x v="3"/>
  </r>
  <r>
    <s v="ORD02274"/>
    <d v="2024-04-17T00:00:00"/>
    <x v="113"/>
    <x v="277"/>
    <n v="21"/>
    <s v="INV02274"/>
    <n v="21"/>
    <n v="544.5"/>
    <m/>
    <m/>
    <m/>
    <m/>
    <m/>
    <n v="544.5"/>
    <d v="2023-08-21T00:00:00"/>
    <n v="0"/>
    <n v="0"/>
    <n v="0"/>
    <n v="0"/>
    <n v="0"/>
    <n v="0"/>
    <n v="0"/>
    <x v="0"/>
    <n v="11434.5"/>
    <n v="11434.5"/>
    <n v="0"/>
    <n v="0"/>
    <x v="0"/>
    <x v="9"/>
  </r>
  <r>
    <s v="ORD02275"/>
    <d v="2023-03-08T00:00:00"/>
    <x v="410"/>
    <x v="200"/>
    <n v="32"/>
    <s v="INV02275"/>
    <n v="32"/>
    <n v="69.45"/>
    <m/>
    <m/>
    <m/>
    <m/>
    <m/>
    <n v="69.45"/>
    <d v="2022-07-10T00:00:00"/>
    <n v="0"/>
    <n v="0"/>
    <n v="0"/>
    <n v="0"/>
    <n v="0"/>
    <n v="0"/>
    <n v="0"/>
    <x v="0"/>
    <n v="2222.4"/>
    <n v="2222.4"/>
    <n v="0"/>
    <n v="0"/>
    <x v="0"/>
    <x v="17"/>
  </r>
  <r>
    <s v="ORD02276"/>
    <d v="2023-03-22T00:00:00"/>
    <x v="216"/>
    <x v="213"/>
    <n v="20"/>
    <s v="INV02276"/>
    <n v="20"/>
    <n v="847.36"/>
    <n v="19"/>
    <d v="2023-06-20T00:00:00"/>
    <m/>
    <m/>
    <m/>
    <n v="847.36"/>
    <d v="2022-06-15T00:00:00"/>
    <n v="0"/>
    <n v="0"/>
    <n v="0"/>
    <n v="0"/>
    <n v="0"/>
    <n v="1"/>
    <n v="0"/>
    <x v="1"/>
    <n v="16947.2"/>
    <n v="16947.2"/>
    <n v="0"/>
    <n v="2"/>
    <x v="1"/>
    <x v="17"/>
  </r>
  <r>
    <s v="ORD02277"/>
    <d v="2024-11-22T00:00:00"/>
    <x v="32"/>
    <x v="43"/>
    <n v="182"/>
    <s v="INV02277"/>
    <n v="182"/>
    <n v="1190.6054999999999"/>
    <m/>
    <m/>
    <m/>
    <m/>
    <m/>
    <n v="1190.6054999999999"/>
    <d v="2023-02-27T00:00:00"/>
    <n v="0"/>
    <n v="0"/>
    <n v="0"/>
    <n v="0"/>
    <n v="0"/>
    <n v="0"/>
    <n v="0"/>
    <x v="0"/>
    <n v="216690.20099999997"/>
    <n v="216690.20099999997"/>
    <n v="0"/>
    <n v="0"/>
    <x v="0"/>
    <x v="4"/>
  </r>
  <r>
    <s v="ORD02278"/>
    <d v="2023-06-01T00:00:00"/>
    <x v="56"/>
    <x v="58"/>
    <n v="148"/>
    <s v="INV02278"/>
    <n v="148"/>
    <n v="601.32929999999999"/>
    <m/>
    <m/>
    <m/>
    <m/>
    <m/>
    <n v="601.32929999999999"/>
    <d v="2023-02-05T00:00:00"/>
    <n v="0"/>
    <n v="0"/>
    <n v="0"/>
    <n v="0"/>
    <n v="0"/>
    <n v="0"/>
    <n v="0"/>
    <x v="0"/>
    <n v="88996.736399999994"/>
    <n v="88996.736399999994"/>
    <n v="0"/>
    <n v="0"/>
    <x v="0"/>
    <x v="14"/>
  </r>
  <r>
    <s v="ORD02279"/>
    <d v="2023-06-17T00:00:00"/>
    <x v="705"/>
    <x v="213"/>
    <n v="127"/>
    <s v="INV02279"/>
    <n v="127"/>
    <n v="855.83360000000005"/>
    <m/>
    <m/>
    <m/>
    <m/>
    <m/>
    <n v="855.83360000000005"/>
    <d v="2023-05-03T00:00:00"/>
    <n v="0"/>
    <n v="0"/>
    <n v="0"/>
    <n v="0"/>
    <n v="0"/>
    <n v="0"/>
    <n v="0"/>
    <x v="0"/>
    <n v="108690.86720000001"/>
    <n v="108690.86720000001"/>
    <n v="0"/>
    <n v="0"/>
    <x v="0"/>
    <x v="14"/>
  </r>
  <r>
    <s v="ORD02280"/>
    <d v="2024-05-13T00:00:00"/>
    <x v="450"/>
    <x v="283"/>
    <n v="13"/>
    <s v="INV02280"/>
    <n v="14"/>
    <n v="110.9413"/>
    <m/>
    <m/>
    <m/>
    <m/>
    <m/>
    <n v="110.9413"/>
    <d v="2023-08-15T00:00:00"/>
    <n v="0"/>
    <n v="1"/>
    <n v="0"/>
    <n v="0"/>
    <n v="0"/>
    <n v="0"/>
    <n v="0"/>
    <x v="1"/>
    <n v="1553.1782000000001"/>
    <n v="1442.2368999999999"/>
    <n v="110.94130000000018"/>
    <n v="3"/>
    <x v="1"/>
    <x v="13"/>
  </r>
  <r>
    <s v="ORD02281"/>
    <d v="2024-05-10T00:00:00"/>
    <x v="583"/>
    <x v="34"/>
    <n v="188"/>
    <s v="INV02281"/>
    <n v="188"/>
    <n v="397.19560000000001"/>
    <m/>
    <m/>
    <m/>
    <m/>
    <m/>
    <n v="397.19560000000001"/>
    <d v="2023-01-06T00:00:00"/>
    <n v="0"/>
    <n v="0"/>
    <n v="0"/>
    <n v="0"/>
    <n v="0"/>
    <n v="0"/>
    <n v="0"/>
    <x v="0"/>
    <n v="74672.772800000006"/>
    <n v="74672.772800000006"/>
    <n v="0"/>
    <n v="0"/>
    <x v="0"/>
    <x v="13"/>
  </r>
  <r>
    <s v="ORD02282"/>
    <d v="2023-02-21T00:00:00"/>
    <x v="387"/>
    <x v="257"/>
    <n v="122"/>
    <s v="INV02282"/>
    <n v="122"/>
    <n v="271.02770000000004"/>
    <m/>
    <m/>
    <m/>
    <m/>
    <m/>
    <n v="271.02770000000004"/>
    <d v="2022-08-31T00:00:00"/>
    <n v="0"/>
    <n v="0"/>
    <n v="0"/>
    <n v="0"/>
    <n v="0"/>
    <n v="0"/>
    <n v="0"/>
    <x v="0"/>
    <n v="33065.379400000005"/>
    <n v="33065.379400000005"/>
    <n v="0"/>
    <n v="0"/>
    <x v="0"/>
    <x v="11"/>
  </r>
  <r>
    <s v="ORD02283"/>
    <d v="2024-11-20T00:00:00"/>
    <x v="310"/>
    <x v="261"/>
    <n v="125"/>
    <s v="INV02283"/>
    <n v="125"/>
    <n v="994.85640000000001"/>
    <n v="5"/>
    <d v="2024-05-24T00:00:00"/>
    <m/>
    <m/>
    <m/>
    <n v="994.85640000000001"/>
    <d v="2023-08-11T00:00:00"/>
    <n v="0"/>
    <n v="0"/>
    <n v="0"/>
    <n v="0"/>
    <n v="0"/>
    <n v="0"/>
    <n v="0"/>
    <x v="0"/>
    <n v="124357.05"/>
    <n v="124357.05"/>
    <n v="0"/>
    <n v="0"/>
    <x v="0"/>
    <x v="4"/>
  </r>
  <r>
    <s v="ORD02284"/>
    <d v="2023-07-28T00:00:00"/>
    <x v="648"/>
    <x v="263"/>
    <n v="105"/>
    <s v="INV02284"/>
    <n v="105"/>
    <n v="599.90620000000001"/>
    <m/>
    <m/>
    <m/>
    <m/>
    <m/>
    <n v="599.90620000000001"/>
    <d v="2023-05-14T00:00:00"/>
    <n v="0"/>
    <n v="0"/>
    <n v="0"/>
    <n v="0"/>
    <n v="0"/>
    <n v="0"/>
    <n v="0"/>
    <x v="0"/>
    <n v="62990.150999999998"/>
    <n v="62990.150999999998"/>
    <n v="0"/>
    <n v="0"/>
    <x v="0"/>
    <x v="10"/>
  </r>
  <r>
    <s v="ORD02285"/>
    <d v="2024-04-03T00:00:00"/>
    <x v="155"/>
    <x v="34"/>
    <n v="123"/>
    <s v="INV02285"/>
    <n v="123"/>
    <n v="397.19560000000001"/>
    <m/>
    <m/>
    <m/>
    <m/>
    <m/>
    <n v="397.19560000000001"/>
    <d v="2023-01-06T00:00:00"/>
    <n v="0"/>
    <n v="0"/>
    <n v="0"/>
    <n v="0"/>
    <n v="0"/>
    <n v="0"/>
    <n v="0"/>
    <x v="0"/>
    <n v="48855.058799999999"/>
    <n v="48855.058799999999"/>
    <n v="0"/>
    <n v="0"/>
    <x v="0"/>
    <x v="9"/>
  </r>
  <r>
    <s v="ORD02286"/>
    <d v="2023-06-11T00:00:00"/>
    <x v="114"/>
    <x v="245"/>
    <n v="189"/>
    <s v="INV02286"/>
    <n v="192"/>
    <n v="935.09519999999998"/>
    <m/>
    <m/>
    <m/>
    <m/>
    <m/>
    <n v="935.09519999999998"/>
    <d v="2023-03-24T00:00:00"/>
    <n v="0"/>
    <n v="1"/>
    <n v="0"/>
    <n v="0"/>
    <n v="0"/>
    <n v="0"/>
    <n v="0"/>
    <x v="1"/>
    <n v="179538.27840000001"/>
    <n v="176732.99280000001"/>
    <n v="2805.2856000000029"/>
    <n v="8"/>
    <x v="2"/>
    <x v="14"/>
  </r>
  <r>
    <s v="ORD02287"/>
    <d v="2024-01-29T00:00:00"/>
    <x v="332"/>
    <x v="14"/>
    <n v="28"/>
    <s v="INV02287"/>
    <n v="28"/>
    <n v="265.44960000000003"/>
    <m/>
    <m/>
    <m/>
    <m/>
    <m/>
    <n v="265.44960000000003"/>
    <d v="2023-03-14T00:00:00"/>
    <n v="0"/>
    <n v="0"/>
    <n v="0"/>
    <n v="0"/>
    <n v="0"/>
    <n v="0"/>
    <n v="0"/>
    <x v="0"/>
    <n v="7432.5888000000014"/>
    <n v="7432.5888000000014"/>
    <n v="0"/>
    <n v="0"/>
    <x v="0"/>
    <x v="15"/>
  </r>
  <r>
    <s v="ORD02288"/>
    <d v="2024-06-19T00:00:00"/>
    <x v="556"/>
    <x v="123"/>
    <n v="141"/>
    <s v="INV02288"/>
    <n v="141"/>
    <n v="618.375"/>
    <m/>
    <m/>
    <m/>
    <m/>
    <m/>
    <n v="618.375"/>
    <d v="2023-07-17T00:00:00"/>
    <n v="0"/>
    <n v="0"/>
    <n v="0"/>
    <n v="0"/>
    <n v="0"/>
    <n v="0"/>
    <n v="0"/>
    <x v="0"/>
    <n v="87190.875"/>
    <n v="87190.875"/>
    <n v="0"/>
    <n v="0"/>
    <x v="0"/>
    <x v="16"/>
  </r>
  <r>
    <s v="ORD02289"/>
    <d v="2023-06-23T00:00:00"/>
    <x v="229"/>
    <x v="216"/>
    <n v="119"/>
    <s v="INV02289"/>
    <n v="119"/>
    <n v="836.10360000000003"/>
    <m/>
    <m/>
    <m/>
    <m/>
    <m/>
    <n v="836.10360000000003"/>
    <d v="2023-05-12T00:00:00"/>
    <n v="0"/>
    <n v="0"/>
    <n v="0"/>
    <n v="0"/>
    <n v="0"/>
    <n v="0"/>
    <n v="0"/>
    <x v="0"/>
    <n v="99496.328399999999"/>
    <n v="99496.328399999999"/>
    <n v="0"/>
    <n v="0"/>
    <x v="0"/>
    <x v="14"/>
  </r>
  <r>
    <s v="ORD02290"/>
    <d v="2024-05-19T00:00:00"/>
    <x v="594"/>
    <x v="211"/>
    <n v="148"/>
    <s v="INV02290"/>
    <n v="148"/>
    <n v="655.93800000000022"/>
    <m/>
    <m/>
    <m/>
    <m/>
    <m/>
    <n v="655.93800000000022"/>
    <d v="2023-05-29T00:00:00"/>
    <n v="0"/>
    <n v="0"/>
    <n v="0"/>
    <n v="0"/>
    <n v="0"/>
    <n v="0"/>
    <n v="0"/>
    <x v="0"/>
    <n v="97078.824000000037"/>
    <n v="97078.824000000037"/>
    <n v="0"/>
    <n v="0"/>
    <x v="0"/>
    <x v="13"/>
  </r>
  <r>
    <s v="ORD02291"/>
    <d v="2023-09-10T00:00:00"/>
    <x v="660"/>
    <x v="228"/>
    <n v="35"/>
    <s v="INV02291"/>
    <n v="35"/>
    <n v="952.36940000000004"/>
    <m/>
    <m/>
    <m/>
    <m/>
    <m/>
    <n v="952.36940000000004"/>
    <d v="2023-08-31T00:00:00"/>
    <n v="0"/>
    <n v="0"/>
    <n v="0"/>
    <n v="0"/>
    <n v="0"/>
    <n v="0"/>
    <n v="0"/>
    <x v="0"/>
    <n v="33332.929000000004"/>
    <n v="33332.929000000004"/>
    <n v="0"/>
    <n v="0"/>
    <x v="0"/>
    <x v="18"/>
  </r>
  <r>
    <s v="ORD02292"/>
    <d v="2024-07-21T00:00:00"/>
    <x v="336"/>
    <x v="129"/>
    <n v="24"/>
    <s v="INV02292"/>
    <n v="24"/>
    <n v="664.8768"/>
    <m/>
    <m/>
    <m/>
    <m/>
    <m/>
    <n v="664.8768"/>
    <d v="2023-07-09T00:00:00"/>
    <n v="0"/>
    <n v="0"/>
    <n v="0"/>
    <n v="0"/>
    <n v="0"/>
    <n v="0"/>
    <n v="0"/>
    <x v="0"/>
    <n v="15957.0432"/>
    <n v="15957.0432"/>
    <n v="0"/>
    <n v="0"/>
    <x v="0"/>
    <x v="21"/>
  </r>
  <r>
    <s v="ORD02293"/>
    <d v="2023-08-11T00:00:00"/>
    <x v="159"/>
    <x v="204"/>
    <n v="25"/>
    <s v="INV02293"/>
    <n v="25"/>
    <n v="940.1952"/>
    <m/>
    <m/>
    <m/>
    <m/>
    <m/>
    <n v="940.1952"/>
    <d v="2023-05-12T00:00:00"/>
    <n v="0"/>
    <n v="0"/>
    <n v="0"/>
    <n v="0"/>
    <n v="0"/>
    <n v="0"/>
    <n v="0"/>
    <x v="0"/>
    <n v="23504.880000000001"/>
    <n v="23504.880000000001"/>
    <n v="0"/>
    <n v="0"/>
    <x v="0"/>
    <x v="12"/>
  </r>
  <r>
    <s v="ORD02294"/>
    <d v="2024-03-08T00:00:00"/>
    <x v="355"/>
    <x v="15"/>
    <n v="192"/>
    <s v="INV02294"/>
    <n v="192"/>
    <n v="1039.0536"/>
    <m/>
    <m/>
    <m/>
    <m/>
    <m/>
    <n v="1039.0536"/>
    <d v="2023-05-08T00:00:00"/>
    <n v="0"/>
    <n v="0"/>
    <n v="0"/>
    <n v="0"/>
    <n v="0"/>
    <n v="0"/>
    <n v="0"/>
    <x v="0"/>
    <n v="199498.29119999998"/>
    <n v="199498.29119999998"/>
    <n v="0"/>
    <n v="0"/>
    <x v="0"/>
    <x v="6"/>
  </r>
  <r>
    <s v="ORD02295"/>
    <d v="2024-03-20T00:00:00"/>
    <x v="279"/>
    <x v="82"/>
    <n v="92"/>
    <s v="INV02295"/>
    <n v="92"/>
    <n v="280.03500000000003"/>
    <m/>
    <m/>
    <m/>
    <m/>
    <m/>
    <n v="280.03500000000003"/>
    <d v="2023-08-08T00:00:00"/>
    <n v="0"/>
    <n v="0"/>
    <n v="0"/>
    <n v="0"/>
    <n v="0"/>
    <n v="0"/>
    <n v="0"/>
    <x v="0"/>
    <n v="25763.22"/>
    <n v="25763.22"/>
    <n v="0"/>
    <n v="0"/>
    <x v="0"/>
    <x v="6"/>
  </r>
  <r>
    <s v="ORD02296"/>
    <d v="2024-04-13T00:00:00"/>
    <x v="80"/>
    <x v="2"/>
    <n v="130"/>
    <s v="INV02296"/>
    <n v="130"/>
    <n v="189.1498"/>
    <m/>
    <m/>
    <m/>
    <m/>
    <m/>
    <n v="189.1498"/>
    <d v="2023-07-01T00:00:00"/>
    <n v="0"/>
    <n v="0"/>
    <n v="0"/>
    <n v="0"/>
    <n v="0"/>
    <n v="0"/>
    <n v="0"/>
    <x v="0"/>
    <n v="24589.473999999998"/>
    <n v="24589.473999999998"/>
    <n v="0"/>
    <n v="0"/>
    <x v="0"/>
    <x v="9"/>
  </r>
  <r>
    <s v="ORD02297"/>
    <d v="2023-09-09T00:00:00"/>
    <x v="746"/>
    <x v="3"/>
    <n v="182"/>
    <s v="INV02297"/>
    <n v="182"/>
    <n v="849.43949999999995"/>
    <m/>
    <m/>
    <m/>
    <m/>
    <m/>
    <n v="849.43949999999995"/>
    <d v="2023-07-07T00:00:00"/>
    <n v="0"/>
    <n v="0"/>
    <n v="0"/>
    <n v="0"/>
    <n v="0"/>
    <n v="0"/>
    <n v="0"/>
    <x v="0"/>
    <n v="154597.989"/>
    <n v="154597.989"/>
    <n v="0"/>
    <n v="0"/>
    <x v="0"/>
    <x v="18"/>
  </r>
  <r>
    <s v="ORD02298"/>
    <d v="2024-07-14T00:00:00"/>
    <x v="601"/>
    <x v="43"/>
    <n v="90"/>
    <s v="INV02298"/>
    <n v="90"/>
    <n v="1190.6054999999999"/>
    <m/>
    <m/>
    <m/>
    <m/>
    <m/>
    <n v="1190.6054999999999"/>
    <d v="2023-02-27T00:00:00"/>
    <n v="0"/>
    <n v="0"/>
    <n v="0"/>
    <n v="0"/>
    <n v="0"/>
    <n v="0"/>
    <n v="0"/>
    <x v="0"/>
    <n v="107154.495"/>
    <n v="107154.495"/>
    <n v="0"/>
    <n v="0"/>
    <x v="0"/>
    <x v="21"/>
  </r>
  <r>
    <s v="ORD02299"/>
    <d v="2024-04-07T00:00:00"/>
    <x v="205"/>
    <x v="165"/>
    <n v="172"/>
    <s v="INV02299"/>
    <n v="172"/>
    <n v="991.99"/>
    <n v="11"/>
    <d v="2024-07-26T00:00:00"/>
    <m/>
    <m/>
    <m/>
    <n v="991.99"/>
    <d v="2023-02-19T00:00:00"/>
    <n v="0"/>
    <n v="0"/>
    <n v="0"/>
    <n v="0"/>
    <n v="0"/>
    <n v="1"/>
    <n v="0"/>
    <x v="1"/>
    <n v="170622.28"/>
    <n v="170622.28"/>
    <n v="0"/>
    <n v="2"/>
    <x v="1"/>
    <x v="9"/>
  </r>
  <r>
    <s v="ORD02300"/>
    <d v="2024-04-04T00:00:00"/>
    <x v="514"/>
    <x v="183"/>
    <n v="129"/>
    <s v="INV02300"/>
    <n v="129"/>
    <n v="624.37260000000003"/>
    <m/>
    <m/>
    <m/>
    <m/>
    <m/>
    <n v="624.37260000000003"/>
    <d v="2023-01-06T00:00:00"/>
    <n v="0"/>
    <n v="0"/>
    <n v="0"/>
    <n v="0"/>
    <n v="0"/>
    <n v="0"/>
    <n v="0"/>
    <x v="0"/>
    <n v="80544.065400000007"/>
    <n v="80544.065400000007"/>
    <n v="0"/>
    <n v="0"/>
    <x v="0"/>
    <x v="9"/>
  </r>
  <r>
    <s v="ORD02301"/>
    <d v="2024-05-17T00:00:00"/>
    <x v="14"/>
    <x v="217"/>
    <n v="76"/>
    <s v="INV02301"/>
    <n v="76"/>
    <n v="189.52920000000003"/>
    <m/>
    <m/>
    <m/>
    <m/>
    <m/>
    <n v="189.52920000000003"/>
    <d v="2023-05-24T00:00:00"/>
    <n v="0"/>
    <n v="0"/>
    <n v="0"/>
    <n v="0"/>
    <n v="0"/>
    <n v="0"/>
    <n v="0"/>
    <x v="0"/>
    <n v="14404.219200000003"/>
    <n v="14404.219200000003"/>
    <n v="0"/>
    <n v="0"/>
    <x v="0"/>
    <x v="13"/>
  </r>
  <r>
    <s v="ORD02302"/>
    <d v="2024-11-09T00:00:00"/>
    <x v="756"/>
    <x v="58"/>
    <n v="62"/>
    <s v="INV02302"/>
    <n v="62"/>
    <n v="601.32929999999999"/>
    <m/>
    <m/>
    <m/>
    <m/>
    <m/>
    <n v="601.32929999999999"/>
    <d v="2023-02-05T00:00:00"/>
    <n v="0"/>
    <n v="0"/>
    <n v="0"/>
    <n v="0"/>
    <n v="0"/>
    <n v="0"/>
    <n v="0"/>
    <x v="0"/>
    <n v="37282.416599999997"/>
    <n v="37282.416599999997"/>
    <n v="0"/>
    <n v="0"/>
    <x v="0"/>
    <x v="4"/>
  </r>
  <r>
    <s v="ORD02303"/>
    <d v="2024-03-17T00:00:00"/>
    <x v="740"/>
    <x v="107"/>
    <n v="141"/>
    <s v="INV02303"/>
    <n v="141"/>
    <n v="52.185000000000002"/>
    <m/>
    <m/>
    <m/>
    <m/>
    <m/>
    <n v="52.185000000000002"/>
    <d v="2023-03-13T00:00:00"/>
    <n v="0"/>
    <n v="0"/>
    <n v="0"/>
    <n v="0"/>
    <n v="0"/>
    <n v="0"/>
    <n v="0"/>
    <x v="0"/>
    <n v="7358.085"/>
    <n v="7358.085"/>
    <n v="0"/>
    <n v="0"/>
    <x v="0"/>
    <x v="6"/>
  </r>
  <r>
    <s v="ORD02304"/>
    <d v="2024-05-20T00:00:00"/>
    <x v="575"/>
    <x v="7"/>
    <n v="199"/>
    <s v="INV02304"/>
    <n v="199"/>
    <n v="510.91840000000002"/>
    <m/>
    <m/>
    <m/>
    <m/>
    <m/>
    <n v="510.91840000000002"/>
    <d v="2023-02-24T00:00:00"/>
    <n v="0"/>
    <n v="0"/>
    <n v="0"/>
    <n v="0"/>
    <n v="0"/>
    <n v="0"/>
    <n v="0"/>
    <x v="0"/>
    <n v="101672.7616"/>
    <n v="101672.7616"/>
    <n v="0"/>
    <n v="0"/>
    <x v="0"/>
    <x v="13"/>
  </r>
  <r>
    <s v="ORD02305"/>
    <d v="2023-04-25T00:00:00"/>
    <x v="433"/>
    <x v="27"/>
    <n v="26"/>
    <s v="INV02305"/>
    <n v="26"/>
    <n v="723.1"/>
    <m/>
    <m/>
    <m/>
    <m/>
    <m/>
    <n v="723.1"/>
    <d v="2023-02-13T00:00:00"/>
    <n v="0"/>
    <n v="0"/>
    <n v="0"/>
    <n v="0"/>
    <n v="0"/>
    <n v="0"/>
    <n v="0"/>
    <x v="0"/>
    <n v="18800.600000000002"/>
    <n v="18800.600000000002"/>
    <n v="0"/>
    <n v="0"/>
    <x v="0"/>
    <x v="23"/>
  </r>
  <r>
    <s v="ORD02306"/>
    <d v="2023-10-29T00:00:00"/>
    <x v="268"/>
    <x v="269"/>
    <n v="43"/>
    <s v="INV02306"/>
    <n v="43"/>
    <n v="153.69479999999999"/>
    <m/>
    <m/>
    <m/>
    <m/>
    <m/>
    <n v="153.69479999999999"/>
    <d v="2023-02-03T00:00:00"/>
    <n v="0"/>
    <n v="0"/>
    <n v="0"/>
    <n v="0"/>
    <n v="0"/>
    <n v="0"/>
    <n v="0"/>
    <x v="0"/>
    <n v="6608.8763999999992"/>
    <n v="6608.8763999999992"/>
    <n v="0"/>
    <n v="0"/>
    <x v="0"/>
    <x v="19"/>
  </r>
  <r>
    <s v="ORD02307"/>
    <d v="2023-01-21T00:00:00"/>
    <x v="55"/>
    <x v="184"/>
    <n v="21"/>
    <s v="INV02307"/>
    <n v="21"/>
    <n v="440.25290000000001"/>
    <m/>
    <m/>
    <m/>
    <m/>
    <m/>
    <n v="440.25290000000001"/>
    <d v="2022-09-05T00:00:00"/>
    <n v="0"/>
    <n v="0"/>
    <n v="0"/>
    <n v="0"/>
    <n v="0"/>
    <n v="0"/>
    <n v="0"/>
    <x v="0"/>
    <n v="9245.3109000000004"/>
    <n v="9245.3109000000004"/>
    <n v="0"/>
    <n v="0"/>
    <x v="0"/>
    <x v="8"/>
  </r>
  <r>
    <s v="ORD02308"/>
    <d v="2023-07-30T00:00:00"/>
    <x v="28"/>
    <x v="82"/>
    <n v="181"/>
    <s v="INV02308"/>
    <n v="189"/>
    <n v="285.36900000000003"/>
    <m/>
    <m/>
    <m/>
    <m/>
    <m/>
    <n v="285.36900000000003"/>
    <d v="2023-01-06T00:00:00"/>
    <n v="0"/>
    <n v="1"/>
    <n v="0"/>
    <n v="0"/>
    <n v="0"/>
    <n v="0"/>
    <n v="0"/>
    <x v="1"/>
    <n v="53934.741000000002"/>
    <n v="51651.789000000004"/>
    <n v="2282.9519999999975"/>
    <n v="8"/>
    <x v="2"/>
    <x v="10"/>
  </r>
  <r>
    <s v="ORD02309"/>
    <d v="2024-07-22T00:00:00"/>
    <x v="417"/>
    <x v="201"/>
    <n v="184"/>
    <s v="INV02309"/>
    <n v="184"/>
    <n v="418.93040000000002"/>
    <m/>
    <m/>
    <m/>
    <m/>
    <m/>
    <n v="418.93040000000002"/>
    <d v="2023-10-15T00:00:00"/>
    <n v="0"/>
    <n v="0"/>
    <n v="0"/>
    <n v="0"/>
    <n v="0"/>
    <n v="0"/>
    <n v="0"/>
    <x v="0"/>
    <n v="77083.193599999999"/>
    <n v="77083.193599999999"/>
    <n v="0"/>
    <n v="0"/>
    <x v="0"/>
    <x v="21"/>
  </r>
  <r>
    <s v="ORD02310"/>
    <d v="2024-07-21T00:00:00"/>
    <x v="403"/>
    <x v="33"/>
    <n v="1"/>
    <s v="INV02310"/>
    <n v="1"/>
    <n v="54.580199999999998"/>
    <m/>
    <m/>
    <m/>
    <m/>
    <m/>
    <n v="54.580199999999998"/>
    <d v="2023-02-27T00:00:00"/>
    <n v="0"/>
    <n v="0"/>
    <n v="0"/>
    <n v="0"/>
    <n v="0"/>
    <n v="0"/>
    <n v="0"/>
    <x v="0"/>
    <n v="54.580199999999998"/>
    <n v="54.580199999999998"/>
    <n v="0"/>
    <n v="0"/>
    <x v="0"/>
    <x v="21"/>
  </r>
  <r>
    <s v="ORD02311"/>
    <d v="2023-09-10T00:00:00"/>
    <x v="732"/>
    <x v="128"/>
    <n v="64"/>
    <s v="INV02311"/>
    <n v="64"/>
    <n v="440.38799999999998"/>
    <m/>
    <m/>
    <m/>
    <m/>
    <m/>
    <n v="440.38799999999998"/>
    <d v="2023-03-31T00:00:00"/>
    <n v="0"/>
    <n v="0"/>
    <n v="0"/>
    <n v="0"/>
    <n v="0"/>
    <n v="0"/>
    <n v="0"/>
    <x v="0"/>
    <n v="28184.831999999999"/>
    <n v="28184.831999999999"/>
    <n v="0"/>
    <n v="0"/>
    <x v="0"/>
    <x v="18"/>
  </r>
  <r>
    <s v="ORD02312"/>
    <d v="2024-07-01T00:00:00"/>
    <x v="177"/>
    <x v="252"/>
    <n v="159"/>
    <s v="INV02312"/>
    <n v="159"/>
    <n v="681.36959999999999"/>
    <m/>
    <m/>
    <m/>
    <m/>
    <m/>
    <n v="681.36959999999999"/>
    <d v="2023-06-18T00:00:00"/>
    <n v="0"/>
    <n v="0"/>
    <n v="0"/>
    <n v="0"/>
    <n v="0"/>
    <n v="0"/>
    <n v="0"/>
    <x v="0"/>
    <n v="108337.76639999999"/>
    <n v="108337.76639999999"/>
    <n v="0"/>
    <n v="0"/>
    <x v="0"/>
    <x v="21"/>
  </r>
  <r>
    <s v="ORD02313"/>
    <d v="2023-01-21T00:00:00"/>
    <x v="510"/>
    <x v="69"/>
    <n v="141"/>
    <s v="INV02313"/>
    <n v="141"/>
    <n v="904.00099999999998"/>
    <n v="9"/>
    <d v="2023-10-14T00:00:00"/>
    <m/>
    <m/>
    <m/>
    <n v="904.00099999999998"/>
    <d v="2022-09-27T00:00:00"/>
    <n v="0"/>
    <n v="0"/>
    <n v="0"/>
    <n v="0"/>
    <n v="0"/>
    <n v="1"/>
    <n v="0"/>
    <x v="1"/>
    <n v="127464.141"/>
    <n v="127464.141"/>
    <n v="0"/>
    <n v="2"/>
    <x v="1"/>
    <x v="8"/>
  </r>
  <r>
    <s v="ORD02314"/>
    <d v="2023-05-13T00:00:00"/>
    <x v="270"/>
    <x v="193"/>
    <n v="111"/>
    <s v="INV02314"/>
    <n v="106"/>
    <n v="1040.4287999999999"/>
    <m/>
    <m/>
    <m/>
    <m/>
    <m/>
    <n v="1040.4287999999999"/>
    <d v="2023-03-31T00:00:00"/>
    <n v="0"/>
    <n v="1"/>
    <n v="0"/>
    <n v="0"/>
    <n v="0"/>
    <n v="0"/>
    <n v="0"/>
    <x v="1"/>
    <n v="110285.45279999998"/>
    <n v="115487.59679999998"/>
    <n v="-5202.1440000000002"/>
    <n v="8"/>
    <x v="2"/>
    <x v="7"/>
  </r>
  <r>
    <s v="ORD02315"/>
    <d v="2024-03-31T00:00:00"/>
    <x v="103"/>
    <x v="97"/>
    <n v="37"/>
    <s v="INV02315"/>
    <n v="37"/>
    <n v="664.57040000000006"/>
    <m/>
    <m/>
    <m/>
    <m/>
    <m/>
    <n v="664.57040000000006"/>
    <d v="2023-05-20T00:00:00"/>
    <n v="0"/>
    <n v="0"/>
    <n v="0"/>
    <n v="0"/>
    <n v="0"/>
    <n v="0"/>
    <n v="0"/>
    <x v="0"/>
    <n v="24589.104800000001"/>
    <n v="24589.104800000001"/>
    <n v="0"/>
    <n v="0"/>
    <x v="0"/>
    <x v="6"/>
  </r>
  <r>
    <s v="ORD02316"/>
    <d v="2024-02-11T00:00:00"/>
    <x v="575"/>
    <x v="123"/>
    <n v="170"/>
    <s v="INV02316"/>
    <n v="170"/>
    <n v="618.375"/>
    <m/>
    <m/>
    <m/>
    <m/>
    <m/>
    <n v="618.375"/>
    <d v="2023-07-17T00:00:00"/>
    <n v="0"/>
    <n v="0"/>
    <n v="0"/>
    <n v="0"/>
    <n v="0"/>
    <n v="0"/>
    <n v="0"/>
    <x v="0"/>
    <n v="105123.75"/>
    <n v="105123.75"/>
    <n v="0"/>
    <n v="0"/>
    <x v="0"/>
    <x v="3"/>
  </r>
  <r>
    <s v="ORD02317"/>
    <d v="2024-06-18T00:00:00"/>
    <x v="195"/>
    <x v="54"/>
    <n v="69"/>
    <s v="INV02317"/>
    <n v="64"/>
    <n v="465.21179999999998"/>
    <m/>
    <m/>
    <m/>
    <m/>
    <m/>
    <n v="465.21179999999998"/>
    <d v="2023-07-30T00:00:00"/>
    <n v="0"/>
    <n v="1"/>
    <n v="0"/>
    <n v="0"/>
    <n v="0"/>
    <n v="0"/>
    <n v="0"/>
    <x v="1"/>
    <n v="29773.555199999999"/>
    <n v="32099.6142"/>
    <n v="-2326.0590000000011"/>
    <n v="8"/>
    <x v="2"/>
    <x v="16"/>
  </r>
  <r>
    <s v="ORD02318"/>
    <d v="2023-07-29T00:00:00"/>
    <x v="413"/>
    <x v="49"/>
    <n v="120"/>
    <s v="INV02318"/>
    <n v="120"/>
    <n v="1040.9412"/>
    <n v="12"/>
    <d v="2024-01-04T00:00:00"/>
    <m/>
    <m/>
    <m/>
    <n v="1040.9412"/>
    <d v="2023-02-26T00:00:00"/>
    <n v="0"/>
    <n v="0"/>
    <n v="0"/>
    <n v="0"/>
    <n v="0"/>
    <n v="1"/>
    <n v="0"/>
    <x v="1"/>
    <n v="124912.944"/>
    <n v="124912.944"/>
    <n v="0"/>
    <n v="2"/>
    <x v="1"/>
    <x v="10"/>
  </r>
  <r>
    <s v="ORD02319"/>
    <d v="2024-10-06T00:00:00"/>
    <x v="641"/>
    <x v="291"/>
    <n v="13"/>
    <s v="INV02319"/>
    <n v="13"/>
    <n v="933.43190000000004"/>
    <m/>
    <m/>
    <m/>
    <m/>
    <m/>
    <n v="933.43190000000004"/>
    <d v="2023-03-26T00:00:00"/>
    <n v="0"/>
    <n v="0"/>
    <n v="0"/>
    <n v="0"/>
    <n v="0"/>
    <n v="0"/>
    <n v="0"/>
    <x v="0"/>
    <n v="12134.6147"/>
    <n v="12134.6147"/>
    <n v="0"/>
    <n v="0"/>
    <x v="0"/>
    <x v="5"/>
  </r>
  <r>
    <s v="ORD02320"/>
    <d v="2023-08-03T00:00:00"/>
    <x v="312"/>
    <x v="111"/>
    <n v="89"/>
    <s v="INV02320"/>
    <n v="89"/>
    <n v="147.17669999999998"/>
    <m/>
    <m/>
    <m/>
    <m/>
    <m/>
    <n v="147.17669999999998"/>
    <d v="2023-04-23T00:00:00"/>
    <n v="0"/>
    <n v="0"/>
    <n v="0"/>
    <n v="0"/>
    <n v="0"/>
    <n v="0"/>
    <n v="0"/>
    <x v="0"/>
    <n v="13098.726299999998"/>
    <n v="13098.726299999998"/>
    <n v="0"/>
    <n v="0"/>
    <x v="0"/>
    <x v="12"/>
  </r>
  <r>
    <s v="ORD02321"/>
    <d v="2024-02-28T00:00:00"/>
    <x v="490"/>
    <x v="80"/>
    <n v="188"/>
    <s v="INV02321"/>
    <n v="188"/>
    <n v="1014.5718000000001"/>
    <m/>
    <m/>
    <m/>
    <m/>
    <m/>
    <n v="1014.5718000000001"/>
    <d v="2023-04-19T00:00:00"/>
    <n v="0"/>
    <n v="0"/>
    <n v="0"/>
    <n v="0"/>
    <n v="0"/>
    <n v="0"/>
    <n v="0"/>
    <x v="0"/>
    <n v="190739.49840000001"/>
    <n v="190739.49840000001"/>
    <n v="0"/>
    <n v="0"/>
    <x v="0"/>
    <x v="3"/>
  </r>
  <r>
    <s v="ORD02322"/>
    <d v="2024-02-26T00:00:00"/>
    <x v="337"/>
    <x v="3"/>
    <n v="124"/>
    <s v="INV02322"/>
    <n v="124"/>
    <n v="849.43949999999995"/>
    <m/>
    <m/>
    <m/>
    <m/>
    <m/>
    <n v="849.43949999999995"/>
    <d v="2023-07-07T00:00:00"/>
    <n v="0"/>
    <n v="0"/>
    <n v="0"/>
    <n v="0"/>
    <n v="0"/>
    <n v="0"/>
    <n v="0"/>
    <x v="0"/>
    <n v="105330.49799999999"/>
    <n v="105330.49799999999"/>
    <n v="0"/>
    <n v="0"/>
    <x v="0"/>
    <x v="3"/>
  </r>
  <r>
    <s v="ORD02323"/>
    <d v="2024-05-17T00:00:00"/>
    <x v="465"/>
    <x v="293"/>
    <n v="31"/>
    <s v="INV02323"/>
    <n v="31"/>
    <n v="104.9652"/>
    <m/>
    <m/>
    <m/>
    <m/>
    <m/>
    <n v="104.9652"/>
    <d v="2023-05-20T00:00:00"/>
    <n v="0"/>
    <n v="0"/>
    <n v="0"/>
    <n v="0"/>
    <n v="0"/>
    <n v="0"/>
    <n v="0"/>
    <x v="0"/>
    <n v="3253.9211999999998"/>
    <n v="3253.9211999999998"/>
    <n v="0"/>
    <n v="0"/>
    <x v="0"/>
    <x v="13"/>
  </r>
  <r>
    <s v="ORD02324"/>
    <d v="2023-05-06T00:00:00"/>
    <x v="50"/>
    <x v="244"/>
    <n v="124"/>
    <s v="INV02324"/>
    <n v="124"/>
    <n v="1114.3462"/>
    <m/>
    <m/>
    <m/>
    <m/>
    <m/>
    <n v="1114.3462"/>
    <d v="2023-03-30T00:00:00"/>
    <n v="0"/>
    <n v="0"/>
    <n v="0"/>
    <n v="0"/>
    <n v="0"/>
    <n v="0"/>
    <n v="0"/>
    <x v="0"/>
    <n v="138178.92879999999"/>
    <n v="138178.92879999999"/>
    <n v="0"/>
    <n v="0"/>
    <x v="0"/>
    <x v="7"/>
  </r>
  <r>
    <s v="ORD02325"/>
    <d v="2023-07-21T00:00:00"/>
    <x v="458"/>
    <x v="224"/>
    <n v="107"/>
    <s v="INV02325"/>
    <n v="107"/>
    <n v="377.08350000000002"/>
    <m/>
    <m/>
    <m/>
    <m/>
    <m/>
    <n v="377.08350000000002"/>
    <d v="2023-05-18T00:00:00"/>
    <n v="0"/>
    <n v="0"/>
    <n v="0"/>
    <n v="0"/>
    <n v="0"/>
    <n v="0"/>
    <n v="0"/>
    <x v="0"/>
    <n v="40347.934500000003"/>
    <n v="40347.934500000003"/>
    <n v="0"/>
    <n v="0"/>
    <x v="0"/>
    <x v="10"/>
  </r>
  <r>
    <s v="ORD02326"/>
    <d v="2023-08-14T00:00:00"/>
    <x v="552"/>
    <x v="155"/>
    <n v="187"/>
    <s v="INV02326"/>
    <n v="187"/>
    <n v="565.82459999999992"/>
    <m/>
    <m/>
    <m/>
    <m/>
    <m/>
    <n v="565.82459999999992"/>
    <d v="2023-03-28T00:00:00"/>
    <n v="0"/>
    <n v="0"/>
    <n v="0"/>
    <n v="0"/>
    <n v="0"/>
    <n v="0"/>
    <n v="0"/>
    <x v="0"/>
    <n v="105809.20019999999"/>
    <n v="105809.20019999999"/>
    <n v="0"/>
    <n v="0"/>
    <x v="0"/>
    <x v="12"/>
  </r>
  <r>
    <s v="ORD02327"/>
    <d v="2024-07-31T00:00:00"/>
    <x v="470"/>
    <x v="21"/>
    <n v="66"/>
    <s v="INV02327"/>
    <n v="66"/>
    <n v="561.4076"/>
    <m/>
    <m/>
    <m/>
    <m/>
    <m/>
    <n v="561.4076"/>
    <d v="2023-03-21T00:00:00"/>
    <n v="0"/>
    <n v="0"/>
    <n v="0"/>
    <n v="0"/>
    <n v="0"/>
    <n v="0"/>
    <n v="0"/>
    <x v="0"/>
    <n v="37052.901599999997"/>
    <n v="37052.901599999997"/>
    <n v="0"/>
    <n v="0"/>
    <x v="0"/>
    <x v="21"/>
  </r>
  <r>
    <s v="ORD02328"/>
    <d v="2024-08-16T00:00:00"/>
    <x v="208"/>
    <x v="80"/>
    <n v="31"/>
    <s v="INV02328"/>
    <n v="31"/>
    <n v="1014.5718000000001"/>
    <m/>
    <m/>
    <m/>
    <m/>
    <m/>
    <n v="1014.5718000000001"/>
    <d v="2023-04-19T00:00:00"/>
    <n v="0"/>
    <n v="0"/>
    <n v="0"/>
    <n v="0"/>
    <n v="0"/>
    <n v="0"/>
    <n v="0"/>
    <x v="0"/>
    <n v="31451.7258"/>
    <n v="31451.7258"/>
    <n v="0"/>
    <n v="0"/>
    <x v="0"/>
    <x v="22"/>
  </r>
  <r>
    <s v="ORD02329"/>
    <d v="2023-05-09T00:00:00"/>
    <x v="517"/>
    <x v="224"/>
    <n v="91"/>
    <s v="INV02329"/>
    <n v="91"/>
    <n v="358.416"/>
    <m/>
    <m/>
    <m/>
    <m/>
    <m/>
    <n v="358.416"/>
    <d v="2022-09-20T00:00:00"/>
    <n v="0"/>
    <n v="0"/>
    <n v="0"/>
    <n v="0"/>
    <n v="0"/>
    <n v="0"/>
    <n v="0"/>
    <x v="0"/>
    <n v="32615.856"/>
    <n v="32615.856"/>
    <n v="0"/>
    <n v="0"/>
    <x v="0"/>
    <x v="7"/>
  </r>
  <r>
    <s v="ORD02330"/>
    <d v="2023-05-25T00:00:00"/>
    <x v="347"/>
    <x v="81"/>
    <n v="136"/>
    <s v="INV02330"/>
    <n v="136"/>
    <n v="263.89999999999998"/>
    <m/>
    <m/>
    <m/>
    <m/>
    <m/>
    <n v="263.89999999999998"/>
    <d v="2022-10-21T00:00:00"/>
    <n v="0"/>
    <n v="0"/>
    <n v="0"/>
    <n v="0"/>
    <n v="0"/>
    <n v="0"/>
    <n v="0"/>
    <x v="0"/>
    <n v="35890.399999999994"/>
    <n v="35890.399999999994"/>
    <n v="0"/>
    <n v="0"/>
    <x v="0"/>
    <x v="7"/>
  </r>
  <r>
    <s v="ORD02331"/>
    <d v="2023-09-26T00:00:00"/>
    <x v="376"/>
    <x v="63"/>
    <n v="178"/>
    <s v="INV02331"/>
    <n v="178"/>
    <n v="96.6"/>
    <m/>
    <m/>
    <m/>
    <m/>
    <m/>
    <n v="96.6"/>
    <d v="2023-06-28T00:00:00"/>
    <n v="0"/>
    <n v="0"/>
    <n v="0"/>
    <n v="0"/>
    <n v="0"/>
    <n v="0"/>
    <n v="0"/>
    <x v="0"/>
    <n v="17194.8"/>
    <n v="17194.8"/>
    <n v="0"/>
    <n v="0"/>
    <x v="0"/>
    <x v="18"/>
  </r>
  <r>
    <s v="ORD02332"/>
    <d v="2024-07-05T00:00:00"/>
    <x v="701"/>
    <x v="267"/>
    <n v="158"/>
    <s v="INV02332"/>
    <n v="158"/>
    <n v="68.942999999999998"/>
    <n v="15"/>
    <d v="2023-12-31T00:00:00"/>
    <m/>
    <m/>
    <m/>
    <n v="68.942999999999998"/>
    <d v="2023-03-13T00:00:00"/>
    <n v="0"/>
    <n v="0"/>
    <n v="0"/>
    <n v="0"/>
    <n v="0"/>
    <n v="0"/>
    <n v="0"/>
    <x v="0"/>
    <n v="10892.993999999999"/>
    <n v="10892.993999999999"/>
    <n v="0"/>
    <n v="0"/>
    <x v="0"/>
    <x v="21"/>
  </r>
  <r>
    <s v="ORD02333"/>
    <d v="2024-05-07T00:00:00"/>
    <x v="237"/>
    <x v="256"/>
    <n v="159"/>
    <s v="INV02333"/>
    <n v="159"/>
    <n v="717.0471"/>
    <m/>
    <m/>
    <m/>
    <m/>
    <m/>
    <n v="717.0471"/>
    <d v="2023-02-27T00:00:00"/>
    <n v="0"/>
    <n v="0"/>
    <n v="0"/>
    <n v="0"/>
    <n v="0"/>
    <n v="0"/>
    <n v="0"/>
    <x v="0"/>
    <n v="114010.4889"/>
    <n v="114010.4889"/>
    <n v="0"/>
    <n v="0"/>
    <x v="0"/>
    <x v="13"/>
  </r>
  <r>
    <s v="ORD02334"/>
    <d v="2024-08-16T00:00:00"/>
    <x v="612"/>
    <x v="99"/>
    <n v="29"/>
    <s v="INV02334"/>
    <n v="29"/>
    <n v="1171.7046"/>
    <m/>
    <m/>
    <m/>
    <m/>
    <m/>
    <n v="1171.7046"/>
    <d v="2023-05-31T00:00:00"/>
    <n v="0"/>
    <n v="0"/>
    <n v="0"/>
    <n v="0"/>
    <n v="0"/>
    <n v="0"/>
    <n v="0"/>
    <x v="0"/>
    <n v="33979.433400000002"/>
    <n v="33979.433400000002"/>
    <n v="0"/>
    <n v="0"/>
    <x v="0"/>
    <x v="22"/>
  </r>
  <r>
    <s v="ORD02335"/>
    <d v="2024-05-02T00:00:00"/>
    <x v="404"/>
    <x v="127"/>
    <n v="53"/>
    <s v="INV02335"/>
    <n v="53"/>
    <n v="343.34190000000001"/>
    <m/>
    <m/>
    <m/>
    <m/>
    <m/>
    <n v="343.34190000000001"/>
    <d v="2023-07-19T00:00:00"/>
    <n v="0"/>
    <n v="0"/>
    <n v="0"/>
    <n v="0"/>
    <n v="0"/>
    <n v="0"/>
    <n v="0"/>
    <x v="0"/>
    <n v="18197.120699999999"/>
    <n v="18197.120699999999"/>
    <n v="0"/>
    <n v="0"/>
    <x v="0"/>
    <x v="13"/>
  </r>
  <r>
    <s v="ORD02336"/>
    <d v="2023-04-16T00:00:00"/>
    <x v="490"/>
    <x v="210"/>
    <n v="17"/>
    <s v="INV02336"/>
    <n v="17"/>
    <n v="512.04"/>
    <m/>
    <m/>
    <m/>
    <m/>
    <m/>
    <n v="512.04"/>
    <d v="2023-01-02T00:00:00"/>
    <n v="0"/>
    <n v="0"/>
    <n v="0"/>
    <n v="0"/>
    <n v="0"/>
    <n v="0"/>
    <n v="0"/>
    <x v="0"/>
    <n v="8704.68"/>
    <n v="8704.68"/>
    <n v="0"/>
    <n v="0"/>
    <x v="0"/>
    <x v="23"/>
  </r>
  <r>
    <s v="ORD02337"/>
    <d v="2023-10-14T00:00:00"/>
    <x v="219"/>
    <x v="9"/>
    <n v="80"/>
    <s v="INV02337"/>
    <n v="80"/>
    <n v="397.40159999999997"/>
    <m/>
    <m/>
    <m/>
    <m/>
    <m/>
    <n v="397.40159999999997"/>
    <d v="2023-04-05T00:00:00"/>
    <n v="0"/>
    <n v="0"/>
    <n v="0"/>
    <n v="0"/>
    <n v="0"/>
    <n v="0"/>
    <n v="0"/>
    <x v="0"/>
    <n v="31792.127999999997"/>
    <n v="31792.127999999997"/>
    <n v="0"/>
    <n v="0"/>
    <x v="0"/>
    <x v="19"/>
  </r>
  <r>
    <s v="ORD02338"/>
    <d v="2023-04-29T00:00:00"/>
    <x v="334"/>
    <x v="191"/>
    <n v="122"/>
    <s v="INV02338"/>
    <n v="122"/>
    <n v="312.55"/>
    <n v="20"/>
    <d v="2024-02-05T00:00:00"/>
    <m/>
    <m/>
    <m/>
    <n v="312.55"/>
    <d v="2023-01-16T00:00:00"/>
    <n v="0"/>
    <n v="0"/>
    <n v="0"/>
    <n v="0"/>
    <n v="0"/>
    <n v="1"/>
    <n v="0"/>
    <x v="1"/>
    <n v="38131.1"/>
    <n v="38131.1"/>
    <n v="0"/>
    <n v="2"/>
    <x v="1"/>
    <x v="23"/>
  </r>
  <r>
    <s v="ORD02339"/>
    <d v="2023-01-23T00:00:00"/>
    <x v="286"/>
    <x v="233"/>
    <n v="92"/>
    <s v="INV02339"/>
    <n v="92"/>
    <n v="747.51"/>
    <m/>
    <m/>
    <m/>
    <m/>
    <m/>
    <n v="747.51"/>
    <d v="2022-01-21T00:00:00"/>
    <n v="0"/>
    <n v="0"/>
    <n v="0"/>
    <n v="0"/>
    <n v="0"/>
    <n v="0"/>
    <n v="0"/>
    <x v="0"/>
    <n v="68770.92"/>
    <n v="68770.92"/>
    <n v="0"/>
    <n v="0"/>
    <x v="0"/>
    <x v="8"/>
  </r>
  <r>
    <s v="ORD02340"/>
    <d v="2024-03-09T00:00:00"/>
    <x v="641"/>
    <x v="226"/>
    <n v="115"/>
    <s v="INV02340"/>
    <n v="123"/>
    <n v="1067.6925000000001"/>
    <m/>
    <m/>
    <m/>
    <m/>
    <m/>
    <n v="1067.6925000000001"/>
    <d v="2023-03-14T00:00:00"/>
    <n v="0"/>
    <n v="1"/>
    <n v="0"/>
    <n v="0"/>
    <n v="0"/>
    <n v="0"/>
    <n v="0"/>
    <x v="1"/>
    <n v="131326.17750000002"/>
    <n v="122784.63750000001"/>
    <n v="8541.5400000000081"/>
    <n v="8"/>
    <x v="2"/>
    <x v="6"/>
  </r>
  <r>
    <s v="ORD02341"/>
    <d v="2023-07-06T00:00:00"/>
    <x v="219"/>
    <x v="239"/>
    <n v="102"/>
    <s v="INV02341"/>
    <n v="102"/>
    <n v="1197.9306999999999"/>
    <m/>
    <m/>
    <m/>
    <m/>
    <m/>
    <n v="1197.9306999999999"/>
    <d v="2023-06-12T00:00:00"/>
    <n v="0"/>
    <n v="0"/>
    <n v="0"/>
    <n v="0"/>
    <n v="0"/>
    <n v="0"/>
    <n v="0"/>
    <x v="0"/>
    <n v="122188.93139999999"/>
    <n v="122188.93139999999"/>
    <n v="0"/>
    <n v="0"/>
    <x v="0"/>
    <x v="10"/>
  </r>
  <r>
    <s v="ORD02342"/>
    <d v="2024-04-11T00:00:00"/>
    <x v="204"/>
    <x v="132"/>
    <n v="60"/>
    <s v="INV02342"/>
    <n v="56"/>
    <n v="744.44590000000005"/>
    <m/>
    <m/>
    <m/>
    <m/>
    <m/>
    <n v="744.44590000000005"/>
    <d v="2023-03-23T00:00:00"/>
    <n v="0"/>
    <n v="1"/>
    <n v="0"/>
    <n v="0"/>
    <n v="0"/>
    <n v="0"/>
    <n v="0"/>
    <x v="1"/>
    <n v="41688.970400000006"/>
    <n v="44666.754000000001"/>
    <n v="-2977.7835999999952"/>
    <n v="8"/>
    <x v="2"/>
    <x v="9"/>
  </r>
  <r>
    <s v="ORD02343"/>
    <d v="2023-10-02T00:00:00"/>
    <x v="610"/>
    <x v="67"/>
    <n v="56"/>
    <s v="INV02343"/>
    <n v="56"/>
    <n v="1016.9848"/>
    <m/>
    <m/>
    <m/>
    <m/>
    <m/>
    <n v="1016.9848"/>
    <d v="2023-04-17T00:00:00"/>
    <n v="0"/>
    <n v="0"/>
    <n v="0"/>
    <n v="0"/>
    <n v="0"/>
    <n v="0"/>
    <n v="0"/>
    <x v="0"/>
    <n v="56951.148799999995"/>
    <n v="56951.148799999995"/>
    <n v="0"/>
    <n v="0"/>
    <x v="0"/>
    <x v="19"/>
  </r>
  <r>
    <s v="ORD02344"/>
    <d v="2024-03-08T00:00:00"/>
    <x v="757"/>
    <x v="41"/>
    <n v="76"/>
    <s v="INV02344"/>
    <n v="76"/>
    <n v="1211.7708"/>
    <m/>
    <m/>
    <m/>
    <m/>
    <m/>
    <n v="1211.7708"/>
    <d v="2023-09-24T00:00:00"/>
    <n v="0"/>
    <n v="0"/>
    <n v="0"/>
    <n v="0"/>
    <n v="0"/>
    <n v="0"/>
    <n v="0"/>
    <x v="0"/>
    <n v="92094.580799999996"/>
    <n v="92094.580799999996"/>
    <n v="0"/>
    <n v="0"/>
    <x v="0"/>
    <x v="6"/>
  </r>
  <r>
    <s v="ORD02345"/>
    <d v="2024-10-11T00:00:00"/>
    <x v="623"/>
    <x v="251"/>
    <n v="181"/>
    <s v="INV02345"/>
    <n v="181"/>
    <n v="75.504800000000003"/>
    <m/>
    <m/>
    <m/>
    <m/>
    <m/>
    <n v="75.504800000000003"/>
    <d v="2023-06-03T00:00:00"/>
    <n v="0"/>
    <n v="0"/>
    <n v="0"/>
    <n v="0"/>
    <n v="0"/>
    <n v="0"/>
    <n v="0"/>
    <x v="0"/>
    <n v="13666.3688"/>
    <n v="13666.3688"/>
    <n v="0"/>
    <n v="0"/>
    <x v="0"/>
    <x v="5"/>
  </r>
  <r>
    <s v="ORD02346"/>
    <d v="2024-09-17T00:00:00"/>
    <x v="65"/>
    <x v="281"/>
    <n v="156"/>
    <s v="INV02346"/>
    <n v="156"/>
    <n v="696.93029999999999"/>
    <m/>
    <m/>
    <m/>
    <m/>
    <m/>
    <n v="696.93029999999999"/>
    <d v="2023-08-12T00:00:00"/>
    <n v="0"/>
    <n v="0"/>
    <n v="0"/>
    <n v="0"/>
    <n v="0"/>
    <n v="0"/>
    <n v="0"/>
    <x v="0"/>
    <n v="108721.1268"/>
    <n v="108721.1268"/>
    <n v="0"/>
    <n v="0"/>
    <x v="0"/>
    <x v="2"/>
  </r>
  <r>
    <s v="ORD02347"/>
    <d v="2024-10-29T00:00:00"/>
    <x v="282"/>
    <x v="238"/>
    <n v="96"/>
    <s v="INV02347"/>
    <n v="96"/>
    <n v="1137.9636"/>
    <m/>
    <m/>
    <m/>
    <m/>
    <m/>
    <n v="1137.9636"/>
    <d v="2023-03-22T00:00:00"/>
    <n v="0"/>
    <n v="0"/>
    <n v="0"/>
    <n v="0"/>
    <n v="0"/>
    <n v="0"/>
    <n v="0"/>
    <x v="0"/>
    <n v="109244.5056"/>
    <n v="109244.5056"/>
    <n v="0"/>
    <n v="0"/>
    <x v="0"/>
    <x v="5"/>
  </r>
  <r>
    <s v="ORD02348"/>
    <d v="2023-11-06T00:00:00"/>
    <x v="549"/>
    <x v="22"/>
    <n v="41"/>
    <s v="INV02348"/>
    <n v="41"/>
    <n v="626.68790000000001"/>
    <m/>
    <m/>
    <m/>
    <m/>
    <m/>
    <n v="626.68790000000001"/>
    <d v="2023-06-26T00:00:00"/>
    <n v="0"/>
    <n v="0"/>
    <n v="0"/>
    <n v="0"/>
    <n v="0"/>
    <n v="0"/>
    <n v="0"/>
    <x v="0"/>
    <n v="25694.2039"/>
    <n v="25694.2039"/>
    <n v="0"/>
    <n v="0"/>
    <x v="0"/>
    <x v="0"/>
  </r>
  <r>
    <s v="ORD02349"/>
    <d v="2024-08-14T00:00:00"/>
    <x v="326"/>
    <x v="160"/>
    <n v="107"/>
    <s v="INV02349"/>
    <n v="107"/>
    <n v="419.71280000000002"/>
    <m/>
    <m/>
    <m/>
    <m/>
    <m/>
    <n v="419.71280000000002"/>
    <d v="2023-10-15T00:00:00"/>
    <n v="0"/>
    <n v="0"/>
    <n v="0"/>
    <n v="0"/>
    <n v="0"/>
    <n v="0"/>
    <n v="0"/>
    <x v="0"/>
    <n v="44909.2696"/>
    <n v="44909.2696"/>
    <n v="0"/>
    <n v="0"/>
    <x v="0"/>
    <x v="22"/>
  </r>
  <r>
    <s v="ORD02350"/>
    <d v="2024-03-14T00:00:00"/>
    <x v="731"/>
    <x v="101"/>
    <n v="187"/>
    <s v="INV02350"/>
    <n v="187"/>
    <n v="1223.9694"/>
    <m/>
    <m/>
    <m/>
    <m/>
    <m/>
    <n v="1223.9694"/>
    <d v="2023-08-16T00:00:00"/>
    <n v="0"/>
    <n v="0"/>
    <n v="0"/>
    <n v="0"/>
    <n v="0"/>
    <n v="0"/>
    <n v="0"/>
    <x v="0"/>
    <n v="228882.27779999998"/>
    <n v="228882.27779999998"/>
    <n v="0"/>
    <n v="0"/>
    <x v="0"/>
    <x v="6"/>
  </r>
  <r>
    <s v="ORD02351"/>
    <d v="2024-07-19T00:00:00"/>
    <x v="185"/>
    <x v="67"/>
    <n v="173"/>
    <s v="INV02351"/>
    <n v="173"/>
    <n v="1016.9848"/>
    <m/>
    <m/>
    <m/>
    <m/>
    <m/>
    <n v="1016.9848"/>
    <d v="2023-04-17T00:00:00"/>
    <n v="0"/>
    <n v="0"/>
    <n v="0"/>
    <n v="0"/>
    <n v="0"/>
    <n v="0"/>
    <n v="0"/>
    <x v="0"/>
    <n v="175938.37039999999"/>
    <n v="175938.37039999999"/>
    <n v="0"/>
    <n v="0"/>
    <x v="0"/>
    <x v="21"/>
  </r>
  <r>
    <s v="ORD02352"/>
    <d v="2023-06-28T00:00:00"/>
    <x v="200"/>
    <x v="198"/>
    <n v="33"/>
    <s v="INV02352"/>
    <n v="33"/>
    <n v="906.88919999999996"/>
    <m/>
    <m/>
    <m/>
    <m/>
    <m/>
    <n v="906.88919999999996"/>
    <d v="2023-03-06T00:00:00"/>
    <n v="0"/>
    <n v="0"/>
    <n v="0"/>
    <n v="0"/>
    <n v="0"/>
    <n v="0"/>
    <n v="0"/>
    <x v="0"/>
    <n v="29927.3436"/>
    <n v="29927.3436"/>
    <n v="0"/>
    <n v="0"/>
    <x v="0"/>
    <x v="14"/>
  </r>
  <r>
    <s v="ORD02353"/>
    <d v="2024-03-20T00:00:00"/>
    <x v="729"/>
    <x v="20"/>
    <n v="104"/>
    <s v="INV02353"/>
    <n v="104"/>
    <n v="1047.5302305266457"/>
    <m/>
    <m/>
    <m/>
    <m/>
    <m/>
    <n v="1046.6099999999999"/>
    <d v="2023-01-14T00:00:00"/>
    <n v="0"/>
    <n v="0"/>
    <n v="1"/>
    <n v="0"/>
    <n v="0"/>
    <n v="0"/>
    <n v="0"/>
    <x v="1"/>
    <n v="108943.14397477116"/>
    <n v="108847.43999999999"/>
    <n v="95.70397477116785"/>
    <n v="4"/>
    <x v="1"/>
    <x v="6"/>
  </r>
  <r>
    <s v="ORD02354"/>
    <d v="2023-01-17T00:00:00"/>
    <x v="604"/>
    <x v="222"/>
    <n v="3"/>
    <s v="INV02354"/>
    <n v="3"/>
    <n v="257.77999999999997"/>
    <m/>
    <m/>
    <m/>
    <m/>
    <m/>
    <n v="257.77999999999997"/>
    <d v="2022-06-13T00:00:00"/>
    <n v="0"/>
    <n v="0"/>
    <n v="0"/>
    <n v="0"/>
    <n v="0"/>
    <n v="0"/>
    <n v="0"/>
    <x v="0"/>
    <n v="773.33999999999992"/>
    <n v="773.33999999999992"/>
    <n v="0"/>
    <n v="0"/>
    <x v="0"/>
    <x v="8"/>
  </r>
  <r>
    <s v="ORD02355"/>
    <d v="2023-06-20T00:00:00"/>
    <x v="428"/>
    <x v="293"/>
    <n v="96"/>
    <s v="INV02355"/>
    <n v="96"/>
    <n v="104.9652"/>
    <n v="13"/>
    <d v="2024-02-09T00:00:00"/>
    <m/>
    <m/>
    <m/>
    <n v="104.9652"/>
    <d v="2023-05-20T00:00:00"/>
    <n v="0"/>
    <n v="0"/>
    <n v="0"/>
    <n v="0"/>
    <n v="0"/>
    <n v="1"/>
    <n v="0"/>
    <x v="1"/>
    <n v="10076.6592"/>
    <n v="10076.6592"/>
    <n v="0"/>
    <n v="2"/>
    <x v="1"/>
    <x v="14"/>
  </r>
  <r>
    <s v="ORD02356"/>
    <d v="2023-12-27T00:00:00"/>
    <x v="84"/>
    <x v="260"/>
    <n v="126"/>
    <s v="INV02356"/>
    <n v="126"/>
    <n v="990.72749999999996"/>
    <m/>
    <m/>
    <m/>
    <m/>
    <m/>
    <n v="990.72749999999996"/>
    <d v="2023-05-22T00:00:00"/>
    <n v="0"/>
    <n v="0"/>
    <n v="0"/>
    <n v="0"/>
    <n v="0"/>
    <n v="0"/>
    <n v="0"/>
    <x v="0"/>
    <n v="124831.66499999999"/>
    <n v="124831.66499999999"/>
    <n v="0"/>
    <n v="0"/>
    <x v="0"/>
    <x v="20"/>
  </r>
  <r>
    <s v="ORD02357"/>
    <d v="2023-12-24T00:00:00"/>
    <x v="239"/>
    <x v="165"/>
    <n v="10"/>
    <s v="INV02357"/>
    <n v="10"/>
    <n v="991.99"/>
    <m/>
    <m/>
    <m/>
    <m/>
    <m/>
    <n v="991.99"/>
    <d v="2023-02-19T00:00:00"/>
    <n v="0"/>
    <n v="0"/>
    <n v="0"/>
    <n v="0"/>
    <n v="0"/>
    <n v="0"/>
    <n v="0"/>
    <x v="0"/>
    <n v="9919.9"/>
    <n v="9919.9"/>
    <n v="0"/>
    <n v="0"/>
    <x v="0"/>
    <x v="20"/>
  </r>
  <r>
    <s v="ORD02358"/>
    <d v="2024-07-20T00:00:00"/>
    <x v="612"/>
    <x v="28"/>
    <n v="110"/>
    <s v="INV02358"/>
    <n v="110"/>
    <n v="957.65700000000015"/>
    <m/>
    <m/>
    <m/>
    <m/>
    <m/>
    <n v="957.65700000000015"/>
    <d v="2023-05-11T00:00:00"/>
    <n v="0"/>
    <n v="0"/>
    <n v="0"/>
    <n v="0"/>
    <n v="0"/>
    <n v="0"/>
    <n v="0"/>
    <x v="0"/>
    <n v="105342.27000000002"/>
    <n v="105342.27000000002"/>
    <n v="0"/>
    <n v="0"/>
    <x v="0"/>
    <x v="21"/>
  </r>
  <r>
    <s v="ORD02359"/>
    <d v="2023-02-03T00:00:00"/>
    <x v="412"/>
    <x v="50"/>
    <n v="9"/>
    <s v="INV02359"/>
    <n v="9"/>
    <n v="47.936999999999998"/>
    <m/>
    <m/>
    <m/>
    <m/>
    <m/>
    <n v="47.936999999999998"/>
    <d v="2023-01-08T00:00:00"/>
    <n v="0"/>
    <n v="0"/>
    <n v="0"/>
    <n v="0"/>
    <n v="0"/>
    <n v="0"/>
    <n v="0"/>
    <x v="0"/>
    <n v="431.43299999999999"/>
    <n v="431.43299999999999"/>
    <n v="0"/>
    <n v="0"/>
    <x v="0"/>
    <x v="11"/>
  </r>
  <r>
    <s v="ORD02360"/>
    <d v="2024-04-28T00:00:00"/>
    <x v="395"/>
    <x v="288"/>
    <n v="145"/>
    <s v="INV02360"/>
    <n v="145"/>
    <n v="907.24260000000004"/>
    <m/>
    <m/>
    <m/>
    <m/>
    <m/>
    <n v="907.24260000000004"/>
    <d v="2023-10-23T00:00:00"/>
    <n v="0"/>
    <n v="0"/>
    <n v="0"/>
    <n v="0"/>
    <n v="0"/>
    <n v="0"/>
    <n v="0"/>
    <x v="0"/>
    <n v="131550.177"/>
    <n v="131550.177"/>
    <n v="0"/>
    <n v="0"/>
    <x v="0"/>
    <x v="9"/>
  </r>
  <r>
    <s v="ORD02361"/>
    <d v="2023-04-14T00:00:00"/>
    <x v="112"/>
    <x v="189"/>
    <n v="53"/>
    <s v="INV02361"/>
    <n v="53"/>
    <n v="75.847200000000001"/>
    <m/>
    <m/>
    <m/>
    <m/>
    <m/>
    <n v="75.847200000000001"/>
    <d v="2023-03-06T00:00:00"/>
    <n v="0"/>
    <n v="0"/>
    <n v="0"/>
    <n v="0"/>
    <n v="0"/>
    <n v="0"/>
    <n v="0"/>
    <x v="0"/>
    <n v="4019.9016000000001"/>
    <n v="4019.9016000000001"/>
    <n v="0"/>
    <n v="0"/>
    <x v="0"/>
    <x v="23"/>
  </r>
  <r>
    <s v="ORD02362"/>
    <d v="2024-07-07T00:00:00"/>
    <x v="557"/>
    <x v="51"/>
    <n v="99"/>
    <s v="INV02362"/>
    <n v="99"/>
    <n v="580.38720000000001"/>
    <m/>
    <m/>
    <m/>
    <m/>
    <m/>
    <n v="580.38720000000001"/>
    <d v="2023-09-11T00:00:00"/>
    <n v="0"/>
    <n v="0"/>
    <n v="0"/>
    <n v="0"/>
    <n v="0"/>
    <n v="0"/>
    <n v="0"/>
    <x v="0"/>
    <n v="57458.332800000004"/>
    <n v="57458.332800000004"/>
    <n v="0"/>
    <n v="0"/>
    <x v="0"/>
    <x v="21"/>
  </r>
  <r>
    <s v="ORD02363"/>
    <d v="2023-03-27T00:00:00"/>
    <x v="626"/>
    <x v="198"/>
    <n v="8"/>
    <s v="INV02363"/>
    <n v="8"/>
    <n v="906.88919999999996"/>
    <m/>
    <m/>
    <m/>
    <m/>
    <m/>
    <n v="906.88919999999996"/>
    <d v="2023-03-06T00:00:00"/>
    <n v="0"/>
    <n v="0"/>
    <n v="0"/>
    <n v="0"/>
    <n v="0"/>
    <n v="0"/>
    <n v="0"/>
    <x v="0"/>
    <n v="7255.1135999999997"/>
    <n v="7255.1135999999997"/>
    <n v="0"/>
    <n v="0"/>
    <x v="0"/>
    <x v="17"/>
  </r>
  <r>
    <s v="ORD02364"/>
    <d v="2024-08-18T00:00:00"/>
    <x v="29"/>
    <x v="188"/>
    <n v="170"/>
    <s v="INV02364"/>
    <n v="170"/>
    <n v="73.305100000000024"/>
    <m/>
    <m/>
    <m/>
    <m/>
    <m/>
    <n v="73.305100000000024"/>
    <d v="2023-04-30T00:00:00"/>
    <n v="0"/>
    <n v="0"/>
    <n v="0"/>
    <n v="0"/>
    <n v="0"/>
    <n v="0"/>
    <n v="0"/>
    <x v="0"/>
    <n v="12461.867000000004"/>
    <n v="12461.867000000004"/>
    <n v="0"/>
    <n v="0"/>
    <x v="0"/>
    <x v="22"/>
  </r>
  <r>
    <s v="ORD02365"/>
    <d v="2024-04-11T00:00:00"/>
    <x v="60"/>
    <x v="210"/>
    <n v="151"/>
    <s v="INV02365"/>
    <n v="151"/>
    <n v="512.04"/>
    <m/>
    <m/>
    <m/>
    <m/>
    <m/>
    <n v="512.04"/>
    <d v="2023-01-02T00:00:00"/>
    <n v="0"/>
    <n v="0"/>
    <n v="0"/>
    <n v="0"/>
    <n v="0"/>
    <n v="0"/>
    <n v="0"/>
    <x v="0"/>
    <n v="77318.039999999994"/>
    <n v="77318.039999999994"/>
    <n v="0"/>
    <n v="0"/>
    <x v="0"/>
    <x v="9"/>
  </r>
  <r>
    <s v="ORD02366"/>
    <d v="2024-07-25T00:00:00"/>
    <x v="385"/>
    <x v="131"/>
    <n v="6"/>
    <s v="INV02366"/>
    <n v="6"/>
    <n v="741.88620000000003"/>
    <m/>
    <m/>
    <m/>
    <m/>
    <m/>
    <n v="741.88620000000003"/>
    <d v="2023-01-04T00:00:00"/>
    <n v="0"/>
    <n v="0"/>
    <n v="0"/>
    <n v="0"/>
    <n v="0"/>
    <n v="0"/>
    <n v="0"/>
    <x v="0"/>
    <n v="4451.3172000000004"/>
    <n v="4451.3172000000004"/>
    <n v="0"/>
    <n v="0"/>
    <x v="0"/>
    <x v="21"/>
  </r>
  <r>
    <s v="ORD02367"/>
    <d v="2023-05-15T00:00:00"/>
    <x v="31"/>
    <x v="34"/>
    <n v="199"/>
    <s v="INV02367"/>
    <n v="199"/>
    <n v="397.19560000000001"/>
    <m/>
    <m/>
    <m/>
    <m/>
    <m/>
    <n v="397.19560000000001"/>
    <d v="2023-01-06T00:00:00"/>
    <n v="0"/>
    <n v="0"/>
    <n v="0"/>
    <n v="0"/>
    <n v="0"/>
    <n v="0"/>
    <n v="0"/>
    <x v="0"/>
    <n v="79041.924400000004"/>
    <n v="79041.924400000004"/>
    <n v="0"/>
    <n v="0"/>
    <x v="0"/>
    <x v="7"/>
  </r>
  <r>
    <s v="ORD02368"/>
    <d v="2024-05-23T00:00:00"/>
    <x v="240"/>
    <x v="165"/>
    <n v="8"/>
    <s v="INV02368"/>
    <n v="8"/>
    <n v="991.99"/>
    <m/>
    <m/>
    <m/>
    <m/>
    <m/>
    <n v="991.99"/>
    <d v="2023-02-19T00:00:00"/>
    <n v="0"/>
    <n v="0"/>
    <n v="0"/>
    <n v="0"/>
    <n v="0"/>
    <n v="0"/>
    <n v="0"/>
    <x v="0"/>
    <n v="7935.92"/>
    <n v="7935.92"/>
    <n v="0"/>
    <n v="0"/>
    <x v="0"/>
    <x v="13"/>
  </r>
  <r>
    <s v="ORD02369"/>
    <d v="2023-08-03T00:00:00"/>
    <x v="495"/>
    <x v="143"/>
    <n v="45"/>
    <s v="INV02369"/>
    <n v="45"/>
    <n v="893.8972"/>
    <m/>
    <m/>
    <m/>
    <m/>
    <m/>
    <n v="893.8972"/>
    <d v="2023-05-03T00:00:00"/>
    <n v="0"/>
    <n v="0"/>
    <n v="0"/>
    <n v="0"/>
    <n v="0"/>
    <n v="0"/>
    <n v="0"/>
    <x v="0"/>
    <n v="40225.374000000003"/>
    <n v="40225.374000000003"/>
    <n v="0"/>
    <n v="0"/>
    <x v="0"/>
    <x v="12"/>
  </r>
  <r>
    <s v="ORD02370"/>
    <d v="2024-06-25T00:00:00"/>
    <x v="38"/>
    <x v="23"/>
    <n v="15"/>
    <s v="INV02370"/>
    <n v="15"/>
    <n v="77.398200000000003"/>
    <m/>
    <m/>
    <m/>
    <m/>
    <m/>
    <n v="77.398200000000003"/>
    <d v="2023-04-16T00:00:00"/>
    <n v="0"/>
    <n v="0"/>
    <n v="0"/>
    <n v="0"/>
    <n v="0"/>
    <n v="0"/>
    <n v="0"/>
    <x v="0"/>
    <n v="1160.973"/>
    <n v="1160.973"/>
    <n v="0"/>
    <n v="0"/>
    <x v="0"/>
    <x v="16"/>
  </r>
  <r>
    <s v="ORD02371"/>
    <d v="2024-06-02T00:00:00"/>
    <x v="475"/>
    <x v="124"/>
    <n v="108"/>
    <s v="INV02371"/>
    <n v="108"/>
    <n v="381.97550000000001"/>
    <m/>
    <m/>
    <m/>
    <m/>
    <m/>
    <n v="381.97550000000001"/>
    <d v="2023-05-19T00:00:00"/>
    <n v="0"/>
    <n v="0"/>
    <n v="0"/>
    <n v="0"/>
    <n v="0"/>
    <n v="0"/>
    <n v="0"/>
    <x v="0"/>
    <n v="41253.353999999999"/>
    <n v="41253.353999999999"/>
    <n v="0"/>
    <n v="0"/>
    <x v="0"/>
    <x v="16"/>
  </r>
  <r>
    <s v="ORD02372"/>
    <d v="2024-03-30T00:00:00"/>
    <x v="550"/>
    <x v="292"/>
    <n v="106"/>
    <s v="INV02372"/>
    <n v="106"/>
    <n v="850.88400000000001"/>
    <m/>
    <m/>
    <m/>
    <m/>
    <m/>
    <n v="850.88400000000001"/>
    <d v="2023-06-23T00:00:00"/>
    <n v="0"/>
    <n v="0"/>
    <n v="0"/>
    <n v="0"/>
    <n v="0"/>
    <n v="0"/>
    <n v="0"/>
    <x v="0"/>
    <n v="90193.703999999998"/>
    <n v="90193.703999999998"/>
    <n v="0"/>
    <n v="0"/>
    <x v="0"/>
    <x v="6"/>
  </r>
  <r>
    <s v="ORD02373"/>
    <d v="2023-12-17T00:00:00"/>
    <x v="458"/>
    <x v="202"/>
    <n v="172"/>
    <s v="INV02373"/>
    <n v="172"/>
    <n v="651.14279999999997"/>
    <m/>
    <m/>
    <m/>
    <m/>
    <m/>
    <n v="651.14279999999997"/>
    <d v="2023-10-21T00:00:00"/>
    <n v="0"/>
    <n v="0"/>
    <n v="0"/>
    <n v="0"/>
    <n v="0"/>
    <n v="0"/>
    <n v="0"/>
    <x v="0"/>
    <n v="111996.5616"/>
    <n v="111996.5616"/>
    <n v="0"/>
    <n v="0"/>
    <x v="0"/>
    <x v="20"/>
  </r>
  <r>
    <s v="ORD02374"/>
    <d v="2023-12-17T00:00:00"/>
    <x v="141"/>
    <x v="180"/>
    <n v="148"/>
    <s v="INV02374"/>
    <n v="149"/>
    <n v="977.22280000000001"/>
    <m/>
    <m/>
    <m/>
    <m/>
    <m/>
    <n v="977.22280000000001"/>
    <d v="2023-02-27T00:00:00"/>
    <n v="0"/>
    <n v="1"/>
    <n v="0"/>
    <n v="0"/>
    <n v="0"/>
    <n v="0"/>
    <n v="0"/>
    <x v="1"/>
    <n v="145606.1972"/>
    <n v="144628.97440000001"/>
    <n v="977.22279999998864"/>
    <n v="8"/>
    <x v="2"/>
    <x v="20"/>
  </r>
  <r>
    <s v="ORD02375"/>
    <d v="2024-01-05T00:00:00"/>
    <x v="89"/>
    <x v="37"/>
    <n v="57"/>
    <s v="INV02375"/>
    <n v="57"/>
    <n v="637.18399999999997"/>
    <m/>
    <m/>
    <m/>
    <m/>
    <m/>
    <n v="637.18399999999997"/>
    <d v="2023-09-06T00:00:00"/>
    <n v="0"/>
    <n v="0"/>
    <n v="0"/>
    <n v="0"/>
    <n v="0"/>
    <n v="0"/>
    <n v="0"/>
    <x v="0"/>
    <n v="36319.487999999998"/>
    <n v="36319.487999999998"/>
    <n v="0"/>
    <n v="0"/>
    <x v="0"/>
    <x v="15"/>
  </r>
  <r>
    <s v="ORD02376"/>
    <d v="2024-08-30T00:00:00"/>
    <x v="698"/>
    <x v="113"/>
    <n v="104"/>
    <s v="INV02376"/>
    <n v="104"/>
    <n v="951.54780000000005"/>
    <m/>
    <m/>
    <m/>
    <m/>
    <m/>
    <n v="951.54780000000005"/>
    <d v="2023-02-07T00:00:00"/>
    <n v="0"/>
    <n v="0"/>
    <n v="0"/>
    <n v="0"/>
    <n v="0"/>
    <n v="0"/>
    <n v="0"/>
    <x v="0"/>
    <n v="98960.9712"/>
    <n v="98960.9712"/>
    <n v="0"/>
    <n v="0"/>
    <x v="0"/>
    <x v="22"/>
  </r>
  <r>
    <s v="ORD02377"/>
    <d v="2023-07-16T00:00:00"/>
    <x v="119"/>
    <x v="74"/>
    <n v="143"/>
    <s v="INV02377"/>
    <n v="143"/>
    <n v="1138.4856"/>
    <m/>
    <m/>
    <m/>
    <m/>
    <m/>
    <n v="1138.4856"/>
    <d v="2022-10-31T00:00:00"/>
    <n v="0"/>
    <n v="0"/>
    <n v="0"/>
    <n v="0"/>
    <n v="0"/>
    <n v="0"/>
    <n v="0"/>
    <x v="0"/>
    <n v="162803.44079999998"/>
    <n v="162803.44079999998"/>
    <n v="0"/>
    <n v="0"/>
    <x v="0"/>
    <x v="10"/>
  </r>
  <r>
    <s v="ORD02378"/>
    <d v="2023-05-25T00:00:00"/>
    <x v="259"/>
    <x v="61"/>
    <n v="48"/>
    <s v="INV02378"/>
    <n v="48"/>
    <n v="782.04880000000003"/>
    <n v="10"/>
    <d v="2023-10-15T00:00:00"/>
    <m/>
    <m/>
    <m/>
    <n v="782.04880000000003"/>
    <d v="2023-03-11T00:00:00"/>
    <n v="0"/>
    <n v="0"/>
    <n v="0"/>
    <n v="0"/>
    <n v="0"/>
    <n v="1"/>
    <n v="0"/>
    <x v="1"/>
    <n v="37538.342400000001"/>
    <n v="37538.342400000001"/>
    <n v="0"/>
    <n v="2"/>
    <x v="1"/>
    <x v="7"/>
  </r>
  <r>
    <s v="ORD02379"/>
    <d v="2024-11-24T00:00:00"/>
    <x v="676"/>
    <x v="20"/>
    <n v="107"/>
    <s v="INV02379"/>
    <n v="107"/>
    <n v="1046.741935003457"/>
    <n v="9"/>
    <d v="2023-07-14T00:00:00"/>
    <m/>
    <m/>
    <m/>
    <n v="1046.6099999999999"/>
    <d v="2023-01-14T00:00:00"/>
    <n v="0"/>
    <n v="0"/>
    <n v="1"/>
    <n v="0"/>
    <n v="0"/>
    <n v="0"/>
    <n v="0"/>
    <x v="1"/>
    <n v="112001.38704536991"/>
    <n v="111987.26999999999"/>
    <n v="14.117045369916013"/>
    <n v="4"/>
    <x v="1"/>
    <x v="4"/>
  </r>
  <r>
    <s v="ORD02380"/>
    <d v="2023-05-01T00:00:00"/>
    <x v="461"/>
    <x v="182"/>
    <n v="28"/>
    <s v="INV02380"/>
    <n v="28"/>
    <n v="1024.0545"/>
    <m/>
    <m/>
    <m/>
    <m/>
    <m/>
    <n v="1024.0545"/>
    <d v="2023-03-18T00:00:00"/>
    <n v="0"/>
    <n v="0"/>
    <n v="0"/>
    <n v="0"/>
    <n v="0"/>
    <n v="0"/>
    <n v="0"/>
    <x v="0"/>
    <n v="28673.525999999998"/>
    <n v="28673.525999999998"/>
    <n v="0"/>
    <n v="0"/>
    <x v="0"/>
    <x v="7"/>
  </r>
  <r>
    <s v="ORD02381"/>
    <d v="2024-06-06T00:00:00"/>
    <x v="479"/>
    <x v="43"/>
    <n v="148"/>
    <s v="INV02381"/>
    <n v="148"/>
    <n v="1190.6054999999999"/>
    <m/>
    <m/>
    <m/>
    <m/>
    <m/>
    <n v="1190.6054999999999"/>
    <d v="2023-02-27T00:00:00"/>
    <n v="0"/>
    <n v="0"/>
    <n v="0"/>
    <n v="0"/>
    <n v="0"/>
    <n v="0"/>
    <n v="0"/>
    <x v="0"/>
    <n v="176209.61399999997"/>
    <n v="176209.61399999997"/>
    <n v="0"/>
    <n v="0"/>
    <x v="0"/>
    <x v="16"/>
  </r>
  <r>
    <s v="ORD02382"/>
    <d v="2024-03-10T00:00:00"/>
    <x v="367"/>
    <x v="270"/>
    <n v="77"/>
    <s v="INV02382"/>
    <n v="77"/>
    <n v="983.19460000000004"/>
    <m/>
    <m/>
    <m/>
    <m/>
    <m/>
    <n v="983.19460000000004"/>
    <d v="2023-08-04T00:00:00"/>
    <n v="0"/>
    <n v="0"/>
    <n v="0"/>
    <n v="0"/>
    <n v="0"/>
    <n v="0"/>
    <n v="0"/>
    <x v="0"/>
    <n v="75705.984200000006"/>
    <n v="75705.984200000006"/>
    <n v="0"/>
    <n v="0"/>
    <x v="0"/>
    <x v="6"/>
  </r>
  <r>
    <s v="ORD02383"/>
    <d v="2024-02-18T00:00:00"/>
    <x v="84"/>
    <x v="112"/>
    <n v="25"/>
    <s v="INV02383"/>
    <n v="25"/>
    <n v="322.71780000000001"/>
    <m/>
    <m/>
    <m/>
    <m/>
    <m/>
    <n v="322.71780000000001"/>
    <d v="2023-08-31T00:00:00"/>
    <n v="0"/>
    <n v="0"/>
    <n v="0"/>
    <n v="0"/>
    <n v="0"/>
    <n v="0"/>
    <n v="0"/>
    <x v="0"/>
    <n v="8067.9450000000006"/>
    <n v="8067.9450000000006"/>
    <n v="0"/>
    <n v="0"/>
    <x v="0"/>
    <x v="3"/>
  </r>
  <r>
    <s v="ORD02384"/>
    <d v="2024-01-20T00:00:00"/>
    <x v="486"/>
    <x v="79"/>
    <n v="134"/>
    <s v="INV02384"/>
    <n v="134"/>
    <n v="730.7886000000002"/>
    <m/>
    <m/>
    <m/>
    <m/>
    <m/>
    <n v="730.7886000000002"/>
    <d v="2023-06-22T00:00:00"/>
    <n v="0"/>
    <n v="0"/>
    <n v="0"/>
    <n v="0"/>
    <n v="0"/>
    <n v="0"/>
    <n v="0"/>
    <x v="0"/>
    <n v="97925.672400000025"/>
    <n v="97925.672400000025"/>
    <n v="0"/>
    <n v="0"/>
    <x v="0"/>
    <x v="15"/>
  </r>
  <r>
    <s v="ORD02385"/>
    <d v="2023-10-03T00:00:00"/>
    <x v="242"/>
    <x v="178"/>
    <n v="194"/>
    <s v="INV02385"/>
    <n v="194"/>
    <n v="479.40280000000007"/>
    <m/>
    <m/>
    <m/>
    <m/>
    <m/>
    <n v="479.40280000000007"/>
    <d v="2023-01-15T00:00:00"/>
    <n v="0"/>
    <n v="0"/>
    <n v="0"/>
    <n v="0"/>
    <n v="0"/>
    <n v="0"/>
    <n v="0"/>
    <x v="0"/>
    <n v="93004.14320000002"/>
    <n v="93004.14320000002"/>
    <n v="0"/>
    <n v="0"/>
    <x v="0"/>
    <x v="19"/>
  </r>
  <r>
    <s v="ORD02386"/>
    <d v="2023-12-29T00:00:00"/>
    <x v="758"/>
    <x v="4"/>
    <n v="46"/>
    <s v="INV02386"/>
    <n v="46"/>
    <n v="353.52719999999999"/>
    <m/>
    <m/>
    <m/>
    <m/>
    <m/>
    <n v="353.52719999999999"/>
    <d v="2023-09-13T00:00:00"/>
    <n v="0"/>
    <n v="0"/>
    <n v="0"/>
    <n v="0"/>
    <n v="0"/>
    <n v="0"/>
    <n v="0"/>
    <x v="0"/>
    <n v="16262.251199999999"/>
    <n v="16262.251199999999"/>
    <n v="0"/>
    <n v="0"/>
    <x v="0"/>
    <x v="20"/>
  </r>
  <r>
    <s v="ORD02387"/>
    <d v="2024-02-09T00:00:00"/>
    <x v="189"/>
    <x v="30"/>
    <n v="111"/>
    <s v="INV02387"/>
    <n v="111"/>
    <n v="360.68479999999994"/>
    <m/>
    <m/>
    <m/>
    <m/>
    <m/>
    <n v="360.68479999999994"/>
    <d v="2023-05-26T00:00:00"/>
    <n v="0"/>
    <n v="0"/>
    <n v="0"/>
    <n v="0"/>
    <n v="0"/>
    <n v="0"/>
    <n v="0"/>
    <x v="0"/>
    <n v="40036.012799999997"/>
    <n v="40036.012799999997"/>
    <n v="0"/>
    <n v="0"/>
    <x v="0"/>
    <x v="3"/>
  </r>
  <r>
    <s v="ORD02388"/>
    <d v="2024-02-25T00:00:00"/>
    <x v="656"/>
    <x v="106"/>
    <n v="32"/>
    <s v="INV02388"/>
    <n v="32"/>
    <n v="652.1472"/>
    <m/>
    <m/>
    <m/>
    <m/>
    <m/>
    <n v="652.1472"/>
    <d v="2023-02-02T00:00:00"/>
    <n v="0"/>
    <n v="0"/>
    <n v="0"/>
    <n v="0"/>
    <n v="0"/>
    <n v="0"/>
    <n v="0"/>
    <x v="0"/>
    <n v="20868.7104"/>
    <n v="20868.7104"/>
    <n v="0"/>
    <n v="0"/>
    <x v="0"/>
    <x v="3"/>
  </r>
  <r>
    <s v="ORD02389"/>
    <d v="2023-03-01T00:00:00"/>
    <x v="605"/>
    <x v="6"/>
    <n v="50"/>
    <s v="INV02389"/>
    <n v="50"/>
    <n v="634.80959999999993"/>
    <m/>
    <m/>
    <m/>
    <m/>
    <m/>
    <n v="634.80959999999993"/>
    <d v="2022-11-30T00:00:00"/>
    <n v="0"/>
    <n v="0"/>
    <n v="0"/>
    <n v="0"/>
    <n v="0"/>
    <n v="0"/>
    <n v="0"/>
    <x v="0"/>
    <n v="31740.479999999996"/>
    <n v="31740.479999999996"/>
    <n v="0"/>
    <n v="0"/>
    <x v="0"/>
    <x v="17"/>
  </r>
  <r>
    <s v="ORD02390"/>
    <d v="2023-01-04T00:00:00"/>
    <x v="332"/>
    <x v="195"/>
    <n v="66"/>
    <s v="INV02390"/>
    <n v="66"/>
    <n v="793.03560000000004"/>
    <m/>
    <m/>
    <m/>
    <m/>
    <m/>
    <n v="793.03560000000004"/>
    <d v="2022-11-27T00:00:00"/>
    <n v="0"/>
    <n v="0"/>
    <n v="0"/>
    <n v="0"/>
    <n v="0"/>
    <n v="0"/>
    <n v="0"/>
    <x v="0"/>
    <n v="52340.349600000001"/>
    <n v="52340.349600000001"/>
    <n v="0"/>
    <n v="0"/>
    <x v="0"/>
    <x v="8"/>
  </r>
  <r>
    <s v="ORD02391"/>
    <d v="2024-01-20T00:00:00"/>
    <x v="741"/>
    <x v="138"/>
    <n v="136"/>
    <s v="INV02391"/>
    <n v="136"/>
    <n v="153.01650000000001"/>
    <m/>
    <m/>
    <m/>
    <m/>
    <m/>
    <n v="153.01650000000001"/>
    <d v="2023-05-18T00:00:00"/>
    <n v="0"/>
    <n v="0"/>
    <n v="0"/>
    <n v="0"/>
    <n v="0"/>
    <n v="0"/>
    <n v="0"/>
    <x v="0"/>
    <n v="20810.244000000002"/>
    <n v="20810.244000000002"/>
    <n v="0"/>
    <n v="0"/>
    <x v="0"/>
    <x v="15"/>
  </r>
  <r>
    <s v="ORD02392"/>
    <d v="2023-03-17T00:00:00"/>
    <x v="467"/>
    <x v="225"/>
    <n v="12"/>
    <s v="INV02392"/>
    <n v="12"/>
    <n v="302.05259999999998"/>
    <m/>
    <m/>
    <m/>
    <m/>
    <m/>
    <n v="302.05259999999998"/>
    <d v="2023-01-19T00:00:00"/>
    <n v="0"/>
    <n v="0"/>
    <n v="0"/>
    <n v="0"/>
    <n v="0"/>
    <n v="0"/>
    <n v="0"/>
    <x v="0"/>
    <n v="3624.6311999999998"/>
    <n v="3624.6311999999998"/>
    <n v="0"/>
    <n v="0"/>
    <x v="0"/>
    <x v="17"/>
  </r>
  <r>
    <s v="ORD02393"/>
    <d v="2023-01-19T00:00:00"/>
    <x v="712"/>
    <x v="71"/>
    <n v="72"/>
    <s v="INV02393"/>
    <n v="82"/>
    <n v="238.7328"/>
    <m/>
    <m/>
    <m/>
    <m/>
    <m/>
    <n v="238.7328"/>
    <d v="2022-11-30T00:00:00"/>
    <n v="0"/>
    <n v="1"/>
    <n v="0"/>
    <n v="0"/>
    <n v="0"/>
    <n v="0"/>
    <n v="0"/>
    <x v="1"/>
    <n v="19576.089599999999"/>
    <n v="17188.761599999998"/>
    <n v="2387.3280000000013"/>
    <n v="8"/>
    <x v="2"/>
    <x v="8"/>
  </r>
  <r>
    <s v="ORD02394"/>
    <d v="2023-03-06T00:00:00"/>
    <x v="257"/>
    <x v="7"/>
    <n v="167"/>
    <s v="INV02394"/>
    <n v="167"/>
    <n v="510.91840000000002"/>
    <m/>
    <m/>
    <m/>
    <m/>
    <m/>
    <n v="510.91840000000002"/>
    <d v="2023-02-24T00:00:00"/>
    <n v="0"/>
    <n v="0"/>
    <n v="0"/>
    <n v="0"/>
    <n v="0"/>
    <n v="0"/>
    <n v="0"/>
    <x v="0"/>
    <n v="85323.372799999997"/>
    <n v="85323.372799999997"/>
    <n v="0"/>
    <n v="0"/>
    <x v="0"/>
    <x v="17"/>
  </r>
  <r>
    <s v="ORD02395"/>
    <d v="2023-08-28T00:00:00"/>
    <x v="637"/>
    <x v="135"/>
    <n v="93"/>
    <s v="INV02395"/>
    <n v="91"/>
    <n v="1231.8180000000002"/>
    <m/>
    <m/>
    <m/>
    <m/>
    <m/>
    <n v="1231.8180000000002"/>
    <d v="2023-05-02T00:00:00"/>
    <n v="0"/>
    <n v="1"/>
    <n v="0"/>
    <n v="0"/>
    <n v="0"/>
    <n v="0"/>
    <n v="0"/>
    <x v="1"/>
    <n v="112095.43800000002"/>
    <n v="114559.07400000002"/>
    <n v="-2463.6359999999986"/>
    <n v="8"/>
    <x v="2"/>
    <x v="12"/>
  </r>
  <r>
    <s v="ORD02396"/>
    <d v="2023-01-25T00:00:00"/>
    <x v="359"/>
    <x v="125"/>
    <n v="48"/>
    <s v="INV02396"/>
    <n v="48"/>
    <n v="405.98"/>
    <m/>
    <m/>
    <m/>
    <m/>
    <m/>
    <n v="405.98"/>
    <d v="2022-07-01T00:00:00"/>
    <n v="0"/>
    <n v="0"/>
    <n v="0"/>
    <n v="0"/>
    <n v="0"/>
    <n v="0"/>
    <n v="0"/>
    <x v="0"/>
    <n v="19487.04"/>
    <n v="19487.04"/>
    <n v="0"/>
    <n v="0"/>
    <x v="0"/>
    <x v="8"/>
  </r>
  <r>
    <s v="ORD02397"/>
    <d v="2024-11-15T00:00:00"/>
    <x v="448"/>
    <x v="272"/>
    <n v="126"/>
    <s v="INV02397"/>
    <n v="126"/>
    <n v="852.46560000000011"/>
    <m/>
    <m/>
    <m/>
    <m/>
    <m/>
    <n v="852.46560000000011"/>
    <d v="2023-03-11T00:00:00"/>
    <n v="0"/>
    <n v="0"/>
    <n v="0"/>
    <n v="0"/>
    <n v="0"/>
    <n v="0"/>
    <n v="0"/>
    <x v="0"/>
    <n v="107410.66560000001"/>
    <n v="107410.66560000001"/>
    <n v="0"/>
    <n v="0"/>
    <x v="0"/>
    <x v="4"/>
  </r>
  <r>
    <s v="ORD02398"/>
    <d v="2024-01-20T00:00:00"/>
    <x v="29"/>
    <x v="207"/>
    <n v="143"/>
    <s v="INV02398"/>
    <n v="143"/>
    <n v="287.90559999999999"/>
    <m/>
    <m/>
    <m/>
    <m/>
    <m/>
    <n v="287.90559999999999"/>
    <d v="2023-10-25T00:00:00"/>
    <n v="0"/>
    <n v="0"/>
    <n v="0"/>
    <n v="0"/>
    <n v="0"/>
    <n v="0"/>
    <n v="0"/>
    <x v="0"/>
    <n v="41170.500800000002"/>
    <n v="41170.500800000002"/>
    <n v="0"/>
    <n v="0"/>
    <x v="0"/>
    <x v="15"/>
  </r>
  <r>
    <s v="ORD02399"/>
    <d v="2023-11-04T00:00:00"/>
    <x v="58"/>
    <x v="122"/>
    <n v="15"/>
    <s v="INV02399"/>
    <n v="15"/>
    <n v="75.620999999999995"/>
    <m/>
    <m/>
    <m/>
    <m/>
    <m/>
    <n v="75.620999999999995"/>
    <d v="2023-07-01T00:00:00"/>
    <n v="0"/>
    <n v="0"/>
    <n v="0"/>
    <n v="0"/>
    <n v="0"/>
    <n v="0"/>
    <n v="0"/>
    <x v="0"/>
    <n v="1134.3149999999998"/>
    <n v="1134.3149999999998"/>
    <n v="0"/>
    <n v="0"/>
    <x v="0"/>
    <x v="0"/>
  </r>
  <r>
    <s v="ORD02400"/>
    <d v="2024-04-19T00:00:00"/>
    <x v="65"/>
    <x v="177"/>
    <n v="6"/>
    <s v="INV02400"/>
    <n v="6"/>
    <n v="335.39150000000001"/>
    <m/>
    <m/>
    <m/>
    <m/>
    <m/>
    <n v="335.39150000000001"/>
    <d v="2023-08-13T00:00:00"/>
    <n v="0"/>
    <n v="0"/>
    <n v="0"/>
    <n v="0"/>
    <n v="0"/>
    <n v="0"/>
    <n v="0"/>
    <x v="0"/>
    <n v="2012.3490000000002"/>
    <n v="2012.3490000000002"/>
    <n v="0"/>
    <n v="0"/>
    <x v="0"/>
    <x v="9"/>
  </r>
  <r>
    <s v="ORD02401"/>
    <d v="2024-06-04T00:00:00"/>
    <x v="708"/>
    <x v="211"/>
    <n v="180"/>
    <s v="INV02401"/>
    <n v="180"/>
    <n v="655.93800000000022"/>
    <m/>
    <m/>
    <m/>
    <m/>
    <m/>
    <n v="655.93800000000022"/>
    <d v="2023-05-29T00:00:00"/>
    <n v="0"/>
    <n v="0"/>
    <n v="0"/>
    <n v="0"/>
    <n v="0"/>
    <n v="0"/>
    <n v="0"/>
    <x v="0"/>
    <n v="118068.84000000004"/>
    <n v="118068.84000000004"/>
    <n v="0"/>
    <n v="0"/>
    <x v="0"/>
    <x v="16"/>
  </r>
  <r>
    <s v="ORD02402"/>
    <d v="2024-11-01T00:00:00"/>
    <x v="216"/>
    <x v="39"/>
    <n v="130"/>
    <s v="INV02402"/>
    <n v="130"/>
    <n v="862.73640000000012"/>
    <m/>
    <m/>
    <m/>
    <m/>
    <m/>
    <n v="862.73640000000012"/>
    <d v="2023-10-24T00:00:00"/>
    <n v="0"/>
    <n v="0"/>
    <n v="0"/>
    <n v="0"/>
    <n v="0"/>
    <n v="0"/>
    <n v="0"/>
    <x v="0"/>
    <n v="112155.73200000002"/>
    <n v="112155.73200000002"/>
    <n v="0"/>
    <n v="0"/>
    <x v="0"/>
    <x v="4"/>
  </r>
  <r>
    <s v="ORD02403"/>
    <d v="2023-02-19T00:00:00"/>
    <x v="248"/>
    <x v="11"/>
    <n v="125"/>
    <s v="INV02403"/>
    <n v="125"/>
    <n v="634.76160000000004"/>
    <m/>
    <m/>
    <m/>
    <m/>
    <m/>
    <n v="634.76160000000004"/>
    <d v="2023-01-02T00:00:00"/>
    <n v="0"/>
    <n v="0"/>
    <n v="0"/>
    <n v="0"/>
    <n v="0"/>
    <n v="0"/>
    <n v="0"/>
    <x v="0"/>
    <n v="79345.200000000012"/>
    <n v="79345.200000000012"/>
    <n v="0"/>
    <n v="0"/>
    <x v="0"/>
    <x v="11"/>
  </r>
  <r>
    <s v="ORD02404"/>
    <d v="2024-07-19T00:00:00"/>
    <x v="198"/>
    <x v="40"/>
    <n v="87"/>
    <s v="INV02404"/>
    <n v="87"/>
    <n v="182.4273"/>
    <m/>
    <m/>
    <m/>
    <m/>
    <m/>
    <n v="182.4273"/>
    <d v="2023-03-04T00:00:00"/>
    <n v="0"/>
    <n v="0"/>
    <n v="0"/>
    <n v="0"/>
    <n v="0"/>
    <n v="0"/>
    <n v="0"/>
    <x v="0"/>
    <n v="15871.1751"/>
    <n v="15871.1751"/>
    <n v="0"/>
    <n v="0"/>
    <x v="0"/>
    <x v="21"/>
  </r>
  <r>
    <s v="ORD02405"/>
    <d v="2023-11-11T00:00:00"/>
    <x v="575"/>
    <x v="186"/>
    <n v="81"/>
    <s v="INV02405"/>
    <n v="81"/>
    <n v="589.66600000000005"/>
    <m/>
    <m/>
    <m/>
    <m/>
    <m/>
    <n v="589.66600000000005"/>
    <d v="2023-10-19T00:00:00"/>
    <n v="0"/>
    <n v="0"/>
    <n v="0"/>
    <n v="0"/>
    <n v="0"/>
    <n v="0"/>
    <n v="0"/>
    <x v="0"/>
    <n v="47762.946000000004"/>
    <n v="47762.946000000004"/>
    <n v="0"/>
    <n v="0"/>
    <x v="0"/>
    <x v="0"/>
  </r>
  <r>
    <s v="ORD02406"/>
    <d v="2024-01-31T00:00:00"/>
    <x v="759"/>
    <x v="116"/>
    <n v="173"/>
    <s v="INV02406"/>
    <n v="173"/>
    <n v="279.42789999999997"/>
    <m/>
    <m/>
    <m/>
    <m/>
    <m/>
    <n v="279.42789999999997"/>
    <d v="2023-06-26T00:00:00"/>
    <n v="0"/>
    <n v="0"/>
    <n v="0"/>
    <n v="0"/>
    <n v="0"/>
    <n v="0"/>
    <n v="0"/>
    <x v="0"/>
    <n v="48341.026699999995"/>
    <n v="48341.026699999995"/>
    <n v="0"/>
    <n v="0"/>
    <x v="0"/>
    <x v="15"/>
  </r>
  <r>
    <s v="ORD02407"/>
    <d v="2024-01-09T00:00:00"/>
    <x v="211"/>
    <x v="198"/>
    <n v="186"/>
    <s v="INV02407"/>
    <n v="186"/>
    <n v="906.88919999999996"/>
    <m/>
    <m/>
    <m/>
    <m/>
    <m/>
    <n v="906.88919999999996"/>
    <d v="2023-03-06T00:00:00"/>
    <n v="0"/>
    <n v="0"/>
    <n v="0"/>
    <n v="0"/>
    <n v="0"/>
    <n v="0"/>
    <n v="0"/>
    <x v="0"/>
    <n v="168681.39119999998"/>
    <n v="168681.39119999998"/>
    <n v="0"/>
    <n v="0"/>
    <x v="0"/>
    <x v="15"/>
  </r>
  <r>
    <s v="ORD02408"/>
    <d v="2023-11-23T00:00:00"/>
    <x v="723"/>
    <x v="43"/>
    <n v="180"/>
    <s v="INV02408"/>
    <n v="180"/>
    <n v="1190.6054999999999"/>
    <m/>
    <m/>
    <m/>
    <m/>
    <m/>
    <n v="1190.6054999999999"/>
    <d v="2023-02-27T00:00:00"/>
    <n v="0"/>
    <n v="0"/>
    <n v="0"/>
    <n v="0"/>
    <n v="0"/>
    <n v="0"/>
    <n v="0"/>
    <x v="0"/>
    <n v="214308.99"/>
    <n v="214308.99"/>
    <n v="0"/>
    <n v="0"/>
    <x v="0"/>
    <x v="0"/>
  </r>
  <r>
    <s v="ORD02409"/>
    <d v="2023-11-10T00:00:00"/>
    <x v="263"/>
    <x v="272"/>
    <n v="161"/>
    <s v="INV02409"/>
    <n v="161"/>
    <n v="852.46560000000011"/>
    <m/>
    <m/>
    <m/>
    <m/>
    <m/>
    <n v="852.46560000000011"/>
    <d v="2023-03-11T00:00:00"/>
    <n v="0"/>
    <n v="0"/>
    <n v="0"/>
    <n v="0"/>
    <n v="0"/>
    <n v="0"/>
    <n v="0"/>
    <x v="0"/>
    <n v="137246.96160000001"/>
    <n v="137246.96160000001"/>
    <n v="0"/>
    <n v="0"/>
    <x v="0"/>
    <x v="0"/>
  </r>
  <r>
    <s v="ORD02410"/>
    <d v="2024-09-02T00:00:00"/>
    <x v="755"/>
    <x v="177"/>
    <n v="78"/>
    <s v="INV02410"/>
    <n v="78"/>
    <n v="335.39150000000001"/>
    <m/>
    <m/>
    <m/>
    <m/>
    <m/>
    <n v="335.39150000000001"/>
    <d v="2023-08-13T00:00:00"/>
    <n v="0"/>
    <n v="0"/>
    <n v="0"/>
    <n v="0"/>
    <n v="0"/>
    <n v="0"/>
    <n v="0"/>
    <x v="0"/>
    <n v="26160.537"/>
    <n v="26160.537"/>
    <n v="0"/>
    <n v="0"/>
    <x v="0"/>
    <x v="2"/>
  </r>
  <r>
    <s v="ORD02411"/>
    <d v="2024-08-28T00:00:00"/>
    <x v="143"/>
    <x v="228"/>
    <n v="70"/>
    <s v="INV02411"/>
    <n v="70"/>
    <n v="952.36940000000004"/>
    <m/>
    <m/>
    <m/>
    <m/>
    <m/>
    <n v="952.36940000000004"/>
    <d v="2023-08-31T00:00:00"/>
    <n v="0"/>
    <n v="0"/>
    <n v="0"/>
    <n v="0"/>
    <n v="0"/>
    <n v="0"/>
    <n v="0"/>
    <x v="0"/>
    <n v="66665.858000000007"/>
    <n v="66665.858000000007"/>
    <n v="0"/>
    <n v="0"/>
    <x v="0"/>
    <x v="22"/>
  </r>
  <r>
    <s v="ORD02412"/>
    <d v="2024-05-23T00:00:00"/>
    <x v="257"/>
    <x v="198"/>
    <n v="33"/>
    <s v="INV02412"/>
    <n v="33"/>
    <n v="906.88919999999996"/>
    <m/>
    <m/>
    <m/>
    <m/>
    <m/>
    <n v="906.88919999999996"/>
    <d v="2023-03-06T00:00:00"/>
    <n v="0"/>
    <n v="0"/>
    <n v="0"/>
    <n v="0"/>
    <n v="0"/>
    <n v="0"/>
    <n v="0"/>
    <x v="0"/>
    <n v="29927.3436"/>
    <n v="29927.3436"/>
    <n v="0"/>
    <n v="0"/>
    <x v="0"/>
    <x v="13"/>
  </r>
  <r>
    <s v="ORD02413"/>
    <d v="2023-10-20T00:00:00"/>
    <x v="197"/>
    <x v="44"/>
    <n v="184"/>
    <s v="INV02413"/>
    <n v="184"/>
    <n v="1119.3012000000001"/>
    <m/>
    <m/>
    <m/>
    <m/>
    <m/>
    <n v="1119.3012000000001"/>
    <d v="2023-06-14T00:00:00"/>
    <n v="0"/>
    <n v="0"/>
    <n v="0"/>
    <n v="0"/>
    <n v="0"/>
    <n v="0"/>
    <n v="0"/>
    <x v="0"/>
    <n v="205951.42080000002"/>
    <n v="205951.42080000002"/>
    <n v="0"/>
    <n v="0"/>
    <x v="0"/>
    <x v="19"/>
  </r>
  <r>
    <s v="ORD02414"/>
    <d v="2023-02-26T00:00:00"/>
    <x v="343"/>
    <x v="35"/>
    <n v="167"/>
    <s v="INV02414"/>
    <n v="167"/>
    <n v="1131.7511999999999"/>
    <m/>
    <m/>
    <m/>
    <m/>
    <m/>
    <n v="1131.7511999999999"/>
    <d v="2022-09-02T00:00:00"/>
    <n v="0"/>
    <n v="0"/>
    <n v="0"/>
    <n v="0"/>
    <n v="0"/>
    <n v="0"/>
    <n v="0"/>
    <x v="0"/>
    <n v="189002.4504"/>
    <n v="189002.4504"/>
    <n v="0"/>
    <n v="0"/>
    <x v="0"/>
    <x v="11"/>
  </r>
  <r>
    <s v="ORD02415"/>
    <d v="2023-01-18T00:00:00"/>
    <x v="552"/>
    <x v="169"/>
    <n v="5"/>
    <s v="INV02415"/>
    <n v="5"/>
    <n v="1165.1500000000001"/>
    <m/>
    <m/>
    <m/>
    <m/>
    <m/>
    <n v="1165.1500000000001"/>
    <d v="2022-07-08T00:00:00"/>
    <n v="0"/>
    <n v="0"/>
    <n v="0"/>
    <n v="0"/>
    <n v="0"/>
    <n v="0"/>
    <n v="0"/>
    <x v="0"/>
    <n v="5825.75"/>
    <n v="5825.75"/>
    <n v="0"/>
    <n v="0"/>
    <x v="0"/>
    <x v="8"/>
  </r>
  <r>
    <s v="ORD02416"/>
    <d v="2024-04-05T00:00:00"/>
    <x v="760"/>
    <x v="65"/>
    <n v="142"/>
    <s v="INV02416"/>
    <n v="142"/>
    <n v="660.96040000000005"/>
    <m/>
    <m/>
    <m/>
    <m/>
    <m/>
    <n v="660.96040000000005"/>
    <d v="2023-01-21T00:00:00"/>
    <n v="0"/>
    <n v="0"/>
    <n v="0"/>
    <n v="0"/>
    <n v="0"/>
    <n v="0"/>
    <n v="0"/>
    <x v="0"/>
    <n v="93856.376800000013"/>
    <n v="93856.376800000013"/>
    <n v="0"/>
    <n v="0"/>
    <x v="0"/>
    <x v="9"/>
  </r>
  <r>
    <s v="ORD02417"/>
    <d v="2023-04-21T00:00:00"/>
    <x v="748"/>
    <x v="293"/>
    <n v="98"/>
    <s v="INV02417"/>
    <n v="98"/>
    <n v="94.274299999999997"/>
    <m/>
    <m/>
    <m/>
    <m/>
    <m/>
    <n v="94.274299999999997"/>
    <d v="2022-12-11T00:00:00"/>
    <n v="0"/>
    <n v="0"/>
    <n v="0"/>
    <n v="0"/>
    <n v="0"/>
    <n v="0"/>
    <n v="0"/>
    <x v="0"/>
    <n v="9238.8814000000002"/>
    <n v="9238.8814000000002"/>
    <n v="0"/>
    <n v="0"/>
    <x v="0"/>
    <x v="23"/>
  </r>
  <r>
    <s v="ORD02418"/>
    <d v="2024-02-14T00:00:00"/>
    <x v="397"/>
    <x v="76"/>
    <n v="99"/>
    <s v="INV02418"/>
    <n v="99"/>
    <n v="1114.2336"/>
    <m/>
    <m/>
    <m/>
    <m/>
    <m/>
    <n v="1114.2336"/>
    <d v="2023-08-03T00:00:00"/>
    <n v="0"/>
    <n v="0"/>
    <n v="0"/>
    <n v="0"/>
    <n v="0"/>
    <n v="0"/>
    <n v="0"/>
    <x v="0"/>
    <n v="110309.12640000001"/>
    <n v="110309.12640000001"/>
    <n v="0"/>
    <n v="0"/>
    <x v="0"/>
    <x v="3"/>
  </r>
  <r>
    <s v="ORD02419"/>
    <d v="2024-08-01T00:00:00"/>
    <x v="479"/>
    <x v="265"/>
    <n v="95"/>
    <s v="INV02419"/>
    <n v="95"/>
    <n v="223.6044"/>
    <m/>
    <m/>
    <m/>
    <m/>
    <m/>
    <n v="223.6044"/>
    <d v="2023-06-14T00:00:00"/>
    <n v="0"/>
    <n v="0"/>
    <n v="0"/>
    <n v="0"/>
    <n v="0"/>
    <n v="0"/>
    <n v="0"/>
    <x v="0"/>
    <n v="21242.418000000001"/>
    <n v="21242.418000000001"/>
    <n v="0"/>
    <n v="0"/>
    <x v="0"/>
    <x v="22"/>
  </r>
  <r>
    <s v="ORD02420"/>
    <d v="2023-03-30T00:00:00"/>
    <x v="589"/>
    <x v="279"/>
    <n v="34"/>
    <s v="INV02420"/>
    <n v="34"/>
    <n v="461.00940000000003"/>
    <m/>
    <m/>
    <m/>
    <m/>
    <m/>
    <n v="461.00940000000003"/>
    <d v="2023-01-29T00:00:00"/>
    <n v="0"/>
    <n v="0"/>
    <n v="0"/>
    <n v="0"/>
    <n v="0"/>
    <n v="0"/>
    <n v="0"/>
    <x v="0"/>
    <n v="15674.319600000001"/>
    <n v="15674.319600000001"/>
    <n v="0"/>
    <n v="0"/>
    <x v="0"/>
    <x v="17"/>
  </r>
  <r>
    <s v="ORD02421"/>
    <d v="2023-09-29T00:00:00"/>
    <x v="246"/>
    <x v="122"/>
    <n v="190"/>
    <s v="INV02421"/>
    <n v="190"/>
    <n v="75.620999999999995"/>
    <m/>
    <m/>
    <m/>
    <m/>
    <m/>
    <n v="75.620999999999995"/>
    <d v="2023-07-01T00:00:00"/>
    <n v="0"/>
    <n v="0"/>
    <n v="0"/>
    <n v="0"/>
    <n v="0"/>
    <n v="0"/>
    <n v="0"/>
    <x v="0"/>
    <n v="14367.99"/>
    <n v="14367.99"/>
    <n v="0"/>
    <n v="0"/>
    <x v="0"/>
    <x v="18"/>
  </r>
  <r>
    <s v="ORD02422"/>
    <d v="2023-07-11T00:00:00"/>
    <x v="761"/>
    <x v="106"/>
    <n v="33"/>
    <s v="INV02422"/>
    <n v="33"/>
    <n v="652.1472"/>
    <m/>
    <m/>
    <n v="557.04"/>
    <d v="2022-04-19T00:00:00"/>
    <d v="2023-04-26T00:00:00"/>
    <n v="652.1472"/>
    <d v="2023-02-02T00:00:00"/>
    <n v="0"/>
    <n v="0"/>
    <n v="0"/>
    <n v="1"/>
    <n v="1"/>
    <n v="0"/>
    <n v="0"/>
    <x v="1"/>
    <n v="21520.857599999999"/>
    <n v="21520.857599999999"/>
    <n v="0"/>
    <n v="8"/>
    <x v="2"/>
    <x v="10"/>
  </r>
  <r>
    <s v="ORD02423"/>
    <d v="2023-09-19T00:00:00"/>
    <x v="216"/>
    <x v="243"/>
    <n v="155"/>
    <s v="INV02423"/>
    <n v="155"/>
    <n v="191.1936"/>
    <n v="8"/>
    <d v="2025-01-14T00:00:00"/>
    <m/>
    <m/>
    <m/>
    <n v="191.1936"/>
    <d v="2023-04-10T00:00:00"/>
    <n v="0"/>
    <n v="0"/>
    <n v="0"/>
    <n v="0"/>
    <n v="0"/>
    <n v="1"/>
    <n v="0"/>
    <x v="1"/>
    <n v="29635.008000000002"/>
    <n v="29635.008000000002"/>
    <n v="0"/>
    <n v="2"/>
    <x v="1"/>
    <x v="18"/>
  </r>
  <r>
    <s v="ORD02424"/>
    <d v="2023-05-26T00:00:00"/>
    <x v="598"/>
    <x v="125"/>
    <n v="71"/>
    <s v="INV02424"/>
    <n v="71"/>
    <n v="405.98"/>
    <m/>
    <m/>
    <m/>
    <m/>
    <m/>
    <n v="405.98"/>
    <d v="2023-02-13T00:00:00"/>
    <n v="0"/>
    <n v="0"/>
    <n v="0"/>
    <n v="0"/>
    <n v="0"/>
    <n v="0"/>
    <n v="0"/>
    <x v="0"/>
    <n v="28824.58"/>
    <n v="28824.58"/>
    <n v="0"/>
    <n v="0"/>
    <x v="0"/>
    <x v="7"/>
  </r>
  <r>
    <s v="ORD02425"/>
    <d v="2024-05-02T00:00:00"/>
    <x v="81"/>
    <x v="277"/>
    <n v="21"/>
    <s v="INV02425"/>
    <n v="21"/>
    <n v="544.5"/>
    <m/>
    <m/>
    <m/>
    <m/>
    <m/>
    <n v="544.5"/>
    <d v="2023-08-21T00:00:00"/>
    <n v="0"/>
    <n v="0"/>
    <n v="0"/>
    <n v="0"/>
    <n v="0"/>
    <n v="0"/>
    <n v="0"/>
    <x v="0"/>
    <n v="11434.5"/>
    <n v="11434.5"/>
    <n v="0"/>
    <n v="0"/>
    <x v="0"/>
    <x v="13"/>
  </r>
  <r>
    <s v="ORD02426"/>
    <d v="2023-08-06T00:00:00"/>
    <x v="8"/>
    <x v="278"/>
    <n v="170"/>
    <s v="INV02426"/>
    <n v="170"/>
    <n v="312.56310000000002"/>
    <m/>
    <m/>
    <m/>
    <m/>
    <m/>
    <n v="312.56310000000002"/>
    <d v="2023-04-12T00:00:00"/>
    <n v="0"/>
    <n v="0"/>
    <n v="0"/>
    <n v="0"/>
    <n v="0"/>
    <n v="0"/>
    <n v="0"/>
    <x v="0"/>
    <n v="53135.727000000006"/>
    <n v="53135.727000000006"/>
    <n v="0"/>
    <n v="0"/>
    <x v="0"/>
    <x v="12"/>
  </r>
  <r>
    <s v="ORD02427"/>
    <d v="2024-02-14T00:00:00"/>
    <x v="500"/>
    <x v="276"/>
    <n v="80"/>
    <s v="INV02427"/>
    <n v="80"/>
    <n v="1066.4874"/>
    <m/>
    <m/>
    <m/>
    <m/>
    <m/>
    <n v="1066.4874"/>
    <d v="2023-05-31T00:00:00"/>
    <n v="0"/>
    <n v="0"/>
    <n v="0"/>
    <n v="0"/>
    <n v="0"/>
    <n v="0"/>
    <n v="0"/>
    <x v="0"/>
    <n v="85318.991999999998"/>
    <n v="85318.991999999998"/>
    <n v="0"/>
    <n v="0"/>
    <x v="0"/>
    <x v="3"/>
  </r>
  <r>
    <s v="ORD02428"/>
    <d v="2023-08-28T00:00:00"/>
    <x v="322"/>
    <x v="260"/>
    <n v="200"/>
    <s v="INV02428"/>
    <n v="200"/>
    <n v="990.72749999999996"/>
    <m/>
    <m/>
    <m/>
    <m/>
    <m/>
    <n v="990.72749999999996"/>
    <d v="2023-05-22T00:00:00"/>
    <n v="0"/>
    <n v="0"/>
    <n v="0"/>
    <n v="0"/>
    <n v="0"/>
    <n v="0"/>
    <n v="0"/>
    <x v="0"/>
    <n v="198145.5"/>
    <n v="198145.5"/>
    <n v="0"/>
    <n v="0"/>
    <x v="0"/>
    <x v="12"/>
  </r>
  <r>
    <s v="ORD02429"/>
    <d v="2024-03-02T00:00:00"/>
    <x v="762"/>
    <x v="191"/>
    <n v="87"/>
    <s v="INV02429"/>
    <n v="87"/>
    <n v="355.32000000000005"/>
    <n v="2"/>
    <d v="2025-02-28T00:00:00"/>
    <m/>
    <m/>
    <m/>
    <n v="355.32000000000005"/>
    <d v="2023-05-12T00:00:00"/>
    <n v="0"/>
    <n v="0"/>
    <n v="0"/>
    <n v="0"/>
    <n v="0"/>
    <n v="1"/>
    <n v="0"/>
    <x v="1"/>
    <n v="30912.840000000004"/>
    <n v="30912.840000000004"/>
    <n v="0"/>
    <n v="2"/>
    <x v="1"/>
    <x v="6"/>
  </r>
  <r>
    <s v="ORD02430"/>
    <d v="2024-08-28T00:00:00"/>
    <x v="763"/>
    <x v="191"/>
    <n v="137"/>
    <s v="INV02430"/>
    <n v="137"/>
    <n v="355.32000000000005"/>
    <m/>
    <m/>
    <m/>
    <m/>
    <m/>
    <n v="355.32000000000005"/>
    <d v="2023-05-12T00:00:00"/>
    <n v="0"/>
    <n v="0"/>
    <n v="0"/>
    <n v="0"/>
    <n v="0"/>
    <n v="0"/>
    <n v="0"/>
    <x v="0"/>
    <n v="48678.840000000004"/>
    <n v="48678.840000000004"/>
    <n v="0"/>
    <n v="0"/>
    <x v="0"/>
    <x v="22"/>
  </r>
  <r>
    <s v="ORD02431"/>
    <d v="2023-10-16T00:00:00"/>
    <x v="124"/>
    <x v="12"/>
    <n v="86"/>
    <s v="INV02431"/>
    <n v="86"/>
    <n v="725.50320000000011"/>
    <m/>
    <m/>
    <m/>
    <m/>
    <m/>
    <n v="725.50320000000011"/>
    <d v="2022-10-24T00:00:00"/>
    <n v="0"/>
    <n v="0"/>
    <n v="0"/>
    <n v="0"/>
    <n v="0"/>
    <n v="0"/>
    <n v="0"/>
    <x v="0"/>
    <n v="62393.275200000011"/>
    <n v="62393.275200000011"/>
    <n v="0"/>
    <n v="0"/>
    <x v="0"/>
    <x v="19"/>
  </r>
  <r>
    <s v="ORD02432"/>
    <d v="2024-09-06T00:00:00"/>
    <x v="5"/>
    <x v="224"/>
    <n v="68"/>
    <s v="INV02432"/>
    <n v="68"/>
    <n v="377.08350000000002"/>
    <m/>
    <m/>
    <m/>
    <m/>
    <m/>
    <n v="377.08350000000002"/>
    <d v="2023-05-18T00:00:00"/>
    <n v="0"/>
    <n v="0"/>
    <n v="0"/>
    <n v="0"/>
    <n v="0"/>
    <n v="0"/>
    <n v="0"/>
    <x v="0"/>
    <n v="25641.678"/>
    <n v="25641.678"/>
    <n v="0"/>
    <n v="0"/>
    <x v="0"/>
    <x v="2"/>
  </r>
  <r>
    <s v="ORD02433"/>
    <d v="2024-10-22T00:00:00"/>
    <x v="271"/>
    <x v="89"/>
    <n v="174"/>
    <s v="INV02433"/>
    <n v="174"/>
    <n v="826.46400000000006"/>
    <m/>
    <m/>
    <m/>
    <m/>
    <m/>
    <n v="826.46400000000006"/>
    <d v="2023-07-21T00:00:00"/>
    <n v="0"/>
    <n v="0"/>
    <n v="0"/>
    <n v="0"/>
    <n v="0"/>
    <n v="0"/>
    <n v="0"/>
    <x v="0"/>
    <n v="143804.736"/>
    <n v="143804.736"/>
    <n v="0"/>
    <n v="0"/>
    <x v="0"/>
    <x v="5"/>
  </r>
  <r>
    <s v="ORD02434"/>
    <d v="2023-09-24T00:00:00"/>
    <x v="124"/>
    <x v="80"/>
    <n v="89"/>
    <s v="INV02434"/>
    <n v="89"/>
    <n v="1014.5718000000001"/>
    <m/>
    <m/>
    <m/>
    <m/>
    <m/>
    <n v="1014.5718000000001"/>
    <d v="2023-04-19T00:00:00"/>
    <n v="0"/>
    <n v="0"/>
    <n v="0"/>
    <n v="0"/>
    <n v="0"/>
    <n v="0"/>
    <n v="0"/>
    <x v="0"/>
    <n v="90296.890200000009"/>
    <n v="90296.890200000009"/>
    <n v="0"/>
    <n v="0"/>
    <x v="0"/>
    <x v="18"/>
  </r>
  <r>
    <s v="ORD02435"/>
    <d v="2023-11-13T00:00:00"/>
    <x v="464"/>
    <x v="263"/>
    <n v="169"/>
    <s v="INV02435"/>
    <n v="169"/>
    <n v="599.90620000000001"/>
    <m/>
    <m/>
    <m/>
    <m/>
    <m/>
    <n v="599.90620000000001"/>
    <d v="2023-05-14T00:00:00"/>
    <n v="0"/>
    <n v="0"/>
    <n v="0"/>
    <n v="0"/>
    <n v="0"/>
    <n v="0"/>
    <n v="0"/>
    <x v="0"/>
    <n v="101384.14780000001"/>
    <n v="101384.14780000001"/>
    <n v="0"/>
    <n v="0"/>
    <x v="0"/>
    <x v="0"/>
  </r>
  <r>
    <s v="ORD02436"/>
    <d v="2024-07-21T00:00:00"/>
    <x v="680"/>
    <x v="265"/>
    <n v="46"/>
    <s v="INV02436"/>
    <n v="46"/>
    <n v="223.6044"/>
    <m/>
    <m/>
    <m/>
    <m/>
    <m/>
    <n v="223.6044"/>
    <d v="2023-06-14T00:00:00"/>
    <n v="0"/>
    <n v="0"/>
    <n v="0"/>
    <n v="0"/>
    <n v="0"/>
    <n v="0"/>
    <n v="0"/>
    <x v="0"/>
    <n v="10285.8024"/>
    <n v="10285.8024"/>
    <n v="0"/>
    <n v="0"/>
    <x v="0"/>
    <x v="21"/>
  </r>
  <r>
    <s v="ORD02437"/>
    <d v="2024-10-26T00:00:00"/>
    <x v="652"/>
    <x v="199"/>
    <n v="117"/>
    <s v="INV02437"/>
    <n v="117"/>
    <n v="334.24649999999997"/>
    <m/>
    <m/>
    <m/>
    <m/>
    <m/>
    <n v="334.24649999999997"/>
    <d v="2023-07-18T00:00:00"/>
    <n v="0"/>
    <n v="0"/>
    <n v="0"/>
    <n v="0"/>
    <n v="0"/>
    <n v="0"/>
    <n v="0"/>
    <x v="0"/>
    <n v="39106.840499999998"/>
    <n v="39106.840499999998"/>
    <n v="0"/>
    <n v="0"/>
    <x v="0"/>
    <x v="5"/>
  </r>
  <r>
    <s v="ORD02438"/>
    <d v="2024-02-17T00:00:00"/>
    <x v="92"/>
    <x v="107"/>
    <n v="126"/>
    <s v="INV02438"/>
    <n v="126"/>
    <n v="52.185000000000002"/>
    <m/>
    <m/>
    <m/>
    <m/>
    <m/>
    <n v="52.185000000000002"/>
    <d v="2023-03-13T00:00:00"/>
    <n v="0"/>
    <n v="0"/>
    <n v="0"/>
    <n v="0"/>
    <n v="0"/>
    <n v="0"/>
    <n v="0"/>
    <x v="0"/>
    <n v="6575.31"/>
    <n v="6575.31"/>
    <n v="0"/>
    <n v="0"/>
    <x v="0"/>
    <x v="3"/>
  </r>
  <r>
    <s v="ORD02439"/>
    <d v="2023-07-30T00:00:00"/>
    <x v="257"/>
    <x v="292"/>
    <n v="95"/>
    <s v="INV02439"/>
    <n v="95"/>
    <n v="850.88400000000001"/>
    <n v="18"/>
    <d v="2024-07-06T00:00:00"/>
    <m/>
    <m/>
    <m/>
    <n v="850.88400000000001"/>
    <d v="2023-06-23T00:00:00"/>
    <n v="0"/>
    <n v="0"/>
    <n v="0"/>
    <n v="0"/>
    <n v="0"/>
    <n v="1"/>
    <n v="0"/>
    <x v="1"/>
    <n v="80833.98"/>
    <n v="80833.98"/>
    <n v="0"/>
    <n v="2"/>
    <x v="1"/>
    <x v="10"/>
  </r>
  <r>
    <s v="ORD02440"/>
    <d v="2024-08-14T00:00:00"/>
    <x v="433"/>
    <x v="270"/>
    <n v="188"/>
    <s v="INV02440"/>
    <n v="188"/>
    <n v="983.19460000000004"/>
    <m/>
    <m/>
    <m/>
    <m/>
    <m/>
    <n v="983.19460000000004"/>
    <d v="2023-08-04T00:00:00"/>
    <n v="0"/>
    <n v="0"/>
    <n v="0"/>
    <n v="0"/>
    <n v="0"/>
    <n v="0"/>
    <n v="0"/>
    <x v="0"/>
    <n v="184840.58480000001"/>
    <n v="184840.58480000001"/>
    <n v="0"/>
    <n v="0"/>
    <x v="0"/>
    <x v="22"/>
  </r>
  <r>
    <s v="ORD02441"/>
    <d v="2024-03-09T00:00:00"/>
    <x v="17"/>
    <x v="33"/>
    <n v="192"/>
    <s v="INV02441"/>
    <n v="192"/>
    <n v="54.580199999999998"/>
    <m/>
    <m/>
    <m/>
    <m/>
    <m/>
    <n v="54.580199999999998"/>
    <d v="2023-02-27T00:00:00"/>
    <n v="0"/>
    <n v="0"/>
    <n v="0"/>
    <n v="0"/>
    <n v="0"/>
    <n v="0"/>
    <n v="0"/>
    <x v="0"/>
    <n v="10479.3984"/>
    <n v="10479.3984"/>
    <n v="0"/>
    <n v="0"/>
    <x v="0"/>
    <x v="6"/>
  </r>
  <r>
    <s v="ORD02442"/>
    <d v="2023-02-24T00:00:00"/>
    <x v="739"/>
    <x v="158"/>
    <n v="65"/>
    <s v="INV02442"/>
    <n v="65"/>
    <n v="732.452"/>
    <n v="7"/>
    <d v="2023-09-09T00:00:00"/>
    <m/>
    <m/>
    <m/>
    <n v="732.452"/>
    <d v="2023-01-15T00:00:00"/>
    <n v="0"/>
    <n v="0"/>
    <n v="0"/>
    <n v="0"/>
    <n v="0"/>
    <n v="1"/>
    <n v="0"/>
    <x v="1"/>
    <n v="47609.38"/>
    <n v="47609.38"/>
    <n v="0"/>
    <n v="2"/>
    <x v="1"/>
    <x v="11"/>
  </r>
  <r>
    <s v="ORD02443"/>
    <d v="2024-11-24T00:00:00"/>
    <x v="515"/>
    <x v="178"/>
    <n v="16"/>
    <s v="INV02443"/>
    <n v="16"/>
    <n v="479.40280000000007"/>
    <m/>
    <m/>
    <m/>
    <m/>
    <m/>
    <n v="479.40280000000007"/>
    <d v="2023-01-15T00:00:00"/>
    <n v="0"/>
    <n v="0"/>
    <n v="0"/>
    <n v="0"/>
    <n v="0"/>
    <n v="0"/>
    <n v="0"/>
    <x v="0"/>
    <n v="7670.4448000000011"/>
    <n v="7670.4448000000011"/>
    <n v="0"/>
    <n v="0"/>
    <x v="0"/>
    <x v="4"/>
  </r>
  <r>
    <s v="ORD02444"/>
    <d v="2023-08-11T00:00:00"/>
    <x v="602"/>
    <x v="41"/>
    <n v="40"/>
    <s v="INV02444"/>
    <n v="40"/>
    <n v="1065.9095"/>
    <m/>
    <m/>
    <m/>
    <m/>
    <m/>
    <n v="1065.9095"/>
    <d v="2023-02-06T00:00:00"/>
    <n v="0"/>
    <n v="0"/>
    <n v="0"/>
    <n v="0"/>
    <n v="0"/>
    <n v="0"/>
    <n v="0"/>
    <x v="0"/>
    <n v="42636.38"/>
    <n v="42636.38"/>
    <n v="0"/>
    <n v="0"/>
    <x v="0"/>
    <x v="12"/>
  </r>
  <r>
    <s v="ORD02445"/>
    <d v="2024-02-17T00:00:00"/>
    <x v="313"/>
    <x v="259"/>
    <n v="126"/>
    <s v="INV02445"/>
    <n v="126"/>
    <n v="1160.71"/>
    <m/>
    <m/>
    <m/>
    <m/>
    <m/>
    <n v="1160.71"/>
    <d v="2023-02-07T00:00:00"/>
    <n v="0"/>
    <n v="0"/>
    <n v="0"/>
    <n v="0"/>
    <n v="0"/>
    <n v="0"/>
    <n v="0"/>
    <x v="0"/>
    <n v="146249.46"/>
    <n v="146249.46"/>
    <n v="0"/>
    <n v="0"/>
    <x v="0"/>
    <x v="3"/>
  </r>
  <r>
    <s v="ORD02446"/>
    <d v="2023-10-14T00:00:00"/>
    <x v="413"/>
    <x v="143"/>
    <n v="63"/>
    <s v="INV02446"/>
    <n v="63"/>
    <n v="893.8972"/>
    <m/>
    <m/>
    <m/>
    <m/>
    <m/>
    <n v="893.8972"/>
    <d v="2023-05-03T00:00:00"/>
    <n v="0"/>
    <n v="0"/>
    <n v="0"/>
    <n v="0"/>
    <n v="0"/>
    <n v="0"/>
    <n v="0"/>
    <x v="0"/>
    <n v="56315.5236"/>
    <n v="56315.5236"/>
    <n v="0"/>
    <n v="0"/>
    <x v="0"/>
    <x v="19"/>
  </r>
  <r>
    <s v="ORD02447"/>
    <d v="2023-05-08T00:00:00"/>
    <x v="434"/>
    <x v="293"/>
    <n v="143"/>
    <s v="INV02447"/>
    <n v="143"/>
    <n v="94.274299999999997"/>
    <m/>
    <m/>
    <m/>
    <m/>
    <m/>
    <n v="94.274299999999997"/>
    <d v="2022-12-11T00:00:00"/>
    <n v="0"/>
    <n v="0"/>
    <n v="0"/>
    <n v="0"/>
    <n v="0"/>
    <n v="0"/>
    <n v="0"/>
    <x v="0"/>
    <n v="13481.224899999999"/>
    <n v="13481.224899999999"/>
    <n v="0"/>
    <n v="0"/>
    <x v="0"/>
    <x v="7"/>
  </r>
  <r>
    <s v="ORD02448"/>
    <d v="2023-03-12T00:00:00"/>
    <x v="65"/>
    <x v="115"/>
    <n v="163"/>
    <s v="INV02448"/>
    <n v="163"/>
    <n v="208.65799999999999"/>
    <m/>
    <m/>
    <m/>
    <m/>
    <m/>
    <n v="208.65799999999999"/>
    <d v="2023-02-14T00:00:00"/>
    <n v="0"/>
    <n v="0"/>
    <n v="0"/>
    <n v="0"/>
    <n v="0"/>
    <n v="0"/>
    <n v="0"/>
    <x v="0"/>
    <n v="34011.254000000001"/>
    <n v="34011.254000000001"/>
    <n v="0"/>
    <n v="0"/>
    <x v="0"/>
    <x v="17"/>
  </r>
  <r>
    <s v="ORD02449"/>
    <d v="2024-07-08T00:00:00"/>
    <x v="311"/>
    <x v="188"/>
    <n v="68"/>
    <s v="INV02449"/>
    <n v="68"/>
    <n v="73.305100000000024"/>
    <m/>
    <m/>
    <m/>
    <m/>
    <m/>
    <n v="73.305100000000024"/>
    <d v="2023-04-30T00:00:00"/>
    <n v="0"/>
    <n v="0"/>
    <n v="0"/>
    <n v="0"/>
    <n v="0"/>
    <n v="0"/>
    <n v="0"/>
    <x v="0"/>
    <n v="4984.7468000000017"/>
    <n v="4984.7468000000017"/>
    <n v="0"/>
    <n v="0"/>
    <x v="0"/>
    <x v="21"/>
  </r>
  <r>
    <s v="ORD02450"/>
    <d v="2023-11-18T00:00:00"/>
    <x v="700"/>
    <x v="221"/>
    <n v="76"/>
    <s v="INV02450"/>
    <n v="76"/>
    <n v="690.05370000000005"/>
    <m/>
    <m/>
    <m/>
    <m/>
    <m/>
    <n v="690.05370000000005"/>
    <d v="2023-02-19T00:00:00"/>
    <n v="0"/>
    <n v="0"/>
    <n v="0"/>
    <n v="0"/>
    <n v="0"/>
    <n v="0"/>
    <n v="0"/>
    <x v="0"/>
    <n v="52444.081200000001"/>
    <n v="52444.081200000001"/>
    <n v="0"/>
    <n v="0"/>
    <x v="0"/>
    <x v="0"/>
  </r>
  <r>
    <s v="ORD02451"/>
    <d v="2023-01-26T00:00:00"/>
    <x v="59"/>
    <x v="10"/>
    <n v="144"/>
    <s v="INV02451"/>
    <n v="144"/>
    <n v="452.64"/>
    <m/>
    <m/>
    <m/>
    <m/>
    <m/>
    <n v="452.64"/>
    <d v="2022-05-13T00:00:00"/>
    <n v="0"/>
    <n v="0"/>
    <n v="0"/>
    <n v="0"/>
    <n v="0"/>
    <n v="0"/>
    <n v="0"/>
    <x v="0"/>
    <n v="65180.159999999996"/>
    <n v="65180.159999999996"/>
    <n v="0"/>
    <n v="0"/>
    <x v="0"/>
    <x v="8"/>
  </r>
  <r>
    <s v="ORD02452"/>
    <d v="2024-05-30T00:00:00"/>
    <x v="51"/>
    <x v="24"/>
    <n v="142"/>
    <s v="INV02452"/>
    <n v="142"/>
    <n v="426.10500000000002"/>
    <m/>
    <m/>
    <m/>
    <m/>
    <m/>
    <n v="426.10500000000002"/>
    <d v="2023-10-16T00:00:00"/>
    <n v="0"/>
    <n v="0"/>
    <n v="0"/>
    <n v="0"/>
    <n v="0"/>
    <n v="0"/>
    <n v="0"/>
    <x v="0"/>
    <n v="60506.91"/>
    <n v="60506.91"/>
    <n v="0"/>
    <n v="0"/>
    <x v="0"/>
    <x v="13"/>
  </r>
  <r>
    <s v="ORD02453"/>
    <d v="2024-09-21T00:00:00"/>
    <x v="287"/>
    <x v="256"/>
    <n v="171"/>
    <s v="INV02453"/>
    <n v="171"/>
    <n v="717.0471"/>
    <m/>
    <m/>
    <m/>
    <m/>
    <m/>
    <n v="717.0471"/>
    <d v="2023-02-27T00:00:00"/>
    <n v="0"/>
    <n v="0"/>
    <n v="0"/>
    <n v="0"/>
    <n v="0"/>
    <n v="0"/>
    <n v="0"/>
    <x v="0"/>
    <n v="122615.05409999999"/>
    <n v="122615.05409999999"/>
    <n v="0"/>
    <n v="0"/>
    <x v="0"/>
    <x v="2"/>
  </r>
  <r>
    <s v="ORD02454"/>
    <d v="2024-02-01T00:00:00"/>
    <x v="437"/>
    <x v="105"/>
    <n v="60"/>
    <s v="INV02454"/>
    <n v="60"/>
    <n v="1085.8974999999998"/>
    <m/>
    <m/>
    <m/>
    <m/>
    <m/>
    <n v="1085.8974999999998"/>
    <d v="2023-08-09T00:00:00"/>
    <n v="0"/>
    <n v="0"/>
    <n v="0"/>
    <n v="0"/>
    <n v="0"/>
    <n v="0"/>
    <n v="0"/>
    <x v="0"/>
    <n v="65153.849999999991"/>
    <n v="65153.849999999991"/>
    <n v="0"/>
    <n v="0"/>
    <x v="0"/>
    <x v="3"/>
  </r>
  <r>
    <s v="ORD02455"/>
    <d v="2023-04-11T00:00:00"/>
    <x v="456"/>
    <x v="51"/>
    <n v="86"/>
    <s v="INV02455"/>
    <n v="86"/>
    <n v="574.3415"/>
    <m/>
    <m/>
    <m/>
    <m/>
    <m/>
    <n v="574.3415"/>
    <d v="2022-09-02T00:00:00"/>
    <n v="0"/>
    <n v="0"/>
    <n v="0"/>
    <n v="0"/>
    <n v="0"/>
    <n v="0"/>
    <n v="0"/>
    <x v="0"/>
    <n v="49393.368999999999"/>
    <n v="49393.368999999999"/>
    <n v="0"/>
    <n v="0"/>
    <x v="0"/>
    <x v="23"/>
  </r>
  <r>
    <s v="ORD02456"/>
    <d v="2023-12-05T00:00:00"/>
    <x v="298"/>
    <x v="22"/>
    <n v="11"/>
    <s v="INV02456"/>
    <n v="11"/>
    <n v="626.68790000000001"/>
    <n v="6"/>
    <d v="2025-02-02T00:00:00"/>
    <m/>
    <m/>
    <m/>
    <n v="626.68790000000001"/>
    <d v="2023-06-26T00:00:00"/>
    <n v="0"/>
    <n v="0"/>
    <n v="0"/>
    <n v="0"/>
    <n v="0"/>
    <n v="1"/>
    <n v="0"/>
    <x v="1"/>
    <n v="6893.5668999999998"/>
    <n v="6893.5668999999998"/>
    <n v="0"/>
    <n v="2"/>
    <x v="1"/>
    <x v="20"/>
  </r>
  <r>
    <s v="ORD02457"/>
    <d v="2024-04-30T00:00:00"/>
    <x v="4"/>
    <x v="25"/>
    <n v="46"/>
    <s v="INV02457"/>
    <n v="46"/>
    <n v="1218.568"/>
    <m/>
    <m/>
    <m/>
    <m/>
    <m/>
    <n v="1218.568"/>
    <d v="2023-05-15T00:00:00"/>
    <n v="0"/>
    <n v="0"/>
    <n v="0"/>
    <n v="0"/>
    <n v="0"/>
    <n v="0"/>
    <n v="0"/>
    <x v="0"/>
    <n v="56054.127999999997"/>
    <n v="56054.127999999997"/>
    <n v="0"/>
    <n v="0"/>
    <x v="0"/>
    <x v="9"/>
  </r>
  <r>
    <s v="ORD02458"/>
    <d v="2023-08-25T00:00:00"/>
    <x v="118"/>
    <x v="6"/>
    <n v="150"/>
    <s v="INV02458"/>
    <n v="150"/>
    <n v="700.93560000000002"/>
    <m/>
    <m/>
    <m/>
    <m/>
    <m/>
    <n v="700.93560000000002"/>
    <d v="2023-05-31T00:00:00"/>
    <n v="0"/>
    <n v="0"/>
    <n v="0"/>
    <n v="0"/>
    <n v="0"/>
    <n v="0"/>
    <n v="0"/>
    <x v="0"/>
    <n v="105140.34"/>
    <n v="105140.34"/>
    <n v="0"/>
    <n v="0"/>
    <x v="0"/>
    <x v="12"/>
  </r>
  <r>
    <s v="ORD02459"/>
    <d v="2023-02-01T00:00:00"/>
    <x v="56"/>
    <x v="92"/>
    <n v="12"/>
    <s v="INV02459"/>
    <n v="12"/>
    <n v="859.25750000000005"/>
    <m/>
    <m/>
    <m/>
    <m/>
    <m/>
    <n v="859.25750000000005"/>
    <d v="2022-08-09T00:00:00"/>
    <n v="0"/>
    <n v="0"/>
    <n v="0"/>
    <n v="0"/>
    <n v="0"/>
    <n v="0"/>
    <n v="0"/>
    <x v="0"/>
    <n v="10311.09"/>
    <n v="10311.09"/>
    <n v="0"/>
    <n v="0"/>
    <x v="0"/>
    <x v="11"/>
  </r>
  <r>
    <s v="ORD02460"/>
    <d v="2024-04-14T00:00:00"/>
    <x v="554"/>
    <x v="242"/>
    <n v="131"/>
    <s v="INV02460"/>
    <n v="131"/>
    <n v="1166.4765000000002"/>
    <m/>
    <m/>
    <m/>
    <m/>
    <m/>
    <n v="1166.4765000000002"/>
    <d v="2023-07-07T00:00:00"/>
    <n v="0"/>
    <n v="0"/>
    <n v="0"/>
    <n v="0"/>
    <n v="0"/>
    <n v="0"/>
    <n v="0"/>
    <x v="0"/>
    <n v="152808.42150000003"/>
    <n v="152808.42150000003"/>
    <n v="0"/>
    <n v="0"/>
    <x v="0"/>
    <x v="9"/>
  </r>
  <r>
    <s v="ORD02461"/>
    <d v="2023-10-18T00:00:00"/>
    <x v="147"/>
    <x v="144"/>
    <n v="175"/>
    <s v="INV02461"/>
    <n v="175"/>
    <n v="324.52350000000001"/>
    <m/>
    <m/>
    <m/>
    <m/>
    <m/>
    <n v="324.52350000000001"/>
    <d v="2023-06-23T00:00:00"/>
    <n v="0"/>
    <n v="0"/>
    <n v="0"/>
    <n v="0"/>
    <n v="0"/>
    <n v="0"/>
    <n v="0"/>
    <x v="0"/>
    <n v="56791.612500000003"/>
    <n v="56791.612500000003"/>
    <n v="0"/>
    <n v="0"/>
    <x v="0"/>
    <x v="19"/>
  </r>
  <r>
    <s v="ORD02462"/>
    <d v="2024-04-02T00:00:00"/>
    <x v="657"/>
    <x v="212"/>
    <n v="116"/>
    <s v="INV02462"/>
    <n v="116"/>
    <n v="1167.9120000000005"/>
    <m/>
    <m/>
    <m/>
    <m/>
    <m/>
    <n v="1167.9120000000005"/>
    <d v="2023-04-03T00:00:00"/>
    <n v="0"/>
    <n v="0"/>
    <n v="0"/>
    <n v="0"/>
    <n v="0"/>
    <n v="0"/>
    <n v="0"/>
    <x v="0"/>
    <n v="135477.79200000004"/>
    <n v="135477.79200000004"/>
    <n v="0"/>
    <n v="0"/>
    <x v="0"/>
    <x v="9"/>
  </r>
  <r>
    <s v="ORD02463"/>
    <d v="2024-08-22T00:00:00"/>
    <x v="764"/>
    <x v="207"/>
    <n v="83"/>
    <s v="INV02463"/>
    <n v="83"/>
    <n v="288.11460137556998"/>
    <m/>
    <m/>
    <m/>
    <m/>
    <m/>
    <n v="287.90559999999999"/>
    <d v="2023-10-25T00:00:00"/>
    <n v="0"/>
    <n v="0"/>
    <n v="1"/>
    <n v="0"/>
    <n v="0"/>
    <n v="0"/>
    <n v="0"/>
    <x v="1"/>
    <n v="23913.511914172308"/>
    <n v="23896.164799999999"/>
    <n v="17.347114172309375"/>
    <n v="4"/>
    <x v="1"/>
    <x v="22"/>
  </r>
  <r>
    <s v="ORD02464"/>
    <d v="2024-12-14T00:00:00"/>
    <x v="172"/>
    <x v="287"/>
    <n v="34"/>
    <s v="INV02464"/>
    <n v="34"/>
    <n v="720.47380000000021"/>
    <m/>
    <m/>
    <m/>
    <m/>
    <m/>
    <n v="720.47380000000021"/>
    <d v="2023-04-10T00:00:00"/>
    <n v="0"/>
    <n v="0"/>
    <n v="0"/>
    <n v="0"/>
    <n v="0"/>
    <n v="0"/>
    <n v="0"/>
    <x v="0"/>
    <n v="24496.109200000006"/>
    <n v="24496.109200000006"/>
    <n v="0"/>
    <n v="0"/>
    <x v="0"/>
    <x v="1"/>
  </r>
  <r>
    <s v="ORD02465"/>
    <d v="2023-07-17T00:00:00"/>
    <x v="751"/>
    <x v="152"/>
    <n v="125"/>
    <s v="INV02465"/>
    <n v="125"/>
    <n v="403.01909999999998"/>
    <m/>
    <m/>
    <m/>
    <m/>
    <m/>
    <n v="403.01909999999998"/>
    <d v="2023-05-10T00:00:00"/>
    <n v="0"/>
    <n v="0"/>
    <n v="0"/>
    <n v="0"/>
    <n v="0"/>
    <n v="0"/>
    <n v="0"/>
    <x v="0"/>
    <n v="50377.387499999997"/>
    <n v="50377.387499999997"/>
    <n v="0"/>
    <n v="0"/>
    <x v="0"/>
    <x v="10"/>
  </r>
  <r>
    <s v="ORD02466"/>
    <d v="2023-06-04T00:00:00"/>
    <x v="420"/>
    <x v="59"/>
    <n v="45"/>
    <s v="INV02466"/>
    <n v="45"/>
    <n v="933.82110000000011"/>
    <m/>
    <m/>
    <m/>
    <m/>
    <m/>
    <n v="933.82110000000011"/>
    <d v="2022-10-21T00:00:00"/>
    <n v="0"/>
    <n v="0"/>
    <n v="0"/>
    <n v="0"/>
    <n v="0"/>
    <n v="0"/>
    <n v="0"/>
    <x v="0"/>
    <n v="42021.949500000002"/>
    <n v="42021.949500000002"/>
    <n v="0"/>
    <n v="0"/>
    <x v="0"/>
    <x v="14"/>
  </r>
  <r>
    <s v="ORD02467"/>
    <d v="2023-12-09T00:00:00"/>
    <x v="507"/>
    <x v="246"/>
    <n v="132"/>
    <s v="INV02467"/>
    <n v="132"/>
    <n v="491.10239999999999"/>
    <m/>
    <m/>
    <m/>
    <m/>
    <m/>
    <n v="491.10239999999999"/>
    <d v="2023-09-18T00:00:00"/>
    <n v="0"/>
    <n v="0"/>
    <n v="0"/>
    <n v="0"/>
    <n v="0"/>
    <n v="0"/>
    <n v="0"/>
    <x v="0"/>
    <n v="64825.516799999998"/>
    <n v="64825.516799999998"/>
    <n v="0"/>
    <n v="0"/>
    <x v="0"/>
    <x v="20"/>
  </r>
  <r>
    <s v="ORD02468"/>
    <d v="2024-08-10T00:00:00"/>
    <x v="598"/>
    <x v="261"/>
    <n v="94"/>
    <s v="INV02468"/>
    <n v="94"/>
    <n v="994.85640000000001"/>
    <m/>
    <m/>
    <m/>
    <m/>
    <m/>
    <n v="994.85640000000001"/>
    <d v="2023-08-11T00:00:00"/>
    <n v="0"/>
    <n v="0"/>
    <n v="0"/>
    <n v="0"/>
    <n v="0"/>
    <n v="0"/>
    <n v="0"/>
    <x v="0"/>
    <n v="93516.501600000003"/>
    <n v="93516.501600000003"/>
    <n v="0"/>
    <n v="0"/>
    <x v="0"/>
    <x v="22"/>
  </r>
  <r>
    <s v="ORD02469"/>
    <d v="2023-01-27T00:00:00"/>
    <x v="765"/>
    <x v="79"/>
    <n v="129"/>
    <s v="INV02469"/>
    <n v="129"/>
    <n v="682.98"/>
    <m/>
    <m/>
    <m/>
    <m/>
    <m/>
    <n v="682.98"/>
    <d v="2022-03-09T00:00:00"/>
    <n v="0"/>
    <n v="0"/>
    <n v="0"/>
    <n v="0"/>
    <n v="0"/>
    <n v="0"/>
    <n v="0"/>
    <x v="0"/>
    <n v="88104.42"/>
    <n v="88104.42"/>
    <n v="0"/>
    <n v="0"/>
    <x v="0"/>
    <x v="8"/>
  </r>
  <r>
    <s v="ORD02470"/>
    <d v="2024-04-09T00:00:00"/>
    <x v="362"/>
    <x v="164"/>
    <n v="161"/>
    <s v="INV02470"/>
    <n v="161"/>
    <n v="709.52"/>
    <m/>
    <m/>
    <m/>
    <m/>
    <m/>
    <n v="709.52"/>
    <d v="2023-01-26T00:00:00"/>
    <n v="0"/>
    <n v="0"/>
    <n v="0"/>
    <n v="0"/>
    <n v="0"/>
    <n v="0"/>
    <n v="0"/>
    <x v="0"/>
    <n v="114232.72"/>
    <n v="114232.72"/>
    <n v="0"/>
    <n v="0"/>
    <x v="0"/>
    <x v="9"/>
  </r>
  <r>
    <s v="ORD02471"/>
    <d v="2023-12-20T00:00:00"/>
    <x v="197"/>
    <x v="27"/>
    <n v="188"/>
    <s v="INV02471"/>
    <n v="188"/>
    <n v="715.86900000000003"/>
    <m/>
    <m/>
    <m/>
    <m/>
    <m/>
    <n v="715.86900000000003"/>
    <d v="2023-08-02T00:00:00"/>
    <n v="0"/>
    <n v="0"/>
    <n v="0"/>
    <n v="0"/>
    <n v="0"/>
    <n v="0"/>
    <n v="0"/>
    <x v="0"/>
    <n v="134583.372"/>
    <n v="134583.372"/>
    <n v="0"/>
    <n v="0"/>
    <x v="0"/>
    <x v="20"/>
  </r>
  <r>
    <s v="ORD02472"/>
    <d v="2024-07-22T00:00:00"/>
    <x v="640"/>
    <x v="11"/>
    <n v="183"/>
    <s v="INV02472"/>
    <n v="183"/>
    <n v="687.65840000000003"/>
    <m/>
    <m/>
    <m/>
    <m/>
    <m/>
    <n v="687.65840000000003"/>
    <d v="2023-08-01T00:00:00"/>
    <n v="0"/>
    <n v="0"/>
    <n v="0"/>
    <n v="0"/>
    <n v="0"/>
    <n v="0"/>
    <n v="0"/>
    <x v="0"/>
    <n v="125841.4872"/>
    <n v="125841.4872"/>
    <n v="0"/>
    <n v="0"/>
    <x v="0"/>
    <x v="21"/>
  </r>
  <r>
    <s v="ORD02473"/>
    <d v="2024-12-24T00:00:00"/>
    <x v="758"/>
    <x v="161"/>
    <n v="11"/>
    <s v="INV02473"/>
    <n v="11"/>
    <n v="1006.8318"/>
    <m/>
    <m/>
    <m/>
    <m/>
    <m/>
    <n v="1006.8318"/>
    <d v="2023-10-05T00:00:00"/>
    <n v="0"/>
    <n v="0"/>
    <n v="0"/>
    <n v="0"/>
    <n v="0"/>
    <n v="0"/>
    <n v="0"/>
    <x v="0"/>
    <n v="11075.149800000001"/>
    <n v="11075.149800000001"/>
    <n v="0"/>
    <n v="0"/>
    <x v="0"/>
    <x v="1"/>
  </r>
  <r>
    <s v="ORD02474"/>
    <d v="2024-09-07T00:00:00"/>
    <x v="234"/>
    <x v="198"/>
    <n v="173"/>
    <s v="INV02474"/>
    <n v="173"/>
    <n v="906.88919999999996"/>
    <m/>
    <m/>
    <m/>
    <m/>
    <m/>
    <n v="906.88919999999996"/>
    <d v="2023-03-06T00:00:00"/>
    <n v="0"/>
    <n v="0"/>
    <n v="0"/>
    <n v="0"/>
    <n v="0"/>
    <n v="0"/>
    <n v="0"/>
    <x v="0"/>
    <n v="156891.8316"/>
    <n v="156891.8316"/>
    <n v="0"/>
    <n v="0"/>
    <x v="0"/>
    <x v="2"/>
  </r>
  <r>
    <s v="ORD02475"/>
    <d v="2023-04-15T00:00:00"/>
    <x v="465"/>
    <x v="68"/>
    <n v="139"/>
    <s v="INV02475"/>
    <n v="139"/>
    <n v="168.12909999999999"/>
    <m/>
    <m/>
    <m/>
    <m/>
    <m/>
    <n v="168.12909999999999"/>
    <d v="2023-03-28T00:00:00"/>
    <n v="0"/>
    <n v="0"/>
    <n v="0"/>
    <n v="0"/>
    <n v="0"/>
    <n v="0"/>
    <n v="0"/>
    <x v="0"/>
    <n v="23369.944899999999"/>
    <n v="23369.944899999999"/>
    <n v="0"/>
    <n v="0"/>
    <x v="0"/>
    <x v="23"/>
  </r>
  <r>
    <s v="ORD02476"/>
    <d v="2023-01-09T00:00:00"/>
    <x v="79"/>
    <x v="9"/>
    <n v="78"/>
    <s v="INV02476"/>
    <n v="78"/>
    <n v="426.37880000000001"/>
    <m/>
    <m/>
    <m/>
    <m/>
    <m/>
    <n v="426.37880000000001"/>
    <d v="2022-12-28T00:00:00"/>
    <n v="0"/>
    <n v="0"/>
    <n v="0"/>
    <n v="0"/>
    <n v="0"/>
    <n v="0"/>
    <n v="0"/>
    <x v="0"/>
    <n v="33257.546399999999"/>
    <n v="33257.546399999999"/>
    <n v="0"/>
    <n v="0"/>
    <x v="0"/>
    <x v="8"/>
  </r>
  <r>
    <s v="ORD02477"/>
    <d v="2023-12-13T00:00:00"/>
    <x v="306"/>
    <x v="216"/>
    <n v="62"/>
    <s v="INV02477"/>
    <n v="62"/>
    <n v="828.36189999999999"/>
    <n v="7"/>
    <d v="2024-12-07T00:00:00"/>
    <m/>
    <m/>
    <m/>
    <n v="828.36189999999999"/>
    <d v="2023-07-30T00:00:00"/>
    <n v="0"/>
    <n v="0"/>
    <n v="0"/>
    <n v="0"/>
    <n v="0"/>
    <n v="1"/>
    <n v="0"/>
    <x v="1"/>
    <n v="51358.4378"/>
    <n v="51358.4378"/>
    <n v="0"/>
    <n v="2"/>
    <x v="1"/>
    <x v="20"/>
  </r>
  <r>
    <s v="ORD02478"/>
    <d v="2024-04-07T00:00:00"/>
    <x v="766"/>
    <x v="83"/>
    <n v="104"/>
    <s v="INV02478"/>
    <n v="104"/>
    <n v="1157.6343999999999"/>
    <m/>
    <m/>
    <m/>
    <m/>
    <m/>
    <n v="1157.6343999999999"/>
    <d v="2023-02-02T00:00:00"/>
    <n v="0"/>
    <n v="0"/>
    <n v="0"/>
    <n v="0"/>
    <n v="0"/>
    <n v="0"/>
    <n v="0"/>
    <x v="0"/>
    <n v="120393.97759999998"/>
    <n v="120393.97759999998"/>
    <n v="0"/>
    <n v="0"/>
    <x v="0"/>
    <x v="9"/>
  </r>
  <r>
    <s v="ORD02479"/>
    <d v="2024-06-17T00:00:00"/>
    <x v="767"/>
    <x v="155"/>
    <n v="138"/>
    <s v="INV02479"/>
    <n v="138"/>
    <n v="565.82459999999992"/>
    <m/>
    <m/>
    <m/>
    <m/>
    <m/>
    <n v="565.82459999999992"/>
    <d v="2023-03-28T00:00:00"/>
    <n v="0"/>
    <n v="0"/>
    <n v="0"/>
    <n v="0"/>
    <n v="0"/>
    <n v="0"/>
    <n v="0"/>
    <x v="0"/>
    <n v="78083.794799999989"/>
    <n v="78083.794799999989"/>
    <n v="0"/>
    <n v="0"/>
    <x v="0"/>
    <x v="16"/>
  </r>
  <r>
    <s v="ORD02480"/>
    <d v="2024-02-05T00:00:00"/>
    <x v="534"/>
    <x v="67"/>
    <n v="103"/>
    <s v="INV02480"/>
    <n v="103"/>
    <n v="1016.9848"/>
    <m/>
    <m/>
    <m/>
    <m/>
    <m/>
    <n v="1016.9848"/>
    <d v="2023-04-17T00:00:00"/>
    <n v="0"/>
    <n v="0"/>
    <n v="0"/>
    <n v="0"/>
    <n v="0"/>
    <n v="0"/>
    <n v="0"/>
    <x v="0"/>
    <n v="104749.4344"/>
    <n v="104749.4344"/>
    <n v="0"/>
    <n v="0"/>
    <x v="0"/>
    <x v="3"/>
  </r>
  <r>
    <s v="ORD02481"/>
    <d v="2023-10-22T00:00:00"/>
    <x v="616"/>
    <x v="152"/>
    <n v="157"/>
    <s v="INV02481"/>
    <n v="157"/>
    <n v="403.01909999999998"/>
    <m/>
    <m/>
    <m/>
    <m/>
    <m/>
    <n v="403.01909999999998"/>
    <d v="2023-05-10T00:00:00"/>
    <n v="0"/>
    <n v="0"/>
    <n v="0"/>
    <n v="0"/>
    <n v="0"/>
    <n v="0"/>
    <n v="0"/>
    <x v="0"/>
    <n v="63273.998699999996"/>
    <n v="63273.998699999996"/>
    <n v="0"/>
    <n v="0"/>
    <x v="0"/>
    <x v="19"/>
  </r>
  <r>
    <s v="ORD02482"/>
    <d v="2023-02-21T00:00:00"/>
    <x v="134"/>
    <x v="57"/>
    <n v="200"/>
    <s v="INV02482"/>
    <n v="200"/>
    <n v="538.50900000000001"/>
    <m/>
    <m/>
    <m/>
    <m/>
    <m/>
    <n v="538.50900000000001"/>
    <d v="2023-02-17T00:00:00"/>
    <n v="0"/>
    <n v="0"/>
    <n v="0"/>
    <n v="0"/>
    <n v="0"/>
    <n v="0"/>
    <n v="0"/>
    <x v="0"/>
    <n v="107701.8"/>
    <n v="107701.8"/>
    <n v="0"/>
    <n v="0"/>
    <x v="0"/>
    <x v="11"/>
  </r>
  <r>
    <s v="ORD02483"/>
    <d v="2024-02-01T00:00:00"/>
    <x v="747"/>
    <x v="291"/>
    <n v="161"/>
    <s v="INV02483"/>
    <n v="161"/>
    <n v="933.43190000000004"/>
    <m/>
    <m/>
    <m/>
    <m/>
    <m/>
    <n v="933.43190000000004"/>
    <d v="2023-03-26T00:00:00"/>
    <n v="0"/>
    <n v="0"/>
    <n v="0"/>
    <n v="0"/>
    <n v="0"/>
    <n v="0"/>
    <n v="0"/>
    <x v="0"/>
    <n v="150282.53590000002"/>
    <n v="150282.53590000002"/>
    <n v="0"/>
    <n v="0"/>
    <x v="0"/>
    <x v="3"/>
  </r>
  <r>
    <s v="ORD02484"/>
    <d v="2024-01-01T00:00:00"/>
    <x v="555"/>
    <x v="138"/>
    <n v="171"/>
    <s v="INV02484"/>
    <n v="171"/>
    <n v="153.01650000000001"/>
    <m/>
    <m/>
    <m/>
    <m/>
    <m/>
    <n v="153.01650000000001"/>
    <d v="2023-05-18T00:00:00"/>
    <n v="0"/>
    <n v="0"/>
    <n v="0"/>
    <n v="0"/>
    <n v="0"/>
    <n v="0"/>
    <n v="0"/>
    <x v="0"/>
    <n v="26165.821500000002"/>
    <n v="26165.821500000002"/>
    <n v="0"/>
    <n v="0"/>
    <x v="0"/>
    <x v="15"/>
  </r>
  <r>
    <s v="ORD02485"/>
    <d v="2023-04-10T00:00:00"/>
    <x v="4"/>
    <x v="115"/>
    <n v="42"/>
    <s v="INV02485"/>
    <n v="42"/>
    <n v="208.65799999999999"/>
    <m/>
    <m/>
    <m/>
    <m/>
    <m/>
    <n v="208.65799999999999"/>
    <d v="2023-02-14T00:00:00"/>
    <n v="0"/>
    <n v="0"/>
    <n v="0"/>
    <n v="0"/>
    <n v="0"/>
    <n v="0"/>
    <n v="0"/>
    <x v="0"/>
    <n v="8763.6359999999986"/>
    <n v="8763.6359999999986"/>
    <n v="0"/>
    <n v="0"/>
    <x v="0"/>
    <x v="23"/>
  </r>
  <r>
    <s v="ORD02486"/>
    <d v="2023-11-01T00:00:00"/>
    <x v="339"/>
    <x v="282"/>
    <n v="150"/>
    <s v="INV02486"/>
    <n v="150"/>
    <n v="381.16543462208278"/>
    <m/>
    <m/>
    <m/>
    <m/>
    <m/>
    <n v="380.976"/>
    <d v="2023-09-03T00:00:00"/>
    <n v="0"/>
    <n v="0"/>
    <n v="1"/>
    <n v="0"/>
    <n v="0"/>
    <n v="0"/>
    <n v="0"/>
    <x v="1"/>
    <n v="57174.815193312417"/>
    <n v="57146.400000000001"/>
    <n v="28.415193312415795"/>
    <n v="4"/>
    <x v="1"/>
    <x v="0"/>
  </r>
  <r>
    <s v="ORD02487"/>
    <d v="2023-03-21T00:00:00"/>
    <x v="603"/>
    <x v="184"/>
    <n v="132"/>
    <s v="INV02487"/>
    <n v="132"/>
    <n v="440.25290000000001"/>
    <m/>
    <m/>
    <m/>
    <m/>
    <m/>
    <n v="440.25290000000001"/>
    <d v="2022-09-05T00:00:00"/>
    <n v="0"/>
    <n v="0"/>
    <n v="0"/>
    <n v="0"/>
    <n v="0"/>
    <n v="0"/>
    <n v="0"/>
    <x v="0"/>
    <n v="58113.382799999999"/>
    <n v="58113.382799999999"/>
    <n v="0"/>
    <n v="0"/>
    <x v="0"/>
    <x v="17"/>
  </r>
  <r>
    <s v="ORD02488"/>
    <d v="2023-02-06T00:00:00"/>
    <x v="93"/>
    <x v="161"/>
    <n v="72"/>
    <s v="INV02488"/>
    <n v="72"/>
    <n v="1016.7027"/>
    <m/>
    <m/>
    <m/>
    <m/>
    <m/>
    <n v="1016.7027"/>
    <d v="2023-01-29T00:00:00"/>
    <n v="0"/>
    <n v="0"/>
    <n v="0"/>
    <n v="0"/>
    <n v="0"/>
    <n v="0"/>
    <n v="0"/>
    <x v="0"/>
    <n v="73202.594400000002"/>
    <n v="73202.594400000002"/>
    <n v="0"/>
    <n v="0"/>
    <x v="0"/>
    <x v="11"/>
  </r>
  <r>
    <s v="ORD02489"/>
    <d v="2023-07-14T00:00:00"/>
    <x v="410"/>
    <x v="134"/>
    <n v="174"/>
    <s v="INV02489"/>
    <n v="174"/>
    <n v="410.02"/>
    <m/>
    <m/>
    <m/>
    <m/>
    <m/>
    <n v="410.02"/>
    <d v="2023-04-01T00:00:00"/>
    <n v="0"/>
    <n v="0"/>
    <n v="0"/>
    <n v="0"/>
    <n v="0"/>
    <n v="0"/>
    <n v="0"/>
    <x v="0"/>
    <n v="71343.48"/>
    <n v="71343.48"/>
    <n v="0"/>
    <n v="0"/>
    <x v="0"/>
    <x v="10"/>
  </r>
  <r>
    <s v="ORD02490"/>
    <d v="2023-04-23T00:00:00"/>
    <x v="302"/>
    <x v="92"/>
    <n v="92"/>
    <s v="INV02490"/>
    <n v="92"/>
    <n v="859.25750000000005"/>
    <m/>
    <m/>
    <m/>
    <m/>
    <m/>
    <n v="859.25750000000005"/>
    <d v="2022-08-09T00:00:00"/>
    <n v="0"/>
    <n v="0"/>
    <n v="0"/>
    <n v="0"/>
    <n v="0"/>
    <n v="0"/>
    <n v="0"/>
    <x v="0"/>
    <n v="79051.69"/>
    <n v="79051.69"/>
    <n v="0"/>
    <n v="0"/>
    <x v="0"/>
    <x v="23"/>
  </r>
  <r>
    <s v="ORD02491"/>
    <d v="2024-09-26T00:00:00"/>
    <x v="45"/>
    <x v="289"/>
    <n v="32"/>
    <s v="INV02491"/>
    <n v="32"/>
    <n v="380.30540000000002"/>
    <m/>
    <m/>
    <m/>
    <m/>
    <m/>
    <n v="380.30540000000002"/>
    <d v="2023-10-13T00:00:00"/>
    <n v="0"/>
    <n v="0"/>
    <n v="0"/>
    <n v="0"/>
    <n v="0"/>
    <n v="0"/>
    <n v="0"/>
    <x v="0"/>
    <n v="12169.772800000001"/>
    <n v="12169.772800000001"/>
    <n v="0"/>
    <n v="0"/>
    <x v="0"/>
    <x v="2"/>
  </r>
  <r>
    <s v="ORD02492"/>
    <d v="2023-04-15T00:00:00"/>
    <x v="296"/>
    <x v="261"/>
    <n v="71"/>
    <s v="INV02492"/>
    <n v="71"/>
    <n v="956.22119999999995"/>
    <m/>
    <m/>
    <m/>
    <m/>
    <m/>
    <n v="956.22119999999995"/>
    <d v="2022-12-11T00:00:00"/>
    <n v="0"/>
    <n v="0"/>
    <n v="0"/>
    <n v="0"/>
    <n v="0"/>
    <n v="0"/>
    <n v="0"/>
    <x v="0"/>
    <n v="67891.705199999997"/>
    <n v="67891.705199999997"/>
    <n v="0"/>
    <n v="0"/>
    <x v="0"/>
    <x v="23"/>
  </r>
  <r>
    <s v="ORD02493"/>
    <d v="2023-12-07T00:00:00"/>
    <x v="128"/>
    <x v="71"/>
    <n v="159"/>
    <s v="INV02493"/>
    <n v="159"/>
    <n v="238.7328"/>
    <m/>
    <m/>
    <m/>
    <m/>
    <m/>
    <n v="238.7328"/>
    <d v="2023-03-02T00:00:00"/>
    <n v="0"/>
    <n v="0"/>
    <n v="0"/>
    <n v="0"/>
    <n v="0"/>
    <n v="0"/>
    <n v="0"/>
    <x v="0"/>
    <n v="37958.515200000002"/>
    <n v="37958.515200000002"/>
    <n v="0"/>
    <n v="0"/>
    <x v="0"/>
    <x v="20"/>
  </r>
  <r>
    <s v="ORD02494"/>
    <d v="2024-02-08T00:00:00"/>
    <x v="49"/>
    <x v="27"/>
    <n v="123"/>
    <s v="INV02494"/>
    <n v="123"/>
    <n v="715.86900000000003"/>
    <m/>
    <m/>
    <m/>
    <m/>
    <m/>
    <n v="715.86900000000003"/>
    <d v="2023-08-02T00:00:00"/>
    <n v="0"/>
    <n v="0"/>
    <n v="0"/>
    <n v="0"/>
    <n v="0"/>
    <n v="0"/>
    <n v="0"/>
    <x v="0"/>
    <n v="88051.887000000002"/>
    <n v="88051.887000000002"/>
    <n v="0"/>
    <n v="0"/>
    <x v="0"/>
    <x v="3"/>
  </r>
  <r>
    <s v="ORD02495"/>
    <d v="2024-05-25T00:00:00"/>
    <x v="374"/>
    <x v="298"/>
    <n v="159"/>
    <s v="INV02495"/>
    <n v="159"/>
    <n v="750.70520000000022"/>
    <n v="13"/>
    <d v="2023-09-02T00:00:00"/>
    <m/>
    <m/>
    <m/>
    <n v="750.70520000000022"/>
    <d v="2023-10-27T00:00:00"/>
    <n v="0"/>
    <n v="0"/>
    <n v="0"/>
    <n v="0"/>
    <n v="0"/>
    <n v="0"/>
    <n v="0"/>
    <x v="0"/>
    <n v="119362.12680000004"/>
    <n v="119362.12680000004"/>
    <n v="0"/>
    <n v="0"/>
    <x v="0"/>
    <x v="13"/>
  </r>
  <r>
    <s v="ORD02496"/>
    <d v="2024-07-08T00:00:00"/>
    <x v="701"/>
    <x v="78"/>
    <n v="149"/>
    <s v="INV02496"/>
    <n v="149"/>
    <n v="372.85379999999998"/>
    <m/>
    <m/>
    <m/>
    <m/>
    <m/>
    <n v="372.85379999999998"/>
    <d v="2023-09-06T00:00:00"/>
    <n v="0"/>
    <n v="0"/>
    <n v="0"/>
    <n v="0"/>
    <n v="0"/>
    <n v="0"/>
    <n v="0"/>
    <x v="0"/>
    <n v="55555.216199999995"/>
    <n v="55555.216199999995"/>
    <n v="0"/>
    <n v="0"/>
    <x v="0"/>
    <x v="21"/>
  </r>
  <r>
    <s v="ORD02497"/>
    <d v="2024-07-04T00:00:00"/>
    <x v="183"/>
    <x v="289"/>
    <n v="28"/>
    <s v="INV02497"/>
    <n v="28"/>
    <n v="380.30540000000002"/>
    <m/>
    <m/>
    <m/>
    <m/>
    <m/>
    <n v="380.30540000000002"/>
    <d v="2023-10-13T00:00:00"/>
    <n v="0"/>
    <n v="0"/>
    <n v="0"/>
    <n v="0"/>
    <n v="0"/>
    <n v="0"/>
    <n v="0"/>
    <x v="0"/>
    <n v="10648.5512"/>
    <n v="10648.5512"/>
    <n v="0"/>
    <n v="0"/>
    <x v="0"/>
    <x v="21"/>
  </r>
  <r>
    <s v="ORD02498"/>
    <d v="2023-07-31T00:00:00"/>
    <x v="632"/>
    <x v="81"/>
    <n v="48"/>
    <s v="INV02498"/>
    <n v="48"/>
    <n v="263.89999999999998"/>
    <m/>
    <m/>
    <m/>
    <m/>
    <m/>
    <n v="263.89999999999998"/>
    <d v="2022-10-21T00:00:00"/>
    <n v="0"/>
    <n v="0"/>
    <n v="0"/>
    <n v="0"/>
    <n v="0"/>
    <n v="0"/>
    <n v="0"/>
    <x v="0"/>
    <n v="12667.199999999999"/>
    <n v="12667.199999999999"/>
    <n v="0"/>
    <n v="0"/>
    <x v="0"/>
    <x v="10"/>
  </r>
  <r>
    <s v="ORD02499"/>
    <d v="2023-04-27T00:00:00"/>
    <x v="83"/>
    <x v="235"/>
    <n v="75"/>
    <s v="INV02499"/>
    <n v="75"/>
    <n v="688.27559999999994"/>
    <n v="6"/>
    <d v="2023-06-22T00:00:00"/>
    <m/>
    <m/>
    <m/>
    <n v="688.27559999999994"/>
    <d v="2023-04-20T00:00:00"/>
    <n v="0"/>
    <n v="0"/>
    <n v="0"/>
    <n v="0"/>
    <n v="0"/>
    <n v="0"/>
    <n v="0"/>
    <x v="0"/>
    <n v="51620.67"/>
    <n v="51620.67"/>
    <n v="0"/>
    <n v="0"/>
    <x v="0"/>
    <x v="23"/>
  </r>
  <r>
    <s v="ORD02500"/>
    <d v="2023-10-01T00:00:00"/>
    <x v="476"/>
    <x v="176"/>
    <n v="82"/>
    <s v="INV02500"/>
    <n v="82"/>
    <n v="78.298400000000001"/>
    <n v="8"/>
    <d v="2024-05-28T00:00:00"/>
    <m/>
    <m/>
    <m/>
    <n v="78.298400000000001"/>
    <d v="2022-12-24T00:00:00"/>
    <n v="0"/>
    <n v="0"/>
    <n v="0"/>
    <n v="0"/>
    <n v="0"/>
    <n v="1"/>
    <n v="0"/>
    <x v="1"/>
    <n v="6420.4687999999996"/>
    <n v="6420.4687999999996"/>
    <n v="0"/>
    <n v="2"/>
    <x v="1"/>
    <x v="19"/>
  </r>
  <r>
    <s v="ORD02501"/>
    <d v="2023-11-04T00:00:00"/>
    <x v="269"/>
    <x v="197"/>
    <n v="41"/>
    <s v="INV02501"/>
    <n v="41"/>
    <n v="250.3184"/>
    <m/>
    <m/>
    <m/>
    <m/>
    <m/>
    <n v="250.3184"/>
    <d v="2023-10-13T00:00:00"/>
    <n v="0"/>
    <n v="0"/>
    <n v="0"/>
    <n v="0"/>
    <n v="0"/>
    <n v="0"/>
    <n v="0"/>
    <x v="0"/>
    <n v="10263.054399999999"/>
    <n v="10263.054399999999"/>
    <n v="0"/>
    <n v="0"/>
    <x v="0"/>
    <x v="0"/>
  </r>
  <r>
    <s v="ORD02502"/>
    <d v="2023-10-13T00:00:00"/>
    <x v="494"/>
    <x v="251"/>
    <n v="164"/>
    <s v="INV02502"/>
    <n v="164"/>
    <n v="75.504800000000003"/>
    <n v="10"/>
    <d v="2023-01-22T00:00:00"/>
    <m/>
    <m/>
    <m/>
    <n v="75.504800000000003"/>
    <d v="2023-06-03T00:00:00"/>
    <n v="0"/>
    <n v="0"/>
    <n v="0"/>
    <n v="0"/>
    <n v="0"/>
    <n v="0"/>
    <n v="0"/>
    <x v="0"/>
    <n v="12382.787200000001"/>
    <n v="12382.787200000001"/>
    <n v="0"/>
    <n v="0"/>
    <x v="0"/>
    <x v="19"/>
  </r>
  <r>
    <s v="ORD02503"/>
    <d v="2023-03-19T00:00:00"/>
    <x v="419"/>
    <x v="216"/>
    <n v="172"/>
    <s v="INV02503"/>
    <n v="172"/>
    <n v="774.17"/>
    <m/>
    <m/>
    <m/>
    <m/>
    <m/>
    <n v="774.17"/>
    <d v="2022-04-24T00:00:00"/>
    <n v="0"/>
    <n v="0"/>
    <n v="0"/>
    <n v="0"/>
    <n v="0"/>
    <n v="0"/>
    <n v="0"/>
    <x v="0"/>
    <n v="133157.24"/>
    <n v="133157.24"/>
    <n v="0"/>
    <n v="0"/>
    <x v="0"/>
    <x v="17"/>
  </r>
  <r>
    <s v="ORD02504"/>
    <d v="2023-10-13T00:00:00"/>
    <x v="243"/>
    <x v="182"/>
    <n v="96"/>
    <s v="INV02504"/>
    <n v="96"/>
    <n v="926.52549999999997"/>
    <m/>
    <m/>
    <m/>
    <m/>
    <m/>
    <n v="926.52549999999997"/>
    <d v="2023-09-14T00:00:00"/>
    <n v="0"/>
    <n v="0"/>
    <n v="0"/>
    <n v="0"/>
    <n v="0"/>
    <n v="0"/>
    <n v="0"/>
    <x v="0"/>
    <n v="88946.448000000004"/>
    <n v="88946.448000000004"/>
    <n v="0"/>
    <n v="0"/>
    <x v="0"/>
    <x v="19"/>
  </r>
  <r>
    <s v="ORD02505"/>
    <d v="2023-07-21T00:00:00"/>
    <x v="0"/>
    <x v="102"/>
    <n v="166"/>
    <s v="INV02505"/>
    <n v="166"/>
    <n v="1093.1199999999999"/>
    <m/>
    <m/>
    <m/>
    <m/>
    <m/>
    <n v="1093.1199999999999"/>
    <d v="2023-04-19T00:00:00"/>
    <n v="0"/>
    <n v="0"/>
    <n v="0"/>
    <n v="0"/>
    <n v="0"/>
    <n v="0"/>
    <n v="0"/>
    <x v="0"/>
    <n v="181457.91999999998"/>
    <n v="181457.91999999998"/>
    <n v="0"/>
    <n v="0"/>
    <x v="0"/>
    <x v="10"/>
  </r>
  <r>
    <s v="ORD02506"/>
    <d v="2024-07-31T00:00:00"/>
    <x v="398"/>
    <x v="299"/>
    <n v="161"/>
    <s v="INV02506"/>
    <n v="161"/>
    <n v="1005.2222"/>
    <m/>
    <m/>
    <m/>
    <m/>
    <m/>
    <n v="1005.2222"/>
    <d v="2023-08-05T00:00:00"/>
    <n v="0"/>
    <n v="0"/>
    <n v="0"/>
    <n v="0"/>
    <n v="0"/>
    <n v="0"/>
    <n v="0"/>
    <x v="0"/>
    <n v="161840.77420000001"/>
    <n v="161840.77420000001"/>
    <n v="0"/>
    <n v="0"/>
    <x v="0"/>
    <x v="21"/>
  </r>
  <r>
    <s v="ORD02507"/>
    <d v="2023-02-17T00:00:00"/>
    <x v="362"/>
    <x v="237"/>
    <n v="140"/>
    <s v="INV02507"/>
    <n v="140"/>
    <n v="579.65"/>
    <n v="15"/>
    <d v="2023-04-11T00:00:00"/>
    <m/>
    <m/>
    <m/>
    <n v="579.65"/>
    <d v="2022-10-03T00:00:00"/>
    <n v="0"/>
    <n v="0"/>
    <n v="0"/>
    <n v="0"/>
    <n v="0"/>
    <n v="0"/>
    <n v="0"/>
    <x v="0"/>
    <n v="81151"/>
    <n v="81151"/>
    <n v="0"/>
    <n v="0"/>
    <x v="0"/>
    <x v="11"/>
  </r>
  <r>
    <s v="ORD02508"/>
    <d v="2023-01-05T00:00:00"/>
    <x v="99"/>
    <x v="252"/>
    <n v="84"/>
    <s v="INV02508"/>
    <n v="84"/>
    <n v="752.34559999999999"/>
    <m/>
    <m/>
    <m/>
    <m/>
    <m/>
    <n v="752.34559999999999"/>
    <d v="2022-12-05T00:00:00"/>
    <n v="0"/>
    <n v="0"/>
    <n v="0"/>
    <n v="0"/>
    <n v="0"/>
    <n v="0"/>
    <n v="0"/>
    <x v="0"/>
    <n v="63197.030399999996"/>
    <n v="63197.030399999996"/>
    <n v="0"/>
    <n v="0"/>
    <x v="0"/>
    <x v="8"/>
  </r>
  <r>
    <s v="ORD02509"/>
    <d v="2024-02-16T00:00:00"/>
    <x v="708"/>
    <x v="192"/>
    <n v="105"/>
    <s v="INV02509"/>
    <n v="105"/>
    <n v="247.48920000000001"/>
    <m/>
    <m/>
    <m/>
    <m/>
    <m/>
    <n v="247.48920000000001"/>
    <d v="2023-06-11T00:00:00"/>
    <n v="0"/>
    <n v="0"/>
    <n v="0"/>
    <n v="0"/>
    <n v="0"/>
    <n v="0"/>
    <n v="0"/>
    <x v="0"/>
    <n v="25986.366000000002"/>
    <n v="25986.366000000002"/>
    <n v="0"/>
    <n v="0"/>
    <x v="0"/>
    <x v="3"/>
  </r>
  <r>
    <s v="ORD02510"/>
    <d v="2024-04-06T00:00:00"/>
    <x v="727"/>
    <x v="104"/>
    <n v="164"/>
    <s v="INV02510"/>
    <n v="164"/>
    <n v="898.02300000000002"/>
    <m/>
    <m/>
    <m/>
    <m/>
    <m/>
    <n v="898.02300000000002"/>
    <d v="2023-04-10T00:00:00"/>
    <n v="0"/>
    <n v="0"/>
    <n v="0"/>
    <n v="0"/>
    <n v="0"/>
    <n v="0"/>
    <n v="0"/>
    <x v="0"/>
    <n v="147275.772"/>
    <n v="147275.772"/>
    <n v="0"/>
    <n v="0"/>
    <x v="0"/>
    <x v="9"/>
  </r>
  <r>
    <s v="ORD02511"/>
    <d v="2024-01-01T00:00:00"/>
    <x v="319"/>
    <x v="170"/>
    <n v="177"/>
    <s v="INV02511"/>
    <n v="177"/>
    <n v="825.13580000000002"/>
    <m/>
    <m/>
    <m/>
    <m/>
    <m/>
    <n v="825.13580000000002"/>
    <d v="2023-03-13T00:00:00"/>
    <n v="0"/>
    <n v="0"/>
    <n v="0"/>
    <n v="0"/>
    <n v="0"/>
    <n v="0"/>
    <n v="0"/>
    <x v="0"/>
    <n v="146049.03659999999"/>
    <n v="146049.03659999999"/>
    <n v="0"/>
    <n v="0"/>
    <x v="0"/>
    <x v="15"/>
  </r>
  <r>
    <s v="ORD02512"/>
    <d v="2024-12-06T00:00:00"/>
    <x v="122"/>
    <x v="49"/>
    <n v="169"/>
    <s v="INV02512"/>
    <n v="169"/>
    <n v="991.84019999999998"/>
    <m/>
    <m/>
    <m/>
    <m/>
    <m/>
    <n v="991.84019999999998"/>
    <d v="2023-10-23T00:00:00"/>
    <n v="0"/>
    <n v="0"/>
    <n v="0"/>
    <n v="0"/>
    <n v="0"/>
    <n v="0"/>
    <n v="0"/>
    <x v="0"/>
    <n v="167620.9938"/>
    <n v="167620.9938"/>
    <n v="0"/>
    <n v="0"/>
    <x v="0"/>
    <x v="1"/>
  </r>
  <r>
    <s v="ORD02513"/>
    <d v="2024-03-26T00:00:00"/>
    <x v="709"/>
    <x v="242"/>
    <n v="149"/>
    <s v="INV02513"/>
    <n v="145"/>
    <n v="1166.4765000000002"/>
    <m/>
    <m/>
    <m/>
    <m/>
    <m/>
    <n v="1166.4765000000002"/>
    <d v="2023-07-07T00:00:00"/>
    <n v="0"/>
    <n v="1"/>
    <n v="0"/>
    <n v="0"/>
    <n v="0"/>
    <n v="0"/>
    <n v="0"/>
    <x v="1"/>
    <n v="169139.09250000003"/>
    <n v="173804.99850000005"/>
    <n v="-4665.9060000000172"/>
    <n v="8"/>
    <x v="2"/>
    <x v="6"/>
  </r>
  <r>
    <s v="ORD02514"/>
    <d v="2024-01-27T00:00:00"/>
    <x v="307"/>
    <x v="201"/>
    <n v="98"/>
    <s v="INV02514"/>
    <n v="98"/>
    <n v="418.93040000000002"/>
    <m/>
    <m/>
    <m/>
    <m/>
    <m/>
    <n v="418.93040000000002"/>
    <d v="2023-10-15T00:00:00"/>
    <n v="0"/>
    <n v="0"/>
    <n v="0"/>
    <n v="0"/>
    <n v="0"/>
    <n v="0"/>
    <n v="0"/>
    <x v="0"/>
    <n v="41055.179199999999"/>
    <n v="41055.179199999999"/>
    <n v="0"/>
    <n v="0"/>
    <x v="0"/>
    <x v="15"/>
  </r>
  <r>
    <s v="ORD02515"/>
    <d v="2023-02-24T00:00:00"/>
    <x v="63"/>
    <x v="26"/>
    <n v="22"/>
    <s v="INV02515"/>
    <n v="22"/>
    <n v="126.5656"/>
    <m/>
    <m/>
    <m/>
    <m/>
    <m/>
    <n v="126.5656"/>
    <d v="2023-01-21T00:00:00"/>
    <n v="0"/>
    <n v="0"/>
    <n v="0"/>
    <n v="0"/>
    <n v="0"/>
    <n v="0"/>
    <n v="0"/>
    <x v="0"/>
    <n v="2784.4432000000002"/>
    <n v="2784.4432000000002"/>
    <n v="0"/>
    <n v="0"/>
    <x v="0"/>
    <x v="11"/>
  </r>
  <r>
    <s v="ORD02516"/>
    <d v="2024-03-06T00:00:00"/>
    <x v="101"/>
    <x v="134"/>
    <n v="91"/>
    <s v="INV02516"/>
    <n v="91"/>
    <n v="410.02"/>
    <m/>
    <m/>
    <m/>
    <m/>
    <m/>
    <n v="410.02"/>
    <d v="2023-04-01T00:00:00"/>
    <n v="0"/>
    <n v="0"/>
    <n v="0"/>
    <n v="0"/>
    <n v="0"/>
    <n v="0"/>
    <n v="0"/>
    <x v="0"/>
    <n v="37311.82"/>
    <n v="37311.82"/>
    <n v="0"/>
    <n v="0"/>
    <x v="0"/>
    <x v="6"/>
  </r>
  <r>
    <s v="ORD02517"/>
    <d v="2024-08-02T00:00:00"/>
    <x v="538"/>
    <x v="11"/>
    <n v="89"/>
    <s v="INV02517"/>
    <n v="89"/>
    <n v="687.65840000000003"/>
    <m/>
    <m/>
    <m/>
    <m/>
    <m/>
    <n v="687.65840000000003"/>
    <d v="2023-08-01T00:00:00"/>
    <n v="0"/>
    <n v="0"/>
    <n v="0"/>
    <n v="0"/>
    <n v="0"/>
    <n v="0"/>
    <n v="0"/>
    <x v="0"/>
    <n v="61201.597600000001"/>
    <n v="61201.597600000001"/>
    <n v="0"/>
    <n v="0"/>
    <x v="0"/>
    <x v="22"/>
  </r>
  <r>
    <s v="ORD02518"/>
    <d v="2023-05-29T00:00:00"/>
    <x v="191"/>
    <x v="296"/>
    <n v="59"/>
    <s v="INV02518"/>
    <n v="59"/>
    <n v="724.16120000000001"/>
    <m/>
    <m/>
    <m/>
    <m/>
    <m/>
    <n v="724.16120000000001"/>
    <d v="2023-04-28T00:00:00"/>
    <n v="0"/>
    <n v="0"/>
    <n v="0"/>
    <n v="0"/>
    <n v="0"/>
    <n v="0"/>
    <n v="0"/>
    <x v="0"/>
    <n v="42725.510800000004"/>
    <n v="42725.510800000004"/>
    <n v="0"/>
    <n v="0"/>
    <x v="0"/>
    <x v="7"/>
  </r>
  <r>
    <s v="ORD02519"/>
    <d v="2023-06-14T00:00:00"/>
    <x v="589"/>
    <x v="296"/>
    <n v="30"/>
    <s v="INV02519"/>
    <n v="30"/>
    <n v="724.16120000000001"/>
    <m/>
    <m/>
    <m/>
    <m/>
    <m/>
    <n v="724.16120000000001"/>
    <d v="2023-04-28T00:00:00"/>
    <n v="0"/>
    <n v="0"/>
    <n v="0"/>
    <n v="0"/>
    <n v="0"/>
    <n v="0"/>
    <n v="0"/>
    <x v="0"/>
    <n v="21724.835999999999"/>
    <n v="21724.835999999999"/>
    <n v="0"/>
    <n v="0"/>
    <x v="0"/>
    <x v="14"/>
  </r>
  <r>
    <s v="ORD02520"/>
    <d v="2024-05-30T00:00:00"/>
    <x v="425"/>
    <x v="140"/>
    <n v="181"/>
    <s v="INV02520"/>
    <n v="181"/>
    <n v="521.54959999999994"/>
    <m/>
    <m/>
    <m/>
    <m/>
    <m/>
    <n v="521.54959999999994"/>
    <d v="2023-03-09T00:00:00"/>
    <n v="0"/>
    <n v="0"/>
    <n v="0"/>
    <n v="0"/>
    <n v="0"/>
    <n v="0"/>
    <n v="0"/>
    <x v="0"/>
    <n v="94400.477599999984"/>
    <n v="94400.477599999984"/>
    <n v="0"/>
    <n v="0"/>
    <x v="0"/>
    <x v="13"/>
  </r>
  <r>
    <s v="ORD02521"/>
    <d v="2024-08-30T00:00:00"/>
    <x v="82"/>
    <x v="196"/>
    <n v="165"/>
    <s v="INV02521"/>
    <n v="165"/>
    <n v="1099.82"/>
    <m/>
    <m/>
    <m/>
    <m/>
    <m/>
    <n v="1099.82"/>
    <d v="2023-02-05T00:00:00"/>
    <n v="0"/>
    <n v="0"/>
    <n v="0"/>
    <n v="0"/>
    <n v="0"/>
    <n v="0"/>
    <n v="0"/>
    <x v="0"/>
    <n v="181470.3"/>
    <n v="181470.3"/>
    <n v="0"/>
    <n v="0"/>
    <x v="0"/>
    <x v="22"/>
  </r>
  <r>
    <s v="ORD02522"/>
    <d v="2023-08-05T00:00:00"/>
    <x v="213"/>
    <x v="51"/>
    <n v="182"/>
    <s v="INV02522"/>
    <n v="182"/>
    <n v="574.3415"/>
    <m/>
    <m/>
    <m/>
    <m/>
    <m/>
    <n v="574.3415"/>
    <d v="2022-09-02T00:00:00"/>
    <n v="0"/>
    <n v="0"/>
    <n v="0"/>
    <n v="0"/>
    <n v="0"/>
    <n v="0"/>
    <n v="0"/>
    <x v="0"/>
    <n v="104530.15300000001"/>
    <n v="104530.15300000001"/>
    <n v="0"/>
    <n v="0"/>
    <x v="0"/>
    <x v="12"/>
  </r>
  <r>
    <s v="ORD02523"/>
    <d v="2024-01-13T00:00:00"/>
    <x v="235"/>
    <x v="29"/>
    <n v="45"/>
    <s v="INV02523"/>
    <n v="45"/>
    <n v="1103.0465999999999"/>
    <m/>
    <m/>
    <m/>
    <m/>
    <m/>
    <n v="1103.0465999999999"/>
    <d v="2023-10-15T00:00:00"/>
    <n v="0"/>
    <n v="0"/>
    <n v="0"/>
    <n v="0"/>
    <n v="0"/>
    <n v="0"/>
    <n v="0"/>
    <x v="0"/>
    <n v="49637.096999999994"/>
    <n v="49637.096999999994"/>
    <n v="0"/>
    <n v="0"/>
    <x v="0"/>
    <x v="15"/>
  </r>
  <r>
    <s v="ORD02524"/>
    <d v="2023-07-19T00:00:00"/>
    <x v="258"/>
    <x v="169"/>
    <n v="114"/>
    <s v="INV02524"/>
    <n v="114"/>
    <n v="1153.4984999999999"/>
    <m/>
    <m/>
    <m/>
    <m/>
    <m/>
    <n v="1153.4984999999999"/>
    <d v="2023-02-05T00:00:00"/>
    <n v="0"/>
    <n v="0"/>
    <n v="0"/>
    <n v="0"/>
    <n v="0"/>
    <n v="0"/>
    <n v="0"/>
    <x v="0"/>
    <n v="131498.829"/>
    <n v="131498.829"/>
    <n v="0"/>
    <n v="0"/>
    <x v="0"/>
    <x v="10"/>
  </r>
  <r>
    <s v="ORD02525"/>
    <d v="2024-04-25T00:00:00"/>
    <x v="211"/>
    <x v="208"/>
    <n v="39"/>
    <s v="INV02525"/>
    <n v="39"/>
    <n v="107.1605"/>
    <m/>
    <m/>
    <m/>
    <m/>
    <m/>
    <n v="107.1605"/>
    <d v="2023-02-13T00:00:00"/>
    <n v="0"/>
    <n v="0"/>
    <n v="0"/>
    <n v="0"/>
    <n v="0"/>
    <n v="0"/>
    <n v="0"/>
    <x v="0"/>
    <n v="4179.2595000000001"/>
    <n v="4179.2595000000001"/>
    <n v="0"/>
    <n v="0"/>
    <x v="0"/>
    <x v="9"/>
  </r>
  <r>
    <s v="ORD02526"/>
    <d v="2023-04-10T00:00:00"/>
    <x v="768"/>
    <x v="221"/>
    <n v="141"/>
    <s v="INV02526"/>
    <n v="141"/>
    <n v="690.05370000000005"/>
    <m/>
    <m/>
    <m/>
    <m/>
    <m/>
    <n v="690.05370000000005"/>
    <d v="2023-02-19T00:00:00"/>
    <n v="0"/>
    <n v="0"/>
    <n v="0"/>
    <n v="0"/>
    <n v="0"/>
    <n v="0"/>
    <n v="0"/>
    <x v="0"/>
    <n v="97297.5717"/>
    <n v="97297.5717"/>
    <n v="0"/>
    <n v="0"/>
    <x v="0"/>
    <x v="23"/>
  </r>
  <r>
    <s v="ORD02527"/>
    <d v="2023-02-28T00:00:00"/>
    <x v="69"/>
    <x v="180"/>
    <n v="137"/>
    <s v="INV02527"/>
    <n v="137"/>
    <n v="977.22280000000001"/>
    <m/>
    <m/>
    <m/>
    <m/>
    <m/>
    <n v="977.22280000000001"/>
    <d v="2023-02-27T00:00:00"/>
    <n v="0"/>
    <n v="0"/>
    <n v="0"/>
    <n v="0"/>
    <n v="0"/>
    <n v="0"/>
    <n v="0"/>
    <x v="0"/>
    <n v="133879.52360000001"/>
    <n v="133879.52360000001"/>
    <n v="0"/>
    <n v="0"/>
    <x v="0"/>
    <x v="11"/>
  </r>
  <r>
    <s v="ORD02528"/>
    <d v="2024-07-03T00:00:00"/>
    <x v="555"/>
    <x v="236"/>
    <n v="148"/>
    <s v="INV02528"/>
    <n v="148"/>
    <n v="1182.1979214338389"/>
    <m/>
    <m/>
    <m/>
    <m/>
    <m/>
    <n v="1182.1740000000002"/>
    <d v="2023-07-23T00:00:00"/>
    <n v="0"/>
    <n v="0"/>
    <n v="1"/>
    <n v="0"/>
    <n v="0"/>
    <n v="0"/>
    <n v="0"/>
    <x v="1"/>
    <n v="174965.29237220815"/>
    <n v="174961.75200000004"/>
    <n v="3.5403722081100568"/>
    <n v="4"/>
    <x v="1"/>
    <x v="21"/>
  </r>
  <r>
    <s v="ORD02529"/>
    <d v="2023-10-01T00:00:00"/>
    <x v="561"/>
    <x v="205"/>
    <n v="193"/>
    <s v="INV02529"/>
    <n v="193"/>
    <n v="82.749600000000015"/>
    <m/>
    <m/>
    <m/>
    <m/>
    <m/>
    <n v="82.749600000000015"/>
    <d v="2023-05-22T00:00:00"/>
    <n v="0"/>
    <n v="0"/>
    <n v="0"/>
    <n v="0"/>
    <n v="0"/>
    <n v="0"/>
    <n v="0"/>
    <x v="0"/>
    <n v="15970.672800000002"/>
    <n v="15970.672800000002"/>
    <n v="0"/>
    <n v="0"/>
    <x v="0"/>
    <x v="19"/>
  </r>
  <r>
    <s v="ORD02530"/>
    <d v="2024-09-13T00:00:00"/>
    <x v="333"/>
    <x v="222"/>
    <n v="146"/>
    <s v="INV02530"/>
    <n v="146"/>
    <n v="273.24680000000001"/>
    <m/>
    <m/>
    <m/>
    <m/>
    <m/>
    <n v="273.24680000000001"/>
    <d v="2023-06-26T00:00:00"/>
    <n v="0"/>
    <n v="0"/>
    <n v="0"/>
    <n v="0"/>
    <n v="0"/>
    <n v="0"/>
    <n v="0"/>
    <x v="0"/>
    <n v="39894.032800000001"/>
    <n v="39894.032800000001"/>
    <n v="0"/>
    <n v="0"/>
    <x v="0"/>
    <x v="2"/>
  </r>
  <r>
    <s v="ORD02531"/>
    <d v="2024-10-01T00:00:00"/>
    <x v="390"/>
    <x v="299"/>
    <n v="116"/>
    <s v="INV02531"/>
    <n v="116"/>
    <n v="1005.2222"/>
    <m/>
    <m/>
    <m/>
    <m/>
    <m/>
    <n v="1005.2222"/>
    <d v="2023-08-05T00:00:00"/>
    <n v="0"/>
    <n v="0"/>
    <n v="0"/>
    <n v="0"/>
    <n v="0"/>
    <n v="0"/>
    <n v="0"/>
    <x v="0"/>
    <n v="116605.7752"/>
    <n v="116605.7752"/>
    <n v="0"/>
    <n v="0"/>
    <x v="0"/>
    <x v="5"/>
  </r>
  <r>
    <s v="ORD02532"/>
    <d v="2023-11-19T00:00:00"/>
    <x v="183"/>
    <x v="235"/>
    <n v="63"/>
    <s v="INV02532"/>
    <n v="72"/>
    <n v="708.51900000000001"/>
    <m/>
    <m/>
    <m/>
    <m/>
    <m/>
    <n v="708.51900000000001"/>
    <d v="2023-05-17T00:00:00"/>
    <n v="0"/>
    <n v="1"/>
    <n v="0"/>
    <n v="0"/>
    <n v="0"/>
    <n v="0"/>
    <n v="0"/>
    <x v="1"/>
    <n v="51013.368000000002"/>
    <n v="44636.697"/>
    <n v="6376.6710000000021"/>
    <n v="8"/>
    <x v="2"/>
    <x v="0"/>
  </r>
  <r>
    <s v="ORD02533"/>
    <d v="2023-09-03T00:00:00"/>
    <x v="737"/>
    <x v="262"/>
    <n v="43"/>
    <s v="INV02533"/>
    <n v="43"/>
    <n v="251.7122"/>
    <n v="8"/>
    <d v="2023-06-23T00:00:00"/>
    <m/>
    <m/>
    <m/>
    <n v="251.7122"/>
    <d v="2023-06-11T00:00:00"/>
    <n v="0"/>
    <n v="0"/>
    <n v="0"/>
    <n v="0"/>
    <n v="0"/>
    <n v="0"/>
    <n v="0"/>
    <x v="0"/>
    <n v="10823.624599999999"/>
    <n v="10823.624599999999"/>
    <n v="0"/>
    <n v="0"/>
    <x v="0"/>
    <x v="18"/>
  </r>
  <r>
    <s v="ORD02534"/>
    <d v="2023-02-07T00:00:00"/>
    <x v="407"/>
    <x v="86"/>
    <n v="53"/>
    <s v="INV02534"/>
    <n v="53"/>
    <n v="266.16450000000003"/>
    <m/>
    <m/>
    <m/>
    <m/>
    <m/>
    <n v="266.16450000000003"/>
    <d v="2022-07-23T00:00:00"/>
    <n v="0"/>
    <n v="0"/>
    <n v="0"/>
    <n v="0"/>
    <n v="0"/>
    <n v="0"/>
    <n v="0"/>
    <x v="0"/>
    <n v="14106.718500000001"/>
    <n v="14106.718500000001"/>
    <n v="0"/>
    <n v="0"/>
    <x v="0"/>
    <x v="11"/>
  </r>
  <r>
    <s v="ORD02535"/>
    <d v="2023-12-27T00:00:00"/>
    <x v="480"/>
    <x v="157"/>
    <n v="100"/>
    <s v="INV02535"/>
    <n v="100"/>
    <n v="1158.2643"/>
    <m/>
    <m/>
    <m/>
    <m/>
    <m/>
    <n v="1158.2643"/>
    <d v="2023-07-12T00:00:00"/>
    <n v="0"/>
    <n v="0"/>
    <n v="0"/>
    <n v="0"/>
    <n v="0"/>
    <n v="0"/>
    <n v="0"/>
    <x v="0"/>
    <n v="115826.43000000001"/>
    <n v="115826.43000000001"/>
    <n v="0"/>
    <n v="0"/>
    <x v="0"/>
    <x v="20"/>
  </r>
  <r>
    <s v="ORD02536"/>
    <d v="2023-10-11T00:00:00"/>
    <x v="302"/>
    <x v="36"/>
    <n v="117"/>
    <s v="INV02536"/>
    <n v="117"/>
    <n v="415.70589999999999"/>
    <m/>
    <m/>
    <m/>
    <m/>
    <m/>
    <n v="415.70589999999999"/>
    <d v="2023-03-04T00:00:00"/>
    <n v="0"/>
    <n v="0"/>
    <n v="0"/>
    <n v="0"/>
    <n v="0"/>
    <n v="0"/>
    <n v="0"/>
    <x v="0"/>
    <n v="48637.590299999996"/>
    <n v="48637.590299999996"/>
    <n v="0"/>
    <n v="0"/>
    <x v="0"/>
    <x v="19"/>
  </r>
  <r>
    <s v="ORD02537"/>
    <d v="2024-01-06T00:00:00"/>
    <x v="316"/>
    <x v="109"/>
    <n v="34"/>
    <s v="INV02537"/>
    <n v="34"/>
    <n v="457.65019999999998"/>
    <m/>
    <m/>
    <m/>
    <m/>
    <m/>
    <n v="457.65019999999998"/>
    <d v="2023-01-24T00:00:00"/>
    <n v="0"/>
    <n v="0"/>
    <n v="0"/>
    <n v="0"/>
    <n v="0"/>
    <n v="0"/>
    <n v="0"/>
    <x v="0"/>
    <n v="15560.1068"/>
    <n v="15560.1068"/>
    <n v="0"/>
    <n v="0"/>
    <x v="0"/>
    <x v="15"/>
  </r>
  <r>
    <s v="ORD02538"/>
    <d v="2024-03-30T00:00:00"/>
    <x v="161"/>
    <x v="289"/>
    <n v="89"/>
    <s v="INV02538"/>
    <n v="89"/>
    <n v="380.30540000000002"/>
    <m/>
    <m/>
    <m/>
    <m/>
    <m/>
    <n v="380.30540000000002"/>
    <d v="2023-10-13T00:00:00"/>
    <n v="0"/>
    <n v="0"/>
    <n v="0"/>
    <n v="0"/>
    <n v="0"/>
    <n v="0"/>
    <n v="0"/>
    <x v="0"/>
    <n v="33847.1806"/>
    <n v="33847.1806"/>
    <n v="0"/>
    <n v="0"/>
    <x v="0"/>
    <x v="6"/>
  </r>
  <r>
    <s v="ORD02539"/>
    <d v="2024-08-05T00:00:00"/>
    <x v="717"/>
    <x v="277"/>
    <n v="63"/>
    <s v="INV02539"/>
    <n v="63"/>
    <n v="544.5"/>
    <m/>
    <m/>
    <m/>
    <m/>
    <m/>
    <n v="544.5"/>
    <d v="2023-08-21T00:00:00"/>
    <n v="0"/>
    <n v="0"/>
    <n v="0"/>
    <n v="0"/>
    <n v="0"/>
    <n v="0"/>
    <n v="0"/>
    <x v="0"/>
    <n v="34303.5"/>
    <n v="34303.5"/>
    <n v="0"/>
    <n v="0"/>
    <x v="0"/>
    <x v="22"/>
  </r>
  <r>
    <s v="ORD02540"/>
    <d v="2023-12-17T00:00:00"/>
    <x v="646"/>
    <x v="34"/>
    <n v="1"/>
    <s v="INV02540"/>
    <n v="1"/>
    <n v="397.19560000000001"/>
    <m/>
    <m/>
    <m/>
    <m/>
    <m/>
    <n v="397.19560000000001"/>
    <d v="2023-01-06T00:00:00"/>
    <n v="0"/>
    <n v="0"/>
    <n v="0"/>
    <n v="0"/>
    <n v="0"/>
    <n v="0"/>
    <n v="0"/>
    <x v="0"/>
    <n v="397.19560000000001"/>
    <n v="397.19560000000001"/>
    <n v="0"/>
    <n v="0"/>
    <x v="0"/>
    <x v="20"/>
  </r>
  <r>
    <s v="ORD02541"/>
    <d v="2024-06-29T00:00:00"/>
    <x v="176"/>
    <x v="20"/>
    <n v="145"/>
    <s v="INV02541"/>
    <n v="154"/>
    <n v="1046.6099999999999"/>
    <m/>
    <m/>
    <m/>
    <m/>
    <m/>
    <n v="1046.6099999999999"/>
    <d v="2023-01-14T00:00:00"/>
    <n v="0"/>
    <n v="1"/>
    <n v="0"/>
    <n v="0"/>
    <n v="0"/>
    <n v="0"/>
    <n v="0"/>
    <x v="1"/>
    <n v="161177.93999999997"/>
    <n v="151758.44999999998"/>
    <n v="9419.4899999999907"/>
    <n v="8"/>
    <x v="2"/>
    <x v="16"/>
  </r>
  <r>
    <s v="ORD02542"/>
    <d v="2023-09-15T00:00:00"/>
    <x v="298"/>
    <x v="49"/>
    <n v="48"/>
    <s v="INV02542"/>
    <n v="48"/>
    <n v="1040.9412"/>
    <m/>
    <m/>
    <m/>
    <m/>
    <m/>
    <n v="1040.9412"/>
    <d v="2023-02-26T00:00:00"/>
    <n v="0"/>
    <n v="0"/>
    <n v="0"/>
    <n v="0"/>
    <n v="0"/>
    <n v="0"/>
    <n v="0"/>
    <x v="0"/>
    <n v="49965.177599999995"/>
    <n v="49965.177599999995"/>
    <n v="0"/>
    <n v="0"/>
    <x v="0"/>
    <x v="18"/>
  </r>
  <r>
    <s v="ORD02543"/>
    <d v="2024-01-24T00:00:00"/>
    <x v="521"/>
    <x v="172"/>
    <n v="127"/>
    <s v="INV02543"/>
    <n v="129"/>
    <n v="370.82850000000002"/>
    <m/>
    <m/>
    <m/>
    <m/>
    <m/>
    <n v="370.82850000000002"/>
    <d v="2023-09-18T00:00:00"/>
    <n v="0"/>
    <n v="1"/>
    <n v="0"/>
    <n v="0"/>
    <n v="0"/>
    <n v="0"/>
    <n v="0"/>
    <x v="1"/>
    <n v="47836.876500000006"/>
    <n v="47095.219499999999"/>
    <n v="741.65700000000652"/>
    <n v="8"/>
    <x v="2"/>
    <x v="15"/>
  </r>
  <r>
    <s v="ORD02544"/>
    <d v="2024-11-12T00:00:00"/>
    <x v="12"/>
    <x v="209"/>
    <n v="31"/>
    <s v="INV02544"/>
    <n v="31"/>
    <n v="880.66300000000001"/>
    <m/>
    <m/>
    <m/>
    <m/>
    <m/>
    <n v="880.66300000000001"/>
    <d v="2023-02-09T00:00:00"/>
    <n v="0"/>
    <n v="0"/>
    <n v="0"/>
    <n v="0"/>
    <n v="0"/>
    <n v="0"/>
    <n v="0"/>
    <x v="0"/>
    <n v="27300.553"/>
    <n v="27300.553"/>
    <n v="0"/>
    <n v="0"/>
    <x v="0"/>
    <x v="4"/>
  </r>
  <r>
    <s v="ORD02545"/>
    <d v="2024-10-18T00:00:00"/>
    <x v="636"/>
    <x v="92"/>
    <n v="107"/>
    <s v="INV02545"/>
    <n v="107"/>
    <n v="833.73500000000001"/>
    <m/>
    <m/>
    <m/>
    <m/>
    <m/>
    <n v="833.73500000000001"/>
    <d v="2023-08-29T00:00:00"/>
    <n v="0"/>
    <n v="0"/>
    <n v="0"/>
    <n v="0"/>
    <n v="0"/>
    <n v="0"/>
    <n v="0"/>
    <x v="0"/>
    <n v="89209.645000000004"/>
    <n v="89209.645000000004"/>
    <n v="0"/>
    <n v="0"/>
    <x v="0"/>
    <x v="5"/>
  </r>
  <r>
    <s v="ORD02546"/>
    <d v="2024-07-12T00:00:00"/>
    <x v="55"/>
    <x v="9"/>
    <n v="82"/>
    <s v="INV02546"/>
    <n v="82"/>
    <n v="397.40159999999997"/>
    <m/>
    <m/>
    <m/>
    <m/>
    <m/>
    <n v="397.40159999999997"/>
    <d v="2023-04-05T00:00:00"/>
    <n v="0"/>
    <n v="0"/>
    <n v="0"/>
    <n v="0"/>
    <n v="0"/>
    <n v="0"/>
    <n v="0"/>
    <x v="0"/>
    <n v="32586.931199999999"/>
    <n v="32586.931199999999"/>
    <n v="0"/>
    <n v="0"/>
    <x v="0"/>
    <x v="21"/>
  </r>
  <r>
    <s v="ORD02547"/>
    <d v="2023-09-03T00:00:00"/>
    <x v="769"/>
    <x v="239"/>
    <n v="98"/>
    <s v="INV02547"/>
    <n v="98"/>
    <n v="1197.9306999999999"/>
    <m/>
    <m/>
    <m/>
    <m/>
    <m/>
    <n v="1197.9306999999999"/>
    <d v="2023-06-12T00:00:00"/>
    <n v="0"/>
    <n v="0"/>
    <n v="0"/>
    <n v="0"/>
    <n v="0"/>
    <n v="0"/>
    <n v="0"/>
    <x v="0"/>
    <n v="117397.20859999998"/>
    <n v="117397.20859999998"/>
    <n v="0"/>
    <n v="0"/>
    <x v="0"/>
    <x v="18"/>
  </r>
  <r>
    <s v="ORD02548"/>
    <d v="2024-09-15T00:00:00"/>
    <x v="453"/>
    <x v="137"/>
    <n v="98"/>
    <s v="INV02548"/>
    <n v="98"/>
    <n v="1026.4637"/>
    <m/>
    <m/>
    <m/>
    <m/>
    <m/>
    <n v="1026.4637"/>
    <d v="2023-02-10T00:00:00"/>
    <n v="0"/>
    <n v="0"/>
    <n v="0"/>
    <n v="0"/>
    <n v="0"/>
    <n v="0"/>
    <n v="0"/>
    <x v="0"/>
    <n v="100593.44259999999"/>
    <n v="100593.44259999999"/>
    <n v="0"/>
    <n v="0"/>
    <x v="0"/>
    <x v="2"/>
  </r>
  <r>
    <s v="ORD02549"/>
    <d v="2023-06-06T00:00:00"/>
    <x v="222"/>
    <x v="170"/>
    <n v="32"/>
    <s v="INV02549"/>
    <n v="32"/>
    <n v="825.13580000000002"/>
    <m/>
    <m/>
    <m/>
    <m/>
    <m/>
    <n v="825.13580000000002"/>
    <d v="2023-03-13T00:00:00"/>
    <n v="0"/>
    <n v="0"/>
    <n v="0"/>
    <n v="0"/>
    <n v="0"/>
    <n v="0"/>
    <n v="0"/>
    <x v="0"/>
    <n v="26404.345600000001"/>
    <n v="26404.345600000001"/>
    <n v="0"/>
    <n v="0"/>
    <x v="0"/>
    <x v="14"/>
  </r>
  <r>
    <s v="ORD02550"/>
    <d v="2024-12-01T00:00:00"/>
    <x v="230"/>
    <x v="94"/>
    <n v="21"/>
    <s v="INV02550"/>
    <n v="21"/>
    <n v="765.52319999999997"/>
    <m/>
    <m/>
    <m/>
    <m/>
    <m/>
    <n v="765.52319999999997"/>
    <d v="2023-09-05T00:00:00"/>
    <n v="0"/>
    <n v="0"/>
    <n v="0"/>
    <n v="0"/>
    <n v="0"/>
    <n v="0"/>
    <n v="0"/>
    <x v="0"/>
    <n v="16075.9872"/>
    <n v="16075.9872"/>
    <n v="0"/>
    <n v="0"/>
    <x v="0"/>
    <x v="1"/>
  </r>
  <r>
    <s v="ORD02551"/>
    <d v="2023-08-03T00:00:00"/>
    <x v="428"/>
    <x v="188"/>
    <n v="106"/>
    <s v="INV02551"/>
    <n v="106"/>
    <n v="73.305100000000024"/>
    <m/>
    <m/>
    <m/>
    <m/>
    <m/>
    <n v="73.305100000000024"/>
    <d v="2023-04-30T00:00:00"/>
    <n v="0"/>
    <n v="0"/>
    <n v="0"/>
    <n v="0"/>
    <n v="0"/>
    <n v="0"/>
    <n v="0"/>
    <x v="0"/>
    <n v="7770.3406000000023"/>
    <n v="7770.3406000000023"/>
    <n v="0"/>
    <n v="0"/>
    <x v="0"/>
    <x v="12"/>
  </r>
  <r>
    <s v="ORD02552"/>
    <d v="2023-02-07T00:00:00"/>
    <x v="466"/>
    <x v="185"/>
    <n v="106"/>
    <s v="INV02552"/>
    <n v="106"/>
    <n v="452.32560000000001"/>
    <m/>
    <m/>
    <m/>
    <m/>
    <m/>
    <n v="452.32560000000001"/>
    <d v="2022-11-18T00:00:00"/>
    <n v="0"/>
    <n v="0"/>
    <n v="0"/>
    <n v="0"/>
    <n v="0"/>
    <n v="0"/>
    <n v="0"/>
    <x v="0"/>
    <n v="47946.513599999998"/>
    <n v="47946.513599999998"/>
    <n v="0"/>
    <n v="0"/>
    <x v="0"/>
    <x v="11"/>
  </r>
  <r>
    <s v="ORD02553"/>
    <d v="2023-04-20T00:00:00"/>
    <x v="672"/>
    <x v="92"/>
    <n v="163"/>
    <s v="INV02553"/>
    <n v="163"/>
    <n v="859.25750000000005"/>
    <m/>
    <m/>
    <m/>
    <m/>
    <m/>
    <n v="859.25750000000005"/>
    <d v="2022-08-09T00:00:00"/>
    <n v="0"/>
    <n v="0"/>
    <n v="0"/>
    <n v="0"/>
    <n v="0"/>
    <n v="0"/>
    <n v="0"/>
    <x v="0"/>
    <n v="140058.9725"/>
    <n v="140058.9725"/>
    <n v="0"/>
    <n v="0"/>
    <x v="0"/>
    <x v="23"/>
  </r>
  <r>
    <s v="ORD02554"/>
    <d v="2024-02-03T00:00:00"/>
    <x v="73"/>
    <x v="199"/>
    <n v="172"/>
    <s v="INV02554"/>
    <n v="172"/>
    <n v="334.24649999999997"/>
    <m/>
    <m/>
    <m/>
    <m/>
    <m/>
    <n v="334.24649999999997"/>
    <d v="2023-07-18T00:00:00"/>
    <n v="0"/>
    <n v="0"/>
    <n v="0"/>
    <n v="0"/>
    <n v="0"/>
    <n v="0"/>
    <n v="0"/>
    <x v="0"/>
    <n v="57490.397999999994"/>
    <n v="57490.397999999994"/>
    <n v="0"/>
    <n v="0"/>
    <x v="0"/>
    <x v="3"/>
  </r>
  <r>
    <s v="ORD02555"/>
    <d v="2024-12-08T00:00:00"/>
    <x v="588"/>
    <x v="207"/>
    <n v="42"/>
    <s v="INV02555"/>
    <n v="42"/>
    <n v="287.90559999999999"/>
    <m/>
    <m/>
    <m/>
    <m/>
    <m/>
    <n v="287.90559999999999"/>
    <d v="2023-10-25T00:00:00"/>
    <n v="0"/>
    <n v="0"/>
    <n v="0"/>
    <n v="0"/>
    <n v="0"/>
    <n v="0"/>
    <n v="0"/>
    <x v="0"/>
    <n v="12092.0352"/>
    <n v="12092.0352"/>
    <n v="0"/>
    <n v="0"/>
    <x v="0"/>
    <x v="1"/>
  </r>
  <r>
    <s v="ORD02556"/>
    <d v="2023-11-07T00:00:00"/>
    <x v="77"/>
    <x v="89"/>
    <n v="164"/>
    <s v="INV02556"/>
    <n v="164"/>
    <n v="826.46400000000006"/>
    <m/>
    <m/>
    <m/>
    <m/>
    <m/>
    <n v="826.46400000000006"/>
    <d v="2023-07-21T00:00:00"/>
    <n v="0"/>
    <n v="0"/>
    <n v="0"/>
    <n v="0"/>
    <n v="0"/>
    <n v="0"/>
    <n v="0"/>
    <x v="0"/>
    <n v="135540.09600000002"/>
    <n v="135540.09600000002"/>
    <n v="0"/>
    <n v="0"/>
    <x v="0"/>
    <x v="0"/>
  </r>
  <r>
    <s v="ORD02557"/>
    <d v="2024-01-18T00:00:00"/>
    <x v="39"/>
    <x v="201"/>
    <n v="69"/>
    <s v="INV02557"/>
    <n v="69"/>
    <n v="418.93040000000002"/>
    <m/>
    <m/>
    <m/>
    <m/>
    <m/>
    <n v="418.93040000000002"/>
    <d v="2023-10-15T00:00:00"/>
    <n v="0"/>
    <n v="0"/>
    <n v="0"/>
    <n v="0"/>
    <n v="0"/>
    <n v="0"/>
    <n v="0"/>
    <x v="0"/>
    <n v="28906.197600000003"/>
    <n v="28906.197600000003"/>
    <n v="0"/>
    <n v="0"/>
    <x v="0"/>
    <x v="15"/>
  </r>
  <r>
    <s v="ORD02558"/>
    <d v="2023-11-15T00:00:00"/>
    <x v="59"/>
    <x v="42"/>
    <n v="45"/>
    <s v="INV02558"/>
    <n v="45"/>
    <n v="946.74860000000001"/>
    <m/>
    <m/>
    <m/>
    <m/>
    <m/>
    <n v="946.74860000000001"/>
    <d v="2023-04-22T00:00:00"/>
    <n v="0"/>
    <n v="0"/>
    <n v="0"/>
    <n v="0"/>
    <n v="0"/>
    <n v="0"/>
    <n v="0"/>
    <x v="0"/>
    <n v="42603.686999999998"/>
    <n v="42603.686999999998"/>
    <n v="0"/>
    <n v="0"/>
    <x v="0"/>
    <x v="0"/>
  </r>
  <r>
    <s v="ORD02559"/>
    <d v="2024-09-13T00:00:00"/>
    <x v="35"/>
    <x v="258"/>
    <n v="56"/>
    <s v="INV02559"/>
    <n v="56"/>
    <n v="510.27839999999998"/>
    <m/>
    <m/>
    <m/>
    <m/>
    <m/>
    <n v="510.27839999999998"/>
    <d v="2023-07-20T00:00:00"/>
    <n v="0"/>
    <n v="0"/>
    <n v="0"/>
    <n v="0"/>
    <n v="0"/>
    <n v="0"/>
    <n v="0"/>
    <x v="0"/>
    <n v="28575.590399999997"/>
    <n v="28575.590399999997"/>
    <n v="0"/>
    <n v="0"/>
    <x v="0"/>
    <x v="2"/>
  </r>
  <r>
    <s v="ORD02560"/>
    <d v="2023-10-31T00:00:00"/>
    <x v="676"/>
    <x v="120"/>
    <n v="134"/>
    <s v="INV02560"/>
    <n v="134"/>
    <n v="989.96579999999994"/>
    <m/>
    <m/>
    <m/>
    <m/>
    <m/>
    <n v="989.96579999999994"/>
    <d v="2023-02-18T00:00:00"/>
    <n v="0"/>
    <n v="0"/>
    <n v="0"/>
    <n v="0"/>
    <n v="0"/>
    <n v="0"/>
    <n v="0"/>
    <x v="0"/>
    <n v="132655.4172"/>
    <n v="132655.4172"/>
    <n v="0"/>
    <n v="0"/>
    <x v="0"/>
    <x v="19"/>
  </r>
  <r>
    <s v="ORD02561"/>
    <d v="2024-01-18T00:00:00"/>
    <x v="390"/>
    <x v="164"/>
    <n v="153"/>
    <s v="INV02561"/>
    <n v="153"/>
    <n v="709.52"/>
    <m/>
    <m/>
    <m/>
    <m/>
    <m/>
    <n v="709.52"/>
    <d v="2023-01-26T00:00:00"/>
    <n v="0"/>
    <n v="0"/>
    <n v="0"/>
    <n v="0"/>
    <n v="0"/>
    <n v="0"/>
    <n v="0"/>
    <x v="0"/>
    <n v="108556.56"/>
    <n v="108556.56"/>
    <n v="0"/>
    <n v="0"/>
    <x v="0"/>
    <x v="15"/>
  </r>
  <r>
    <s v="ORD02562"/>
    <d v="2024-07-28T00:00:00"/>
    <x v="131"/>
    <x v="87"/>
    <n v="22"/>
    <s v="INV02562"/>
    <n v="28"/>
    <n v="443.27359999999999"/>
    <m/>
    <m/>
    <m/>
    <m/>
    <m/>
    <n v="443.27359999999999"/>
    <d v="2023-02-15T00:00:00"/>
    <n v="0"/>
    <n v="1"/>
    <n v="0"/>
    <n v="0"/>
    <n v="0"/>
    <n v="0"/>
    <n v="0"/>
    <x v="1"/>
    <n v="12411.6608"/>
    <n v="9752.0191999999988"/>
    <n v="2659.6416000000008"/>
    <n v="8"/>
    <x v="2"/>
    <x v="21"/>
  </r>
  <r>
    <s v="ORD02563"/>
    <d v="2024-10-20T00:00:00"/>
    <x v="675"/>
    <x v="8"/>
    <n v="161"/>
    <s v="INV02563"/>
    <n v="161"/>
    <n v="376.82319999999999"/>
    <m/>
    <m/>
    <m/>
    <m/>
    <m/>
    <n v="376.82319999999999"/>
    <d v="2023-09-02T00:00:00"/>
    <n v="0"/>
    <n v="0"/>
    <n v="0"/>
    <n v="0"/>
    <n v="0"/>
    <n v="0"/>
    <n v="0"/>
    <x v="0"/>
    <n v="60668.535199999998"/>
    <n v="60668.535199999998"/>
    <n v="0"/>
    <n v="0"/>
    <x v="0"/>
    <x v="5"/>
  </r>
  <r>
    <s v="ORD02564"/>
    <d v="2023-01-14T00:00:00"/>
    <x v="87"/>
    <x v="8"/>
    <n v="46"/>
    <s v="INV02564"/>
    <n v="46"/>
    <n v="365.95330000000001"/>
    <m/>
    <m/>
    <m/>
    <m/>
    <m/>
    <n v="365.95330000000001"/>
    <d v="2022-09-20T00:00:00"/>
    <n v="0"/>
    <n v="0"/>
    <n v="0"/>
    <n v="0"/>
    <n v="0"/>
    <n v="0"/>
    <n v="0"/>
    <x v="0"/>
    <n v="16833.8518"/>
    <n v="16833.8518"/>
    <n v="0"/>
    <n v="0"/>
    <x v="0"/>
    <x v="8"/>
  </r>
  <r>
    <s v="ORD02565"/>
    <d v="2023-07-28T00:00:00"/>
    <x v="270"/>
    <x v="128"/>
    <n v="72"/>
    <s v="INV02565"/>
    <n v="72"/>
    <n v="440.38799999999998"/>
    <n v="5"/>
    <d v="2024-04-07T00:00:00"/>
    <m/>
    <m/>
    <m/>
    <n v="440.38799999999998"/>
    <d v="2023-03-31T00:00:00"/>
    <n v="0"/>
    <n v="0"/>
    <n v="0"/>
    <n v="0"/>
    <n v="0"/>
    <n v="1"/>
    <n v="0"/>
    <x v="1"/>
    <n v="31707.935999999998"/>
    <n v="31707.935999999998"/>
    <n v="0"/>
    <n v="2"/>
    <x v="1"/>
    <x v="10"/>
  </r>
  <r>
    <s v="ORD02566"/>
    <d v="2024-09-26T00:00:00"/>
    <x v="278"/>
    <x v="74"/>
    <n v="22"/>
    <s v="INV02566"/>
    <n v="22"/>
    <n v="1184.9544000000001"/>
    <m/>
    <m/>
    <m/>
    <m/>
    <m/>
    <n v="1184.9544000000001"/>
    <d v="2023-09-02T00:00:00"/>
    <n v="0"/>
    <n v="0"/>
    <n v="0"/>
    <n v="0"/>
    <n v="0"/>
    <n v="0"/>
    <n v="0"/>
    <x v="0"/>
    <n v="26068.996800000001"/>
    <n v="26068.996800000001"/>
    <n v="0"/>
    <n v="0"/>
    <x v="0"/>
    <x v="2"/>
  </r>
  <r>
    <s v="ORD02567"/>
    <d v="2024-02-24T00:00:00"/>
    <x v="420"/>
    <x v="240"/>
    <n v="65"/>
    <s v="INV02567"/>
    <n v="65"/>
    <n v="488.43360000000007"/>
    <n v="14"/>
    <d v="2023-05-22T00:00:00"/>
    <m/>
    <m/>
    <m/>
    <n v="488.43360000000007"/>
    <d v="2023-06-30T00:00:00"/>
    <n v="0"/>
    <n v="0"/>
    <n v="0"/>
    <n v="0"/>
    <n v="0"/>
    <n v="0"/>
    <n v="0"/>
    <x v="0"/>
    <n v="31748.184000000005"/>
    <n v="31748.184000000005"/>
    <n v="0"/>
    <n v="0"/>
    <x v="0"/>
    <x v="3"/>
  </r>
  <r>
    <s v="ORD02568"/>
    <d v="2024-01-09T00:00:00"/>
    <x v="543"/>
    <x v="18"/>
    <n v="75"/>
    <s v="INV02568"/>
    <n v="75"/>
    <n v="337.47280000000001"/>
    <m/>
    <m/>
    <m/>
    <m/>
    <m/>
    <n v="337.47280000000001"/>
    <d v="2023-09-02T00:00:00"/>
    <n v="0"/>
    <n v="0"/>
    <n v="0"/>
    <n v="0"/>
    <n v="0"/>
    <n v="0"/>
    <n v="0"/>
    <x v="0"/>
    <n v="25310.46"/>
    <n v="25310.46"/>
    <n v="0"/>
    <n v="0"/>
    <x v="0"/>
    <x v="15"/>
  </r>
  <r>
    <s v="ORD02569"/>
    <d v="2023-06-12T00:00:00"/>
    <x v="702"/>
    <x v="93"/>
    <n v="91"/>
    <s v="INV02569"/>
    <n v="91"/>
    <n v="432.839"/>
    <m/>
    <m/>
    <m/>
    <m/>
    <m/>
    <n v="432.839"/>
    <d v="2023-05-02T00:00:00"/>
    <n v="0"/>
    <n v="0"/>
    <n v="0"/>
    <n v="0"/>
    <n v="0"/>
    <n v="0"/>
    <n v="0"/>
    <x v="0"/>
    <n v="39388.349000000002"/>
    <n v="39388.349000000002"/>
    <n v="0"/>
    <n v="0"/>
    <x v="0"/>
    <x v="14"/>
  </r>
  <r>
    <s v="ORD02570"/>
    <d v="2024-04-26T00:00:00"/>
    <x v="528"/>
    <x v="198"/>
    <n v="111"/>
    <s v="INV02570"/>
    <n v="111"/>
    <n v="906.88919999999996"/>
    <m/>
    <m/>
    <m/>
    <m/>
    <m/>
    <n v="906.88919999999996"/>
    <d v="2023-03-06T00:00:00"/>
    <n v="0"/>
    <n v="0"/>
    <n v="0"/>
    <n v="0"/>
    <n v="0"/>
    <n v="0"/>
    <n v="0"/>
    <x v="0"/>
    <n v="100664.7012"/>
    <n v="100664.7012"/>
    <n v="0"/>
    <n v="0"/>
    <x v="0"/>
    <x v="9"/>
  </r>
  <r>
    <s v="ORD02571"/>
    <d v="2023-06-05T00:00:00"/>
    <x v="689"/>
    <x v="44"/>
    <n v="85"/>
    <s v="INV02571"/>
    <n v="92"/>
    <n v="1015.6622"/>
    <m/>
    <m/>
    <m/>
    <m/>
    <m/>
    <n v="1015.6622"/>
    <d v="2022-08-24T00:00:00"/>
    <n v="0"/>
    <n v="1"/>
    <n v="0"/>
    <n v="0"/>
    <n v="0"/>
    <n v="0"/>
    <n v="0"/>
    <x v="1"/>
    <n v="93440.922399999996"/>
    <n v="86331.286999999997"/>
    <n v="7109.6353999999992"/>
    <n v="8"/>
    <x v="2"/>
    <x v="14"/>
  </r>
  <r>
    <s v="ORD02572"/>
    <d v="2023-01-17T00:00:00"/>
    <x v="458"/>
    <x v="221"/>
    <n v="196"/>
    <s v="INV02572"/>
    <n v="196"/>
    <n v="644.91"/>
    <m/>
    <m/>
    <m/>
    <m/>
    <m/>
    <n v="644.91"/>
    <d v="2022-01-29T00:00:00"/>
    <n v="0"/>
    <n v="0"/>
    <n v="0"/>
    <n v="0"/>
    <n v="0"/>
    <n v="0"/>
    <n v="0"/>
    <x v="0"/>
    <n v="126402.36"/>
    <n v="126402.36"/>
    <n v="0"/>
    <n v="0"/>
    <x v="0"/>
    <x v="8"/>
  </r>
  <r>
    <s v="ORD02573"/>
    <d v="2024-06-18T00:00:00"/>
    <x v="394"/>
    <x v="98"/>
    <n v="129"/>
    <s v="INV02573"/>
    <n v="129"/>
    <n v="1119.6587000000002"/>
    <m/>
    <m/>
    <m/>
    <m/>
    <m/>
    <n v="1119.6587000000002"/>
    <d v="2023-08-09T00:00:00"/>
    <n v="0"/>
    <n v="0"/>
    <n v="0"/>
    <n v="0"/>
    <n v="0"/>
    <n v="0"/>
    <n v="0"/>
    <x v="0"/>
    <n v="144435.97230000002"/>
    <n v="144435.97230000002"/>
    <n v="0"/>
    <n v="0"/>
    <x v="0"/>
    <x v="16"/>
  </r>
  <r>
    <s v="ORD02574"/>
    <d v="2024-12-03T00:00:00"/>
    <x v="515"/>
    <x v="152"/>
    <n v="164"/>
    <s v="INV02574"/>
    <n v="164"/>
    <n v="403.01909999999998"/>
    <n v="14"/>
    <d v="2023-07-24T00:00:00"/>
    <m/>
    <m/>
    <m/>
    <n v="403.01909999999998"/>
    <d v="2023-05-10T00:00:00"/>
    <n v="0"/>
    <n v="0"/>
    <n v="0"/>
    <n v="0"/>
    <n v="0"/>
    <n v="0"/>
    <n v="0"/>
    <x v="0"/>
    <n v="66095.132400000002"/>
    <n v="66095.132400000002"/>
    <n v="0"/>
    <n v="0"/>
    <x v="0"/>
    <x v="1"/>
  </r>
  <r>
    <s v="ORD02575"/>
    <d v="2024-06-29T00:00:00"/>
    <x v="671"/>
    <x v="270"/>
    <n v="196"/>
    <s v="INV02575"/>
    <n v="196"/>
    <n v="983.19460000000004"/>
    <m/>
    <m/>
    <m/>
    <m/>
    <m/>
    <n v="983.19460000000004"/>
    <d v="2023-08-04T00:00:00"/>
    <n v="0"/>
    <n v="0"/>
    <n v="0"/>
    <n v="0"/>
    <n v="0"/>
    <n v="0"/>
    <n v="0"/>
    <x v="0"/>
    <n v="192706.1416"/>
    <n v="192706.1416"/>
    <n v="0"/>
    <n v="0"/>
    <x v="0"/>
    <x v="16"/>
  </r>
  <r>
    <s v="ORD02576"/>
    <d v="2024-01-03T00:00:00"/>
    <x v="403"/>
    <x v="153"/>
    <n v="25"/>
    <s v="INV02576"/>
    <n v="25"/>
    <n v="680.30940000000021"/>
    <m/>
    <m/>
    <m/>
    <m/>
    <m/>
    <n v="680.30940000000021"/>
    <d v="2023-01-08T00:00:00"/>
    <n v="0"/>
    <n v="0"/>
    <n v="0"/>
    <n v="0"/>
    <n v="0"/>
    <n v="0"/>
    <n v="0"/>
    <x v="0"/>
    <n v="17007.735000000004"/>
    <n v="17007.735000000004"/>
    <n v="0"/>
    <n v="0"/>
    <x v="0"/>
    <x v="15"/>
  </r>
  <r>
    <s v="ORD02577"/>
    <d v="2023-07-03T00:00:00"/>
    <x v="739"/>
    <x v="57"/>
    <n v="140"/>
    <s v="INV02577"/>
    <n v="140"/>
    <n v="517.39100000000008"/>
    <m/>
    <m/>
    <m/>
    <m/>
    <m/>
    <n v="517.39100000000008"/>
    <d v="2023-04-29T00:00:00"/>
    <n v="0"/>
    <n v="0"/>
    <n v="0"/>
    <n v="0"/>
    <n v="0"/>
    <n v="0"/>
    <n v="0"/>
    <x v="0"/>
    <n v="72434.740000000005"/>
    <n v="72434.740000000005"/>
    <n v="0"/>
    <n v="0"/>
    <x v="0"/>
    <x v="10"/>
  </r>
  <r>
    <s v="ORD02578"/>
    <d v="2023-09-11T00:00:00"/>
    <x v="271"/>
    <x v="131"/>
    <n v="180"/>
    <s v="INV02578"/>
    <n v="180"/>
    <n v="741.88620000000003"/>
    <m/>
    <m/>
    <m/>
    <m/>
    <m/>
    <n v="741.88620000000003"/>
    <d v="2023-01-04T00:00:00"/>
    <n v="0"/>
    <n v="0"/>
    <n v="0"/>
    <n v="0"/>
    <n v="0"/>
    <n v="0"/>
    <n v="0"/>
    <x v="0"/>
    <n v="133539.516"/>
    <n v="133539.516"/>
    <n v="0"/>
    <n v="0"/>
    <x v="0"/>
    <x v="18"/>
  </r>
  <r>
    <s v="ORD02579"/>
    <d v="2023-07-15T00:00:00"/>
    <x v="407"/>
    <x v="251"/>
    <n v="192"/>
    <s v="INV02579"/>
    <n v="192"/>
    <n v="75.504800000000003"/>
    <m/>
    <m/>
    <m/>
    <m/>
    <m/>
    <n v="75.504800000000003"/>
    <d v="2023-06-03T00:00:00"/>
    <n v="0"/>
    <n v="0"/>
    <n v="0"/>
    <n v="0"/>
    <n v="0"/>
    <n v="0"/>
    <n v="0"/>
    <x v="0"/>
    <n v="14496.921600000001"/>
    <n v="14496.921600000001"/>
    <n v="0"/>
    <n v="0"/>
    <x v="0"/>
    <x v="10"/>
  </r>
  <r>
    <s v="ORD02580"/>
    <d v="2024-02-28T00:00:00"/>
    <x v="221"/>
    <x v="130"/>
    <n v="33"/>
    <s v="INV02580"/>
    <n v="33"/>
    <n v="58.98"/>
    <m/>
    <m/>
    <m/>
    <m/>
    <m/>
    <n v="58.98"/>
    <d v="2023-01-08T00:00:00"/>
    <n v="0"/>
    <n v="0"/>
    <n v="0"/>
    <n v="0"/>
    <n v="0"/>
    <n v="0"/>
    <n v="0"/>
    <x v="0"/>
    <n v="1946.34"/>
    <n v="1946.34"/>
    <n v="0"/>
    <n v="0"/>
    <x v="0"/>
    <x v="3"/>
  </r>
  <r>
    <s v="ORD02581"/>
    <d v="2023-06-01T00:00:00"/>
    <x v="500"/>
    <x v="130"/>
    <n v="97"/>
    <s v="INV02581"/>
    <n v="97"/>
    <n v="58.98"/>
    <m/>
    <m/>
    <m/>
    <m/>
    <m/>
    <n v="58.98"/>
    <d v="2023-01-08T00:00:00"/>
    <n v="0"/>
    <n v="0"/>
    <n v="0"/>
    <n v="0"/>
    <n v="0"/>
    <n v="0"/>
    <n v="0"/>
    <x v="0"/>
    <n v="5721.0599999999995"/>
    <n v="5721.0599999999995"/>
    <n v="0"/>
    <n v="0"/>
    <x v="0"/>
    <x v="14"/>
  </r>
  <r>
    <s v="ORD02582"/>
    <d v="2024-05-27T00:00:00"/>
    <x v="754"/>
    <x v="201"/>
    <n v="144"/>
    <s v="INV02582"/>
    <n v="144"/>
    <n v="418.93040000000002"/>
    <m/>
    <m/>
    <m/>
    <m/>
    <m/>
    <n v="418.93040000000002"/>
    <d v="2023-10-15T00:00:00"/>
    <n v="0"/>
    <n v="0"/>
    <n v="0"/>
    <n v="0"/>
    <n v="0"/>
    <n v="0"/>
    <n v="0"/>
    <x v="0"/>
    <n v="60325.977600000006"/>
    <n v="60325.977600000006"/>
    <n v="0"/>
    <n v="0"/>
    <x v="0"/>
    <x v="13"/>
  </r>
  <r>
    <s v="ORD02583"/>
    <d v="2024-08-14T00:00:00"/>
    <x v="144"/>
    <x v="210"/>
    <n v="167"/>
    <s v="INV02583"/>
    <n v="167"/>
    <n v="512.04"/>
    <n v="3"/>
    <d v="2024-04-12T00:00:00"/>
    <m/>
    <m/>
    <m/>
    <n v="512.04"/>
    <d v="2023-01-02T00:00:00"/>
    <n v="0"/>
    <n v="0"/>
    <n v="0"/>
    <n v="0"/>
    <n v="0"/>
    <n v="0"/>
    <n v="0"/>
    <x v="0"/>
    <n v="85510.68"/>
    <n v="85510.68"/>
    <n v="0"/>
    <n v="0"/>
    <x v="0"/>
    <x v="22"/>
  </r>
  <r>
    <s v="ORD02584"/>
    <d v="2023-01-10T00:00:00"/>
    <x v="281"/>
    <x v="249"/>
    <n v="165"/>
    <s v="INV02584"/>
    <n v="165"/>
    <n v="833.13300000000004"/>
    <m/>
    <m/>
    <m/>
    <m/>
    <m/>
    <n v="833.13300000000004"/>
    <d v="2022-12-25T00:00:00"/>
    <n v="0"/>
    <n v="0"/>
    <n v="0"/>
    <n v="0"/>
    <n v="0"/>
    <n v="0"/>
    <n v="0"/>
    <x v="0"/>
    <n v="137466.94500000001"/>
    <n v="137466.94500000001"/>
    <n v="0"/>
    <n v="0"/>
    <x v="0"/>
    <x v="8"/>
  </r>
  <r>
    <s v="ORD02585"/>
    <d v="2024-07-03T00:00:00"/>
    <x v="212"/>
    <x v="183"/>
    <n v="200"/>
    <s v="INV02585"/>
    <n v="200"/>
    <n v="624.37260000000003"/>
    <m/>
    <m/>
    <m/>
    <m/>
    <m/>
    <n v="624.37260000000003"/>
    <d v="2023-01-06T00:00:00"/>
    <n v="0"/>
    <n v="0"/>
    <n v="0"/>
    <n v="0"/>
    <n v="0"/>
    <n v="0"/>
    <n v="0"/>
    <x v="0"/>
    <n v="124874.52"/>
    <n v="124874.52"/>
    <n v="0"/>
    <n v="0"/>
    <x v="0"/>
    <x v="21"/>
  </r>
  <r>
    <s v="ORD02586"/>
    <d v="2024-08-03T00:00:00"/>
    <x v="428"/>
    <x v="294"/>
    <n v="98"/>
    <s v="INV02586"/>
    <n v="98"/>
    <n v="143.86799999999999"/>
    <m/>
    <m/>
    <m/>
    <m/>
    <m/>
    <n v="143.86799999999999"/>
    <d v="2023-04-20T00:00:00"/>
    <n v="0"/>
    <n v="0"/>
    <n v="0"/>
    <n v="0"/>
    <n v="0"/>
    <n v="0"/>
    <n v="0"/>
    <x v="0"/>
    <n v="14099.064"/>
    <n v="14099.064"/>
    <n v="0"/>
    <n v="0"/>
    <x v="0"/>
    <x v="22"/>
  </r>
  <r>
    <s v="ORD02587"/>
    <d v="2023-03-20T00:00:00"/>
    <x v="352"/>
    <x v="275"/>
    <n v="12"/>
    <s v="INV02587"/>
    <n v="12"/>
    <n v="852.48720000000014"/>
    <m/>
    <m/>
    <m/>
    <m/>
    <m/>
    <n v="852.48720000000014"/>
    <d v="2023-02-26T00:00:00"/>
    <n v="0"/>
    <n v="0"/>
    <n v="0"/>
    <n v="0"/>
    <n v="0"/>
    <n v="0"/>
    <n v="0"/>
    <x v="0"/>
    <n v="10229.846400000002"/>
    <n v="10229.846400000002"/>
    <n v="0"/>
    <n v="0"/>
    <x v="0"/>
    <x v="17"/>
  </r>
  <r>
    <s v="ORD02588"/>
    <d v="2024-03-21T00:00:00"/>
    <x v="513"/>
    <x v="279"/>
    <n v="130"/>
    <s v="INV02588"/>
    <n v="130"/>
    <n v="461.00940000000003"/>
    <m/>
    <m/>
    <m/>
    <m/>
    <m/>
    <n v="461.00940000000003"/>
    <d v="2023-04-20T00:00:00"/>
    <n v="0"/>
    <n v="0"/>
    <n v="0"/>
    <n v="0"/>
    <n v="0"/>
    <n v="0"/>
    <n v="0"/>
    <x v="0"/>
    <n v="59931.222000000002"/>
    <n v="59931.222000000002"/>
    <n v="0"/>
    <n v="0"/>
    <x v="0"/>
    <x v="6"/>
  </r>
  <r>
    <s v="ORD02589"/>
    <d v="2024-08-18T00:00:00"/>
    <x v="654"/>
    <x v="45"/>
    <n v="102"/>
    <s v="INV02589"/>
    <n v="102"/>
    <n v="169.22900000000001"/>
    <n v="22"/>
    <d v="2024-08-05T00:00:00"/>
    <m/>
    <m/>
    <m/>
    <n v="169.22900000000001"/>
    <d v="2023-04-23T00:00:00"/>
    <n v="0"/>
    <n v="0"/>
    <n v="0"/>
    <n v="0"/>
    <n v="0"/>
    <n v="0"/>
    <n v="0"/>
    <x v="0"/>
    <n v="17261.358"/>
    <n v="17261.358"/>
    <n v="0"/>
    <n v="0"/>
    <x v="0"/>
    <x v="22"/>
  </r>
  <r>
    <s v="ORD02590"/>
    <d v="2023-09-07T00:00:00"/>
    <x v="223"/>
    <x v="43"/>
    <n v="169"/>
    <s v="INV02590"/>
    <n v="169"/>
    <n v="1190.6054999999999"/>
    <m/>
    <m/>
    <m/>
    <m/>
    <m/>
    <n v="1190.6054999999999"/>
    <d v="2023-02-27T00:00:00"/>
    <n v="0"/>
    <n v="0"/>
    <n v="0"/>
    <n v="0"/>
    <n v="0"/>
    <n v="0"/>
    <n v="0"/>
    <x v="0"/>
    <n v="201212.32949999999"/>
    <n v="201212.32949999999"/>
    <n v="0"/>
    <n v="0"/>
    <x v="0"/>
    <x v="18"/>
  </r>
  <r>
    <s v="ORD02591"/>
    <d v="2023-10-05T00:00:00"/>
    <x v="668"/>
    <x v="298"/>
    <n v="168"/>
    <s v="INV02591"/>
    <n v="168"/>
    <n v="765.28200000000004"/>
    <m/>
    <m/>
    <m/>
    <m/>
    <m/>
    <n v="765.28200000000004"/>
    <d v="2023-04-19T00:00:00"/>
    <n v="0"/>
    <n v="0"/>
    <n v="0"/>
    <n v="0"/>
    <n v="0"/>
    <n v="0"/>
    <n v="0"/>
    <x v="0"/>
    <n v="128567.376"/>
    <n v="128567.376"/>
    <n v="0"/>
    <n v="0"/>
    <x v="0"/>
    <x v="19"/>
  </r>
  <r>
    <s v="ORD02592"/>
    <d v="2024-10-11T00:00:00"/>
    <x v="505"/>
    <x v="181"/>
    <n v="139"/>
    <s v="INV02592"/>
    <n v="139"/>
    <n v="796.53"/>
    <m/>
    <m/>
    <m/>
    <m/>
    <m/>
    <n v="796.53"/>
    <d v="2023-09-03T00:00:00"/>
    <n v="0"/>
    <n v="0"/>
    <n v="0"/>
    <n v="0"/>
    <n v="0"/>
    <n v="0"/>
    <n v="0"/>
    <x v="0"/>
    <n v="110717.67"/>
    <n v="110717.67"/>
    <n v="0"/>
    <n v="0"/>
    <x v="0"/>
    <x v="5"/>
  </r>
  <r>
    <s v="ORD02593"/>
    <d v="2023-05-20T00:00:00"/>
    <x v="46"/>
    <x v="73"/>
    <n v="25"/>
    <s v="INV02593"/>
    <n v="25"/>
    <n v="1077.6702"/>
    <m/>
    <m/>
    <m/>
    <m/>
    <m/>
    <n v="1077.6702"/>
    <d v="2022-11-29T00:00:00"/>
    <n v="0"/>
    <n v="0"/>
    <n v="0"/>
    <n v="0"/>
    <n v="0"/>
    <n v="0"/>
    <n v="0"/>
    <x v="0"/>
    <n v="26941.755000000001"/>
    <n v="26941.755000000001"/>
    <n v="0"/>
    <n v="0"/>
    <x v="0"/>
    <x v="7"/>
  </r>
  <r>
    <s v="ORD02594"/>
    <d v="2023-10-26T00:00:00"/>
    <x v="571"/>
    <x v="78"/>
    <n v="11"/>
    <s v="INV02594"/>
    <n v="9"/>
    <n v="372.85379999999998"/>
    <m/>
    <m/>
    <m/>
    <m/>
    <m/>
    <n v="372.85379999999998"/>
    <d v="2023-09-06T00:00:00"/>
    <n v="0"/>
    <n v="1"/>
    <n v="0"/>
    <n v="0"/>
    <n v="0"/>
    <n v="0"/>
    <n v="0"/>
    <x v="1"/>
    <n v="3355.6841999999997"/>
    <n v="4101.3917999999994"/>
    <n v="-745.70759999999973"/>
    <n v="8"/>
    <x v="2"/>
    <x v="19"/>
  </r>
  <r>
    <s v="ORD02595"/>
    <d v="2023-05-30T00:00:00"/>
    <x v="448"/>
    <x v="275"/>
    <n v="105"/>
    <s v="INV02595"/>
    <n v="105"/>
    <n v="852.48720000000014"/>
    <n v="5"/>
    <d v="2025-01-08T00:00:00"/>
    <m/>
    <m/>
    <m/>
    <n v="852.48720000000014"/>
    <d v="2023-02-26T00:00:00"/>
    <n v="0"/>
    <n v="0"/>
    <n v="0"/>
    <n v="0"/>
    <n v="0"/>
    <n v="1"/>
    <n v="0"/>
    <x v="1"/>
    <n v="89511.156000000017"/>
    <n v="89511.156000000017"/>
    <n v="0"/>
    <n v="2"/>
    <x v="1"/>
    <x v="7"/>
  </r>
  <r>
    <s v="ORD02596"/>
    <d v="2024-07-08T00:00:00"/>
    <x v="350"/>
    <x v="170"/>
    <n v="183"/>
    <s v="INV02596"/>
    <n v="183"/>
    <n v="825.13580000000002"/>
    <m/>
    <m/>
    <m/>
    <m/>
    <m/>
    <n v="825.13580000000002"/>
    <d v="2023-03-13T00:00:00"/>
    <n v="0"/>
    <n v="0"/>
    <n v="0"/>
    <n v="0"/>
    <n v="0"/>
    <n v="0"/>
    <n v="0"/>
    <x v="0"/>
    <n v="150999.85140000001"/>
    <n v="150999.85140000001"/>
    <n v="0"/>
    <n v="0"/>
    <x v="0"/>
    <x v="21"/>
  </r>
  <r>
    <s v="ORD02597"/>
    <d v="2023-03-27T00:00:00"/>
    <x v="561"/>
    <x v="147"/>
    <n v="199"/>
    <s v="INV02597"/>
    <n v="199"/>
    <n v="1195.6769999999999"/>
    <m/>
    <m/>
    <m/>
    <m/>
    <m/>
    <n v="1195.6769999999999"/>
    <d v="2023-03-25T00:00:00"/>
    <n v="0"/>
    <n v="0"/>
    <n v="0"/>
    <n v="0"/>
    <n v="0"/>
    <n v="0"/>
    <n v="0"/>
    <x v="0"/>
    <n v="237939.72299999997"/>
    <n v="237939.72299999997"/>
    <n v="0"/>
    <n v="0"/>
    <x v="0"/>
    <x v="17"/>
  </r>
  <r>
    <s v="ORD02598"/>
    <d v="2024-12-02T00:00:00"/>
    <x v="443"/>
    <x v="26"/>
    <n v="128"/>
    <s v="INV02598"/>
    <n v="128"/>
    <n v="129.17519999999999"/>
    <m/>
    <m/>
    <m/>
    <m/>
    <m/>
    <n v="129.17519999999999"/>
    <d v="2023-09-15T00:00:00"/>
    <n v="0"/>
    <n v="0"/>
    <n v="0"/>
    <n v="0"/>
    <n v="0"/>
    <n v="0"/>
    <n v="0"/>
    <x v="0"/>
    <n v="16534.425599999999"/>
    <n v="16534.425599999999"/>
    <n v="0"/>
    <n v="0"/>
    <x v="0"/>
    <x v="1"/>
  </r>
  <r>
    <s v="ORD02599"/>
    <d v="2023-08-16T00:00:00"/>
    <x v="197"/>
    <x v="114"/>
    <n v="120"/>
    <s v="INV02599"/>
    <n v="120"/>
    <n v="945.38850000000002"/>
    <m/>
    <m/>
    <m/>
    <m/>
    <m/>
    <n v="945.38850000000002"/>
    <d v="2023-05-01T00:00:00"/>
    <n v="0"/>
    <n v="0"/>
    <n v="0"/>
    <n v="0"/>
    <n v="0"/>
    <n v="0"/>
    <n v="0"/>
    <x v="0"/>
    <n v="113446.62"/>
    <n v="113446.62"/>
    <n v="0"/>
    <n v="0"/>
    <x v="0"/>
    <x v="12"/>
  </r>
  <r>
    <s v="ORD02600"/>
    <d v="2024-06-02T00:00:00"/>
    <x v="770"/>
    <x v="25"/>
    <n v="74"/>
    <s v="INV02600"/>
    <n v="74"/>
    <n v="1218.568"/>
    <m/>
    <m/>
    <m/>
    <m/>
    <m/>
    <n v="1218.568"/>
    <d v="2023-05-15T00:00:00"/>
    <n v="0"/>
    <n v="0"/>
    <n v="0"/>
    <n v="0"/>
    <n v="0"/>
    <n v="0"/>
    <n v="0"/>
    <x v="0"/>
    <n v="90174.031999999992"/>
    <n v="90174.031999999992"/>
    <n v="0"/>
    <n v="0"/>
    <x v="0"/>
    <x v="16"/>
  </r>
  <r>
    <s v="ORD02601"/>
    <d v="2024-07-26T00:00:00"/>
    <x v="66"/>
    <x v="221"/>
    <n v="139"/>
    <s v="INV02601"/>
    <n v="139"/>
    <n v="690.05370000000005"/>
    <m/>
    <m/>
    <m/>
    <m/>
    <m/>
    <n v="690.05370000000005"/>
    <d v="2023-02-19T00:00:00"/>
    <n v="0"/>
    <n v="0"/>
    <n v="0"/>
    <n v="0"/>
    <n v="0"/>
    <n v="0"/>
    <n v="0"/>
    <x v="0"/>
    <n v="95917.464300000007"/>
    <n v="95917.464300000007"/>
    <n v="0"/>
    <n v="0"/>
    <x v="0"/>
    <x v="21"/>
  </r>
  <r>
    <s v="ORD02602"/>
    <d v="2024-10-30T00:00:00"/>
    <x v="352"/>
    <x v="95"/>
    <n v="171"/>
    <s v="INV02602"/>
    <n v="171"/>
    <n v="1072.1079000000002"/>
    <m/>
    <m/>
    <m/>
    <m/>
    <m/>
    <n v="1072.1079000000002"/>
    <d v="2023-04-19T00:00:00"/>
    <n v="0"/>
    <n v="0"/>
    <n v="0"/>
    <n v="0"/>
    <n v="0"/>
    <n v="0"/>
    <n v="0"/>
    <x v="0"/>
    <n v="183330.45090000003"/>
    <n v="183330.45090000003"/>
    <n v="0"/>
    <n v="0"/>
    <x v="0"/>
    <x v="5"/>
  </r>
  <r>
    <s v="ORD02603"/>
    <d v="2024-02-25T00:00:00"/>
    <x v="147"/>
    <x v="284"/>
    <n v="176"/>
    <s v="INV02603"/>
    <n v="176"/>
    <n v="1032.7408"/>
    <m/>
    <m/>
    <m/>
    <m/>
    <m/>
    <n v="1032.7408"/>
    <d v="2023-05-31T00:00:00"/>
    <n v="0"/>
    <n v="0"/>
    <n v="0"/>
    <n v="0"/>
    <n v="0"/>
    <n v="0"/>
    <n v="0"/>
    <x v="0"/>
    <n v="181762.38080000001"/>
    <n v="181762.38080000001"/>
    <n v="0"/>
    <n v="0"/>
    <x v="0"/>
    <x v="3"/>
  </r>
  <r>
    <s v="ORD02604"/>
    <d v="2024-12-05T00:00:00"/>
    <x v="75"/>
    <x v="192"/>
    <n v="120"/>
    <s v="INV02604"/>
    <n v="120"/>
    <n v="247.48920000000001"/>
    <m/>
    <m/>
    <m/>
    <m/>
    <m/>
    <n v="247.48920000000001"/>
    <d v="2023-06-11T00:00:00"/>
    <n v="0"/>
    <n v="0"/>
    <n v="0"/>
    <n v="0"/>
    <n v="0"/>
    <n v="0"/>
    <n v="0"/>
    <x v="0"/>
    <n v="29698.704000000002"/>
    <n v="29698.704000000002"/>
    <n v="0"/>
    <n v="0"/>
    <x v="0"/>
    <x v="1"/>
  </r>
  <r>
    <s v="ORD02605"/>
    <d v="2024-11-23T00:00:00"/>
    <x v="160"/>
    <x v="56"/>
    <n v="111"/>
    <s v="INV02605"/>
    <n v="111"/>
    <n v="639.91840000000002"/>
    <m/>
    <m/>
    <m/>
    <m/>
    <m/>
    <n v="639.91840000000002"/>
    <d v="2023-01-04T00:00:00"/>
    <n v="0"/>
    <n v="0"/>
    <n v="0"/>
    <n v="0"/>
    <n v="0"/>
    <n v="0"/>
    <n v="0"/>
    <x v="0"/>
    <n v="71030.9424"/>
    <n v="71030.9424"/>
    <n v="0"/>
    <n v="0"/>
    <x v="0"/>
    <x v="4"/>
  </r>
  <r>
    <s v="ORD02606"/>
    <d v="2024-04-26T00:00:00"/>
    <x v="313"/>
    <x v="12"/>
    <n v="181"/>
    <s v="INV02606"/>
    <n v="181"/>
    <n v="689.58720000000005"/>
    <m/>
    <m/>
    <m/>
    <m/>
    <m/>
    <n v="689.58720000000005"/>
    <d v="2023-10-25T00:00:00"/>
    <n v="0"/>
    <n v="0"/>
    <n v="0"/>
    <n v="0"/>
    <n v="0"/>
    <n v="0"/>
    <n v="0"/>
    <x v="0"/>
    <n v="124815.28320000001"/>
    <n v="124815.28320000001"/>
    <n v="0"/>
    <n v="0"/>
    <x v="0"/>
    <x v="9"/>
  </r>
  <r>
    <s v="ORD02607"/>
    <d v="2024-01-23T00:00:00"/>
    <x v="576"/>
    <x v="52"/>
    <n v="113"/>
    <s v="INV02607"/>
    <n v="113"/>
    <n v="61.845300000000002"/>
    <m/>
    <m/>
    <m/>
    <m/>
    <m/>
    <n v="61.845300000000002"/>
    <d v="2023-10-27T00:00:00"/>
    <n v="0"/>
    <n v="0"/>
    <n v="0"/>
    <n v="0"/>
    <n v="0"/>
    <n v="0"/>
    <n v="0"/>
    <x v="0"/>
    <n v="6988.5189"/>
    <n v="6988.5189"/>
    <n v="0"/>
    <n v="0"/>
    <x v="0"/>
    <x v="15"/>
  </r>
  <r>
    <s v="ORD02608"/>
    <d v="2023-03-13T00:00:00"/>
    <x v="395"/>
    <x v="158"/>
    <n v="4"/>
    <s v="INV02608"/>
    <n v="4"/>
    <n v="732.452"/>
    <m/>
    <m/>
    <m/>
    <m/>
    <m/>
    <n v="732.452"/>
    <d v="2023-01-15T00:00:00"/>
    <n v="0"/>
    <n v="0"/>
    <n v="0"/>
    <n v="0"/>
    <n v="0"/>
    <n v="0"/>
    <n v="0"/>
    <x v="0"/>
    <n v="2929.808"/>
    <n v="2929.808"/>
    <n v="0"/>
    <n v="0"/>
    <x v="0"/>
    <x v="17"/>
  </r>
  <r>
    <s v="ORD02609"/>
    <d v="2024-04-18T00:00:00"/>
    <x v="363"/>
    <x v="149"/>
    <n v="182"/>
    <s v="INV02609"/>
    <n v="182"/>
    <n v="1146.7456000000002"/>
    <n v="8"/>
    <d v="2023-11-19T00:00:00"/>
    <m/>
    <m/>
    <m/>
    <n v="1146.7456000000002"/>
    <d v="2023-08-10T00:00:00"/>
    <n v="0"/>
    <n v="0"/>
    <n v="0"/>
    <n v="0"/>
    <n v="0"/>
    <n v="0"/>
    <n v="0"/>
    <x v="0"/>
    <n v="208707.69920000003"/>
    <n v="208707.69920000003"/>
    <n v="0"/>
    <n v="0"/>
    <x v="0"/>
    <x v="9"/>
  </r>
  <r>
    <s v="ORD02610"/>
    <d v="2024-08-10T00:00:00"/>
    <x v="662"/>
    <x v="244"/>
    <n v="147"/>
    <s v="INV02610"/>
    <n v="147"/>
    <n v="1072.2954"/>
    <m/>
    <m/>
    <m/>
    <m/>
    <m/>
    <n v="1072.2954"/>
    <d v="2023-07-13T00:00:00"/>
    <n v="0"/>
    <n v="0"/>
    <n v="0"/>
    <n v="0"/>
    <n v="0"/>
    <n v="0"/>
    <n v="0"/>
    <x v="0"/>
    <n v="157627.42379999999"/>
    <n v="157627.42379999999"/>
    <n v="0"/>
    <n v="0"/>
    <x v="0"/>
    <x v="22"/>
  </r>
  <r>
    <s v="ORD02611"/>
    <d v="2024-11-05T00:00:00"/>
    <x v="481"/>
    <x v="59"/>
    <n v="199"/>
    <s v="INV02611"/>
    <n v="199"/>
    <n v="942.54840000000013"/>
    <m/>
    <m/>
    <m/>
    <m/>
    <m/>
    <n v="942.54840000000013"/>
    <d v="2023-06-09T00:00:00"/>
    <n v="0"/>
    <n v="0"/>
    <n v="0"/>
    <n v="0"/>
    <n v="0"/>
    <n v="0"/>
    <n v="0"/>
    <x v="0"/>
    <n v="187567.13160000002"/>
    <n v="187567.13160000002"/>
    <n v="0"/>
    <n v="0"/>
    <x v="0"/>
    <x v="4"/>
  </r>
  <r>
    <s v="ORD02612"/>
    <d v="2023-11-05T00:00:00"/>
    <x v="551"/>
    <x v="0"/>
    <n v="125"/>
    <s v="INV02612"/>
    <n v="125"/>
    <n v="446.4905"/>
    <m/>
    <m/>
    <m/>
    <m/>
    <m/>
    <n v="446.4905"/>
    <d v="2023-08-23T00:00:00"/>
    <n v="0"/>
    <n v="0"/>
    <n v="0"/>
    <n v="0"/>
    <n v="0"/>
    <n v="0"/>
    <n v="0"/>
    <x v="0"/>
    <n v="55811.3125"/>
    <n v="55811.3125"/>
    <n v="0"/>
    <n v="0"/>
    <x v="0"/>
    <x v="0"/>
  </r>
  <r>
    <s v="ORD02613"/>
    <d v="2024-07-08T00:00:00"/>
    <x v="702"/>
    <x v="73"/>
    <n v="128"/>
    <s v="INV02613"/>
    <n v="128"/>
    <n v="1006.5033"/>
    <m/>
    <m/>
    <m/>
    <m/>
    <m/>
    <n v="1006.5033"/>
    <d v="2023-07-16T00:00:00"/>
    <n v="0"/>
    <n v="0"/>
    <n v="0"/>
    <n v="0"/>
    <n v="0"/>
    <n v="0"/>
    <n v="0"/>
    <x v="0"/>
    <n v="128832.4224"/>
    <n v="128832.4224"/>
    <n v="0"/>
    <n v="0"/>
    <x v="0"/>
    <x v="21"/>
  </r>
  <r>
    <s v="ORD02614"/>
    <d v="2023-09-14T00:00:00"/>
    <x v="455"/>
    <x v="25"/>
    <n v="42"/>
    <s v="INV02614"/>
    <n v="42"/>
    <n v="1218.568"/>
    <m/>
    <m/>
    <m/>
    <m/>
    <m/>
    <n v="1218.568"/>
    <d v="2023-05-15T00:00:00"/>
    <n v="0"/>
    <n v="0"/>
    <n v="0"/>
    <n v="0"/>
    <n v="0"/>
    <n v="0"/>
    <n v="0"/>
    <x v="0"/>
    <n v="51179.856"/>
    <n v="51179.856"/>
    <n v="0"/>
    <n v="0"/>
    <x v="0"/>
    <x v="18"/>
  </r>
  <r>
    <s v="ORD02615"/>
    <d v="2023-08-06T00:00:00"/>
    <x v="601"/>
    <x v="195"/>
    <n v="168"/>
    <s v="INV02615"/>
    <n v="168"/>
    <n v="825.40440000000001"/>
    <m/>
    <m/>
    <m/>
    <m/>
    <m/>
    <n v="825.40440000000001"/>
    <d v="2023-06-28T00:00:00"/>
    <n v="0"/>
    <n v="0"/>
    <n v="0"/>
    <n v="0"/>
    <n v="0"/>
    <n v="0"/>
    <n v="0"/>
    <x v="0"/>
    <n v="138667.93919999999"/>
    <n v="138667.93919999999"/>
    <n v="0"/>
    <n v="0"/>
    <x v="0"/>
    <x v="12"/>
  </r>
  <r>
    <s v="ORD02616"/>
    <d v="2024-08-31T00:00:00"/>
    <x v="733"/>
    <x v="157"/>
    <n v="1"/>
    <s v="INV02616"/>
    <n v="1"/>
    <n v="1158.2643"/>
    <m/>
    <m/>
    <m/>
    <m/>
    <m/>
    <n v="1158.2643"/>
    <d v="2023-07-12T00:00:00"/>
    <n v="0"/>
    <n v="0"/>
    <n v="0"/>
    <n v="0"/>
    <n v="0"/>
    <n v="0"/>
    <n v="0"/>
    <x v="0"/>
    <n v="1158.2643"/>
    <n v="1158.2643"/>
    <n v="0"/>
    <n v="0"/>
    <x v="0"/>
    <x v="22"/>
  </r>
  <r>
    <s v="ORD02617"/>
    <d v="2023-11-22T00:00:00"/>
    <x v="79"/>
    <x v="190"/>
    <n v="189"/>
    <s v="INV02617"/>
    <n v="189"/>
    <n v="892.55520000000013"/>
    <m/>
    <m/>
    <m/>
    <m/>
    <m/>
    <n v="892.55520000000013"/>
    <d v="2023-02-28T00:00:00"/>
    <n v="0"/>
    <n v="0"/>
    <n v="0"/>
    <n v="0"/>
    <n v="0"/>
    <n v="0"/>
    <n v="0"/>
    <x v="0"/>
    <n v="168692.93280000001"/>
    <n v="168692.93280000001"/>
    <n v="0"/>
    <n v="0"/>
    <x v="0"/>
    <x v="0"/>
  </r>
  <r>
    <s v="ORD02618"/>
    <d v="2023-12-23T00:00:00"/>
    <x v="122"/>
    <x v="7"/>
    <n v="89"/>
    <s v="INV02618"/>
    <n v="89"/>
    <n v="510.91840000000002"/>
    <m/>
    <m/>
    <m/>
    <m/>
    <m/>
    <n v="510.91840000000002"/>
    <d v="2023-02-24T00:00:00"/>
    <n v="0"/>
    <n v="0"/>
    <n v="0"/>
    <n v="0"/>
    <n v="0"/>
    <n v="0"/>
    <n v="0"/>
    <x v="0"/>
    <n v="45471.7376"/>
    <n v="45471.7376"/>
    <n v="0"/>
    <n v="0"/>
    <x v="0"/>
    <x v="20"/>
  </r>
  <r>
    <s v="ORD02619"/>
    <d v="2024-03-02T00:00:00"/>
    <x v="27"/>
    <x v="279"/>
    <n v="48"/>
    <s v="INV02619"/>
    <n v="48"/>
    <n v="461.00940000000003"/>
    <m/>
    <m/>
    <m/>
    <m/>
    <m/>
    <n v="461.00940000000003"/>
    <d v="2023-04-20T00:00:00"/>
    <n v="0"/>
    <n v="0"/>
    <n v="0"/>
    <n v="0"/>
    <n v="0"/>
    <n v="0"/>
    <n v="0"/>
    <x v="0"/>
    <n v="22128.451200000003"/>
    <n v="22128.451200000003"/>
    <n v="0"/>
    <n v="0"/>
    <x v="0"/>
    <x v="6"/>
  </r>
  <r>
    <s v="ORD02620"/>
    <d v="2024-03-26T00:00:00"/>
    <x v="3"/>
    <x v="118"/>
    <n v="78"/>
    <s v="INV02620"/>
    <n v="78"/>
    <n v="130.87360000000001"/>
    <m/>
    <m/>
    <m/>
    <m/>
    <m/>
    <n v="130.87360000000001"/>
    <d v="2023-05-28T00:00:00"/>
    <n v="0"/>
    <n v="0"/>
    <n v="0"/>
    <n v="0"/>
    <n v="0"/>
    <n v="0"/>
    <n v="0"/>
    <x v="0"/>
    <n v="10208.140800000001"/>
    <n v="10208.140800000001"/>
    <n v="0"/>
    <n v="0"/>
    <x v="0"/>
    <x v="6"/>
  </r>
  <r>
    <s v="ORD02621"/>
    <d v="2023-03-07T00:00:00"/>
    <x v="463"/>
    <x v="183"/>
    <n v="112"/>
    <s v="INV02621"/>
    <n v="112"/>
    <n v="624.37260000000003"/>
    <m/>
    <m/>
    <m/>
    <m/>
    <m/>
    <n v="624.37260000000003"/>
    <d v="2023-01-06T00:00:00"/>
    <n v="0"/>
    <n v="0"/>
    <n v="0"/>
    <n v="0"/>
    <n v="0"/>
    <n v="0"/>
    <n v="0"/>
    <x v="0"/>
    <n v="69929.731200000009"/>
    <n v="69929.731200000009"/>
    <n v="0"/>
    <n v="0"/>
    <x v="0"/>
    <x v="17"/>
  </r>
  <r>
    <s v="ORD02622"/>
    <d v="2023-02-19T00:00:00"/>
    <x v="419"/>
    <x v="294"/>
    <n v="183"/>
    <s v="INV02622"/>
    <n v="183"/>
    <n v="146.89679999999998"/>
    <m/>
    <m/>
    <m/>
    <m/>
    <m/>
    <n v="146.89679999999998"/>
    <d v="2022-12-25T00:00:00"/>
    <n v="0"/>
    <n v="0"/>
    <n v="0"/>
    <n v="0"/>
    <n v="0"/>
    <n v="0"/>
    <n v="0"/>
    <x v="0"/>
    <n v="26882.114399999999"/>
    <n v="26882.114399999999"/>
    <n v="0"/>
    <n v="0"/>
    <x v="0"/>
    <x v="11"/>
  </r>
  <r>
    <s v="ORD02623"/>
    <d v="2023-08-07T00:00:00"/>
    <x v="344"/>
    <x v="0"/>
    <n v="84"/>
    <s v="INV02623"/>
    <n v="84"/>
    <n v="502.88930000000011"/>
    <m/>
    <m/>
    <m/>
    <m/>
    <m/>
    <n v="502.88930000000011"/>
    <d v="2022-12-27T00:00:00"/>
    <n v="0"/>
    <n v="0"/>
    <n v="0"/>
    <n v="0"/>
    <n v="0"/>
    <n v="0"/>
    <n v="0"/>
    <x v="0"/>
    <n v="42242.70120000001"/>
    <n v="42242.70120000001"/>
    <n v="0"/>
    <n v="0"/>
    <x v="0"/>
    <x v="12"/>
  </r>
  <r>
    <s v="ORD02624"/>
    <d v="2024-09-20T00:00:00"/>
    <x v="81"/>
    <x v="145"/>
    <n v="124"/>
    <s v="INV02624"/>
    <n v="124"/>
    <n v="185.5224"/>
    <m/>
    <m/>
    <m/>
    <m/>
    <m/>
    <n v="185.5224"/>
    <d v="2023-05-17T00:00:00"/>
    <n v="0"/>
    <n v="0"/>
    <n v="0"/>
    <n v="0"/>
    <n v="0"/>
    <n v="0"/>
    <n v="0"/>
    <x v="0"/>
    <n v="23004.777600000001"/>
    <n v="23004.777600000001"/>
    <n v="0"/>
    <n v="0"/>
    <x v="0"/>
    <x v="2"/>
  </r>
  <r>
    <s v="ORD02625"/>
    <d v="2024-01-09T00:00:00"/>
    <x v="763"/>
    <x v="66"/>
    <n v="147"/>
    <s v="INV02625"/>
    <n v="147"/>
    <n v="1160.5650000000001"/>
    <m/>
    <m/>
    <m/>
    <m/>
    <m/>
    <n v="1160.5650000000001"/>
    <d v="2023-05-09T00:00:00"/>
    <n v="0"/>
    <n v="0"/>
    <n v="0"/>
    <n v="0"/>
    <n v="0"/>
    <n v="0"/>
    <n v="0"/>
    <x v="0"/>
    <n v="170603.05500000002"/>
    <n v="170603.05500000002"/>
    <n v="0"/>
    <n v="0"/>
    <x v="0"/>
    <x v="15"/>
  </r>
  <r>
    <s v="ORD02626"/>
    <d v="2024-04-10T00:00:00"/>
    <x v="412"/>
    <x v="260"/>
    <n v="150"/>
    <s v="INV02626"/>
    <n v="150"/>
    <n v="990.72749999999996"/>
    <m/>
    <m/>
    <m/>
    <m/>
    <m/>
    <n v="990.72749999999996"/>
    <d v="2023-05-22T00:00:00"/>
    <n v="0"/>
    <n v="0"/>
    <n v="0"/>
    <n v="0"/>
    <n v="0"/>
    <n v="0"/>
    <n v="0"/>
    <x v="0"/>
    <n v="148609.125"/>
    <n v="148609.125"/>
    <n v="0"/>
    <n v="0"/>
    <x v="0"/>
    <x v="9"/>
  </r>
  <r>
    <s v="ORD02627"/>
    <d v="2023-09-15T00:00:00"/>
    <x v="190"/>
    <x v="22"/>
    <n v="151"/>
    <s v="INV02627"/>
    <n v="151"/>
    <n v="626.68790000000001"/>
    <m/>
    <m/>
    <m/>
    <m/>
    <m/>
    <n v="626.68790000000001"/>
    <d v="2023-06-26T00:00:00"/>
    <n v="0"/>
    <n v="0"/>
    <n v="0"/>
    <n v="0"/>
    <n v="0"/>
    <n v="0"/>
    <n v="0"/>
    <x v="0"/>
    <n v="94629.872900000002"/>
    <n v="94629.872900000002"/>
    <n v="0"/>
    <n v="0"/>
    <x v="0"/>
    <x v="18"/>
  </r>
  <r>
    <s v="ORD02628"/>
    <d v="2024-02-07T00:00:00"/>
    <x v="561"/>
    <x v="0"/>
    <n v="197"/>
    <s v="INV02628"/>
    <n v="197"/>
    <n v="446.4905"/>
    <m/>
    <m/>
    <m/>
    <m/>
    <m/>
    <n v="446.4905"/>
    <d v="2023-08-23T00:00:00"/>
    <n v="0"/>
    <n v="0"/>
    <n v="0"/>
    <n v="0"/>
    <n v="0"/>
    <n v="0"/>
    <n v="0"/>
    <x v="0"/>
    <n v="87958.628500000006"/>
    <n v="87958.628500000006"/>
    <n v="0"/>
    <n v="0"/>
    <x v="0"/>
    <x v="3"/>
  </r>
  <r>
    <s v="ORD02629"/>
    <d v="2024-08-23T00:00:00"/>
    <x v="188"/>
    <x v="8"/>
    <n v="125"/>
    <s v="INV02629"/>
    <n v="125"/>
    <n v="376.82319999999999"/>
    <m/>
    <m/>
    <m/>
    <m/>
    <m/>
    <n v="376.82319999999999"/>
    <d v="2023-09-02T00:00:00"/>
    <n v="0"/>
    <n v="0"/>
    <n v="0"/>
    <n v="0"/>
    <n v="0"/>
    <n v="0"/>
    <n v="0"/>
    <x v="0"/>
    <n v="47102.9"/>
    <n v="47102.9"/>
    <n v="0"/>
    <n v="0"/>
    <x v="0"/>
    <x v="22"/>
  </r>
  <r>
    <s v="ORD02630"/>
    <d v="2024-11-14T00:00:00"/>
    <x v="387"/>
    <x v="223"/>
    <n v="126"/>
    <s v="INV02630"/>
    <n v="126"/>
    <n v="919.86659999999995"/>
    <m/>
    <m/>
    <m/>
    <m/>
    <m/>
    <n v="919.86659999999995"/>
    <d v="2023-07-01T00:00:00"/>
    <n v="0"/>
    <n v="0"/>
    <n v="0"/>
    <n v="0"/>
    <n v="0"/>
    <n v="0"/>
    <n v="0"/>
    <x v="0"/>
    <n v="115903.19159999999"/>
    <n v="115903.19159999999"/>
    <n v="0"/>
    <n v="0"/>
    <x v="0"/>
    <x v="4"/>
  </r>
  <r>
    <s v="ORD02631"/>
    <d v="2024-03-12T00:00:00"/>
    <x v="501"/>
    <x v="110"/>
    <n v="166"/>
    <s v="INV02631"/>
    <n v="166"/>
    <n v="951.75750000000005"/>
    <m/>
    <m/>
    <m/>
    <m/>
    <m/>
    <n v="951.75750000000005"/>
    <d v="2023-09-15T00:00:00"/>
    <n v="0"/>
    <n v="0"/>
    <n v="0"/>
    <n v="0"/>
    <n v="0"/>
    <n v="0"/>
    <n v="0"/>
    <x v="0"/>
    <n v="157991.745"/>
    <n v="157991.745"/>
    <n v="0"/>
    <n v="0"/>
    <x v="0"/>
    <x v="6"/>
  </r>
  <r>
    <s v="ORD02632"/>
    <d v="2023-12-17T00:00:00"/>
    <x v="371"/>
    <x v="171"/>
    <n v="139"/>
    <s v="INV02632"/>
    <n v="139"/>
    <n v="115.0735"/>
    <m/>
    <m/>
    <m/>
    <m/>
    <m/>
    <n v="115.0735"/>
    <d v="2023-10-28T00:00:00"/>
    <n v="0"/>
    <n v="0"/>
    <n v="0"/>
    <n v="0"/>
    <n v="0"/>
    <n v="0"/>
    <n v="0"/>
    <x v="0"/>
    <n v="15995.216499999999"/>
    <n v="15995.216499999999"/>
    <n v="0"/>
    <n v="0"/>
    <x v="0"/>
    <x v="20"/>
  </r>
  <r>
    <s v="ORD02633"/>
    <d v="2024-05-08T00:00:00"/>
    <x v="292"/>
    <x v="60"/>
    <n v="51"/>
    <s v="INV02633"/>
    <n v="51"/>
    <n v="1087.8191999999999"/>
    <m/>
    <m/>
    <m/>
    <m/>
    <m/>
    <n v="1087.8191999999999"/>
    <d v="2023-08-22T00:00:00"/>
    <n v="0"/>
    <n v="0"/>
    <n v="0"/>
    <n v="0"/>
    <n v="0"/>
    <n v="0"/>
    <n v="0"/>
    <x v="0"/>
    <n v="55478.779199999997"/>
    <n v="55478.779199999997"/>
    <n v="0"/>
    <n v="0"/>
    <x v="0"/>
    <x v="13"/>
  </r>
  <r>
    <s v="ORD02634"/>
    <d v="2023-12-29T00:00:00"/>
    <x v="118"/>
    <x v="274"/>
    <n v="17"/>
    <s v="INV02634"/>
    <n v="17"/>
    <n v="631.83420000000012"/>
    <m/>
    <m/>
    <m/>
    <m/>
    <m/>
    <n v="631.83420000000012"/>
    <d v="2023-09-03T00:00:00"/>
    <n v="0"/>
    <n v="0"/>
    <n v="0"/>
    <n v="0"/>
    <n v="0"/>
    <n v="0"/>
    <n v="0"/>
    <x v="0"/>
    <n v="10741.181400000001"/>
    <n v="10741.181400000001"/>
    <n v="0"/>
    <n v="0"/>
    <x v="0"/>
    <x v="20"/>
  </r>
  <r>
    <s v="ORD02635"/>
    <d v="2024-08-19T00:00:00"/>
    <x v="211"/>
    <x v="12"/>
    <n v="158"/>
    <s v="INV02635"/>
    <n v="158"/>
    <n v="689.58720000000005"/>
    <m/>
    <m/>
    <m/>
    <m/>
    <m/>
    <n v="689.58720000000005"/>
    <d v="2023-10-25T00:00:00"/>
    <n v="0"/>
    <n v="0"/>
    <n v="0"/>
    <n v="0"/>
    <n v="0"/>
    <n v="0"/>
    <n v="0"/>
    <x v="0"/>
    <n v="108954.7776"/>
    <n v="108954.7776"/>
    <n v="0"/>
    <n v="0"/>
    <x v="0"/>
    <x v="22"/>
  </r>
  <r>
    <s v="ORD02636"/>
    <d v="2023-04-02T00:00:00"/>
    <x v="467"/>
    <x v="76"/>
    <n v="96"/>
    <s v="INV02636"/>
    <n v="96"/>
    <n v="1218.6930000000002"/>
    <m/>
    <m/>
    <m/>
    <m/>
    <m/>
    <n v="1218.6930000000002"/>
    <d v="2022-12-31T00:00:00"/>
    <n v="0"/>
    <n v="0"/>
    <n v="0"/>
    <n v="0"/>
    <n v="0"/>
    <n v="0"/>
    <n v="0"/>
    <x v="0"/>
    <n v="116994.52800000002"/>
    <n v="116994.52800000002"/>
    <n v="0"/>
    <n v="0"/>
    <x v="0"/>
    <x v="23"/>
  </r>
  <r>
    <s v="ORD02637"/>
    <d v="2024-04-19T00:00:00"/>
    <x v="223"/>
    <x v="35"/>
    <n v="83"/>
    <s v="INV02637"/>
    <n v="83"/>
    <n v="1120.6556"/>
    <m/>
    <m/>
    <m/>
    <m/>
    <m/>
    <n v="1120.6556"/>
    <d v="2023-04-10T00:00:00"/>
    <n v="0"/>
    <n v="0"/>
    <n v="0"/>
    <n v="0"/>
    <n v="0"/>
    <n v="0"/>
    <n v="0"/>
    <x v="0"/>
    <n v="93014.414799999999"/>
    <n v="93014.414799999999"/>
    <n v="0"/>
    <n v="0"/>
    <x v="0"/>
    <x v="9"/>
  </r>
  <r>
    <s v="ORD02638"/>
    <d v="2023-06-26T00:00:00"/>
    <x v="719"/>
    <x v="77"/>
    <n v="137"/>
    <s v="INV02638"/>
    <n v="137"/>
    <n v="709.45920000000001"/>
    <m/>
    <m/>
    <m/>
    <m/>
    <m/>
    <n v="709.45920000000001"/>
    <d v="2022-09-26T00:00:00"/>
    <n v="0"/>
    <n v="0"/>
    <n v="0"/>
    <n v="0"/>
    <n v="0"/>
    <n v="0"/>
    <n v="0"/>
    <x v="0"/>
    <n v="97195.910400000008"/>
    <n v="97195.910400000008"/>
    <n v="0"/>
    <n v="0"/>
    <x v="0"/>
    <x v="14"/>
  </r>
  <r>
    <s v="ORD02639"/>
    <d v="2024-07-28T00:00:00"/>
    <x v="162"/>
    <x v="216"/>
    <n v="55"/>
    <s v="INV02639"/>
    <n v="55"/>
    <n v="828.36189999999999"/>
    <m/>
    <m/>
    <m/>
    <m/>
    <m/>
    <n v="828.36189999999999"/>
    <d v="2023-07-30T00:00:00"/>
    <n v="0"/>
    <n v="0"/>
    <n v="0"/>
    <n v="0"/>
    <n v="0"/>
    <n v="0"/>
    <n v="0"/>
    <x v="0"/>
    <n v="45559.904499999997"/>
    <n v="45559.904499999997"/>
    <n v="0"/>
    <n v="0"/>
    <x v="0"/>
    <x v="21"/>
  </r>
  <r>
    <s v="ORD02640"/>
    <d v="2023-07-04T00:00:00"/>
    <x v="637"/>
    <x v="259"/>
    <n v="58"/>
    <s v="INV02640"/>
    <n v="58"/>
    <n v="1160.71"/>
    <m/>
    <m/>
    <m/>
    <m/>
    <m/>
    <n v="1160.71"/>
    <d v="2023-02-07T00:00:00"/>
    <n v="0"/>
    <n v="0"/>
    <n v="0"/>
    <n v="0"/>
    <n v="0"/>
    <n v="0"/>
    <n v="0"/>
    <x v="0"/>
    <n v="67321.180000000008"/>
    <n v="67321.180000000008"/>
    <n v="0"/>
    <n v="0"/>
    <x v="0"/>
    <x v="10"/>
  </r>
  <r>
    <s v="ORD02641"/>
    <d v="2023-02-03T00:00:00"/>
    <x v="522"/>
    <x v="207"/>
    <n v="90"/>
    <s v="INV02641"/>
    <n v="90"/>
    <n v="296.2912"/>
    <m/>
    <m/>
    <m/>
    <m/>
    <m/>
    <n v="296.2912"/>
    <d v="2022-12-26T00:00:00"/>
    <n v="0"/>
    <n v="0"/>
    <n v="0"/>
    <n v="0"/>
    <n v="0"/>
    <n v="0"/>
    <n v="0"/>
    <x v="0"/>
    <n v="26666.207999999999"/>
    <n v="26666.207999999999"/>
    <n v="0"/>
    <n v="0"/>
    <x v="0"/>
    <x v="11"/>
  </r>
  <r>
    <s v="ORD02642"/>
    <d v="2024-09-20T00:00:00"/>
    <x v="729"/>
    <x v="153"/>
    <n v="101"/>
    <s v="INV02642"/>
    <n v="101"/>
    <n v="680.30940000000021"/>
    <n v="12"/>
    <d v="2023-08-28T00:00:00"/>
    <m/>
    <m/>
    <m/>
    <n v="680.30940000000021"/>
    <d v="2023-01-08T00:00:00"/>
    <n v="0"/>
    <n v="0"/>
    <n v="0"/>
    <n v="0"/>
    <n v="0"/>
    <n v="0"/>
    <n v="0"/>
    <x v="0"/>
    <n v="68711.249400000015"/>
    <n v="68711.249400000015"/>
    <n v="0"/>
    <n v="0"/>
    <x v="0"/>
    <x v="2"/>
  </r>
  <r>
    <s v="ORD02643"/>
    <d v="2023-08-08T00:00:00"/>
    <x v="231"/>
    <x v="233"/>
    <n v="152"/>
    <s v="INV02643"/>
    <n v="152"/>
    <n v="799.8357000000002"/>
    <m/>
    <m/>
    <m/>
    <m/>
    <m/>
    <n v="799.8357000000002"/>
    <d v="2023-05-17T00:00:00"/>
    <n v="0"/>
    <n v="0"/>
    <n v="0"/>
    <n v="0"/>
    <n v="0"/>
    <n v="0"/>
    <n v="0"/>
    <x v="0"/>
    <n v="121575.02640000003"/>
    <n v="121575.02640000003"/>
    <n v="0"/>
    <n v="0"/>
    <x v="0"/>
    <x v="12"/>
  </r>
  <r>
    <s v="ORD02644"/>
    <d v="2023-12-15T00:00:00"/>
    <x v="0"/>
    <x v="213"/>
    <n v="160"/>
    <s v="INV02644"/>
    <n v="160"/>
    <n v="872.7808"/>
    <m/>
    <m/>
    <m/>
    <m/>
    <m/>
    <n v="872.7808"/>
    <d v="2023-10-26T00:00:00"/>
    <n v="0"/>
    <n v="0"/>
    <n v="0"/>
    <n v="0"/>
    <n v="0"/>
    <n v="0"/>
    <n v="0"/>
    <x v="0"/>
    <n v="139644.92800000001"/>
    <n v="139644.92800000001"/>
    <n v="0"/>
    <n v="0"/>
    <x v="0"/>
    <x v="20"/>
  </r>
  <r>
    <s v="ORD02645"/>
    <d v="2024-12-15T00:00:00"/>
    <x v="292"/>
    <x v="37"/>
    <n v="15"/>
    <s v="INV02645"/>
    <n v="15"/>
    <n v="637.18399999999997"/>
    <m/>
    <m/>
    <m/>
    <m/>
    <m/>
    <n v="637.18399999999997"/>
    <d v="2023-09-06T00:00:00"/>
    <n v="0"/>
    <n v="0"/>
    <n v="0"/>
    <n v="0"/>
    <n v="0"/>
    <n v="0"/>
    <n v="0"/>
    <x v="0"/>
    <n v="9557.76"/>
    <n v="9557.76"/>
    <n v="0"/>
    <n v="0"/>
    <x v="0"/>
    <x v="1"/>
  </r>
  <r>
    <s v="ORD02646"/>
    <d v="2023-02-05T00:00:00"/>
    <x v="398"/>
    <x v="44"/>
    <n v="37"/>
    <s v="INV02646"/>
    <n v="37"/>
    <n v="1015.6622"/>
    <m/>
    <m/>
    <m/>
    <m/>
    <m/>
    <n v="1015.6622"/>
    <d v="2022-08-24T00:00:00"/>
    <n v="0"/>
    <n v="0"/>
    <n v="0"/>
    <n v="0"/>
    <n v="0"/>
    <n v="0"/>
    <n v="0"/>
    <x v="0"/>
    <n v="37579.501400000001"/>
    <n v="37579.501400000001"/>
    <n v="0"/>
    <n v="0"/>
    <x v="0"/>
    <x v="11"/>
  </r>
  <r>
    <s v="ORD02647"/>
    <d v="2024-07-16T00:00:00"/>
    <x v="662"/>
    <x v="157"/>
    <n v="82"/>
    <s v="INV02647"/>
    <n v="82"/>
    <n v="1158.2643"/>
    <m/>
    <m/>
    <m/>
    <m/>
    <m/>
    <n v="1158.2643"/>
    <d v="2023-07-12T00:00:00"/>
    <n v="0"/>
    <n v="0"/>
    <n v="0"/>
    <n v="0"/>
    <n v="0"/>
    <n v="0"/>
    <n v="0"/>
    <x v="0"/>
    <n v="94977.672600000005"/>
    <n v="94977.672600000005"/>
    <n v="0"/>
    <n v="0"/>
    <x v="0"/>
    <x v="21"/>
  </r>
  <r>
    <s v="ORD02648"/>
    <d v="2024-03-20T00:00:00"/>
    <x v="730"/>
    <x v="84"/>
    <n v="100"/>
    <s v="INV02648"/>
    <n v="100"/>
    <n v="262.37120000000004"/>
    <n v="17"/>
    <d v="2024-08-22T00:00:00"/>
    <m/>
    <m/>
    <m/>
    <n v="262.37120000000004"/>
    <d v="2023-06-28T00:00:00"/>
    <n v="0"/>
    <n v="0"/>
    <n v="0"/>
    <n v="0"/>
    <n v="0"/>
    <n v="1"/>
    <n v="0"/>
    <x v="1"/>
    <n v="26237.120000000003"/>
    <n v="26237.120000000003"/>
    <n v="0"/>
    <n v="2"/>
    <x v="1"/>
    <x v="6"/>
  </r>
  <r>
    <s v="ORD02649"/>
    <d v="2023-10-04T00:00:00"/>
    <x v="282"/>
    <x v="28"/>
    <n v="59"/>
    <s v="INV02649"/>
    <n v="59"/>
    <n v="957.65700000000015"/>
    <m/>
    <m/>
    <m/>
    <m/>
    <m/>
    <n v="957.65700000000015"/>
    <d v="2023-05-11T00:00:00"/>
    <n v="0"/>
    <n v="0"/>
    <n v="0"/>
    <n v="0"/>
    <n v="0"/>
    <n v="0"/>
    <n v="0"/>
    <x v="0"/>
    <n v="56501.763000000006"/>
    <n v="56501.763000000006"/>
    <n v="0"/>
    <n v="0"/>
    <x v="0"/>
    <x v="19"/>
  </r>
  <r>
    <s v="ORD02650"/>
    <d v="2024-10-01T00:00:00"/>
    <x v="545"/>
    <x v="290"/>
    <n v="71"/>
    <s v="INV02650"/>
    <n v="71"/>
    <n v="1159.732"/>
    <m/>
    <m/>
    <m/>
    <m/>
    <m/>
    <n v="1159.732"/>
    <d v="2023-04-16T00:00:00"/>
    <n v="0"/>
    <n v="0"/>
    <n v="0"/>
    <n v="0"/>
    <n v="0"/>
    <n v="0"/>
    <n v="0"/>
    <x v="0"/>
    <n v="82340.971999999994"/>
    <n v="82340.971999999994"/>
    <n v="0"/>
    <n v="0"/>
    <x v="0"/>
    <x v="5"/>
  </r>
  <r>
    <s v="ORD02651"/>
    <d v="2023-12-01T00:00:00"/>
    <x v="417"/>
    <x v="231"/>
    <n v="127"/>
    <s v="INV02651"/>
    <n v="127"/>
    <n v="850.16200000000003"/>
    <m/>
    <m/>
    <m/>
    <m/>
    <m/>
    <n v="850.16200000000003"/>
    <d v="2023-06-22T00:00:00"/>
    <n v="0"/>
    <n v="0"/>
    <n v="0"/>
    <n v="0"/>
    <n v="0"/>
    <n v="0"/>
    <n v="0"/>
    <x v="0"/>
    <n v="107970.57400000001"/>
    <n v="107970.57400000001"/>
    <n v="0"/>
    <n v="0"/>
    <x v="0"/>
    <x v="20"/>
  </r>
  <r>
    <s v="ORD02652"/>
    <d v="2023-10-18T00:00:00"/>
    <x v="57"/>
    <x v="109"/>
    <n v="133"/>
    <s v="INV02652"/>
    <n v="133"/>
    <n v="457.65019999999998"/>
    <m/>
    <m/>
    <m/>
    <m/>
    <m/>
    <n v="457.65019999999998"/>
    <d v="2023-01-24T00:00:00"/>
    <n v="0"/>
    <n v="0"/>
    <n v="0"/>
    <n v="0"/>
    <n v="0"/>
    <n v="0"/>
    <n v="0"/>
    <x v="0"/>
    <n v="60867.476599999995"/>
    <n v="60867.476599999995"/>
    <n v="0"/>
    <n v="0"/>
    <x v="0"/>
    <x v="19"/>
  </r>
  <r>
    <s v="ORD02653"/>
    <d v="2024-09-27T00:00:00"/>
    <x v="257"/>
    <x v="213"/>
    <n v="89"/>
    <s v="INV02653"/>
    <n v="89"/>
    <n v="872.7808"/>
    <m/>
    <m/>
    <m/>
    <m/>
    <m/>
    <n v="872.7808"/>
    <d v="2023-10-26T00:00:00"/>
    <n v="0"/>
    <n v="0"/>
    <n v="0"/>
    <n v="0"/>
    <n v="0"/>
    <n v="0"/>
    <n v="0"/>
    <x v="0"/>
    <n v="77677.491200000004"/>
    <n v="77677.491200000004"/>
    <n v="0"/>
    <n v="0"/>
    <x v="0"/>
    <x v="2"/>
  </r>
  <r>
    <s v="ORD02654"/>
    <d v="2024-12-11T00:00:00"/>
    <x v="628"/>
    <x v="176"/>
    <n v="45"/>
    <s v="INV02654"/>
    <n v="45"/>
    <n v="79.105599999999995"/>
    <m/>
    <m/>
    <m/>
    <m/>
    <m/>
    <n v="79.105599999999995"/>
    <d v="2023-10-05T00:00:00"/>
    <n v="0"/>
    <n v="0"/>
    <n v="0"/>
    <n v="0"/>
    <n v="0"/>
    <n v="0"/>
    <n v="0"/>
    <x v="0"/>
    <n v="3559.752"/>
    <n v="3559.752"/>
    <n v="0"/>
    <n v="0"/>
    <x v="0"/>
    <x v="1"/>
  </r>
  <r>
    <s v="ORD02655"/>
    <d v="2023-05-28T00:00:00"/>
    <x v="349"/>
    <x v="28"/>
    <n v="155"/>
    <s v="INV02655"/>
    <n v="155"/>
    <n v="957.65700000000015"/>
    <m/>
    <m/>
    <m/>
    <m/>
    <m/>
    <n v="957.65700000000015"/>
    <d v="2023-05-11T00:00:00"/>
    <n v="0"/>
    <n v="0"/>
    <n v="0"/>
    <n v="0"/>
    <n v="0"/>
    <n v="0"/>
    <n v="0"/>
    <x v="0"/>
    <n v="148436.83500000002"/>
    <n v="148436.83500000002"/>
    <n v="0"/>
    <n v="0"/>
    <x v="0"/>
    <x v="7"/>
  </r>
  <r>
    <s v="ORD02656"/>
    <d v="2023-10-09T00:00:00"/>
    <x v="308"/>
    <x v="38"/>
    <n v="170"/>
    <s v="INV02656"/>
    <n v="170"/>
    <n v="454.98379999999997"/>
    <m/>
    <m/>
    <m/>
    <m/>
    <m/>
    <n v="454.98379999999997"/>
    <d v="2023-03-26T00:00:00"/>
    <n v="0"/>
    <n v="0"/>
    <n v="0"/>
    <n v="0"/>
    <n v="0"/>
    <n v="0"/>
    <n v="0"/>
    <x v="0"/>
    <n v="77347.245999999999"/>
    <n v="77347.245999999999"/>
    <n v="0"/>
    <n v="0"/>
    <x v="0"/>
    <x v="19"/>
  </r>
  <r>
    <s v="ORD02657"/>
    <d v="2024-10-20T00:00:00"/>
    <x v="771"/>
    <x v="242"/>
    <n v="95"/>
    <s v="INV02657"/>
    <n v="95"/>
    <n v="1166.4765000000002"/>
    <m/>
    <m/>
    <m/>
    <m/>
    <m/>
    <n v="1166.4765000000002"/>
    <d v="2023-07-07T00:00:00"/>
    <n v="0"/>
    <n v="0"/>
    <n v="0"/>
    <n v="0"/>
    <n v="0"/>
    <n v="0"/>
    <n v="0"/>
    <x v="0"/>
    <n v="110815.26750000002"/>
    <n v="110815.26750000002"/>
    <n v="0"/>
    <n v="0"/>
    <x v="0"/>
    <x v="5"/>
  </r>
  <r>
    <s v="ORD02658"/>
    <d v="2024-09-08T00:00:00"/>
    <x v="524"/>
    <x v="169"/>
    <n v="4"/>
    <s v="INV02658"/>
    <n v="4"/>
    <n v="1153.4984999999999"/>
    <m/>
    <m/>
    <m/>
    <m/>
    <m/>
    <n v="1153.4984999999999"/>
    <d v="2023-02-05T00:00:00"/>
    <n v="0"/>
    <n v="0"/>
    <n v="0"/>
    <n v="0"/>
    <n v="0"/>
    <n v="0"/>
    <n v="0"/>
    <x v="0"/>
    <n v="4613.9939999999997"/>
    <n v="4613.9939999999997"/>
    <n v="0"/>
    <n v="0"/>
    <x v="0"/>
    <x v="2"/>
  </r>
  <r>
    <s v="ORD02659"/>
    <d v="2024-02-15T00:00:00"/>
    <x v="590"/>
    <x v="223"/>
    <n v="104"/>
    <s v="INV02659"/>
    <n v="104"/>
    <n v="919.86659999999995"/>
    <m/>
    <m/>
    <m/>
    <m/>
    <m/>
    <n v="919.86659999999995"/>
    <d v="2023-07-01T00:00:00"/>
    <n v="0"/>
    <n v="0"/>
    <n v="0"/>
    <n v="0"/>
    <n v="0"/>
    <n v="0"/>
    <n v="0"/>
    <x v="0"/>
    <n v="95666.126399999994"/>
    <n v="95666.126399999994"/>
    <n v="0"/>
    <n v="0"/>
    <x v="0"/>
    <x v="3"/>
  </r>
  <r>
    <s v="ORD02660"/>
    <d v="2023-09-18T00:00:00"/>
    <x v="189"/>
    <x v="245"/>
    <n v="23"/>
    <s v="INV02660"/>
    <n v="23"/>
    <n v="908.12130000000002"/>
    <m/>
    <m/>
    <m/>
    <m/>
    <m/>
    <n v="908.12130000000002"/>
    <d v="2023-08-02T00:00:00"/>
    <n v="0"/>
    <n v="0"/>
    <n v="0"/>
    <n v="0"/>
    <n v="0"/>
    <n v="0"/>
    <n v="0"/>
    <x v="0"/>
    <n v="20886.7899"/>
    <n v="20886.7899"/>
    <n v="0"/>
    <n v="0"/>
    <x v="0"/>
    <x v="18"/>
  </r>
  <r>
    <s v="ORD02661"/>
    <d v="2023-12-19T00:00:00"/>
    <x v="478"/>
    <x v="289"/>
    <n v="11"/>
    <s v="INV02661"/>
    <n v="11"/>
    <n v="380.30540000000002"/>
    <m/>
    <m/>
    <m/>
    <m/>
    <m/>
    <n v="380.30540000000002"/>
    <d v="2023-10-13T00:00:00"/>
    <n v="0"/>
    <n v="0"/>
    <n v="0"/>
    <n v="0"/>
    <n v="0"/>
    <n v="0"/>
    <n v="0"/>
    <x v="0"/>
    <n v="4183.3594000000003"/>
    <n v="4183.3594000000003"/>
    <n v="0"/>
    <n v="0"/>
    <x v="0"/>
    <x v="20"/>
  </r>
  <r>
    <s v="ORD02662"/>
    <d v="2024-03-26T00:00:00"/>
    <x v="262"/>
    <x v="171"/>
    <n v="82"/>
    <s v="INV02662"/>
    <n v="82"/>
    <n v="115.0735"/>
    <m/>
    <m/>
    <m/>
    <m/>
    <m/>
    <n v="115.0735"/>
    <d v="2023-10-28T00:00:00"/>
    <n v="0"/>
    <n v="0"/>
    <n v="0"/>
    <n v="0"/>
    <n v="0"/>
    <n v="0"/>
    <n v="0"/>
    <x v="0"/>
    <n v="9436.027"/>
    <n v="9436.027"/>
    <n v="0"/>
    <n v="0"/>
    <x v="0"/>
    <x v="6"/>
  </r>
  <r>
    <s v="ORD02663"/>
    <d v="2024-03-26T00:00:00"/>
    <x v="36"/>
    <x v="226"/>
    <n v="32"/>
    <s v="INV02663"/>
    <n v="32"/>
    <n v="1067.6925000000001"/>
    <m/>
    <m/>
    <m/>
    <m/>
    <m/>
    <n v="1067.6925000000001"/>
    <d v="2023-03-14T00:00:00"/>
    <n v="0"/>
    <n v="0"/>
    <n v="0"/>
    <n v="0"/>
    <n v="0"/>
    <n v="0"/>
    <n v="0"/>
    <x v="0"/>
    <n v="34166.160000000003"/>
    <n v="34166.160000000003"/>
    <n v="0"/>
    <n v="0"/>
    <x v="0"/>
    <x v="6"/>
  </r>
  <r>
    <s v="ORD02664"/>
    <d v="2024-08-25T00:00:00"/>
    <x v="496"/>
    <x v="72"/>
    <n v="150"/>
    <s v="INV02664"/>
    <n v="150"/>
    <n v="791.35360000000003"/>
    <n v="4"/>
    <d v="2023-11-12T00:00:00"/>
    <m/>
    <m/>
    <m/>
    <n v="791.35360000000003"/>
    <d v="2023-06-20T00:00:00"/>
    <n v="0"/>
    <n v="0"/>
    <n v="0"/>
    <n v="0"/>
    <n v="0"/>
    <n v="0"/>
    <n v="0"/>
    <x v="0"/>
    <n v="118703.04000000001"/>
    <n v="118703.04000000001"/>
    <n v="0"/>
    <n v="0"/>
    <x v="0"/>
    <x v="22"/>
  </r>
  <r>
    <s v="ORD02665"/>
    <d v="2023-01-30T00:00:00"/>
    <x v="35"/>
    <x v="217"/>
    <n v="148"/>
    <s v="INV02665"/>
    <n v="151"/>
    <n v="175.49"/>
    <m/>
    <m/>
    <m/>
    <m/>
    <m/>
    <n v="175.49"/>
    <d v="2022-07-18T00:00:00"/>
    <n v="0"/>
    <n v="1"/>
    <n v="0"/>
    <n v="0"/>
    <n v="0"/>
    <n v="0"/>
    <n v="0"/>
    <x v="1"/>
    <n v="26498.99"/>
    <n v="25972.52"/>
    <n v="526.47000000000116"/>
    <n v="8"/>
    <x v="2"/>
    <x v="8"/>
  </r>
  <r>
    <s v="ORD02666"/>
    <d v="2023-03-17T00:00:00"/>
    <x v="500"/>
    <x v="273"/>
    <n v="200"/>
    <s v="INV02666"/>
    <n v="200"/>
    <n v="1224.4680000000001"/>
    <m/>
    <m/>
    <m/>
    <m/>
    <m/>
    <n v="1224.4680000000001"/>
    <d v="2022-09-01T00:00:00"/>
    <n v="0"/>
    <n v="0"/>
    <n v="0"/>
    <n v="0"/>
    <n v="0"/>
    <n v="0"/>
    <n v="0"/>
    <x v="0"/>
    <n v="244893.6"/>
    <n v="244893.6"/>
    <n v="0"/>
    <n v="0"/>
    <x v="0"/>
    <x v="17"/>
  </r>
  <r>
    <s v="ORD02667"/>
    <d v="2023-01-20T00:00:00"/>
    <x v="687"/>
    <x v="248"/>
    <n v="190"/>
    <s v="INV02667"/>
    <n v="190"/>
    <n v="224.72319999999999"/>
    <m/>
    <m/>
    <m/>
    <m/>
    <m/>
    <n v="224.72319999999999"/>
    <d v="2022-09-01T00:00:00"/>
    <n v="0"/>
    <n v="0"/>
    <n v="0"/>
    <n v="0"/>
    <n v="0"/>
    <n v="0"/>
    <n v="0"/>
    <x v="0"/>
    <n v="42697.407999999996"/>
    <n v="42697.407999999996"/>
    <n v="0"/>
    <n v="0"/>
    <x v="0"/>
    <x v="8"/>
  </r>
  <r>
    <s v="ORD02668"/>
    <d v="2024-11-03T00:00:00"/>
    <x v="648"/>
    <x v="185"/>
    <n v="113"/>
    <s v="INV02668"/>
    <n v="113"/>
    <n v="435.57279999999997"/>
    <m/>
    <m/>
    <m/>
    <m/>
    <m/>
    <n v="435.57279999999997"/>
    <d v="2023-08-21T00:00:00"/>
    <n v="0"/>
    <n v="0"/>
    <n v="0"/>
    <n v="0"/>
    <n v="0"/>
    <n v="0"/>
    <n v="0"/>
    <x v="0"/>
    <n v="49219.7264"/>
    <n v="49219.7264"/>
    <n v="0"/>
    <n v="0"/>
    <x v="0"/>
    <x v="4"/>
  </r>
  <r>
    <s v="ORD02669"/>
    <d v="2024-11-15T00:00:00"/>
    <x v="307"/>
    <x v="283"/>
    <n v="2"/>
    <s v="INV02669"/>
    <n v="2"/>
    <n v="110.9413"/>
    <m/>
    <m/>
    <m/>
    <m/>
    <m/>
    <n v="110.9413"/>
    <d v="2023-08-15T00:00:00"/>
    <n v="0"/>
    <n v="0"/>
    <n v="0"/>
    <n v="0"/>
    <n v="0"/>
    <n v="0"/>
    <n v="0"/>
    <x v="0"/>
    <n v="221.8826"/>
    <n v="221.8826"/>
    <n v="0"/>
    <n v="0"/>
    <x v="0"/>
    <x v="4"/>
  </r>
  <r>
    <s v="ORD02670"/>
    <d v="2024-04-04T00:00:00"/>
    <x v="95"/>
    <x v="283"/>
    <n v="80"/>
    <s v="INV02670"/>
    <n v="80"/>
    <n v="110.9413"/>
    <m/>
    <m/>
    <m/>
    <m/>
    <m/>
    <n v="110.9413"/>
    <d v="2023-08-15T00:00:00"/>
    <n v="0"/>
    <n v="0"/>
    <n v="0"/>
    <n v="0"/>
    <n v="0"/>
    <n v="0"/>
    <n v="0"/>
    <x v="0"/>
    <n v="8875.3040000000001"/>
    <n v="8875.3040000000001"/>
    <n v="0"/>
    <n v="0"/>
    <x v="0"/>
    <x v="9"/>
  </r>
  <r>
    <s v="ORD02671"/>
    <d v="2024-11-12T00:00:00"/>
    <x v="772"/>
    <x v="246"/>
    <n v="147"/>
    <s v="INV02671"/>
    <n v="147"/>
    <n v="491.10239999999999"/>
    <m/>
    <m/>
    <m/>
    <m/>
    <m/>
    <n v="491.10239999999999"/>
    <d v="2023-09-18T00:00:00"/>
    <n v="0"/>
    <n v="0"/>
    <n v="0"/>
    <n v="0"/>
    <n v="0"/>
    <n v="0"/>
    <n v="0"/>
    <x v="0"/>
    <n v="72192.052800000005"/>
    <n v="72192.052800000005"/>
    <n v="0"/>
    <n v="0"/>
    <x v="0"/>
    <x v="4"/>
  </r>
  <r>
    <s v="ORD02672"/>
    <d v="2024-07-10T00:00:00"/>
    <x v="63"/>
    <x v="156"/>
    <n v="21"/>
    <s v="INV02672"/>
    <n v="21"/>
    <n v="376.38049999999998"/>
    <m/>
    <m/>
    <m/>
    <m/>
    <m/>
    <n v="376.38049999999998"/>
    <d v="2023-02-27T00:00:00"/>
    <n v="0"/>
    <n v="0"/>
    <n v="0"/>
    <n v="0"/>
    <n v="0"/>
    <n v="0"/>
    <n v="0"/>
    <x v="0"/>
    <n v="7903.9904999999999"/>
    <n v="7903.9904999999999"/>
    <n v="0"/>
    <n v="0"/>
    <x v="0"/>
    <x v="21"/>
  </r>
  <r>
    <s v="ORD02673"/>
    <d v="2024-10-01T00:00:00"/>
    <x v="530"/>
    <x v="260"/>
    <n v="160"/>
    <s v="INV02673"/>
    <n v="160"/>
    <n v="990.72749999999996"/>
    <m/>
    <m/>
    <m/>
    <m/>
    <m/>
    <n v="990.72749999999996"/>
    <d v="2023-05-22T00:00:00"/>
    <n v="0"/>
    <n v="0"/>
    <n v="0"/>
    <n v="0"/>
    <n v="0"/>
    <n v="0"/>
    <n v="0"/>
    <x v="0"/>
    <n v="158516.4"/>
    <n v="158516.4"/>
    <n v="0"/>
    <n v="0"/>
    <x v="0"/>
    <x v="5"/>
  </r>
  <r>
    <s v="ORD02674"/>
    <d v="2023-10-09T00:00:00"/>
    <x v="386"/>
    <x v="232"/>
    <n v="178"/>
    <s v="INV02674"/>
    <n v="178"/>
    <n v="1065.7722000000001"/>
    <m/>
    <m/>
    <m/>
    <m/>
    <m/>
    <n v="1065.7722000000001"/>
    <d v="2023-01-10T00:00:00"/>
    <n v="0"/>
    <n v="0"/>
    <n v="0"/>
    <n v="0"/>
    <n v="0"/>
    <n v="0"/>
    <n v="0"/>
    <x v="0"/>
    <n v="189707.45160000003"/>
    <n v="189707.45160000003"/>
    <n v="0"/>
    <n v="0"/>
    <x v="0"/>
    <x v="19"/>
  </r>
  <r>
    <s v="ORD02675"/>
    <d v="2024-05-28T00:00:00"/>
    <x v="139"/>
    <x v="255"/>
    <n v="62"/>
    <s v="INV02675"/>
    <n v="62"/>
    <n v="1178.6880000000001"/>
    <m/>
    <m/>
    <m/>
    <m/>
    <m/>
    <n v="1178.6880000000001"/>
    <d v="2023-01-04T00:00:00"/>
    <n v="0"/>
    <n v="0"/>
    <n v="0"/>
    <n v="0"/>
    <n v="0"/>
    <n v="0"/>
    <n v="0"/>
    <x v="0"/>
    <n v="73078.656000000003"/>
    <n v="73078.656000000003"/>
    <n v="0"/>
    <n v="0"/>
    <x v="0"/>
    <x v="13"/>
  </r>
  <r>
    <s v="ORD02676"/>
    <d v="2023-03-05T00:00:00"/>
    <x v="622"/>
    <x v="292"/>
    <n v="109"/>
    <s v="INV02676"/>
    <n v="109"/>
    <n v="842.16577330462701"/>
    <m/>
    <m/>
    <m/>
    <m/>
    <m/>
    <n v="842.11199999999997"/>
    <d v="2023-01-05T00:00:00"/>
    <n v="0"/>
    <n v="0"/>
    <n v="1"/>
    <n v="0"/>
    <n v="0"/>
    <n v="0"/>
    <n v="0"/>
    <x v="1"/>
    <n v="91796.069290204337"/>
    <n v="91790.207999999999"/>
    <n v="5.8612902043387294"/>
    <n v="4"/>
    <x v="1"/>
    <x v="17"/>
  </r>
  <r>
    <s v="ORD02677"/>
    <d v="2023-06-11T00:00:00"/>
    <x v="731"/>
    <x v="134"/>
    <n v="95"/>
    <s v="INV02677"/>
    <n v="95"/>
    <n v="410.02"/>
    <m/>
    <m/>
    <m/>
    <m/>
    <m/>
    <n v="410.02"/>
    <d v="2023-04-01T00:00:00"/>
    <n v="0"/>
    <n v="0"/>
    <n v="0"/>
    <n v="0"/>
    <n v="0"/>
    <n v="0"/>
    <n v="0"/>
    <x v="0"/>
    <n v="38951.9"/>
    <n v="38951.9"/>
    <n v="0"/>
    <n v="0"/>
    <x v="0"/>
    <x v="14"/>
  </r>
  <r>
    <s v="ORD02678"/>
    <d v="2023-06-30T00:00:00"/>
    <x v="711"/>
    <x v="111"/>
    <n v="151"/>
    <s v="INV02678"/>
    <n v="151"/>
    <n v="147.17669999999998"/>
    <m/>
    <m/>
    <m/>
    <m/>
    <m/>
    <n v="147.17669999999998"/>
    <d v="2023-04-23T00:00:00"/>
    <n v="0"/>
    <n v="0"/>
    <n v="0"/>
    <n v="0"/>
    <n v="0"/>
    <n v="0"/>
    <n v="0"/>
    <x v="0"/>
    <n v="22223.681699999997"/>
    <n v="22223.681699999997"/>
    <n v="0"/>
    <n v="0"/>
    <x v="0"/>
    <x v="14"/>
  </r>
  <r>
    <s v="ORD02679"/>
    <d v="2024-06-13T00:00:00"/>
    <x v="580"/>
    <x v="166"/>
    <n v="91"/>
    <s v="INV02679"/>
    <n v="91"/>
    <n v="156.69084170120502"/>
    <m/>
    <m/>
    <m/>
    <m/>
    <m/>
    <n v="156.37459999999999"/>
    <d v="2023-06-13T00:00:00"/>
    <n v="0"/>
    <n v="0"/>
    <n v="1"/>
    <n v="0"/>
    <n v="0"/>
    <n v="0"/>
    <n v="0"/>
    <x v="1"/>
    <n v="14258.866594809657"/>
    <n v="14230.088599999999"/>
    <n v="28.777994809657685"/>
    <n v="4"/>
    <x v="1"/>
    <x v="16"/>
  </r>
  <r>
    <s v="ORD02680"/>
    <d v="2023-09-10T00:00:00"/>
    <x v="394"/>
    <x v="193"/>
    <n v="163"/>
    <s v="INV02680"/>
    <n v="163"/>
    <n v="1030.7952"/>
    <m/>
    <m/>
    <m/>
    <m/>
    <m/>
    <n v="1030.7952"/>
    <d v="2023-08-16T00:00:00"/>
    <n v="0"/>
    <n v="0"/>
    <n v="0"/>
    <n v="0"/>
    <n v="0"/>
    <n v="0"/>
    <n v="0"/>
    <x v="0"/>
    <n v="168019.6176"/>
    <n v="168019.6176"/>
    <n v="0"/>
    <n v="0"/>
    <x v="0"/>
    <x v="18"/>
  </r>
  <r>
    <s v="ORD02681"/>
    <d v="2024-03-30T00:00:00"/>
    <x v="48"/>
    <x v="131"/>
    <n v="85"/>
    <s v="INV02681"/>
    <n v="85"/>
    <n v="741.88620000000003"/>
    <m/>
    <m/>
    <m/>
    <m/>
    <m/>
    <n v="741.88620000000003"/>
    <d v="2023-01-04T00:00:00"/>
    <n v="0"/>
    <n v="0"/>
    <n v="0"/>
    <n v="0"/>
    <n v="0"/>
    <n v="0"/>
    <n v="0"/>
    <x v="0"/>
    <n v="63060.327000000005"/>
    <n v="63060.327000000005"/>
    <n v="0"/>
    <n v="0"/>
    <x v="0"/>
    <x v="6"/>
  </r>
  <r>
    <s v="ORD02682"/>
    <d v="2024-01-10T00:00:00"/>
    <x v="467"/>
    <x v="220"/>
    <n v="194"/>
    <s v="INV02682"/>
    <n v="194"/>
    <n v="1149.8634"/>
    <m/>
    <m/>
    <m/>
    <m/>
    <m/>
    <n v="1149.8634"/>
    <d v="2023-07-28T00:00:00"/>
    <n v="0"/>
    <n v="0"/>
    <n v="0"/>
    <n v="0"/>
    <n v="0"/>
    <n v="0"/>
    <n v="0"/>
    <x v="0"/>
    <n v="223073.49959999998"/>
    <n v="223073.49959999998"/>
    <n v="0"/>
    <n v="0"/>
    <x v="0"/>
    <x v="15"/>
  </r>
  <r>
    <s v="ORD02683"/>
    <d v="2024-01-19T00:00:00"/>
    <x v="693"/>
    <x v="57"/>
    <n v="48"/>
    <s v="INV02683"/>
    <n v="48"/>
    <n v="517.39100000000008"/>
    <m/>
    <m/>
    <m/>
    <m/>
    <m/>
    <n v="517.39100000000008"/>
    <d v="2023-04-29T00:00:00"/>
    <n v="0"/>
    <n v="0"/>
    <n v="0"/>
    <n v="0"/>
    <n v="0"/>
    <n v="0"/>
    <n v="0"/>
    <x v="0"/>
    <n v="24834.768000000004"/>
    <n v="24834.768000000004"/>
    <n v="0"/>
    <n v="0"/>
    <x v="0"/>
    <x v="15"/>
  </r>
  <r>
    <s v="ORD02684"/>
    <d v="2023-04-09T00:00:00"/>
    <x v="651"/>
    <x v="103"/>
    <n v="124"/>
    <s v="INV02684"/>
    <n v="124"/>
    <n v="770.54579999999999"/>
    <m/>
    <m/>
    <m/>
    <m/>
    <m/>
    <n v="770.54579999999999"/>
    <d v="2022-11-04T00:00:00"/>
    <n v="0"/>
    <n v="0"/>
    <n v="0"/>
    <n v="0"/>
    <n v="0"/>
    <n v="0"/>
    <n v="0"/>
    <x v="0"/>
    <n v="95547.679199999999"/>
    <n v="95547.679199999999"/>
    <n v="0"/>
    <n v="0"/>
    <x v="0"/>
    <x v="23"/>
  </r>
  <r>
    <s v="ORD02685"/>
    <d v="2024-04-13T00:00:00"/>
    <x v="647"/>
    <x v="298"/>
    <n v="199"/>
    <s v="INV02685"/>
    <n v="199"/>
    <n v="750.70520000000022"/>
    <m/>
    <m/>
    <m/>
    <m/>
    <m/>
    <n v="750.70520000000022"/>
    <d v="2023-10-27T00:00:00"/>
    <n v="0"/>
    <n v="0"/>
    <n v="0"/>
    <n v="0"/>
    <n v="0"/>
    <n v="0"/>
    <n v="0"/>
    <x v="0"/>
    <n v="149390.33480000004"/>
    <n v="149390.33480000004"/>
    <n v="0"/>
    <n v="0"/>
    <x v="0"/>
    <x v="9"/>
  </r>
  <r>
    <s v="ORD02686"/>
    <d v="2024-01-15T00:00:00"/>
    <x v="441"/>
    <x v="78"/>
    <n v="171"/>
    <s v="INV02686"/>
    <n v="171"/>
    <n v="372.85379999999998"/>
    <m/>
    <m/>
    <m/>
    <m/>
    <m/>
    <n v="372.85379999999998"/>
    <d v="2023-09-06T00:00:00"/>
    <n v="0"/>
    <n v="0"/>
    <n v="0"/>
    <n v="0"/>
    <n v="0"/>
    <n v="0"/>
    <n v="0"/>
    <x v="0"/>
    <n v="63757.999799999998"/>
    <n v="63757.999799999998"/>
    <n v="0"/>
    <n v="0"/>
    <x v="0"/>
    <x v="15"/>
  </r>
  <r>
    <s v="ORD02687"/>
    <d v="2024-02-24T00:00:00"/>
    <x v="35"/>
    <x v="145"/>
    <n v="117"/>
    <s v="INV02687"/>
    <n v="126"/>
    <n v="185.5224"/>
    <m/>
    <m/>
    <m/>
    <m/>
    <m/>
    <n v="185.5224"/>
    <d v="2023-05-17T00:00:00"/>
    <n v="0"/>
    <n v="1"/>
    <n v="0"/>
    <n v="0"/>
    <n v="0"/>
    <n v="0"/>
    <n v="0"/>
    <x v="1"/>
    <n v="23375.822400000001"/>
    <n v="21706.120800000001"/>
    <n v="1669.7016000000003"/>
    <n v="8"/>
    <x v="2"/>
    <x v="3"/>
  </r>
  <r>
    <s v="ORD02688"/>
    <d v="2024-06-17T00:00:00"/>
    <x v="582"/>
    <x v="148"/>
    <n v="125"/>
    <s v="INV02688"/>
    <n v="125"/>
    <n v="815.08680000000004"/>
    <m/>
    <m/>
    <m/>
    <m/>
    <m/>
    <n v="815.08680000000004"/>
    <d v="2023-05-16T00:00:00"/>
    <n v="0"/>
    <n v="0"/>
    <n v="0"/>
    <n v="0"/>
    <n v="0"/>
    <n v="0"/>
    <n v="0"/>
    <x v="0"/>
    <n v="101885.85"/>
    <n v="101885.85"/>
    <n v="0"/>
    <n v="0"/>
    <x v="0"/>
    <x v="16"/>
  </r>
  <r>
    <s v="ORD02689"/>
    <d v="2023-08-27T00:00:00"/>
    <x v="169"/>
    <x v="154"/>
    <n v="62"/>
    <s v="INV02689"/>
    <n v="62"/>
    <n v="744.98490000000004"/>
    <m/>
    <m/>
    <m/>
    <m/>
    <m/>
    <n v="744.98490000000004"/>
    <d v="2023-07-31T00:00:00"/>
    <n v="0"/>
    <n v="0"/>
    <n v="0"/>
    <n v="0"/>
    <n v="0"/>
    <n v="0"/>
    <n v="0"/>
    <x v="0"/>
    <n v="46189.063800000004"/>
    <n v="46189.063800000004"/>
    <n v="0"/>
    <n v="0"/>
    <x v="0"/>
    <x v="12"/>
  </r>
  <r>
    <s v="ORD02690"/>
    <d v="2023-09-09T00:00:00"/>
    <x v="730"/>
    <x v="38"/>
    <n v="3"/>
    <s v="INV02690"/>
    <n v="3"/>
    <n v="454.98379999999997"/>
    <m/>
    <m/>
    <m/>
    <m/>
    <m/>
    <n v="454.98379999999997"/>
    <d v="2023-03-26T00:00:00"/>
    <n v="0"/>
    <n v="0"/>
    <n v="0"/>
    <n v="0"/>
    <n v="0"/>
    <n v="0"/>
    <n v="0"/>
    <x v="0"/>
    <n v="1364.9513999999999"/>
    <n v="1364.9513999999999"/>
    <n v="0"/>
    <n v="0"/>
    <x v="0"/>
    <x v="18"/>
  </r>
  <r>
    <s v="ORD02691"/>
    <d v="2024-02-27T00:00:00"/>
    <x v="722"/>
    <x v="129"/>
    <n v="63"/>
    <s v="INV02691"/>
    <n v="63"/>
    <n v="664.8768"/>
    <m/>
    <m/>
    <m/>
    <m/>
    <m/>
    <n v="664.8768"/>
    <d v="2023-07-09T00:00:00"/>
    <n v="0"/>
    <n v="0"/>
    <n v="0"/>
    <n v="0"/>
    <n v="0"/>
    <n v="0"/>
    <n v="0"/>
    <x v="0"/>
    <n v="41887.238400000002"/>
    <n v="41887.238400000002"/>
    <n v="0"/>
    <n v="0"/>
    <x v="0"/>
    <x v="3"/>
  </r>
  <r>
    <s v="ORD02692"/>
    <d v="2023-07-10T00:00:00"/>
    <x v="116"/>
    <x v="190"/>
    <n v="47"/>
    <s v="INV02692"/>
    <n v="47"/>
    <n v="892.55520000000013"/>
    <n v="9"/>
    <d v="2024-12-03T00:00:00"/>
    <m/>
    <m/>
    <m/>
    <n v="892.55520000000013"/>
    <d v="2023-02-28T00:00:00"/>
    <n v="0"/>
    <n v="0"/>
    <n v="0"/>
    <n v="0"/>
    <n v="0"/>
    <n v="1"/>
    <n v="0"/>
    <x v="1"/>
    <n v="41950.094400000009"/>
    <n v="41950.094400000009"/>
    <n v="0"/>
    <n v="2"/>
    <x v="1"/>
    <x v="10"/>
  </r>
  <r>
    <s v="ORD02693"/>
    <d v="2024-11-20T00:00:00"/>
    <x v="567"/>
    <x v="217"/>
    <n v="158"/>
    <s v="INV02693"/>
    <n v="158"/>
    <n v="189.52920000000003"/>
    <m/>
    <m/>
    <m/>
    <m/>
    <m/>
    <n v="189.52920000000003"/>
    <d v="2023-05-24T00:00:00"/>
    <n v="0"/>
    <n v="0"/>
    <n v="0"/>
    <n v="0"/>
    <n v="0"/>
    <n v="0"/>
    <n v="0"/>
    <x v="0"/>
    <n v="29945.613600000004"/>
    <n v="29945.613600000004"/>
    <n v="0"/>
    <n v="0"/>
    <x v="0"/>
    <x v="4"/>
  </r>
  <r>
    <s v="ORD02694"/>
    <d v="2024-04-30T00:00:00"/>
    <x v="56"/>
    <x v="26"/>
    <n v="193"/>
    <s v="INV02694"/>
    <n v="198"/>
    <n v="129.17519999999999"/>
    <m/>
    <m/>
    <m/>
    <m/>
    <m/>
    <n v="129.17519999999999"/>
    <d v="2023-09-15T00:00:00"/>
    <n v="0"/>
    <n v="1"/>
    <n v="0"/>
    <n v="0"/>
    <n v="0"/>
    <n v="0"/>
    <n v="0"/>
    <x v="1"/>
    <n v="25576.689599999998"/>
    <n v="24930.813599999998"/>
    <n v="645.8760000000002"/>
    <n v="8"/>
    <x v="2"/>
    <x v="9"/>
  </r>
  <r>
    <s v="ORD02695"/>
    <d v="2023-06-20T00:00:00"/>
    <x v="759"/>
    <x v="204"/>
    <n v="130"/>
    <s v="INV02695"/>
    <n v="130"/>
    <n v="940.1952"/>
    <m/>
    <m/>
    <m/>
    <m/>
    <m/>
    <n v="940.1952"/>
    <d v="2023-05-12T00:00:00"/>
    <n v="0"/>
    <n v="0"/>
    <n v="0"/>
    <n v="0"/>
    <n v="0"/>
    <n v="0"/>
    <n v="0"/>
    <x v="0"/>
    <n v="122225.376"/>
    <n v="122225.376"/>
    <n v="0"/>
    <n v="0"/>
    <x v="0"/>
    <x v="14"/>
  </r>
  <r>
    <s v="ORD02696"/>
    <d v="2024-03-18T00:00:00"/>
    <x v="386"/>
    <x v="29"/>
    <n v="43"/>
    <s v="INV02696"/>
    <n v="43"/>
    <n v="1103.0465999999999"/>
    <m/>
    <m/>
    <m/>
    <m/>
    <m/>
    <n v="1103.0465999999999"/>
    <d v="2023-10-15T00:00:00"/>
    <n v="0"/>
    <n v="0"/>
    <n v="0"/>
    <n v="0"/>
    <n v="0"/>
    <n v="0"/>
    <n v="0"/>
    <x v="0"/>
    <n v="47431.003799999999"/>
    <n v="47431.003799999999"/>
    <n v="0"/>
    <n v="0"/>
    <x v="0"/>
    <x v="6"/>
  </r>
  <r>
    <s v="ORD02697"/>
    <d v="2023-09-25T00:00:00"/>
    <x v="725"/>
    <x v="41"/>
    <n v="14"/>
    <s v="INV02697"/>
    <n v="14"/>
    <n v="1211.7708"/>
    <n v="14"/>
    <d v="2023-08-25T00:00:00"/>
    <m/>
    <m/>
    <m/>
    <n v="1211.7708"/>
    <d v="2023-09-24T00:00:00"/>
    <n v="0"/>
    <n v="0"/>
    <n v="0"/>
    <n v="0"/>
    <n v="0"/>
    <n v="0"/>
    <n v="0"/>
    <x v="0"/>
    <n v="16964.7912"/>
    <n v="16964.7912"/>
    <n v="0"/>
    <n v="0"/>
    <x v="0"/>
    <x v="18"/>
  </r>
  <r>
    <s v="ORD02698"/>
    <d v="2023-04-06T00:00:00"/>
    <x v="437"/>
    <x v="283"/>
    <n v="6"/>
    <s v="INV02698"/>
    <n v="6"/>
    <n v="112.0184"/>
    <n v="11"/>
    <d v="2023-02-07T00:00:00"/>
    <m/>
    <m/>
    <m/>
    <n v="112.0184"/>
    <d v="2022-12-10T00:00:00"/>
    <n v="0"/>
    <n v="0"/>
    <n v="0"/>
    <n v="0"/>
    <n v="0"/>
    <n v="0"/>
    <n v="1"/>
    <x v="1"/>
    <n v="672.11040000000003"/>
    <n v="672.11040000000003"/>
    <n v="0"/>
    <n v="3"/>
    <x v="1"/>
    <x v="23"/>
  </r>
  <r>
    <s v="ORD02699"/>
    <d v="2024-05-25T00:00:00"/>
    <x v="464"/>
    <x v="30"/>
    <n v="49"/>
    <s v="INV02699"/>
    <n v="49"/>
    <n v="360.68479999999994"/>
    <m/>
    <m/>
    <m/>
    <m/>
    <m/>
    <n v="360.68479999999994"/>
    <d v="2023-05-26T00:00:00"/>
    <n v="0"/>
    <n v="0"/>
    <n v="0"/>
    <n v="0"/>
    <n v="0"/>
    <n v="0"/>
    <n v="0"/>
    <x v="0"/>
    <n v="17673.555199999995"/>
    <n v="17673.555199999995"/>
    <n v="0"/>
    <n v="0"/>
    <x v="0"/>
    <x v="13"/>
  </r>
  <r>
    <s v="ORD02700"/>
    <d v="2023-05-15T00:00:00"/>
    <x v="754"/>
    <x v="205"/>
    <n v="186"/>
    <s v="INV02700"/>
    <n v="186"/>
    <n v="78.918600000000012"/>
    <m/>
    <m/>
    <m/>
    <m/>
    <m/>
    <n v="78.918600000000012"/>
    <d v="2023-05-12T00:00:00"/>
    <n v="0"/>
    <n v="0"/>
    <n v="0"/>
    <n v="0"/>
    <n v="0"/>
    <n v="0"/>
    <n v="0"/>
    <x v="0"/>
    <n v="14678.859600000002"/>
    <n v="14678.859600000002"/>
    <n v="0"/>
    <n v="0"/>
    <x v="0"/>
    <x v="7"/>
  </r>
  <r>
    <s v="ORD02701"/>
    <d v="2024-08-09T00:00:00"/>
    <x v="105"/>
    <x v="58"/>
    <n v="27"/>
    <s v="INV02701"/>
    <n v="27"/>
    <n v="601.32929999999999"/>
    <m/>
    <m/>
    <m/>
    <m/>
    <m/>
    <n v="601.32929999999999"/>
    <d v="2023-02-05T00:00:00"/>
    <n v="0"/>
    <n v="0"/>
    <n v="0"/>
    <n v="0"/>
    <n v="0"/>
    <n v="0"/>
    <n v="0"/>
    <x v="0"/>
    <n v="16235.891099999999"/>
    <n v="16235.891099999999"/>
    <n v="0"/>
    <n v="0"/>
    <x v="0"/>
    <x v="22"/>
  </r>
  <r>
    <s v="ORD02702"/>
    <d v="2024-12-07T00:00:00"/>
    <x v="222"/>
    <x v="180"/>
    <n v="56"/>
    <s v="INV02702"/>
    <n v="56"/>
    <n v="977.22280000000001"/>
    <m/>
    <m/>
    <m/>
    <m/>
    <m/>
    <n v="977.22280000000001"/>
    <d v="2023-02-27T00:00:00"/>
    <n v="0"/>
    <n v="0"/>
    <n v="0"/>
    <n v="0"/>
    <n v="0"/>
    <n v="0"/>
    <n v="0"/>
    <x v="0"/>
    <n v="54724.476800000004"/>
    <n v="54724.476800000004"/>
    <n v="0"/>
    <n v="0"/>
    <x v="0"/>
    <x v="1"/>
  </r>
  <r>
    <s v="ORD02703"/>
    <d v="2023-11-09T00:00:00"/>
    <x v="671"/>
    <x v="97"/>
    <n v="171"/>
    <s v="INV02703"/>
    <n v="171"/>
    <n v="664.57040000000006"/>
    <m/>
    <m/>
    <m/>
    <m/>
    <m/>
    <n v="664.57040000000006"/>
    <d v="2023-05-20T00:00:00"/>
    <n v="0"/>
    <n v="0"/>
    <n v="0"/>
    <n v="0"/>
    <n v="0"/>
    <n v="0"/>
    <n v="0"/>
    <x v="0"/>
    <n v="113641.5384"/>
    <n v="113641.5384"/>
    <n v="0"/>
    <n v="0"/>
    <x v="0"/>
    <x v="0"/>
  </r>
  <r>
    <s v="ORD02704"/>
    <d v="2023-09-06T00:00:00"/>
    <x v="773"/>
    <x v="51"/>
    <n v="60"/>
    <s v="INV02704"/>
    <n v="60"/>
    <n v="574.3415"/>
    <m/>
    <m/>
    <m/>
    <m/>
    <m/>
    <n v="574.3415"/>
    <d v="2022-09-02T00:00:00"/>
    <n v="0"/>
    <n v="0"/>
    <n v="0"/>
    <n v="0"/>
    <n v="0"/>
    <n v="0"/>
    <n v="0"/>
    <x v="0"/>
    <n v="34460.49"/>
    <n v="34460.49"/>
    <n v="0"/>
    <n v="0"/>
    <x v="0"/>
    <x v="18"/>
  </r>
  <r>
    <s v="ORD02705"/>
    <d v="2024-12-06T00:00:00"/>
    <x v="439"/>
    <x v="181"/>
    <n v="66"/>
    <s v="INV02705"/>
    <n v="66"/>
    <n v="796.53"/>
    <m/>
    <m/>
    <m/>
    <m/>
    <m/>
    <n v="796.53"/>
    <d v="2023-09-03T00:00:00"/>
    <n v="0"/>
    <n v="0"/>
    <n v="0"/>
    <n v="0"/>
    <n v="0"/>
    <n v="0"/>
    <n v="0"/>
    <x v="0"/>
    <n v="52570.979999999996"/>
    <n v="52570.979999999996"/>
    <n v="0"/>
    <n v="0"/>
    <x v="0"/>
    <x v="1"/>
  </r>
  <r>
    <s v="ORD02706"/>
    <d v="2024-11-24T00:00:00"/>
    <x v="430"/>
    <x v="133"/>
    <n v="101"/>
    <s v="INV02706"/>
    <n v="101"/>
    <n v="1220.5917999999999"/>
    <m/>
    <m/>
    <m/>
    <m/>
    <m/>
    <n v="1220.5917999999999"/>
    <d v="2023-08-15T00:00:00"/>
    <n v="0"/>
    <n v="0"/>
    <n v="0"/>
    <n v="0"/>
    <n v="0"/>
    <n v="0"/>
    <n v="0"/>
    <x v="0"/>
    <n v="123279.77179999999"/>
    <n v="123279.77179999999"/>
    <n v="0"/>
    <n v="0"/>
    <x v="0"/>
    <x v="4"/>
  </r>
  <r>
    <s v="ORD02707"/>
    <d v="2023-10-26T00:00:00"/>
    <x v="404"/>
    <x v="105"/>
    <n v="55"/>
    <s v="INV02707"/>
    <n v="55"/>
    <n v="1085.8974999999998"/>
    <m/>
    <m/>
    <m/>
    <m/>
    <m/>
    <n v="1085.8974999999998"/>
    <d v="2023-08-09T00:00:00"/>
    <n v="0"/>
    <n v="0"/>
    <n v="0"/>
    <n v="0"/>
    <n v="0"/>
    <n v="0"/>
    <n v="0"/>
    <x v="0"/>
    <n v="59724.362499999988"/>
    <n v="59724.362499999988"/>
    <n v="0"/>
    <n v="0"/>
    <x v="0"/>
    <x v="19"/>
  </r>
  <r>
    <s v="ORD02708"/>
    <d v="2023-12-12T00:00:00"/>
    <x v="489"/>
    <x v="284"/>
    <n v="114"/>
    <s v="INV02708"/>
    <n v="114"/>
    <n v="1032.7408"/>
    <m/>
    <m/>
    <m/>
    <m/>
    <m/>
    <n v="1032.7408"/>
    <d v="2023-05-31T00:00:00"/>
    <n v="0"/>
    <n v="0"/>
    <n v="0"/>
    <n v="0"/>
    <n v="0"/>
    <n v="0"/>
    <n v="0"/>
    <x v="0"/>
    <n v="117732.45120000001"/>
    <n v="117732.45120000001"/>
    <n v="0"/>
    <n v="0"/>
    <x v="0"/>
    <x v="20"/>
  </r>
  <r>
    <s v="ORD02709"/>
    <d v="2023-12-27T00:00:00"/>
    <x v="554"/>
    <x v="158"/>
    <n v="78"/>
    <s v="INV02709"/>
    <n v="78"/>
    <n v="754.20799999999997"/>
    <m/>
    <m/>
    <m/>
    <m/>
    <m/>
    <n v="754.20799999999997"/>
    <d v="2023-05-23T00:00:00"/>
    <n v="0"/>
    <n v="0"/>
    <n v="0"/>
    <n v="0"/>
    <n v="0"/>
    <n v="0"/>
    <n v="0"/>
    <x v="0"/>
    <n v="58828.223999999995"/>
    <n v="58828.223999999995"/>
    <n v="0"/>
    <n v="0"/>
    <x v="0"/>
    <x v="20"/>
  </r>
  <r>
    <s v="ORD02710"/>
    <d v="2024-09-24T00:00:00"/>
    <x v="418"/>
    <x v="88"/>
    <n v="24"/>
    <s v="INV02710"/>
    <n v="24"/>
    <n v="211.68960000000001"/>
    <m/>
    <m/>
    <m/>
    <m/>
    <m/>
    <n v="211.68960000000001"/>
    <d v="2023-07-22T00:00:00"/>
    <n v="0"/>
    <n v="0"/>
    <n v="0"/>
    <n v="0"/>
    <n v="0"/>
    <n v="0"/>
    <n v="0"/>
    <x v="0"/>
    <n v="5080.5504000000001"/>
    <n v="5080.5504000000001"/>
    <n v="0"/>
    <n v="0"/>
    <x v="0"/>
    <x v="2"/>
  </r>
  <r>
    <s v="ORD02711"/>
    <d v="2024-08-19T00:00:00"/>
    <x v="621"/>
    <x v="293"/>
    <n v="157"/>
    <s v="INV02711"/>
    <n v="157"/>
    <n v="104.9652"/>
    <m/>
    <m/>
    <m/>
    <m/>
    <m/>
    <n v="104.9652"/>
    <d v="2023-05-20T00:00:00"/>
    <n v="0"/>
    <n v="0"/>
    <n v="0"/>
    <n v="0"/>
    <n v="0"/>
    <n v="0"/>
    <n v="0"/>
    <x v="0"/>
    <n v="16479.536400000001"/>
    <n v="16479.536400000001"/>
    <n v="0"/>
    <n v="0"/>
    <x v="0"/>
    <x v="22"/>
  </r>
  <r>
    <s v="ORD02712"/>
    <d v="2023-11-11T00:00:00"/>
    <x v="381"/>
    <x v="3"/>
    <n v="136"/>
    <s v="INV02712"/>
    <n v="136"/>
    <n v="849.43949999999995"/>
    <m/>
    <m/>
    <m/>
    <m/>
    <m/>
    <n v="849.43949999999995"/>
    <d v="2023-07-07T00:00:00"/>
    <n v="0"/>
    <n v="0"/>
    <n v="0"/>
    <n v="0"/>
    <n v="0"/>
    <n v="0"/>
    <n v="0"/>
    <x v="0"/>
    <n v="115523.772"/>
    <n v="115523.772"/>
    <n v="0"/>
    <n v="0"/>
    <x v="0"/>
    <x v="0"/>
  </r>
  <r>
    <s v="ORD02713"/>
    <d v="2023-12-30T00:00:00"/>
    <x v="774"/>
    <x v="183"/>
    <n v="99"/>
    <s v="INV02713"/>
    <n v="99"/>
    <n v="624.37260000000003"/>
    <m/>
    <m/>
    <m/>
    <m/>
    <m/>
    <n v="624.37260000000003"/>
    <d v="2023-01-06T00:00:00"/>
    <n v="0"/>
    <n v="0"/>
    <n v="0"/>
    <n v="0"/>
    <n v="0"/>
    <n v="0"/>
    <n v="0"/>
    <x v="0"/>
    <n v="61812.887400000007"/>
    <n v="61812.887400000007"/>
    <n v="0"/>
    <n v="0"/>
    <x v="0"/>
    <x v="20"/>
  </r>
  <r>
    <s v="ORD02714"/>
    <d v="2023-03-17T00:00:00"/>
    <x v="353"/>
    <x v="121"/>
    <n v="10"/>
    <s v="INV02714"/>
    <n v="10"/>
    <n v="1032.2340000000002"/>
    <m/>
    <m/>
    <m/>
    <m/>
    <m/>
    <n v="1032.2340000000002"/>
    <d v="2022-08-25T00:00:00"/>
    <n v="0"/>
    <n v="0"/>
    <n v="0"/>
    <n v="0"/>
    <n v="0"/>
    <n v="0"/>
    <n v="0"/>
    <x v="0"/>
    <n v="10322.340000000002"/>
    <n v="10322.340000000002"/>
    <n v="0"/>
    <n v="0"/>
    <x v="0"/>
    <x v="17"/>
  </r>
  <r>
    <s v="ORD02715"/>
    <d v="2024-07-08T00:00:00"/>
    <x v="768"/>
    <x v="45"/>
    <n v="33"/>
    <s v="INV02715"/>
    <n v="33"/>
    <n v="169.22900000000001"/>
    <m/>
    <m/>
    <m/>
    <m/>
    <m/>
    <n v="169.22900000000001"/>
    <d v="2023-04-23T00:00:00"/>
    <n v="0"/>
    <n v="0"/>
    <n v="0"/>
    <n v="0"/>
    <n v="0"/>
    <n v="0"/>
    <n v="0"/>
    <x v="0"/>
    <n v="5584.5570000000007"/>
    <n v="5584.5570000000007"/>
    <n v="0"/>
    <n v="0"/>
    <x v="0"/>
    <x v="21"/>
  </r>
  <r>
    <s v="ORD02716"/>
    <d v="2024-11-25T00:00:00"/>
    <x v="359"/>
    <x v="173"/>
    <n v="99"/>
    <s v="INV02716"/>
    <n v="99"/>
    <n v="539.57150000000001"/>
    <m/>
    <m/>
    <m/>
    <m/>
    <m/>
    <n v="539.57150000000001"/>
    <d v="2023-09-22T00:00:00"/>
    <n v="0"/>
    <n v="0"/>
    <n v="0"/>
    <n v="0"/>
    <n v="0"/>
    <n v="0"/>
    <n v="0"/>
    <x v="0"/>
    <n v="53417.578500000003"/>
    <n v="53417.578500000003"/>
    <n v="0"/>
    <n v="0"/>
    <x v="0"/>
    <x v="4"/>
  </r>
  <r>
    <s v="ORD02717"/>
    <d v="2024-01-22T00:00:00"/>
    <x v="599"/>
    <x v="150"/>
    <n v="181"/>
    <s v="INV02717"/>
    <n v="181"/>
    <n v="956.41030000000001"/>
    <m/>
    <m/>
    <m/>
    <m/>
    <m/>
    <n v="956.41030000000001"/>
    <d v="2023-08-30T00:00:00"/>
    <n v="0"/>
    <n v="0"/>
    <n v="0"/>
    <n v="0"/>
    <n v="0"/>
    <n v="0"/>
    <n v="0"/>
    <x v="0"/>
    <n v="173110.26430000001"/>
    <n v="173110.26430000001"/>
    <n v="0"/>
    <n v="0"/>
    <x v="0"/>
    <x v="15"/>
  </r>
  <r>
    <s v="ORD02718"/>
    <d v="2023-01-25T00:00:00"/>
    <x v="598"/>
    <x v="152"/>
    <n v="197"/>
    <s v="INV02718"/>
    <n v="197"/>
    <n v="407.09"/>
    <m/>
    <m/>
    <m/>
    <m/>
    <m/>
    <n v="407.09"/>
    <d v="2022-01-24T00:00:00"/>
    <n v="0"/>
    <n v="0"/>
    <n v="0"/>
    <n v="0"/>
    <n v="0"/>
    <n v="0"/>
    <n v="0"/>
    <x v="0"/>
    <n v="80196.73"/>
    <n v="80196.73"/>
    <n v="0"/>
    <n v="0"/>
    <x v="0"/>
    <x v="8"/>
  </r>
  <r>
    <s v="ORD02719"/>
    <d v="2024-11-15T00:00:00"/>
    <x v="670"/>
    <x v="146"/>
    <n v="42"/>
    <s v="INV02719"/>
    <n v="42"/>
    <n v="428.46220000000005"/>
    <m/>
    <m/>
    <m/>
    <m/>
    <m/>
    <n v="428.46220000000005"/>
    <d v="2023-06-25T00:00:00"/>
    <n v="0"/>
    <n v="0"/>
    <n v="0"/>
    <n v="0"/>
    <n v="0"/>
    <n v="0"/>
    <n v="0"/>
    <x v="0"/>
    <n v="17995.412400000001"/>
    <n v="17995.412400000001"/>
    <n v="0"/>
    <n v="0"/>
    <x v="0"/>
    <x v="4"/>
  </r>
  <r>
    <s v="ORD02720"/>
    <d v="2023-02-26T00:00:00"/>
    <x v="28"/>
    <x v="49"/>
    <n v="200"/>
    <s v="INV02720"/>
    <n v="200"/>
    <n v="1040.9412"/>
    <m/>
    <m/>
    <m/>
    <m/>
    <m/>
    <n v="1040.9412"/>
    <d v="2023-02-26T00:00:00"/>
    <n v="0"/>
    <n v="0"/>
    <n v="0"/>
    <n v="0"/>
    <n v="0"/>
    <n v="0"/>
    <n v="0"/>
    <x v="0"/>
    <n v="208188.24"/>
    <n v="208188.24"/>
    <n v="0"/>
    <n v="0"/>
    <x v="0"/>
    <x v="11"/>
  </r>
  <r>
    <s v="ORD02721"/>
    <d v="2023-07-27T00:00:00"/>
    <x v="131"/>
    <x v="28"/>
    <n v="140"/>
    <s v="INV02721"/>
    <n v="140"/>
    <n v="957.65700000000015"/>
    <m/>
    <m/>
    <m/>
    <m/>
    <m/>
    <n v="957.65700000000015"/>
    <d v="2023-05-11T00:00:00"/>
    <n v="0"/>
    <n v="0"/>
    <n v="0"/>
    <n v="0"/>
    <n v="0"/>
    <n v="0"/>
    <n v="0"/>
    <x v="0"/>
    <n v="134071.98000000001"/>
    <n v="134071.98000000001"/>
    <n v="0"/>
    <n v="0"/>
    <x v="0"/>
    <x v="10"/>
  </r>
  <r>
    <s v="ORD02722"/>
    <d v="2024-11-28T00:00:00"/>
    <x v="420"/>
    <x v="58"/>
    <n v="115"/>
    <s v="INV02722"/>
    <n v="115"/>
    <n v="601.32929999999999"/>
    <m/>
    <m/>
    <m/>
    <m/>
    <m/>
    <n v="601.32929999999999"/>
    <d v="2023-02-05T00:00:00"/>
    <n v="0"/>
    <n v="0"/>
    <n v="0"/>
    <n v="0"/>
    <n v="0"/>
    <n v="0"/>
    <n v="0"/>
    <x v="0"/>
    <n v="69152.869500000001"/>
    <n v="69152.869500000001"/>
    <n v="0"/>
    <n v="0"/>
    <x v="0"/>
    <x v="4"/>
  </r>
  <r>
    <s v="ORD02723"/>
    <d v="2023-12-14T00:00:00"/>
    <x v="532"/>
    <x v="85"/>
    <n v="163"/>
    <s v="INV02723"/>
    <n v="163"/>
    <n v="1086.3648000000001"/>
    <n v="26"/>
    <d v="2025-01-17T00:00:00"/>
    <m/>
    <m/>
    <m/>
    <n v="1086.3648000000001"/>
    <d v="2023-01-14T00:00:00"/>
    <n v="0"/>
    <n v="0"/>
    <n v="0"/>
    <n v="0"/>
    <n v="0"/>
    <n v="1"/>
    <n v="0"/>
    <x v="1"/>
    <n v="177077.46240000002"/>
    <n v="177077.46240000002"/>
    <n v="0"/>
    <n v="2"/>
    <x v="1"/>
    <x v="20"/>
  </r>
  <r>
    <s v="ORD02724"/>
    <d v="2024-08-04T00:00:00"/>
    <x v="424"/>
    <x v="35"/>
    <n v="26"/>
    <s v="INV02724"/>
    <n v="26"/>
    <n v="1120.6556"/>
    <m/>
    <m/>
    <m/>
    <m/>
    <m/>
    <n v="1120.6556"/>
    <d v="2023-04-10T00:00:00"/>
    <n v="0"/>
    <n v="0"/>
    <n v="0"/>
    <n v="0"/>
    <n v="0"/>
    <n v="0"/>
    <n v="0"/>
    <x v="0"/>
    <n v="29137.045600000001"/>
    <n v="29137.045600000001"/>
    <n v="0"/>
    <n v="0"/>
    <x v="0"/>
    <x v="22"/>
  </r>
  <r>
    <s v="ORD02725"/>
    <d v="2023-11-18T00:00:00"/>
    <x v="760"/>
    <x v="107"/>
    <n v="179"/>
    <s v="INV02725"/>
    <n v="179"/>
    <n v="52.185000000000002"/>
    <m/>
    <m/>
    <m/>
    <m/>
    <m/>
    <n v="52.185000000000002"/>
    <d v="2023-03-13T00:00:00"/>
    <n v="0"/>
    <n v="0"/>
    <n v="0"/>
    <n v="0"/>
    <n v="0"/>
    <n v="0"/>
    <n v="0"/>
    <x v="0"/>
    <n v="9341.1149999999998"/>
    <n v="9341.1149999999998"/>
    <n v="0"/>
    <n v="0"/>
    <x v="0"/>
    <x v="0"/>
  </r>
  <r>
    <s v="ORD02726"/>
    <d v="2024-02-09T00:00:00"/>
    <x v="573"/>
    <x v="144"/>
    <n v="183"/>
    <s v="INV02726"/>
    <n v="192"/>
    <n v="324.52350000000001"/>
    <m/>
    <m/>
    <m/>
    <m/>
    <m/>
    <n v="324.52350000000001"/>
    <d v="2023-06-23T00:00:00"/>
    <n v="0"/>
    <n v="1"/>
    <n v="0"/>
    <n v="0"/>
    <n v="0"/>
    <n v="0"/>
    <n v="0"/>
    <x v="1"/>
    <n v="62308.512000000002"/>
    <n v="59387.800500000005"/>
    <n v="2920.7114999999976"/>
    <n v="8"/>
    <x v="2"/>
    <x v="3"/>
  </r>
  <r>
    <s v="ORD02727"/>
    <d v="2023-08-16T00:00:00"/>
    <x v="53"/>
    <x v="273"/>
    <n v="5"/>
    <s v="INV02727"/>
    <n v="13"/>
    <n v="1224.4680000000001"/>
    <m/>
    <m/>
    <m/>
    <m/>
    <m/>
    <n v="1224.4680000000001"/>
    <d v="2022-09-01T00:00:00"/>
    <n v="0"/>
    <n v="1"/>
    <n v="0"/>
    <n v="0"/>
    <n v="0"/>
    <n v="0"/>
    <n v="0"/>
    <x v="1"/>
    <n v="15918.084000000001"/>
    <n v="6122.34"/>
    <n v="9795.7440000000006"/>
    <n v="8"/>
    <x v="2"/>
    <x v="12"/>
  </r>
  <r>
    <s v="ORD02728"/>
    <d v="2023-03-05T00:00:00"/>
    <x v="80"/>
    <x v="251"/>
    <n v="108"/>
    <s v="INV02728"/>
    <n v="108"/>
    <n v="77.84"/>
    <m/>
    <m/>
    <m/>
    <m/>
    <m/>
    <n v="77.84"/>
    <d v="2022-01-18T00:00:00"/>
    <n v="0"/>
    <n v="0"/>
    <n v="0"/>
    <n v="0"/>
    <n v="0"/>
    <n v="0"/>
    <n v="0"/>
    <x v="0"/>
    <n v="8406.7200000000012"/>
    <n v="8406.7200000000012"/>
    <n v="0"/>
    <n v="0"/>
    <x v="0"/>
    <x v="17"/>
  </r>
  <r>
    <s v="ORD02729"/>
    <d v="2023-08-05T00:00:00"/>
    <x v="734"/>
    <x v="98"/>
    <n v="176"/>
    <s v="INV02729"/>
    <n v="176"/>
    <n v="1088.2664000000002"/>
    <n v="6"/>
    <d v="2024-12-07T00:00:00"/>
    <m/>
    <m/>
    <m/>
    <n v="1088.2664000000002"/>
    <d v="2022-12-23T00:00:00"/>
    <n v="0"/>
    <n v="0"/>
    <n v="0"/>
    <n v="0"/>
    <n v="0"/>
    <n v="1"/>
    <n v="0"/>
    <x v="1"/>
    <n v="191534.88640000005"/>
    <n v="191534.88640000005"/>
    <n v="0"/>
    <n v="2"/>
    <x v="1"/>
    <x v="12"/>
  </r>
  <r>
    <s v="ORD02730"/>
    <d v="2024-02-04T00:00:00"/>
    <x v="96"/>
    <x v="107"/>
    <n v="198"/>
    <s v="INV02730"/>
    <n v="198"/>
    <n v="52.185000000000002"/>
    <n v="4"/>
    <d v="2024-04-14T00:00:00"/>
    <m/>
    <m/>
    <m/>
    <n v="52.185000000000002"/>
    <d v="2023-03-13T00:00:00"/>
    <n v="0"/>
    <n v="0"/>
    <n v="0"/>
    <n v="0"/>
    <n v="0"/>
    <n v="1"/>
    <n v="0"/>
    <x v="1"/>
    <n v="10332.630000000001"/>
    <n v="10332.630000000001"/>
    <n v="0"/>
    <n v="2"/>
    <x v="1"/>
    <x v="3"/>
  </r>
  <r>
    <s v="ORD02731"/>
    <d v="2023-07-25T00:00:00"/>
    <x v="266"/>
    <x v="202"/>
    <n v="78"/>
    <s v="INV02731"/>
    <n v="78"/>
    <n v="614.96820000000002"/>
    <m/>
    <m/>
    <m/>
    <m/>
    <m/>
    <n v="614.96820000000002"/>
    <d v="2023-02-27T00:00:00"/>
    <n v="0"/>
    <n v="0"/>
    <n v="0"/>
    <n v="0"/>
    <n v="0"/>
    <n v="0"/>
    <n v="0"/>
    <x v="0"/>
    <n v="47967.5196"/>
    <n v="47967.5196"/>
    <n v="0"/>
    <n v="0"/>
    <x v="0"/>
    <x v="10"/>
  </r>
  <r>
    <s v="ORD02732"/>
    <d v="2024-02-18T00:00:00"/>
    <x v="40"/>
    <x v="93"/>
    <n v="24"/>
    <s v="INV02732"/>
    <n v="24"/>
    <n v="432.839"/>
    <m/>
    <m/>
    <m/>
    <m/>
    <m/>
    <n v="432.839"/>
    <d v="2023-05-02T00:00:00"/>
    <n v="0"/>
    <n v="0"/>
    <n v="0"/>
    <n v="0"/>
    <n v="0"/>
    <n v="0"/>
    <n v="0"/>
    <x v="0"/>
    <n v="10388.136"/>
    <n v="10388.136"/>
    <n v="0"/>
    <n v="0"/>
    <x v="0"/>
    <x v="3"/>
  </r>
  <r>
    <s v="ORD02733"/>
    <d v="2024-09-28T00:00:00"/>
    <x v="175"/>
    <x v="243"/>
    <n v="85"/>
    <s v="INV02733"/>
    <n v="85"/>
    <n v="191.1936"/>
    <m/>
    <m/>
    <m/>
    <m/>
    <m/>
    <n v="191.1936"/>
    <d v="2023-04-10T00:00:00"/>
    <n v="0"/>
    <n v="0"/>
    <n v="0"/>
    <n v="0"/>
    <n v="0"/>
    <n v="0"/>
    <n v="0"/>
    <x v="0"/>
    <n v="16251.456"/>
    <n v="16251.456"/>
    <n v="0"/>
    <n v="0"/>
    <x v="0"/>
    <x v="2"/>
  </r>
  <r>
    <s v="ORD02734"/>
    <d v="2024-02-29T00:00:00"/>
    <x v="775"/>
    <x v="284"/>
    <n v="160"/>
    <s v="INV02734"/>
    <n v="160"/>
    <n v="1032.7408"/>
    <m/>
    <m/>
    <m/>
    <m/>
    <m/>
    <n v="1032.7408"/>
    <d v="2023-05-31T00:00:00"/>
    <n v="0"/>
    <n v="0"/>
    <n v="0"/>
    <n v="0"/>
    <n v="0"/>
    <n v="0"/>
    <n v="0"/>
    <x v="0"/>
    <n v="165238.52799999999"/>
    <n v="165238.52799999999"/>
    <n v="0"/>
    <n v="0"/>
    <x v="0"/>
    <x v="3"/>
  </r>
  <r>
    <s v="ORD02735"/>
    <d v="2023-10-06T00:00:00"/>
    <x v="119"/>
    <x v="295"/>
    <n v="136"/>
    <s v="INV02735"/>
    <n v="136"/>
    <n v="765.65520000000015"/>
    <m/>
    <m/>
    <m/>
    <m/>
    <m/>
    <n v="765.65520000000015"/>
    <d v="2023-05-31T00:00:00"/>
    <n v="0"/>
    <n v="0"/>
    <n v="0"/>
    <n v="0"/>
    <n v="0"/>
    <n v="0"/>
    <n v="0"/>
    <x v="0"/>
    <n v="104129.10720000003"/>
    <n v="104129.10720000003"/>
    <n v="0"/>
    <n v="0"/>
    <x v="0"/>
    <x v="19"/>
  </r>
  <r>
    <s v="ORD02736"/>
    <d v="2023-03-02T00:00:00"/>
    <x v="101"/>
    <x v="192"/>
    <n v="127"/>
    <s v="INV02736"/>
    <n v="127"/>
    <n v="255.06540000000001"/>
    <m/>
    <m/>
    <m/>
    <m/>
    <m/>
    <n v="255.06540000000001"/>
    <d v="2023-02-21T00:00:00"/>
    <n v="0"/>
    <n v="0"/>
    <n v="0"/>
    <n v="0"/>
    <n v="0"/>
    <n v="0"/>
    <n v="0"/>
    <x v="0"/>
    <n v="32393.305800000002"/>
    <n v="32393.305800000002"/>
    <n v="0"/>
    <n v="0"/>
    <x v="0"/>
    <x v="17"/>
  </r>
  <r>
    <s v="ORD02737"/>
    <d v="2023-10-23T00:00:00"/>
    <x v="497"/>
    <x v="106"/>
    <n v="119"/>
    <s v="INV02737"/>
    <n v="119"/>
    <n v="652.1472"/>
    <m/>
    <m/>
    <m/>
    <m/>
    <m/>
    <n v="652.1472"/>
    <d v="2023-02-02T00:00:00"/>
    <n v="0"/>
    <n v="0"/>
    <n v="0"/>
    <n v="0"/>
    <n v="0"/>
    <n v="0"/>
    <n v="0"/>
    <x v="0"/>
    <n v="77605.516799999998"/>
    <n v="77605.516799999998"/>
    <n v="0"/>
    <n v="0"/>
    <x v="0"/>
    <x v="19"/>
  </r>
  <r>
    <s v="ORD02738"/>
    <d v="2024-06-14T00:00:00"/>
    <x v="675"/>
    <x v="142"/>
    <n v="118"/>
    <s v="INV02738"/>
    <n v="118"/>
    <n v="752.48910000000001"/>
    <m/>
    <m/>
    <m/>
    <m/>
    <m/>
    <n v="752.48910000000001"/>
    <d v="2023-01-27T00:00:00"/>
    <n v="0"/>
    <n v="0"/>
    <n v="0"/>
    <n v="0"/>
    <n v="0"/>
    <n v="0"/>
    <n v="0"/>
    <x v="0"/>
    <n v="88793.713799999998"/>
    <n v="88793.713799999998"/>
    <n v="0"/>
    <n v="0"/>
    <x v="0"/>
    <x v="16"/>
  </r>
  <r>
    <s v="ORD02739"/>
    <d v="2024-06-20T00:00:00"/>
    <x v="749"/>
    <x v="194"/>
    <n v="50"/>
    <s v="INV02739"/>
    <n v="50"/>
    <n v="415.8877"/>
    <m/>
    <m/>
    <m/>
    <m/>
    <m/>
    <n v="415.8877"/>
    <d v="2023-08-08T00:00:00"/>
    <n v="0"/>
    <n v="0"/>
    <n v="0"/>
    <n v="0"/>
    <n v="0"/>
    <n v="0"/>
    <n v="0"/>
    <x v="0"/>
    <n v="20794.384999999998"/>
    <n v="20794.384999999998"/>
    <n v="0"/>
    <n v="0"/>
    <x v="0"/>
    <x v="16"/>
  </r>
  <r>
    <s v="ORD02740"/>
    <d v="2023-08-22T00:00:00"/>
    <x v="498"/>
    <x v="44"/>
    <n v="54"/>
    <s v="INV02740"/>
    <n v="54"/>
    <n v="1119.3012000000001"/>
    <m/>
    <m/>
    <m/>
    <m/>
    <m/>
    <n v="1119.3012000000001"/>
    <d v="2023-06-14T00:00:00"/>
    <n v="0"/>
    <n v="0"/>
    <n v="0"/>
    <n v="0"/>
    <n v="0"/>
    <n v="0"/>
    <n v="0"/>
    <x v="0"/>
    <n v="60442.264800000004"/>
    <n v="60442.264800000004"/>
    <n v="0"/>
    <n v="0"/>
    <x v="0"/>
    <x v="12"/>
  </r>
  <r>
    <s v="ORD02741"/>
    <d v="2023-08-31T00:00:00"/>
    <x v="250"/>
    <x v="3"/>
    <n v="104"/>
    <s v="INV02741"/>
    <n v="104"/>
    <n v="849.43949999999995"/>
    <m/>
    <m/>
    <m/>
    <m/>
    <m/>
    <n v="849.43949999999995"/>
    <d v="2023-07-07T00:00:00"/>
    <n v="0"/>
    <n v="0"/>
    <n v="0"/>
    <n v="0"/>
    <n v="0"/>
    <n v="0"/>
    <n v="0"/>
    <x v="0"/>
    <n v="88341.707999999999"/>
    <n v="88341.707999999999"/>
    <n v="0"/>
    <n v="0"/>
    <x v="0"/>
    <x v="12"/>
  </r>
  <r>
    <s v="ORD02742"/>
    <d v="2024-01-27T00:00:00"/>
    <x v="730"/>
    <x v="152"/>
    <n v="5"/>
    <s v="INV02742"/>
    <n v="5"/>
    <n v="403.01909999999998"/>
    <m/>
    <m/>
    <m/>
    <m/>
    <m/>
    <n v="403.01909999999998"/>
    <d v="2023-05-10T00:00:00"/>
    <n v="0"/>
    <n v="0"/>
    <n v="0"/>
    <n v="0"/>
    <n v="0"/>
    <n v="0"/>
    <n v="0"/>
    <x v="0"/>
    <n v="2015.0954999999999"/>
    <n v="2015.0954999999999"/>
    <n v="0"/>
    <n v="0"/>
    <x v="0"/>
    <x v="15"/>
  </r>
  <r>
    <s v="ORD02743"/>
    <d v="2024-05-11T00:00:00"/>
    <x v="432"/>
    <x v="76"/>
    <n v="153"/>
    <s v="INV02743"/>
    <n v="153"/>
    <n v="1114.2336"/>
    <n v="7"/>
    <d v="2025-01-08T00:00:00"/>
    <m/>
    <m/>
    <m/>
    <n v="1114.2336"/>
    <d v="2023-08-03T00:00:00"/>
    <n v="0"/>
    <n v="0"/>
    <n v="0"/>
    <n v="0"/>
    <n v="0"/>
    <n v="1"/>
    <n v="0"/>
    <x v="1"/>
    <n v="170477.7408"/>
    <n v="170477.7408"/>
    <n v="0"/>
    <n v="2"/>
    <x v="1"/>
    <x v="13"/>
  </r>
  <r>
    <s v="ORD02744"/>
    <d v="2023-02-13T00:00:00"/>
    <x v="639"/>
    <x v="154"/>
    <n v="82"/>
    <s v="INV02744"/>
    <n v="82"/>
    <n v="775.08529999999996"/>
    <m/>
    <m/>
    <m/>
    <m/>
    <m/>
    <n v="775.08529999999996"/>
    <d v="2022-11-27T00:00:00"/>
    <n v="0"/>
    <n v="0"/>
    <n v="0"/>
    <n v="0"/>
    <n v="0"/>
    <n v="0"/>
    <n v="0"/>
    <x v="0"/>
    <n v="63556.994599999998"/>
    <n v="63556.994599999998"/>
    <n v="0"/>
    <n v="0"/>
    <x v="0"/>
    <x v="11"/>
  </r>
  <r>
    <s v="ORD02745"/>
    <d v="2023-01-28T00:00:00"/>
    <x v="106"/>
    <x v="247"/>
    <n v="36"/>
    <s v="INV02745"/>
    <n v="36"/>
    <n v="618.54840000000002"/>
    <m/>
    <m/>
    <m/>
    <m/>
    <m/>
    <n v="618.54840000000002"/>
    <d v="2022-12-21T00:00:00"/>
    <n v="0"/>
    <n v="0"/>
    <n v="0"/>
    <n v="0"/>
    <n v="0"/>
    <n v="0"/>
    <n v="0"/>
    <x v="0"/>
    <n v="22267.742399999999"/>
    <n v="22267.742399999999"/>
    <n v="0"/>
    <n v="0"/>
    <x v="0"/>
    <x v="8"/>
  </r>
  <r>
    <s v="ORD02746"/>
    <d v="2023-01-28T00:00:00"/>
    <x v="582"/>
    <x v="166"/>
    <n v="112"/>
    <s v="INV02746"/>
    <n v="112"/>
    <n v="151.82"/>
    <m/>
    <m/>
    <m/>
    <m/>
    <m/>
    <n v="151.82"/>
    <d v="2022-10-26T00:00:00"/>
    <n v="0"/>
    <n v="0"/>
    <n v="0"/>
    <n v="0"/>
    <n v="0"/>
    <n v="0"/>
    <n v="0"/>
    <x v="0"/>
    <n v="17003.84"/>
    <n v="17003.84"/>
    <n v="0"/>
    <n v="0"/>
    <x v="0"/>
    <x v="8"/>
  </r>
  <r>
    <s v="ORD02747"/>
    <d v="2023-04-17T00:00:00"/>
    <x v="776"/>
    <x v="202"/>
    <n v="88"/>
    <s v="INV02747"/>
    <n v="88"/>
    <n v="614.96820000000002"/>
    <n v="17"/>
    <d v="2023-09-13T00:00:00"/>
    <m/>
    <m/>
    <m/>
    <n v="614.96820000000002"/>
    <d v="2023-02-27T00:00:00"/>
    <n v="0"/>
    <n v="0"/>
    <n v="0"/>
    <n v="0"/>
    <n v="0"/>
    <n v="1"/>
    <n v="0"/>
    <x v="1"/>
    <n v="54117.2016"/>
    <n v="54117.2016"/>
    <n v="0"/>
    <n v="2"/>
    <x v="1"/>
    <x v="23"/>
  </r>
  <r>
    <s v="ORD02748"/>
    <d v="2023-03-14T00:00:00"/>
    <x v="205"/>
    <x v="39"/>
    <n v="196"/>
    <s v="INV02748"/>
    <n v="196"/>
    <n v="838.77149999999995"/>
    <m/>
    <m/>
    <m/>
    <m/>
    <m/>
    <n v="838.77149999999995"/>
    <d v="2022-12-07T00:00:00"/>
    <n v="0"/>
    <n v="0"/>
    <n v="0"/>
    <n v="0"/>
    <n v="0"/>
    <n v="0"/>
    <n v="0"/>
    <x v="0"/>
    <n v="164399.21399999998"/>
    <n v="164399.21399999998"/>
    <n v="0"/>
    <n v="0"/>
    <x v="0"/>
    <x v="17"/>
  </r>
  <r>
    <s v="ORD02749"/>
    <d v="2023-04-19T00:00:00"/>
    <x v="573"/>
    <x v="32"/>
    <n v="29"/>
    <s v="INV02749"/>
    <n v="29"/>
    <n v="973.43799999999999"/>
    <m/>
    <m/>
    <m/>
    <m/>
    <m/>
    <n v="973.43799999999999"/>
    <d v="2023-03-26T00:00:00"/>
    <n v="0"/>
    <n v="0"/>
    <n v="0"/>
    <n v="0"/>
    <n v="0"/>
    <n v="0"/>
    <n v="0"/>
    <x v="0"/>
    <n v="28229.702000000001"/>
    <n v="28229.702000000001"/>
    <n v="0"/>
    <n v="0"/>
    <x v="0"/>
    <x v="23"/>
  </r>
  <r>
    <s v="ORD02750"/>
    <d v="2023-10-07T00:00:00"/>
    <x v="193"/>
    <x v="92"/>
    <n v="83"/>
    <s v="INV02750"/>
    <n v="83"/>
    <n v="833.73500000000001"/>
    <m/>
    <m/>
    <m/>
    <m/>
    <m/>
    <n v="833.73500000000001"/>
    <d v="2023-08-29T00:00:00"/>
    <n v="0"/>
    <n v="0"/>
    <n v="0"/>
    <n v="0"/>
    <n v="0"/>
    <n v="0"/>
    <n v="0"/>
    <x v="0"/>
    <n v="69200.005000000005"/>
    <n v="69200.005000000005"/>
    <n v="0"/>
    <n v="0"/>
    <x v="0"/>
    <x v="19"/>
  </r>
  <r>
    <s v="ORD02751"/>
    <d v="2024-04-08T00:00:00"/>
    <x v="777"/>
    <x v="32"/>
    <n v="178"/>
    <s v="INV02751"/>
    <n v="178"/>
    <n v="973.43799999999999"/>
    <m/>
    <m/>
    <m/>
    <m/>
    <m/>
    <n v="973.43799999999999"/>
    <d v="2023-03-26T00:00:00"/>
    <n v="0"/>
    <n v="0"/>
    <n v="0"/>
    <n v="0"/>
    <n v="0"/>
    <n v="0"/>
    <n v="0"/>
    <x v="0"/>
    <n v="173271.96400000001"/>
    <n v="173271.96400000001"/>
    <n v="0"/>
    <n v="0"/>
    <x v="0"/>
    <x v="9"/>
  </r>
  <r>
    <s v="ORD02752"/>
    <d v="2024-01-07T00:00:00"/>
    <x v="452"/>
    <x v="240"/>
    <n v="138"/>
    <s v="INV02752"/>
    <n v="138"/>
    <n v="489.09889667744426"/>
    <n v="14"/>
    <d v="2023-10-22T00:00:00"/>
    <m/>
    <m/>
    <m/>
    <n v="488.43360000000007"/>
    <d v="2023-06-30T00:00:00"/>
    <n v="0"/>
    <n v="0"/>
    <n v="1"/>
    <n v="0"/>
    <n v="0"/>
    <n v="0"/>
    <n v="0"/>
    <x v="1"/>
    <n v="67495.647741487308"/>
    <n v="67403.836800000005"/>
    <n v="91.810941487303353"/>
    <n v="4"/>
    <x v="1"/>
    <x v="15"/>
  </r>
  <r>
    <s v="ORD02753"/>
    <d v="2024-07-07T00:00:00"/>
    <x v="737"/>
    <x v="63"/>
    <n v="130"/>
    <s v="INV02753"/>
    <n v="130"/>
    <n v="96.6"/>
    <m/>
    <m/>
    <m/>
    <m/>
    <m/>
    <n v="96.6"/>
    <d v="2023-06-28T00:00:00"/>
    <n v="0"/>
    <n v="0"/>
    <n v="0"/>
    <n v="0"/>
    <n v="0"/>
    <n v="0"/>
    <n v="0"/>
    <x v="0"/>
    <n v="12558"/>
    <n v="12558"/>
    <n v="0"/>
    <n v="0"/>
    <x v="0"/>
    <x v="21"/>
  </r>
  <r>
    <s v="ORD02754"/>
    <d v="2024-03-11T00:00:00"/>
    <x v="657"/>
    <x v="127"/>
    <n v="155"/>
    <s v="INV02754"/>
    <n v="155"/>
    <n v="343.34190000000001"/>
    <m/>
    <m/>
    <m/>
    <m/>
    <m/>
    <n v="343.34190000000001"/>
    <d v="2023-07-19T00:00:00"/>
    <n v="0"/>
    <n v="0"/>
    <n v="0"/>
    <n v="0"/>
    <n v="0"/>
    <n v="0"/>
    <n v="0"/>
    <x v="0"/>
    <n v="53217.994500000001"/>
    <n v="53217.994500000001"/>
    <n v="0"/>
    <n v="0"/>
    <x v="0"/>
    <x v="6"/>
  </r>
  <r>
    <s v="ORD02755"/>
    <d v="2023-01-29T00:00:00"/>
    <x v="303"/>
    <x v="276"/>
    <n v="122"/>
    <s v="INV02755"/>
    <n v="122"/>
    <n v="1077.26"/>
    <m/>
    <m/>
    <m/>
    <m/>
    <m/>
    <n v="1077.26"/>
    <d v="2022-05-30T00:00:00"/>
    <n v="0"/>
    <n v="0"/>
    <n v="0"/>
    <n v="0"/>
    <n v="0"/>
    <n v="0"/>
    <n v="0"/>
    <x v="0"/>
    <n v="131425.72"/>
    <n v="131425.72"/>
    <n v="0"/>
    <n v="0"/>
    <x v="0"/>
    <x v="8"/>
  </r>
  <r>
    <s v="ORD02756"/>
    <d v="2024-02-08T00:00:00"/>
    <x v="156"/>
    <x v="41"/>
    <n v="116"/>
    <s v="INV02756"/>
    <n v="116"/>
    <n v="1211.8765154464711"/>
    <m/>
    <m/>
    <m/>
    <m/>
    <m/>
    <n v="1211.7708"/>
    <d v="2023-09-24T00:00:00"/>
    <n v="0"/>
    <n v="0"/>
    <n v="1"/>
    <n v="0"/>
    <n v="0"/>
    <n v="0"/>
    <n v="0"/>
    <x v="1"/>
    <n v="140577.67579179065"/>
    <n v="140565.41279999999"/>
    <n v="12.262991790659726"/>
    <n v="4"/>
    <x v="1"/>
    <x v="3"/>
  </r>
  <r>
    <s v="ORD02757"/>
    <d v="2023-01-29T00:00:00"/>
    <x v="746"/>
    <x v="141"/>
    <n v="96"/>
    <s v="INV02757"/>
    <n v="96"/>
    <n v="778.26"/>
    <n v="8"/>
    <d v="2023-03-27T00:00:00"/>
    <m/>
    <m/>
    <m/>
    <n v="778.26"/>
    <d v="2022-07-30T00:00:00"/>
    <n v="0"/>
    <n v="0"/>
    <n v="0"/>
    <n v="0"/>
    <n v="0"/>
    <n v="0"/>
    <n v="0"/>
    <x v="0"/>
    <n v="74712.959999999992"/>
    <n v="74712.959999999992"/>
    <n v="0"/>
    <n v="0"/>
    <x v="0"/>
    <x v="8"/>
  </r>
  <r>
    <s v="ORD02758"/>
    <d v="2024-11-20T00:00:00"/>
    <x v="23"/>
    <x v="295"/>
    <n v="97"/>
    <s v="INV02758"/>
    <n v="97"/>
    <n v="765.65520000000015"/>
    <m/>
    <m/>
    <m/>
    <m/>
    <m/>
    <n v="765.65520000000015"/>
    <d v="2023-05-31T00:00:00"/>
    <n v="0"/>
    <n v="0"/>
    <n v="0"/>
    <n v="0"/>
    <n v="0"/>
    <n v="0"/>
    <n v="0"/>
    <x v="0"/>
    <n v="74268.554400000008"/>
    <n v="74268.554400000008"/>
    <n v="0"/>
    <n v="0"/>
    <x v="0"/>
    <x v="4"/>
  </r>
  <r>
    <s v="ORD02759"/>
    <d v="2024-12-21T00:00:00"/>
    <x v="644"/>
    <x v="226"/>
    <n v="56"/>
    <s v="INV02759"/>
    <n v="56"/>
    <n v="1067.6925000000001"/>
    <m/>
    <m/>
    <m/>
    <m/>
    <m/>
    <n v="1067.6925000000001"/>
    <d v="2023-03-14T00:00:00"/>
    <n v="0"/>
    <n v="0"/>
    <n v="0"/>
    <n v="0"/>
    <n v="0"/>
    <n v="0"/>
    <n v="0"/>
    <x v="0"/>
    <n v="59790.780000000006"/>
    <n v="59790.780000000006"/>
    <n v="0"/>
    <n v="0"/>
    <x v="0"/>
    <x v="1"/>
  </r>
  <r>
    <s v="ORD02760"/>
    <d v="2024-02-29T00:00:00"/>
    <x v="4"/>
    <x v="88"/>
    <n v="40"/>
    <s v="INV02760"/>
    <n v="40"/>
    <n v="211.68960000000001"/>
    <n v="15"/>
    <d v="2023-10-01T00:00:00"/>
    <m/>
    <m/>
    <m/>
    <n v="211.68960000000001"/>
    <d v="2023-07-22T00:00:00"/>
    <n v="0"/>
    <n v="0"/>
    <n v="0"/>
    <n v="0"/>
    <n v="0"/>
    <n v="0"/>
    <n v="0"/>
    <x v="0"/>
    <n v="8467.5840000000007"/>
    <n v="8467.5840000000007"/>
    <n v="0"/>
    <n v="0"/>
    <x v="0"/>
    <x v="3"/>
  </r>
  <r>
    <s v="ORD02761"/>
    <d v="2023-08-05T00:00:00"/>
    <x v="710"/>
    <x v="160"/>
    <n v="125"/>
    <s v="INV02761"/>
    <n v="125"/>
    <n v="431.81990000000002"/>
    <m/>
    <m/>
    <m/>
    <m/>
    <m/>
    <n v="431.81990000000002"/>
    <d v="2022-09-03T00:00:00"/>
    <n v="0"/>
    <n v="0"/>
    <n v="0"/>
    <n v="0"/>
    <n v="0"/>
    <n v="0"/>
    <n v="0"/>
    <x v="0"/>
    <n v="53977.487500000003"/>
    <n v="53977.487500000003"/>
    <n v="0"/>
    <n v="0"/>
    <x v="0"/>
    <x v="12"/>
  </r>
  <r>
    <s v="ORD02762"/>
    <d v="2024-09-20T00:00:00"/>
    <x v="152"/>
    <x v="217"/>
    <n v="23"/>
    <s v="INV02762"/>
    <n v="23"/>
    <n v="189.52920000000003"/>
    <n v="9"/>
    <d v="2023-03-10T00:00:00"/>
    <m/>
    <m/>
    <m/>
    <n v="189.52920000000003"/>
    <d v="2023-05-24T00:00:00"/>
    <n v="0"/>
    <n v="0"/>
    <n v="0"/>
    <n v="0"/>
    <n v="0"/>
    <n v="0"/>
    <n v="0"/>
    <x v="0"/>
    <n v="4359.1716000000006"/>
    <n v="4359.1716000000006"/>
    <n v="0"/>
    <n v="0"/>
    <x v="0"/>
    <x v="2"/>
  </r>
  <r>
    <s v="ORD02763"/>
    <d v="2024-07-19T00:00:00"/>
    <x v="355"/>
    <x v="167"/>
    <n v="28"/>
    <s v="INV02763"/>
    <n v="28"/>
    <n v="226.82068163156106"/>
    <m/>
    <m/>
    <m/>
    <m/>
    <m/>
    <n v="226.1644"/>
    <d v="2023-08-01T00:00:00"/>
    <n v="0"/>
    <n v="0"/>
    <n v="1"/>
    <n v="0"/>
    <n v="0"/>
    <n v="0"/>
    <n v="0"/>
    <x v="1"/>
    <n v="6350.9790856837099"/>
    <n v="6332.6031999999996"/>
    <n v="18.375885683710294"/>
    <n v="4"/>
    <x v="1"/>
    <x v="21"/>
  </r>
  <r>
    <s v="ORD02764"/>
    <d v="2024-02-17T00:00:00"/>
    <x v="778"/>
    <x v="141"/>
    <n v="75"/>
    <s v="INV02764"/>
    <n v="75"/>
    <n v="785.89"/>
    <n v="14"/>
    <d v="2024-03-22T00:00:00"/>
    <m/>
    <m/>
    <m/>
    <n v="785.89"/>
    <d v="2023-03-04T00:00:00"/>
    <n v="0"/>
    <n v="0"/>
    <n v="0"/>
    <n v="0"/>
    <n v="0"/>
    <n v="0"/>
    <n v="0"/>
    <x v="0"/>
    <n v="58941.75"/>
    <n v="58941.75"/>
    <n v="0"/>
    <n v="0"/>
    <x v="0"/>
    <x v="3"/>
  </r>
  <r>
    <s v="ORD02765"/>
    <d v="2024-05-06T00:00:00"/>
    <x v="321"/>
    <x v="184"/>
    <n v="88"/>
    <s v="INV02765"/>
    <n v="88"/>
    <n v="427.43"/>
    <m/>
    <m/>
    <m/>
    <m/>
    <m/>
    <n v="427.43"/>
    <d v="2023-05-08T00:00:00"/>
    <n v="0"/>
    <n v="0"/>
    <n v="0"/>
    <n v="0"/>
    <n v="0"/>
    <n v="0"/>
    <n v="0"/>
    <x v="0"/>
    <n v="37613.840000000004"/>
    <n v="37613.840000000004"/>
    <n v="0"/>
    <n v="0"/>
    <x v="0"/>
    <x v="13"/>
  </r>
  <r>
    <s v="ORD02766"/>
    <d v="2024-12-08T00:00:00"/>
    <x v="491"/>
    <x v="117"/>
    <n v="101"/>
    <s v="INV02766"/>
    <n v="101"/>
    <n v="214.6182"/>
    <m/>
    <m/>
    <m/>
    <m/>
    <m/>
    <n v="214.6182"/>
    <d v="2023-07-09T00:00:00"/>
    <n v="0"/>
    <n v="0"/>
    <n v="0"/>
    <n v="0"/>
    <n v="0"/>
    <n v="0"/>
    <n v="0"/>
    <x v="0"/>
    <n v="21676.438200000001"/>
    <n v="21676.438200000001"/>
    <n v="0"/>
    <n v="0"/>
    <x v="0"/>
    <x v="1"/>
  </r>
  <r>
    <s v="ORD02767"/>
    <d v="2023-08-23T00:00:00"/>
    <x v="81"/>
    <x v="234"/>
    <n v="16"/>
    <s v="INV02767"/>
    <n v="16"/>
    <n v="1226.9154000000001"/>
    <n v="17"/>
    <d v="2024-04-17T00:00:00"/>
    <m/>
    <m/>
    <m/>
    <n v="1226.9154000000001"/>
    <d v="2023-04-16T00:00:00"/>
    <n v="0"/>
    <n v="0"/>
    <n v="0"/>
    <n v="0"/>
    <n v="0"/>
    <n v="1"/>
    <n v="1"/>
    <x v="1"/>
    <n v="19630.646400000001"/>
    <n v="19630.646400000001"/>
    <n v="0"/>
    <n v="5"/>
    <x v="1"/>
    <x v="12"/>
  </r>
  <r>
    <s v="ORD02768"/>
    <d v="2023-08-14T00:00:00"/>
    <x v="164"/>
    <x v="48"/>
    <n v="151"/>
    <s v="INV02768"/>
    <n v="151"/>
    <n v="1144.1684"/>
    <m/>
    <m/>
    <m/>
    <m/>
    <m/>
    <n v="1144.1684"/>
    <d v="2023-01-29T00:00:00"/>
    <n v="0"/>
    <n v="0"/>
    <n v="0"/>
    <n v="0"/>
    <n v="0"/>
    <n v="0"/>
    <n v="0"/>
    <x v="0"/>
    <n v="172769.4284"/>
    <n v="172769.4284"/>
    <n v="0"/>
    <n v="0"/>
    <x v="0"/>
    <x v="12"/>
  </r>
  <r>
    <s v="ORD02769"/>
    <d v="2024-04-22T00:00:00"/>
    <x v="196"/>
    <x v="203"/>
    <n v="167"/>
    <s v="INV02769"/>
    <n v="167"/>
    <n v="60.239800000000002"/>
    <m/>
    <m/>
    <m/>
    <m/>
    <m/>
    <n v="60.239800000000002"/>
    <d v="2023-08-07T00:00:00"/>
    <n v="0"/>
    <n v="0"/>
    <n v="0"/>
    <n v="0"/>
    <n v="0"/>
    <n v="0"/>
    <n v="0"/>
    <x v="0"/>
    <n v="10060.0466"/>
    <n v="10060.0466"/>
    <n v="0"/>
    <n v="0"/>
    <x v="0"/>
    <x v="9"/>
  </r>
  <r>
    <s v="ORD02770"/>
    <d v="2023-06-17T00:00:00"/>
    <x v="91"/>
    <x v="173"/>
    <n v="162"/>
    <s v="INV02770"/>
    <n v="162"/>
    <n v="579.32940000000008"/>
    <m/>
    <m/>
    <m/>
    <m/>
    <m/>
    <n v="579.32940000000008"/>
    <d v="2022-12-14T00:00:00"/>
    <n v="0"/>
    <n v="0"/>
    <n v="0"/>
    <n v="0"/>
    <n v="0"/>
    <n v="0"/>
    <n v="0"/>
    <x v="0"/>
    <n v="93851.362800000017"/>
    <n v="93851.362800000017"/>
    <n v="0"/>
    <n v="0"/>
    <x v="0"/>
    <x v="14"/>
  </r>
  <r>
    <s v="ORD02771"/>
    <d v="2024-11-26T00:00:00"/>
    <x v="196"/>
    <x v="164"/>
    <n v="2"/>
    <s v="INV02771"/>
    <n v="2"/>
    <n v="709.52"/>
    <m/>
    <m/>
    <m/>
    <m/>
    <m/>
    <n v="709.52"/>
    <d v="2023-01-26T00:00:00"/>
    <n v="0"/>
    <n v="0"/>
    <n v="0"/>
    <n v="0"/>
    <n v="0"/>
    <n v="0"/>
    <n v="0"/>
    <x v="0"/>
    <n v="1419.04"/>
    <n v="1419.04"/>
    <n v="0"/>
    <n v="0"/>
    <x v="0"/>
    <x v="4"/>
  </r>
  <r>
    <s v="ORD02772"/>
    <d v="2024-05-16T00:00:00"/>
    <x v="588"/>
    <x v="164"/>
    <n v="91"/>
    <s v="INV02772"/>
    <n v="91"/>
    <n v="709.52"/>
    <m/>
    <m/>
    <m/>
    <m/>
    <m/>
    <n v="709.52"/>
    <d v="2023-01-26T00:00:00"/>
    <n v="0"/>
    <n v="0"/>
    <n v="0"/>
    <n v="0"/>
    <n v="0"/>
    <n v="0"/>
    <n v="0"/>
    <x v="0"/>
    <n v="64566.32"/>
    <n v="64566.32"/>
    <n v="0"/>
    <n v="0"/>
    <x v="0"/>
    <x v="13"/>
  </r>
  <r>
    <s v="ORD02773"/>
    <d v="2023-10-07T00:00:00"/>
    <x v="445"/>
    <x v="7"/>
    <n v="140"/>
    <s v="INV02773"/>
    <n v="140"/>
    <n v="510.91840000000002"/>
    <m/>
    <m/>
    <m/>
    <m/>
    <m/>
    <n v="510.91840000000002"/>
    <d v="2023-02-24T00:00:00"/>
    <n v="0"/>
    <n v="0"/>
    <n v="0"/>
    <n v="0"/>
    <n v="0"/>
    <n v="0"/>
    <n v="0"/>
    <x v="0"/>
    <n v="71528.576000000001"/>
    <n v="71528.576000000001"/>
    <n v="0"/>
    <n v="0"/>
    <x v="0"/>
    <x v="19"/>
  </r>
  <r>
    <s v="ORD02774"/>
    <d v="2023-02-15T00:00:00"/>
    <x v="444"/>
    <x v="39"/>
    <n v="88"/>
    <s v="INV02774"/>
    <n v="88"/>
    <n v="838.77149999999995"/>
    <m/>
    <m/>
    <m/>
    <m/>
    <m/>
    <n v="838.77149999999995"/>
    <d v="2022-12-07T00:00:00"/>
    <n v="0"/>
    <n v="0"/>
    <n v="0"/>
    <n v="0"/>
    <n v="0"/>
    <n v="0"/>
    <n v="0"/>
    <x v="0"/>
    <n v="73811.891999999993"/>
    <n v="73811.891999999993"/>
    <n v="0"/>
    <n v="0"/>
    <x v="0"/>
    <x v="11"/>
  </r>
  <r>
    <s v="ORD02775"/>
    <d v="2023-09-24T00:00:00"/>
    <x v="773"/>
    <x v="265"/>
    <n v="107"/>
    <s v="INV02775"/>
    <n v="107"/>
    <n v="223.6044"/>
    <m/>
    <m/>
    <m/>
    <m/>
    <m/>
    <n v="223.6044"/>
    <d v="2023-06-14T00:00:00"/>
    <n v="0"/>
    <n v="0"/>
    <n v="0"/>
    <n v="0"/>
    <n v="0"/>
    <n v="0"/>
    <n v="0"/>
    <x v="0"/>
    <n v="23925.6708"/>
    <n v="23925.6708"/>
    <n v="0"/>
    <n v="0"/>
    <x v="0"/>
    <x v="18"/>
  </r>
  <r>
    <s v="ORD02776"/>
    <d v="2023-09-02T00:00:00"/>
    <x v="637"/>
    <x v="225"/>
    <n v="41"/>
    <s v="INV02776"/>
    <n v="41"/>
    <n v="307.97520000000003"/>
    <m/>
    <m/>
    <m/>
    <m/>
    <m/>
    <n v="307.97520000000003"/>
    <d v="2023-04-13T00:00:00"/>
    <n v="0"/>
    <n v="0"/>
    <n v="0"/>
    <n v="0"/>
    <n v="0"/>
    <n v="0"/>
    <n v="0"/>
    <x v="0"/>
    <n v="12626.983200000001"/>
    <n v="12626.983200000001"/>
    <n v="0"/>
    <n v="0"/>
    <x v="0"/>
    <x v="18"/>
  </r>
  <r>
    <s v="ORD02777"/>
    <d v="2024-07-03T00:00:00"/>
    <x v="350"/>
    <x v="252"/>
    <n v="200"/>
    <s v="INV02777"/>
    <n v="200"/>
    <n v="681.36959999999999"/>
    <m/>
    <m/>
    <m/>
    <m/>
    <m/>
    <n v="681.36959999999999"/>
    <d v="2023-06-18T00:00:00"/>
    <n v="0"/>
    <n v="0"/>
    <n v="0"/>
    <n v="0"/>
    <n v="0"/>
    <n v="0"/>
    <n v="0"/>
    <x v="0"/>
    <n v="136273.91999999998"/>
    <n v="136273.91999999998"/>
    <n v="0"/>
    <n v="0"/>
    <x v="0"/>
    <x v="21"/>
  </r>
  <r>
    <s v="ORD02778"/>
    <d v="2023-05-04T00:00:00"/>
    <x v="121"/>
    <x v="18"/>
    <n v="197"/>
    <s v="INV02778"/>
    <n v="204"/>
    <n v="361.57799999999997"/>
    <m/>
    <m/>
    <m/>
    <m/>
    <m/>
    <n v="361.57799999999997"/>
    <d v="2023-01-06T00:00:00"/>
    <n v="0"/>
    <n v="1"/>
    <n v="0"/>
    <n v="0"/>
    <n v="0"/>
    <n v="0"/>
    <n v="0"/>
    <x v="1"/>
    <n v="73761.911999999997"/>
    <n v="71230.865999999995"/>
    <n v="2531.0460000000021"/>
    <n v="8"/>
    <x v="2"/>
    <x v="7"/>
  </r>
  <r>
    <s v="ORD02779"/>
    <d v="2024-09-30T00:00:00"/>
    <x v="53"/>
    <x v="54"/>
    <n v="32"/>
    <s v="INV02779"/>
    <n v="32"/>
    <n v="465.21179999999998"/>
    <m/>
    <m/>
    <m/>
    <m/>
    <m/>
    <n v="465.21179999999998"/>
    <d v="2023-07-30T00:00:00"/>
    <n v="0"/>
    <n v="0"/>
    <n v="0"/>
    <n v="0"/>
    <n v="0"/>
    <n v="0"/>
    <n v="0"/>
    <x v="0"/>
    <n v="14886.777599999999"/>
    <n v="14886.777599999999"/>
    <n v="0"/>
    <n v="0"/>
    <x v="0"/>
    <x v="2"/>
  </r>
  <r>
    <s v="ORD02780"/>
    <d v="2023-11-07T00:00:00"/>
    <x v="626"/>
    <x v="153"/>
    <n v="185"/>
    <s v="INV02780"/>
    <n v="185"/>
    <n v="680.30940000000021"/>
    <m/>
    <m/>
    <m/>
    <m/>
    <m/>
    <n v="680.30940000000021"/>
    <d v="2023-01-08T00:00:00"/>
    <n v="0"/>
    <n v="0"/>
    <n v="0"/>
    <n v="0"/>
    <n v="0"/>
    <n v="0"/>
    <n v="0"/>
    <x v="0"/>
    <n v="125857.23900000005"/>
    <n v="125857.23900000005"/>
    <n v="0"/>
    <n v="0"/>
    <x v="0"/>
    <x v="0"/>
  </r>
  <r>
    <s v="ORD02781"/>
    <d v="2023-04-27T00:00:00"/>
    <x v="136"/>
    <x v="272"/>
    <n v="63"/>
    <s v="INV02781"/>
    <n v="63"/>
    <n v="852.46560000000011"/>
    <m/>
    <m/>
    <m/>
    <m/>
    <m/>
    <n v="852.46560000000011"/>
    <d v="2023-03-11T00:00:00"/>
    <n v="0"/>
    <n v="0"/>
    <n v="0"/>
    <n v="0"/>
    <n v="0"/>
    <n v="0"/>
    <n v="0"/>
    <x v="0"/>
    <n v="53705.332800000004"/>
    <n v="53705.332800000004"/>
    <n v="0"/>
    <n v="0"/>
    <x v="0"/>
    <x v="23"/>
  </r>
  <r>
    <s v="ORD02782"/>
    <d v="2024-12-03T00:00:00"/>
    <x v="491"/>
    <x v="292"/>
    <n v="90"/>
    <s v="INV02782"/>
    <n v="90"/>
    <n v="850.88400000000001"/>
    <m/>
    <m/>
    <m/>
    <m/>
    <m/>
    <n v="850.88400000000001"/>
    <d v="2023-06-23T00:00:00"/>
    <n v="0"/>
    <n v="0"/>
    <n v="0"/>
    <n v="0"/>
    <n v="0"/>
    <n v="0"/>
    <n v="0"/>
    <x v="0"/>
    <n v="76579.56"/>
    <n v="76579.56"/>
    <n v="0"/>
    <n v="0"/>
    <x v="0"/>
    <x v="1"/>
  </r>
  <r>
    <s v="ORD02783"/>
    <d v="2023-04-01T00:00:00"/>
    <x v="598"/>
    <x v="258"/>
    <n v="170"/>
    <s v="INV02783"/>
    <n v="170"/>
    <n v="486.65440000000001"/>
    <n v="6"/>
    <d v="2023-09-18T00:00:00"/>
    <m/>
    <m/>
    <m/>
    <n v="486.65440000000001"/>
    <d v="2022-07-21T00:00:00"/>
    <n v="0"/>
    <n v="0"/>
    <n v="0"/>
    <n v="0"/>
    <n v="0"/>
    <n v="1"/>
    <n v="0"/>
    <x v="1"/>
    <n v="82731.248000000007"/>
    <n v="82731.248000000007"/>
    <n v="0"/>
    <n v="2"/>
    <x v="1"/>
    <x v="23"/>
  </r>
  <r>
    <s v="ORD02784"/>
    <d v="2024-10-16T00:00:00"/>
    <x v="534"/>
    <x v="167"/>
    <n v="149"/>
    <s v="INV02784"/>
    <n v="149"/>
    <n v="226.1644"/>
    <m/>
    <m/>
    <m/>
    <m/>
    <m/>
    <n v="226.1644"/>
    <d v="2023-08-01T00:00:00"/>
    <n v="0"/>
    <n v="0"/>
    <n v="0"/>
    <n v="0"/>
    <n v="0"/>
    <n v="0"/>
    <n v="0"/>
    <x v="0"/>
    <n v="33698.495600000002"/>
    <n v="33698.495600000002"/>
    <n v="0"/>
    <n v="0"/>
    <x v="0"/>
    <x v="5"/>
  </r>
  <r>
    <s v="ORD02785"/>
    <d v="2023-02-10T00:00:00"/>
    <x v="25"/>
    <x v="121"/>
    <n v="165"/>
    <s v="INV02785"/>
    <n v="165"/>
    <n v="1032.2340000000002"/>
    <m/>
    <m/>
    <m/>
    <m/>
    <m/>
    <n v="1032.2340000000002"/>
    <d v="2022-08-25T00:00:00"/>
    <n v="0"/>
    <n v="0"/>
    <n v="0"/>
    <n v="0"/>
    <n v="0"/>
    <n v="0"/>
    <n v="0"/>
    <x v="0"/>
    <n v="170318.61000000002"/>
    <n v="170318.61000000002"/>
    <n v="0"/>
    <n v="0"/>
    <x v="0"/>
    <x v="11"/>
  </r>
  <r>
    <s v="ORD02786"/>
    <d v="2024-03-15T00:00:00"/>
    <x v="233"/>
    <x v="92"/>
    <n v="4"/>
    <s v="INV02786"/>
    <n v="4"/>
    <n v="833.73500000000001"/>
    <m/>
    <m/>
    <m/>
    <m/>
    <m/>
    <n v="833.73500000000001"/>
    <d v="2023-08-29T00:00:00"/>
    <n v="0"/>
    <n v="0"/>
    <n v="0"/>
    <n v="0"/>
    <n v="0"/>
    <n v="0"/>
    <n v="0"/>
    <x v="0"/>
    <n v="3334.94"/>
    <n v="3334.94"/>
    <n v="0"/>
    <n v="0"/>
    <x v="0"/>
    <x v="6"/>
  </r>
  <r>
    <s v="ORD02787"/>
    <d v="2024-06-03T00:00:00"/>
    <x v="521"/>
    <x v="151"/>
    <n v="154"/>
    <s v="INV02787"/>
    <n v="154"/>
    <n v="212.73140000000001"/>
    <m/>
    <m/>
    <m/>
    <m/>
    <m/>
    <n v="212.73140000000001"/>
    <d v="2023-08-06T00:00:00"/>
    <n v="0"/>
    <n v="0"/>
    <n v="0"/>
    <n v="0"/>
    <n v="0"/>
    <n v="0"/>
    <n v="0"/>
    <x v="0"/>
    <n v="32760.635600000001"/>
    <n v="32760.635600000001"/>
    <n v="0"/>
    <n v="0"/>
    <x v="0"/>
    <x v="16"/>
  </r>
  <r>
    <s v="ORD02788"/>
    <d v="2023-10-12T00:00:00"/>
    <x v="117"/>
    <x v="138"/>
    <n v="83"/>
    <s v="INV02788"/>
    <n v="89"/>
    <n v="153.01650000000001"/>
    <n v="16"/>
    <d v="2023-06-29T00:00:00"/>
    <m/>
    <m/>
    <m/>
    <n v="153.01650000000001"/>
    <d v="2023-05-18T00:00:00"/>
    <n v="0"/>
    <n v="1"/>
    <n v="0"/>
    <n v="0"/>
    <n v="0"/>
    <n v="0"/>
    <n v="0"/>
    <x v="1"/>
    <n v="13618.468500000001"/>
    <n v="12700.369500000001"/>
    <n v="918.09900000000016"/>
    <n v="8"/>
    <x v="2"/>
    <x v="19"/>
  </r>
  <r>
    <s v="ORD02789"/>
    <d v="2024-03-27T00:00:00"/>
    <x v="619"/>
    <x v="84"/>
    <n v="17"/>
    <s v="INV02789"/>
    <n v="17"/>
    <n v="262.37120000000004"/>
    <m/>
    <m/>
    <m/>
    <m/>
    <m/>
    <n v="262.37120000000004"/>
    <d v="2023-06-28T00:00:00"/>
    <n v="0"/>
    <n v="0"/>
    <n v="0"/>
    <n v="0"/>
    <n v="0"/>
    <n v="0"/>
    <n v="0"/>
    <x v="0"/>
    <n v="4460.3104000000003"/>
    <n v="4460.3104000000003"/>
    <n v="0"/>
    <n v="0"/>
    <x v="0"/>
    <x v="6"/>
  </r>
  <r>
    <s v="ORD02790"/>
    <d v="2024-06-19T00:00:00"/>
    <x v="662"/>
    <x v="74"/>
    <n v="144"/>
    <s v="INV02790"/>
    <n v="144"/>
    <n v="1184.9544000000001"/>
    <m/>
    <m/>
    <m/>
    <m/>
    <m/>
    <n v="1184.9544000000001"/>
    <d v="2023-09-02T00:00:00"/>
    <n v="0"/>
    <n v="0"/>
    <n v="0"/>
    <n v="0"/>
    <n v="0"/>
    <n v="0"/>
    <n v="0"/>
    <x v="0"/>
    <n v="170633.43360000002"/>
    <n v="170633.43360000002"/>
    <n v="0"/>
    <n v="0"/>
    <x v="0"/>
    <x v="16"/>
  </r>
  <r>
    <s v="ORD02791"/>
    <d v="2024-02-29T00:00:00"/>
    <x v="458"/>
    <x v="53"/>
    <n v="138"/>
    <s v="INV02791"/>
    <n v="138"/>
    <n v="393.5586012382837"/>
    <m/>
    <m/>
    <m/>
    <m/>
    <m/>
    <n v="393.40140000000002"/>
    <d v="2023-08-08T00:00:00"/>
    <n v="0"/>
    <n v="0"/>
    <n v="1"/>
    <n v="0"/>
    <n v="0"/>
    <n v="0"/>
    <n v="0"/>
    <x v="1"/>
    <n v="54311.086970883152"/>
    <n v="54289.393200000006"/>
    <n v="21.693770883146499"/>
    <n v="4"/>
    <x v="1"/>
    <x v="3"/>
  </r>
  <r>
    <s v="ORD02792"/>
    <d v="2024-09-20T00:00:00"/>
    <x v="6"/>
    <x v="76"/>
    <n v="97"/>
    <s v="INV02792"/>
    <n v="97"/>
    <n v="1114.2336"/>
    <m/>
    <m/>
    <m/>
    <m/>
    <m/>
    <n v="1114.2336"/>
    <d v="2023-08-03T00:00:00"/>
    <n v="0"/>
    <n v="0"/>
    <n v="0"/>
    <n v="0"/>
    <n v="0"/>
    <n v="0"/>
    <n v="0"/>
    <x v="0"/>
    <n v="108080.65920000001"/>
    <n v="108080.65920000001"/>
    <n v="0"/>
    <n v="0"/>
    <x v="0"/>
    <x v="2"/>
  </r>
  <r>
    <s v="ORD02793"/>
    <d v="2023-07-05T00:00:00"/>
    <x v="779"/>
    <x v="209"/>
    <n v="1"/>
    <s v="INV02793"/>
    <n v="1"/>
    <n v="880.66300000000001"/>
    <m/>
    <m/>
    <m/>
    <m/>
    <m/>
    <n v="880.66300000000001"/>
    <d v="2023-02-09T00:00:00"/>
    <n v="0"/>
    <n v="0"/>
    <n v="0"/>
    <n v="0"/>
    <n v="0"/>
    <n v="0"/>
    <n v="0"/>
    <x v="0"/>
    <n v="880.66300000000001"/>
    <n v="880.66300000000001"/>
    <n v="0"/>
    <n v="0"/>
    <x v="0"/>
    <x v="10"/>
  </r>
  <r>
    <s v="ORD02794"/>
    <d v="2024-01-05T00:00:00"/>
    <x v="759"/>
    <x v="230"/>
    <n v="80"/>
    <s v="INV02794"/>
    <n v="80"/>
    <n v="234.87090000000001"/>
    <m/>
    <m/>
    <m/>
    <m/>
    <m/>
    <n v="234.87090000000001"/>
    <d v="2023-08-12T00:00:00"/>
    <n v="0"/>
    <n v="0"/>
    <n v="0"/>
    <n v="0"/>
    <n v="0"/>
    <n v="0"/>
    <n v="0"/>
    <x v="0"/>
    <n v="18789.671999999999"/>
    <n v="18789.671999999999"/>
    <n v="0"/>
    <n v="0"/>
    <x v="0"/>
    <x v="15"/>
  </r>
  <r>
    <s v="ORD02795"/>
    <d v="2024-06-15T00:00:00"/>
    <x v="400"/>
    <x v="154"/>
    <n v="73"/>
    <s v="INV02795"/>
    <n v="73"/>
    <n v="744.98490000000004"/>
    <m/>
    <m/>
    <m/>
    <m/>
    <m/>
    <n v="744.98490000000004"/>
    <d v="2023-07-31T00:00:00"/>
    <n v="0"/>
    <n v="0"/>
    <n v="0"/>
    <n v="0"/>
    <n v="0"/>
    <n v="0"/>
    <n v="0"/>
    <x v="0"/>
    <n v="54383.897700000001"/>
    <n v="54383.897700000001"/>
    <n v="0"/>
    <n v="0"/>
    <x v="0"/>
    <x v="16"/>
  </r>
  <r>
    <s v="ORD02796"/>
    <d v="2024-10-27T00:00:00"/>
    <x v="722"/>
    <x v="207"/>
    <n v="195"/>
    <s v="INV02796"/>
    <n v="195"/>
    <n v="287.90559999999999"/>
    <m/>
    <m/>
    <m/>
    <m/>
    <m/>
    <n v="287.90559999999999"/>
    <d v="2023-10-25T00:00:00"/>
    <n v="0"/>
    <n v="0"/>
    <n v="0"/>
    <n v="0"/>
    <n v="0"/>
    <n v="0"/>
    <n v="0"/>
    <x v="0"/>
    <n v="56141.591999999997"/>
    <n v="56141.591999999997"/>
    <n v="0"/>
    <n v="0"/>
    <x v="0"/>
    <x v="5"/>
  </r>
  <r>
    <s v="ORD02797"/>
    <d v="2023-02-23T00:00:00"/>
    <x v="473"/>
    <x v="276"/>
    <n v="19"/>
    <s v="INV02797"/>
    <n v="19"/>
    <n v="1077.26"/>
    <m/>
    <m/>
    <m/>
    <m/>
    <m/>
    <n v="1077.26"/>
    <d v="2022-05-30T00:00:00"/>
    <n v="0"/>
    <n v="0"/>
    <n v="0"/>
    <n v="0"/>
    <n v="0"/>
    <n v="0"/>
    <n v="0"/>
    <x v="0"/>
    <n v="20467.939999999999"/>
    <n v="20467.939999999999"/>
    <n v="0"/>
    <n v="0"/>
    <x v="0"/>
    <x v="11"/>
  </r>
  <r>
    <s v="ORD02798"/>
    <d v="2023-04-15T00:00:00"/>
    <x v="337"/>
    <x v="171"/>
    <n v="78"/>
    <s v="INV02798"/>
    <n v="78"/>
    <n v="121.13"/>
    <m/>
    <m/>
    <m/>
    <m/>
    <m/>
    <n v="121.13"/>
    <d v="2023-01-31T00:00:00"/>
    <n v="0"/>
    <n v="0"/>
    <n v="0"/>
    <n v="0"/>
    <n v="0"/>
    <n v="0"/>
    <n v="0"/>
    <x v="0"/>
    <n v="9448.14"/>
    <n v="9448.14"/>
    <n v="0"/>
    <n v="0"/>
    <x v="0"/>
    <x v="23"/>
  </r>
  <r>
    <s v="ORD02799"/>
    <d v="2024-03-25T00:00:00"/>
    <x v="304"/>
    <x v="291"/>
    <n v="183"/>
    <s v="INV02799"/>
    <n v="183"/>
    <n v="933.43190000000004"/>
    <m/>
    <m/>
    <m/>
    <m/>
    <m/>
    <n v="933.43190000000004"/>
    <d v="2023-03-26T00:00:00"/>
    <n v="0"/>
    <n v="0"/>
    <n v="0"/>
    <n v="0"/>
    <n v="0"/>
    <n v="0"/>
    <n v="0"/>
    <x v="0"/>
    <n v="170818.03770000002"/>
    <n v="170818.03770000002"/>
    <n v="0"/>
    <n v="0"/>
    <x v="0"/>
    <x v="6"/>
  </r>
  <r>
    <s v="ORD02800"/>
    <d v="2023-06-08T00:00:00"/>
    <x v="113"/>
    <x v="100"/>
    <n v="145"/>
    <s v="INV02800"/>
    <n v="153"/>
    <n v="1231.9933000000001"/>
    <m/>
    <m/>
    <m/>
    <m/>
    <m/>
    <n v="1231.9933000000001"/>
    <d v="2023-01-08T00:00:00"/>
    <n v="0"/>
    <n v="1"/>
    <n v="0"/>
    <n v="0"/>
    <n v="0"/>
    <n v="0"/>
    <n v="0"/>
    <x v="1"/>
    <n v="188494.9749"/>
    <n v="178639.02850000001"/>
    <n v="9855.9463999999862"/>
    <n v="8"/>
    <x v="2"/>
    <x v="14"/>
  </r>
  <r>
    <s v="ORD02801"/>
    <d v="2023-05-20T00:00:00"/>
    <x v="619"/>
    <x v="270"/>
    <n v="91"/>
    <s v="INV02801"/>
    <n v="91"/>
    <n v="1012.3984"/>
    <m/>
    <m/>
    <m/>
    <m/>
    <m/>
    <n v="1012.3984"/>
    <d v="2022-08-25T00:00:00"/>
    <n v="0"/>
    <n v="0"/>
    <n v="0"/>
    <n v="0"/>
    <n v="0"/>
    <n v="0"/>
    <n v="0"/>
    <x v="0"/>
    <n v="92128.254400000005"/>
    <n v="92128.254400000005"/>
    <n v="0"/>
    <n v="0"/>
    <x v="0"/>
    <x v="7"/>
  </r>
  <r>
    <s v="ORD02802"/>
    <d v="2024-08-05T00:00:00"/>
    <x v="621"/>
    <x v="97"/>
    <n v="42"/>
    <s v="INV02802"/>
    <n v="42"/>
    <n v="664.57040000000006"/>
    <m/>
    <m/>
    <m/>
    <m/>
    <m/>
    <n v="664.57040000000006"/>
    <d v="2023-05-20T00:00:00"/>
    <n v="0"/>
    <n v="0"/>
    <n v="0"/>
    <n v="0"/>
    <n v="0"/>
    <n v="0"/>
    <n v="0"/>
    <x v="0"/>
    <n v="27911.956800000004"/>
    <n v="27911.956800000004"/>
    <n v="0"/>
    <n v="0"/>
    <x v="0"/>
    <x v="22"/>
  </r>
  <r>
    <s v="ORD02803"/>
    <d v="2024-07-28T00:00:00"/>
    <x v="675"/>
    <x v="40"/>
    <n v="194"/>
    <s v="INV02803"/>
    <n v="194"/>
    <n v="182.4273"/>
    <m/>
    <m/>
    <m/>
    <m/>
    <m/>
    <n v="182.4273"/>
    <d v="2023-03-04T00:00:00"/>
    <n v="0"/>
    <n v="0"/>
    <n v="0"/>
    <n v="0"/>
    <n v="0"/>
    <n v="0"/>
    <n v="0"/>
    <x v="0"/>
    <n v="35390.896200000003"/>
    <n v="35390.896200000003"/>
    <n v="0"/>
    <n v="0"/>
    <x v="0"/>
    <x v="21"/>
  </r>
  <r>
    <s v="ORD02804"/>
    <d v="2024-01-19T00:00:00"/>
    <x v="515"/>
    <x v="192"/>
    <n v="167"/>
    <s v="INV02804"/>
    <n v="167"/>
    <n v="247.48920000000001"/>
    <m/>
    <m/>
    <m/>
    <m/>
    <m/>
    <n v="247.48920000000001"/>
    <d v="2023-06-11T00:00:00"/>
    <n v="0"/>
    <n v="0"/>
    <n v="0"/>
    <n v="0"/>
    <n v="0"/>
    <n v="0"/>
    <n v="0"/>
    <x v="0"/>
    <n v="41330.696400000001"/>
    <n v="41330.696400000001"/>
    <n v="0"/>
    <n v="0"/>
    <x v="0"/>
    <x v="15"/>
  </r>
  <r>
    <s v="ORD02805"/>
    <d v="2023-09-30T00:00:00"/>
    <x v="396"/>
    <x v="233"/>
    <n v="3"/>
    <s v="INV02805"/>
    <n v="3"/>
    <n v="799.8357000000002"/>
    <m/>
    <m/>
    <m/>
    <m/>
    <m/>
    <n v="799.8357000000002"/>
    <d v="2023-05-17T00:00:00"/>
    <n v="0"/>
    <n v="0"/>
    <n v="0"/>
    <n v="0"/>
    <n v="0"/>
    <n v="0"/>
    <n v="0"/>
    <x v="0"/>
    <n v="2399.5071000000007"/>
    <n v="2399.5071000000007"/>
    <n v="0"/>
    <n v="0"/>
    <x v="0"/>
    <x v="18"/>
  </r>
  <r>
    <s v="ORD02806"/>
    <d v="2023-06-14T00:00:00"/>
    <x v="536"/>
    <x v="58"/>
    <n v="131"/>
    <s v="INV02806"/>
    <n v="131"/>
    <n v="601.32929999999999"/>
    <m/>
    <m/>
    <m/>
    <m/>
    <m/>
    <n v="601.32929999999999"/>
    <d v="2023-02-05T00:00:00"/>
    <n v="0"/>
    <n v="0"/>
    <n v="0"/>
    <n v="0"/>
    <n v="0"/>
    <n v="0"/>
    <n v="0"/>
    <x v="0"/>
    <n v="78774.138299999991"/>
    <n v="78774.138299999991"/>
    <n v="0"/>
    <n v="0"/>
    <x v="0"/>
    <x v="14"/>
  </r>
  <r>
    <s v="ORD02807"/>
    <d v="2024-09-23T00:00:00"/>
    <x v="216"/>
    <x v="33"/>
    <n v="3"/>
    <s v="INV02807"/>
    <n v="3"/>
    <n v="54.580199999999998"/>
    <m/>
    <m/>
    <m/>
    <m/>
    <m/>
    <n v="54.580199999999998"/>
    <d v="2023-02-27T00:00:00"/>
    <n v="0"/>
    <n v="0"/>
    <n v="0"/>
    <n v="0"/>
    <n v="0"/>
    <n v="0"/>
    <n v="0"/>
    <x v="0"/>
    <n v="163.7406"/>
    <n v="163.7406"/>
    <n v="0"/>
    <n v="0"/>
    <x v="0"/>
    <x v="2"/>
  </r>
  <r>
    <s v="ORD02808"/>
    <d v="2024-07-24T00:00:00"/>
    <x v="336"/>
    <x v="1"/>
    <n v="113"/>
    <s v="INV02808"/>
    <n v="113"/>
    <n v="444.22"/>
    <m/>
    <m/>
    <m/>
    <m/>
    <m/>
    <n v="444.22"/>
    <d v="2023-05-28T00:00:00"/>
    <n v="0"/>
    <n v="0"/>
    <n v="0"/>
    <n v="0"/>
    <n v="0"/>
    <n v="0"/>
    <n v="0"/>
    <x v="0"/>
    <n v="50196.86"/>
    <n v="50196.86"/>
    <n v="0"/>
    <n v="0"/>
    <x v="0"/>
    <x v="21"/>
  </r>
  <r>
    <s v="ORD02809"/>
    <d v="2024-09-14T00:00:00"/>
    <x v="261"/>
    <x v="130"/>
    <n v="46"/>
    <s v="INV02809"/>
    <n v="46"/>
    <n v="58.98"/>
    <m/>
    <m/>
    <m/>
    <m/>
    <m/>
    <n v="58.98"/>
    <d v="2023-01-08T00:00:00"/>
    <n v="0"/>
    <n v="0"/>
    <n v="0"/>
    <n v="0"/>
    <n v="0"/>
    <n v="0"/>
    <n v="0"/>
    <x v="0"/>
    <n v="2713.08"/>
    <n v="2713.08"/>
    <n v="0"/>
    <n v="0"/>
    <x v="0"/>
    <x v="2"/>
  </r>
  <r>
    <s v="ORD02810"/>
    <d v="2023-02-08T00:00:00"/>
    <x v="646"/>
    <x v="70"/>
    <n v="61"/>
    <s v="INV02810"/>
    <n v="61"/>
    <n v="72.858600000000024"/>
    <m/>
    <m/>
    <m/>
    <m/>
    <m/>
    <n v="72.858600000000024"/>
    <d v="2022-11-17T00:00:00"/>
    <n v="0"/>
    <n v="0"/>
    <n v="0"/>
    <n v="0"/>
    <n v="0"/>
    <n v="0"/>
    <n v="0"/>
    <x v="0"/>
    <n v="4444.374600000001"/>
    <n v="4444.374600000001"/>
    <n v="0"/>
    <n v="0"/>
    <x v="0"/>
    <x v="11"/>
  </r>
  <r>
    <s v="ORD02811"/>
    <d v="2023-10-29T00:00:00"/>
    <x v="515"/>
    <x v="46"/>
    <n v="146"/>
    <s v="INV02811"/>
    <n v="146"/>
    <n v="509.36320000000001"/>
    <m/>
    <m/>
    <m/>
    <m/>
    <m/>
    <n v="509.36320000000001"/>
    <d v="2023-09-02T00:00:00"/>
    <n v="0"/>
    <n v="0"/>
    <n v="0"/>
    <n v="0"/>
    <n v="0"/>
    <n v="0"/>
    <n v="0"/>
    <x v="0"/>
    <n v="74367.027199999997"/>
    <n v="74367.027199999997"/>
    <n v="0"/>
    <n v="0"/>
    <x v="0"/>
    <x v="19"/>
  </r>
  <r>
    <s v="ORD02812"/>
    <d v="2023-07-12T00:00:00"/>
    <x v="633"/>
    <x v="247"/>
    <n v="137"/>
    <s v="INV02812"/>
    <n v="147"/>
    <n v="648.86940000000004"/>
    <m/>
    <m/>
    <m/>
    <m/>
    <m/>
    <n v="648.86940000000004"/>
    <d v="2023-05-18T00:00:00"/>
    <n v="0"/>
    <n v="1"/>
    <n v="0"/>
    <n v="0"/>
    <n v="0"/>
    <n v="0"/>
    <n v="0"/>
    <x v="1"/>
    <n v="95383.801800000001"/>
    <n v="88895.107800000013"/>
    <n v="6488.6939999999886"/>
    <n v="8"/>
    <x v="2"/>
    <x v="10"/>
  </r>
  <r>
    <s v="ORD02813"/>
    <d v="2024-10-31T00:00:00"/>
    <x v="773"/>
    <x v="59"/>
    <n v="25"/>
    <s v="INV02813"/>
    <n v="25"/>
    <n v="942.54840000000013"/>
    <m/>
    <m/>
    <m/>
    <m/>
    <m/>
    <n v="942.54840000000013"/>
    <d v="2023-06-09T00:00:00"/>
    <n v="0"/>
    <n v="0"/>
    <n v="0"/>
    <n v="0"/>
    <n v="0"/>
    <n v="0"/>
    <n v="0"/>
    <x v="0"/>
    <n v="23563.710000000003"/>
    <n v="23563.710000000003"/>
    <n v="0"/>
    <n v="0"/>
    <x v="0"/>
    <x v="5"/>
  </r>
  <r>
    <s v="ORD02814"/>
    <d v="2023-11-17T00:00:00"/>
    <x v="696"/>
    <x v="73"/>
    <n v="124"/>
    <s v="INV02814"/>
    <n v="124"/>
    <n v="1006.5033"/>
    <m/>
    <m/>
    <m/>
    <m/>
    <m/>
    <n v="1006.5033"/>
    <d v="2023-07-16T00:00:00"/>
    <n v="0"/>
    <n v="0"/>
    <n v="0"/>
    <n v="0"/>
    <n v="0"/>
    <n v="0"/>
    <n v="0"/>
    <x v="0"/>
    <n v="124806.40919999999"/>
    <n v="124806.40919999999"/>
    <n v="0"/>
    <n v="0"/>
    <x v="0"/>
    <x v="0"/>
  </r>
  <r>
    <s v="ORD02815"/>
    <d v="2024-12-08T00:00:00"/>
    <x v="678"/>
    <x v="157"/>
    <n v="16"/>
    <s v="INV02815"/>
    <n v="16"/>
    <n v="1158.2643"/>
    <m/>
    <m/>
    <m/>
    <m/>
    <m/>
    <n v="1158.2643"/>
    <d v="2023-07-12T00:00:00"/>
    <n v="0"/>
    <n v="0"/>
    <n v="0"/>
    <n v="0"/>
    <n v="0"/>
    <n v="0"/>
    <n v="0"/>
    <x v="0"/>
    <n v="18532.228800000001"/>
    <n v="18532.228800000001"/>
    <n v="0"/>
    <n v="0"/>
    <x v="0"/>
    <x v="1"/>
  </r>
  <r>
    <s v="ORD02816"/>
    <d v="2023-11-18T00:00:00"/>
    <x v="444"/>
    <x v="147"/>
    <n v="44"/>
    <s v="INV02816"/>
    <n v="44"/>
    <n v="1195.6769999999999"/>
    <m/>
    <m/>
    <m/>
    <m/>
    <m/>
    <n v="1195.6769999999999"/>
    <d v="2023-03-25T00:00:00"/>
    <n v="0"/>
    <n v="0"/>
    <n v="0"/>
    <n v="0"/>
    <n v="0"/>
    <n v="0"/>
    <n v="0"/>
    <x v="0"/>
    <n v="52609.787999999993"/>
    <n v="52609.787999999993"/>
    <n v="0"/>
    <n v="0"/>
    <x v="0"/>
    <x v="0"/>
  </r>
  <r>
    <s v="ORD02817"/>
    <d v="2023-04-25T00:00:00"/>
    <x v="147"/>
    <x v="142"/>
    <n v="118"/>
    <s v="INV02817"/>
    <n v="118"/>
    <n v="752.48910000000001"/>
    <m/>
    <m/>
    <m/>
    <m/>
    <m/>
    <n v="752.48910000000001"/>
    <d v="2023-01-27T00:00:00"/>
    <n v="0"/>
    <n v="0"/>
    <n v="0"/>
    <n v="0"/>
    <n v="0"/>
    <n v="0"/>
    <n v="0"/>
    <x v="0"/>
    <n v="88793.713799999998"/>
    <n v="88793.713799999998"/>
    <n v="0"/>
    <n v="0"/>
    <x v="0"/>
    <x v="23"/>
  </r>
  <r>
    <s v="ORD02818"/>
    <d v="2024-04-07T00:00:00"/>
    <x v="428"/>
    <x v="232"/>
    <n v="76"/>
    <s v="INV02818"/>
    <n v="76"/>
    <n v="1065.7722000000001"/>
    <m/>
    <m/>
    <m/>
    <m/>
    <m/>
    <n v="1065.7722000000001"/>
    <d v="2023-01-10T00:00:00"/>
    <n v="0"/>
    <n v="0"/>
    <n v="0"/>
    <n v="0"/>
    <n v="0"/>
    <n v="0"/>
    <n v="0"/>
    <x v="0"/>
    <n v="80998.687200000015"/>
    <n v="80998.687200000015"/>
    <n v="0"/>
    <n v="0"/>
    <x v="0"/>
    <x v="9"/>
  </r>
  <r>
    <s v="ORD02819"/>
    <d v="2023-08-31T00:00:00"/>
    <x v="482"/>
    <x v="8"/>
    <n v="76"/>
    <s v="INV02819"/>
    <n v="76"/>
    <n v="365.95330000000001"/>
    <m/>
    <m/>
    <m/>
    <m/>
    <m/>
    <n v="365.95330000000001"/>
    <d v="2022-09-20T00:00:00"/>
    <n v="0"/>
    <n v="0"/>
    <n v="0"/>
    <n v="0"/>
    <n v="0"/>
    <n v="0"/>
    <n v="0"/>
    <x v="0"/>
    <n v="27812.450800000002"/>
    <n v="27812.450800000002"/>
    <n v="0"/>
    <n v="0"/>
    <x v="0"/>
    <x v="12"/>
  </r>
  <r>
    <s v="ORD02820"/>
    <d v="2024-09-07T00:00:00"/>
    <x v="758"/>
    <x v="68"/>
    <n v="147"/>
    <s v="INV02820"/>
    <n v="147"/>
    <n v="168.12909999999999"/>
    <m/>
    <m/>
    <m/>
    <m/>
    <m/>
    <n v="168.12909999999999"/>
    <d v="2023-03-28T00:00:00"/>
    <n v="0"/>
    <n v="0"/>
    <n v="0"/>
    <n v="0"/>
    <n v="0"/>
    <n v="0"/>
    <n v="0"/>
    <x v="0"/>
    <n v="24714.977699999999"/>
    <n v="24714.977699999999"/>
    <n v="0"/>
    <n v="0"/>
    <x v="0"/>
    <x v="2"/>
  </r>
  <r>
    <s v="ORD02821"/>
    <d v="2023-01-27T00:00:00"/>
    <x v="404"/>
    <x v="64"/>
    <n v="199"/>
    <s v="INV02821"/>
    <n v="199"/>
    <n v="1141.1433"/>
    <m/>
    <m/>
    <m/>
    <m/>
    <m/>
    <n v="1141.1433"/>
    <d v="2023-01-25T00:00:00"/>
    <n v="0"/>
    <n v="0"/>
    <n v="0"/>
    <n v="0"/>
    <n v="0"/>
    <n v="0"/>
    <n v="0"/>
    <x v="0"/>
    <n v="227087.51669999998"/>
    <n v="227087.51669999998"/>
    <n v="0"/>
    <n v="0"/>
    <x v="0"/>
    <x v="8"/>
  </r>
  <r>
    <s v="ORD02822"/>
    <d v="2023-06-01T00:00:00"/>
    <x v="709"/>
    <x v="12"/>
    <n v="67"/>
    <s v="INV02822"/>
    <n v="67"/>
    <n v="725.50320000000011"/>
    <n v="5"/>
    <d v="2024-08-13T00:00:00"/>
    <m/>
    <m/>
    <m/>
    <n v="725.50320000000011"/>
    <d v="2022-10-24T00:00:00"/>
    <n v="0"/>
    <n v="0"/>
    <n v="0"/>
    <n v="0"/>
    <n v="0"/>
    <n v="1"/>
    <n v="0"/>
    <x v="1"/>
    <n v="48608.714400000004"/>
    <n v="48608.714400000004"/>
    <n v="0"/>
    <n v="2"/>
    <x v="1"/>
    <x v="14"/>
  </r>
  <r>
    <s v="ORD02823"/>
    <d v="2023-04-26T00:00:00"/>
    <x v="155"/>
    <x v="141"/>
    <n v="20"/>
    <s v="INV02823"/>
    <n v="20"/>
    <n v="785.89"/>
    <m/>
    <m/>
    <m/>
    <m/>
    <m/>
    <n v="785.89"/>
    <d v="2023-03-04T00:00:00"/>
    <n v="0"/>
    <n v="0"/>
    <n v="0"/>
    <n v="0"/>
    <n v="0"/>
    <n v="0"/>
    <n v="0"/>
    <x v="0"/>
    <n v="15717.8"/>
    <n v="15717.8"/>
    <n v="0"/>
    <n v="0"/>
    <x v="0"/>
    <x v="23"/>
  </r>
  <r>
    <s v="ORD02824"/>
    <d v="2023-07-06T00:00:00"/>
    <x v="481"/>
    <x v="255"/>
    <n v="75"/>
    <s v="INV02824"/>
    <n v="75"/>
    <n v="1178.6880000000001"/>
    <m/>
    <m/>
    <m/>
    <m/>
    <m/>
    <n v="1178.6880000000001"/>
    <d v="2023-01-04T00:00:00"/>
    <n v="0"/>
    <n v="0"/>
    <n v="0"/>
    <n v="0"/>
    <n v="0"/>
    <n v="0"/>
    <n v="0"/>
    <x v="0"/>
    <n v="88401.600000000006"/>
    <n v="88401.600000000006"/>
    <n v="0"/>
    <n v="0"/>
    <x v="0"/>
    <x v="10"/>
  </r>
  <r>
    <s v="ORD02825"/>
    <d v="2023-01-25T00:00:00"/>
    <x v="112"/>
    <x v="175"/>
    <n v="108"/>
    <s v="INV02825"/>
    <n v="108"/>
    <n v="212.07900000000001"/>
    <m/>
    <m/>
    <m/>
    <m/>
    <m/>
    <n v="212.07900000000001"/>
    <d v="2022-10-28T00:00:00"/>
    <n v="0"/>
    <n v="0"/>
    <n v="0"/>
    <n v="0"/>
    <n v="0"/>
    <n v="0"/>
    <n v="0"/>
    <x v="0"/>
    <n v="22904.531999999999"/>
    <n v="22904.531999999999"/>
    <n v="0"/>
    <n v="0"/>
    <x v="0"/>
    <x v="8"/>
  </r>
  <r>
    <s v="ORD02826"/>
    <d v="2024-02-22T00:00:00"/>
    <x v="267"/>
    <x v="212"/>
    <n v="158"/>
    <s v="INV02826"/>
    <n v="158"/>
    <n v="1167.9120000000005"/>
    <m/>
    <m/>
    <m/>
    <m/>
    <m/>
    <n v="1167.9120000000005"/>
    <d v="2023-04-03T00:00:00"/>
    <n v="0"/>
    <n v="0"/>
    <n v="0"/>
    <n v="0"/>
    <n v="0"/>
    <n v="0"/>
    <n v="0"/>
    <x v="0"/>
    <n v="184530.09600000008"/>
    <n v="184530.09600000008"/>
    <n v="0"/>
    <n v="0"/>
    <x v="0"/>
    <x v="3"/>
  </r>
  <r>
    <s v="ORD02827"/>
    <d v="2024-09-02T00:00:00"/>
    <x v="352"/>
    <x v="224"/>
    <n v="108"/>
    <s v="INV02827"/>
    <n v="108"/>
    <n v="377.08350000000002"/>
    <m/>
    <m/>
    <m/>
    <m/>
    <m/>
    <n v="377.08350000000002"/>
    <d v="2023-05-18T00:00:00"/>
    <n v="0"/>
    <n v="0"/>
    <n v="0"/>
    <n v="0"/>
    <n v="0"/>
    <n v="0"/>
    <n v="0"/>
    <x v="0"/>
    <n v="40725.018000000004"/>
    <n v="40725.018000000004"/>
    <n v="0"/>
    <n v="0"/>
    <x v="0"/>
    <x v="2"/>
  </r>
  <r>
    <s v="ORD02828"/>
    <d v="2023-11-25T00:00:00"/>
    <x v="98"/>
    <x v="2"/>
    <n v="140"/>
    <s v="INV02828"/>
    <n v="140"/>
    <n v="189.1498"/>
    <n v="13"/>
    <d v="2023-04-23T00:00:00"/>
    <m/>
    <m/>
    <m/>
    <n v="189.1498"/>
    <d v="2023-07-01T00:00:00"/>
    <n v="0"/>
    <n v="0"/>
    <n v="0"/>
    <n v="0"/>
    <n v="0"/>
    <n v="0"/>
    <n v="0"/>
    <x v="0"/>
    <n v="26480.972000000002"/>
    <n v="26480.972000000002"/>
    <n v="0"/>
    <n v="0"/>
    <x v="0"/>
    <x v="0"/>
  </r>
  <r>
    <s v="ORD02829"/>
    <d v="2024-01-19T00:00:00"/>
    <x v="682"/>
    <x v="154"/>
    <n v="166"/>
    <s v="INV02829"/>
    <n v="166"/>
    <n v="744.98490000000004"/>
    <m/>
    <m/>
    <m/>
    <m/>
    <m/>
    <n v="744.98490000000004"/>
    <d v="2023-07-31T00:00:00"/>
    <n v="0"/>
    <n v="0"/>
    <n v="0"/>
    <n v="0"/>
    <n v="0"/>
    <n v="0"/>
    <n v="0"/>
    <x v="0"/>
    <n v="123667.49340000001"/>
    <n v="123667.49340000001"/>
    <n v="0"/>
    <n v="0"/>
    <x v="0"/>
    <x v="15"/>
  </r>
  <r>
    <s v="ORD02830"/>
    <d v="2024-11-26T00:00:00"/>
    <x v="708"/>
    <x v="101"/>
    <n v="124"/>
    <s v="INV02830"/>
    <n v="124"/>
    <n v="1223.9694"/>
    <m/>
    <m/>
    <m/>
    <m/>
    <m/>
    <n v="1223.9694"/>
    <d v="2023-08-16T00:00:00"/>
    <n v="0"/>
    <n v="0"/>
    <n v="0"/>
    <n v="0"/>
    <n v="0"/>
    <n v="0"/>
    <n v="0"/>
    <x v="0"/>
    <n v="151772.20559999999"/>
    <n v="151772.20559999999"/>
    <n v="0"/>
    <n v="0"/>
    <x v="0"/>
    <x v="4"/>
  </r>
  <r>
    <s v="ORD02831"/>
    <d v="2023-02-01T00:00:00"/>
    <x v="718"/>
    <x v="282"/>
    <n v="78"/>
    <s v="INV02831"/>
    <n v="78"/>
    <n v="428.59800000000007"/>
    <m/>
    <m/>
    <m/>
    <m/>
    <m/>
    <n v="428.59800000000007"/>
    <d v="2022-08-25T00:00:00"/>
    <n v="0"/>
    <n v="0"/>
    <n v="0"/>
    <n v="0"/>
    <n v="0"/>
    <n v="0"/>
    <n v="0"/>
    <x v="0"/>
    <n v="33430.644000000008"/>
    <n v="33430.644000000008"/>
    <n v="0"/>
    <n v="0"/>
    <x v="0"/>
    <x v="11"/>
  </r>
  <r>
    <s v="ORD02832"/>
    <d v="2024-10-31T00:00:00"/>
    <x v="730"/>
    <x v="86"/>
    <n v="125"/>
    <s v="INV02832"/>
    <n v="125"/>
    <n v="245.8853"/>
    <m/>
    <m/>
    <m/>
    <m/>
    <m/>
    <n v="245.8853"/>
    <d v="2023-04-09T00:00:00"/>
    <n v="0"/>
    <n v="0"/>
    <n v="0"/>
    <n v="0"/>
    <n v="0"/>
    <n v="0"/>
    <n v="0"/>
    <x v="0"/>
    <n v="30735.662499999999"/>
    <n v="30735.662499999999"/>
    <n v="0"/>
    <n v="0"/>
    <x v="0"/>
    <x v="5"/>
  </r>
  <r>
    <s v="ORD02833"/>
    <d v="2024-12-01T00:00:00"/>
    <x v="577"/>
    <x v="218"/>
    <n v="51"/>
    <s v="INV02833"/>
    <n v="51"/>
    <n v="960.85850000000005"/>
    <m/>
    <m/>
    <m/>
    <m/>
    <m/>
    <n v="960.85850000000005"/>
    <d v="2023-05-03T00:00:00"/>
    <n v="0"/>
    <n v="0"/>
    <n v="0"/>
    <n v="0"/>
    <n v="0"/>
    <n v="0"/>
    <n v="0"/>
    <x v="0"/>
    <n v="49003.783500000005"/>
    <n v="49003.783500000005"/>
    <n v="0"/>
    <n v="0"/>
    <x v="0"/>
    <x v="1"/>
  </r>
  <r>
    <s v="ORD02834"/>
    <d v="2024-06-14T00:00:00"/>
    <x v="36"/>
    <x v="273"/>
    <n v="12"/>
    <s v="INV02834"/>
    <n v="12"/>
    <n v="1247.7911999999999"/>
    <m/>
    <m/>
    <m/>
    <m/>
    <m/>
    <n v="1247.7911999999999"/>
    <d v="2023-10-14T00:00:00"/>
    <n v="0"/>
    <n v="0"/>
    <n v="0"/>
    <n v="0"/>
    <n v="0"/>
    <n v="0"/>
    <n v="0"/>
    <x v="0"/>
    <n v="14973.4944"/>
    <n v="14973.4944"/>
    <n v="0"/>
    <n v="0"/>
    <x v="0"/>
    <x v="16"/>
  </r>
  <r>
    <s v="ORD02835"/>
    <d v="2024-12-26T00:00:00"/>
    <x v="450"/>
    <x v="28"/>
    <n v="181"/>
    <s v="INV02835"/>
    <n v="181"/>
    <n v="957.65700000000015"/>
    <m/>
    <m/>
    <m/>
    <m/>
    <m/>
    <n v="957.65700000000015"/>
    <d v="2023-05-11T00:00:00"/>
    <n v="0"/>
    <n v="0"/>
    <n v="0"/>
    <n v="0"/>
    <n v="0"/>
    <n v="0"/>
    <n v="0"/>
    <x v="0"/>
    <n v="173335.91700000002"/>
    <n v="173335.91700000002"/>
    <n v="0"/>
    <n v="0"/>
    <x v="0"/>
    <x v="1"/>
  </r>
  <r>
    <s v="ORD02836"/>
    <d v="2024-07-18T00:00:00"/>
    <x v="246"/>
    <x v="90"/>
    <n v="17"/>
    <s v="INV02836"/>
    <n v="25"/>
    <n v="249.1748"/>
    <m/>
    <m/>
    <m/>
    <m/>
    <m/>
    <n v="249.1748"/>
    <d v="2023-08-03T00:00:00"/>
    <n v="0"/>
    <n v="1"/>
    <n v="0"/>
    <n v="0"/>
    <n v="0"/>
    <n v="0"/>
    <n v="0"/>
    <x v="1"/>
    <n v="6229.37"/>
    <n v="4235.9715999999999"/>
    <n v="1993.3984"/>
    <n v="8"/>
    <x v="2"/>
    <x v="21"/>
  </r>
  <r>
    <s v="ORD02837"/>
    <d v="2023-08-12T00:00:00"/>
    <x v="537"/>
    <x v="88"/>
    <n v="78"/>
    <s v="INV02837"/>
    <n v="78"/>
    <n v="211.68960000000001"/>
    <n v="12"/>
    <d v="2024-08-12T00:00:00"/>
    <m/>
    <m/>
    <m/>
    <n v="211.68960000000001"/>
    <d v="2023-07-22T00:00:00"/>
    <n v="0"/>
    <n v="0"/>
    <n v="0"/>
    <n v="0"/>
    <n v="0"/>
    <n v="1"/>
    <n v="0"/>
    <x v="1"/>
    <n v="16511.788800000002"/>
    <n v="16511.788800000002"/>
    <n v="0"/>
    <n v="2"/>
    <x v="1"/>
    <x v="12"/>
  </r>
  <r>
    <s v="ORD02838"/>
    <d v="2023-07-07T00:00:00"/>
    <x v="30"/>
    <x v="213"/>
    <n v="90"/>
    <s v="INV02838"/>
    <n v="90"/>
    <n v="855.83360000000005"/>
    <m/>
    <m/>
    <m/>
    <m/>
    <m/>
    <n v="855.83360000000005"/>
    <d v="2023-05-03T00:00:00"/>
    <n v="0"/>
    <n v="0"/>
    <n v="0"/>
    <n v="0"/>
    <n v="0"/>
    <n v="0"/>
    <n v="0"/>
    <x v="0"/>
    <n v="77025.024000000005"/>
    <n v="77025.024000000005"/>
    <n v="0"/>
    <n v="0"/>
    <x v="0"/>
    <x v="10"/>
  </r>
  <r>
    <s v="ORD02839"/>
    <d v="2024-02-20T00:00:00"/>
    <x v="257"/>
    <x v="141"/>
    <n v="68"/>
    <s v="INV02839"/>
    <n v="68"/>
    <n v="785.89"/>
    <m/>
    <m/>
    <m/>
    <m/>
    <m/>
    <n v="785.89"/>
    <d v="2023-03-04T00:00:00"/>
    <n v="0"/>
    <n v="0"/>
    <n v="0"/>
    <n v="0"/>
    <n v="0"/>
    <n v="0"/>
    <n v="0"/>
    <x v="0"/>
    <n v="53440.52"/>
    <n v="53440.52"/>
    <n v="0"/>
    <n v="0"/>
    <x v="0"/>
    <x v="3"/>
  </r>
  <r>
    <s v="ORD02840"/>
    <d v="2024-07-18T00:00:00"/>
    <x v="643"/>
    <x v="158"/>
    <n v="148"/>
    <s v="INV02840"/>
    <n v="148"/>
    <n v="754.20799999999997"/>
    <m/>
    <m/>
    <m/>
    <m/>
    <m/>
    <n v="754.20799999999997"/>
    <d v="2023-05-23T00:00:00"/>
    <n v="0"/>
    <n v="0"/>
    <n v="0"/>
    <n v="0"/>
    <n v="0"/>
    <n v="0"/>
    <n v="0"/>
    <x v="0"/>
    <n v="111622.784"/>
    <n v="111622.784"/>
    <n v="0"/>
    <n v="0"/>
    <x v="0"/>
    <x v="21"/>
  </r>
  <r>
    <s v="ORD02841"/>
    <d v="2024-06-09T00:00:00"/>
    <x v="44"/>
    <x v="38"/>
    <n v="136"/>
    <s v="INV02841"/>
    <n v="136"/>
    <n v="454.98379999999997"/>
    <m/>
    <m/>
    <m/>
    <m/>
    <m/>
    <n v="454.98379999999997"/>
    <d v="2023-03-26T00:00:00"/>
    <n v="0"/>
    <n v="0"/>
    <n v="0"/>
    <n v="0"/>
    <n v="0"/>
    <n v="0"/>
    <n v="0"/>
    <x v="0"/>
    <n v="61877.796799999996"/>
    <n v="61877.796799999996"/>
    <n v="0"/>
    <n v="0"/>
    <x v="0"/>
    <x v="16"/>
  </r>
  <r>
    <s v="ORD02842"/>
    <d v="2024-08-11T00:00:00"/>
    <x v="6"/>
    <x v="133"/>
    <n v="135"/>
    <s v="INV02842"/>
    <n v="135"/>
    <n v="1220.5917999999999"/>
    <m/>
    <m/>
    <m/>
    <m/>
    <m/>
    <n v="1220.5917999999999"/>
    <d v="2023-08-15T00:00:00"/>
    <n v="0"/>
    <n v="0"/>
    <n v="0"/>
    <n v="0"/>
    <n v="0"/>
    <n v="0"/>
    <n v="0"/>
    <x v="0"/>
    <n v="164779.89299999998"/>
    <n v="164779.89299999998"/>
    <n v="0"/>
    <n v="0"/>
    <x v="0"/>
    <x v="22"/>
  </r>
  <r>
    <s v="ORD02843"/>
    <d v="2024-05-06T00:00:00"/>
    <x v="499"/>
    <x v="136"/>
    <n v="131"/>
    <s v="INV02843"/>
    <n v="131"/>
    <n v="216.36780072401376"/>
    <m/>
    <m/>
    <m/>
    <m/>
    <m/>
    <n v="216.2484"/>
    <d v="2023-01-18T00:00:00"/>
    <n v="0"/>
    <n v="0"/>
    <n v="1"/>
    <n v="0"/>
    <n v="0"/>
    <n v="0"/>
    <n v="0"/>
    <x v="1"/>
    <n v="28344.181894845802"/>
    <n v="28328.540400000002"/>
    <n v="15.64149484580048"/>
    <n v="4"/>
    <x v="1"/>
    <x v="13"/>
  </r>
  <r>
    <s v="ORD02844"/>
    <d v="2023-12-26T00:00:00"/>
    <x v="552"/>
    <x v="51"/>
    <n v="124"/>
    <s v="INV02844"/>
    <n v="124"/>
    <n v="580.38720000000001"/>
    <m/>
    <m/>
    <m/>
    <m/>
    <m/>
    <n v="580.38720000000001"/>
    <d v="2023-09-11T00:00:00"/>
    <n v="0"/>
    <n v="0"/>
    <n v="0"/>
    <n v="0"/>
    <n v="0"/>
    <n v="0"/>
    <n v="0"/>
    <x v="0"/>
    <n v="71968.012799999997"/>
    <n v="71968.012799999997"/>
    <n v="0"/>
    <n v="0"/>
    <x v="0"/>
    <x v="20"/>
  </r>
  <r>
    <s v="ORD02845"/>
    <d v="2024-03-03T00:00:00"/>
    <x v="146"/>
    <x v="291"/>
    <n v="79"/>
    <s v="INV02845"/>
    <n v="79"/>
    <n v="933.43190000000004"/>
    <n v="5"/>
    <d v="2023-10-02T00:00:00"/>
    <m/>
    <m/>
    <m/>
    <n v="933.43190000000004"/>
    <d v="2023-03-26T00:00:00"/>
    <n v="0"/>
    <n v="0"/>
    <n v="0"/>
    <n v="0"/>
    <n v="0"/>
    <n v="0"/>
    <n v="0"/>
    <x v="0"/>
    <n v="73741.1201"/>
    <n v="73741.1201"/>
    <n v="0"/>
    <n v="0"/>
    <x v="0"/>
    <x v="6"/>
  </r>
  <r>
    <s v="ORD02846"/>
    <d v="2023-06-09T00:00:00"/>
    <x v="50"/>
    <x v="128"/>
    <n v="188"/>
    <s v="INV02846"/>
    <n v="188"/>
    <n v="440.38799999999998"/>
    <m/>
    <m/>
    <m/>
    <m/>
    <m/>
    <n v="440.38799999999998"/>
    <d v="2023-03-31T00:00:00"/>
    <n v="0"/>
    <n v="0"/>
    <n v="0"/>
    <n v="0"/>
    <n v="0"/>
    <n v="0"/>
    <n v="0"/>
    <x v="0"/>
    <n v="82792.943999999989"/>
    <n v="82792.943999999989"/>
    <n v="0"/>
    <n v="0"/>
    <x v="0"/>
    <x v="14"/>
  </r>
  <r>
    <s v="ORD02847"/>
    <d v="2023-10-28T00:00:00"/>
    <x v="154"/>
    <x v="211"/>
    <n v="158"/>
    <s v="INV02847"/>
    <n v="158"/>
    <n v="655.93800000000022"/>
    <n v="13"/>
    <d v="2024-11-24T00:00:00"/>
    <m/>
    <m/>
    <m/>
    <n v="655.93800000000022"/>
    <d v="2023-05-29T00:00:00"/>
    <n v="0"/>
    <n v="0"/>
    <n v="0"/>
    <n v="0"/>
    <n v="0"/>
    <n v="1"/>
    <n v="0"/>
    <x v="1"/>
    <n v="103638.20400000003"/>
    <n v="103638.20400000003"/>
    <n v="0"/>
    <n v="2"/>
    <x v="1"/>
    <x v="19"/>
  </r>
  <r>
    <s v="ORD02848"/>
    <d v="2024-09-05T00:00:00"/>
    <x v="395"/>
    <x v="186"/>
    <n v="180"/>
    <s v="INV02848"/>
    <n v="180"/>
    <n v="589.66600000000005"/>
    <m/>
    <m/>
    <m/>
    <m/>
    <m/>
    <n v="589.66600000000005"/>
    <d v="2023-10-19T00:00:00"/>
    <n v="0"/>
    <n v="0"/>
    <n v="0"/>
    <n v="0"/>
    <n v="0"/>
    <n v="0"/>
    <n v="0"/>
    <x v="0"/>
    <n v="106139.88"/>
    <n v="106139.88"/>
    <n v="0"/>
    <n v="0"/>
    <x v="0"/>
    <x v="2"/>
  </r>
  <r>
    <s v="ORD02849"/>
    <d v="2023-03-25T00:00:00"/>
    <x v="226"/>
    <x v="109"/>
    <n v="63"/>
    <s v="INV02849"/>
    <n v="63"/>
    <n v="457.65019999999998"/>
    <m/>
    <m/>
    <m/>
    <m/>
    <m/>
    <n v="457.65019999999998"/>
    <d v="2023-01-24T00:00:00"/>
    <n v="0"/>
    <n v="0"/>
    <n v="0"/>
    <n v="0"/>
    <n v="0"/>
    <n v="0"/>
    <n v="0"/>
    <x v="0"/>
    <n v="28831.962599999999"/>
    <n v="28831.962599999999"/>
    <n v="0"/>
    <n v="0"/>
    <x v="0"/>
    <x v="17"/>
  </r>
  <r>
    <s v="ORD02850"/>
    <d v="2024-06-16T00:00:00"/>
    <x v="425"/>
    <x v="26"/>
    <n v="198"/>
    <s v="INV02850"/>
    <n v="198"/>
    <n v="129.17519999999999"/>
    <m/>
    <m/>
    <m/>
    <m/>
    <m/>
    <n v="129.17519999999999"/>
    <d v="2023-09-15T00:00:00"/>
    <n v="0"/>
    <n v="0"/>
    <n v="0"/>
    <n v="0"/>
    <n v="0"/>
    <n v="0"/>
    <n v="0"/>
    <x v="0"/>
    <n v="25576.689599999998"/>
    <n v="25576.689599999998"/>
    <n v="0"/>
    <n v="0"/>
    <x v="0"/>
    <x v="16"/>
  </r>
  <r>
    <s v="ORD02851"/>
    <d v="2023-07-20T00:00:00"/>
    <x v="56"/>
    <x v="215"/>
    <n v="34"/>
    <s v="INV02851"/>
    <n v="34"/>
    <n v="181.02959999999999"/>
    <m/>
    <m/>
    <m/>
    <m/>
    <m/>
    <n v="181.02959999999999"/>
    <d v="2023-03-04T00:00:00"/>
    <n v="0"/>
    <n v="0"/>
    <n v="0"/>
    <n v="0"/>
    <n v="0"/>
    <n v="0"/>
    <n v="0"/>
    <x v="0"/>
    <n v="6155.0063999999993"/>
    <n v="6155.0063999999993"/>
    <n v="0"/>
    <n v="0"/>
    <x v="0"/>
    <x v="10"/>
  </r>
  <r>
    <s v="ORD02852"/>
    <d v="2023-09-30T00:00:00"/>
    <x v="599"/>
    <x v="63"/>
    <n v="84"/>
    <s v="INV02852"/>
    <n v="84"/>
    <n v="96.6"/>
    <m/>
    <m/>
    <m/>
    <m/>
    <m/>
    <n v="96.6"/>
    <d v="2023-06-28T00:00:00"/>
    <n v="0"/>
    <n v="0"/>
    <n v="0"/>
    <n v="0"/>
    <n v="0"/>
    <n v="0"/>
    <n v="0"/>
    <x v="0"/>
    <n v="8114.4"/>
    <n v="8114.4"/>
    <n v="0"/>
    <n v="0"/>
    <x v="0"/>
    <x v="18"/>
  </r>
  <r>
    <s v="ORD02853"/>
    <d v="2024-07-18T00:00:00"/>
    <x v="366"/>
    <x v="169"/>
    <n v="49"/>
    <s v="INV02853"/>
    <n v="49"/>
    <n v="1153.4984999999999"/>
    <n v="10"/>
    <d v="2023-08-26T00:00:00"/>
    <m/>
    <m/>
    <m/>
    <n v="1153.4984999999999"/>
    <d v="2023-02-05T00:00:00"/>
    <n v="0"/>
    <n v="0"/>
    <n v="0"/>
    <n v="0"/>
    <n v="0"/>
    <n v="0"/>
    <n v="0"/>
    <x v="0"/>
    <n v="56521.426499999994"/>
    <n v="56521.426499999994"/>
    <n v="0"/>
    <n v="0"/>
    <x v="0"/>
    <x v="21"/>
  </r>
  <r>
    <s v="ORD02854"/>
    <d v="2024-02-20T00:00:00"/>
    <x v="33"/>
    <x v="185"/>
    <n v="188"/>
    <s v="INV02854"/>
    <n v="188"/>
    <n v="435.57279999999997"/>
    <m/>
    <m/>
    <m/>
    <m/>
    <m/>
    <n v="435.57279999999997"/>
    <d v="2023-08-21T00:00:00"/>
    <n v="0"/>
    <n v="0"/>
    <n v="0"/>
    <n v="0"/>
    <n v="0"/>
    <n v="0"/>
    <n v="0"/>
    <x v="0"/>
    <n v="81887.686399999991"/>
    <n v="81887.686399999991"/>
    <n v="0"/>
    <n v="0"/>
    <x v="0"/>
    <x v="3"/>
  </r>
  <r>
    <s v="ORD02855"/>
    <d v="2024-09-20T00:00:00"/>
    <x v="294"/>
    <x v="30"/>
    <n v="30"/>
    <s v="INV02855"/>
    <n v="30"/>
    <n v="360.68479999999994"/>
    <m/>
    <m/>
    <m/>
    <m/>
    <m/>
    <n v="360.68479999999994"/>
    <d v="2023-05-26T00:00:00"/>
    <n v="0"/>
    <n v="0"/>
    <n v="0"/>
    <n v="0"/>
    <n v="0"/>
    <n v="0"/>
    <n v="0"/>
    <x v="0"/>
    <n v="10820.543999999998"/>
    <n v="10820.543999999998"/>
    <n v="0"/>
    <n v="0"/>
    <x v="0"/>
    <x v="2"/>
  </r>
  <r>
    <s v="ORD02856"/>
    <d v="2023-04-22T00:00:00"/>
    <x v="237"/>
    <x v="121"/>
    <n v="47"/>
    <s v="INV02856"/>
    <n v="47"/>
    <n v="1032.2340000000002"/>
    <m/>
    <m/>
    <m/>
    <m/>
    <m/>
    <n v="1032.2340000000002"/>
    <d v="2022-08-25T00:00:00"/>
    <n v="0"/>
    <n v="0"/>
    <n v="0"/>
    <n v="0"/>
    <n v="0"/>
    <n v="0"/>
    <n v="0"/>
    <x v="0"/>
    <n v="48514.998000000007"/>
    <n v="48514.998000000007"/>
    <n v="0"/>
    <n v="0"/>
    <x v="0"/>
    <x v="23"/>
  </r>
  <r>
    <s v="ORD02857"/>
    <d v="2023-12-15T00:00:00"/>
    <x v="121"/>
    <x v="183"/>
    <n v="137"/>
    <s v="INV02857"/>
    <n v="137"/>
    <n v="624.37260000000003"/>
    <m/>
    <m/>
    <m/>
    <m/>
    <m/>
    <n v="624.37260000000003"/>
    <d v="2023-01-06T00:00:00"/>
    <n v="0"/>
    <n v="0"/>
    <n v="0"/>
    <n v="0"/>
    <n v="0"/>
    <n v="0"/>
    <n v="0"/>
    <x v="0"/>
    <n v="85539.046200000012"/>
    <n v="85539.046200000012"/>
    <n v="0"/>
    <n v="0"/>
    <x v="0"/>
    <x v="20"/>
  </r>
  <r>
    <s v="ORD02858"/>
    <d v="2024-04-05T00:00:00"/>
    <x v="233"/>
    <x v="22"/>
    <n v="151"/>
    <s v="INV02858"/>
    <n v="151"/>
    <n v="626.68790000000001"/>
    <m/>
    <m/>
    <m/>
    <m/>
    <m/>
    <n v="626.68790000000001"/>
    <d v="2023-06-26T00:00:00"/>
    <n v="0"/>
    <n v="0"/>
    <n v="0"/>
    <n v="0"/>
    <n v="0"/>
    <n v="0"/>
    <n v="0"/>
    <x v="0"/>
    <n v="94629.872900000002"/>
    <n v="94629.872900000002"/>
    <n v="0"/>
    <n v="0"/>
    <x v="0"/>
    <x v="9"/>
  </r>
  <r>
    <s v="ORD02859"/>
    <d v="2023-08-12T00:00:00"/>
    <x v="135"/>
    <x v="112"/>
    <n v="121"/>
    <s v="INV02859"/>
    <n v="121"/>
    <n v="303.73439999999999"/>
    <m/>
    <m/>
    <m/>
    <m/>
    <m/>
    <n v="303.73439999999999"/>
    <d v="2022-09-06T00:00:00"/>
    <n v="0"/>
    <n v="0"/>
    <n v="0"/>
    <n v="0"/>
    <n v="0"/>
    <n v="0"/>
    <n v="0"/>
    <x v="0"/>
    <n v="36751.862399999998"/>
    <n v="36751.862399999998"/>
    <n v="0"/>
    <n v="0"/>
    <x v="0"/>
    <x v="12"/>
  </r>
  <r>
    <s v="ORD02860"/>
    <d v="2023-03-23T00:00:00"/>
    <x v="394"/>
    <x v="61"/>
    <n v="160"/>
    <s v="INV02860"/>
    <n v="160"/>
    <n v="782.04880000000003"/>
    <m/>
    <m/>
    <m/>
    <m/>
    <m/>
    <n v="782.04880000000003"/>
    <d v="2023-03-11T00:00:00"/>
    <n v="0"/>
    <n v="0"/>
    <n v="0"/>
    <n v="0"/>
    <n v="0"/>
    <n v="0"/>
    <n v="0"/>
    <x v="0"/>
    <n v="125127.808"/>
    <n v="125127.808"/>
    <n v="0"/>
    <n v="0"/>
    <x v="0"/>
    <x v="17"/>
  </r>
  <r>
    <s v="ORD02861"/>
    <d v="2023-01-21T00:00:00"/>
    <x v="528"/>
    <x v="191"/>
    <n v="185"/>
    <s v="INV02861"/>
    <n v="185"/>
    <n v="312.55"/>
    <m/>
    <m/>
    <m/>
    <m/>
    <m/>
    <n v="312.55"/>
    <d v="2023-01-16T00:00:00"/>
    <n v="0"/>
    <n v="0"/>
    <n v="0"/>
    <n v="0"/>
    <n v="0"/>
    <n v="0"/>
    <n v="0"/>
    <x v="0"/>
    <n v="57821.75"/>
    <n v="57821.75"/>
    <n v="0"/>
    <n v="0"/>
    <x v="0"/>
    <x v="8"/>
  </r>
  <r>
    <s v="ORD02862"/>
    <d v="2023-11-28T00:00:00"/>
    <x v="339"/>
    <x v="113"/>
    <n v="8"/>
    <s v="INV02862"/>
    <n v="8"/>
    <n v="951.54780000000005"/>
    <m/>
    <m/>
    <m/>
    <m/>
    <m/>
    <n v="951.54780000000005"/>
    <d v="2023-02-07T00:00:00"/>
    <n v="0"/>
    <n v="0"/>
    <n v="0"/>
    <n v="0"/>
    <n v="0"/>
    <n v="0"/>
    <n v="0"/>
    <x v="0"/>
    <n v="7612.3824000000004"/>
    <n v="7612.3824000000004"/>
    <n v="0"/>
    <n v="0"/>
    <x v="0"/>
    <x v="0"/>
  </r>
  <r>
    <s v="ORD02863"/>
    <d v="2023-03-12T00:00:00"/>
    <x v="213"/>
    <x v="298"/>
    <n v="164"/>
    <s v="INV02863"/>
    <n v="164"/>
    <n v="728.84"/>
    <m/>
    <m/>
    <m/>
    <m/>
    <m/>
    <n v="728.84"/>
    <d v="2022-03-06T00:00:00"/>
    <n v="0"/>
    <n v="0"/>
    <n v="0"/>
    <n v="0"/>
    <n v="0"/>
    <n v="0"/>
    <n v="0"/>
    <x v="0"/>
    <n v="119529.76000000001"/>
    <n v="119529.76000000001"/>
    <n v="0"/>
    <n v="0"/>
    <x v="0"/>
    <x v="17"/>
  </r>
  <r>
    <s v="ORD02864"/>
    <d v="2024-09-13T00:00:00"/>
    <x v="189"/>
    <x v="112"/>
    <n v="28"/>
    <s v="INV02864"/>
    <n v="28"/>
    <n v="322.71780000000001"/>
    <n v="11"/>
    <d v="2023-06-11T00:00:00"/>
    <m/>
    <m/>
    <m/>
    <n v="322.71780000000001"/>
    <d v="2023-08-31T00:00:00"/>
    <n v="0"/>
    <n v="0"/>
    <n v="0"/>
    <n v="0"/>
    <n v="0"/>
    <n v="0"/>
    <n v="0"/>
    <x v="0"/>
    <n v="9036.0984000000008"/>
    <n v="9036.0984000000008"/>
    <n v="0"/>
    <n v="0"/>
    <x v="0"/>
    <x v="2"/>
  </r>
  <r>
    <s v="ORD02865"/>
    <d v="2024-03-07T00:00:00"/>
    <x v="96"/>
    <x v="56"/>
    <n v="101"/>
    <s v="INV02865"/>
    <n v="101"/>
    <n v="639.91840000000002"/>
    <m/>
    <m/>
    <m/>
    <m/>
    <m/>
    <n v="639.91840000000002"/>
    <d v="2023-01-04T00:00:00"/>
    <n v="0"/>
    <n v="0"/>
    <n v="0"/>
    <n v="0"/>
    <n v="0"/>
    <n v="0"/>
    <n v="0"/>
    <x v="0"/>
    <n v="64631.758399999999"/>
    <n v="64631.758399999999"/>
    <n v="0"/>
    <n v="0"/>
    <x v="0"/>
    <x v="6"/>
  </r>
  <r>
    <s v="ORD02866"/>
    <d v="2024-03-22T00:00:00"/>
    <x v="153"/>
    <x v="188"/>
    <n v="61"/>
    <s v="INV02866"/>
    <n v="61"/>
    <n v="73.305100000000024"/>
    <m/>
    <m/>
    <m/>
    <m/>
    <m/>
    <n v="73.305100000000024"/>
    <d v="2023-04-30T00:00:00"/>
    <n v="0"/>
    <n v="0"/>
    <n v="0"/>
    <n v="0"/>
    <n v="0"/>
    <n v="0"/>
    <n v="0"/>
    <x v="0"/>
    <n v="4471.6111000000019"/>
    <n v="4471.6111000000019"/>
    <n v="0"/>
    <n v="0"/>
    <x v="0"/>
    <x v="6"/>
  </r>
  <r>
    <s v="ORD02867"/>
    <d v="2023-12-19T00:00:00"/>
    <x v="713"/>
    <x v="101"/>
    <n v="200"/>
    <s v="INV02867"/>
    <n v="200"/>
    <n v="1223.9694"/>
    <m/>
    <m/>
    <m/>
    <m/>
    <m/>
    <n v="1223.9694"/>
    <d v="2023-08-16T00:00:00"/>
    <n v="0"/>
    <n v="0"/>
    <n v="0"/>
    <n v="0"/>
    <n v="0"/>
    <n v="0"/>
    <n v="0"/>
    <x v="0"/>
    <n v="244793.88"/>
    <n v="244793.88"/>
    <n v="0"/>
    <n v="0"/>
    <x v="0"/>
    <x v="20"/>
  </r>
  <r>
    <s v="ORD02868"/>
    <d v="2024-07-22T00:00:00"/>
    <x v="424"/>
    <x v="296"/>
    <n v="192"/>
    <s v="INV02868"/>
    <n v="192"/>
    <n v="724.16120000000001"/>
    <m/>
    <m/>
    <m/>
    <m/>
    <m/>
    <n v="724.16120000000001"/>
    <d v="2023-04-28T00:00:00"/>
    <n v="0"/>
    <n v="0"/>
    <n v="0"/>
    <n v="0"/>
    <n v="0"/>
    <n v="0"/>
    <n v="0"/>
    <x v="0"/>
    <n v="139038.9504"/>
    <n v="139038.9504"/>
    <n v="0"/>
    <n v="0"/>
    <x v="0"/>
    <x v="21"/>
  </r>
  <r>
    <s v="ORD02869"/>
    <d v="2024-04-30T00:00:00"/>
    <x v="536"/>
    <x v="42"/>
    <n v="132"/>
    <s v="INV02869"/>
    <n v="140"/>
    <n v="946.74860000000001"/>
    <m/>
    <m/>
    <m/>
    <m/>
    <m/>
    <n v="946.74860000000001"/>
    <d v="2023-04-22T00:00:00"/>
    <n v="0"/>
    <n v="1"/>
    <n v="0"/>
    <n v="0"/>
    <n v="0"/>
    <n v="0"/>
    <n v="0"/>
    <x v="1"/>
    <n v="132544.804"/>
    <n v="124970.8152"/>
    <n v="7573.9888000000064"/>
    <n v="8"/>
    <x v="2"/>
    <x v="9"/>
  </r>
  <r>
    <s v="ORD02870"/>
    <d v="2023-11-08T00:00:00"/>
    <x v="767"/>
    <x v="262"/>
    <n v="177"/>
    <s v="INV02870"/>
    <n v="177"/>
    <n v="251.7122"/>
    <m/>
    <m/>
    <m/>
    <m/>
    <m/>
    <n v="251.7122"/>
    <d v="2023-06-11T00:00:00"/>
    <n v="0"/>
    <n v="0"/>
    <n v="0"/>
    <n v="0"/>
    <n v="0"/>
    <n v="0"/>
    <n v="0"/>
    <x v="0"/>
    <n v="44553.059399999998"/>
    <n v="44553.059399999998"/>
    <n v="0"/>
    <n v="0"/>
    <x v="0"/>
    <x v="0"/>
  </r>
  <r>
    <s v="ORD02871"/>
    <d v="2023-07-13T00:00:00"/>
    <x v="780"/>
    <x v="88"/>
    <n v="76"/>
    <s v="INV02871"/>
    <n v="76"/>
    <n v="209.48449999999997"/>
    <m/>
    <m/>
    <m/>
    <m/>
    <m/>
    <n v="209.48449999999997"/>
    <d v="2023-01-30T00:00:00"/>
    <n v="0"/>
    <n v="0"/>
    <n v="0"/>
    <n v="0"/>
    <n v="0"/>
    <n v="0"/>
    <n v="0"/>
    <x v="0"/>
    <n v="15920.821999999998"/>
    <n v="15920.821999999998"/>
    <n v="0"/>
    <n v="0"/>
    <x v="0"/>
    <x v="10"/>
  </r>
  <r>
    <s v="ORD02872"/>
    <d v="2023-03-10T00:00:00"/>
    <x v="760"/>
    <x v="59"/>
    <n v="107"/>
    <s v="INV02872"/>
    <n v="117"/>
    <n v="933.82110000000011"/>
    <m/>
    <m/>
    <m/>
    <m/>
    <m/>
    <n v="933.82110000000011"/>
    <d v="2022-10-21T00:00:00"/>
    <n v="0"/>
    <n v="1"/>
    <n v="0"/>
    <n v="0"/>
    <n v="0"/>
    <n v="0"/>
    <n v="0"/>
    <x v="1"/>
    <n v="109257.06870000002"/>
    <n v="99918.857700000008"/>
    <n v="9338.2110000000102"/>
    <n v="8"/>
    <x v="2"/>
    <x v="17"/>
  </r>
  <r>
    <s v="ORD02873"/>
    <d v="2023-01-29T00:00:00"/>
    <x v="478"/>
    <x v="235"/>
    <n v="85"/>
    <s v="INV02873"/>
    <n v="85"/>
    <n v="674.78"/>
    <m/>
    <m/>
    <m/>
    <m/>
    <m/>
    <n v="674.78"/>
    <d v="2022-05-02T00:00:00"/>
    <n v="0"/>
    <n v="0"/>
    <n v="0"/>
    <n v="0"/>
    <n v="0"/>
    <n v="0"/>
    <n v="0"/>
    <x v="0"/>
    <n v="57356.299999999996"/>
    <n v="57356.299999999996"/>
    <n v="0"/>
    <n v="0"/>
    <x v="0"/>
    <x v="8"/>
  </r>
  <r>
    <s v="ORD02874"/>
    <d v="2024-03-23T00:00:00"/>
    <x v="648"/>
    <x v="219"/>
    <n v="50"/>
    <s v="INV02874"/>
    <n v="48"/>
    <n v="556.99"/>
    <m/>
    <m/>
    <m/>
    <m/>
    <m/>
    <n v="556.99"/>
    <d v="2023-08-09T00:00:00"/>
    <n v="0"/>
    <n v="1"/>
    <n v="0"/>
    <n v="0"/>
    <n v="0"/>
    <n v="0"/>
    <n v="0"/>
    <x v="1"/>
    <n v="26735.52"/>
    <n v="27849.5"/>
    <n v="-1113.9799999999996"/>
    <n v="8"/>
    <x v="2"/>
    <x v="6"/>
  </r>
  <r>
    <s v="ORD02875"/>
    <d v="2024-04-21T00:00:00"/>
    <x v="781"/>
    <x v="12"/>
    <n v="84"/>
    <s v="INV02875"/>
    <n v="84"/>
    <n v="689.58720000000005"/>
    <m/>
    <m/>
    <m/>
    <m/>
    <m/>
    <n v="689.58720000000005"/>
    <d v="2023-10-25T00:00:00"/>
    <n v="0"/>
    <n v="0"/>
    <n v="0"/>
    <n v="0"/>
    <n v="0"/>
    <n v="0"/>
    <n v="0"/>
    <x v="0"/>
    <n v="57925.324800000002"/>
    <n v="57925.324800000002"/>
    <n v="0"/>
    <n v="0"/>
    <x v="0"/>
    <x v="9"/>
  </r>
  <r>
    <s v="ORD02876"/>
    <d v="2023-08-11T00:00:00"/>
    <x v="4"/>
    <x v="28"/>
    <n v="176"/>
    <s v="INV02876"/>
    <n v="176"/>
    <n v="957.65700000000015"/>
    <m/>
    <m/>
    <m/>
    <m/>
    <m/>
    <n v="957.65700000000015"/>
    <d v="2023-05-11T00:00:00"/>
    <n v="0"/>
    <n v="0"/>
    <n v="0"/>
    <n v="0"/>
    <n v="0"/>
    <n v="0"/>
    <n v="0"/>
    <x v="0"/>
    <n v="168547.63200000004"/>
    <n v="168547.63200000004"/>
    <n v="0"/>
    <n v="0"/>
    <x v="0"/>
    <x v="12"/>
  </r>
  <r>
    <s v="ORD02877"/>
    <d v="2024-06-26T00:00:00"/>
    <x v="698"/>
    <x v="298"/>
    <n v="151"/>
    <s v="INV02877"/>
    <n v="151"/>
    <n v="750.70520000000022"/>
    <n v="2"/>
    <d v="2023-09-05T00:00:00"/>
    <m/>
    <m/>
    <m/>
    <n v="750.70520000000022"/>
    <d v="2023-10-27T00:00:00"/>
    <n v="0"/>
    <n v="0"/>
    <n v="0"/>
    <n v="0"/>
    <n v="0"/>
    <n v="0"/>
    <n v="0"/>
    <x v="0"/>
    <n v="113356.48520000004"/>
    <n v="113356.48520000004"/>
    <n v="0"/>
    <n v="0"/>
    <x v="0"/>
    <x v="16"/>
  </r>
  <r>
    <s v="ORD02878"/>
    <d v="2024-04-04T00:00:00"/>
    <x v="781"/>
    <x v="9"/>
    <n v="111"/>
    <s v="INV02878"/>
    <n v="111"/>
    <n v="397.40159999999997"/>
    <m/>
    <m/>
    <m/>
    <m/>
    <m/>
    <n v="397.40159999999997"/>
    <d v="2023-04-05T00:00:00"/>
    <n v="0"/>
    <n v="0"/>
    <n v="0"/>
    <n v="0"/>
    <n v="0"/>
    <n v="0"/>
    <n v="0"/>
    <x v="0"/>
    <n v="44111.577599999997"/>
    <n v="44111.577599999997"/>
    <n v="0"/>
    <n v="0"/>
    <x v="0"/>
    <x v="9"/>
  </r>
  <r>
    <s v="ORD02879"/>
    <d v="2023-05-29T00:00:00"/>
    <x v="754"/>
    <x v="37"/>
    <n v="104"/>
    <s v="INV02879"/>
    <n v="104"/>
    <n v="690.84160000000008"/>
    <m/>
    <m/>
    <m/>
    <m/>
    <m/>
    <n v="690.84160000000008"/>
    <d v="2023-05-05T00:00:00"/>
    <n v="0"/>
    <n v="0"/>
    <n v="0"/>
    <n v="0"/>
    <n v="0"/>
    <n v="0"/>
    <n v="0"/>
    <x v="0"/>
    <n v="71847.526400000002"/>
    <n v="71847.526400000002"/>
    <n v="0"/>
    <n v="0"/>
    <x v="0"/>
    <x v="7"/>
  </r>
  <r>
    <s v="ORD02880"/>
    <d v="2023-01-09T00:00:00"/>
    <x v="781"/>
    <x v="142"/>
    <n v="166"/>
    <s v="INV02880"/>
    <n v="166"/>
    <n v="760.09"/>
    <m/>
    <m/>
    <m/>
    <m/>
    <m/>
    <n v="760.09"/>
    <d v="2022-08-03T00:00:00"/>
    <n v="0"/>
    <n v="0"/>
    <n v="0"/>
    <n v="0"/>
    <n v="0"/>
    <n v="0"/>
    <n v="0"/>
    <x v="0"/>
    <n v="126174.94"/>
    <n v="126174.94"/>
    <n v="0"/>
    <n v="0"/>
    <x v="0"/>
    <x v="8"/>
  </r>
  <r>
    <s v="ORD02881"/>
    <d v="2024-08-10T00:00:00"/>
    <x v="186"/>
    <x v="56"/>
    <n v="99"/>
    <s v="INV02881"/>
    <n v="99"/>
    <n v="639.91840000000002"/>
    <m/>
    <m/>
    <m/>
    <m/>
    <m/>
    <n v="639.91840000000002"/>
    <d v="2023-01-04T00:00:00"/>
    <n v="0"/>
    <n v="0"/>
    <n v="0"/>
    <n v="0"/>
    <n v="0"/>
    <n v="0"/>
    <n v="0"/>
    <x v="0"/>
    <n v="63351.921600000001"/>
    <n v="63351.921600000001"/>
    <n v="0"/>
    <n v="0"/>
    <x v="0"/>
    <x v="22"/>
  </r>
  <r>
    <s v="ORD02882"/>
    <d v="2024-04-24T00:00:00"/>
    <x v="454"/>
    <x v="234"/>
    <n v="58"/>
    <s v="INV02882"/>
    <n v="58"/>
    <n v="1226.9154000000001"/>
    <n v="4"/>
    <d v="2024-05-01T00:00:00"/>
    <m/>
    <m/>
    <m/>
    <n v="1226.9154000000001"/>
    <d v="2023-04-16T00:00:00"/>
    <n v="0"/>
    <n v="0"/>
    <n v="0"/>
    <n v="0"/>
    <n v="0"/>
    <n v="0"/>
    <n v="0"/>
    <x v="0"/>
    <n v="71161.093200000003"/>
    <n v="71161.093200000003"/>
    <n v="0"/>
    <n v="0"/>
    <x v="0"/>
    <x v="9"/>
  </r>
  <r>
    <s v="ORD02883"/>
    <d v="2024-04-12T00:00:00"/>
    <x v="701"/>
    <x v="130"/>
    <n v="127"/>
    <s v="INV02883"/>
    <n v="127"/>
    <n v="58.98"/>
    <m/>
    <m/>
    <m/>
    <m/>
    <m/>
    <n v="58.98"/>
    <d v="2023-01-08T00:00:00"/>
    <n v="0"/>
    <n v="0"/>
    <n v="0"/>
    <n v="0"/>
    <n v="0"/>
    <n v="0"/>
    <n v="0"/>
    <x v="0"/>
    <n v="7490.46"/>
    <n v="7490.46"/>
    <n v="0"/>
    <n v="0"/>
    <x v="0"/>
    <x v="9"/>
  </r>
  <r>
    <s v="ORD02884"/>
    <d v="2024-05-21T00:00:00"/>
    <x v="772"/>
    <x v="241"/>
    <n v="199"/>
    <s v="INV02884"/>
    <n v="199"/>
    <n v="854.74350000000004"/>
    <m/>
    <m/>
    <m/>
    <m/>
    <m/>
    <n v="854.74350000000004"/>
    <d v="2023-02-27T00:00:00"/>
    <n v="0"/>
    <n v="0"/>
    <n v="0"/>
    <n v="0"/>
    <n v="0"/>
    <n v="0"/>
    <n v="0"/>
    <x v="0"/>
    <n v="170093.9565"/>
    <n v="170093.9565"/>
    <n v="0"/>
    <n v="0"/>
    <x v="0"/>
    <x v="13"/>
  </r>
  <r>
    <s v="ORD02885"/>
    <d v="2024-07-01T00:00:00"/>
    <x v="101"/>
    <x v="3"/>
    <n v="19"/>
    <s v="INV02885"/>
    <n v="19"/>
    <n v="849.43949999999995"/>
    <m/>
    <m/>
    <m/>
    <m/>
    <m/>
    <n v="849.43949999999995"/>
    <d v="2023-07-07T00:00:00"/>
    <n v="0"/>
    <n v="0"/>
    <n v="0"/>
    <n v="0"/>
    <n v="0"/>
    <n v="0"/>
    <n v="0"/>
    <x v="0"/>
    <n v="16139.350499999999"/>
    <n v="16139.350499999999"/>
    <n v="0"/>
    <n v="0"/>
    <x v="0"/>
    <x v="21"/>
  </r>
  <r>
    <s v="ORD02886"/>
    <d v="2023-09-21T00:00:00"/>
    <x v="287"/>
    <x v="225"/>
    <n v="189"/>
    <s v="INV02886"/>
    <n v="189"/>
    <n v="307.97520000000003"/>
    <m/>
    <m/>
    <m/>
    <m/>
    <m/>
    <n v="307.97520000000003"/>
    <d v="2023-04-13T00:00:00"/>
    <n v="0"/>
    <n v="0"/>
    <n v="0"/>
    <n v="0"/>
    <n v="0"/>
    <n v="0"/>
    <n v="0"/>
    <x v="0"/>
    <n v="58207.312800000007"/>
    <n v="58207.312800000007"/>
    <n v="0"/>
    <n v="0"/>
    <x v="0"/>
    <x v="18"/>
  </r>
  <r>
    <s v="ORD02887"/>
    <d v="2024-10-09T00:00:00"/>
    <x v="729"/>
    <x v="184"/>
    <n v="72"/>
    <s v="INV02887"/>
    <n v="72"/>
    <n v="427.43"/>
    <m/>
    <m/>
    <m/>
    <m/>
    <m/>
    <n v="427.43"/>
    <d v="2023-05-08T00:00:00"/>
    <n v="0"/>
    <n v="0"/>
    <n v="0"/>
    <n v="0"/>
    <n v="0"/>
    <n v="0"/>
    <n v="0"/>
    <x v="0"/>
    <n v="30774.959999999999"/>
    <n v="30774.959999999999"/>
    <n v="0"/>
    <n v="0"/>
    <x v="0"/>
    <x v="5"/>
  </r>
  <r>
    <s v="ORD02888"/>
    <d v="2023-12-11T00:00:00"/>
    <x v="95"/>
    <x v="209"/>
    <n v="175"/>
    <s v="INV02888"/>
    <n v="175"/>
    <n v="880.66300000000001"/>
    <m/>
    <m/>
    <m/>
    <m/>
    <m/>
    <n v="880.66300000000001"/>
    <d v="2023-02-09T00:00:00"/>
    <n v="0"/>
    <n v="0"/>
    <n v="0"/>
    <n v="0"/>
    <n v="0"/>
    <n v="0"/>
    <n v="0"/>
    <x v="0"/>
    <n v="154116.02499999999"/>
    <n v="154116.02499999999"/>
    <n v="0"/>
    <n v="0"/>
    <x v="0"/>
    <x v="20"/>
  </r>
  <r>
    <s v="ORD02889"/>
    <d v="2024-08-25T00:00:00"/>
    <x v="471"/>
    <x v="248"/>
    <n v="68"/>
    <s v="INV02889"/>
    <n v="68"/>
    <n v="226.88399999999999"/>
    <m/>
    <m/>
    <m/>
    <m/>
    <m/>
    <n v="226.88399999999999"/>
    <d v="2023-06-09T00:00:00"/>
    <n v="0"/>
    <n v="0"/>
    <n v="0"/>
    <n v="0"/>
    <n v="0"/>
    <n v="0"/>
    <n v="0"/>
    <x v="0"/>
    <n v="15428.111999999999"/>
    <n v="15428.111999999999"/>
    <n v="0"/>
    <n v="0"/>
    <x v="0"/>
    <x v="22"/>
  </r>
  <r>
    <s v="ORD02890"/>
    <d v="2024-08-14T00:00:00"/>
    <x v="21"/>
    <x v="175"/>
    <n v="120"/>
    <s v="INV02890"/>
    <n v="120"/>
    <n v="212.07900000000001"/>
    <m/>
    <m/>
    <m/>
    <m/>
    <m/>
    <n v="212.07900000000001"/>
    <d v="2023-05-11T00:00:00"/>
    <n v="0"/>
    <n v="0"/>
    <n v="0"/>
    <n v="0"/>
    <n v="0"/>
    <n v="0"/>
    <n v="0"/>
    <x v="0"/>
    <n v="25449.48"/>
    <n v="25449.48"/>
    <n v="0"/>
    <n v="0"/>
    <x v="0"/>
    <x v="22"/>
  </r>
  <r>
    <s v="ORD02891"/>
    <d v="2024-01-15T00:00:00"/>
    <x v="120"/>
    <x v="95"/>
    <n v="19"/>
    <s v="INV02891"/>
    <n v="19"/>
    <n v="1072.1079000000002"/>
    <m/>
    <m/>
    <m/>
    <m/>
    <m/>
    <n v="1072.1079000000002"/>
    <d v="2023-04-19T00:00:00"/>
    <n v="0"/>
    <n v="0"/>
    <n v="0"/>
    <n v="0"/>
    <n v="0"/>
    <n v="0"/>
    <n v="0"/>
    <x v="0"/>
    <n v="20370.050100000004"/>
    <n v="20370.050100000004"/>
    <n v="0"/>
    <n v="0"/>
    <x v="0"/>
    <x v="15"/>
  </r>
  <r>
    <s v="ORD02892"/>
    <d v="2024-07-16T00:00:00"/>
    <x v="711"/>
    <x v="127"/>
    <n v="148"/>
    <s v="INV02892"/>
    <n v="148"/>
    <n v="343.34190000000001"/>
    <m/>
    <m/>
    <m/>
    <m/>
    <m/>
    <n v="343.34190000000001"/>
    <d v="2023-07-19T00:00:00"/>
    <n v="0"/>
    <n v="0"/>
    <n v="0"/>
    <n v="0"/>
    <n v="0"/>
    <n v="0"/>
    <n v="0"/>
    <x v="0"/>
    <n v="50814.601200000005"/>
    <n v="50814.601200000005"/>
    <n v="0"/>
    <n v="0"/>
    <x v="0"/>
    <x v="21"/>
  </r>
  <r>
    <s v="ORD02893"/>
    <d v="2024-02-14T00:00:00"/>
    <x v="494"/>
    <x v="114"/>
    <n v="54"/>
    <s v="INV02893"/>
    <n v="54"/>
    <n v="945.38850000000002"/>
    <m/>
    <m/>
    <m/>
    <m/>
    <m/>
    <n v="945.38850000000002"/>
    <d v="2023-05-01T00:00:00"/>
    <n v="0"/>
    <n v="0"/>
    <n v="0"/>
    <n v="0"/>
    <n v="0"/>
    <n v="0"/>
    <n v="0"/>
    <x v="0"/>
    <n v="51050.978999999999"/>
    <n v="51050.978999999999"/>
    <n v="0"/>
    <n v="0"/>
    <x v="0"/>
    <x v="3"/>
  </r>
  <r>
    <s v="ORD02894"/>
    <d v="2023-02-15T00:00:00"/>
    <x v="277"/>
    <x v="287"/>
    <n v="95"/>
    <s v="INV02894"/>
    <n v="92"/>
    <n v="680.07339999999999"/>
    <m/>
    <m/>
    <m/>
    <m/>
    <m/>
    <n v="680.07339999999999"/>
    <d v="2022-11-22T00:00:00"/>
    <n v="0"/>
    <n v="1"/>
    <n v="0"/>
    <n v="0"/>
    <n v="0"/>
    <n v="0"/>
    <n v="0"/>
    <x v="1"/>
    <n v="62566.752800000002"/>
    <n v="64606.972999999998"/>
    <n v="-2040.2201999999961"/>
    <n v="8"/>
    <x v="2"/>
    <x v="11"/>
  </r>
  <r>
    <s v="ORD02895"/>
    <d v="2024-11-24T00:00:00"/>
    <x v="221"/>
    <x v="231"/>
    <n v="199"/>
    <s v="INV02895"/>
    <n v="196"/>
    <n v="850.16200000000003"/>
    <m/>
    <m/>
    <m/>
    <m/>
    <m/>
    <n v="850.16200000000003"/>
    <d v="2023-06-22T00:00:00"/>
    <n v="0"/>
    <n v="1"/>
    <n v="0"/>
    <n v="0"/>
    <n v="0"/>
    <n v="0"/>
    <n v="0"/>
    <x v="1"/>
    <n v="166631.75200000001"/>
    <n v="169182.23800000001"/>
    <n v="-2550.4860000000044"/>
    <n v="8"/>
    <x v="2"/>
    <x v="4"/>
  </r>
  <r>
    <s v="ORD02896"/>
    <d v="2024-06-27T00:00:00"/>
    <x v="648"/>
    <x v="244"/>
    <n v="138"/>
    <s v="INV02896"/>
    <n v="138"/>
    <n v="1072.2954"/>
    <m/>
    <m/>
    <m/>
    <m/>
    <m/>
    <n v="1072.2954"/>
    <d v="2023-07-13T00:00:00"/>
    <n v="0"/>
    <n v="0"/>
    <n v="0"/>
    <n v="0"/>
    <n v="0"/>
    <n v="0"/>
    <n v="0"/>
    <x v="0"/>
    <n v="147976.76519999999"/>
    <n v="147976.76519999999"/>
    <n v="0"/>
    <n v="0"/>
    <x v="0"/>
    <x v="16"/>
  </r>
  <r>
    <s v="ORD02897"/>
    <d v="2024-10-11T00:00:00"/>
    <x v="671"/>
    <x v="80"/>
    <n v="122"/>
    <s v="INV02897"/>
    <n v="122"/>
    <n v="1014.5718000000001"/>
    <m/>
    <m/>
    <m/>
    <m/>
    <m/>
    <n v="1014.5718000000001"/>
    <d v="2023-04-19T00:00:00"/>
    <n v="0"/>
    <n v="0"/>
    <n v="0"/>
    <n v="0"/>
    <n v="0"/>
    <n v="0"/>
    <n v="0"/>
    <x v="0"/>
    <n v="123777.7596"/>
    <n v="123777.7596"/>
    <n v="0"/>
    <n v="0"/>
    <x v="0"/>
    <x v="5"/>
  </r>
  <r>
    <s v="ORD02898"/>
    <d v="2024-02-25T00:00:00"/>
    <x v="777"/>
    <x v="34"/>
    <n v="78"/>
    <s v="INV02898"/>
    <n v="78"/>
    <n v="397.19560000000001"/>
    <n v="2"/>
    <d v="2023-12-16T00:00:00"/>
    <m/>
    <m/>
    <m/>
    <n v="397.19560000000001"/>
    <d v="2023-01-06T00:00:00"/>
    <n v="0"/>
    <n v="0"/>
    <n v="0"/>
    <n v="0"/>
    <n v="0"/>
    <n v="0"/>
    <n v="0"/>
    <x v="0"/>
    <n v="30981.256800000003"/>
    <n v="30981.256800000003"/>
    <n v="0"/>
    <n v="0"/>
    <x v="0"/>
    <x v="3"/>
  </r>
  <r>
    <s v="ORD02899"/>
    <d v="2023-08-26T00:00:00"/>
    <x v="164"/>
    <x v="14"/>
    <n v="110"/>
    <s v="INV02899"/>
    <n v="110"/>
    <n v="265.44960000000003"/>
    <m/>
    <m/>
    <m/>
    <m/>
    <m/>
    <n v="265.44960000000003"/>
    <d v="2023-03-14T00:00:00"/>
    <n v="0"/>
    <n v="0"/>
    <n v="0"/>
    <n v="0"/>
    <n v="0"/>
    <n v="0"/>
    <n v="0"/>
    <x v="0"/>
    <n v="29199.456000000002"/>
    <n v="29199.456000000002"/>
    <n v="0"/>
    <n v="0"/>
    <x v="0"/>
    <x v="12"/>
  </r>
  <r>
    <s v="ORD02900"/>
    <d v="2023-05-05T00:00:00"/>
    <x v="584"/>
    <x v="68"/>
    <n v="41"/>
    <s v="INV02900"/>
    <n v="41"/>
    <n v="168.12909999999999"/>
    <n v="17"/>
    <d v="2023-07-25T00:00:00"/>
    <m/>
    <m/>
    <m/>
    <n v="168.12909999999999"/>
    <d v="2023-03-28T00:00:00"/>
    <n v="0"/>
    <n v="0"/>
    <n v="0"/>
    <n v="0"/>
    <n v="0"/>
    <n v="1"/>
    <n v="0"/>
    <x v="1"/>
    <n v="6893.2930999999999"/>
    <n v="6893.2930999999999"/>
    <n v="0"/>
    <n v="2"/>
    <x v="1"/>
    <x v="7"/>
  </r>
  <r>
    <s v="ORD02901"/>
    <d v="2023-09-12T00:00:00"/>
    <x v="719"/>
    <x v="223"/>
    <n v="34"/>
    <s v="INV02901"/>
    <n v="34"/>
    <n v="919.86659999999995"/>
    <m/>
    <m/>
    <m/>
    <m/>
    <m/>
    <n v="919.86659999999995"/>
    <d v="2023-07-01T00:00:00"/>
    <n v="0"/>
    <n v="0"/>
    <n v="0"/>
    <n v="0"/>
    <n v="0"/>
    <n v="0"/>
    <n v="0"/>
    <x v="0"/>
    <n v="31275.464399999997"/>
    <n v="31275.464399999997"/>
    <n v="0"/>
    <n v="0"/>
    <x v="0"/>
    <x v="18"/>
  </r>
  <r>
    <s v="ORD02902"/>
    <d v="2023-05-13T00:00:00"/>
    <x v="491"/>
    <x v="199"/>
    <n v="86"/>
    <s v="INV02902"/>
    <n v="86"/>
    <n v="311.96339999999998"/>
    <m/>
    <m/>
    <m/>
    <m/>
    <m/>
    <n v="311.96339999999998"/>
    <d v="2023-03-27T00:00:00"/>
    <n v="0"/>
    <n v="0"/>
    <n v="0"/>
    <n v="0"/>
    <n v="0"/>
    <n v="0"/>
    <n v="0"/>
    <x v="0"/>
    <n v="26828.8524"/>
    <n v="26828.8524"/>
    <n v="0"/>
    <n v="0"/>
    <x v="0"/>
    <x v="7"/>
  </r>
  <r>
    <s v="ORD02903"/>
    <d v="2023-07-07T00:00:00"/>
    <x v="336"/>
    <x v="147"/>
    <n v="181"/>
    <s v="INV02903"/>
    <n v="181"/>
    <n v="1195.6769999999999"/>
    <m/>
    <m/>
    <m/>
    <m/>
    <m/>
    <n v="1195.6769999999999"/>
    <d v="2023-03-25T00:00:00"/>
    <n v="0"/>
    <n v="0"/>
    <n v="0"/>
    <n v="0"/>
    <n v="0"/>
    <n v="0"/>
    <n v="0"/>
    <x v="0"/>
    <n v="216417.53699999998"/>
    <n v="216417.53699999998"/>
    <n v="0"/>
    <n v="0"/>
    <x v="0"/>
    <x v="10"/>
  </r>
  <r>
    <s v="ORD02904"/>
    <d v="2023-08-01T00:00:00"/>
    <x v="465"/>
    <x v="116"/>
    <n v="139"/>
    <s v="INV02904"/>
    <n v="139"/>
    <n v="279.42789999999997"/>
    <m/>
    <m/>
    <m/>
    <m/>
    <m/>
    <n v="279.42789999999997"/>
    <d v="2023-06-26T00:00:00"/>
    <n v="0"/>
    <n v="0"/>
    <n v="0"/>
    <n v="0"/>
    <n v="0"/>
    <n v="0"/>
    <n v="0"/>
    <x v="0"/>
    <n v="38840.478099999993"/>
    <n v="38840.478099999993"/>
    <n v="0"/>
    <n v="0"/>
    <x v="0"/>
    <x v="12"/>
  </r>
  <r>
    <s v="ORD02905"/>
    <d v="2023-11-05T00:00:00"/>
    <x v="767"/>
    <x v="259"/>
    <n v="43"/>
    <s v="INV02905"/>
    <n v="43"/>
    <n v="1160.71"/>
    <m/>
    <m/>
    <m/>
    <m/>
    <m/>
    <n v="1160.71"/>
    <d v="2023-02-07T00:00:00"/>
    <n v="0"/>
    <n v="0"/>
    <n v="0"/>
    <n v="0"/>
    <n v="0"/>
    <n v="0"/>
    <n v="0"/>
    <x v="0"/>
    <n v="49910.53"/>
    <n v="49910.53"/>
    <n v="0"/>
    <n v="0"/>
    <x v="0"/>
    <x v="0"/>
  </r>
  <r>
    <s v="ORD02906"/>
    <d v="2023-05-20T00:00:00"/>
    <x v="683"/>
    <x v="266"/>
    <n v="74"/>
    <s v="INV02906"/>
    <n v="74"/>
    <n v="382.81740000000002"/>
    <m/>
    <m/>
    <m/>
    <m/>
    <m/>
    <n v="382.81740000000002"/>
    <d v="2022-11-13T00:00:00"/>
    <n v="0"/>
    <n v="0"/>
    <n v="0"/>
    <n v="0"/>
    <n v="0"/>
    <n v="0"/>
    <n v="0"/>
    <x v="0"/>
    <n v="28328.4876"/>
    <n v="28328.4876"/>
    <n v="0"/>
    <n v="0"/>
    <x v="0"/>
    <x v="7"/>
  </r>
  <r>
    <s v="ORD02907"/>
    <d v="2023-08-25T00:00:00"/>
    <x v="158"/>
    <x v="137"/>
    <n v="86"/>
    <s v="INV02907"/>
    <n v="86"/>
    <n v="1026.4637"/>
    <m/>
    <m/>
    <m/>
    <m/>
    <m/>
    <n v="1026.4637"/>
    <d v="2023-02-10T00:00:00"/>
    <n v="0"/>
    <n v="0"/>
    <n v="0"/>
    <n v="0"/>
    <n v="0"/>
    <n v="0"/>
    <n v="0"/>
    <x v="0"/>
    <n v="88275.878200000006"/>
    <n v="88275.878200000006"/>
    <n v="0"/>
    <n v="0"/>
    <x v="0"/>
    <x v="12"/>
  </r>
  <r>
    <s v="ORD02908"/>
    <d v="2023-07-01T00:00:00"/>
    <x v="318"/>
    <x v="142"/>
    <n v="46"/>
    <s v="INV02908"/>
    <n v="46"/>
    <n v="752.48910000000001"/>
    <m/>
    <m/>
    <m/>
    <m/>
    <m/>
    <n v="752.48910000000001"/>
    <d v="2023-01-27T00:00:00"/>
    <n v="0"/>
    <n v="0"/>
    <n v="0"/>
    <n v="0"/>
    <n v="0"/>
    <n v="0"/>
    <n v="0"/>
    <x v="0"/>
    <n v="34614.498599999999"/>
    <n v="34614.498599999999"/>
    <n v="0"/>
    <n v="0"/>
    <x v="0"/>
    <x v="10"/>
  </r>
  <r>
    <s v="ORD02909"/>
    <d v="2023-01-05T00:00:00"/>
    <x v="220"/>
    <x v="28"/>
    <n v="107"/>
    <s v="INV02909"/>
    <n v="107"/>
    <n v="975.72600000000011"/>
    <m/>
    <m/>
    <m/>
    <m/>
    <m/>
    <n v="975.72600000000011"/>
    <d v="2022-10-30T00:00:00"/>
    <n v="0"/>
    <n v="0"/>
    <n v="0"/>
    <n v="0"/>
    <n v="0"/>
    <n v="0"/>
    <n v="0"/>
    <x v="0"/>
    <n v="104402.68200000002"/>
    <n v="104402.68200000002"/>
    <n v="0"/>
    <n v="0"/>
    <x v="0"/>
    <x v="8"/>
  </r>
  <r>
    <s v="ORD02910"/>
    <d v="2024-12-23T00:00:00"/>
    <x v="649"/>
    <x v="123"/>
    <n v="51"/>
    <s v="INV02910"/>
    <n v="51"/>
    <n v="618.375"/>
    <m/>
    <m/>
    <m/>
    <m/>
    <m/>
    <n v="618.375"/>
    <d v="2023-07-17T00:00:00"/>
    <n v="0"/>
    <n v="0"/>
    <n v="0"/>
    <n v="0"/>
    <n v="0"/>
    <n v="0"/>
    <n v="0"/>
    <x v="0"/>
    <n v="31537.125"/>
    <n v="31537.125"/>
    <n v="0"/>
    <n v="0"/>
    <x v="0"/>
    <x v="1"/>
  </r>
  <r>
    <s v="ORD02911"/>
    <d v="2023-08-11T00:00:00"/>
    <x v="125"/>
    <x v="234"/>
    <n v="197"/>
    <s v="INV02911"/>
    <n v="197"/>
    <n v="1226.9154000000001"/>
    <m/>
    <m/>
    <m/>
    <m/>
    <m/>
    <n v="1226.9154000000001"/>
    <d v="2023-04-16T00:00:00"/>
    <n v="0"/>
    <n v="0"/>
    <n v="0"/>
    <n v="0"/>
    <n v="0"/>
    <n v="0"/>
    <n v="0"/>
    <x v="0"/>
    <n v="241702.33380000002"/>
    <n v="241702.33380000002"/>
    <n v="0"/>
    <n v="0"/>
    <x v="0"/>
    <x v="12"/>
  </r>
  <r>
    <s v="ORD02912"/>
    <d v="2023-04-01T00:00:00"/>
    <x v="271"/>
    <x v="220"/>
    <n v="41"/>
    <s v="INV02912"/>
    <n v="37"/>
    <n v="1208.5299"/>
    <m/>
    <m/>
    <m/>
    <m/>
    <m/>
    <n v="1208.5299"/>
    <d v="2023-02-26T00:00:00"/>
    <n v="0"/>
    <n v="1"/>
    <n v="0"/>
    <n v="0"/>
    <n v="0"/>
    <n v="0"/>
    <n v="0"/>
    <x v="1"/>
    <n v="44715.606299999999"/>
    <n v="49549.725899999998"/>
    <n v="-4834.1195999999982"/>
    <n v="8"/>
    <x v="2"/>
    <x v="23"/>
  </r>
  <r>
    <s v="ORD02913"/>
    <d v="2024-10-07T00:00:00"/>
    <x v="20"/>
    <x v="74"/>
    <n v="141"/>
    <s v="INV02913"/>
    <n v="141"/>
    <n v="1184.9544000000001"/>
    <n v="1"/>
    <d v="2024-10-16T00:00:00"/>
    <m/>
    <m/>
    <m/>
    <n v="1184.9544000000001"/>
    <d v="2023-09-02T00:00:00"/>
    <n v="0"/>
    <n v="0"/>
    <n v="0"/>
    <n v="0"/>
    <n v="0"/>
    <n v="0"/>
    <n v="0"/>
    <x v="0"/>
    <n v="167078.5704"/>
    <n v="167078.5704"/>
    <n v="0"/>
    <n v="0"/>
    <x v="0"/>
    <x v="5"/>
  </r>
  <r>
    <s v="ORD02914"/>
    <d v="2024-12-31T00:00:00"/>
    <x v="364"/>
    <x v="142"/>
    <n v="105"/>
    <s v="INV02914"/>
    <n v="105"/>
    <n v="752.48910000000001"/>
    <m/>
    <m/>
    <m/>
    <m/>
    <m/>
    <n v="752.48910000000001"/>
    <d v="2023-01-27T00:00:00"/>
    <n v="0"/>
    <n v="0"/>
    <n v="0"/>
    <n v="0"/>
    <n v="0"/>
    <n v="0"/>
    <n v="0"/>
    <x v="0"/>
    <n v="79011.355500000005"/>
    <n v="79011.355500000005"/>
    <n v="0"/>
    <n v="0"/>
    <x v="0"/>
    <x v="1"/>
  </r>
  <r>
    <s v="ORD02915"/>
    <d v="2024-05-18T00:00:00"/>
    <x v="700"/>
    <x v="187"/>
    <n v="20"/>
    <s v="INV02915"/>
    <n v="20"/>
    <n v="892.1431"/>
    <m/>
    <m/>
    <m/>
    <m/>
    <m/>
    <n v="892.1431"/>
    <d v="2023-10-23T00:00:00"/>
    <n v="0"/>
    <n v="0"/>
    <n v="0"/>
    <n v="0"/>
    <n v="0"/>
    <n v="0"/>
    <n v="0"/>
    <x v="0"/>
    <n v="17842.862000000001"/>
    <n v="17842.862000000001"/>
    <n v="0"/>
    <n v="0"/>
    <x v="0"/>
    <x v="13"/>
  </r>
  <r>
    <s v="ORD02916"/>
    <d v="2024-01-27T00:00:00"/>
    <x v="288"/>
    <x v="126"/>
    <n v="4"/>
    <s v="INV02916"/>
    <n v="4"/>
    <n v="287.14"/>
    <m/>
    <m/>
    <m/>
    <m/>
    <m/>
    <n v="287.14"/>
    <d v="2023-02-20T00:00:00"/>
    <n v="0"/>
    <n v="0"/>
    <n v="0"/>
    <n v="0"/>
    <n v="0"/>
    <n v="0"/>
    <n v="0"/>
    <x v="0"/>
    <n v="1148.56"/>
    <n v="1148.56"/>
    <n v="0"/>
    <n v="0"/>
    <x v="0"/>
    <x v="15"/>
  </r>
  <r>
    <s v="ORD02917"/>
    <d v="2023-01-19T00:00:00"/>
    <x v="502"/>
    <x v="51"/>
    <n v="33"/>
    <s v="INV02917"/>
    <n v="29"/>
    <n v="574.3415"/>
    <m/>
    <m/>
    <m/>
    <m/>
    <m/>
    <n v="574.3415"/>
    <d v="2022-09-02T00:00:00"/>
    <n v="0"/>
    <n v="1"/>
    <n v="0"/>
    <n v="0"/>
    <n v="0"/>
    <n v="0"/>
    <n v="0"/>
    <x v="1"/>
    <n v="16655.9035"/>
    <n v="18953.269499999999"/>
    <n v="-2297.3659999999982"/>
    <n v="8"/>
    <x v="2"/>
    <x v="8"/>
  </r>
  <r>
    <s v="ORD02918"/>
    <d v="2024-04-02T00:00:00"/>
    <x v="779"/>
    <x v="141"/>
    <n v="36"/>
    <s v="INV02918"/>
    <n v="36"/>
    <n v="785.89"/>
    <m/>
    <m/>
    <m/>
    <m/>
    <m/>
    <n v="785.89"/>
    <d v="2023-03-04T00:00:00"/>
    <n v="0"/>
    <n v="0"/>
    <n v="0"/>
    <n v="0"/>
    <n v="0"/>
    <n v="0"/>
    <n v="0"/>
    <x v="0"/>
    <n v="28292.04"/>
    <n v="28292.04"/>
    <n v="0"/>
    <n v="0"/>
    <x v="0"/>
    <x v="9"/>
  </r>
  <r>
    <s v="ORD02919"/>
    <d v="2023-08-18T00:00:00"/>
    <x v="593"/>
    <x v="179"/>
    <n v="90"/>
    <s v="INV02919"/>
    <n v="90"/>
    <n v="72.63"/>
    <n v="10"/>
    <d v="2024-03-11T00:00:00"/>
    <m/>
    <m/>
    <m/>
    <n v="72.63"/>
    <d v="2023-01-30T00:00:00"/>
    <n v="0"/>
    <n v="0"/>
    <n v="0"/>
    <n v="0"/>
    <n v="0"/>
    <n v="1"/>
    <n v="0"/>
    <x v="1"/>
    <n v="6536.7"/>
    <n v="6536.7"/>
    <n v="0"/>
    <n v="2"/>
    <x v="1"/>
    <x v="12"/>
  </r>
  <r>
    <s v="ORD02920"/>
    <d v="2024-11-01T00:00:00"/>
    <x v="772"/>
    <x v="259"/>
    <n v="11"/>
    <s v="INV02920"/>
    <n v="18"/>
    <n v="1160.71"/>
    <n v="10"/>
    <d v="2023-03-22T00:00:00"/>
    <m/>
    <m/>
    <m/>
    <n v="1160.71"/>
    <d v="2023-02-07T00:00:00"/>
    <n v="0"/>
    <n v="1"/>
    <n v="0"/>
    <n v="0"/>
    <n v="0"/>
    <n v="0"/>
    <n v="0"/>
    <x v="1"/>
    <n v="20892.78"/>
    <n v="12767.810000000001"/>
    <n v="8124.9699999999975"/>
    <n v="8"/>
    <x v="2"/>
    <x v="4"/>
  </r>
  <r>
    <s v="ORD02921"/>
    <d v="2023-06-25T00:00:00"/>
    <x v="255"/>
    <x v="213"/>
    <n v="11"/>
    <s v="INV02921"/>
    <n v="21"/>
    <n v="855.83360000000005"/>
    <m/>
    <m/>
    <m/>
    <m/>
    <m/>
    <n v="855.83360000000005"/>
    <d v="2023-05-03T00:00:00"/>
    <n v="0"/>
    <n v="1"/>
    <n v="0"/>
    <n v="0"/>
    <n v="0"/>
    <n v="0"/>
    <n v="0"/>
    <x v="1"/>
    <n v="17972.5056"/>
    <n v="9414.1696000000011"/>
    <n v="8558.3359999999993"/>
    <n v="8"/>
    <x v="2"/>
    <x v="14"/>
  </r>
  <r>
    <s v="ORD02922"/>
    <d v="2024-10-05T00:00:00"/>
    <x v="709"/>
    <x v="30"/>
    <n v="9"/>
    <s v="INV02922"/>
    <n v="9"/>
    <n v="360.68479999999994"/>
    <m/>
    <m/>
    <m/>
    <m/>
    <m/>
    <n v="360.68479999999994"/>
    <d v="2023-05-26T00:00:00"/>
    <n v="0"/>
    <n v="0"/>
    <n v="0"/>
    <n v="0"/>
    <n v="0"/>
    <n v="0"/>
    <n v="0"/>
    <x v="0"/>
    <n v="3246.1631999999995"/>
    <n v="3246.1631999999995"/>
    <n v="0"/>
    <n v="0"/>
    <x v="0"/>
    <x v="5"/>
  </r>
  <r>
    <s v="ORD02923"/>
    <d v="2024-09-27T00:00:00"/>
    <x v="404"/>
    <x v="44"/>
    <n v="148"/>
    <s v="INV02923"/>
    <n v="148"/>
    <n v="1120.0405280969353"/>
    <n v="12"/>
    <d v="2023-06-28T00:00:00"/>
    <m/>
    <m/>
    <m/>
    <n v="1119.3012000000001"/>
    <d v="2023-06-14T00:00:00"/>
    <n v="0"/>
    <n v="0"/>
    <n v="1"/>
    <n v="0"/>
    <n v="0"/>
    <n v="0"/>
    <n v="0"/>
    <x v="1"/>
    <n v="165765.99815834643"/>
    <n v="165656.57760000002"/>
    <n v="109.42055834640632"/>
    <n v="4"/>
    <x v="1"/>
    <x v="2"/>
  </r>
  <r>
    <s v="ORD02924"/>
    <d v="2023-10-04T00:00:00"/>
    <x v="722"/>
    <x v="8"/>
    <n v="9"/>
    <s v="INV02924"/>
    <n v="9"/>
    <n v="376.82319999999999"/>
    <m/>
    <m/>
    <m/>
    <m/>
    <m/>
    <n v="376.82319999999999"/>
    <d v="2023-09-02T00:00:00"/>
    <n v="0"/>
    <n v="0"/>
    <n v="0"/>
    <n v="0"/>
    <n v="0"/>
    <n v="0"/>
    <n v="0"/>
    <x v="0"/>
    <n v="3391.4087999999997"/>
    <n v="3391.4087999999997"/>
    <n v="0"/>
    <n v="0"/>
    <x v="0"/>
    <x v="19"/>
  </r>
  <r>
    <s v="ORD02925"/>
    <d v="2024-10-06T00:00:00"/>
    <x v="216"/>
    <x v="143"/>
    <n v="141"/>
    <s v="INV02925"/>
    <n v="141"/>
    <n v="893.8972"/>
    <m/>
    <m/>
    <m/>
    <m/>
    <m/>
    <n v="893.8972"/>
    <d v="2023-05-03T00:00:00"/>
    <n v="0"/>
    <n v="0"/>
    <n v="0"/>
    <n v="0"/>
    <n v="0"/>
    <n v="0"/>
    <n v="0"/>
    <x v="0"/>
    <n v="126039.5052"/>
    <n v="126039.5052"/>
    <n v="0"/>
    <n v="0"/>
    <x v="0"/>
    <x v="5"/>
  </r>
  <r>
    <s v="ORD02926"/>
    <d v="2023-12-02T00:00:00"/>
    <x v="522"/>
    <x v="139"/>
    <n v="74"/>
    <s v="INV02926"/>
    <n v="74"/>
    <n v="383.63"/>
    <m/>
    <m/>
    <m/>
    <m/>
    <m/>
    <n v="383.63"/>
    <d v="2023-10-01T00:00:00"/>
    <n v="0"/>
    <n v="0"/>
    <n v="0"/>
    <n v="0"/>
    <n v="0"/>
    <n v="0"/>
    <n v="0"/>
    <x v="0"/>
    <n v="28388.62"/>
    <n v="28388.62"/>
    <n v="0"/>
    <n v="0"/>
    <x v="0"/>
    <x v="20"/>
  </r>
  <r>
    <s v="ORD02927"/>
    <d v="2024-01-16T00:00:00"/>
    <x v="449"/>
    <x v="251"/>
    <n v="2"/>
    <s v="INV02927"/>
    <n v="2"/>
    <n v="75.504800000000003"/>
    <n v="9"/>
    <d v="2023-03-18T00:00:00"/>
    <m/>
    <m/>
    <m/>
    <n v="75.504800000000003"/>
    <d v="2023-06-03T00:00:00"/>
    <n v="0"/>
    <n v="0"/>
    <n v="0"/>
    <n v="0"/>
    <n v="0"/>
    <n v="0"/>
    <n v="1"/>
    <x v="1"/>
    <n v="151.00960000000001"/>
    <n v="151.00960000000001"/>
    <n v="0"/>
    <n v="3"/>
    <x v="1"/>
    <x v="15"/>
  </r>
  <r>
    <s v="ORD02928"/>
    <d v="2023-05-17T00:00:00"/>
    <x v="252"/>
    <x v="261"/>
    <n v="98"/>
    <s v="INV02928"/>
    <n v="98"/>
    <n v="956.22119999999995"/>
    <n v="1"/>
    <d v="2024-09-09T00:00:00"/>
    <m/>
    <m/>
    <m/>
    <n v="956.22119999999995"/>
    <d v="2022-12-11T00:00:00"/>
    <n v="0"/>
    <n v="0"/>
    <n v="0"/>
    <n v="0"/>
    <n v="0"/>
    <n v="1"/>
    <n v="0"/>
    <x v="1"/>
    <n v="93709.677599999995"/>
    <n v="93709.677599999995"/>
    <n v="0"/>
    <n v="2"/>
    <x v="1"/>
    <x v="7"/>
  </r>
  <r>
    <s v="ORD02929"/>
    <d v="2023-03-25T00:00:00"/>
    <x v="428"/>
    <x v="13"/>
    <n v="163"/>
    <s v="INV02929"/>
    <n v="163"/>
    <n v="248.24449999999999"/>
    <n v="16"/>
    <d v="2023-03-29T00:00:00"/>
    <m/>
    <m/>
    <m/>
    <n v="248.24449999999999"/>
    <d v="2023-01-07T00:00:00"/>
    <n v="0"/>
    <n v="0"/>
    <n v="0"/>
    <n v="0"/>
    <n v="0"/>
    <n v="0"/>
    <n v="0"/>
    <x v="0"/>
    <n v="40463.853499999997"/>
    <n v="40463.853499999997"/>
    <n v="0"/>
    <n v="0"/>
    <x v="0"/>
    <x v="17"/>
  </r>
  <r>
    <s v="ORD02930"/>
    <d v="2024-06-19T00:00:00"/>
    <x v="543"/>
    <x v="226"/>
    <n v="175"/>
    <s v="INV02930"/>
    <n v="175"/>
    <n v="1067.6925000000001"/>
    <m/>
    <m/>
    <m/>
    <m/>
    <m/>
    <n v="1067.6925000000001"/>
    <d v="2023-03-14T00:00:00"/>
    <n v="0"/>
    <n v="0"/>
    <n v="0"/>
    <n v="0"/>
    <n v="0"/>
    <n v="0"/>
    <n v="0"/>
    <x v="0"/>
    <n v="186846.18750000003"/>
    <n v="186846.18750000003"/>
    <n v="0"/>
    <n v="0"/>
    <x v="0"/>
    <x v="16"/>
  </r>
  <r>
    <s v="ORD02931"/>
    <d v="2024-11-22T00:00:00"/>
    <x v="601"/>
    <x v="205"/>
    <n v="92"/>
    <s v="INV02931"/>
    <n v="92"/>
    <n v="82.749600000000015"/>
    <m/>
    <m/>
    <m/>
    <m/>
    <m/>
    <n v="82.749600000000015"/>
    <d v="2023-05-22T00:00:00"/>
    <n v="0"/>
    <n v="0"/>
    <n v="0"/>
    <n v="0"/>
    <n v="0"/>
    <n v="0"/>
    <n v="0"/>
    <x v="0"/>
    <n v="7612.9632000000011"/>
    <n v="7612.9632000000011"/>
    <n v="0"/>
    <n v="0"/>
    <x v="0"/>
    <x v="4"/>
  </r>
  <r>
    <s v="ORD02932"/>
    <d v="2023-01-26T00:00:00"/>
    <x v="702"/>
    <x v="221"/>
    <n v="177"/>
    <s v="INV02932"/>
    <n v="177"/>
    <n v="612.66449999999998"/>
    <m/>
    <m/>
    <m/>
    <m/>
    <m/>
    <n v="612.66449999999998"/>
    <d v="2023-01-25T00:00:00"/>
    <n v="0"/>
    <n v="0"/>
    <n v="0"/>
    <n v="0"/>
    <n v="0"/>
    <n v="0"/>
    <n v="0"/>
    <x v="0"/>
    <n v="108441.61649999999"/>
    <n v="108441.61649999999"/>
    <n v="0"/>
    <n v="0"/>
    <x v="0"/>
    <x v="8"/>
  </r>
  <r>
    <s v="ORD02933"/>
    <d v="2023-06-21T00:00:00"/>
    <x v="289"/>
    <x v="285"/>
    <n v="125"/>
    <s v="INV02933"/>
    <n v="125"/>
    <n v="987.07560000000001"/>
    <m/>
    <m/>
    <m/>
    <m/>
    <m/>
    <n v="987.07560000000001"/>
    <d v="2022-11-12T00:00:00"/>
    <n v="0"/>
    <n v="0"/>
    <n v="0"/>
    <n v="0"/>
    <n v="0"/>
    <n v="0"/>
    <n v="0"/>
    <x v="0"/>
    <n v="123384.45"/>
    <n v="123384.45"/>
    <n v="0"/>
    <n v="0"/>
    <x v="0"/>
    <x v="14"/>
  </r>
  <r>
    <s v="ORD02934"/>
    <d v="2023-10-22T00:00:00"/>
    <x v="87"/>
    <x v="151"/>
    <n v="159"/>
    <s v="INV02934"/>
    <n v="159"/>
    <n v="212.73140000000001"/>
    <m/>
    <m/>
    <m/>
    <m/>
    <m/>
    <n v="212.73140000000001"/>
    <d v="2023-08-06T00:00:00"/>
    <n v="0"/>
    <n v="0"/>
    <n v="0"/>
    <n v="0"/>
    <n v="0"/>
    <n v="0"/>
    <n v="0"/>
    <x v="0"/>
    <n v="33824.292600000001"/>
    <n v="33824.292600000001"/>
    <n v="0"/>
    <n v="0"/>
    <x v="0"/>
    <x v="19"/>
  </r>
  <r>
    <s v="ORD02935"/>
    <d v="2023-06-30T00:00:00"/>
    <x v="608"/>
    <x v="6"/>
    <n v="55"/>
    <s v="INV02935"/>
    <n v="55"/>
    <n v="700.93560000000002"/>
    <m/>
    <m/>
    <m/>
    <m/>
    <m/>
    <n v="700.93560000000002"/>
    <d v="2023-05-31T00:00:00"/>
    <n v="0"/>
    <n v="0"/>
    <n v="0"/>
    <n v="0"/>
    <n v="0"/>
    <n v="0"/>
    <n v="0"/>
    <x v="0"/>
    <n v="38551.457999999999"/>
    <n v="38551.457999999999"/>
    <n v="0"/>
    <n v="0"/>
    <x v="0"/>
    <x v="14"/>
  </r>
  <r>
    <s v="ORD02936"/>
    <d v="2024-06-04T00:00:00"/>
    <x v="370"/>
    <x v="4"/>
    <n v="129"/>
    <s v="INV02936"/>
    <n v="129"/>
    <n v="353.52719999999999"/>
    <m/>
    <m/>
    <m/>
    <m/>
    <m/>
    <n v="353.52719999999999"/>
    <d v="2023-09-13T00:00:00"/>
    <n v="0"/>
    <n v="0"/>
    <n v="0"/>
    <n v="0"/>
    <n v="0"/>
    <n v="0"/>
    <n v="0"/>
    <x v="0"/>
    <n v="45605.008799999996"/>
    <n v="45605.008799999996"/>
    <n v="0"/>
    <n v="0"/>
    <x v="0"/>
    <x v="16"/>
  </r>
  <r>
    <s v="ORD02937"/>
    <d v="2024-02-06T00:00:00"/>
    <x v="715"/>
    <x v="78"/>
    <n v="86"/>
    <s v="INV02937"/>
    <n v="86"/>
    <n v="372.85379999999998"/>
    <m/>
    <m/>
    <m/>
    <m/>
    <m/>
    <n v="372.85379999999998"/>
    <d v="2023-09-06T00:00:00"/>
    <n v="0"/>
    <n v="0"/>
    <n v="0"/>
    <n v="0"/>
    <n v="0"/>
    <n v="0"/>
    <n v="0"/>
    <x v="0"/>
    <n v="32065.426799999997"/>
    <n v="32065.426799999997"/>
    <n v="0"/>
    <n v="0"/>
    <x v="0"/>
    <x v="3"/>
  </r>
  <r>
    <s v="ORD02938"/>
    <d v="2023-02-06T00:00:00"/>
    <x v="748"/>
    <x v="57"/>
    <n v="69"/>
    <s v="INV02938"/>
    <n v="69"/>
    <n v="527.95000000000005"/>
    <m/>
    <m/>
    <m/>
    <m/>
    <m/>
    <n v="527.95000000000005"/>
    <d v="2022-07-13T00:00:00"/>
    <n v="0"/>
    <n v="0"/>
    <n v="0"/>
    <n v="0"/>
    <n v="0"/>
    <n v="0"/>
    <n v="0"/>
    <x v="0"/>
    <n v="36428.550000000003"/>
    <n v="36428.550000000003"/>
    <n v="0"/>
    <n v="0"/>
    <x v="0"/>
    <x v="11"/>
  </r>
  <r>
    <s v="ORD02939"/>
    <d v="2024-11-08T00:00:00"/>
    <x v="148"/>
    <x v="116"/>
    <n v="125"/>
    <s v="INV02939"/>
    <n v="125"/>
    <n v="279.42789999999997"/>
    <m/>
    <m/>
    <m/>
    <m/>
    <m/>
    <n v="279.42789999999997"/>
    <d v="2023-06-26T00:00:00"/>
    <n v="0"/>
    <n v="0"/>
    <n v="0"/>
    <n v="0"/>
    <n v="0"/>
    <n v="0"/>
    <n v="0"/>
    <x v="0"/>
    <n v="34928.487499999996"/>
    <n v="34928.487499999996"/>
    <n v="0"/>
    <n v="0"/>
    <x v="0"/>
    <x v="4"/>
  </r>
  <r>
    <s v="ORD02940"/>
    <d v="2024-09-02T00:00:00"/>
    <x v="224"/>
    <x v="16"/>
    <n v="134"/>
    <s v="INV02940"/>
    <n v="134"/>
    <n v="78.696099999999987"/>
    <m/>
    <m/>
    <m/>
    <m/>
    <m/>
    <n v="78.696099999999987"/>
    <d v="2023-06-06T00:00:00"/>
    <n v="0"/>
    <n v="0"/>
    <n v="0"/>
    <n v="0"/>
    <n v="0"/>
    <n v="0"/>
    <n v="0"/>
    <x v="0"/>
    <n v="10545.277399999999"/>
    <n v="10545.277399999999"/>
    <n v="0"/>
    <n v="0"/>
    <x v="0"/>
    <x v="2"/>
  </r>
  <r>
    <s v="ORD02941"/>
    <d v="2023-10-23T00:00:00"/>
    <x v="199"/>
    <x v="100"/>
    <n v="173"/>
    <s v="INV02941"/>
    <n v="173"/>
    <n v="1231.9933000000001"/>
    <m/>
    <m/>
    <m/>
    <m/>
    <m/>
    <n v="1231.9933000000001"/>
    <d v="2023-01-08T00:00:00"/>
    <n v="0"/>
    <n v="0"/>
    <n v="0"/>
    <n v="0"/>
    <n v="0"/>
    <n v="0"/>
    <n v="0"/>
    <x v="0"/>
    <n v="213134.84090000001"/>
    <n v="213134.84090000001"/>
    <n v="0"/>
    <n v="0"/>
    <x v="0"/>
    <x v="19"/>
  </r>
  <r>
    <s v="ORD02942"/>
    <d v="2024-10-31T00:00:00"/>
    <x v="361"/>
    <x v="229"/>
    <n v="26"/>
    <s v="INV02942"/>
    <n v="26"/>
    <n v="402.05340000000001"/>
    <m/>
    <m/>
    <m/>
    <m/>
    <m/>
    <n v="402.05340000000001"/>
    <d v="2023-10-15T00:00:00"/>
    <n v="0"/>
    <n v="0"/>
    <n v="0"/>
    <n v="0"/>
    <n v="0"/>
    <n v="0"/>
    <n v="0"/>
    <x v="0"/>
    <n v="10453.3884"/>
    <n v="10453.3884"/>
    <n v="0"/>
    <n v="0"/>
    <x v="0"/>
    <x v="5"/>
  </r>
  <r>
    <s v="ORD02943"/>
    <d v="2024-09-22T00:00:00"/>
    <x v="66"/>
    <x v="277"/>
    <n v="54"/>
    <s v="INV02943"/>
    <n v="54"/>
    <n v="544.5"/>
    <m/>
    <m/>
    <m/>
    <m/>
    <m/>
    <n v="544.5"/>
    <d v="2023-08-21T00:00:00"/>
    <n v="0"/>
    <n v="0"/>
    <n v="0"/>
    <n v="0"/>
    <n v="0"/>
    <n v="0"/>
    <n v="0"/>
    <x v="0"/>
    <n v="29403"/>
    <n v="29403"/>
    <n v="0"/>
    <n v="0"/>
    <x v="0"/>
    <x v="2"/>
  </r>
  <r>
    <s v="ORD02944"/>
    <d v="2023-04-25T00:00:00"/>
    <x v="156"/>
    <x v="55"/>
    <n v="99"/>
    <s v="INV02944"/>
    <n v="99"/>
    <n v="525.45000000000005"/>
    <n v="14"/>
    <d v="2024-01-12T00:00:00"/>
    <m/>
    <m/>
    <m/>
    <n v="525.45000000000005"/>
    <d v="2022-03-03T00:00:00"/>
    <n v="0"/>
    <n v="0"/>
    <n v="0"/>
    <n v="0"/>
    <n v="0"/>
    <n v="1"/>
    <n v="0"/>
    <x v="1"/>
    <n v="52019.55"/>
    <n v="52019.55"/>
    <n v="0"/>
    <n v="2"/>
    <x v="1"/>
    <x v="23"/>
  </r>
  <r>
    <s v="ORD02945"/>
    <d v="2023-12-23T00:00:00"/>
    <x v="243"/>
    <x v="79"/>
    <n v="93"/>
    <s v="INV02945"/>
    <n v="93"/>
    <n v="730.7886000000002"/>
    <m/>
    <m/>
    <m/>
    <m/>
    <m/>
    <n v="730.7886000000002"/>
    <d v="2023-06-22T00:00:00"/>
    <n v="0"/>
    <n v="0"/>
    <n v="0"/>
    <n v="0"/>
    <n v="0"/>
    <n v="0"/>
    <n v="0"/>
    <x v="0"/>
    <n v="67963.339800000016"/>
    <n v="67963.339800000016"/>
    <n v="0"/>
    <n v="0"/>
    <x v="0"/>
    <x v="20"/>
  </r>
  <r>
    <s v="ORD02946"/>
    <d v="2024-12-03T00:00:00"/>
    <x v="10"/>
    <x v="30"/>
    <n v="183"/>
    <s v="INV02946"/>
    <n v="183"/>
    <n v="360.68479999999994"/>
    <m/>
    <m/>
    <m/>
    <m/>
    <m/>
    <n v="360.68479999999994"/>
    <d v="2023-05-26T00:00:00"/>
    <n v="0"/>
    <n v="0"/>
    <n v="0"/>
    <n v="0"/>
    <n v="0"/>
    <n v="0"/>
    <n v="0"/>
    <x v="0"/>
    <n v="66005.318399999989"/>
    <n v="66005.318399999989"/>
    <n v="0"/>
    <n v="0"/>
    <x v="0"/>
    <x v="1"/>
  </r>
  <r>
    <s v="ORD02947"/>
    <d v="2023-04-20T00:00:00"/>
    <x v="249"/>
    <x v="213"/>
    <n v="76"/>
    <s v="INV02947"/>
    <n v="76"/>
    <n v="847.36"/>
    <m/>
    <m/>
    <m/>
    <m/>
    <m/>
    <n v="847.36"/>
    <d v="2022-06-15T00:00:00"/>
    <n v="0"/>
    <n v="0"/>
    <n v="0"/>
    <n v="0"/>
    <n v="0"/>
    <n v="0"/>
    <n v="0"/>
    <x v="0"/>
    <n v="64399.360000000001"/>
    <n v="64399.360000000001"/>
    <n v="0"/>
    <n v="0"/>
    <x v="0"/>
    <x v="23"/>
  </r>
  <r>
    <s v="ORD02948"/>
    <d v="2023-09-27T00:00:00"/>
    <x v="653"/>
    <x v="1"/>
    <n v="3"/>
    <s v="INV02948"/>
    <n v="3"/>
    <n v="444.22"/>
    <m/>
    <m/>
    <m/>
    <m/>
    <m/>
    <n v="444.22"/>
    <d v="2023-05-28T00:00:00"/>
    <n v="0"/>
    <n v="0"/>
    <n v="0"/>
    <n v="0"/>
    <n v="0"/>
    <n v="0"/>
    <n v="0"/>
    <x v="0"/>
    <n v="1332.66"/>
    <n v="1332.66"/>
    <n v="0"/>
    <n v="0"/>
    <x v="0"/>
    <x v="18"/>
  </r>
  <r>
    <s v="ORD02949"/>
    <d v="2023-07-28T00:00:00"/>
    <x v="98"/>
    <x v="122"/>
    <n v="53"/>
    <s v="INV02949"/>
    <n v="53"/>
    <n v="75.620999999999995"/>
    <m/>
    <m/>
    <m/>
    <m/>
    <m/>
    <n v="75.620999999999995"/>
    <d v="2023-07-01T00:00:00"/>
    <n v="0"/>
    <n v="0"/>
    <n v="0"/>
    <n v="0"/>
    <n v="0"/>
    <n v="0"/>
    <n v="0"/>
    <x v="0"/>
    <n v="4007.9129999999996"/>
    <n v="4007.9129999999996"/>
    <n v="0"/>
    <n v="0"/>
    <x v="0"/>
    <x v="10"/>
  </r>
  <r>
    <s v="ORD02950"/>
    <d v="2023-04-04T00:00:00"/>
    <x v="113"/>
    <x v="60"/>
    <n v="89"/>
    <s v="INV02950"/>
    <n v="89"/>
    <n v="1087.8191999999999"/>
    <m/>
    <m/>
    <m/>
    <m/>
    <m/>
    <n v="1087.8191999999999"/>
    <d v="2022-10-10T00:00:00"/>
    <n v="0"/>
    <n v="0"/>
    <n v="0"/>
    <n v="0"/>
    <n v="0"/>
    <n v="0"/>
    <n v="0"/>
    <x v="0"/>
    <n v="96815.90879999999"/>
    <n v="96815.90879999999"/>
    <n v="0"/>
    <n v="0"/>
    <x v="0"/>
    <x v="23"/>
  </r>
  <r>
    <s v="ORD02951"/>
    <d v="2023-01-14T00:00:00"/>
    <x v="674"/>
    <x v="50"/>
    <n v="96"/>
    <s v="INV02951"/>
    <n v="96"/>
    <n v="47.936999999999998"/>
    <m/>
    <m/>
    <m/>
    <m/>
    <m/>
    <n v="47.936999999999998"/>
    <d v="2023-01-08T00:00:00"/>
    <n v="0"/>
    <n v="0"/>
    <n v="0"/>
    <n v="0"/>
    <n v="0"/>
    <n v="0"/>
    <n v="0"/>
    <x v="0"/>
    <n v="4601.9519999999993"/>
    <n v="4601.9519999999993"/>
    <n v="0"/>
    <n v="0"/>
    <x v="0"/>
    <x v="8"/>
  </r>
  <r>
    <s v="ORD02952"/>
    <d v="2023-11-18T00:00:00"/>
    <x v="331"/>
    <x v="205"/>
    <n v="184"/>
    <s v="INV02952"/>
    <n v="184"/>
    <n v="82.749600000000015"/>
    <m/>
    <m/>
    <m/>
    <m/>
    <m/>
    <n v="82.749600000000015"/>
    <d v="2023-05-22T00:00:00"/>
    <n v="0"/>
    <n v="0"/>
    <n v="0"/>
    <n v="0"/>
    <n v="0"/>
    <n v="0"/>
    <n v="0"/>
    <x v="0"/>
    <n v="15225.926400000002"/>
    <n v="15225.926400000002"/>
    <n v="0"/>
    <n v="0"/>
    <x v="0"/>
    <x v="0"/>
  </r>
  <r>
    <s v="ORD02953"/>
    <d v="2023-04-14T00:00:00"/>
    <x v="623"/>
    <x v="112"/>
    <n v="112"/>
    <s v="INV02953"/>
    <n v="112"/>
    <n v="303.73439999999999"/>
    <m/>
    <m/>
    <m/>
    <m/>
    <m/>
    <n v="303.73439999999999"/>
    <d v="2022-09-06T00:00:00"/>
    <n v="0"/>
    <n v="0"/>
    <n v="0"/>
    <n v="0"/>
    <n v="0"/>
    <n v="0"/>
    <n v="0"/>
    <x v="0"/>
    <n v="34018.252800000002"/>
    <n v="34018.252800000002"/>
    <n v="0"/>
    <n v="0"/>
    <x v="0"/>
    <x v="23"/>
  </r>
  <r>
    <s v="ORD02954"/>
    <d v="2024-11-29T00:00:00"/>
    <x v="217"/>
    <x v="233"/>
    <n v="53"/>
    <s v="INV02954"/>
    <n v="53"/>
    <n v="799.8357000000002"/>
    <m/>
    <m/>
    <m/>
    <m/>
    <m/>
    <n v="799.8357000000002"/>
    <d v="2023-05-17T00:00:00"/>
    <n v="0"/>
    <n v="0"/>
    <n v="0"/>
    <n v="0"/>
    <n v="0"/>
    <n v="0"/>
    <n v="0"/>
    <x v="0"/>
    <n v="42391.292100000013"/>
    <n v="42391.292100000013"/>
    <n v="0"/>
    <n v="0"/>
    <x v="0"/>
    <x v="4"/>
  </r>
  <r>
    <s v="ORD02955"/>
    <d v="2023-05-13T00:00:00"/>
    <x v="397"/>
    <x v="198"/>
    <n v="78"/>
    <s v="INV02955"/>
    <n v="78"/>
    <n v="906.88919999999996"/>
    <m/>
    <m/>
    <m/>
    <m/>
    <m/>
    <n v="906.88919999999996"/>
    <d v="2023-03-06T00:00:00"/>
    <n v="0"/>
    <n v="0"/>
    <n v="0"/>
    <n v="0"/>
    <n v="0"/>
    <n v="0"/>
    <n v="0"/>
    <x v="0"/>
    <n v="70737.357600000003"/>
    <n v="70737.357600000003"/>
    <n v="0"/>
    <n v="0"/>
    <x v="0"/>
    <x v="7"/>
  </r>
  <r>
    <s v="ORD02956"/>
    <d v="2024-08-25T00:00:00"/>
    <x v="89"/>
    <x v="180"/>
    <n v="162"/>
    <s v="INV02956"/>
    <n v="162"/>
    <n v="977.22280000000001"/>
    <m/>
    <m/>
    <m/>
    <m/>
    <m/>
    <n v="977.22280000000001"/>
    <d v="2023-02-27T00:00:00"/>
    <n v="0"/>
    <n v="0"/>
    <n v="0"/>
    <n v="0"/>
    <n v="0"/>
    <n v="0"/>
    <n v="0"/>
    <x v="0"/>
    <n v="158310.09359999999"/>
    <n v="158310.09359999999"/>
    <n v="0"/>
    <n v="0"/>
    <x v="0"/>
    <x v="22"/>
  </r>
  <r>
    <s v="ORD02957"/>
    <d v="2023-02-08T00:00:00"/>
    <x v="98"/>
    <x v="6"/>
    <n v="175"/>
    <s v="INV02957"/>
    <n v="175"/>
    <n v="634.80959999999993"/>
    <m/>
    <m/>
    <m/>
    <m/>
    <m/>
    <n v="634.80959999999993"/>
    <d v="2022-11-30T00:00:00"/>
    <n v="0"/>
    <n v="0"/>
    <n v="0"/>
    <n v="0"/>
    <n v="0"/>
    <n v="0"/>
    <n v="0"/>
    <x v="0"/>
    <n v="111091.68"/>
    <n v="111091.68"/>
    <n v="0"/>
    <n v="0"/>
    <x v="0"/>
    <x v="11"/>
  </r>
  <r>
    <s v="ORD02958"/>
    <d v="2024-05-17T00:00:00"/>
    <x v="76"/>
    <x v="220"/>
    <n v="24"/>
    <s v="INV02958"/>
    <n v="24"/>
    <n v="1150.3522650316022"/>
    <m/>
    <m/>
    <m/>
    <m/>
    <m/>
    <n v="1149.8634"/>
    <d v="2023-07-28T00:00:00"/>
    <n v="0"/>
    <n v="0"/>
    <n v="1"/>
    <n v="0"/>
    <n v="0"/>
    <n v="0"/>
    <n v="0"/>
    <x v="1"/>
    <n v="27608.454360758453"/>
    <n v="27596.721599999997"/>
    <n v="11.732760758455697"/>
    <n v="4"/>
    <x v="1"/>
    <x v="13"/>
  </r>
  <r>
    <s v="ORD02959"/>
    <d v="2023-10-17T00:00:00"/>
    <x v="308"/>
    <x v="49"/>
    <n v="166"/>
    <s v="INV02959"/>
    <n v="166"/>
    <n v="1040.9412"/>
    <m/>
    <m/>
    <m/>
    <m/>
    <m/>
    <n v="1040.9412"/>
    <d v="2023-02-26T00:00:00"/>
    <n v="0"/>
    <n v="0"/>
    <n v="0"/>
    <n v="0"/>
    <n v="0"/>
    <n v="0"/>
    <n v="0"/>
    <x v="0"/>
    <n v="172796.23920000001"/>
    <n v="172796.23920000001"/>
    <n v="0"/>
    <n v="0"/>
    <x v="0"/>
    <x v="19"/>
  </r>
  <r>
    <s v="ORD02960"/>
    <d v="2024-08-27T00:00:00"/>
    <x v="340"/>
    <x v="152"/>
    <n v="104"/>
    <s v="INV02960"/>
    <n v="104"/>
    <n v="403.01909999999998"/>
    <m/>
    <m/>
    <m/>
    <m/>
    <m/>
    <n v="403.01909999999998"/>
    <d v="2023-05-10T00:00:00"/>
    <n v="0"/>
    <n v="0"/>
    <n v="0"/>
    <n v="0"/>
    <n v="0"/>
    <n v="0"/>
    <n v="0"/>
    <x v="0"/>
    <n v="41913.986399999994"/>
    <n v="41913.986399999994"/>
    <n v="0"/>
    <n v="0"/>
    <x v="0"/>
    <x v="22"/>
  </r>
  <r>
    <s v="ORD02961"/>
    <d v="2024-11-02T00:00:00"/>
    <x v="430"/>
    <x v="108"/>
    <n v="200"/>
    <s v="INV02961"/>
    <n v="200"/>
    <n v="1072.5387000000001"/>
    <m/>
    <m/>
    <m/>
    <m/>
    <m/>
    <n v="1072.5387000000001"/>
    <d v="2023-04-07T00:00:00"/>
    <n v="0"/>
    <n v="0"/>
    <n v="0"/>
    <n v="0"/>
    <n v="0"/>
    <n v="0"/>
    <n v="0"/>
    <x v="0"/>
    <n v="214507.74000000002"/>
    <n v="214507.74000000002"/>
    <n v="0"/>
    <n v="0"/>
    <x v="0"/>
    <x v="4"/>
  </r>
  <r>
    <s v="ORD02962"/>
    <d v="2023-04-03T00:00:00"/>
    <x v="295"/>
    <x v="244"/>
    <n v="83"/>
    <s v="INV02962"/>
    <n v="83"/>
    <n v="1114.3462"/>
    <m/>
    <m/>
    <m/>
    <m/>
    <m/>
    <n v="1114.3462"/>
    <d v="2023-03-30T00:00:00"/>
    <n v="0"/>
    <n v="0"/>
    <n v="0"/>
    <n v="0"/>
    <n v="0"/>
    <n v="0"/>
    <n v="0"/>
    <x v="0"/>
    <n v="92490.734599999996"/>
    <n v="92490.734599999996"/>
    <n v="0"/>
    <n v="0"/>
    <x v="0"/>
    <x v="23"/>
  </r>
  <r>
    <s v="ORD02963"/>
    <d v="2023-02-23T00:00:00"/>
    <x v="762"/>
    <x v="75"/>
    <n v="143"/>
    <s v="INV02963"/>
    <n v="143"/>
    <n v="492.38400000000001"/>
    <m/>
    <m/>
    <m/>
    <m/>
    <m/>
    <n v="492.38400000000001"/>
    <d v="2023-02-09T00:00:00"/>
    <n v="0"/>
    <n v="0"/>
    <n v="0"/>
    <n v="0"/>
    <n v="0"/>
    <n v="0"/>
    <n v="0"/>
    <x v="0"/>
    <n v="70410.911999999997"/>
    <n v="70410.911999999997"/>
    <n v="0"/>
    <n v="0"/>
    <x v="0"/>
    <x v="11"/>
  </r>
  <r>
    <s v="ORD02964"/>
    <d v="2024-03-05T00:00:00"/>
    <x v="780"/>
    <x v="131"/>
    <n v="51"/>
    <s v="INV02964"/>
    <n v="51"/>
    <n v="741.88620000000003"/>
    <m/>
    <m/>
    <m/>
    <m/>
    <m/>
    <n v="741.88620000000003"/>
    <d v="2023-01-04T00:00:00"/>
    <n v="0"/>
    <n v="0"/>
    <n v="0"/>
    <n v="0"/>
    <n v="0"/>
    <n v="0"/>
    <n v="0"/>
    <x v="0"/>
    <n v="37836.196199999998"/>
    <n v="37836.196199999998"/>
    <n v="0"/>
    <n v="0"/>
    <x v="0"/>
    <x v="6"/>
  </r>
  <r>
    <s v="ORD02965"/>
    <d v="2023-05-14T00:00:00"/>
    <x v="320"/>
    <x v="275"/>
    <n v="18"/>
    <s v="INV02965"/>
    <n v="18"/>
    <n v="852.48720000000014"/>
    <m/>
    <m/>
    <m/>
    <m/>
    <m/>
    <n v="852.48720000000014"/>
    <d v="2023-02-26T00:00:00"/>
    <n v="0"/>
    <n v="0"/>
    <n v="0"/>
    <n v="0"/>
    <n v="0"/>
    <n v="0"/>
    <n v="0"/>
    <x v="0"/>
    <n v="15344.769600000003"/>
    <n v="15344.769600000003"/>
    <n v="0"/>
    <n v="0"/>
    <x v="0"/>
    <x v="7"/>
  </r>
  <r>
    <s v="ORD02966"/>
    <d v="2024-12-12T00:00:00"/>
    <x v="159"/>
    <x v="254"/>
    <n v="25"/>
    <s v="INV02966"/>
    <n v="25"/>
    <n v="571.49840000000006"/>
    <m/>
    <m/>
    <m/>
    <m/>
    <m/>
    <n v="571.49840000000006"/>
    <d v="2023-05-25T00:00:00"/>
    <n v="0"/>
    <n v="0"/>
    <n v="0"/>
    <n v="0"/>
    <n v="0"/>
    <n v="0"/>
    <n v="0"/>
    <x v="0"/>
    <n v="14287.460000000001"/>
    <n v="14287.460000000001"/>
    <n v="0"/>
    <n v="0"/>
    <x v="0"/>
    <x v="1"/>
  </r>
  <r>
    <s v="ORD02967"/>
    <d v="2023-04-16T00:00:00"/>
    <x v="626"/>
    <x v="57"/>
    <n v="121"/>
    <s v="INV02967"/>
    <n v="121"/>
    <n v="538.50900000000001"/>
    <m/>
    <m/>
    <m/>
    <m/>
    <m/>
    <n v="538.50900000000001"/>
    <d v="2023-02-17T00:00:00"/>
    <n v="0"/>
    <n v="0"/>
    <n v="0"/>
    <n v="0"/>
    <n v="0"/>
    <n v="0"/>
    <n v="0"/>
    <x v="0"/>
    <n v="65159.589"/>
    <n v="65159.589"/>
    <n v="0"/>
    <n v="0"/>
    <x v="0"/>
    <x v="23"/>
  </r>
  <r>
    <s v="ORD02968"/>
    <d v="2024-02-04T00:00:00"/>
    <x v="780"/>
    <x v="142"/>
    <n v="127"/>
    <s v="INV02968"/>
    <n v="127"/>
    <n v="752.48910000000001"/>
    <m/>
    <m/>
    <m/>
    <m/>
    <m/>
    <n v="752.48910000000001"/>
    <d v="2023-01-27T00:00:00"/>
    <n v="0"/>
    <n v="0"/>
    <n v="0"/>
    <n v="0"/>
    <n v="0"/>
    <n v="0"/>
    <n v="0"/>
    <x v="0"/>
    <n v="95566.115699999995"/>
    <n v="95566.115699999995"/>
    <n v="0"/>
    <n v="0"/>
    <x v="0"/>
    <x v="3"/>
  </r>
  <r>
    <s v="ORD02969"/>
    <d v="2023-06-13T00:00:00"/>
    <x v="737"/>
    <x v="84"/>
    <n v="195"/>
    <s v="INV02969"/>
    <n v="195"/>
    <n v="264.84640000000002"/>
    <m/>
    <m/>
    <m/>
    <m/>
    <m/>
    <n v="264.84640000000002"/>
    <d v="2022-11-05T00:00:00"/>
    <n v="0"/>
    <n v="0"/>
    <n v="0"/>
    <n v="0"/>
    <n v="0"/>
    <n v="0"/>
    <n v="0"/>
    <x v="0"/>
    <n v="51645.048000000003"/>
    <n v="51645.048000000003"/>
    <n v="0"/>
    <n v="0"/>
    <x v="0"/>
    <x v="14"/>
  </r>
  <r>
    <s v="ORD02970"/>
    <d v="2024-08-12T00:00:00"/>
    <x v="305"/>
    <x v="236"/>
    <n v="14"/>
    <s v="INV02970"/>
    <n v="14"/>
    <n v="1182.1740000000002"/>
    <m/>
    <m/>
    <m/>
    <m/>
    <m/>
    <n v="1182.1740000000002"/>
    <d v="2023-07-23T00:00:00"/>
    <n v="0"/>
    <n v="0"/>
    <n v="0"/>
    <n v="0"/>
    <n v="0"/>
    <n v="0"/>
    <n v="0"/>
    <x v="0"/>
    <n v="16550.436000000002"/>
    <n v="16550.436000000002"/>
    <n v="0"/>
    <n v="0"/>
    <x v="0"/>
    <x v="22"/>
  </r>
  <r>
    <s v="ORD02971"/>
    <d v="2024-06-12T00:00:00"/>
    <x v="729"/>
    <x v="16"/>
    <n v="170"/>
    <s v="INV02971"/>
    <n v="170"/>
    <n v="78.696099999999987"/>
    <m/>
    <m/>
    <m/>
    <m/>
    <m/>
    <n v="78.696099999999987"/>
    <d v="2023-06-06T00:00:00"/>
    <n v="0"/>
    <n v="0"/>
    <n v="0"/>
    <n v="0"/>
    <n v="0"/>
    <n v="0"/>
    <n v="0"/>
    <x v="0"/>
    <n v="13378.336999999998"/>
    <n v="13378.336999999998"/>
    <n v="0"/>
    <n v="0"/>
    <x v="0"/>
    <x v="16"/>
  </r>
  <r>
    <s v="ORD02972"/>
    <d v="2024-08-27T00:00:00"/>
    <x v="710"/>
    <x v="73"/>
    <n v="94"/>
    <s v="INV02972"/>
    <n v="94"/>
    <n v="1006.5498857718147"/>
    <m/>
    <m/>
    <m/>
    <m/>
    <m/>
    <n v="1006.5033"/>
    <d v="2023-07-16T00:00:00"/>
    <n v="0"/>
    <n v="0"/>
    <n v="1"/>
    <n v="0"/>
    <n v="0"/>
    <n v="0"/>
    <n v="0"/>
    <x v="1"/>
    <n v="94615.689262550586"/>
    <n v="94611.310199999993"/>
    <n v="4.3790625505935168"/>
    <n v="4"/>
    <x v="1"/>
    <x v="22"/>
  </r>
  <r>
    <s v="ORD02973"/>
    <d v="2024-08-11T00:00:00"/>
    <x v="510"/>
    <x v="229"/>
    <n v="161"/>
    <s v="INV02973"/>
    <n v="161"/>
    <n v="402.05340000000001"/>
    <m/>
    <m/>
    <m/>
    <m/>
    <m/>
    <n v="402.05340000000001"/>
    <d v="2023-10-15T00:00:00"/>
    <n v="0"/>
    <n v="0"/>
    <n v="0"/>
    <n v="0"/>
    <n v="0"/>
    <n v="0"/>
    <n v="0"/>
    <x v="0"/>
    <n v="64730.597399999999"/>
    <n v="64730.597399999999"/>
    <n v="0"/>
    <n v="0"/>
    <x v="0"/>
    <x v="22"/>
  </r>
  <r>
    <s v="ORD02974"/>
    <d v="2023-04-23T00:00:00"/>
    <x v="692"/>
    <x v="215"/>
    <n v="169"/>
    <s v="INV02974"/>
    <n v="169"/>
    <n v="181.02959999999999"/>
    <m/>
    <m/>
    <m/>
    <m/>
    <m/>
    <n v="181.02959999999999"/>
    <d v="2023-03-04T00:00:00"/>
    <n v="0"/>
    <n v="0"/>
    <n v="0"/>
    <n v="0"/>
    <n v="0"/>
    <n v="0"/>
    <n v="0"/>
    <x v="0"/>
    <n v="30594.002399999998"/>
    <n v="30594.002399999998"/>
    <n v="0"/>
    <n v="0"/>
    <x v="0"/>
    <x v="23"/>
  </r>
  <r>
    <s v="ORD02975"/>
    <d v="2024-09-19T00:00:00"/>
    <x v="782"/>
    <x v="96"/>
    <n v="61"/>
    <s v="INV02975"/>
    <n v="61"/>
    <n v="497.4264"/>
    <n v="3"/>
    <d v="2023-10-28T00:00:00"/>
    <m/>
    <m/>
    <m/>
    <n v="497.4264"/>
    <d v="2023-10-13T00:00:00"/>
    <n v="0"/>
    <n v="0"/>
    <n v="0"/>
    <n v="0"/>
    <n v="0"/>
    <n v="0"/>
    <n v="0"/>
    <x v="0"/>
    <n v="30343.010399999999"/>
    <n v="30343.010399999999"/>
    <n v="0"/>
    <n v="0"/>
    <x v="0"/>
    <x v="2"/>
  </r>
  <r>
    <s v="ORD02976"/>
    <d v="2024-08-03T00:00:00"/>
    <x v="225"/>
    <x v="293"/>
    <n v="130"/>
    <s v="INV02976"/>
    <n v="130"/>
    <n v="104.9652"/>
    <m/>
    <m/>
    <m/>
    <m/>
    <m/>
    <n v="104.9652"/>
    <d v="2023-05-20T00:00:00"/>
    <n v="0"/>
    <n v="0"/>
    <n v="0"/>
    <n v="0"/>
    <n v="0"/>
    <n v="0"/>
    <n v="0"/>
    <x v="0"/>
    <n v="13645.475999999999"/>
    <n v="13645.475999999999"/>
    <n v="0"/>
    <n v="0"/>
    <x v="0"/>
    <x v="22"/>
  </r>
  <r>
    <s v="ORD02977"/>
    <d v="2023-07-28T00:00:00"/>
    <x v="485"/>
    <x v="199"/>
    <n v="100"/>
    <s v="INV02977"/>
    <n v="100"/>
    <n v="334.24649999999997"/>
    <m/>
    <m/>
    <m/>
    <m/>
    <m/>
    <n v="334.24649999999997"/>
    <d v="2023-07-18T00:00:00"/>
    <n v="0"/>
    <n v="0"/>
    <n v="0"/>
    <n v="0"/>
    <n v="0"/>
    <n v="0"/>
    <n v="0"/>
    <x v="0"/>
    <n v="33424.649999999994"/>
    <n v="33424.649999999994"/>
    <n v="0"/>
    <n v="0"/>
    <x v="0"/>
    <x v="10"/>
  </r>
  <r>
    <s v="ORD02978"/>
    <d v="2024-04-29T00:00:00"/>
    <x v="730"/>
    <x v="100"/>
    <n v="161"/>
    <s v="INV02978"/>
    <n v="161"/>
    <n v="1231.9933000000001"/>
    <m/>
    <m/>
    <m/>
    <m/>
    <m/>
    <n v="1231.9933000000001"/>
    <d v="2023-01-08T00:00:00"/>
    <n v="0"/>
    <n v="0"/>
    <n v="0"/>
    <n v="0"/>
    <n v="0"/>
    <n v="0"/>
    <n v="0"/>
    <x v="0"/>
    <n v="198350.92130000002"/>
    <n v="198350.92130000002"/>
    <n v="0"/>
    <n v="0"/>
    <x v="0"/>
    <x v="9"/>
  </r>
  <r>
    <s v="ORD02979"/>
    <d v="2023-02-03T00:00:00"/>
    <x v="691"/>
    <x v="81"/>
    <n v="139"/>
    <s v="INV02979"/>
    <n v="139"/>
    <n v="263.89999999999998"/>
    <m/>
    <m/>
    <m/>
    <m/>
    <m/>
    <n v="263.89999999999998"/>
    <d v="2022-10-21T00:00:00"/>
    <n v="0"/>
    <n v="0"/>
    <n v="0"/>
    <n v="0"/>
    <n v="0"/>
    <n v="0"/>
    <n v="0"/>
    <x v="0"/>
    <n v="36682.1"/>
    <n v="36682.1"/>
    <n v="0"/>
    <n v="0"/>
    <x v="0"/>
    <x v="11"/>
  </r>
  <r>
    <s v="ORD02980"/>
    <d v="2024-05-05T00:00:00"/>
    <x v="193"/>
    <x v="236"/>
    <n v="101"/>
    <s v="INV02980"/>
    <n v="101"/>
    <n v="1182.1740000000002"/>
    <m/>
    <m/>
    <m/>
    <m/>
    <m/>
    <n v="1182.1740000000002"/>
    <d v="2023-07-23T00:00:00"/>
    <n v="0"/>
    <n v="0"/>
    <n v="0"/>
    <n v="0"/>
    <n v="0"/>
    <n v="0"/>
    <n v="0"/>
    <x v="0"/>
    <n v="119399.57400000002"/>
    <n v="119399.57400000002"/>
    <n v="0"/>
    <n v="0"/>
    <x v="0"/>
    <x v="13"/>
  </r>
  <r>
    <s v="ORD02981"/>
    <d v="2024-01-31T00:00:00"/>
    <x v="212"/>
    <x v="162"/>
    <n v="18"/>
    <s v="INV02981"/>
    <n v="18"/>
    <n v="571.32999999999993"/>
    <m/>
    <m/>
    <m/>
    <m/>
    <m/>
    <n v="571.32999999999993"/>
    <d v="2023-10-07T00:00:00"/>
    <n v="0"/>
    <n v="0"/>
    <n v="0"/>
    <n v="0"/>
    <n v="0"/>
    <n v="0"/>
    <n v="0"/>
    <x v="0"/>
    <n v="10283.939999999999"/>
    <n v="10283.939999999999"/>
    <n v="0"/>
    <n v="0"/>
    <x v="0"/>
    <x v="15"/>
  </r>
  <r>
    <s v="ORD02982"/>
    <d v="2024-02-18T00:00:00"/>
    <x v="124"/>
    <x v="236"/>
    <n v="35"/>
    <s v="INV02982"/>
    <n v="35"/>
    <n v="1182.1740000000002"/>
    <m/>
    <m/>
    <m/>
    <m/>
    <m/>
    <n v="1182.1740000000002"/>
    <d v="2023-07-23T00:00:00"/>
    <n v="0"/>
    <n v="0"/>
    <n v="0"/>
    <n v="0"/>
    <n v="0"/>
    <n v="0"/>
    <n v="0"/>
    <x v="0"/>
    <n v="41376.090000000004"/>
    <n v="41376.090000000004"/>
    <n v="0"/>
    <n v="0"/>
    <x v="0"/>
    <x v="3"/>
  </r>
  <r>
    <s v="ORD02983"/>
    <d v="2023-01-18T00:00:00"/>
    <x v="353"/>
    <x v="181"/>
    <n v="77"/>
    <s v="INV02983"/>
    <n v="77"/>
    <n v="860.25239999999997"/>
    <m/>
    <m/>
    <m/>
    <m/>
    <m/>
    <n v="860.25239999999997"/>
    <d v="2022-08-01T00:00:00"/>
    <n v="0"/>
    <n v="0"/>
    <n v="0"/>
    <n v="0"/>
    <n v="0"/>
    <n v="0"/>
    <n v="0"/>
    <x v="0"/>
    <n v="66239.434800000003"/>
    <n v="66239.434800000003"/>
    <n v="0"/>
    <n v="0"/>
    <x v="0"/>
    <x v="8"/>
  </r>
  <r>
    <s v="ORD02984"/>
    <d v="2023-09-13T00:00:00"/>
    <x v="692"/>
    <x v="94"/>
    <n v="92"/>
    <s v="INV02984"/>
    <n v="92"/>
    <n v="765.52319999999997"/>
    <m/>
    <m/>
    <m/>
    <m/>
    <m/>
    <n v="765.52319999999997"/>
    <d v="2023-09-05T00:00:00"/>
    <n v="0"/>
    <n v="0"/>
    <n v="0"/>
    <n v="0"/>
    <n v="0"/>
    <n v="0"/>
    <n v="0"/>
    <x v="0"/>
    <n v="70428.134399999995"/>
    <n v="70428.134399999995"/>
    <n v="0"/>
    <n v="0"/>
    <x v="0"/>
    <x v="18"/>
  </r>
  <r>
    <s v="ORD02985"/>
    <d v="2023-04-12T00:00:00"/>
    <x v="601"/>
    <x v="248"/>
    <n v="115"/>
    <s v="INV02985"/>
    <n v="115"/>
    <n v="224.72319999999999"/>
    <m/>
    <m/>
    <m/>
    <m/>
    <m/>
    <n v="224.72319999999999"/>
    <d v="2022-09-01T00:00:00"/>
    <n v="0"/>
    <n v="0"/>
    <n v="0"/>
    <n v="0"/>
    <n v="0"/>
    <n v="0"/>
    <n v="0"/>
    <x v="0"/>
    <n v="25843.167999999998"/>
    <n v="25843.167999999998"/>
    <n v="0"/>
    <n v="0"/>
    <x v="0"/>
    <x v="23"/>
  </r>
  <r>
    <s v="ORD02986"/>
    <d v="2024-07-23T00:00:00"/>
    <x v="587"/>
    <x v="162"/>
    <n v="46"/>
    <s v="INV02986"/>
    <n v="46"/>
    <n v="571.32999999999993"/>
    <m/>
    <m/>
    <m/>
    <m/>
    <m/>
    <n v="571.32999999999993"/>
    <d v="2023-10-07T00:00:00"/>
    <n v="0"/>
    <n v="0"/>
    <n v="0"/>
    <n v="0"/>
    <n v="0"/>
    <n v="0"/>
    <n v="0"/>
    <x v="0"/>
    <n v="26281.179999999997"/>
    <n v="26281.179999999997"/>
    <n v="0"/>
    <n v="0"/>
    <x v="0"/>
    <x v="21"/>
  </r>
  <r>
    <s v="ORD02987"/>
    <d v="2023-07-15T00:00:00"/>
    <x v="267"/>
    <x v="124"/>
    <n v="190"/>
    <s v="INV02987"/>
    <n v="190"/>
    <n v="381.97550000000001"/>
    <m/>
    <m/>
    <m/>
    <m/>
    <m/>
    <n v="381.97550000000001"/>
    <d v="2023-05-19T00:00:00"/>
    <n v="0"/>
    <n v="0"/>
    <n v="0"/>
    <n v="0"/>
    <n v="0"/>
    <n v="0"/>
    <n v="0"/>
    <x v="0"/>
    <n v="72575.345000000001"/>
    <n v="72575.345000000001"/>
    <n v="0"/>
    <n v="0"/>
    <x v="0"/>
    <x v="10"/>
  </r>
  <r>
    <s v="ORD02988"/>
    <d v="2023-05-12T00:00:00"/>
    <x v="597"/>
    <x v="281"/>
    <n v="132"/>
    <s v="INV02988"/>
    <n v="132"/>
    <n v="703.97"/>
    <m/>
    <m/>
    <m/>
    <m/>
    <m/>
    <n v="703.97"/>
    <d v="2023-04-06T00:00:00"/>
    <n v="0"/>
    <n v="0"/>
    <n v="0"/>
    <n v="0"/>
    <n v="0"/>
    <n v="0"/>
    <n v="0"/>
    <x v="0"/>
    <n v="92924.040000000008"/>
    <n v="92924.040000000008"/>
    <n v="0"/>
    <n v="0"/>
    <x v="0"/>
    <x v="7"/>
  </r>
  <r>
    <s v="ORD02989"/>
    <d v="2023-01-14T00:00:00"/>
    <x v="562"/>
    <x v="211"/>
    <n v="128"/>
    <s v="INV02989"/>
    <n v="128"/>
    <n v="649.86450000000002"/>
    <m/>
    <m/>
    <m/>
    <m/>
    <m/>
    <n v="649.86450000000002"/>
    <d v="2022-12-19T00:00:00"/>
    <n v="0"/>
    <n v="0"/>
    <n v="0"/>
    <n v="0"/>
    <n v="0"/>
    <n v="0"/>
    <n v="0"/>
    <x v="0"/>
    <n v="83182.656000000003"/>
    <n v="83182.656000000003"/>
    <n v="0"/>
    <n v="0"/>
    <x v="0"/>
    <x v="8"/>
  </r>
  <r>
    <s v="ORD02990"/>
    <d v="2023-01-16T00:00:00"/>
    <x v="475"/>
    <x v="120"/>
    <n v="186"/>
    <s v="INV02990"/>
    <n v="186"/>
    <n v="887.23350000000005"/>
    <m/>
    <m/>
    <m/>
    <m/>
    <m/>
    <n v="887.23350000000005"/>
    <d v="2022-11-18T00:00:00"/>
    <n v="0"/>
    <n v="0"/>
    <n v="0"/>
    <n v="0"/>
    <n v="0"/>
    <n v="0"/>
    <n v="0"/>
    <x v="0"/>
    <n v="165025.43100000001"/>
    <n v="165025.43100000001"/>
    <n v="0"/>
    <n v="0"/>
    <x v="0"/>
    <x v="8"/>
  </r>
  <r>
    <s v="ORD02991"/>
    <d v="2024-05-03T00:00:00"/>
    <x v="30"/>
    <x v="290"/>
    <n v="150"/>
    <s v="INV02991"/>
    <n v="154"/>
    <n v="1159.732"/>
    <m/>
    <m/>
    <m/>
    <m/>
    <m/>
    <n v="1159.732"/>
    <d v="2023-04-16T00:00:00"/>
    <n v="0"/>
    <n v="1"/>
    <n v="0"/>
    <n v="0"/>
    <n v="0"/>
    <n v="0"/>
    <n v="0"/>
    <x v="1"/>
    <n v="178598.728"/>
    <n v="173959.8"/>
    <n v="4638.9280000000144"/>
    <n v="8"/>
    <x v="2"/>
    <x v="13"/>
  </r>
  <r>
    <s v="ORD02992"/>
    <d v="2024-07-29T00:00:00"/>
    <x v="199"/>
    <x v="10"/>
    <n v="193"/>
    <s v="INV02992"/>
    <n v="193"/>
    <n v="461.69279999999998"/>
    <m/>
    <m/>
    <m/>
    <m/>
    <m/>
    <n v="461.69279999999998"/>
    <d v="2023-04-15T00:00:00"/>
    <n v="0"/>
    <n v="0"/>
    <n v="0"/>
    <n v="0"/>
    <n v="0"/>
    <n v="0"/>
    <n v="0"/>
    <x v="0"/>
    <n v="89106.710399999996"/>
    <n v="89106.710399999996"/>
    <n v="0"/>
    <n v="0"/>
    <x v="0"/>
    <x v="21"/>
  </r>
  <r>
    <s v="ORD02993"/>
    <d v="2024-01-20T00:00:00"/>
    <x v="783"/>
    <x v="279"/>
    <n v="63"/>
    <s v="INV02993"/>
    <n v="63"/>
    <n v="461.00940000000003"/>
    <n v="14"/>
    <d v="2024-06-13T00:00:00"/>
    <m/>
    <m/>
    <m/>
    <n v="461.00940000000003"/>
    <d v="2023-04-20T00:00:00"/>
    <n v="0"/>
    <n v="0"/>
    <n v="0"/>
    <n v="0"/>
    <n v="0"/>
    <n v="1"/>
    <n v="0"/>
    <x v="1"/>
    <n v="29043.592200000003"/>
    <n v="29043.592200000003"/>
    <n v="0"/>
    <n v="2"/>
    <x v="1"/>
    <x v="15"/>
  </r>
  <r>
    <s v="ORD02994"/>
    <d v="2023-04-18T00:00:00"/>
    <x v="664"/>
    <x v="175"/>
    <n v="69"/>
    <s v="INV02994"/>
    <n v="69"/>
    <n v="212.07900000000001"/>
    <m/>
    <m/>
    <m/>
    <m/>
    <m/>
    <n v="212.07900000000001"/>
    <d v="2022-10-28T00:00:00"/>
    <n v="0"/>
    <n v="0"/>
    <n v="0"/>
    <n v="0"/>
    <n v="0"/>
    <n v="0"/>
    <n v="0"/>
    <x v="0"/>
    <n v="14633.451000000001"/>
    <n v="14633.451000000001"/>
    <n v="0"/>
    <n v="0"/>
    <x v="0"/>
    <x v="23"/>
  </r>
  <r>
    <s v="ORD02995"/>
    <d v="2024-02-07T00:00:00"/>
    <x v="299"/>
    <x v="45"/>
    <n v="131"/>
    <s v="INV02995"/>
    <n v="131"/>
    <n v="169.22900000000001"/>
    <m/>
    <m/>
    <m/>
    <m/>
    <m/>
    <n v="169.22900000000001"/>
    <d v="2023-04-23T00:00:00"/>
    <n v="0"/>
    <n v="0"/>
    <n v="0"/>
    <n v="0"/>
    <n v="0"/>
    <n v="0"/>
    <n v="0"/>
    <x v="0"/>
    <n v="22168.999000000003"/>
    <n v="22168.999000000003"/>
    <n v="0"/>
    <n v="0"/>
    <x v="0"/>
    <x v="3"/>
  </r>
  <r>
    <s v="ORD02996"/>
    <d v="2024-09-30T00:00:00"/>
    <x v="777"/>
    <x v="221"/>
    <n v="145"/>
    <s v="INV02996"/>
    <n v="145"/>
    <n v="690.05370000000005"/>
    <m/>
    <m/>
    <m/>
    <m/>
    <m/>
    <n v="690.05370000000005"/>
    <d v="2023-02-19T00:00:00"/>
    <n v="0"/>
    <n v="0"/>
    <n v="0"/>
    <n v="0"/>
    <n v="0"/>
    <n v="0"/>
    <n v="0"/>
    <x v="0"/>
    <n v="100057.7865"/>
    <n v="100057.7865"/>
    <n v="0"/>
    <n v="0"/>
    <x v="0"/>
    <x v="2"/>
  </r>
  <r>
    <s v="ORD02997"/>
    <d v="2023-04-27T00:00:00"/>
    <x v="372"/>
    <x v="156"/>
    <n v="188"/>
    <s v="INV02997"/>
    <n v="188"/>
    <n v="376.38049999999998"/>
    <m/>
    <m/>
    <m/>
    <m/>
    <m/>
    <n v="376.38049999999998"/>
    <d v="2023-02-27T00:00:00"/>
    <n v="0"/>
    <n v="0"/>
    <n v="0"/>
    <n v="0"/>
    <n v="0"/>
    <n v="0"/>
    <n v="0"/>
    <x v="0"/>
    <n v="70759.534"/>
    <n v="70759.534"/>
    <n v="0"/>
    <n v="0"/>
    <x v="0"/>
    <x v="23"/>
  </r>
  <r>
    <s v="ORD02998"/>
    <d v="2023-07-18T00:00:00"/>
    <x v="554"/>
    <x v="165"/>
    <n v="47"/>
    <s v="INV02998"/>
    <n v="47"/>
    <n v="991.99"/>
    <m/>
    <m/>
    <m/>
    <m/>
    <m/>
    <n v="991.99"/>
    <d v="2023-02-19T00:00:00"/>
    <n v="0"/>
    <n v="0"/>
    <n v="0"/>
    <n v="0"/>
    <n v="0"/>
    <n v="0"/>
    <n v="0"/>
    <x v="0"/>
    <n v="46623.53"/>
    <n v="46623.53"/>
    <n v="0"/>
    <n v="0"/>
    <x v="0"/>
    <x v="10"/>
  </r>
  <r>
    <s v="ORD02999"/>
    <d v="2023-10-31T00:00:00"/>
    <x v="691"/>
    <x v="134"/>
    <n v="190"/>
    <s v="INV02999"/>
    <n v="190"/>
    <n v="410.02"/>
    <m/>
    <m/>
    <m/>
    <m/>
    <m/>
    <n v="410.02"/>
    <d v="2023-04-01T00:00:00"/>
    <n v="0"/>
    <n v="0"/>
    <n v="0"/>
    <n v="0"/>
    <n v="0"/>
    <n v="0"/>
    <n v="0"/>
    <x v="0"/>
    <n v="77903.8"/>
    <n v="77903.8"/>
    <n v="0"/>
    <n v="0"/>
    <x v="0"/>
    <x v="19"/>
  </r>
  <r>
    <s v="ORD03000"/>
    <d v="2024-08-19T00:00:00"/>
    <x v="757"/>
    <x v="131"/>
    <n v="98"/>
    <s v="INV03000"/>
    <n v="98"/>
    <n v="741.88620000000003"/>
    <m/>
    <m/>
    <m/>
    <m/>
    <m/>
    <n v="741.88620000000003"/>
    <d v="2023-01-04T00:00:00"/>
    <n v="0"/>
    <n v="0"/>
    <n v="0"/>
    <n v="0"/>
    <n v="0"/>
    <n v="0"/>
    <n v="0"/>
    <x v="0"/>
    <n v="72704.847600000008"/>
    <n v="72704.847600000008"/>
    <n v="0"/>
    <n v="0"/>
    <x v="0"/>
    <x v="22"/>
  </r>
  <r>
    <s v="ORD03001"/>
    <d v="2024-01-04T00:00:00"/>
    <x v="253"/>
    <x v="11"/>
    <n v="197"/>
    <s v="INV03001"/>
    <n v="197"/>
    <n v="687.65840000000003"/>
    <m/>
    <m/>
    <m/>
    <m/>
    <m/>
    <n v="687.65840000000003"/>
    <d v="2023-08-01T00:00:00"/>
    <n v="0"/>
    <n v="0"/>
    <n v="0"/>
    <n v="0"/>
    <n v="0"/>
    <n v="0"/>
    <n v="0"/>
    <x v="0"/>
    <n v="135468.70480000001"/>
    <n v="135468.70480000001"/>
    <n v="0"/>
    <n v="0"/>
    <x v="0"/>
    <x v="15"/>
  </r>
  <r>
    <s v="ORD03002"/>
    <d v="2023-09-16T00:00:00"/>
    <x v="380"/>
    <x v="20"/>
    <n v="143"/>
    <s v="INV03002"/>
    <n v="143"/>
    <n v="1046.6099999999999"/>
    <m/>
    <m/>
    <m/>
    <m/>
    <m/>
    <n v="1046.6099999999999"/>
    <d v="2023-01-14T00:00:00"/>
    <n v="0"/>
    <n v="0"/>
    <n v="0"/>
    <n v="0"/>
    <n v="0"/>
    <n v="0"/>
    <n v="0"/>
    <x v="0"/>
    <n v="149665.22999999998"/>
    <n v="149665.22999999998"/>
    <n v="0"/>
    <n v="0"/>
    <x v="0"/>
    <x v="18"/>
  </r>
  <r>
    <s v="ORD03003"/>
    <d v="2023-08-18T00:00:00"/>
    <x v="440"/>
    <x v="226"/>
    <n v="48"/>
    <s v="INV03003"/>
    <n v="48"/>
    <n v="1067.6925000000001"/>
    <m/>
    <m/>
    <m/>
    <m/>
    <m/>
    <n v="1067.6925000000001"/>
    <d v="2023-03-14T00:00:00"/>
    <n v="0"/>
    <n v="0"/>
    <n v="0"/>
    <n v="0"/>
    <n v="0"/>
    <n v="0"/>
    <n v="0"/>
    <x v="0"/>
    <n v="51249.240000000005"/>
    <n v="51249.240000000005"/>
    <n v="0"/>
    <n v="0"/>
    <x v="0"/>
    <x v="12"/>
  </r>
  <r>
    <s v="ORD03004"/>
    <d v="2024-12-16T00:00:00"/>
    <x v="493"/>
    <x v="0"/>
    <n v="160"/>
    <s v="INV03004"/>
    <n v="155"/>
    <n v="446.4905"/>
    <m/>
    <m/>
    <m/>
    <m/>
    <m/>
    <n v="446.4905"/>
    <d v="2023-08-23T00:00:00"/>
    <n v="0"/>
    <n v="1"/>
    <n v="0"/>
    <n v="0"/>
    <n v="0"/>
    <n v="0"/>
    <n v="0"/>
    <x v="1"/>
    <n v="69206.027499999997"/>
    <n v="71438.48"/>
    <n v="-2232.4524999999994"/>
    <n v="8"/>
    <x v="2"/>
    <x v="1"/>
  </r>
  <r>
    <s v="ORD03005"/>
    <d v="2023-08-30T00:00:00"/>
    <x v="143"/>
    <x v="32"/>
    <n v="71"/>
    <s v="INV03005"/>
    <n v="71"/>
    <n v="973.43799999999999"/>
    <m/>
    <m/>
    <m/>
    <m/>
    <m/>
    <n v="973.43799999999999"/>
    <d v="2023-03-26T00:00:00"/>
    <n v="0"/>
    <n v="0"/>
    <n v="0"/>
    <n v="0"/>
    <n v="0"/>
    <n v="0"/>
    <n v="0"/>
    <x v="0"/>
    <n v="69114.097999999998"/>
    <n v="69114.097999999998"/>
    <n v="0"/>
    <n v="0"/>
    <x v="0"/>
    <x v="12"/>
  </r>
  <r>
    <s v="ORD03006"/>
    <d v="2024-11-19T00:00:00"/>
    <x v="430"/>
    <x v="186"/>
    <n v="170"/>
    <s v="INV03006"/>
    <n v="170"/>
    <n v="589.66600000000005"/>
    <m/>
    <m/>
    <m/>
    <m/>
    <m/>
    <n v="589.66600000000005"/>
    <d v="2023-10-19T00:00:00"/>
    <n v="0"/>
    <n v="0"/>
    <n v="0"/>
    <n v="0"/>
    <n v="0"/>
    <n v="0"/>
    <n v="0"/>
    <x v="0"/>
    <n v="100243.22000000002"/>
    <n v="100243.22000000002"/>
    <n v="0"/>
    <n v="0"/>
    <x v="0"/>
    <x v="4"/>
  </r>
  <r>
    <s v="ORD03007"/>
    <d v="2024-02-08T00:00:00"/>
    <x v="85"/>
    <x v="108"/>
    <n v="31"/>
    <s v="INV03007"/>
    <n v="31"/>
    <n v="1072.5387000000001"/>
    <m/>
    <m/>
    <m/>
    <m/>
    <m/>
    <n v="1072.5387000000001"/>
    <d v="2023-04-07T00:00:00"/>
    <n v="0"/>
    <n v="0"/>
    <n v="0"/>
    <n v="0"/>
    <n v="0"/>
    <n v="0"/>
    <n v="0"/>
    <x v="0"/>
    <n v="33248.699700000005"/>
    <n v="33248.699700000005"/>
    <n v="0"/>
    <n v="0"/>
    <x v="0"/>
    <x v="3"/>
  </r>
  <r>
    <s v="ORD03008"/>
    <d v="2024-02-26T00:00:00"/>
    <x v="615"/>
    <x v="275"/>
    <n v="10"/>
    <s v="INV03008"/>
    <n v="10"/>
    <n v="797.23339999999996"/>
    <m/>
    <m/>
    <m/>
    <m/>
    <m/>
    <n v="797.23339999999996"/>
    <d v="2023-06-08T00:00:00"/>
    <n v="0"/>
    <n v="0"/>
    <n v="0"/>
    <n v="0"/>
    <n v="0"/>
    <n v="0"/>
    <n v="0"/>
    <x v="0"/>
    <n v="7972.3339999999998"/>
    <n v="7972.3339999999998"/>
    <n v="0"/>
    <n v="0"/>
    <x v="0"/>
    <x v="3"/>
  </r>
  <r>
    <s v="ORD03009"/>
    <d v="2023-04-18T00:00:00"/>
    <x v="81"/>
    <x v="247"/>
    <n v="6"/>
    <s v="INV03009"/>
    <n v="6"/>
    <n v="618.54840000000002"/>
    <n v="18"/>
    <d v="2024-10-15T00:00:00"/>
    <m/>
    <m/>
    <m/>
    <n v="618.54840000000002"/>
    <d v="2022-12-21T00:00:00"/>
    <n v="0"/>
    <n v="0"/>
    <n v="0"/>
    <n v="0"/>
    <n v="0"/>
    <n v="1"/>
    <n v="1"/>
    <x v="1"/>
    <n v="3711.2903999999999"/>
    <n v="3711.2903999999999"/>
    <n v="0"/>
    <n v="5"/>
    <x v="1"/>
    <x v="23"/>
  </r>
  <r>
    <s v="ORD03010"/>
    <d v="2024-11-15T00:00:00"/>
    <x v="723"/>
    <x v="61"/>
    <n v="18"/>
    <s v="INV03010"/>
    <n v="18"/>
    <n v="759.48969999999997"/>
    <m/>
    <m/>
    <m/>
    <m/>
    <m/>
    <n v="759.48969999999997"/>
    <d v="2023-07-31T00:00:00"/>
    <n v="0"/>
    <n v="0"/>
    <n v="0"/>
    <n v="0"/>
    <n v="0"/>
    <n v="0"/>
    <n v="0"/>
    <x v="0"/>
    <n v="13670.8146"/>
    <n v="13670.8146"/>
    <n v="0"/>
    <n v="0"/>
    <x v="0"/>
    <x v="4"/>
  </r>
  <r>
    <s v="ORD03011"/>
    <d v="2023-03-21T00:00:00"/>
    <x v="590"/>
    <x v="72"/>
    <n v="31"/>
    <s v="INV03011"/>
    <n v="35"/>
    <n v="754.02560000000005"/>
    <m/>
    <m/>
    <m/>
    <m/>
    <m/>
    <n v="754.02560000000005"/>
    <d v="2023-01-23T00:00:00"/>
    <n v="0"/>
    <n v="1"/>
    <n v="0"/>
    <n v="0"/>
    <n v="0"/>
    <n v="0"/>
    <n v="0"/>
    <x v="1"/>
    <n v="26390.896000000001"/>
    <n v="23374.793600000001"/>
    <n v="3016.1023999999998"/>
    <n v="8"/>
    <x v="2"/>
    <x v="17"/>
  </r>
  <r>
    <s v="ORD03012"/>
    <d v="2024-06-13T00:00:00"/>
    <x v="322"/>
    <x v="178"/>
    <n v="63"/>
    <s v="INV03012"/>
    <n v="63"/>
    <n v="479.40280000000007"/>
    <m/>
    <m/>
    <m/>
    <m/>
    <m/>
    <n v="479.40280000000007"/>
    <d v="2023-01-15T00:00:00"/>
    <n v="0"/>
    <n v="0"/>
    <n v="0"/>
    <n v="0"/>
    <n v="0"/>
    <n v="0"/>
    <n v="0"/>
    <x v="0"/>
    <n v="30202.376400000005"/>
    <n v="30202.376400000005"/>
    <n v="0"/>
    <n v="0"/>
    <x v="0"/>
    <x v="16"/>
  </r>
  <r>
    <s v="ORD03013"/>
    <d v="2024-10-10T00:00:00"/>
    <x v="564"/>
    <x v="199"/>
    <n v="179"/>
    <s v="INV03013"/>
    <n v="188"/>
    <n v="334.24649999999997"/>
    <m/>
    <m/>
    <m/>
    <m/>
    <m/>
    <n v="334.24649999999997"/>
    <d v="2023-07-18T00:00:00"/>
    <n v="0"/>
    <n v="1"/>
    <n v="0"/>
    <n v="0"/>
    <n v="0"/>
    <n v="0"/>
    <n v="0"/>
    <x v="1"/>
    <n v="62838.341999999997"/>
    <n v="59830.123499999994"/>
    <n v="3008.2185000000027"/>
    <n v="8"/>
    <x v="2"/>
    <x v="5"/>
  </r>
  <r>
    <s v="ORD03014"/>
    <d v="2024-01-13T00:00:00"/>
    <x v="452"/>
    <x v="297"/>
    <n v="168"/>
    <s v="INV03014"/>
    <n v="168"/>
    <n v="275.19450000000001"/>
    <m/>
    <m/>
    <m/>
    <m/>
    <m/>
    <n v="275.19450000000001"/>
    <d v="2023-10-19T00:00:00"/>
    <n v="0"/>
    <n v="0"/>
    <n v="0"/>
    <n v="0"/>
    <n v="0"/>
    <n v="0"/>
    <n v="0"/>
    <x v="0"/>
    <n v="46232.675999999999"/>
    <n v="46232.675999999999"/>
    <n v="0"/>
    <n v="0"/>
    <x v="0"/>
    <x v="15"/>
  </r>
  <r>
    <s v="ORD03015"/>
    <d v="2023-05-15T00:00:00"/>
    <x v="330"/>
    <x v="116"/>
    <n v="174"/>
    <s v="INV03015"/>
    <n v="174"/>
    <n v="288.07"/>
    <m/>
    <m/>
    <m/>
    <m/>
    <m/>
    <n v="288.07"/>
    <d v="2023-01-28T00:00:00"/>
    <n v="0"/>
    <n v="0"/>
    <n v="0"/>
    <n v="0"/>
    <n v="0"/>
    <n v="0"/>
    <n v="0"/>
    <x v="0"/>
    <n v="50124.18"/>
    <n v="50124.18"/>
    <n v="0"/>
    <n v="0"/>
    <x v="0"/>
    <x v="7"/>
  </r>
  <r>
    <s v="ORD03016"/>
    <d v="2023-02-24T00:00:00"/>
    <x v="105"/>
    <x v="272"/>
    <n v="7"/>
    <s v="INV03016"/>
    <n v="7"/>
    <n v="765.6404"/>
    <m/>
    <m/>
    <m/>
    <m/>
    <m/>
    <n v="765.6404"/>
    <d v="2022-12-06T00:00:00"/>
    <n v="0"/>
    <n v="0"/>
    <n v="0"/>
    <n v="0"/>
    <n v="0"/>
    <n v="0"/>
    <n v="0"/>
    <x v="0"/>
    <n v="5359.4827999999998"/>
    <n v="5359.4827999999998"/>
    <n v="0"/>
    <n v="0"/>
    <x v="0"/>
    <x v="11"/>
  </r>
  <r>
    <s v="ORD03017"/>
    <d v="2023-03-15T00:00:00"/>
    <x v="234"/>
    <x v="158"/>
    <n v="5"/>
    <s v="INV03017"/>
    <n v="5"/>
    <n v="732.452"/>
    <m/>
    <m/>
    <m/>
    <m/>
    <m/>
    <n v="732.452"/>
    <d v="2023-01-15T00:00:00"/>
    <n v="0"/>
    <n v="0"/>
    <n v="0"/>
    <n v="0"/>
    <n v="0"/>
    <n v="0"/>
    <n v="0"/>
    <x v="0"/>
    <n v="3662.26"/>
    <n v="3662.26"/>
    <n v="0"/>
    <n v="0"/>
    <x v="0"/>
    <x v="17"/>
  </r>
  <r>
    <s v="ORD03018"/>
    <d v="2024-03-05T00:00:00"/>
    <x v="21"/>
    <x v="141"/>
    <n v="57"/>
    <s v="INV03018"/>
    <n v="57"/>
    <n v="785.89"/>
    <m/>
    <m/>
    <m/>
    <m/>
    <m/>
    <n v="785.89"/>
    <d v="2023-03-04T00:00:00"/>
    <n v="0"/>
    <n v="0"/>
    <n v="0"/>
    <n v="0"/>
    <n v="0"/>
    <n v="0"/>
    <n v="0"/>
    <x v="0"/>
    <n v="44795.729999999996"/>
    <n v="44795.729999999996"/>
    <n v="0"/>
    <n v="0"/>
    <x v="0"/>
    <x v="6"/>
  </r>
  <r>
    <s v="ORD03019"/>
    <d v="2023-08-10T00:00:00"/>
    <x v="338"/>
    <x v="104"/>
    <n v="149"/>
    <s v="INV03019"/>
    <n v="149"/>
    <n v="898.02300000000002"/>
    <m/>
    <m/>
    <m/>
    <m/>
    <m/>
    <n v="898.02300000000002"/>
    <d v="2023-04-10T00:00:00"/>
    <n v="0"/>
    <n v="0"/>
    <n v="0"/>
    <n v="0"/>
    <n v="0"/>
    <n v="0"/>
    <n v="0"/>
    <x v="0"/>
    <n v="133805.427"/>
    <n v="133805.427"/>
    <n v="0"/>
    <n v="0"/>
    <x v="0"/>
    <x v="12"/>
  </r>
  <r>
    <s v="ORD03020"/>
    <d v="2023-08-11T00:00:00"/>
    <x v="464"/>
    <x v="280"/>
    <n v="193"/>
    <s v="INV03020"/>
    <n v="193"/>
    <n v="511.96"/>
    <m/>
    <m/>
    <m/>
    <m/>
    <m/>
    <n v="511.96"/>
    <d v="2023-05-12T00:00:00"/>
    <n v="0"/>
    <n v="0"/>
    <n v="0"/>
    <n v="0"/>
    <n v="0"/>
    <n v="0"/>
    <n v="0"/>
    <x v="0"/>
    <n v="98808.28"/>
    <n v="98808.28"/>
    <n v="0"/>
    <n v="0"/>
    <x v="0"/>
    <x v="12"/>
  </r>
  <r>
    <s v="ORD03021"/>
    <d v="2024-04-10T00:00:00"/>
    <x v="178"/>
    <x v="227"/>
    <n v="154"/>
    <s v="INV03021"/>
    <n v="154"/>
    <n v="1131.7711000000002"/>
    <m/>
    <m/>
    <m/>
    <m/>
    <m/>
    <n v="1131.7711000000002"/>
    <d v="2023-05-02T00:00:00"/>
    <n v="0"/>
    <n v="0"/>
    <n v="0"/>
    <n v="0"/>
    <n v="0"/>
    <n v="0"/>
    <n v="0"/>
    <x v="0"/>
    <n v="174292.74940000003"/>
    <n v="174292.74940000003"/>
    <n v="0"/>
    <n v="0"/>
    <x v="0"/>
    <x v="9"/>
  </r>
  <r>
    <s v="ORD03022"/>
    <d v="2024-11-01T00:00:00"/>
    <x v="222"/>
    <x v="3"/>
    <n v="15"/>
    <s v="INV03022"/>
    <n v="15"/>
    <n v="849.43949999999995"/>
    <m/>
    <m/>
    <m/>
    <m/>
    <m/>
    <n v="849.43949999999995"/>
    <d v="2023-07-07T00:00:00"/>
    <n v="0"/>
    <n v="0"/>
    <n v="0"/>
    <n v="0"/>
    <n v="0"/>
    <n v="0"/>
    <n v="0"/>
    <x v="0"/>
    <n v="12741.592499999999"/>
    <n v="12741.592499999999"/>
    <n v="0"/>
    <n v="0"/>
    <x v="0"/>
    <x v="4"/>
  </r>
  <r>
    <s v="ORD03023"/>
    <d v="2023-02-18T00:00:00"/>
    <x v="508"/>
    <x v="34"/>
    <n v="90"/>
    <s v="INV03023"/>
    <n v="90"/>
    <n v="397.19560000000001"/>
    <m/>
    <m/>
    <m/>
    <m/>
    <m/>
    <n v="397.19560000000001"/>
    <d v="2023-01-06T00:00:00"/>
    <n v="0"/>
    <n v="0"/>
    <n v="0"/>
    <n v="0"/>
    <n v="0"/>
    <n v="0"/>
    <n v="0"/>
    <x v="0"/>
    <n v="35747.603999999999"/>
    <n v="35747.603999999999"/>
    <n v="0"/>
    <n v="0"/>
    <x v="0"/>
    <x v="11"/>
  </r>
  <r>
    <s v="ORD03024"/>
    <d v="2024-07-04T00:00:00"/>
    <x v="188"/>
    <x v="139"/>
    <n v="184"/>
    <s v="INV03024"/>
    <n v="180"/>
    <n v="383.63"/>
    <m/>
    <m/>
    <m/>
    <m/>
    <m/>
    <n v="383.63"/>
    <d v="2023-10-01T00:00:00"/>
    <n v="0"/>
    <n v="1"/>
    <n v="0"/>
    <n v="0"/>
    <n v="0"/>
    <n v="0"/>
    <n v="0"/>
    <x v="1"/>
    <n v="69053.399999999994"/>
    <n v="70587.92"/>
    <n v="-1534.5200000000041"/>
    <n v="8"/>
    <x v="2"/>
    <x v="21"/>
  </r>
  <r>
    <s v="ORD03025"/>
    <d v="2023-11-19T00:00:00"/>
    <x v="146"/>
    <x v="5"/>
    <n v="123"/>
    <s v="INV03025"/>
    <n v="123"/>
    <n v="1058.3499999999999"/>
    <m/>
    <m/>
    <m/>
    <m/>
    <m/>
    <n v="1058.3499999999999"/>
    <d v="2023-07-29T00:00:00"/>
    <n v="0"/>
    <n v="0"/>
    <n v="0"/>
    <n v="0"/>
    <n v="0"/>
    <n v="0"/>
    <n v="0"/>
    <x v="0"/>
    <n v="130177.04999999999"/>
    <n v="130177.04999999999"/>
    <n v="0"/>
    <n v="0"/>
    <x v="0"/>
    <x v="0"/>
  </r>
  <r>
    <s v="ORD03026"/>
    <d v="2024-03-18T00:00:00"/>
    <x v="767"/>
    <x v="110"/>
    <n v="48"/>
    <s v="INV03026"/>
    <n v="48"/>
    <n v="951.75750000000005"/>
    <m/>
    <m/>
    <m/>
    <m/>
    <m/>
    <n v="951.75750000000005"/>
    <d v="2023-09-15T00:00:00"/>
    <n v="0"/>
    <n v="0"/>
    <n v="0"/>
    <n v="0"/>
    <n v="0"/>
    <n v="0"/>
    <n v="0"/>
    <x v="0"/>
    <n v="45684.36"/>
    <n v="45684.36"/>
    <n v="0"/>
    <n v="0"/>
    <x v="0"/>
    <x v="6"/>
  </r>
  <r>
    <s v="ORD03027"/>
    <d v="2024-10-26T00:00:00"/>
    <x v="84"/>
    <x v="285"/>
    <n v="84"/>
    <s v="INV03027"/>
    <n v="84"/>
    <n v="1037.4366"/>
    <m/>
    <m/>
    <m/>
    <m/>
    <m/>
    <n v="1037.4366"/>
    <d v="2023-09-29T00:00:00"/>
    <n v="0"/>
    <n v="0"/>
    <n v="0"/>
    <n v="0"/>
    <n v="0"/>
    <n v="0"/>
    <n v="0"/>
    <x v="0"/>
    <n v="87144.674400000004"/>
    <n v="87144.674400000004"/>
    <n v="0"/>
    <n v="0"/>
    <x v="0"/>
    <x v="5"/>
  </r>
  <r>
    <s v="ORD03028"/>
    <d v="2024-11-26T00:00:00"/>
    <x v="143"/>
    <x v="13"/>
    <n v="118"/>
    <s v="INV03028"/>
    <n v="118"/>
    <n v="248.24449999999999"/>
    <m/>
    <m/>
    <m/>
    <m/>
    <m/>
    <n v="248.24449999999999"/>
    <d v="2023-01-07T00:00:00"/>
    <n v="0"/>
    <n v="0"/>
    <n v="0"/>
    <n v="0"/>
    <n v="0"/>
    <n v="0"/>
    <n v="0"/>
    <x v="0"/>
    <n v="29292.850999999999"/>
    <n v="29292.850999999999"/>
    <n v="0"/>
    <n v="0"/>
    <x v="0"/>
    <x v="4"/>
  </r>
  <r>
    <s v="ORD03029"/>
    <d v="2024-12-28T00:00:00"/>
    <x v="202"/>
    <x v="170"/>
    <n v="196"/>
    <s v="INV03029"/>
    <n v="196"/>
    <n v="825.13580000000002"/>
    <n v="10"/>
    <d v="2024-02-23T00:00:00"/>
    <m/>
    <m/>
    <m/>
    <n v="825.13580000000002"/>
    <d v="2023-03-13T00:00:00"/>
    <n v="0"/>
    <n v="0"/>
    <n v="0"/>
    <n v="0"/>
    <n v="0"/>
    <n v="0"/>
    <n v="0"/>
    <x v="0"/>
    <n v="161726.61680000002"/>
    <n v="161726.61680000002"/>
    <n v="0"/>
    <n v="0"/>
    <x v="0"/>
    <x v="1"/>
  </r>
  <r>
    <s v="ORD03030"/>
    <d v="2024-01-26T00:00:00"/>
    <x v="703"/>
    <x v="225"/>
    <n v="32"/>
    <s v="INV03030"/>
    <n v="32"/>
    <n v="307.97520000000003"/>
    <m/>
    <m/>
    <m/>
    <m/>
    <m/>
    <n v="307.97520000000003"/>
    <d v="2023-04-13T00:00:00"/>
    <n v="0"/>
    <n v="0"/>
    <n v="0"/>
    <n v="0"/>
    <n v="0"/>
    <n v="0"/>
    <n v="0"/>
    <x v="0"/>
    <n v="9855.2064000000009"/>
    <n v="9855.2064000000009"/>
    <n v="0"/>
    <n v="0"/>
    <x v="0"/>
    <x v="15"/>
  </r>
  <r>
    <s v="ORD03031"/>
    <d v="2023-04-08T00:00:00"/>
    <x v="391"/>
    <x v="162"/>
    <n v="67"/>
    <s v="INV03031"/>
    <n v="67"/>
    <n v="577.34399999999994"/>
    <m/>
    <m/>
    <m/>
    <m/>
    <m/>
    <n v="577.34399999999994"/>
    <d v="2022-09-03T00:00:00"/>
    <n v="0"/>
    <n v="0"/>
    <n v="0"/>
    <n v="0"/>
    <n v="0"/>
    <n v="0"/>
    <n v="0"/>
    <x v="0"/>
    <n v="38682.047999999995"/>
    <n v="38682.047999999995"/>
    <n v="0"/>
    <n v="0"/>
    <x v="0"/>
    <x v="23"/>
  </r>
  <r>
    <s v="ORD03032"/>
    <d v="2024-02-26T00:00:00"/>
    <x v="440"/>
    <x v="258"/>
    <n v="56"/>
    <s v="INV03032"/>
    <n v="56"/>
    <n v="510.27839999999998"/>
    <m/>
    <m/>
    <m/>
    <m/>
    <m/>
    <n v="510.27839999999998"/>
    <d v="2023-07-20T00:00:00"/>
    <n v="0"/>
    <n v="0"/>
    <n v="0"/>
    <n v="0"/>
    <n v="0"/>
    <n v="0"/>
    <n v="0"/>
    <x v="0"/>
    <n v="28575.590399999997"/>
    <n v="28575.590399999997"/>
    <n v="0"/>
    <n v="0"/>
    <x v="0"/>
    <x v="3"/>
  </r>
  <r>
    <s v="ORD03033"/>
    <d v="2023-11-19T00:00:00"/>
    <x v="686"/>
    <x v="47"/>
    <n v="199"/>
    <s v="INV03033"/>
    <n v="199"/>
    <n v="385.42419999999998"/>
    <m/>
    <m/>
    <m/>
    <m/>
    <m/>
    <n v="385.42419999999998"/>
    <d v="2023-06-02T00:00:00"/>
    <n v="0"/>
    <n v="0"/>
    <n v="0"/>
    <n v="0"/>
    <n v="0"/>
    <n v="0"/>
    <n v="0"/>
    <x v="0"/>
    <n v="76699.415800000002"/>
    <n v="76699.415800000002"/>
    <n v="0"/>
    <n v="0"/>
    <x v="0"/>
    <x v="0"/>
  </r>
  <r>
    <s v="ORD03034"/>
    <d v="2023-04-28T00:00:00"/>
    <x v="614"/>
    <x v="74"/>
    <n v="190"/>
    <s v="INV03034"/>
    <n v="190"/>
    <n v="1138.4856"/>
    <m/>
    <m/>
    <m/>
    <m/>
    <m/>
    <n v="1138.4856"/>
    <d v="2022-10-31T00:00:00"/>
    <n v="0"/>
    <n v="0"/>
    <n v="0"/>
    <n v="0"/>
    <n v="0"/>
    <n v="0"/>
    <n v="0"/>
    <x v="0"/>
    <n v="216312.264"/>
    <n v="216312.264"/>
    <n v="0"/>
    <n v="0"/>
    <x v="0"/>
    <x v="23"/>
  </r>
  <r>
    <s v="ORD03035"/>
    <d v="2023-04-27T00:00:00"/>
    <x v="119"/>
    <x v="270"/>
    <n v="146"/>
    <s v="INV03035"/>
    <n v="146"/>
    <n v="1012.3984"/>
    <m/>
    <m/>
    <m/>
    <m/>
    <m/>
    <n v="1012.3984"/>
    <d v="2022-08-25T00:00:00"/>
    <n v="0"/>
    <n v="0"/>
    <n v="0"/>
    <n v="0"/>
    <n v="0"/>
    <n v="0"/>
    <n v="0"/>
    <x v="0"/>
    <n v="147810.16640000002"/>
    <n v="147810.16640000002"/>
    <n v="0"/>
    <n v="0"/>
    <x v="0"/>
    <x v="23"/>
  </r>
  <r>
    <s v="ORD03036"/>
    <d v="2024-02-18T00:00:00"/>
    <x v="428"/>
    <x v="193"/>
    <n v="85"/>
    <s v="INV03036"/>
    <n v="85"/>
    <n v="1030.7952"/>
    <n v="28"/>
    <d v="2025-01-01T00:00:00"/>
    <m/>
    <m/>
    <m/>
    <n v="1030.7952"/>
    <d v="2023-08-16T00:00:00"/>
    <n v="0"/>
    <n v="0"/>
    <n v="0"/>
    <n v="0"/>
    <n v="0"/>
    <n v="1"/>
    <n v="0"/>
    <x v="1"/>
    <n v="87617.592000000004"/>
    <n v="87617.592000000004"/>
    <n v="0"/>
    <n v="2"/>
    <x v="1"/>
    <x v="3"/>
  </r>
  <r>
    <s v="ORD03037"/>
    <d v="2023-01-06T00:00:00"/>
    <x v="69"/>
    <x v="190"/>
    <n v="82"/>
    <s v="INV03037"/>
    <n v="82"/>
    <n v="826.44"/>
    <m/>
    <m/>
    <m/>
    <m/>
    <m/>
    <n v="826.44"/>
    <d v="2022-02-21T00:00:00"/>
    <n v="0"/>
    <n v="0"/>
    <n v="0"/>
    <n v="0"/>
    <n v="0"/>
    <n v="0"/>
    <n v="0"/>
    <x v="0"/>
    <n v="67768.08"/>
    <n v="67768.08"/>
    <n v="0"/>
    <n v="0"/>
    <x v="0"/>
    <x v="8"/>
  </r>
  <r>
    <s v="ORD03038"/>
    <d v="2024-05-15T00:00:00"/>
    <x v="257"/>
    <x v="109"/>
    <n v="8"/>
    <s v="INV03038"/>
    <n v="8"/>
    <n v="457.65019999999998"/>
    <m/>
    <m/>
    <m/>
    <m/>
    <m/>
    <n v="457.65019999999998"/>
    <d v="2023-01-24T00:00:00"/>
    <n v="0"/>
    <n v="0"/>
    <n v="0"/>
    <n v="0"/>
    <n v="0"/>
    <n v="0"/>
    <n v="0"/>
    <x v="0"/>
    <n v="3661.2015999999999"/>
    <n v="3661.2015999999999"/>
    <n v="0"/>
    <n v="0"/>
    <x v="0"/>
    <x v="13"/>
  </r>
  <r>
    <s v="ORD03039"/>
    <d v="2024-08-04T00:00:00"/>
    <x v="50"/>
    <x v="145"/>
    <n v="117"/>
    <s v="INV03039"/>
    <n v="117"/>
    <n v="185.5224"/>
    <m/>
    <m/>
    <m/>
    <m/>
    <m/>
    <n v="185.5224"/>
    <d v="2023-05-17T00:00:00"/>
    <n v="0"/>
    <n v="0"/>
    <n v="0"/>
    <n v="0"/>
    <n v="0"/>
    <n v="0"/>
    <n v="0"/>
    <x v="0"/>
    <n v="21706.120800000001"/>
    <n v="21706.120800000001"/>
    <n v="0"/>
    <n v="0"/>
    <x v="0"/>
    <x v="22"/>
  </r>
  <r>
    <s v="ORD03040"/>
    <d v="2024-06-16T00:00:00"/>
    <x v="318"/>
    <x v="288"/>
    <n v="106"/>
    <s v="INV03040"/>
    <n v="106"/>
    <n v="907.24260000000004"/>
    <m/>
    <m/>
    <m/>
    <m/>
    <m/>
    <n v="907.24260000000004"/>
    <d v="2023-10-23T00:00:00"/>
    <n v="0"/>
    <n v="0"/>
    <n v="0"/>
    <n v="0"/>
    <n v="0"/>
    <n v="0"/>
    <n v="0"/>
    <x v="0"/>
    <n v="96167.71560000001"/>
    <n v="96167.71560000001"/>
    <n v="0"/>
    <n v="0"/>
    <x v="0"/>
    <x v="16"/>
  </r>
  <r>
    <s v="ORD03041"/>
    <d v="2023-04-06T00:00:00"/>
    <x v="201"/>
    <x v="65"/>
    <n v="43"/>
    <s v="INV03041"/>
    <n v="43"/>
    <n v="660.96040000000005"/>
    <m/>
    <m/>
    <m/>
    <m/>
    <m/>
    <n v="660.96040000000005"/>
    <d v="2023-01-21T00:00:00"/>
    <n v="0"/>
    <n v="0"/>
    <n v="0"/>
    <n v="0"/>
    <n v="0"/>
    <n v="0"/>
    <n v="0"/>
    <x v="0"/>
    <n v="28421.297200000001"/>
    <n v="28421.297200000001"/>
    <n v="0"/>
    <n v="0"/>
    <x v="0"/>
    <x v="23"/>
  </r>
  <r>
    <s v="ORD03042"/>
    <d v="2023-08-27T00:00:00"/>
    <x v="103"/>
    <x v="247"/>
    <n v="17"/>
    <s v="INV03042"/>
    <n v="17"/>
    <n v="649.07187760629336"/>
    <m/>
    <m/>
    <m/>
    <m/>
    <m/>
    <n v="648.86940000000004"/>
    <d v="2023-05-18T00:00:00"/>
    <n v="0"/>
    <n v="0"/>
    <n v="1"/>
    <n v="0"/>
    <n v="0"/>
    <n v="0"/>
    <n v="0"/>
    <x v="1"/>
    <n v="11034.221919306987"/>
    <n v="11030.7798"/>
    <n v="3.4421193069865694"/>
    <n v="4"/>
    <x v="1"/>
    <x v="12"/>
  </r>
  <r>
    <s v="ORD03043"/>
    <d v="2024-02-25T00:00:00"/>
    <x v="406"/>
    <x v="106"/>
    <n v="33"/>
    <s v="INV03043"/>
    <n v="33"/>
    <n v="652.1472"/>
    <m/>
    <m/>
    <m/>
    <m/>
    <m/>
    <n v="652.1472"/>
    <d v="2023-02-02T00:00:00"/>
    <n v="0"/>
    <n v="0"/>
    <n v="0"/>
    <n v="0"/>
    <n v="0"/>
    <n v="0"/>
    <n v="0"/>
    <x v="0"/>
    <n v="21520.857599999999"/>
    <n v="21520.857599999999"/>
    <n v="0"/>
    <n v="0"/>
    <x v="0"/>
    <x v="3"/>
  </r>
  <r>
    <s v="ORD03044"/>
    <d v="2024-01-09T00:00:00"/>
    <x v="228"/>
    <x v="206"/>
    <n v="102"/>
    <s v="INV03044"/>
    <n v="102"/>
    <n v="82.026000000000025"/>
    <m/>
    <m/>
    <m/>
    <m/>
    <m/>
    <n v="82.026000000000025"/>
    <d v="2023-05-15T00:00:00"/>
    <n v="0"/>
    <n v="0"/>
    <n v="0"/>
    <n v="0"/>
    <n v="0"/>
    <n v="0"/>
    <n v="0"/>
    <x v="0"/>
    <n v="8366.6520000000019"/>
    <n v="8366.6520000000019"/>
    <n v="0"/>
    <n v="0"/>
    <x v="0"/>
    <x v="15"/>
  </r>
  <r>
    <s v="ORD03045"/>
    <d v="2024-10-30T00:00:00"/>
    <x v="95"/>
    <x v="263"/>
    <n v="178"/>
    <s v="INV03045"/>
    <n v="178"/>
    <n v="599.90620000000001"/>
    <n v="10"/>
    <d v="2023-02-21T00:00:00"/>
    <m/>
    <m/>
    <m/>
    <n v="599.90620000000001"/>
    <d v="2023-05-14T00:00:00"/>
    <n v="0"/>
    <n v="0"/>
    <n v="0"/>
    <n v="0"/>
    <n v="0"/>
    <n v="0"/>
    <n v="0"/>
    <x v="0"/>
    <n v="106783.3036"/>
    <n v="106783.3036"/>
    <n v="0"/>
    <n v="0"/>
    <x v="0"/>
    <x v="5"/>
  </r>
  <r>
    <s v="ORD03046"/>
    <d v="2024-01-08T00:00:00"/>
    <x v="633"/>
    <x v="78"/>
    <n v="151"/>
    <s v="INV03046"/>
    <n v="151"/>
    <n v="372.85379999999998"/>
    <m/>
    <m/>
    <m/>
    <m/>
    <m/>
    <n v="372.85379999999998"/>
    <d v="2023-09-06T00:00:00"/>
    <n v="0"/>
    <n v="0"/>
    <n v="0"/>
    <n v="0"/>
    <n v="0"/>
    <n v="0"/>
    <n v="0"/>
    <x v="0"/>
    <n v="56300.923799999997"/>
    <n v="56300.923799999997"/>
    <n v="0"/>
    <n v="0"/>
    <x v="0"/>
    <x v="15"/>
  </r>
  <r>
    <s v="ORD03047"/>
    <d v="2023-01-15T00:00:00"/>
    <x v="197"/>
    <x v="271"/>
    <n v="20"/>
    <s v="INV03047"/>
    <n v="20"/>
    <n v="366.02345449669127"/>
    <m/>
    <m/>
    <m/>
    <m/>
    <m/>
    <n v="365.80459999999999"/>
    <d v="2022-11-27T00:00:00"/>
    <n v="0"/>
    <n v="0"/>
    <n v="1"/>
    <n v="0"/>
    <n v="0"/>
    <n v="0"/>
    <n v="0"/>
    <x v="1"/>
    <n v="7320.4690899338257"/>
    <n v="7316.0919999999996"/>
    <n v="4.3770899338260278"/>
    <n v="4"/>
    <x v="1"/>
    <x v="8"/>
  </r>
  <r>
    <s v="ORD03048"/>
    <d v="2023-03-31T00:00:00"/>
    <x v="408"/>
    <x v="91"/>
    <n v="23"/>
    <s v="INV03048"/>
    <n v="23"/>
    <n v="554.83000000000004"/>
    <m/>
    <m/>
    <m/>
    <m/>
    <m/>
    <n v="554.83000000000004"/>
    <d v="2022-07-07T00:00:00"/>
    <n v="0"/>
    <n v="0"/>
    <n v="0"/>
    <n v="0"/>
    <n v="0"/>
    <n v="0"/>
    <n v="0"/>
    <x v="0"/>
    <n v="12761.09"/>
    <n v="12761.09"/>
    <n v="0"/>
    <n v="0"/>
    <x v="0"/>
    <x v="17"/>
  </r>
  <r>
    <s v="ORD03049"/>
    <d v="2023-03-23T00:00:00"/>
    <x v="367"/>
    <x v="68"/>
    <n v="135"/>
    <s v="INV03049"/>
    <n v="135"/>
    <n v="163.4152"/>
    <m/>
    <m/>
    <m/>
    <m/>
    <m/>
    <n v="163.4152"/>
    <d v="2023-01-31T00:00:00"/>
    <n v="0"/>
    <n v="0"/>
    <n v="0"/>
    <n v="0"/>
    <n v="0"/>
    <n v="0"/>
    <n v="0"/>
    <x v="0"/>
    <n v="22061.052"/>
    <n v="22061.052"/>
    <n v="0"/>
    <n v="0"/>
    <x v="0"/>
    <x v="17"/>
  </r>
  <r>
    <s v="ORD03050"/>
    <d v="2024-06-24T00:00:00"/>
    <x v="552"/>
    <x v="236"/>
    <n v="160"/>
    <s v="INV03050"/>
    <n v="160"/>
    <n v="1182.1740000000002"/>
    <m/>
    <m/>
    <m/>
    <m/>
    <m/>
    <n v="1182.1740000000002"/>
    <d v="2023-07-23T00:00:00"/>
    <n v="0"/>
    <n v="0"/>
    <n v="0"/>
    <n v="0"/>
    <n v="0"/>
    <n v="0"/>
    <n v="0"/>
    <x v="0"/>
    <n v="189147.84000000003"/>
    <n v="189147.84000000003"/>
    <n v="0"/>
    <n v="0"/>
    <x v="0"/>
    <x v="16"/>
  </r>
  <r>
    <s v="ORD03051"/>
    <d v="2024-01-25T00:00:00"/>
    <x v="560"/>
    <x v="118"/>
    <n v="105"/>
    <s v="INV03051"/>
    <n v="105"/>
    <n v="130.87360000000001"/>
    <m/>
    <m/>
    <m/>
    <m/>
    <m/>
    <n v="130.87360000000001"/>
    <d v="2023-05-28T00:00:00"/>
    <n v="0"/>
    <n v="0"/>
    <n v="0"/>
    <n v="0"/>
    <n v="0"/>
    <n v="0"/>
    <n v="0"/>
    <x v="0"/>
    <n v="13741.728000000001"/>
    <n v="13741.728000000001"/>
    <n v="0"/>
    <n v="0"/>
    <x v="0"/>
    <x v="15"/>
  </r>
  <r>
    <s v="ORD03052"/>
    <d v="2024-08-11T00:00:00"/>
    <x v="225"/>
    <x v="243"/>
    <n v="35"/>
    <s v="INV03052"/>
    <n v="35"/>
    <n v="191.1936"/>
    <n v="8"/>
    <d v="2023-06-02T00:00:00"/>
    <m/>
    <m/>
    <m/>
    <n v="191.1936"/>
    <d v="2023-04-10T00:00:00"/>
    <n v="0"/>
    <n v="0"/>
    <n v="0"/>
    <n v="0"/>
    <n v="0"/>
    <n v="0"/>
    <n v="0"/>
    <x v="0"/>
    <n v="6691.7759999999998"/>
    <n v="6691.7759999999998"/>
    <n v="0"/>
    <n v="0"/>
    <x v="0"/>
    <x v="22"/>
  </r>
  <r>
    <s v="ORD03053"/>
    <d v="2024-01-01T00:00:00"/>
    <x v="681"/>
    <x v="150"/>
    <n v="93"/>
    <s v="INV03053"/>
    <n v="93"/>
    <n v="956.41030000000001"/>
    <m/>
    <m/>
    <m/>
    <m/>
    <m/>
    <n v="956.41030000000001"/>
    <d v="2023-08-30T00:00:00"/>
    <n v="0"/>
    <n v="0"/>
    <n v="0"/>
    <n v="0"/>
    <n v="0"/>
    <n v="0"/>
    <n v="0"/>
    <x v="0"/>
    <n v="88946.157900000006"/>
    <n v="88946.157900000006"/>
    <n v="0"/>
    <n v="0"/>
    <x v="0"/>
    <x v="15"/>
  </r>
  <r>
    <s v="ORD03054"/>
    <d v="2024-03-06T00:00:00"/>
    <x v="388"/>
    <x v="26"/>
    <n v="105"/>
    <s v="INV03054"/>
    <n v="105"/>
    <n v="129.17519999999999"/>
    <m/>
    <m/>
    <m/>
    <m/>
    <m/>
    <n v="129.17519999999999"/>
    <d v="2023-09-15T00:00:00"/>
    <n v="0"/>
    <n v="0"/>
    <n v="0"/>
    <n v="0"/>
    <n v="0"/>
    <n v="0"/>
    <n v="0"/>
    <x v="0"/>
    <n v="13563.395999999999"/>
    <n v="13563.395999999999"/>
    <n v="0"/>
    <n v="0"/>
    <x v="0"/>
    <x v="6"/>
  </r>
  <r>
    <s v="ORD03055"/>
    <d v="2023-09-23T00:00:00"/>
    <x v="274"/>
    <x v="28"/>
    <n v="183"/>
    <s v="INV03055"/>
    <n v="183"/>
    <n v="957.65700000000015"/>
    <m/>
    <m/>
    <m/>
    <m/>
    <m/>
    <n v="957.65700000000015"/>
    <d v="2023-05-11T00:00:00"/>
    <n v="0"/>
    <n v="0"/>
    <n v="0"/>
    <n v="0"/>
    <n v="0"/>
    <n v="0"/>
    <n v="0"/>
    <x v="0"/>
    <n v="175251.23100000003"/>
    <n v="175251.23100000003"/>
    <n v="0"/>
    <n v="0"/>
    <x v="0"/>
    <x v="18"/>
  </r>
  <r>
    <s v="ORD03056"/>
    <d v="2024-04-10T00:00:00"/>
    <x v="442"/>
    <x v="22"/>
    <n v="110"/>
    <s v="INV03056"/>
    <n v="110"/>
    <n v="626.68790000000001"/>
    <m/>
    <m/>
    <m/>
    <m/>
    <m/>
    <n v="626.68790000000001"/>
    <d v="2023-06-26T00:00:00"/>
    <n v="0"/>
    <n v="0"/>
    <n v="0"/>
    <n v="0"/>
    <n v="0"/>
    <n v="0"/>
    <n v="0"/>
    <x v="0"/>
    <n v="68935.668999999994"/>
    <n v="68935.668999999994"/>
    <n v="0"/>
    <n v="0"/>
    <x v="0"/>
    <x v="9"/>
  </r>
  <r>
    <s v="ORD03057"/>
    <d v="2023-11-12T00:00:00"/>
    <x v="399"/>
    <x v="35"/>
    <n v="87"/>
    <s v="INV03057"/>
    <n v="87"/>
    <n v="1120.6556"/>
    <m/>
    <m/>
    <m/>
    <m/>
    <m/>
    <n v="1120.6556"/>
    <d v="2023-04-10T00:00:00"/>
    <n v="0"/>
    <n v="0"/>
    <n v="0"/>
    <n v="0"/>
    <n v="0"/>
    <n v="0"/>
    <n v="0"/>
    <x v="0"/>
    <n v="97497.037200000006"/>
    <n v="97497.037200000006"/>
    <n v="0"/>
    <n v="0"/>
    <x v="0"/>
    <x v="0"/>
  </r>
  <r>
    <s v="ORD03058"/>
    <d v="2023-09-09T00:00:00"/>
    <x v="467"/>
    <x v="27"/>
    <n v="57"/>
    <s v="INV03058"/>
    <n v="57"/>
    <n v="715.86900000000003"/>
    <n v="4"/>
    <d v="2024-03-24T00:00:00"/>
    <m/>
    <m/>
    <m/>
    <n v="715.86900000000003"/>
    <d v="2023-08-02T00:00:00"/>
    <n v="0"/>
    <n v="0"/>
    <n v="0"/>
    <n v="0"/>
    <n v="0"/>
    <n v="1"/>
    <n v="0"/>
    <x v="1"/>
    <n v="40804.533000000003"/>
    <n v="40804.533000000003"/>
    <n v="0"/>
    <n v="2"/>
    <x v="1"/>
    <x v="18"/>
  </r>
  <r>
    <s v="ORD03059"/>
    <d v="2024-12-22T00:00:00"/>
    <x v="749"/>
    <x v="211"/>
    <n v="156"/>
    <s v="INV03059"/>
    <n v="156"/>
    <n v="655.93800000000022"/>
    <m/>
    <m/>
    <m/>
    <m/>
    <m/>
    <n v="655.93800000000022"/>
    <d v="2023-05-29T00:00:00"/>
    <n v="0"/>
    <n v="0"/>
    <n v="0"/>
    <n v="0"/>
    <n v="0"/>
    <n v="0"/>
    <n v="0"/>
    <x v="0"/>
    <n v="102326.32800000004"/>
    <n v="102326.32800000004"/>
    <n v="0"/>
    <n v="0"/>
    <x v="0"/>
    <x v="1"/>
  </r>
  <r>
    <s v="ORD03060"/>
    <d v="2023-09-13T00:00:00"/>
    <x v="337"/>
    <x v="205"/>
    <n v="113"/>
    <s v="INV03060"/>
    <n v="113"/>
    <n v="82.749600000000015"/>
    <m/>
    <m/>
    <m/>
    <m/>
    <m/>
    <n v="82.749600000000015"/>
    <d v="2023-05-22T00:00:00"/>
    <n v="0"/>
    <n v="0"/>
    <n v="0"/>
    <n v="0"/>
    <n v="0"/>
    <n v="0"/>
    <n v="0"/>
    <x v="0"/>
    <n v="9350.7048000000013"/>
    <n v="9350.7048000000013"/>
    <n v="0"/>
    <n v="0"/>
    <x v="0"/>
    <x v="18"/>
  </r>
  <r>
    <s v="ORD03061"/>
    <d v="2023-02-11T00:00:00"/>
    <x v="234"/>
    <x v="78"/>
    <n v="135"/>
    <s v="INV03061"/>
    <n v="135"/>
    <n v="376.62"/>
    <m/>
    <m/>
    <m/>
    <m/>
    <m/>
    <n v="376.62"/>
    <d v="2022-07-05T00:00:00"/>
    <n v="0"/>
    <n v="0"/>
    <n v="0"/>
    <n v="0"/>
    <n v="0"/>
    <n v="0"/>
    <n v="0"/>
    <x v="0"/>
    <n v="50843.7"/>
    <n v="50843.7"/>
    <n v="0"/>
    <n v="0"/>
    <x v="0"/>
    <x v="11"/>
  </r>
  <r>
    <s v="ORD03062"/>
    <d v="2023-10-03T00:00:00"/>
    <x v="784"/>
    <x v="140"/>
    <n v="41"/>
    <s v="INV03062"/>
    <n v="41"/>
    <n v="521.54959999999994"/>
    <m/>
    <m/>
    <m/>
    <m/>
    <m/>
    <n v="521.54959999999994"/>
    <d v="2023-03-09T00:00:00"/>
    <n v="0"/>
    <n v="0"/>
    <n v="0"/>
    <n v="0"/>
    <n v="0"/>
    <n v="0"/>
    <n v="0"/>
    <x v="0"/>
    <n v="21383.533599999999"/>
    <n v="21383.533599999999"/>
    <n v="0"/>
    <n v="0"/>
    <x v="0"/>
    <x v="19"/>
  </r>
  <r>
    <s v="ORD03063"/>
    <d v="2023-03-13T00:00:00"/>
    <x v="547"/>
    <x v="157"/>
    <n v="114"/>
    <s v="INV03063"/>
    <n v="114"/>
    <n v="1158.2643"/>
    <m/>
    <m/>
    <m/>
    <m/>
    <m/>
    <n v="1158.2643"/>
    <d v="2022-07-29T00:00:00"/>
    <n v="0"/>
    <n v="0"/>
    <n v="0"/>
    <n v="0"/>
    <n v="0"/>
    <n v="0"/>
    <n v="0"/>
    <x v="0"/>
    <n v="132042.13020000001"/>
    <n v="132042.13020000001"/>
    <n v="0"/>
    <n v="0"/>
    <x v="0"/>
    <x v="17"/>
  </r>
  <r>
    <s v="ORD03064"/>
    <d v="2023-07-06T00:00:00"/>
    <x v="417"/>
    <x v="194"/>
    <n v="138"/>
    <s v="INV03064"/>
    <n v="138"/>
    <n v="399.4169"/>
    <m/>
    <m/>
    <m/>
    <m/>
    <m/>
    <n v="399.4169"/>
    <d v="2023-04-04T00:00:00"/>
    <n v="0"/>
    <n v="0"/>
    <n v="0"/>
    <n v="0"/>
    <n v="0"/>
    <n v="0"/>
    <n v="0"/>
    <x v="0"/>
    <n v="55119.532200000001"/>
    <n v="55119.532200000001"/>
    <n v="0"/>
    <n v="0"/>
    <x v="0"/>
    <x v="10"/>
  </r>
  <r>
    <s v="ORD03065"/>
    <d v="2024-07-02T00:00:00"/>
    <x v="680"/>
    <x v="209"/>
    <n v="23"/>
    <s v="INV03065"/>
    <n v="23"/>
    <n v="880.66300000000001"/>
    <m/>
    <m/>
    <m/>
    <m/>
    <m/>
    <n v="880.66300000000001"/>
    <d v="2023-02-09T00:00:00"/>
    <n v="0"/>
    <n v="0"/>
    <n v="0"/>
    <n v="0"/>
    <n v="0"/>
    <n v="0"/>
    <n v="0"/>
    <x v="0"/>
    <n v="20255.249"/>
    <n v="20255.249"/>
    <n v="0"/>
    <n v="0"/>
    <x v="0"/>
    <x v="21"/>
  </r>
  <r>
    <s v="ORD03066"/>
    <d v="2023-12-10T00:00:00"/>
    <x v="515"/>
    <x v="230"/>
    <n v="135"/>
    <s v="INV03066"/>
    <n v="135"/>
    <n v="234.87090000000001"/>
    <m/>
    <m/>
    <m/>
    <m/>
    <m/>
    <n v="234.87090000000001"/>
    <d v="2023-08-12T00:00:00"/>
    <n v="0"/>
    <n v="0"/>
    <n v="0"/>
    <n v="0"/>
    <n v="0"/>
    <n v="0"/>
    <n v="0"/>
    <x v="0"/>
    <n v="31707.571500000002"/>
    <n v="31707.571500000002"/>
    <n v="0"/>
    <n v="0"/>
    <x v="0"/>
    <x v="20"/>
  </r>
  <r>
    <s v="ORD03067"/>
    <d v="2023-11-10T00:00:00"/>
    <x v="145"/>
    <x v="68"/>
    <n v="198"/>
    <s v="INV03067"/>
    <n v="198"/>
    <n v="168.12909999999999"/>
    <m/>
    <m/>
    <m/>
    <m/>
    <m/>
    <n v="168.12909999999999"/>
    <d v="2023-03-28T00:00:00"/>
    <n v="0"/>
    <n v="0"/>
    <n v="0"/>
    <n v="0"/>
    <n v="0"/>
    <n v="0"/>
    <n v="0"/>
    <x v="0"/>
    <n v="33289.561799999996"/>
    <n v="33289.561799999996"/>
    <n v="0"/>
    <n v="0"/>
    <x v="0"/>
    <x v="0"/>
  </r>
  <r>
    <s v="ORD03068"/>
    <d v="2023-03-22T00:00:00"/>
    <x v="11"/>
    <x v="112"/>
    <n v="130"/>
    <s v="INV03068"/>
    <n v="130"/>
    <n v="303.73439999999999"/>
    <m/>
    <m/>
    <m/>
    <m/>
    <m/>
    <n v="303.73439999999999"/>
    <d v="2022-09-06T00:00:00"/>
    <n v="0"/>
    <n v="0"/>
    <n v="0"/>
    <n v="0"/>
    <n v="0"/>
    <n v="0"/>
    <n v="0"/>
    <x v="0"/>
    <n v="39485.472000000002"/>
    <n v="39485.472000000002"/>
    <n v="0"/>
    <n v="0"/>
    <x v="0"/>
    <x v="17"/>
  </r>
  <r>
    <s v="ORD03069"/>
    <d v="2023-07-19T00:00:00"/>
    <x v="574"/>
    <x v="261"/>
    <n v="85"/>
    <s v="INV03069"/>
    <n v="85"/>
    <n v="956.22119999999995"/>
    <m/>
    <m/>
    <m/>
    <m/>
    <m/>
    <n v="956.22119999999995"/>
    <d v="2022-12-11T00:00:00"/>
    <n v="0"/>
    <n v="0"/>
    <n v="0"/>
    <n v="0"/>
    <n v="0"/>
    <n v="0"/>
    <n v="0"/>
    <x v="0"/>
    <n v="81278.801999999996"/>
    <n v="81278.801999999996"/>
    <n v="0"/>
    <n v="0"/>
    <x v="0"/>
    <x v="10"/>
  </r>
  <r>
    <s v="ORD03070"/>
    <d v="2023-06-21T00:00:00"/>
    <x v="327"/>
    <x v="105"/>
    <n v="171"/>
    <s v="INV03070"/>
    <n v="171"/>
    <n v="1109.5024421313501"/>
    <m/>
    <m/>
    <m/>
    <m/>
    <m/>
    <n v="1108.7584999999999"/>
    <d v="2022-09-01T00:00:00"/>
    <n v="0"/>
    <n v="0"/>
    <n v="1"/>
    <n v="0"/>
    <n v="0"/>
    <n v="0"/>
    <n v="0"/>
    <x v="1"/>
    <n v="189724.91760446088"/>
    <n v="189597.70349999997"/>
    <n v="127.21410446090158"/>
    <n v="4"/>
    <x v="1"/>
    <x v="14"/>
  </r>
  <r>
    <s v="ORD03071"/>
    <d v="2024-01-25T00:00:00"/>
    <x v="45"/>
    <x v="141"/>
    <n v="98"/>
    <s v="INV03071"/>
    <n v="98"/>
    <n v="785.89"/>
    <m/>
    <m/>
    <m/>
    <m/>
    <m/>
    <n v="785.89"/>
    <d v="2023-03-04T00:00:00"/>
    <n v="0"/>
    <n v="0"/>
    <n v="0"/>
    <n v="0"/>
    <n v="0"/>
    <n v="0"/>
    <n v="0"/>
    <x v="0"/>
    <n v="77017.22"/>
    <n v="77017.22"/>
    <n v="0"/>
    <n v="0"/>
    <x v="0"/>
    <x v="15"/>
  </r>
  <r>
    <s v="ORD03072"/>
    <d v="2024-03-09T00:00:00"/>
    <x v="747"/>
    <x v="89"/>
    <n v="40"/>
    <s v="INV03072"/>
    <n v="40"/>
    <n v="826.46400000000006"/>
    <m/>
    <m/>
    <m/>
    <m/>
    <m/>
    <n v="826.46400000000006"/>
    <d v="2023-07-21T00:00:00"/>
    <n v="0"/>
    <n v="0"/>
    <n v="0"/>
    <n v="0"/>
    <n v="0"/>
    <n v="0"/>
    <n v="0"/>
    <x v="0"/>
    <n v="33058.560000000005"/>
    <n v="33058.560000000005"/>
    <n v="0"/>
    <n v="0"/>
    <x v="0"/>
    <x v="6"/>
  </r>
  <r>
    <s v="ORD03073"/>
    <d v="2024-01-22T00:00:00"/>
    <x v="533"/>
    <x v="40"/>
    <n v="112"/>
    <s v="INV03073"/>
    <n v="112"/>
    <n v="182.4273"/>
    <m/>
    <m/>
    <m/>
    <m/>
    <m/>
    <n v="182.4273"/>
    <d v="2023-03-04T00:00:00"/>
    <n v="0"/>
    <n v="0"/>
    <n v="0"/>
    <n v="0"/>
    <n v="0"/>
    <n v="0"/>
    <n v="0"/>
    <x v="0"/>
    <n v="20431.857599999999"/>
    <n v="20431.857599999999"/>
    <n v="0"/>
    <n v="0"/>
    <x v="0"/>
    <x v="15"/>
  </r>
  <r>
    <s v="ORD03074"/>
    <d v="2024-12-23T00:00:00"/>
    <x v="65"/>
    <x v="7"/>
    <n v="88"/>
    <s v="INV03074"/>
    <n v="88"/>
    <n v="511.05885949443564"/>
    <n v="14"/>
    <d v="2024-09-18T00:00:00"/>
    <m/>
    <m/>
    <m/>
    <n v="510.91840000000002"/>
    <d v="2023-02-24T00:00:00"/>
    <n v="0"/>
    <n v="0"/>
    <n v="1"/>
    <n v="0"/>
    <n v="0"/>
    <n v="0"/>
    <n v="0"/>
    <x v="1"/>
    <n v="44973.179635510336"/>
    <n v="44960.819199999998"/>
    <n v="12.360435510337993"/>
    <n v="4"/>
    <x v="1"/>
    <x v="1"/>
  </r>
  <r>
    <s v="ORD03075"/>
    <d v="2024-05-12T00:00:00"/>
    <x v="754"/>
    <x v="12"/>
    <n v="56"/>
    <s v="INV03075"/>
    <n v="56"/>
    <n v="689.58720000000005"/>
    <n v="11"/>
    <d v="2024-10-30T00:00:00"/>
    <m/>
    <m/>
    <m/>
    <n v="689.58720000000005"/>
    <d v="2023-10-25T00:00:00"/>
    <n v="0"/>
    <n v="0"/>
    <n v="0"/>
    <n v="0"/>
    <n v="0"/>
    <n v="1"/>
    <n v="0"/>
    <x v="1"/>
    <n v="38616.883200000004"/>
    <n v="38616.883200000004"/>
    <n v="0"/>
    <n v="2"/>
    <x v="1"/>
    <x v="13"/>
  </r>
  <r>
    <s v="ORD03076"/>
    <d v="2024-06-27T00:00:00"/>
    <x v="283"/>
    <x v="27"/>
    <n v="185"/>
    <s v="INV03076"/>
    <n v="185"/>
    <n v="715.86900000000003"/>
    <n v="16"/>
    <d v="2024-04-24T00:00:00"/>
    <m/>
    <m/>
    <m/>
    <n v="715.86900000000003"/>
    <d v="2023-08-02T00:00:00"/>
    <n v="0"/>
    <n v="0"/>
    <n v="0"/>
    <n v="0"/>
    <n v="0"/>
    <n v="0"/>
    <n v="0"/>
    <x v="0"/>
    <n v="132435.76500000001"/>
    <n v="132435.76500000001"/>
    <n v="0"/>
    <n v="0"/>
    <x v="0"/>
    <x v="16"/>
  </r>
  <r>
    <s v="ORD03077"/>
    <d v="2024-12-22T00:00:00"/>
    <x v="334"/>
    <x v="0"/>
    <n v="189"/>
    <s v="INV03077"/>
    <n v="189"/>
    <n v="446.4905"/>
    <m/>
    <m/>
    <m/>
    <m/>
    <m/>
    <n v="446.4905"/>
    <d v="2023-08-23T00:00:00"/>
    <n v="0"/>
    <n v="0"/>
    <n v="0"/>
    <n v="0"/>
    <n v="0"/>
    <n v="0"/>
    <n v="0"/>
    <x v="0"/>
    <n v="84386.704499999993"/>
    <n v="84386.704499999993"/>
    <n v="0"/>
    <n v="0"/>
    <x v="0"/>
    <x v="1"/>
  </r>
  <r>
    <s v="ORD03078"/>
    <d v="2024-06-22T00:00:00"/>
    <x v="735"/>
    <x v="242"/>
    <n v="120"/>
    <s v="INV03078"/>
    <n v="120"/>
    <n v="1166.4765000000002"/>
    <m/>
    <m/>
    <m/>
    <m/>
    <m/>
    <n v="1166.4765000000002"/>
    <d v="2023-07-07T00:00:00"/>
    <n v="0"/>
    <n v="0"/>
    <n v="0"/>
    <n v="0"/>
    <n v="0"/>
    <n v="0"/>
    <n v="0"/>
    <x v="0"/>
    <n v="139977.18000000002"/>
    <n v="139977.18000000002"/>
    <n v="0"/>
    <n v="0"/>
    <x v="0"/>
    <x v="16"/>
  </r>
  <r>
    <s v="ORD03079"/>
    <d v="2023-10-27T00:00:00"/>
    <x v="15"/>
    <x v="221"/>
    <n v="124"/>
    <s v="INV03079"/>
    <n v="124"/>
    <n v="690.05370000000005"/>
    <m/>
    <m/>
    <m/>
    <m/>
    <m/>
    <n v="690.05370000000005"/>
    <d v="2023-02-19T00:00:00"/>
    <n v="0"/>
    <n v="0"/>
    <n v="0"/>
    <n v="0"/>
    <n v="0"/>
    <n v="0"/>
    <n v="0"/>
    <x v="0"/>
    <n v="85566.658800000005"/>
    <n v="85566.658800000005"/>
    <n v="0"/>
    <n v="0"/>
    <x v="0"/>
    <x v="19"/>
  </r>
  <r>
    <s v="ORD03080"/>
    <d v="2023-02-28T00:00:00"/>
    <x v="562"/>
    <x v="94"/>
    <n v="176"/>
    <s v="INV03080"/>
    <n v="176"/>
    <n v="813.36839999999995"/>
    <m/>
    <m/>
    <m/>
    <m/>
    <m/>
    <n v="813.36839999999995"/>
    <d v="2023-01-03T00:00:00"/>
    <n v="0"/>
    <n v="0"/>
    <n v="0"/>
    <n v="0"/>
    <n v="0"/>
    <n v="0"/>
    <n v="0"/>
    <x v="0"/>
    <n v="143152.83839999998"/>
    <n v="143152.83839999998"/>
    <n v="0"/>
    <n v="0"/>
    <x v="0"/>
    <x v="11"/>
  </r>
  <r>
    <s v="ORD03081"/>
    <d v="2023-03-03T00:00:00"/>
    <x v="549"/>
    <x v="262"/>
    <n v="5"/>
    <s v="INV03081"/>
    <n v="5"/>
    <n v="249.22"/>
    <n v="17"/>
    <d v="2023-04-05T00:00:00"/>
    <m/>
    <m/>
    <m/>
    <n v="249.22"/>
    <d v="2022-10-03T00:00:00"/>
    <n v="0"/>
    <n v="0"/>
    <n v="0"/>
    <n v="0"/>
    <n v="0"/>
    <n v="0"/>
    <n v="1"/>
    <x v="1"/>
    <n v="1246.0999999999999"/>
    <n v="1246.0999999999999"/>
    <n v="0"/>
    <n v="3"/>
    <x v="1"/>
    <x v="17"/>
  </r>
  <r>
    <s v="ORD03082"/>
    <d v="2024-06-15T00:00:00"/>
    <x v="563"/>
    <x v="164"/>
    <n v="9"/>
    <s v="INV03082"/>
    <n v="9"/>
    <n v="709.52"/>
    <m/>
    <m/>
    <m/>
    <m/>
    <m/>
    <n v="709.52"/>
    <d v="2023-01-26T00:00:00"/>
    <n v="0"/>
    <n v="0"/>
    <n v="0"/>
    <n v="0"/>
    <n v="0"/>
    <n v="0"/>
    <n v="0"/>
    <x v="0"/>
    <n v="6385.68"/>
    <n v="6385.68"/>
    <n v="0"/>
    <n v="0"/>
    <x v="0"/>
    <x v="16"/>
  </r>
  <r>
    <s v="ORD03083"/>
    <d v="2023-02-19T00:00:00"/>
    <x v="441"/>
    <x v="148"/>
    <n v="58"/>
    <s v="INV03083"/>
    <n v="58"/>
    <n v="724.52160000000003"/>
    <n v="6"/>
    <d v="2024-12-02T00:00:00"/>
    <m/>
    <m/>
    <m/>
    <n v="724.52160000000003"/>
    <d v="2022-10-03T00:00:00"/>
    <n v="0"/>
    <n v="0"/>
    <n v="0"/>
    <n v="0"/>
    <n v="0"/>
    <n v="1"/>
    <n v="0"/>
    <x v="1"/>
    <n v="42022.252800000002"/>
    <n v="42022.252800000002"/>
    <n v="0"/>
    <n v="2"/>
    <x v="1"/>
    <x v="11"/>
  </r>
  <r>
    <s v="ORD03084"/>
    <d v="2023-07-20T00:00:00"/>
    <x v="98"/>
    <x v="203"/>
    <n v="58"/>
    <s v="INV03084"/>
    <n v="58"/>
    <n v="53.988499999999995"/>
    <m/>
    <m/>
    <m/>
    <m/>
    <m/>
    <n v="53.988499999999995"/>
    <d v="2022-11-19T00:00:00"/>
    <n v="0"/>
    <n v="0"/>
    <n v="0"/>
    <n v="0"/>
    <n v="0"/>
    <n v="0"/>
    <n v="0"/>
    <x v="0"/>
    <n v="3131.3329999999996"/>
    <n v="3131.3329999999996"/>
    <n v="0"/>
    <n v="0"/>
    <x v="0"/>
    <x v="10"/>
  </r>
  <r>
    <s v="ORD03085"/>
    <d v="2024-07-04T00:00:00"/>
    <x v="401"/>
    <x v="205"/>
    <n v="99"/>
    <s v="INV03085"/>
    <n v="99"/>
    <n v="82.749600000000015"/>
    <m/>
    <m/>
    <m/>
    <m/>
    <m/>
    <n v="82.749600000000015"/>
    <d v="2023-05-22T00:00:00"/>
    <n v="0"/>
    <n v="0"/>
    <n v="0"/>
    <n v="0"/>
    <n v="0"/>
    <n v="0"/>
    <n v="0"/>
    <x v="0"/>
    <n v="8192.2104000000018"/>
    <n v="8192.2104000000018"/>
    <n v="0"/>
    <n v="0"/>
    <x v="0"/>
    <x v="21"/>
  </r>
  <r>
    <s v="ORD03086"/>
    <d v="2024-11-04T00:00:00"/>
    <x v="752"/>
    <x v="110"/>
    <n v="56"/>
    <s v="INV03086"/>
    <n v="56"/>
    <n v="951.75750000000005"/>
    <m/>
    <m/>
    <m/>
    <m/>
    <m/>
    <n v="951.75750000000005"/>
    <d v="2023-09-15T00:00:00"/>
    <n v="0"/>
    <n v="0"/>
    <n v="0"/>
    <n v="0"/>
    <n v="0"/>
    <n v="0"/>
    <n v="0"/>
    <x v="0"/>
    <n v="53298.420000000006"/>
    <n v="53298.420000000006"/>
    <n v="0"/>
    <n v="0"/>
    <x v="0"/>
    <x v="4"/>
  </r>
  <r>
    <s v="ORD03087"/>
    <d v="2023-06-09T00:00:00"/>
    <x v="771"/>
    <x v="139"/>
    <n v="63"/>
    <s v="INV03087"/>
    <n v="63"/>
    <n v="414.32040000000001"/>
    <m/>
    <m/>
    <m/>
    <m/>
    <m/>
    <n v="414.32040000000001"/>
    <d v="2022-12-10T00:00:00"/>
    <n v="0"/>
    <n v="0"/>
    <n v="0"/>
    <n v="0"/>
    <n v="0"/>
    <n v="0"/>
    <n v="0"/>
    <x v="0"/>
    <n v="26102.1852"/>
    <n v="26102.1852"/>
    <n v="0"/>
    <n v="0"/>
    <x v="0"/>
    <x v="14"/>
  </r>
  <r>
    <s v="ORD03088"/>
    <d v="2023-06-12T00:00:00"/>
    <x v="306"/>
    <x v="141"/>
    <n v="62"/>
    <s v="INV03088"/>
    <n v="62"/>
    <n v="785.89"/>
    <m/>
    <m/>
    <m/>
    <m/>
    <m/>
    <n v="785.89"/>
    <d v="2023-03-04T00:00:00"/>
    <n v="0"/>
    <n v="0"/>
    <n v="0"/>
    <n v="0"/>
    <n v="0"/>
    <n v="0"/>
    <n v="0"/>
    <x v="0"/>
    <n v="48725.18"/>
    <n v="48725.18"/>
    <n v="0"/>
    <n v="0"/>
    <x v="0"/>
    <x v="14"/>
  </r>
  <r>
    <s v="ORD03089"/>
    <d v="2024-11-01T00:00:00"/>
    <x v="763"/>
    <x v="85"/>
    <n v="190"/>
    <s v="INV03089"/>
    <n v="190"/>
    <n v="1086.3648000000001"/>
    <n v="39"/>
    <d v="2024-12-12T00:00:00"/>
    <m/>
    <m/>
    <m/>
    <n v="1086.3648000000001"/>
    <d v="2023-01-14T00:00:00"/>
    <n v="0"/>
    <n v="0"/>
    <n v="0"/>
    <n v="0"/>
    <n v="0"/>
    <n v="0"/>
    <n v="0"/>
    <x v="0"/>
    <n v="206409.31200000001"/>
    <n v="206409.31200000001"/>
    <n v="0"/>
    <n v="0"/>
    <x v="0"/>
    <x v="4"/>
  </r>
  <r>
    <s v="ORD03090"/>
    <d v="2023-04-25T00:00:00"/>
    <x v="100"/>
    <x v="48"/>
    <n v="122"/>
    <s v="INV03090"/>
    <n v="122"/>
    <n v="1144.1684"/>
    <n v="13"/>
    <d v="2023-11-12T00:00:00"/>
    <m/>
    <m/>
    <m/>
    <n v="1144.1684"/>
    <d v="2023-01-29T00:00:00"/>
    <n v="0"/>
    <n v="0"/>
    <n v="0"/>
    <n v="0"/>
    <n v="0"/>
    <n v="1"/>
    <n v="0"/>
    <x v="1"/>
    <n v="139588.5448"/>
    <n v="139588.5448"/>
    <n v="0"/>
    <n v="2"/>
    <x v="1"/>
    <x v="23"/>
  </r>
  <r>
    <s v="ORD03091"/>
    <d v="2024-10-28T00:00:00"/>
    <x v="667"/>
    <x v="224"/>
    <n v="100"/>
    <s v="INV03091"/>
    <n v="100"/>
    <n v="377.08350000000002"/>
    <m/>
    <m/>
    <m/>
    <m/>
    <m/>
    <n v="377.08350000000002"/>
    <d v="2023-05-18T00:00:00"/>
    <n v="0"/>
    <n v="0"/>
    <n v="0"/>
    <n v="0"/>
    <n v="0"/>
    <n v="0"/>
    <n v="0"/>
    <x v="0"/>
    <n v="37708.35"/>
    <n v="37708.35"/>
    <n v="0"/>
    <n v="0"/>
    <x v="0"/>
    <x v="5"/>
  </r>
  <r>
    <s v="ORD03092"/>
    <d v="2023-02-24T00:00:00"/>
    <x v="605"/>
    <x v="83"/>
    <n v="196"/>
    <s v="INV03092"/>
    <n v="196"/>
    <n v="1157.6343999999999"/>
    <m/>
    <m/>
    <m/>
    <m/>
    <m/>
    <n v="1157.6343999999999"/>
    <d v="2023-02-02T00:00:00"/>
    <n v="0"/>
    <n v="0"/>
    <n v="0"/>
    <n v="0"/>
    <n v="0"/>
    <n v="0"/>
    <n v="0"/>
    <x v="0"/>
    <n v="226896.34239999999"/>
    <n v="226896.34239999999"/>
    <n v="0"/>
    <n v="0"/>
    <x v="0"/>
    <x v="11"/>
  </r>
  <r>
    <s v="ORD03093"/>
    <d v="2024-01-19T00:00:00"/>
    <x v="341"/>
    <x v="118"/>
    <n v="161"/>
    <s v="INV03093"/>
    <n v="161"/>
    <n v="130.87360000000001"/>
    <n v="9"/>
    <d v="2023-10-21T00:00:00"/>
    <m/>
    <m/>
    <m/>
    <n v="130.87360000000001"/>
    <d v="2023-05-28T00:00:00"/>
    <n v="0"/>
    <n v="0"/>
    <n v="0"/>
    <n v="0"/>
    <n v="0"/>
    <n v="0"/>
    <n v="0"/>
    <x v="0"/>
    <n v="21070.649600000001"/>
    <n v="21070.649600000001"/>
    <n v="0"/>
    <n v="0"/>
    <x v="0"/>
    <x v="15"/>
  </r>
  <r>
    <s v="ORD03094"/>
    <d v="2023-08-12T00:00:00"/>
    <x v="487"/>
    <x v="31"/>
    <n v="143"/>
    <s v="INV03094"/>
    <n v="143"/>
    <n v="1147.3289"/>
    <m/>
    <m/>
    <m/>
    <m/>
    <m/>
    <n v="1147.3289"/>
    <d v="2023-01-19T00:00:00"/>
    <n v="0"/>
    <n v="0"/>
    <n v="0"/>
    <n v="0"/>
    <n v="0"/>
    <n v="0"/>
    <n v="0"/>
    <x v="0"/>
    <n v="164068.03270000001"/>
    <n v="164068.03270000001"/>
    <n v="0"/>
    <n v="0"/>
    <x v="0"/>
    <x v="12"/>
  </r>
  <r>
    <s v="ORD03095"/>
    <d v="2023-08-22T00:00:00"/>
    <x v="264"/>
    <x v="138"/>
    <n v="99"/>
    <s v="INV03095"/>
    <n v="104"/>
    <n v="153.8671329837826"/>
    <m/>
    <m/>
    <m/>
    <m/>
    <m/>
    <n v="153.01650000000001"/>
    <d v="2023-05-18T00:00:00"/>
    <n v="0"/>
    <n v="1"/>
    <n v="1"/>
    <n v="0"/>
    <n v="0"/>
    <n v="0"/>
    <n v="0"/>
    <x v="1"/>
    <n v="16002.18183031339"/>
    <n v="15148.6335"/>
    <n v="853.54833031338967"/>
    <n v="12"/>
    <x v="2"/>
    <x v="12"/>
  </r>
  <r>
    <s v="ORD03096"/>
    <d v="2023-04-09T00:00:00"/>
    <x v="64"/>
    <x v="128"/>
    <n v="57"/>
    <s v="INV03096"/>
    <n v="57"/>
    <n v="440.38799999999998"/>
    <m/>
    <m/>
    <m/>
    <m/>
    <m/>
    <n v="440.38799999999998"/>
    <d v="2023-03-31T00:00:00"/>
    <n v="0"/>
    <n v="0"/>
    <n v="0"/>
    <n v="0"/>
    <n v="0"/>
    <n v="0"/>
    <n v="0"/>
    <x v="0"/>
    <n v="25102.115999999998"/>
    <n v="25102.115999999998"/>
    <n v="0"/>
    <n v="0"/>
    <x v="0"/>
    <x v="23"/>
  </r>
  <r>
    <s v="ORD03097"/>
    <d v="2023-07-08T00:00:00"/>
    <x v="547"/>
    <x v="58"/>
    <n v="146"/>
    <s v="INV03097"/>
    <n v="146"/>
    <n v="601.32929999999999"/>
    <m/>
    <m/>
    <m/>
    <m/>
    <m/>
    <n v="601.32929999999999"/>
    <d v="2023-02-05T00:00:00"/>
    <n v="0"/>
    <n v="0"/>
    <n v="0"/>
    <n v="0"/>
    <n v="0"/>
    <n v="0"/>
    <n v="0"/>
    <x v="0"/>
    <n v="87794.077799999999"/>
    <n v="87794.077799999999"/>
    <n v="0"/>
    <n v="0"/>
    <x v="0"/>
    <x v="10"/>
  </r>
  <r>
    <s v="ORD03098"/>
    <d v="2023-06-25T00:00:00"/>
    <x v="148"/>
    <x v="246"/>
    <n v="26"/>
    <s v="INV03098"/>
    <n v="26"/>
    <n v="471.65280000000001"/>
    <m/>
    <m/>
    <m/>
    <m/>
    <m/>
    <n v="471.65280000000001"/>
    <d v="2023-01-03T00:00:00"/>
    <n v="0"/>
    <n v="0"/>
    <n v="0"/>
    <n v="0"/>
    <n v="0"/>
    <n v="0"/>
    <n v="0"/>
    <x v="0"/>
    <n v="12262.9728"/>
    <n v="12262.9728"/>
    <n v="0"/>
    <n v="0"/>
    <x v="0"/>
    <x v="14"/>
  </r>
  <r>
    <s v="ORD03099"/>
    <d v="2024-10-24T00:00:00"/>
    <x v="600"/>
    <x v="64"/>
    <n v="51"/>
    <s v="INV03099"/>
    <n v="51"/>
    <n v="1129.6166000000001"/>
    <m/>
    <m/>
    <m/>
    <m/>
    <m/>
    <n v="1129.6166000000001"/>
    <d v="2023-02-03T00:00:00"/>
    <n v="0"/>
    <n v="0"/>
    <n v="0"/>
    <n v="0"/>
    <n v="0"/>
    <n v="0"/>
    <n v="0"/>
    <x v="0"/>
    <n v="57610.446600000003"/>
    <n v="57610.446600000003"/>
    <n v="0"/>
    <n v="0"/>
    <x v="0"/>
    <x v="5"/>
  </r>
  <r>
    <s v="ORD03100"/>
    <d v="2024-08-08T00:00:00"/>
    <x v="45"/>
    <x v="89"/>
    <n v="2"/>
    <s v="INV03100"/>
    <n v="2"/>
    <n v="826.46400000000006"/>
    <m/>
    <m/>
    <m/>
    <m/>
    <m/>
    <n v="826.46400000000006"/>
    <d v="2023-07-21T00:00:00"/>
    <n v="0"/>
    <n v="0"/>
    <n v="0"/>
    <n v="0"/>
    <n v="0"/>
    <n v="0"/>
    <n v="0"/>
    <x v="0"/>
    <n v="1652.9280000000001"/>
    <n v="1652.9280000000001"/>
    <n v="0"/>
    <n v="0"/>
    <x v="0"/>
    <x v="22"/>
  </r>
  <r>
    <s v="ORD03101"/>
    <d v="2023-02-25T00:00:00"/>
    <x v="128"/>
    <x v="104"/>
    <n v="148"/>
    <s v="INV03101"/>
    <n v="148"/>
    <n v="916.35"/>
    <m/>
    <m/>
    <m/>
    <m/>
    <m/>
    <n v="916.35"/>
    <d v="2022-02-24T00:00:00"/>
    <n v="0"/>
    <n v="0"/>
    <n v="0"/>
    <n v="0"/>
    <n v="0"/>
    <n v="0"/>
    <n v="0"/>
    <x v="0"/>
    <n v="135619.80000000002"/>
    <n v="135619.80000000002"/>
    <n v="0"/>
    <n v="0"/>
    <x v="0"/>
    <x v="11"/>
  </r>
  <r>
    <s v="ORD03102"/>
    <d v="2024-02-28T00:00:00"/>
    <x v="202"/>
    <x v="280"/>
    <n v="119"/>
    <s v="INV03102"/>
    <n v="119"/>
    <n v="511.96"/>
    <n v="20"/>
    <d v="2023-06-24T00:00:00"/>
    <m/>
    <m/>
    <m/>
    <n v="511.96"/>
    <d v="2023-05-12T00:00:00"/>
    <n v="0"/>
    <n v="0"/>
    <n v="0"/>
    <n v="0"/>
    <n v="0"/>
    <n v="0"/>
    <n v="0"/>
    <x v="0"/>
    <n v="60923.24"/>
    <n v="60923.24"/>
    <n v="0"/>
    <n v="0"/>
    <x v="0"/>
    <x v="3"/>
  </r>
  <r>
    <s v="ORD03103"/>
    <d v="2024-12-27T00:00:00"/>
    <x v="678"/>
    <x v="97"/>
    <n v="160"/>
    <s v="INV03103"/>
    <n v="160"/>
    <n v="664.57040000000006"/>
    <m/>
    <m/>
    <m/>
    <m/>
    <m/>
    <n v="664.57040000000006"/>
    <d v="2023-05-20T00:00:00"/>
    <n v="0"/>
    <n v="0"/>
    <n v="0"/>
    <n v="0"/>
    <n v="0"/>
    <n v="0"/>
    <n v="0"/>
    <x v="0"/>
    <n v="106331.26400000001"/>
    <n v="106331.26400000001"/>
    <n v="0"/>
    <n v="0"/>
    <x v="0"/>
    <x v="1"/>
  </r>
  <r>
    <s v="ORD03104"/>
    <d v="2024-08-26T00:00:00"/>
    <x v="699"/>
    <x v="70"/>
    <n v="184"/>
    <s v="INV03104"/>
    <n v="184"/>
    <n v="68.572800000000001"/>
    <m/>
    <m/>
    <m/>
    <m/>
    <m/>
    <n v="68.572800000000001"/>
    <d v="2023-06-21T00:00:00"/>
    <n v="0"/>
    <n v="0"/>
    <n v="0"/>
    <n v="0"/>
    <n v="0"/>
    <n v="0"/>
    <n v="0"/>
    <x v="0"/>
    <n v="12617.395200000001"/>
    <n v="12617.395200000001"/>
    <n v="0"/>
    <n v="0"/>
    <x v="0"/>
    <x v="22"/>
  </r>
  <r>
    <s v="ORD03105"/>
    <d v="2023-03-06T00:00:00"/>
    <x v="597"/>
    <x v="191"/>
    <n v="82"/>
    <s v="INV03105"/>
    <n v="82"/>
    <n v="312.55"/>
    <m/>
    <m/>
    <m/>
    <m/>
    <m/>
    <n v="312.55"/>
    <d v="2023-01-16T00:00:00"/>
    <n v="0"/>
    <n v="0"/>
    <n v="0"/>
    <n v="0"/>
    <n v="0"/>
    <n v="0"/>
    <n v="0"/>
    <x v="0"/>
    <n v="25629.100000000002"/>
    <n v="25629.100000000002"/>
    <n v="0"/>
    <n v="0"/>
    <x v="0"/>
    <x v="17"/>
  </r>
  <r>
    <s v="ORD03106"/>
    <d v="2023-03-07T00:00:00"/>
    <x v="657"/>
    <x v="255"/>
    <n v="116"/>
    <s v="INV03106"/>
    <n v="116"/>
    <n v="1178.6880000000001"/>
    <m/>
    <m/>
    <m/>
    <m/>
    <m/>
    <n v="1178.6880000000001"/>
    <d v="2023-01-04T00:00:00"/>
    <n v="0"/>
    <n v="0"/>
    <n v="0"/>
    <n v="0"/>
    <n v="0"/>
    <n v="0"/>
    <n v="0"/>
    <x v="0"/>
    <n v="136727.80800000002"/>
    <n v="136727.80800000002"/>
    <n v="0"/>
    <n v="0"/>
    <x v="0"/>
    <x v="17"/>
  </r>
  <r>
    <s v="ORD03107"/>
    <d v="2023-12-22T00:00:00"/>
    <x v="315"/>
    <x v="229"/>
    <n v="11"/>
    <s v="INV03107"/>
    <n v="11"/>
    <n v="402.05340000000001"/>
    <m/>
    <m/>
    <m/>
    <m/>
    <m/>
    <n v="402.05340000000001"/>
    <d v="2023-10-15T00:00:00"/>
    <n v="0"/>
    <n v="0"/>
    <n v="0"/>
    <n v="0"/>
    <n v="0"/>
    <n v="0"/>
    <n v="0"/>
    <x v="0"/>
    <n v="4422.5874000000003"/>
    <n v="4422.5874000000003"/>
    <n v="0"/>
    <n v="0"/>
    <x v="0"/>
    <x v="20"/>
  </r>
  <r>
    <s v="ORD03108"/>
    <d v="2024-01-21T00:00:00"/>
    <x v="326"/>
    <x v="212"/>
    <n v="60"/>
    <s v="INV03108"/>
    <n v="60"/>
    <n v="1167.9120000000005"/>
    <m/>
    <m/>
    <m/>
    <m/>
    <m/>
    <n v="1167.9120000000005"/>
    <d v="2023-04-03T00:00:00"/>
    <n v="0"/>
    <n v="0"/>
    <n v="0"/>
    <n v="0"/>
    <n v="0"/>
    <n v="0"/>
    <n v="0"/>
    <x v="0"/>
    <n v="70074.72000000003"/>
    <n v="70074.72000000003"/>
    <n v="0"/>
    <n v="0"/>
    <x v="0"/>
    <x v="15"/>
  </r>
  <r>
    <s v="ORD03109"/>
    <d v="2024-10-26T00:00:00"/>
    <x v="767"/>
    <x v="205"/>
    <n v="193"/>
    <s v="INV03109"/>
    <n v="193"/>
    <n v="82.749600000000015"/>
    <m/>
    <m/>
    <m/>
    <m/>
    <m/>
    <n v="82.749600000000015"/>
    <d v="2023-05-22T00:00:00"/>
    <n v="0"/>
    <n v="0"/>
    <n v="0"/>
    <n v="0"/>
    <n v="0"/>
    <n v="0"/>
    <n v="0"/>
    <x v="0"/>
    <n v="15970.672800000002"/>
    <n v="15970.672800000002"/>
    <n v="0"/>
    <n v="0"/>
    <x v="0"/>
    <x v="5"/>
  </r>
  <r>
    <s v="ORD03110"/>
    <d v="2023-02-12T00:00:00"/>
    <x v="610"/>
    <x v="11"/>
    <n v="135"/>
    <s v="INV03110"/>
    <n v="135"/>
    <n v="634.76160000000004"/>
    <n v="1"/>
    <d v="2024-11-26T00:00:00"/>
    <m/>
    <m/>
    <m/>
    <n v="634.76160000000004"/>
    <d v="2023-01-02T00:00:00"/>
    <n v="0"/>
    <n v="0"/>
    <n v="0"/>
    <n v="0"/>
    <n v="0"/>
    <n v="1"/>
    <n v="0"/>
    <x v="1"/>
    <n v="85692.816000000006"/>
    <n v="85692.816000000006"/>
    <n v="0"/>
    <n v="2"/>
    <x v="1"/>
    <x v="11"/>
  </r>
  <r>
    <s v="ORD03111"/>
    <d v="2023-11-24T00:00:00"/>
    <x v="496"/>
    <x v="176"/>
    <n v="136"/>
    <s v="INV03111"/>
    <n v="136"/>
    <n v="79.105599999999995"/>
    <m/>
    <m/>
    <m/>
    <m/>
    <m/>
    <n v="79.105599999999995"/>
    <d v="2023-10-05T00:00:00"/>
    <n v="0"/>
    <n v="0"/>
    <n v="0"/>
    <n v="0"/>
    <n v="0"/>
    <n v="0"/>
    <n v="0"/>
    <x v="0"/>
    <n v="10758.3616"/>
    <n v="10758.3616"/>
    <n v="0"/>
    <n v="0"/>
    <x v="0"/>
    <x v="0"/>
  </r>
  <r>
    <s v="ORD03112"/>
    <d v="2023-03-30T00:00:00"/>
    <x v="482"/>
    <x v="286"/>
    <n v="107"/>
    <s v="INV03112"/>
    <n v="107"/>
    <n v="272.97059999999999"/>
    <m/>
    <m/>
    <m/>
    <m/>
    <m/>
    <n v="272.97059999999999"/>
    <d v="2022-11-18T00:00:00"/>
    <n v="0"/>
    <n v="0"/>
    <n v="0"/>
    <n v="0"/>
    <n v="0"/>
    <n v="0"/>
    <n v="0"/>
    <x v="0"/>
    <n v="29207.854199999998"/>
    <n v="29207.854199999998"/>
    <n v="0"/>
    <n v="0"/>
    <x v="0"/>
    <x v="17"/>
  </r>
  <r>
    <s v="ORD03113"/>
    <d v="2023-05-24T00:00:00"/>
    <x v="489"/>
    <x v="43"/>
    <n v="170"/>
    <s v="INV03113"/>
    <n v="170"/>
    <n v="1190.6054999999999"/>
    <m/>
    <m/>
    <m/>
    <m/>
    <m/>
    <n v="1190.6054999999999"/>
    <d v="2023-02-27T00:00:00"/>
    <n v="0"/>
    <n v="0"/>
    <n v="0"/>
    <n v="0"/>
    <n v="0"/>
    <n v="0"/>
    <n v="0"/>
    <x v="0"/>
    <n v="202402.93499999997"/>
    <n v="202402.93499999997"/>
    <n v="0"/>
    <n v="0"/>
    <x v="0"/>
    <x v="7"/>
  </r>
  <r>
    <s v="ORD03114"/>
    <d v="2023-05-13T00:00:00"/>
    <x v="685"/>
    <x v="17"/>
    <n v="128"/>
    <s v="INV03114"/>
    <n v="128"/>
    <n v="696.84799999999996"/>
    <n v="20"/>
    <d v="2023-11-10T00:00:00"/>
    <m/>
    <m/>
    <m/>
    <n v="696.84799999999996"/>
    <d v="2022-07-31T00:00:00"/>
    <n v="0"/>
    <n v="0"/>
    <n v="0"/>
    <n v="0"/>
    <n v="0"/>
    <n v="1"/>
    <n v="0"/>
    <x v="1"/>
    <n v="89196.543999999994"/>
    <n v="89196.543999999994"/>
    <n v="0"/>
    <n v="2"/>
    <x v="1"/>
    <x v="7"/>
  </r>
  <r>
    <s v="ORD03115"/>
    <d v="2023-01-16T00:00:00"/>
    <x v="62"/>
    <x v="76"/>
    <n v="100"/>
    <s v="INV03115"/>
    <n v="103"/>
    <n v="1218.6930000000002"/>
    <m/>
    <m/>
    <m/>
    <m/>
    <m/>
    <n v="1218.6930000000002"/>
    <d v="2022-12-31T00:00:00"/>
    <n v="0"/>
    <n v="1"/>
    <n v="0"/>
    <n v="0"/>
    <n v="0"/>
    <n v="0"/>
    <n v="0"/>
    <x v="1"/>
    <n v="125525.37900000002"/>
    <n v="121869.30000000002"/>
    <n v="3656.0789999999979"/>
    <n v="8"/>
    <x v="2"/>
    <x v="8"/>
  </r>
  <r>
    <s v="ORD03116"/>
    <d v="2023-04-28T00:00:00"/>
    <x v="196"/>
    <x v="33"/>
    <n v="157"/>
    <s v="INV03116"/>
    <n v="157"/>
    <n v="54.580199999999998"/>
    <m/>
    <m/>
    <m/>
    <m/>
    <m/>
    <n v="54.580199999999998"/>
    <d v="2023-02-27T00:00:00"/>
    <n v="0"/>
    <n v="0"/>
    <n v="0"/>
    <n v="0"/>
    <n v="0"/>
    <n v="0"/>
    <n v="0"/>
    <x v="0"/>
    <n v="8569.0913999999993"/>
    <n v="8569.0913999999993"/>
    <n v="0"/>
    <n v="0"/>
    <x v="0"/>
    <x v="23"/>
  </r>
  <r>
    <s v="ORD03117"/>
    <d v="2024-02-12T00:00:00"/>
    <x v="296"/>
    <x v="194"/>
    <n v="149"/>
    <s v="INV03117"/>
    <n v="149"/>
    <n v="415.8877"/>
    <m/>
    <m/>
    <m/>
    <m/>
    <m/>
    <n v="415.8877"/>
    <d v="2023-08-08T00:00:00"/>
    <n v="0"/>
    <n v="0"/>
    <n v="0"/>
    <n v="0"/>
    <n v="0"/>
    <n v="0"/>
    <n v="0"/>
    <x v="0"/>
    <n v="61967.2673"/>
    <n v="61967.2673"/>
    <n v="0"/>
    <n v="0"/>
    <x v="0"/>
    <x v="3"/>
  </r>
  <r>
    <s v="ORD03118"/>
    <d v="2023-08-07T00:00:00"/>
    <x v="11"/>
    <x v="82"/>
    <n v="126"/>
    <s v="INV03118"/>
    <n v="126"/>
    <n v="285.36900000000003"/>
    <m/>
    <m/>
    <m/>
    <m/>
    <m/>
    <n v="285.36900000000003"/>
    <d v="2023-01-06T00:00:00"/>
    <n v="0"/>
    <n v="0"/>
    <n v="0"/>
    <n v="0"/>
    <n v="0"/>
    <n v="0"/>
    <n v="0"/>
    <x v="0"/>
    <n v="35956.494000000006"/>
    <n v="35956.494000000006"/>
    <n v="0"/>
    <n v="0"/>
    <x v="0"/>
    <x v="12"/>
  </r>
  <r>
    <s v="ORD03119"/>
    <d v="2024-07-07T00:00:00"/>
    <x v="655"/>
    <x v="40"/>
    <n v="199"/>
    <s v="INV03119"/>
    <n v="199"/>
    <n v="182.4273"/>
    <m/>
    <m/>
    <m/>
    <m/>
    <m/>
    <n v="182.4273"/>
    <d v="2023-03-04T00:00:00"/>
    <n v="0"/>
    <n v="0"/>
    <n v="0"/>
    <n v="0"/>
    <n v="0"/>
    <n v="0"/>
    <n v="0"/>
    <x v="0"/>
    <n v="36303.032700000003"/>
    <n v="36303.032700000003"/>
    <n v="0"/>
    <n v="0"/>
    <x v="0"/>
    <x v="21"/>
  </r>
  <r>
    <s v="ORD03120"/>
    <d v="2024-10-04T00:00:00"/>
    <x v="719"/>
    <x v="33"/>
    <n v="2"/>
    <s v="INV03120"/>
    <n v="2"/>
    <n v="54.580199999999998"/>
    <m/>
    <m/>
    <m/>
    <m/>
    <m/>
    <n v="54.580199999999998"/>
    <d v="2023-02-27T00:00:00"/>
    <n v="0"/>
    <n v="0"/>
    <n v="0"/>
    <n v="0"/>
    <n v="0"/>
    <n v="0"/>
    <n v="0"/>
    <x v="0"/>
    <n v="109.1604"/>
    <n v="109.1604"/>
    <n v="0"/>
    <n v="0"/>
    <x v="0"/>
    <x v="5"/>
  </r>
  <r>
    <s v="ORD03121"/>
    <d v="2024-04-09T00:00:00"/>
    <x v="398"/>
    <x v="227"/>
    <n v="8"/>
    <s v="INV03121"/>
    <n v="17"/>
    <n v="1131.7711000000002"/>
    <m/>
    <m/>
    <m/>
    <m/>
    <m/>
    <n v="1131.7711000000002"/>
    <d v="2023-05-02T00:00:00"/>
    <n v="0"/>
    <n v="1"/>
    <n v="0"/>
    <n v="0"/>
    <n v="0"/>
    <n v="0"/>
    <n v="0"/>
    <x v="1"/>
    <n v="19240.108700000004"/>
    <n v="9054.1688000000013"/>
    <n v="10185.939900000003"/>
    <n v="8"/>
    <x v="2"/>
    <x v="9"/>
  </r>
  <r>
    <s v="ORD03122"/>
    <d v="2024-01-07T00:00:00"/>
    <x v="621"/>
    <x v="255"/>
    <n v="85"/>
    <s v="INV03122"/>
    <n v="85"/>
    <n v="1178.6880000000001"/>
    <m/>
    <m/>
    <m/>
    <m/>
    <m/>
    <n v="1178.6880000000001"/>
    <d v="2023-01-04T00:00:00"/>
    <n v="0"/>
    <n v="0"/>
    <n v="0"/>
    <n v="0"/>
    <n v="0"/>
    <n v="0"/>
    <n v="0"/>
    <x v="0"/>
    <n v="100188.48000000001"/>
    <n v="100188.48000000001"/>
    <n v="0"/>
    <n v="0"/>
    <x v="0"/>
    <x v="15"/>
  </r>
  <r>
    <s v="ORD03123"/>
    <d v="2023-09-12T00:00:00"/>
    <x v="296"/>
    <x v="232"/>
    <n v="9"/>
    <s v="INV03123"/>
    <n v="9"/>
    <n v="1065.7722000000001"/>
    <m/>
    <m/>
    <m/>
    <m/>
    <m/>
    <n v="1065.7722000000001"/>
    <d v="2023-01-10T00:00:00"/>
    <n v="0"/>
    <n v="0"/>
    <n v="0"/>
    <n v="0"/>
    <n v="0"/>
    <n v="0"/>
    <n v="0"/>
    <x v="0"/>
    <n v="9591.9498000000003"/>
    <n v="9591.9498000000003"/>
    <n v="0"/>
    <n v="0"/>
    <x v="0"/>
    <x v="18"/>
  </r>
  <r>
    <s v="ORD03124"/>
    <d v="2024-09-12T00:00:00"/>
    <x v="645"/>
    <x v="10"/>
    <n v="56"/>
    <s v="INV03124"/>
    <n v="56"/>
    <n v="461.69279999999998"/>
    <m/>
    <m/>
    <m/>
    <m/>
    <m/>
    <n v="461.69279999999998"/>
    <d v="2023-04-15T00:00:00"/>
    <n v="0"/>
    <n v="0"/>
    <n v="0"/>
    <n v="0"/>
    <n v="0"/>
    <n v="0"/>
    <n v="0"/>
    <x v="0"/>
    <n v="25854.7968"/>
    <n v="25854.7968"/>
    <n v="0"/>
    <n v="0"/>
    <x v="0"/>
    <x v="2"/>
  </r>
  <r>
    <s v="ORD03125"/>
    <d v="2023-10-05T00:00:00"/>
    <x v="171"/>
    <x v="0"/>
    <n v="47"/>
    <s v="INV03125"/>
    <n v="47"/>
    <n v="446.4905"/>
    <n v="2"/>
    <d v="2023-07-09T00:00:00"/>
    <m/>
    <m/>
    <m/>
    <n v="446.4905"/>
    <d v="2023-08-23T00:00:00"/>
    <n v="0"/>
    <n v="0"/>
    <n v="0"/>
    <n v="0"/>
    <n v="0"/>
    <n v="0"/>
    <n v="0"/>
    <x v="0"/>
    <n v="20985.053499999998"/>
    <n v="20985.053499999998"/>
    <n v="0"/>
    <n v="0"/>
    <x v="0"/>
    <x v="19"/>
  </r>
  <r>
    <s v="ORD03126"/>
    <d v="2024-08-24T00:00:00"/>
    <x v="5"/>
    <x v="61"/>
    <n v="47"/>
    <s v="INV03126"/>
    <n v="47"/>
    <n v="759.48969999999997"/>
    <m/>
    <m/>
    <m/>
    <m/>
    <m/>
    <n v="759.48969999999997"/>
    <d v="2023-07-31T00:00:00"/>
    <n v="0"/>
    <n v="0"/>
    <n v="0"/>
    <n v="0"/>
    <n v="0"/>
    <n v="0"/>
    <n v="0"/>
    <x v="0"/>
    <n v="35696.015899999999"/>
    <n v="35696.015899999999"/>
    <n v="0"/>
    <n v="0"/>
    <x v="0"/>
    <x v="22"/>
  </r>
  <r>
    <s v="ORD03127"/>
    <d v="2024-04-30T00:00:00"/>
    <x v="237"/>
    <x v="175"/>
    <n v="193"/>
    <s v="INV03127"/>
    <n v="193"/>
    <n v="212.07900000000001"/>
    <m/>
    <m/>
    <m/>
    <m/>
    <m/>
    <n v="212.07900000000001"/>
    <d v="2023-05-11T00:00:00"/>
    <n v="0"/>
    <n v="0"/>
    <n v="0"/>
    <n v="0"/>
    <n v="0"/>
    <n v="0"/>
    <n v="0"/>
    <x v="0"/>
    <n v="40931.247000000003"/>
    <n v="40931.247000000003"/>
    <n v="0"/>
    <n v="0"/>
    <x v="0"/>
    <x v="9"/>
  </r>
  <r>
    <s v="ORD03128"/>
    <d v="2024-07-13T00:00:00"/>
    <x v="398"/>
    <x v="25"/>
    <n v="133"/>
    <s v="INV03128"/>
    <n v="133"/>
    <n v="1218.568"/>
    <m/>
    <m/>
    <m/>
    <m/>
    <m/>
    <n v="1218.568"/>
    <d v="2023-05-15T00:00:00"/>
    <n v="0"/>
    <n v="0"/>
    <n v="0"/>
    <n v="0"/>
    <n v="0"/>
    <n v="0"/>
    <n v="0"/>
    <x v="0"/>
    <n v="162069.54399999999"/>
    <n v="162069.54399999999"/>
    <n v="0"/>
    <n v="0"/>
    <x v="0"/>
    <x v="21"/>
  </r>
  <r>
    <s v="ORD03129"/>
    <d v="2024-12-07T00:00:00"/>
    <x v="240"/>
    <x v="246"/>
    <n v="28"/>
    <s v="INV03129"/>
    <n v="28"/>
    <n v="491.10239999999999"/>
    <m/>
    <m/>
    <m/>
    <m/>
    <m/>
    <n v="491.10239999999999"/>
    <d v="2023-09-18T00:00:00"/>
    <n v="0"/>
    <n v="0"/>
    <n v="0"/>
    <n v="0"/>
    <n v="0"/>
    <n v="0"/>
    <n v="0"/>
    <x v="0"/>
    <n v="13750.867200000001"/>
    <n v="13750.867200000001"/>
    <n v="0"/>
    <n v="0"/>
    <x v="0"/>
    <x v="1"/>
  </r>
  <r>
    <s v="ORD03130"/>
    <d v="2024-10-05T00:00:00"/>
    <x v="252"/>
    <x v="126"/>
    <n v="175"/>
    <s v="INV03130"/>
    <n v="174"/>
    <n v="287.14"/>
    <m/>
    <m/>
    <m/>
    <m/>
    <m/>
    <n v="287.14"/>
    <d v="2023-02-20T00:00:00"/>
    <n v="0"/>
    <n v="1"/>
    <n v="0"/>
    <n v="0"/>
    <n v="0"/>
    <n v="0"/>
    <n v="0"/>
    <x v="1"/>
    <n v="49962.36"/>
    <n v="50249.5"/>
    <n v="-287.13999999999942"/>
    <n v="3"/>
    <x v="1"/>
    <x v="5"/>
  </r>
  <r>
    <s v="ORD03131"/>
    <d v="2023-11-24T00:00:00"/>
    <x v="499"/>
    <x v="216"/>
    <n v="77"/>
    <s v="INV03131"/>
    <n v="77"/>
    <n v="828.36189999999999"/>
    <m/>
    <m/>
    <m/>
    <m/>
    <m/>
    <n v="828.36189999999999"/>
    <d v="2023-07-30T00:00:00"/>
    <n v="0"/>
    <n v="0"/>
    <n v="0"/>
    <n v="0"/>
    <n v="0"/>
    <n v="0"/>
    <n v="0"/>
    <x v="0"/>
    <n v="63783.866300000002"/>
    <n v="63783.866300000002"/>
    <n v="0"/>
    <n v="0"/>
    <x v="0"/>
    <x v="0"/>
  </r>
  <r>
    <s v="ORD03132"/>
    <d v="2023-05-12T00:00:00"/>
    <x v="384"/>
    <x v="28"/>
    <n v="58"/>
    <s v="INV03132"/>
    <n v="58"/>
    <n v="957.65700000000015"/>
    <m/>
    <m/>
    <m/>
    <m/>
    <m/>
    <n v="957.65700000000015"/>
    <d v="2023-05-11T00:00:00"/>
    <n v="0"/>
    <n v="0"/>
    <n v="0"/>
    <n v="0"/>
    <n v="0"/>
    <n v="0"/>
    <n v="0"/>
    <x v="0"/>
    <n v="55544.106000000007"/>
    <n v="55544.106000000007"/>
    <n v="0"/>
    <n v="0"/>
    <x v="0"/>
    <x v="7"/>
  </r>
  <r>
    <s v="ORD03133"/>
    <d v="2023-03-27T00:00:00"/>
    <x v="785"/>
    <x v="267"/>
    <n v="97"/>
    <s v="INV03133"/>
    <n v="97"/>
    <n v="68.942999999999998"/>
    <m/>
    <m/>
    <m/>
    <m/>
    <m/>
    <n v="68.942999999999998"/>
    <d v="2023-03-13T00:00:00"/>
    <n v="0"/>
    <n v="0"/>
    <n v="0"/>
    <n v="0"/>
    <n v="0"/>
    <n v="0"/>
    <n v="0"/>
    <x v="0"/>
    <n v="6687.4709999999995"/>
    <n v="6687.4709999999995"/>
    <n v="0"/>
    <n v="0"/>
    <x v="0"/>
    <x v="17"/>
  </r>
  <r>
    <s v="ORD03134"/>
    <d v="2023-03-17T00:00:00"/>
    <x v="215"/>
    <x v="294"/>
    <n v="130"/>
    <s v="INV03134"/>
    <n v="130"/>
    <n v="146.89679999999998"/>
    <m/>
    <m/>
    <m/>
    <m/>
    <m/>
    <n v="146.89679999999998"/>
    <d v="2022-12-25T00:00:00"/>
    <n v="0"/>
    <n v="0"/>
    <n v="0"/>
    <n v="0"/>
    <n v="0"/>
    <n v="0"/>
    <n v="0"/>
    <x v="0"/>
    <n v="19096.583999999999"/>
    <n v="19096.583999999999"/>
    <n v="0"/>
    <n v="0"/>
    <x v="0"/>
    <x v="17"/>
  </r>
  <r>
    <s v="ORD03135"/>
    <d v="2023-07-22T00:00:00"/>
    <x v="50"/>
    <x v="113"/>
    <n v="155"/>
    <s v="INV03135"/>
    <n v="155"/>
    <n v="951.54780000000005"/>
    <m/>
    <m/>
    <m/>
    <m/>
    <m/>
    <n v="951.54780000000005"/>
    <d v="2023-02-07T00:00:00"/>
    <n v="0"/>
    <n v="0"/>
    <n v="0"/>
    <n v="0"/>
    <n v="0"/>
    <n v="0"/>
    <n v="0"/>
    <x v="0"/>
    <n v="147489.90900000001"/>
    <n v="147489.90900000001"/>
    <n v="0"/>
    <n v="0"/>
    <x v="0"/>
    <x v="10"/>
  </r>
  <r>
    <s v="ORD03136"/>
    <d v="2023-06-18T00:00:00"/>
    <x v="192"/>
    <x v="157"/>
    <n v="25"/>
    <s v="INV03136"/>
    <n v="25"/>
    <n v="1158.2643"/>
    <m/>
    <m/>
    <m/>
    <m/>
    <m/>
    <n v="1158.2643"/>
    <d v="2022-07-29T00:00:00"/>
    <n v="0"/>
    <n v="0"/>
    <n v="0"/>
    <n v="0"/>
    <n v="0"/>
    <n v="0"/>
    <n v="0"/>
    <x v="0"/>
    <n v="28956.607500000002"/>
    <n v="28956.607500000002"/>
    <n v="0"/>
    <n v="0"/>
    <x v="0"/>
    <x v="14"/>
  </r>
  <r>
    <s v="ORD03137"/>
    <d v="2024-10-22T00:00:00"/>
    <x v="492"/>
    <x v="191"/>
    <n v="28"/>
    <s v="INV03137"/>
    <n v="28"/>
    <n v="355.32000000000005"/>
    <m/>
    <m/>
    <m/>
    <m/>
    <m/>
    <n v="355.32000000000005"/>
    <d v="2023-05-12T00:00:00"/>
    <n v="0"/>
    <n v="0"/>
    <n v="0"/>
    <n v="0"/>
    <n v="0"/>
    <n v="0"/>
    <n v="0"/>
    <x v="0"/>
    <n v="9948.9600000000009"/>
    <n v="9948.9600000000009"/>
    <n v="0"/>
    <n v="0"/>
    <x v="0"/>
    <x v="5"/>
  </r>
  <r>
    <s v="ORD03138"/>
    <d v="2024-02-22T00:00:00"/>
    <x v="521"/>
    <x v="85"/>
    <n v="124"/>
    <s v="INV03138"/>
    <n v="124"/>
    <n v="1086.3648000000001"/>
    <m/>
    <m/>
    <m/>
    <m/>
    <m/>
    <n v="1086.3648000000001"/>
    <d v="2023-01-14T00:00:00"/>
    <n v="0"/>
    <n v="0"/>
    <n v="0"/>
    <n v="0"/>
    <n v="0"/>
    <n v="0"/>
    <n v="0"/>
    <x v="0"/>
    <n v="134709.2352"/>
    <n v="134709.2352"/>
    <n v="0"/>
    <n v="0"/>
    <x v="0"/>
    <x v="3"/>
  </r>
  <r>
    <s v="ORD03139"/>
    <d v="2024-07-12T00:00:00"/>
    <x v="412"/>
    <x v="277"/>
    <n v="22"/>
    <s v="INV03139"/>
    <n v="22"/>
    <n v="544.5"/>
    <m/>
    <m/>
    <m/>
    <m/>
    <m/>
    <n v="544.5"/>
    <d v="2023-08-21T00:00:00"/>
    <n v="0"/>
    <n v="0"/>
    <n v="0"/>
    <n v="0"/>
    <n v="0"/>
    <n v="0"/>
    <n v="0"/>
    <x v="0"/>
    <n v="11979"/>
    <n v="11979"/>
    <n v="0"/>
    <n v="0"/>
    <x v="0"/>
    <x v="21"/>
  </r>
  <r>
    <s v="ORD03140"/>
    <d v="2023-04-21T00:00:00"/>
    <x v="724"/>
    <x v="24"/>
    <n v="165"/>
    <s v="INV03140"/>
    <n v="165"/>
    <n v="421.92750000000001"/>
    <m/>
    <m/>
    <m/>
    <m/>
    <m/>
    <n v="421.92750000000001"/>
    <d v="2023-02-12T00:00:00"/>
    <n v="0"/>
    <n v="0"/>
    <n v="0"/>
    <n v="0"/>
    <n v="0"/>
    <n v="0"/>
    <n v="0"/>
    <x v="0"/>
    <n v="69618.037500000006"/>
    <n v="69618.037500000006"/>
    <n v="0"/>
    <n v="0"/>
    <x v="0"/>
    <x v="23"/>
  </r>
  <r>
    <s v="ORD03141"/>
    <d v="2024-01-26T00:00:00"/>
    <x v="662"/>
    <x v="124"/>
    <n v="21"/>
    <s v="INV03141"/>
    <n v="21"/>
    <n v="381.97550000000001"/>
    <m/>
    <m/>
    <m/>
    <m/>
    <m/>
    <n v="381.97550000000001"/>
    <d v="2023-05-19T00:00:00"/>
    <n v="0"/>
    <n v="0"/>
    <n v="0"/>
    <n v="0"/>
    <n v="0"/>
    <n v="0"/>
    <n v="0"/>
    <x v="0"/>
    <n v="8021.4855000000007"/>
    <n v="8021.4855000000007"/>
    <n v="0"/>
    <n v="0"/>
    <x v="0"/>
    <x v="15"/>
  </r>
  <r>
    <s v="ORD03142"/>
    <d v="2023-02-10T00:00:00"/>
    <x v="226"/>
    <x v="11"/>
    <n v="157"/>
    <s v="INV03142"/>
    <n v="157"/>
    <n v="634.76160000000004"/>
    <m/>
    <m/>
    <m/>
    <m/>
    <m/>
    <n v="634.76160000000004"/>
    <d v="2023-01-02T00:00:00"/>
    <n v="0"/>
    <n v="0"/>
    <n v="0"/>
    <n v="0"/>
    <n v="0"/>
    <n v="0"/>
    <n v="0"/>
    <x v="0"/>
    <n v="99657.571200000006"/>
    <n v="99657.571200000006"/>
    <n v="0"/>
    <n v="0"/>
    <x v="0"/>
    <x v="11"/>
  </r>
  <r>
    <s v="ORD03143"/>
    <d v="2023-05-18T00:00:00"/>
    <x v="194"/>
    <x v="101"/>
    <n v="135"/>
    <s v="INV03143"/>
    <n v="135"/>
    <n v="1259.9685000000002"/>
    <m/>
    <m/>
    <m/>
    <m/>
    <m/>
    <n v="1259.9685000000002"/>
    <d v="2022-12-18T00:00:00"/>
    <n v="0"/>
    <n v="0"/>
    <n v="0"/>
    <n v="0"/>
    <n v="0"/>
    <n v="0"/>
    <n v="0"/>
    <x v="0"/>
    <n v="170095.74750000003"/>
    <n v="170095.74750000003"/>
    <n v="0"/>
    <n v="0"/>
    <x v="0"/>
    <x v="7"/>
  </r>
  <r>
    <s v="ORD03144"/>
    <d v="2023-12-09T00:00:00"/>
    <x v="585"/>
    <x v="198"/>
    <n v="53"/>
    <s v="INV03144"/>
    <n v="53"/>
    <n v="906.88919999999996"/>
    <n v="3"/>
    <d v="2024-11-06T00:00:00"/>
    <m/>
    <m/>
    <m/>
    <n v="906.88919999999996"/>
    <d v="2023-03-06T00:00:00"/>
    <n v="0"/>
    <n v="0"/>
    <n v="0"/>
    <n v="0"/>
    <n v="0"/>
    <n v="1"/>
    <n v="0"/>
    <x v="1"/>
    <n v="48065.1276"/>
    <n v="48065.1276"/>
    <n v="0"/>
    <n v="2"/>
    <x v="1"/>
    <x v="20"/>
  </r>
  <r>
    <s v="ORD03145"/>
    <d v="2023-02-08T00:00:00"/>
    <x v="5"/>
    <x v="59"/>
    <n v="20"/>
    <s v="INV03145"/>
    <n v="20"/>
    <n v="933.82110000000011"/>
    <m/>
    <m/>
    <m/>
    <m/>
    <m/>
    <n v="933.82110000000011"/>
    <d v="2022-10-21T00:00:00"/>
    <n v="0"/>
    <n v="0"/>
    <n v="0"/>
    <n v="0"/>
    <n v="0"/>
    <n v="0"/>
    <n v="0"/>
    <x v="0"/>
    <n v="18676.422000000002"/>
    <n v="18676.422000000002"/>
    <n v="0"/>
    <n v="0"/>
    <x v="0"/>
    <x v="11"/>
  </r>
  <r>
    <s v="ORD03146"/>
    <d v="2023-08-08T00:00:00"/>
    <x v="726"/>
    <x v="80"/>
    <n v="32"/>
    <s v="INV03146"/>
    <n v="32"/>
    <n v="1014.5718000000001"/>
    <m/>
    <m/>
    <m/>
    <m/>
    <m/>
    <n v="1014.5718000000001"/>
    <d v="2023-04-19T00:00:00"/>
    <n v="0"/>
    <n v="0"/>
    <n v="0"/>
    <n v="0"/>
    <n v="0"/>
    <n v="0"/>
    <n v="0"/>
    <x v="0"/>
    <n v="32466.297600000002"/>
    <n v="32466.297600000002"/>
    <n v="0"/>
    <n v="0"/>
    <x v="0"/>
    <x v="12"/>
  </r>
  <r>
    <s v="ORD03147"/>
    <d v="2023-05-01T00:00:00"/>
    <x v="607"/>
    <x v="93"/>
    <n v="96"/>
    <s v="INV03147"/>
    <n v="96"/>
    <n v="437.39519999999999"/>
    <m/>
    <m/>
    <m/>
    <m/>
    <m/>
    <n v="437.39519999999999"/>
    <d v="2023-01-09T00:00:00"/>
    <n v="0"/>
    <n v="0"/>
    <n v="0"/>
    <n v="0"/>
    <n v="0"/>
    <n v="0"/>
    <n v="0"/>
    <x v="0"/>
    <n v="41989.939200000001"/>
    <n v="41989.939200000001"/>
    <n v="0"/>
    <n v="0"/>
    <x v="0"/>
    <x v="7"/>
  </r>
  <r>
    <s v="ORD03148"/>
    <d v="2023-12-27T00:00:00"/>
    <x v="682"/>
    <x v="170"/>
    <n v="151"/>
    <s v="INV03148"/>
    <n v="150"/>
    <n v="825.13580000000002"/>
    <m/>
    <m/>
    <m/>
    <m/>
    <m/>
    <n v="825.13580000000002"/>
    <d v="2023-03-13T00:00:00"/>
    <n v="0"/>
    <n v="1"/>
    <n v="0"/>
    <n v="0"/>
    <n v="0"/>
    <n v="0"/>
    <n v="0"/>
    <x v="1"/>
    <n v="123770.37"/>
    <n v="124595.5058"/>
    <n v="-825.13580000000366"/>
    <n v="8"/>
    <x v="2"/>
    <x v="20"/>
  </r>
  <r>
    <s v="ORD03149"/>
    <d v="2023-09-22T00:00:00"/>
    <x v="464"/>
    <x v="276"/>
    <n v="26"/>
    <s v="INV03149"/>
    <n v="26"/>
    <n v="1066.4874"/>
    <m/>
    <m/>
    <m/>
    <m/>
    <m/>
    <n v="1066.4874"/>
    <d v="2023-05-31T00:00:00"/>
    <n v="0"/>
    <n v="0"/>
    <n v="0"/>
    <n v="0"/>
    <n v="0"/>
    <n v="0"/>
    <n v="0"/>
    <x v="0"/>
    <n v="27728.672399999999"/>
    <n v="27728.672399999999"/>
    <n v="0"/>
    <n v="0"/>
    <x v="0"/>
    <x v="18"/>
  </r>
  <r>
    <s v="ORD03150"/>
    <d v="2023-12-03T00:00:00"/>
    <x v="47"/>
    <x v="246"/>
    <n v="193"/>
    <s v="INV03150"/>
    <n v="193"/>
    <n v="491.10239999999999"/>
    <m/>
    <m/>
    <m/>
    <m/>
    <m/>
    <n v="491.10239999999999"/>
    <d v="2023-09-18T00:00:00"/>
    <n v="0"/>
    <n v="0"/>
    <n v="0"/>
    <n v="0"/>
    <n v="0"/>
    <n v="0"/>
    <n v="0"/>
    <x v="0"/>
    <n v="94782.763200000001"/>
    <n v="94782.763200000001"/>
    <n v="0"/>
    <n v="0"/>
    <x v="0"/>
    <x v="20"/>
  </r>
  <r>
    <s v="ORD03151"/>
    <d v="2024-07-23T00:00:00"/>
    <x v="7"/>
    <x v="112"/>
    <n v="15"/>
    <s v="INV03151"/>
    <n v="15"/>
    <n v="322.71780000000001"/>
    <m/>
    <m/>
    <m/>
    <m/>
    <m/>
    <n v="322.71780000000001"/>
    <d v="2023-08-31T00:00:00"/>
    <n v="0"/>
    <n v="0"/>
    <n v="0"/>
    <n v="0"/>
    <n v="0"/>
    <n v="0"/>
    <n v="0"/>
    <x v="0"/>
    <n v="4840.7669999999998"/>
    <n v="4840.7669999999998"/>
    <n v="0"/>
    <n v="0"/>
    <x v="0"/>
    <x v="21"/>
  </r>
  <r>
    <s v="ORD03152"/>
    <d v="2024-06-27T00:00:00"/>
    <x v="233"/>
    <x v="88"/>
    <n v="124"/>
    <s v="INV03152"/>
    <n v="124"/>
    <n v="212.59063189083619"/>
    <m/>
    <m/>
    <m/>
    <m/>
    <m/>
    <n v="211.68960000000001"/>
    <d v="2023-07-22T00:00:00"/>
    <n v="0"/>
    <n v="0"/>
    <n v="1"/>
    <n v="0"/>
    <n v="0"/>
    <n v="0"/>
    <n v="0"/>
    <x v="1"/>
    <n v="26361.238354463687"/>
    <n v="26249.510400000003"/>
    <n v="111.727954463684"/>
    <n v="4"/>
    <x v="1"/>
    <x v="16"/>
  </r>
  <r>
    <s v="ORD03153"/>
    <d v="2024-08-08T00:00:00"/>
    <x v="786"/>
    <x v="259"/>
    <n v="82"/>
    <s v="INV03153"/>
    <n v="82"/>
    <n v="1160.71"/>
    <m/>
    <m/>
    <m/>
    <m/>
    <m/>
    <n v="1160.71"/>
    <d v="2023-02-07T00:00:00"/>
    <n v="0"/>
    <n v="0"/>
    <n v="0"/>
    <n v="0"/>
    <n v="0"/>
    <n v="0"/>
    <n v="0"/>
    <x v="0"/>
    <n v="95178.22"/>
    <n v="95178.22"/>
    <n v="0"/>
    <n v="0"/>
    <x v="0"/>
    <x v="22"/>
  </r>
  <r>
    <s v="ORD03154"/>
    <d v="2024-07-31T00:00:00"/>
    <x v="726"/>
    <x v="60"/>
    <n v="68"/>
    <s v="INV03154"/>
    <n v="68"/>
    <n v="1087.8191999999999"/>
    <m/>
    <m/>
    <m/>
    <m/>
    <m/>
    <n v="1087.8191999999999"/>
    <d v="2023-08-22T00:00:00"/>
    <n v="0"/>
    <n v="0"/>
    <n v="0"/>
    <n v="0"/>
    <n v="0"/>
    <n v="0"/>
    <n v="0"/>
    <x v="0"/>
    <n v="73971.705599999987"/>
    <n v="73971.705599999987"/>
    <n v="0"/>
    <n v="0"/>
    <x v="0"/>
    <x v="21"/>
  </r>
  <r>
    <s v="ORD03155"/>
    <d v="2024-06-16T00:00:00"/>
    <x v="535"/>
    <x v="260"/>
    <n v="40"/>
    <s v="INV03155"/>
    <n v="40"/>
    <n v="990.72749999999996"/>
    <m/>
    <m/>
    <m/>
    <m/>
    <m/>
    <n v="990.72749999999996"/>
    <d v="2023-05-22T00:00:00"/>
    <n v="0"/>
    <n v="0"/>
    <n v="0"/>
    <n v="0"/>
    <n v="0"/>
    <n v="0"/>
    <n v="0"/>
    <x v="0"/>
    <n v="39629.1"/>
    <n v="39629.1"/>
    <n v="0"/>
    <n v="0"/>
    <x v="0"/>
    <x v="16"/>
  </r>
  <r>
    <s v="ORD03156"/>
    <d v="2023-05-25T00:00:00"/>
    <x v="551"/>
    <x v="137"/>
    <n v="116"/>
    <s v="INV03156"/>
    <n v="116"/>
    <n v="1026.4637"/>
    <m/>
    <m/>
    <m/>
    <m/>
    <m/>
    <n v="1026.4637"/>
    <d v="2023-02-10T00:00:00"/>
    <n v="0"/>
    <n v="0"/>
    <n v="0"/>
    <n v="0"/>
    <n v="0"/>
    <n v="0"/>
    <n v="0"/>
    <x v="0"/>
    <n v="119069.7892"/>
    <n v="119069.7892"/>
    <n v="0"/>
    <n v="0"/>
    <x v="0"/>
    <x v="7"/>
  </r>
  <r>
    <s v="ORD03157"/>
    <d v="2024-09-06T00:00:00"/>
    <x v="87"/>
    <x v="103"/>
    <n v="60"/>
    <s v="INV03157"/>
    <n v="60"/>
    <n v="697.85279999999989"/>
    <m/>
    <m/>
    <m/>
    <m/>
    <m/>
    <n v="697.85279999999989"/>
    <d v="2023-08-31T00:00:00"/>
    <n v="0"/>
    <n v="0"/>
    <n v="0"/>
    <n v="0"/>
    <n v="0"/>
    <n v="0"/>
    <n v="0"/>
    <x v="0"/>
    <n v="41871.167999999991"/>
    <n v="41871.167999999991"/>
    <n v="0"/>
    <n v="0"/>
    <x v="0"/>
    <x v="2"/>
  </r>
  <r>
    <s v="ORD03158"/>
    <d v="2023-08-15T00:00:00"/>
    <x v="787"/>
    <x v="283"/>
    <n v="104"/>
    <s v="INV03158"/>
    <n v="104"/>
    <n v="110.9413"/>
    <n v="18"/>
    <d v="2024-01-15T00:00:00"/>
    <m/>
    <m/>
    <m/>
    <n v="110.9413"/>
    <d v="2023-08-15T00:00:00"/>
    <n v="0"/>
    <n v="0"/>
    <n v="0"/>
    <n v="0"/>
    <n v="0"/>
    <n v="1"/>
    <n v="0"/>
    <x v="1"/>
    <n v="11537.895199999999"/>
    <n v="11537.895199999999"/>
    <n v="0"/>
    <n v="2"/>
    <x v="1"/>
    <x v="12"/>
  </r>
  <r>
    <s v="ORD03159"/>
    <d v="2024-06-14T00:00:00"/>
    <x v="674"/>
    <x v="256"/>
    <n v="60"/>
    <s v="INV03159"/>
    <n v="60"/>
    <n v="717.0471"/>
    <m/>
    <m/>
    <m/>
    <m/>
    <m/>
    <n v="717.0471"/>
    <d v="2023-02-27T00:00:00"/>
    <n v="0"/>
    <n v="0"/>
    <n v="0"/>
    <n v="0"/>
    <n v="0"/>
    <n v="0"/>
    <n v="0"/>
    <x v="0"/>
    <n v="43022.826000000001"/>
    <n v="43022.826000000001"/>
    <n v="0"/>
    <n v="0"/>
    <x v="0"/>
    <x v="16"/>
  </r>
  <r>
    <s v="ORD03160"/>
    <d v="2024-07-04T00:00:00"/>
    <x v="562"/>
    <x v="96"/>
    <n v="112"/>
    <s v="INV03160"/>
    <n v="112"/>
    <n v="497.4264"/>
    <m/>
    <m/>
    <m/>
    <m/>
    <m/>
    <n v="497.4264"/>
    <d v="2023-10-13T00:00:00"/>
    <n v="0"/>
    <n v="0"/>
    <n v="0"/>
    <n v="0"/>
    <n v="0"/>
    <n v="0"/>
    <n v="0"/>
    <x v="0"/>
    <n v="55711.756800000003"/>
    <n v="55711.756800000003"/>
    <n v="0"/>
    <n v="0"/>
    <x v="0"/>
    <x v="21"/>
  </r>
  <r>
    <s v="ORD03161"/>
    <d v="2024-10-10T00:00:00"/>
    <x v="71"/>
    <x v="45"/>
    <n v="83"/>
    <s v="INV03161"/>
    <n v="85"/>
    <n v="169.22900000000001"/>
    <m/>
    <m/>
    <m/>
    <m/>
    <m/>
    <n v="169.22900000000001"/>
    <d v="2023-04-23T00:00:00"/>
    <n v="0"/>
    <n v="1"/>
    <n v="0"/>
    <n v="0"/>
    <n v="0"/>
    <n v="0"/>
    <n v="0"/>
    <x v="1"/>
    <n v="14384.465000000002"/>
    <n v="14046.007000000001"/>
    <n v="338.45800000000054"/>
    <n v="3"/>
    <x v="1"/>
    <x v="5"/>
  </r>
  <r>
    <s v="ORD03162"/>
    <d v="2023-07-02T00:00:00"/>
    <x v="76"/>
    <x v="197"/>
    <n v="191"/>
    <s v="INV03162"/>
    <n v="191"/>
    <n v="240.40479999999999"/>
    <m/>
    <m/>
    <m/>
    <m/>
    <m/>
    <n v="240.40479999999999"/>
    <d v="2022-10-20T00:00:00"/>
    <n v="0"/>
    <n v="0"/>
    <n v="0"/>
    <n v="0"/>
    <n v="0"/>
    <n v="0"/>
    <n v="0"/>
    <x v="0"/>
    <n v="45917.316800000001"/>
    <n v="45917.316800000001"/>
    <n v="0"/>
    <n v="0"/>
    <x v="0"/>
    <x v="10"/>
  </r>
  <r>
    <s v="ORD03163"/>
    <d v="2023-09-27T00:00:00"/>
    <x v="452"/>
    <x v="17"/>
    <n v="35"/>
    <s v="INV03163"/>
    <n v="35"/>
    <n v="761.50400000000002"/>
    <m/>
    <m/>
    <m/>
    <m/>
    <m/>
    <n v="761.50400000000002"/>
    <d v="2023-08-23T00:00:00"/>
    <n v="0"/>
    <n v="0"/>
    <n v="0"/>
    <n v="0"/>
    <n v="0"/>
    <n v="0"/>
    <n v="0"/>
    <x v="0"/>
    <n v="26652.639999999999"/>
    <n v="26652.639999999999"/>
    <n v="0"/>
    <n v="0"/>
    <x v="0"/>
    <x v="18"/>
  </r>
  <r>
    <s v="ORD03164"/>
    <d v="2023-10-24T00:00:00"/>
    <x v="514"/>
    <x v="290"/>
    <n v="17"/>
    <s v="INV03164"/>
    <n v="17"/>
    <n v="1159.732"/>
    <m/>
    <m/>
    <m/>
    <m/>
    <m/>
    <n v="1159.732"/>
    <d v="2023-04-16T00:00:00"/>
    <n v="0"/>
    <n v="0"/>
    <n v="0"/>
    <n v="0"/>
    <n v="0"/>
    <n v="0"/>
    <n v="0"/>
    <x v="0"/>
    <n v="19715.444"/>
    <n v="19715.444"/>
    <n v="0"/>
    <n v="0"/>
    <x v="0"/>
    <x v="19"/>
  </r>
  <r>
    <s v="ORD03165"/>
    <d v="2024-01-18T00:00:00"/>
    <x v="680"/>
    <x v="173"/>
    <n v="76"/>
    <s v="INV03165"/>
    <n v="76"/>
    <n v="540.16420703003621"/>
    <m/>
    <m/>
    <m/>
    <m/>
    <m/>
    <n v="539.57150000000001"/>
    <d v="2023-09-22T00:00:00"/>
    <n v="0"/>
    <n v="0"/>
    <n v="1"/>
    <n v="0"/>
    <n v="0"/>
    <n v="0"/>
    <n v="0"/>
    <x v="1"/>
    <n v="41052.479734282751"/>
    <n v="41007.434000000001"/>
    <n v="45.045734282750345"/>
    <n v="4"/>
    <x v="1"/>
    <x v="15"/>
  </r>
  <r>
    <s v="ORD03166"/>
    <d v="2024-11-26T00:00:00"/>
    <x v="625"/>
    <x v="95"/>
    <n v="98"/>
    <s v="INV03166"/>
    <n v="98"/>
    <n v="1072.7244430144951"/>
    <m/>
    <m/>
    <m/>
    <m/>
    <m/>
    <n v="1072.1079000000002"/>
    <d v="2023-04-19T00:00:00"/>
    <n v="0"/>
    <n v="0"/>
    <n v="1"/>
    <n v="0"/>
    <n v="0"/>
    <n v="0"/>
    <n v="0"/>
    <x v="1"/>
    <n v="105126.99541542052"/>
    <n v="105066.57420000002"/>
    <n v="60.421215420501539"/>
    <n v="4"/>
    <x v="1"/>
    <x v="4"/>
  </r>
  <r>
    <s v="ORD03167"/>
    <d v="2024-07-04T00:00:00"/>
    <x v="326"/>
    <x v="238"/>
    <n v="151"/>
    <s v="INV03167"/>
    <n v="153"/>
    <n v="1137.9636"/>
    <m/>
    <m/>
    <m/>
    <m/>
    <m/>
    <n v="1137.9636"/>
    <d v="2023-03-22T00:00:00"/>
    <n v="0"/>
    <n v="1"/>
    <n v="0"/>
    <n v="0"/>
    <n v="0"/>
    <n v="0"/>
    <n v="0"/>
    <x v="1"/>
    <n v="174108.4308"/>
    <n v="171832.5036"/>
    <n v="2275.9272000000055"/>
    <n v="8"/>
    <x v="2"/>
    <x v="21"/>
  </r>
  <r>
    <s v="ORD03168"/>
    <d v="2024-05-30T00:00:00"/>
    <x v="25"/>
    <x v="115"/>
    <n v="55"/>
    <s v="INV03168"/>
    <n v="55"/>
    <n v="208.65799999999999"/>
    <m/>
    <m/>
    <m/>
    <m/>
    <m/>
    <n v="208.65799999999999"/>
    <d v="2023-02-14T00:00:00"/>
    <n v="0"/>
    <n v="0"/>
    <n v="0"/>
    <n v="0"/>
    <n v="0"/>
    <n v="0"/>
    <n v="0"/>
    <x v="0"/>
    <n v="11476.189999999999"/>
    <n v="11476.189999999999"/>
    <n v="0"/>
    <n v="0"/>
    <x v="0"/>
    <x v="13"/>
  </r>
  <r>
    <s v="ORD03169"/>
    <d v="2024-12-16T00:00:00"/>
    <x v="393"/>
    <x v="14"/>
    <n v="166"/>
    <s v="INV03169"/>
    <n v="166"/>
    <n v="265.44960000000003"/>
    <m/>
    <m/>
    <m/>
    <m/>
    <m/>
    <n v="265.44960000000003"/>
    <d v="2023-03-14T00:00:00"/>
    <n v="0"/>
    <n v="0"/>
    <n v="0"/>
    <n v="0"/>
    <n v="0"/>
    <n v="0"/>
    <n v="0"/>
    <x v="0"/>
    <n v="44064.633600000008"/>
    <n v="44064.633600000008"/>
    <n v="0"/>
    <n v="0"/>
    <x v="0"/>
    <x v="1"/>
  </r>
  <r>
    <s v="ORD03170"/>
    <d v="2023-01-27T00:00:00"/>
    <x v="40"/>
    <x v="293"/>
    <n v="46"/>
    <s v="INV03170"/>
    <n v="46"/>
    <n v="94.274299999999997"/>
    <m/>
    <m/>
    <m/>
    <m/>
    <m/>
    <n v="94.274299999999997"/>
    <d v="2022-12-11T00:00:00"/>
    <n v="0"/>
    <n v="0"/>
    <n v="0"/>
    <n v="0"/>
    <n v="0"/>
    <n v="0"/>
    <n v="0"/>
    <x v="0"/>
    <n v="4336.6178"/>
    <n v="4336.6178"/>
    <n v="0"/>
    <n v="0"/>
    <x v="0"/>
    <x v="8"/>
  </r>
  <r>
    <s v="ORD03171"/>
    <d v="2023-10-18T00:00:00"/>
    <x v="322"/>
    <x v="6"/>
    <n v="4"/>
    <s v="INV03171"/>
    <n v="4"/>
    <n v="700.93560000000002"/>
    <m/>
    <m/>
    <m/>
    <m/>
    <m/>
    <n v="700.93560000000002"/>
    <d v="2023-05-31T00:00:00"/>
    <n v="0"/>
    <n v="0"/>
    <n v="0"/>
    <n v="0"/>
    <n v="0"/>
    <n v="0"/>
    <n v="0"/>
    <x v="0"/>
    <n v="2803.7424000000001"/>
    <n v="2803.7424000000001"/>
    <n v="0"/>
    <n v="0"/>
    <x v="0"/>
    <x v="19"/>
  </r>
  <r>
    <s v="ORD03172"/>
    <d v="2023-09-08T00:00:00"/>
    <x v="468"/>
    <x v="102"/>
    <n v="60"/>
    <s v="INV03172"/>
    <n v="60"/>
    <n v="1093.1199999999999"/>
    <m/>
    <m/>
    <m/>
    <m/>
    <m/>
    <n v="1093.1199999999999"/>
    <d v="2023-04-19T00:00:00"/>
    <n v="0"/>
    <n v="0"/>
    <n v="0"/>
    <n v="0"/>
    <n v="0"/>
    <n v="0"/>
    <n v="0"/>
    <x v="0"/>
    <n v="65587.199999999997"/>
    <n v="65587.199999999997"/>
    <n v="0"/>
    <n v="0"/>
    <x v="0"/>
    <x v="18"/>
  </r>
  <r>
    <s v="ORD03173"/>
    <d v="2024-09-17T00:00:00"/>
    <x v="46"/>
    <x v="212"/>
    <n v="52"/>
    <s v="INV03173"/>
    <n v="52"/>
    <n v="1167.9120000000005"/>
    <m/>
    <m/>
    <m/>
    <m/>
    <m/>
    <n v="1167.9120000000005"/>
    <d v="2023-04-03T00:00:00"/>
    <n v="0"/>
    <n v="0"/>
    <n v="0"/>
    <n v="0"/>
    <n v="0"/>
    <n v="0"/>
    <n v="0"/>
    <x v="0"/>
    <n v="60731.424000000028"/>
    <n v="60731.424000000028"/>
    <n v="0"/>
    <n v="0"/>
    <x v="0"/>
    <x v="2"/>
  </r>
  <r>
    <s v="ORD03174"/>
    <d v="2024-07-20T00:00:00"/>
    <x v="247"/>
    <x v="228"/>
    <n v="82"/>
    <s v="INV03174"/>
    <n v="82"/>
    <n v="952.36940000000004"/>
    <m/>
    <m/>
    <m/>
    <m/>
    <m/>
    <n v="952.36940000000004"/>
    <d v="2023-08-31T00:00:00"/>
    <n v="0"/>
    <n v="0"/>
    <n v="0"/>
    <n v="0"/>
    <n v="0"/>
    <n v="0"/>
    <n v="0"/>
    <x v="0"/>
    <n v="78094.290800000002"/>
    <n v="78094.290800000002"/>
    <n v="0"/>
    <n v="0"/>
    <x v="0"/>
    <x v="21"/>
  </r>
  <r>
    <s v="ORD03175"/>
    <d v="2023-06-14T00:00:00"/>
    <x v="189"/>
    <x v="146"/>
    <n v="34"/>
    <s v="INV03175"/>
    <n v="34"/>
    <n v="436.9466000000001"/>
    <m/>
    <m/>
    <m/>
    <m/>
    <m/>
    <n v="436.9466000000001"/>
    <d v="2022-07-22T00:00:00"/>
    <n v="0"/>
    <n v="0"/>
    <n v="0"/>
    <n v="0"/>
    <n v="0"/>
    <n v="0"/>
    <n v="0"/>
    <x v="0"/>
    <n v="14856.184400000004"/>
    <n v="14856.184400000004"/>
    <n v="0"/>
    <n v="0"/>
    <x v="0"/>
    <x v="14"/>
  </r>
  <r>
    <s v="ORD03176"/>
    <d v="2024-04-22T00:00:00"/>
    <x v="711"/>
    <x v="1"/>
    <n v="61"/>
    <s v="INV03176"/>
    <n v="61"/>
    <n v="444.22"/>
    <m/>
    <m/>
    <m/>
    <m/>
    <m/>
    <n v="444.22"/>
    <d v="2023-05-28T00:00:00"/>
    <n v="0"/>
    <n v="0"/>
    <n v="0"/>
    <n v="0"/>
    <n v="0"/>
    <n v="0"/>
    <n v="0"/>
    <x v="0"/>
    <n v="27097.420000000002"/>
    <n v="27097.420000000002"/>
    <n v="0"/>
    <n v="0"/>
    <x v="0"/>
    <x v="9"/>
  </r>
  <r>
    <s v="ORD03177"/>
    <d v="2024-06-30T00:00:00"/>
    <x v="166"/>
    <x v="0"/>
    <n v="5"/>
    <s v="INV03177"/>
    <n v="5"/>
    <n v="446.4905"/>
    <m/>
    <m/>
    <m/>
    <m/>
    <m/>
    <n v="446.4905"/>
    <d v="2023-08-23T00:00:00"/>
    <n v="0"/>
    <n v="0"/>
    <n v="0"/>
    <n v="0"/>
    <n v="0"/>
    <n v="0"/>
    <n v="0"/>
    <x v="0"/>
    <n v="2232.4524999999999"/>
    <n v="2232.4524999999999"/>
    <n v="0"/>
    <n v="0"/>
    <x v="0"/>
    <x v="16"/>
  </r>
  <r>
    <s v="ORD03178"/>
    <d v="2024-01-20T00:00:00"/>
    <x v="222"/>
    <x v="154"/>
    <n v="117"/>
    <s v="INV03178"/>
    <n v="117"/>
    <n v="744.98490000000004"/>
    <m/>
    <m/>
    <m/>
    <m/>
    <m/>
    <n v="744.98490000000004"/>
    <d v="2023-07-31T00:00:00"/>
    <n v="0"/>
    <n v="0"/>
    <n v="0"/>
    <n v="0"/>
    <n v="0"/>
    <n v="0"/>
    <n v="0"/>
    <x v="0"/>
    <n v="87163.233300000007"/>
    <n v="87163.233300000007"/>
    <n v="0"/>
    <n v="0"/>
    <x v="0"/>
    <x v="15"/>
  </r>
  <r>
    <s v="ORD03179"/>
    <d v="2024-12-11T00:00:00"/>
    <x v="148"/>
    <x v="263"/>
    <n v="26"/>
    <s v="INV03179"/>
    <n v="26"/>
    <n v="599.90620000000001"/>
    <m/>
    <m/>
    <m/>
    <m/>
    <m/>
    <n v="599.90620000000001"/>
    <d v="2023-05-14T00:00:00"/>
    <n v="0"/>
    <n v="0"/>
    <n v="0"/>
    <n v="0"/>
    <n v="0"/>
    <n v="0"/>
    <n v="0"/>
    <x v="0"/>
    <n v="15597.5612"/>
    <n v="15597.5612"/>
    <n v="0"/>
    <n v="0"/>
    <x v="0"/>
    <x v="1"/>
  </r>
  <r>
    <s v="ORD03180"/>
    <d v="2023-07-11T00:00:00"/>
    <x v="37"/>
    <x v="235"/>
    <n v="108"/>
    <s v="INV03180"/>
    <n v="110"/>
    <n v="708.51900000000001"/>
    <m/>
    <m/>
    <m/>
    <m/>
    <m/>
    <n v="708.51900000000001"/>
    <d v="2023-05-17T00:00:00"/>
    <n v="0"/>
    <n v="1"/>
    <n v="0"/>
    <n v="0"/>
    <n v="0"/>
    <n v="0"/>
    <n v="0"/>
    <x v="1"/>
    <n v="77937.09"/>
    <n v="76520.051999999996"/>
    <n v="1417.0380000000005"/>
    <n v="8"/>
    <x v="2"/>
    <x v="10"/>
  </r>
  <r>
    <s v="ORD03181"/>
    <d v="2023-05-27T00:00:00"/>
    <x v="575"/>
    <x v="239"/>
    <n v="9"/>
    <s v="INV03181"/>
    <n v="9"/>
    <n v="1280.9556"/>
    <m/>
    <m/>
    <m/>
    <m/>
    <m/>
    <n v="1280.9556"/>
    <d v="2023-05-07T00:00:00"/>
    <n v="0"/>
    <n v="0"/>
    <n v="0"/>
    <n v="0"/>
    <n v="0"/>
    <n v="0"/>
    <n v="0"/>
    <x v="0"/>
    <n v="11528.600399999999"/>
    <n v="11528.600399999999"/>
    <n v="0"/>
    <n v="0"/>
    <x v="0"/>
    <x v="7"/>
  </r>
  <r>
    <s v="ORD03182"/>
    <d v="2024-04-11T00:00:00"/>
    <x v="370"/>
    <x v="45"/>
    <n v="30"/>
    <s v="INV03182"/>
    <n v="30"/>
    <n v="169.22900000000001"/>
    <m/>
    <m/>
    <m/>
    <m/>
    <m/>
    <n v="169.22900000000001"/>
    <d v="2023-04-23T00:00:00"/>
    <n v="0"/>
    <n v="0"/>
    <n v="0"/>
    <n v="0"/>
    <n v="0"/>
    <n v="0"/>
    <n v="0"/>
    <x v="0"/>
    <n v="5076.8700000000008"/>
    <n v="5076.8700000000008"/>
    <n v="0"/>
    <n v="0"/>
    <x v="0"/>
    <x v="9"/>
  </r>
  <r>
    <s v="ORD03183"/>
    <d v="2023-02-28T00:00:00"/>
    <x v="343"/>
    <x v="68"/>
    <n v="140"/>
    <s v="INV03183"/>
    <n v="140"/>
    <n v="163.4152"/>
    <m/>
    <m/>
    <m/>
    <m/>
    <m/>
    <n v="163.4152"/>
    <d v="2023-01-31T00:00:00"/>
    <n v="0"/>
    <n v="0"/>
    <n v="0"/>
    <n v="0"/>
    <n v="0"/>
    <n v="0"/>
    <n v="0"/>
    <x v="0"/>
    <n v="22878.128000000001"/>
    <n v="22878.128000000001"/>
    <n v="0"/>
    <n v="0"/>
    <x v="0"/>
    <x v="11"/>
  </r>
  <r>
    <s v="ORD03184"/>
    <d v="2024-04-24T00:00:00"/>
    <x v="707"/>
    <x v="138"/>
    <n v="54"/>
    <s v="INV03184"/>
    <n v="54"/>
    <n v="153.01650000000001"/>
    <m/>
    <m/>
    <m/>
    <m/>
    <m/>
    <n v="153.01650000000001"/>
    <d v="2023-05-18T00:00:00"/>
    <n v="0"/>
    <n v="0"/>
    <n v="0"/>
    <n v="0"/>
    <n v="0"/>
    <n v="0"/>
    <n v="0"/>
    <x v="0"/>
    <n v="8262.8909999999996"/>
    <n v="8262.8909999999996"/>
    <n v="0"/>
    <n v="0"/>
    <x v="0"/>
    <x v="9"/>
  </r>
  <r>
    <s v="ORD03185"/>
    <d v="2023-03-24T00:00:00"/>
    <x v="574"/>
    <x v="8"/>
    <n v="156"/>
    <s v="INV03185"/>
    <n v="156"/>
    <n v="365.95330000000001"/>
    <m/>
    <m/>
    <m/>
    <m/>
    <m/>
    <n v="365.95330000000001"/>
    <d v="2022-09-20T00:00:00"/>
    <n v="0"/>
    <n v="0"/>
    <n v="0"/>
    <n v="0"/>
    <n v="0"/>
    <n v="0"/>
    <n v="0"/>
    <x v="0"/>
    <n v="57088.714800000002"/>
    <n v="57088.714800000002"/>
    <n v="0"/>
    <n v="0"/>
    <x v="0"/>
    <x v="17"/>
  </r>
  <r>
    <s v="ORD03186"/>
    <d v="2023-06-19T00:00:00"/>
    <x v="305"/>
    <x v="49"/>
    <n v="48"/>
    <s v="INV03186"/>
    <n v="48"/>
    <n v="1040.9412"/>
    <m/>
    <m/>
    <m/>
    <m/>
    <m/>
    <n v="1040.9412"/>
    <d v="2023-02-26T00:00:00"/>
    <n v="0"/>
    <n v="0"/>
    <n v="0"/>
    <n v="0"/>
    <n v="0"/>
    <n v="0"/>
    <n v="0"/>
    <x v="0"/>
    <n v="49965.177599999995"/>
    <n v="49965.177599999995"/>
    <n v="0"/>
    <n v="0"/>
    <x v="0"/>
    <x v="14"/>
  </r>
  <r>
    <s v="ORD03187"/>
    <d v="2024-03-02T00:00:00"/>
    <x v="410"/>
    <x v="250"/>
    <n v="59"/>
    <s v="INV03187"/>
    <n v="59"/>
    <n v="92.962000000000003"/>
    <n v="7"/>
    <d v="2025-01-10T00:00:00"/>
    <m/>
    <m/>
    <m/>
    <n v="92.962000000000003"/>
    <d v="2023-08-13T00:00:00"/>
    <n v="0"/>
    <n v="0"/>
    <n v="0"/>
    <n v="0"/>
    <n v="0"/>
    <n v="1"/>
    <n v="0"/>
    <x v="1"/>
    <n v="5484.7579999999998"/>
    <n v="5484.7579999999998"/>
    <n v="0"/>
    <n v="2"/>
    <x v="1"/>
    <x v="6"/>
  </r>
  <r>
    <s v="ORD03188"/>
    <d v="2023-04-14T00:00:00"/>
    <x v="339"/>
    <x v="122"/>
    <n v="111"/>
    <s v="INV03188"/>
    <n v="111"/>
    <n v="68.418999999999997"/>
    <m/>
    <m/>
    <m/>
    <m/>
    <m/>
    <n v="68.418999999999997"/>
    <d v="2022-08-07T00:00:00"/>
    <n v="0"/>
    <n v="0"/>
    <n v="0"/>
    <n v="0"/>
    <n v="0"/>
    <n v="0"/>
    <n v="0"/>
    <x v="0"/>
    <n v="7594.509"/>
    <n v="7594.509"/>
    <n v="0"/>
    <n v="0"/>
    <x v="0"/>
    <x v="23"/>
  </r>
  <r>
    <s v="ORD03189"/>
    <d v="2024-09-03T00:00:00"/>
    <x v="174"/>
    <x v="3"/>
    <n v="141"/>
    <s v="INV03189"/>
    <n v="141"/>
    <n v="849.43949999999995"/>
    <m/>
    <m/>
    <m/>
    <m/>
    <m/>
    <n v="849.43949999999995"/>
    <d v="2023-07-07T00:00:00"/>
    <n v="0"/>
    <n v="0"/>
    <n v="0"/>
    <n v="0"/>
    <n v="0"/>
    <n v="0"/>
    <n v="0"/>
    <x v="0"/>
    <n v="119770.96949999999"/>
    <n v="119770.96949999999"/>
    <n v="0"/>
    <n v="0"/>
    <x v="0"/>
    <x v="2"/>
  </r>
  <r>
    <s v="ORD03190"/>
    <d v="2023-04-07T00:00:00"/>
    <x v="708"/>
    <x v="222"/>
    <n v="185"/>
    <s v="INV03190"/>
    <n v="185"/>
    <n v="275.82459999999998"/>
    <n v="6"/>
    <d v="2024-03-25T00:00:00"/>
    <m/>
    <m/>
    <m/>
    <n v="275.82459999999998"/>
    <d v="2023-03-21T00:00:00"/>
    <n v="0"/>
    <n v="0"/>
    <n v="0"/>
    <n v="0"/>
    <n v="0"/>
    <n v="1"/>
    <n v="0"/>
    <x v="1"/>
    <n v="51027.550999999992"/>
    <n v="51027.550999999992"/>
    <n v="0"/>
    <n v="2"/>
    <x v="1"/>
    <x v="23"/>
  </r>
  <r>
    <s v="ORD03191"/>
    <d v="2023-10-27T00:00:00"/>
    <x v="26"/>
    <x v="256"/>
    <n v="45"/>
    <s v="INV03191"/>
    <n v="45"/>
    <n v="717.0471"/>
    <m/>
    <m/>
    <m/>
    <m/>
    <m/>
    <n v="717.0471"/>
    <d v="2023-02-27T00:00:00"/>
    <n v="0"/>
    <n v="0"/>
    <n v="0"/>
    <n v="0"/>
    <n v="0"/>
    <n v="0"/>
    <n v="0"/>
    <x v="0"/>
    <n v="32267.119500000001"/>
    <n v="32267.119500000001"/>
    <n v="0"/>
    <n v="0"/>
    <x v="0"/>
    <x v="19"/>
  </r>
  <r>
    <s v="ORD03192"/>
    <d v="2024-01-09T00:00:00"/>
    <x v="511"/>
    <x v="54"/>
    <n v="96"/>
    <s v="INV03192"/>
    <n v="96"/>
    <n v="465.21179999999998"/>
    <n v="15"/>
    <d v="2023-05-20T00:00:00"/>
    <m/>
    <m/>
    <m/>
    <n v="465.21179999999998"/>
    <d v="2023-07-30T00:00:00"/>
    <n v="0"/>
    <n v="0"/>
    <n v="0"/>
    <n v="0"/>
    <n v="0"/>
    <n v="0"/>
    <n v="0"/>
    <x v="0"/>
    <n v="44660.332799999996"/>
    <n v="44660.332799999996"/>
    <n v="0"/>
    <n v="0"/>
    <x v="0"/>
    <x v="15"/>
  </r>
  <r>
    <s v="ORD03193"/>
    <d v="2024-08-16T00:00:00"/>
    <x v="618"/>
    <x v="226"/>
    <n v="166"/>
    <s v="INV03193"/>
    <n v="172"/>
    <n v="1067.6925000000001"/>
    <m/>
    <m/>
    <m/>
    <m/>
    <m/>
    <n v="1067.6925000000001"/>
    <d v="2023-03-14T00:00:00"/>
    <n v="0"/>
    <n v="1"/>
    <n v="0"/>
    <n v="0"/>
    <n v="0"/>
    <n v="0"/>
    <n v="0"/>
    <x v="1"/>
    <n v="183643.11000000002"/>
    <n v="177236.95500000002"/>
    <n v="6406.1549999999988"/>
    <n v="8"/>
    <x v="2"/>
    <x v="22"/>
  </r>
  <r>
    <s v="ORD03194"/>
    <d v="2023-07-03T00:00:00"/>
    <x v="556"/>
    <x v="114"/>
    <n v="27"/>
    <s v="INV03194"/>
    <n v="27"/>
    <n v="945.38850000000002"/>
    <n v="13"/>
    <d v="2023-09-16T00:00:00"/>
    <m/>
    <m/>
    <m/>
    <n v="945.38850000000002"/>
    <d v="2023-05-01T00:00:00"/>
    <n v="0"/>
    <n v="0"/>
    <n v="0"/>
    <n v="0"/>
    <n v="0"/>
    <n v="1"/>
    <n v="0"/>
    <x v="1"/>
    <n v="25525.4895"/>
    <n v="25525.4895"/>
    <n v="0"/>
    <n v="2"/>
    <x v="1"/>
    <x v="10"/>
  </r>
  <r>
    <s v="ORD03195"/>
    <d v="2023-09-15T00:00:00"/>
    <x v="163"/>
    <x v="80"/>
    <n v="26"/>
    <s v="INV03195"/>
    <n v="26"/>
    <n v="1014.5718000000001"/>
    <m/>
    <m/>
    <m/>
    <m/>
    <m/>
    <n v="1014.5718000000001"/>
    <d v="2023-04-19T00:00:00"/>
    <n v="0"/>
    <n v="0"/>
    <n v="0"/>
    <n v="0"/>
    <n v="0"/>
    <n v="0"/>
    <n v="0"/>
    <x v="0"/>
    <n v="26378.8668"/>
    <n v="26378.8668"/>
    <n v="0"/>
    <n v="0"/>
    <x v="0"/>
    <x v="18"/>
  </r>
  <r>
    <s v="ORD03196"/>
    <d v="2024-09-11T00:00:00"/>
    <x v="321"/>
    <x v="199"/>
    <n v="41"/>
    <s v="INV03196"/>
    <n v="41"/>
    <n v="334.24649999999997"/>
    <m/>
    <m/>
    <m/>
    <m/>
    <m/>
    <n v="334.24649999999997"/>
    <d v="2023-07-18T00:00:00"/>
    <n v="0"/>
    <n v="0"/>
    <n v="0"/>
    <n v="0"/>
    <n v="0"/>
    <n v="0"/>
    <n v="0"/>
    <x v="0"/>
    <n v="13704.106499999998"/>
    <n v="13704.106499999998"/>
    <n v="0"/>
    <n v="0"/>
    <x v="0"/>
    <x v="2"/>
  </r>
  <r>
    <s v="ORD03197"/>
    <d v="2023-08-22T00:00:00"/>
    <x v="355"/>
    <x v="85"/>
    <n v="119"/>
    <s v="INV03197"/>
    <n v="119"/>
    <n v="1086.3648000000001"/>
    <m/>
    <m/>
    <m/>
    <m/>
    <m/>
    <n v="1086.3648000000001"/>
    <d v="2023-01-14T00:00:00"/>
    <n v="0"/>
    <n v="0"/>
    <n v="0"/>
    <n v="0"/>
    <n v="0"/>
    <n v="0"/>
    <n v="0"/>
    <x v="0"/>
    <n v="129277.4112"/>
    <n v="129277.4112"/>
    <n v="0"/>
    <n v="0"/>
    <x v="0"/>
    <x v="12"/>
  </r>
  <r>
    <s v="ORD03198"/>
    <d v="2024-05-23T00:00:00"/>
    <x v="45"/>
    <x v="186"/>
    <n v="36"/>
    <s v="INV03198"/>
    <n v="36"/>
    <n v="589.66600000000005"/>
    <n v="4"/>
    <d v="2024-12-27T00:00:00"/>
    <m/>
    <m/>
    <m/>
    <n v="589.66600000000005"/>
    <d v="2023-10-19T00:00:00"/>
    <n v="0"/>
    <n v="0"/>
    <n v="0"/>
    <n v="0"/>
    <n v="0"/>
    <n v="1"/>
    <n v="0"/>
    <x v="1"/>
    <n v="21227.976000000002"/>
    <n v="21227.976000000002"/>
    <n v="0"/>
    <n v="2"/>
    <x v="1"/>
    <x v="13"/>
  </r>
  <r>
    <s v="ORD03199"/>
    <d v="2024-10-29T00:00:00"/>
    <x v="308"/>
    <x v="23"/>
    <n v="162"/>
    <s v="INV03199"/>
    <n v="162"/>
    <n v="77.398200000000003"/>
    <m/>
    <m/>
    <m/>
    <m/>
    <m/>
    <n v="77.398200000000003"/>
    <d v="2023-04-16T00:00:00"/>
    <n v="0"/>
    <n v="0"/>
    <n v="0"/>
    <n v="0"/>
    <n v="0"/>
    <n v="0"/>
    <n v="0"/>
    <x v="0"/>
    <n v="12538.508400000001"/>
    <n v="12538.508400000001"/>
    <n v="0"/>
    <n v="0"/>
    <x v="0"/>
    <x v="5"/>
  </r>
  <r>
    <s v="ORD03200"/>
    <d v="2024-12-01T00:00:00"/>
    <x v="286"/>
    <x v="157"/>
    <n v="76"/>
    <s v="INV03200"/>
    <n v="76"/>
    <n v="1158.2643"/>
    <m/>
    <m/>
    <m/>
    <m/>
    <m/>
    <n v="1158.2643"/>
    <d v="2023-07-12T00:00:00"/>
    <n v="0"/>
    <n v="0"/>
    <n v="0"/>
    <n v="0"/>
    <n v="0"/>
    <n v="0"/>
    <n v="0"/>
    <x v="0"/>
    <n v="88028.086800000005"/>
    <n v="88028.086800000005"/>
    <n v="0"/>
    <n v="0"/>
    <x v="0"/>
    <x v="1"/>
  </r>
  <r>
    <s v="ORD03201"/>
    <d v="2023-04-02T00:00:00"/>
    <x v="565"/>
    <x v="272"/>
    <n v="49"/>
    <s v="INV03201"/>
    <n v="49"/>
    <n v="852.46560000000011"/>
    <m/>
    <m/>
    <m/>
    <m/>
    <m/>
    <n v="852.46560000000011"/>
    <d v="2023-03-11T00:00:00"/>
    <n v="0"/>
    <n v="0"/>
    <n v="0"/>
    <n v="0"/>
    <n v="0"/>
    <n v="0"/>
    <n v="0"/>
    <x v="0"/>
    <n v="41770.814400000003"/>
    <n v="41770.814400000003"/>
    <n v="0"/>
    <n v="0"/>
    <x v="0"/>
    <x v="23"/>
  </r>
  <r>
    <s v="ORD03202"/>
    <d v="2023-07-12T00:00:00"/>
    <x v="202"/>
    <x v="54"/>
    <n v="92"/>
    <s v="INV03202"/>
    <n v="92"/>
    <n v="456.09"/>
    <m/>
    <m/>
    <m/>
    <m/>
    <m/>
    <n v="456.09"/>
    <d v="2023-05-01T00:00:00"/>
    <n v="0"/>
    <n v="0"/>
    <n v="0"/>
    <n v="0"/>
    <n v="0"/>
    <n v="0"/>
    <n v="0"/>
    <x v="0"/>
    <n v="41960.28"/>
    <n v="41960.28"/>
    <n v="0"/>
    <n v="0"/>
    <x v="0"/>
    <x v="10"/>
  </r>
  <r>
    <s v="ORD03203"/>
    <d v="2024-04-30T00:00:00"/>
    <x v="173"/>
    <x v="35"/>
    <n v="87"/>
    <s v="INV03203"/>
    <n v="87"/>
    <n v="1120.6556"/>
    <n v="17"/>
    <d v="2024-01-15T00:00:00"/>
    <m/>
    <m/>
    <m/>
    <n v="1120.6556"/>
    <d v="2023-04-10T00:00:00"/>
    <n v="0"/>
    <n v="0"/>
    <n v="0"/>
    <n v="0"/>
    <n v="0"/>
    <n v="0"/>
    <n v="0"/>
    <x v="0"/>
    <n v="97497.037200000006"/>
    <n v="97497.037200000006"/>
    <n v="0"/>
    <n v="0"/>
    <x v="0"/>
    <x v="9"/>
  </r>
  <r>
    <s v="ORD03204"/>
    <d v="2023-10-17T00:00:00"/>
    <x v="153"/>
    <x v="250"/>
    <n v="92"/>
    <s v="INV03204"/>
    <n v="92"/>
    <n v="92.962000000000003"/>
    <m/>
    <m/>
    <m/>
    <m/>
    <m/>
    <n v="92.962000000000003"/>
    <d v="2023-08-13T00:00:00"/>
    <n v="0"/>
    <n v="0"/>
    <n v="0"/>
    <n v="0"/>
    <n v="0"/>
    <n v="0"/>
    <n v="0"/>
    <x v="0"/>
    <n v="8552.5040000000008"/>
    <n v="8552.5040000000008"/>
    <n v="0"/>
    <n v="0"/>
    <x v="0"/>
    <x v="19"/>
  </r>
  <r>
    <s v="ORD03205"/>
    <d v="2024-10-10T00:00:00"/>
    <x v="590"/>
    <x v="162"/>
    <n v="37"/>
    <s v="INV03205"/>
    <n v="37"/>
    <n v="571.32999999999993"/>
    <m/>
    <m/>
    <m/>
    <m/>
    <m/>
    <n v="571.32999999999993"/>
    <d v="2023-10-07T00:00:00"/>
    <n v="0"/>
    <n v="0"/>
    <n v="0"/>
    <n v="0"/>
    <n v="0"/>
    <n v="0"/>
    <n v="0"/>
    <x v="0"/>
    <n v="21139.21"/>
    <n v="21139.21"/>
    <n v="0"/>
    <n v="0"/>
    <x v="0"/>
    <x v="5"/>
  </r>
  <r>
    <s v="ORD03206"/>
    <d v="2024-10-28T00:00:00"/>
    <x v="266"/>
    <x v="183"/>
    <n v="104"/>
    <s v="INV03206"/>
    <n v="104"/>
    <n v="624.37260000000003"/>
    <m/>
    <m/>
    <m/>
    <m/>
    <m/>
    <n v="624.37260000000003"/>
    <d v="2023-01-06T00:00:00"/>
    <n v="0"/>
    <n v="0"/>
    <n v="0"/>
    <n v="0"/>
    <n v="0"/>
    <n v="0"/>
    <n v="0"/>
    <x v="0"/>
    <n v="64934.750400000004"/>
    <n v="64934.750400000004"/>
    <n v="0"/>
    <n v="0"/>
    <x v="0"/>
    <x v="5"/>
  </r>
  <r>
    <s v="ORD03207"/>
    <d v="2023-02-01T00:00:00"/>
    <x v="723"/>
    <x v="174"/>
    <n v="92"/>
    <s v="INV03207"/>
    <n v="92"/>
    <n v="575.53650000000005"/>
    <m/>
    <m/>
    <m/>
    <m/>
    <m/>
    <n v="575.53650000000005"/>
    <d v="2022-08-27T00:00:00"/>
    <n v="0"/>
    <n v="0"/>
    <n v="0"/>
    <n v="0"/>
    <n v="0"/>
    <n v="0"/>
    <n v="0"/>
    <x v="0"/>
    <n v="52949.358000000007"/>
    <n v="52949.358000000007"/>
    <n v="0"/>
    <n v="0"/>
    <x v="0"/>
    <x v="11"/>
  </r>
  <r>
    <s v="ORD03208"/>
    <d v="2023-05-01T00:00:00"/>
    <x v="739"/>
    <x v="171"/>
    <n v="21"/>
    <s v="INV03208"/>
    <n v="21"/>
    <n v="121.13"/>
    <m/>
    <m/>
    <m/>
    <m/>
    <m/>
    <n v="121.13"/>
    <d v="2023-01-31T00:00:00"/>
    <n v="0"/>
    <n v="0"/>
    <n v="0"/>
    <n v="0"/>
    <n v="0"/>
    <n v="0"/>
    <n v="0"/>
    <x v="0"/>
    <n v="2543.73"/>
    <n v="2543.73"/>
    <n v="0"/>
    <n v="0"/>
    <x v="0"/>
    <x v="7"/>
  </r>
  <r>
    <s v="ORD03209"/>
    <d v="2024-02-24T00:00:00"/>
    <x v="516"/>
    <x v="89"/>
    <n v="81"/>
    <s v="INV03209"/>
    <n v="81"/>
    <n v="826.46400000000006"/>
    <m/>
    <m/>
    <m/>
    <m/>
    <m/>
    <n v="826.46400000000006"/>
    <d v="2023-07-21T00:00:00"/>
    <n v="0"/>
    <n v="0"/>
    <n v="0"/>
    <n v="0"/>
    <n v="0"/>
    <n v="0"/>
    <n v="0"/>
    <x v="0"/>
    <n v="66943.584000000003"/>
    <n v="66943.584000000003"/>
    <n v="0"/>
    <n v="0"/>
    <x v="0"/>
    <x v="3"/>
  </r>
  <r>
    <s v="ORD03210"/>
    <d v="2023-03-21T00:00:00"/>
    <x v="620"/>
    <x v="280"/>
    <n v="70"/>
    <s v="INV03210"/>
    <n v="70"/>
    <n v="511.96"/>
    <m/>
    <m/>
    <m/>
    <m/>
    <m/>
    <n v="511.96"/>
    <d v="2022-02-11T00:00:00"/>
    <n v="0"/>
    <n v="0"/>
    <n v="0"/>
    <n v="0"/>
    <n v="0"/>
    <n v="0"/>
    <n v="0"/>
    <x v="0"/>
    <n v="35837.199999999997"/>
    <n v="35837.199999999997"/>
    <n v="0"/>
    <n v="0"/>
    <x v="0"/>
    <x v="17"/>
  </r>
  <r>
    <s v="ORD03211"/>
    <d v="2023-06-28T00:00:00"/>
    <x v="179"/>
    <x v="198"/>
    <n v="154"/>
    <s v="INV03211"/>
    <n v="154"/>
    <n v="906.88919999999996"/>
    <m/>
    <m/>
    <m/>
    <m/>
    <m/>
    <n v="906.88919999999996"/>
    <d v="2023-03-06T00:00:00"/>
    <n v="0"/>
    <n v="0"/>
    <n v="0"/>
    <n v="0"/>
    <n v="0"/>
    <n v="0"/>
    <n v="0"/>
    <x v="0"/>
    <n v="139660.9368"/>
    <n v="139660.9368"/>
    <n v="0"/>
    <n v="0"/>
    <x v="0"/>
    <x v="14"/>
  </r>
  <r>
    <s v="ORD03212"/>
    <d v="2024-04-30T00:00:00"/>
    <x v="625"/>
    <x v="133"/>
    <n v="161"/>
    <s v="INV03212"/>
    <n v="161"/>
    <n v="1220.5917999999999"/>
    <m/>
    <m/>
    <m/>
    <m/>
    <m/>
    <n v="1220.5917999999999"/>
    <d v="2023-08-15T00:00:00"/>
    <n v="0"/>
    <n v="0"/>
    <n v="0"/>
    <n v="0"/>
    <n v="0"/>
    <n v="0"/>
    <n v="0"/>
    <x v="0"/>
    <n v="196515.27979999999"/>
    <n v="196515.27979999999"/>
    <n v="0"/>
    <n v="0"/>
    <x v="0"/>
    <x v="9"/>
  </r>
  <r>
    <s v="ORD03213"/>
    <d v="2023-11-08T00:00:00"/>
    <x v="563"/>
    <x v="290"/>
    <n v="156"/>
    <s v="INV03213"/>
    <n v="156"/>
    <n v="1159.732"/>
    <n v="18"/>
    <d v="2023-12-04T00:00:00"/>
    <m/>
    <m/>
    <m/>
    <n v="1159.732"/>
    <d v="2023-04-16T00:00:00"/>
    <n v="0"/>
    <n v="0"/>
    <n v="0"/>
    <n v="0"/>
    <n v="0"/>
    <n v="0"/>
    <n v="0"/>
    <x v="0"/>
    <n v="180918.19199999998"/>
    <n v="180918.19199999998"/>
    <n v="0"/>
    <n v="0"/>
    <x v="0"/>
    <x v="0"/>
  </r>
  <r>
    <s v="ORD03214"/>
    <d v="2024-09-22T00:00:00"/>
    <x v="724"/>
    <x v="159"/>
    <n v="193"/>
    <s v="INV03214"/>
    <n v="193"/>
    <n v="159.06059999999999"/>
    <m/>
    <m/>
    <m/>
    <m/>
    <m/>
    <n v="159.06059999999999"/>
    <d v="2023-01-18T00:00:00"/>
    <n v="0"/>
    <n v="0"/>
    <n v="0"/>
    <n v="0"/>
    <n v="0"/>
    <n v="0"/>
    <n v="0"/>
    <x v="0"/>
    <n v="30698.695799999998"/>
    <n v="30698.695799999998"/>
    <n v="0"/>
    <n v="0"/>
    <x v="0"/>
    <x v="2"/>
  </r>
  <r>
    <s v="ORD03215"/>
    <d v="2024-03-24T00:00:00"/>
    <x v="70"/>
    <x v="57"/>
    <n v="6"/>
    <s v="INV03215"/>
    <n v="6"/>
    <n v="517.39100000000008"/>
    <m/>
    <m/>
    <m/>
    <m/>
    <m/>
    <n v="517.39100000000008"/>
    <d v="2023-04-29T00:00:00"/>
    <n v="0"/>
    <n v="0"/>
    <n v="0"/>
    <n v="0"/>
    <n v="0"/>
    <n v="0"/>
    <n v="0"/>
    <x v="0"/>
    <n v="3104.3460000000005"/>
    <n v="3104.3460000000005"/>
    <n v="0"/>
    <n v="0"/>
    <x v="0"/>
    <x v="6"/>
  </r>
  <r>
    <s v="ORD03216"/>
    <d v="2024-04-07T00:00:00"/>
    <x v="224"/>
    <x v="159"/>
    <n v="74"/>
    <s v="INV03216"/>
    <n v="74"/>
    <n v="159.06059999999999"/>
    <m/>
    <m/>
    <m/>
    <m/>
    <m/>
    <n v="159.06059999999999"/>
    <d v="2023-01-18T00:00:00"/>
    <n v="0"/>
    <n v="0"/>
    <n v="0"/>
    <n v="0"/>
    <n v="0"/>
    <n v="0"/>
    <n v="0"/>
    <x v="0"/>
    <n v="11770.484399999999"/>
    <n v="11770.484399999999"/>
    <n v="0"/>
    <n v="0"/>
    <x v="0"/>
    <x v="9"/>
  </r>
  <r>
    <s v="ORD03217"/>
    <d v="2024-01-26T00:00:00"/>
    <x v="108"/>
    <x v="277"/>
    <n v="131"/>
    <s v="INV03217"/>
    <n v="131"/>
    <n v="544.5"/>
    <m/>
    <m/>
    <m/>
    <m/>
    <m/>
    <n v="544.5"/>
    <d v="2023-08-21T00:00:00"/>
    <n v="0"/>
    <n v="0"/>
    <n v="0"/>
    <n v="0"/>
    <n v="0"/>
    <n v="0"/>
    <n v="0"/>
    <x v="0"/>
    <n v="71329.5"/>
    <n v="71329.5"/>
    <n v="0"/>
    <n v="0"/>
    <x v="0"/>
    <x v="15"/>
  </r>
  <r>
    <s v="ORD03218"/>
    <d v="2024-08-08T00:00:00"/>
    <x v="480"/>
    <x v="200"/>
    <n v="103"/>
    <s v="INV03218"/>
    <n v="103"/>
    <n v="69.45"/>
    <m/>
    <m/>
    <m/>
    <m/>
    <m/>
    <n v="69.45"/>
    <d v="2023-08-31T00:00:00"/>
    <n v="0"/>
    <n v="0"/>
    <n v="0"/>
    <n v="0"/>
    <n v="0"/>
    <n v="0"/>
    <n v="0"/>
    <x v="0"/>
    <n v="7153.35"/>
    <n v="7153.35"/>
    <n v="0"/>
    <n v="0"/>
    <x v="0"/>
    <x v="22"/>
  </r>
  <r>
    <s v="ORD03219"/>
    <d v="2024-04-27T00:00:00"/>
    <x v="36"/>
    <x v="226"/>
    <n v="113"/>
    <s v="INV03219"/>
    <n v="113"/>
    <n v="1067.6925000000001"/>
    <m/>
    <m/>
    <m/>
    <m/>
    <m/>
    <n v="1067.6925000000001"/>
    <d v="2023-03-14T00:00:00"/>
    <n v="0"/>
    <n v="0"/>
    <n v="0"/>
    <n v="0"/>
    <n v="0"/>
    <n v="0"/>
    <n v="0"/>
    <x v="0"/>
    <n v="120649.25250000002"/>
    <n v="120649.25250000002"/>
    <n v="0"/>
    <n v="0"/>
    <x v="0"/>
    <x v="9"/>
  </r>
  <r>
    <s v="ORD03220"/>
    <d v="2024-12-16T00:00:00"/>
    <x v="70"/>
    <x v="94"/>
    <n v="53"/>
    <s v="INV03220"/>
    <n v="53"/>
    <n v="765.52319999999997"/>
    <m/>
    <m/>
    <m/>
    <m/>
    <m/>
    <n v="765.52319999999997"/>
    <d v="2023-09-05T00:00:00"/>
    <n v="0"/>
    <n v="0"/>
    <n v="0"/>
    <n v="0"/>
    <n v="0"/>
    <n v="0"/>
    <n v="0"/>
    <x v="0"/>
    <n v="40572.729599999999"/>
    <n v="40572.729599999999"/>
    <n v="0"/>
    <n v="0"/>
    <x v="0"/>
    <x v="1"/>
  </r>
  <r>
    <s v="ORD03221"/>
    <d v="2024-07-05T00:00:00"/>
    <x v="692"/>
    <x v="194"/>
    <n v="168"/>
    <s v="INV03221"/>
    <n v="168"/>
    <n v="415.8877"/>
    <m/>
    <m/>
    <m/>
    <m/>
    <m/>
    <n v="415.8877"/>
    <d v="2023-08-08T00:00:00"/>
    <n v="0"/>
    <n v="0"/>
    <n v="0"/>
    <n v="0"/>
    <n v="0"/>
    <n v="0"/>
    <n v="0"/>
    <x v="0"/>
    <n v="69869.133600000001"/>
    <n v="69869.133600000001"/>
    <n v="0"/>
    <n v="0"/>
    <x v="0"/>
    <x v="21"/>
  </r>
  <r>
    <s v="ORD03222"/>
    <d v="2024-07-05T00:00:00"/>
    <x v="683"/>
    <x v="171"/>
    <n v="165"/>
    <s v="INV03222"/>
    <n v="165"/>
    <n v="115.0735"/>
    <m/>
    <m/>
    <m/>
    <m/>
    <m/>
    <n v="115.0735"/>
    <d v="2023-10-28T00:00:00"/>
    <n v="0"/>
    <n v="0"/>
    <n v="0"/>
    <n v="0"/>
    <n v="0"/>
    <n v="0"/>
    <n v="0"/>
    <x v="0"/>
    <n v="18987.127499999999"/>
    <n v="18987.127499999999"/>
    <n v="0"/>
    <n v="0"/>
    <x v="0"/>
    <x v="21"/>
  </r>
  <r>
    <s v="ORD03223"/>
    <d v="2024-08-13T00:00:00"/>
    <x v="501"/>
    <x v="255"/>
    <n v="123"/>
    <s v="INV03223"/>
    <n v="123"/>
    <n v="1178.6880000000001"/>
    <m/>
    <m/>
    <m/>
    <m/>
    <m/>
    <n v="1178.6880000000001"/>
    <d v="2023-01-04T00:00:00"/>
    <n v="0"/>
    <n v="0"/>
    <n v="0"/>
    <n v="0"/>
    <n v="0"/>
    <n v="0"/>
    <n v="0"/>
    <x v="0"/>
    <n v="144978.62400000001"/>
    <n v="144978.62400000001"/>
    <n v="0"/>
    <n v="0"/>
    <x v="0"/>
    <x v="22"/>
  </r>
  <r>
    <s v="ORD03224"/>
    <d v="2023-08-21T00:00:00"/>
    <x v="773"/>
    <x v="108"/>
    <n v="3"/>
    <s v="INV03224"/>
    <n v="3"/>
    <n v="1072.5387000000001"/>
    <m/>
    <m/>
    <m/>
    <m/>
    <m/>
    <n v="1072.5387000000001"/>
    <d v="2023-04-07T00:00:00"/>
    <n v="0"/>
    <n v="0"/>
    <n v="0"/>
    <n v="0"/>
    <n v="0"/>
    <n v="0"/>
    <n v="0"/>
    <x v="0"/>
    <n v="3217.6161000000002"/>
    <n v="3217.6161000000002"/>
    <n v="0"/>
    <n v="0"/>
    <x v="0"/>
    <x v="12"/>
  </r>
  <r>
    <s v="ORD03225"/>
    <d v="2024-11-23T00:00:00"/>
    <x v="693"/>
    <x v="260"/>
    <n v="123"/>
    <s v="INV03225"/>
    <n v="123"/>
    <n v="990.72749999999996"/>
    <m/>
    <m/>
    <m/>
    <m/>
    <m/>
    <n v="990.72749999999996"/>
    <d v="2023-05-22T00:00:00"/>
    <n v="0"/>
    <n v="0"/>
    <n v="0"/>
    <n v="0"/>
    <n v="0"/>
    <n v="0"/>
    <n v="0"/>
    <x v="0"/>
    <n v="121859.4825"/>
    <n v="121859.4825"/>
    <n v="0"/>
    <n v="0"/>
    <x v="0"/>
    <x v="4"/>
  </r>
  <r>
    <s v="ORD03226"/>
    <d v="2024-11-03T00:00:00"/>
    <x v="677"/>
    <x v="247"/>
    <n v="166"/>
    <s v="INV03226"/>
    <n v="166"/>
    <n v="648.86940000000004"/>
    <m/>
    <m/>
    <m/>
    <m/>
    <m/>
    <n v="648.86940000000004"/>
    <d v="2023-05-18T00:00:00"/>
    <n v="0"/>
    <n v="0"/>
    <n v="0"/>
    <n v="0"/>
    <n v="0"/>
    <n v="0"/>
    <n v="0"/>
    <x v="0"/>
    <n v="107712.32040000001"/>
    <n v="107712.32040000001"/>
    <n v="0"/>
    <n v="0"/>
    <x v="0"/>
    <x v="4"/>
  </r>
  <r>
    <s v="ORD03227"/>
    <d v="2023-04-29T00:00:00"/>
    <x v="761"/>
    <x v="279"/>
    <n v="144"/>
    <s v="INV03227"/>
    <n v="144"/>
    <n v="461.00940000000003"/>
    <m/>
    <m/>
    <m/>
    <m/>
    <m/>
    <n v="461.00940000000003"/>
    <d v="2023-04-20T00:00:00"/>
    <n v="0"/>
    <n v="0"/>
    <n v="0"/>
    <n v="0"/>
    <n v="0"/>
    <n v="0"/>
    <n v="0"/>
    <x v="0"/>
    <n v="66385.353600000002"/>
    <n v="66385.353600000002"/>
    <n v="0"/>
    <n v="0"/>
    <x v="0"/>
    <x v="23"/>
  </r>
  <r>
    <s v="ORD03228"/>
    <d v="2024-03-18T00:00:00"/>
    <x v="356"/>
    <x v="231"/>
    <n v="154"/>
    <s v="INV03228"/>
    <n v="154"/>
    <n v="850.16200000000003"/>
    <m/>
    <m/>
    <m/>
    <m/>
    <m/>
    <n v="850.16200000000003"/>
    <d v="2023-06-22T00:00:00"/>
    <n v="0"/>
    <n v="0"/>
    <n v="0"/>
    <n v="0"/>
    <n v="0"/>
    <n v="0"/>
    <n v="0"/>
    <x v="0"/>
    <n v="130924.948"/>
    <n v="130924.948"/>
    <n v="0"/>
    <n v="0"/>
    <x v="0"/>
    <x v="6"/>
  </r>
  <r>
    <s v="ORD03229"/>
    <d v="2024-10-15T00:00:00"/>
    <x v="1"/>
    <x v="234"/>
    <n v="55"/>
    <s v="INV03229"/>
    <n v="55"/>
    <n v="1226.9154000000001"/>
    <m/>
    <m/>
    <m/>
    <m/>
    <m/>
    <n v="1226.9154000000001"/>
    <d v="2023-04-16T00:00:00"/>
    <n v="0"/>
    <n v="0"/>
    <n v="0"/>
    <n v="0"/>
    <n v="0"/>
    <n v="0"/>
    <n v="0"/>
    <x v="0"/>
    <n v="67480.347000000009"/>
    <n v="67480.347000000009"/>
    <n v="0"/>
    <n v="0"/>
    <x v="0"/>
    <x v="5"/>
  </r>
  <r>
    <s v="ORD03230"/>
    <d v="2023-03-11T00:00:00"/>
    <x v="788"/>
    <x v="264"/>
    <n v="129"/>
    <s v="INV03230"/>
    <n v="129"/>
    <n v="228.45"/>
    <m/>
    <m/>
    <m/>
    <m/>
    <m/>
    <n v="228.45"/>
    <d v="2023-02-11T00:00:00"/>
    <n v="0"/>
    <n v="0"/>
    <n v="0"/>
    <n v="0"/>
    <n v="0"/>
    <n v="0"/>
    <n v="0"/>
    <x v="0"/>
    <n v="29470.05"/>
    <n v="29470.05"/>
    <n v="0"/>
    <n v="0"/>
    <x v="0"/>
    <x v="17"/>
  </r>
  <r>
    <s v="ORD03231"/>
    <d v="2024-01-23T00:00:00"/>
    <x v="38"/>
    <x v="146"/>
    <n v="146"/>
    <s v="INV03231"/>
    <n v="146"/>
    <n v="428.46220000000005"/>
    <m/>
    <m/>
    <m/>
    <m/>
    <m/>
    <n v="428.46220000000005"/>
    <d v="2023-06-25T00:00:00"/>
    <n v="0"/>
    <n v="0"/>
    <n v="0"/>
    <n v="0"/>
    <n v="0"/>
    <n v="0"/>
    <n v="0"/>
    <x v="0"/>
    <n v="62555.481200000009"/>
    <n v="62555.481200000009"/>
    <n v="0"/>
    <n v="0"/>
    <x v="0"/>
    <x v="15"/>
  </r>
  <r>
    <s v="ORD03232"/>
    <d v="2023-12-17T00:00:00"/>
    <x v="189"/>
    <x v="118"/>
    <n v="38"/>
    <s v="INV03232"/>
    <n v="38"/>
    <n v="130.87360000000001"/>
    <m/>
    <m/>
    <m/>
    <m/>
    <m/>
    <n v="130.87360000000001"/>
    <d v="2023-05-28T00:00:00"/>
    <n v="0"/>
    <n v="0"/>
    <n v="0"/>
    <n v="0"/>
    <n v="0"/>
    <n v="0"/>
    <n v="0"/>
    <x v="0"/>
    <n v="4973.1968000000006"/>
    <n v="4973.1968000000006"/>
    <n v="0"/>
    <n v="0"/>
    <x v="0"/>
    <x v="20"/>
  </r>
  <r>
    <s v="ORD03233"/>
    <d v="2023-10-22T00:00:00"/>
    <x v="413"/>
    <x v="7"/>
    <n v="156"/>
    <s v="INV03233"/>
    <n v="156"/>
    <n v="510.91840000000002"/>
    <m/>
    <m/>
    <m/>
    <m/>
    <m/>
    <n v="510.91840000000002"/>
    <d v="2023-02-24T00:00:00"/>
    <n v="0"/>
    <n v="0"/>
    <n v="0"/>
    <n v="0"/>
    <n v="0"/>
    <n v="0"/>
    <n v="0"/>
    <x v="0"/>
    <n v="79703.270400000009"/>
    <n v="79703.270400000009"/>
    <n v="0"/>
    <n v="0"/>
    <x v="0"/>
    <x v="19"/>
  </r>
  <r>
    <s v="ORD03234"/>
    <d v="2024-03-08T00:00:00"/>
    <x v="283"/>
    <x v="195"/>
    <n v="27"/>
    <s v="INV03234"/>
    <n v="27"/>
    <n v="825.40440000000001"/>
    <m/>
    <m/>
    <m/>
    <m/>
    <m/>
    <n v="825.40440000000001"/>
    <d v="2023-06-28T00:00:00"/>
    <n v="0"/>
    <n v="0"/>
    <n v="0"/>
    <n v="0"/>
    <n v="0"/>
    <n v="0"/>
    <n v="0"/>
    <x v="0"/>
    <n v="22285.918799999999"/>
    <n v="22285.918799999999"/>
    <n v="0"/>
    <n v="0"/>
    <x v="0"/>
    <x v="6"/>
  </r>
  <r>
    <s v="ORD03235"/>
    <d v="2024-08-02T00:00:00"/>
    <x v="541"/>
    <x v="46"/>
    <n v="37"/>
    <s v="INV03235"/>
    <n v="37"/>
    <n v="509.36320000000001"/>
    <m/>
    <m/>
    <m/>
    <m/>
    <m/>
    <n v="509.36320000000001"/>
    <d v="2023-09-02T00:00:00"/>
    <n v="0"/>
    <n v="0"/>
    <n v="0"/>
    <n v="0"/>
    <n v="0"/>
    <n v="0"/>
    <n v="0"/>
    <x v="0"/>
    <n v="18846.438399999999"/>
    <n v="18846.438399999999"/>
    <n v="0"/>
    <n v="0"/>
    <x v="0"/>
    <x v="22"/>
  </r>
  <r>
    <s v="ORD03236"/>
    <d v="2024-06-04T00:00:00"/>
    <x v="320"/>
    <x v="10"/>
    <n v="86"/>
    <s v="INV03236"/>
    <n v="86"/>
    <n v="461.69279999999998"/>
    <m/>
    <m/>
    <m/>
    <m/>
    <m/>
    <n v="461.69279999999998"/>
    <d v="2023-04-15T00:00:00"/>
    <n v="0"/>
    <n v="0"/>
    <n v="0"/>
    <n v="0"/>
    <n v="0"/>
    <n v="0"/>
    <n v="0"/>
    <x v="0"/>
    <n v="39705.580799999996"/>
    <n v="39705.580799999996"/>
    <n v="0"/>
    <n v="0"/>
    <x v="0"/>
    <x v="16"/>
  </r>
  <r>
    <s v="ORD03237"/>
    <d v="2023-04-29T00:00:00"/>
    <x v="728"/>
    <x v="211"/>
    <n v="122"/>
    <s v="INV03237"/>
    <n v="122"/>
    <n v="649.86450000000002"/>
    <m/>
    <m/>
    <m/>
    <m/>
    <m/>
    <n v="649.86450000000002"/>
    <d v="2022-12-19T00:00:00"/>
    <n v="0"/>
    <n v="0"/>
    <n v="0"/>
    <n v="0"/>
    <n v="0"/>
    <n v="0"/>
    <n v="0"/>
    <x v="0"/>
    <n v="79283.468999999997"/>
    <n v="79283.468999999997"/>
    <n v="0"/>
    <n v="0"/>
    <x v="0"/>
    <x v="23"/>
  </r>
  <r>
    <s v="ORD03238"/>
    <d v="2024-05-26T00:00:00"/>
    <x v="728"/>
    <x v="173"/>
    <n v="77"/>
    <s v="INV03238"/>
    <n v="77"/>
    <n v="539.57150000000001"/>
    <n v="16"/>
    <d v="2023-04-22T00:00:00"/>
    <m/>
    <m/>
    <m/>
    <n v="539.57150000000001"/>
    <d v="2023-09-22T00:00:00"/>
    <n v="0"/>
    <n v="0"/>
    <n v="0"/>
    <n v="0"/>
    <n v="0"/>
    <n v="0"/>
    <n v="0"/>
    <x v="0"/>
    <n v="41547.005499999999"/>
    <n v="41547.005499999999"/>
    <n v="0"/>
    <n v="0"/>
    <x v="0"/>
    <x v="13"/>
  </r>
  <r>
    <s v="ORD03239"/>
    <d v="2023-01-11T00:00:00"/>
    <x v="338"/>
    <x v="4"/>
    <n v="26"/>
    <s v="INV03239"/>
    <n v="26"/>
    <n v="346.72860000000003"/>
    <n v="4"/>
    <d v="2023-02-19T00:00:00"/>
    <m/>
    <m/>
    <m/>
    <n v="346.72860000000003"/>
    <d v="2022-09-15T00:00:00"/>
    <n v="0"/>
    <n v="0"/>
    <n v="0"/>
    <n v="0"/>
    <n v="0"/>
    <n v="0"/>
    <n v="0"/>
    <x v="0"/>
    <n v="9014.9436000000005"/>
    <n v="9014.9436000000005"/>
    <n v="0"/>
    <n v="0"/>
    <x v="0"/>
    <x v="8"/>
  </r>
  <r>
    <s v="ORD03240"/>
    <d v="2024-02-20T00:00:00"/>
    <x v="251"/>
    <x v="297"/>
    <n v="138"/>
    <s v="INV03240"/>
    <n v="138"/>
    <n v="275.19450000000001"/>
    <m/>
    <m/>
    <m/>
    <m/>
    <m/>
    <n v="275.19450000000001"/>
    <d v="2023-10-19T00:00:00"/>
    <n v="0"/>
    <n v="0"/>
    <n v="0"/>
    <n v="0"/>
    <n v="0"/>
    <n v="0"/>
    <n v="0"/>
    <x v="0"/>
    <n v="37976.841"/>
    <n v="37976.841"/>
    <n v="0"/>
    <n v="0"/>
    <x v="0"/>
    <x v="3"/>
  </r>
  <r>
    <s v="ORD03241"/>
    <d v="2023-03-23T00:00:00"/>
    <x v="343"/>
    <x v="30"/>
    <n v="119"/>
    <s v="INV03241"/>
    <n v="119"/>
    <n v="364.40320000000003"/>
    <m/>
    <m/>
    <m/>
    <m/>
    <m/>
    <n v="364.40320000000003"/>
    <d v="2022-07-24T00:00:00"/>
    <n v="0"/>
    <n v="0"/>
    <n v="0"/>
    <n v="0"/>
    <n v="0"/>
    <n v="0"/>
    <n v="0"/>
    <x v="0"/>
    <n v="43363.980800000005"/>
    <n v="43363.980800000005"/>
    <n v="0"/>
    <n v="0"/>
    <x v="0"/>
    <x v="17"/>
  </r>
  <r>
    <s v="ORD03242"/>
    <d v="2024-02-27T00:00:00"/>
    <x v="503"/>
    <x v="19"/>
    <n v="134"/>
    <s v="INV03242"/>
    <n v="134"/>
    <n v="833.41650000000004"/>
    <m/>
    <m/>
    <m/>
    <m/>
    <m/>
    <n v="833.41650000000004"/>
    <d v="2023-09-25T00:00:00"/>
    <n v="0"/>
    <n v="0"/>
    <n v="0"/>
    <n v="0"/>
    <n v="0"/>
    <n v="0"/>
    <n v="0"/>
    <x v="0"/>
    <n v="111677.811"/>
    <n v="111677.811"/>
    <n v="0"/>
    <n v="0"/>
    <x v="0"/>
    <x v="3"/>
  </r>
  <r>
    <s v="ORD03243"/>
    <d v="2023-08-07T00:00:00"/>
    <x v="781"/>
    <x v="224"/>
    <n v="104"/>
    <s v="INV03243"/>
    <n v="104"/>
    <n v="377.08350000000002"/>
    <m/>
    <m/>
    <m/>
    <m/>
    <m/>
    <n v="377.08350000000002"/>
    <d v="2023-05-18T00:00:00"/>
    <n v="0"/>
    <n v="0"/>
    <n v="0"/>
    <n v="0"/>
    <n v="0"/>
    <n v="0"/>
    <n v="0"/>
    <x v="0"/>
    <n v="39216.684000000001"/>
    <n v="39216.684000000001"/>
    <n v="0"/>
    <n v="0"/>
    <x v="0"/>
    <x v="12"/>
  </r>
  <r>
    <s v="ORD03244"/>
    <d v="2023-05-17T00:00:00"/>
    <x v="705"/>
    <x v="286"/>
    <n v="117"/>
    <s v="INV03244"/>
    <n v="117"/>
    <n v="272.97059999999999"/>
    <m/>
    <m/>
    <m/>
    <m/>
    <m/>
    <n v="272.97059999999999"/>
    <d v="2022-11-18T00:00:00"/>
    <n v="0"/>
    <n v="0"/>
    <n v="0"/>
    <n v="0"/>
    <n v="0"/>
    <n v="0"/>
    <n v="0"/>
    <x v="0"/>
    <n v="31937.5602"/>
    <n v="31937.5602"/>
    <n v="0"/>
    <n v="0"/>
    <x v="0"/>
    <x v="7"/>
  </r>
  <r>
    <s v="ORD03245"/>
    <d v="2024-05-31T00:00:00"/>
    <x v="127"/>
    <x v="208"/>
    <n v="135"/>
    <s v="INV03245"/>
    <n v="135"/>
    <n v="107.1605"/>
    <m/>
    <m/>
    <m/>
    <m/>
    <m/>
    <n v="107.1605"/>
    <d v="2023-02-13T00:00:00"/>
    <n v="0"/>
    <n v="0"/>
    <n v="0"/>
    <n v="0"/>
    <n v="0"/>
    <n v="0"/>
    <n v="0"/>
    <x v="0"/>
    <n v="14466.6675"/>
    <n v="14466.6675"/>
    <n v="0"/>
    <n v="0"/>
    <x v="0"/>
    <x v="13"/>
  </r>
  <r>
    <s v="ORD03246"/>
    <d v="2023-04-17T00:00:00"/>
    <x v="516"/>
    <x v="207"/>
    <n v="51"/>
    <s v="INV03246"/>
    <n v="51"/>
    <n v="296.2912"/>
    <m/>
    <m/>
    <m/>
    <m/>
    <m/>
    <n v="296.2912"/>
    <d v="2022-12-26T00:00:00"/>
    <n v="0"/>
    <n v="0"/>
    <n v="0"/>
    <n v="0"/>
    <n v="0"/>
    <n v="0"/>
    <n v="0"/>
    <x v="0"/>
    <n v="15110.851200000001"/>
    <n v="15110.851200000001"/>
    <n v="0"/>
    <n v="0"/>
    <x v="0"/>
    <x v="23"/>
  </r>
  <r>
    <s v="ORD03247"/>
    <d v="2024-07-06T00:00:00"/>
    <x v="327"/>
    <x v="247"/>
    <n v="24"/>
    <s v="INV03247"/>
    <n v="24"/>
    <n v="648.86940000000004"/>
    <m/>
    <m/>
    <m/>
    <m/>
    <m/>
    <n v="648.86940000000004"/>
    <d v="2023-05-18T00:00:00"/>
    <n v="0"/>
    <n v="0"/>
    <n v="0"/>
    <n v="0"/>
    <n v="0"/>
    <n v="0"/>
    <n v="0"/>
    <x v="0"/>
    <n v="15572.865600000001"/>
    <n v="15572.865600000001"/>
    <n v="0"/>
    <n v="0"/>
    <x v="0"/>
    <x v="21"/>
  </r>
  <r>
    <s v="ORD03248"/>
    <d v="2023-03-25T00:00:00"/>
    <x v="234"/>
    <x v="234"/>
    <n v="77"/>
    <s v="INV03248"/>
    <n v="77"/>
    <n v="1191.18"/>
    <m/>
    <m/>
    <m/>
    <m/>
    <m/>
    <n v="1191.18"/>
    <d v="2022-12-17T00:00:00"/>
    <n v="0"/>
    <n v="0"/>
    <n v="0"/>
    <n v="0"/>
    <n v="0"/>
    <n v="0"/>
    <n v="0"/>
    <x v="0"/>
    <n v="91720.86"/>
    <n v="91720.86"/>
    <n v="0"/>
    <n v="0"/>
    <x v="0"/>
    <x v="17"/>
  </r>
  <r>
    <s v="ORD03249"/>
    <d v="2023-08-02T00:00:00"/>
    <x v="588"/>
    <x v="121"/>
    <n v="127"/>
    <s v="INV03249"/>
    <n v="127"/>
    <n v="1032.2340000000002"/>
    <m/>
    <m/>
    <m/>
    <m/>
    <m/>
    <n v="1032.2340000000002"/>
    <d v="2022-08-25T00:00:00"/>
    <n v="0"/>
    <n v="0"/>
    <n v="0"/>
    <n v="0"/>
    <n v="0"/>
    <n v="0"/>
    <n v="0"/>
    <x v="0"/>
    <n v="131093.71800000002"/>
    <n v="131093.71800000002"/>
    <n v="0"/>
    <n v="0"/>
    <x v="0"/>
    <x v="12"/>
  </r>
  <r>
    <s v="ORD03250"/>
    <d v="2023-11-01T00:00:00"/>
    <x v="404"/>
    <x v="28"/>
    <n v="30"/>
    <s v="INV03250"/>
    <n v="30"/>
    <n v="957.65700000000015"/>
    <m/>
    <m/>
    <m/>
    <m/>
    <m/>
    <n v="957.65700000000015"/>
    <d v="2023-05-11T00:00:00"/>
    <n v="0"/>
    <n v="0"/>
    <n v="0"/>
    <n v="0"/>
    <n v="0"/>
    <n v="0"/>
    <n v="0"/>
    <x v="0"/>
    <n v="28729.710000000006"/>
    <n v="28729.710000000006"/>
    <n v="0"/>
    <n v="0"/>
    <x v="0"/>
    <x v="0"/>
  </r>
  <r>
    <s v="ORD03251"/>
    <d v="2023-12-22T00:00:00"/>
    <x v="260"/>
    <x v="22"/>
    <n v="194"/>
    <s v="INV03251"/>
    <n v="194"/>
    <n v="626.68790000000001"/>
    <m/>
    <m/>
    <m/>
    <m/>
    <m/>
    <n v="626.68790000000001"/>
    <d v="2023-06-26T00:00:00"/>
    <n v="0"/>
    <n v="0"/>
    <n v="0"/>
    <n v="0"/>
    <n v="0"/>
    <n v="0"/>
    <n v="0"/>
    <x v="0"/>
    <n v="121577.4526"/>
    <n v="121577.4526"/>
    <n v="0"/>
    <n v="0"/>
    <x v="0"/>
    <x v="20"/>
  </r>
  <r>
    <s v="ORD03252"/>
    <d v="2024-04-29T00:00:00"/>
    <x v="72"/>
    <x v="247"/>
    <n v="58"/>
    <s v="INV03252"/>
    <n v="58"/>
    <n v="648.86940000000004"/>
    <m/>
    <m/>
    <m/>
    <m/>
    <m/>
    <n v="648.86940000000004"/>
    <d v="2023-05-18T00:00:00"/>
    <n v="0"/>
    <n v="0"/>
    <n v="0"/>
    <n v="0"/>
    <n v="0"/>
    <n v="0"/>
    <n v="0"/>
    <x v="0"/>
    <n v="37634.425200000005"/>
    <n v="37634.425200000005"/>
    <n v="0"/>
    <n v="0"/>
    <x v="0"/>
    <x v="9"/>
  </r>
  <r>
    <s v="ORD03253"/>
    <d v="2024-04-03T00:00:00"/>
    <x v="370"/>
    <x v="48"/>
    <n v="36"/>
    <s v="INV03253"/>
    <n v="46"/>
    <n v="1144.1684"/>
    <n v="11"/>
    <d v="2025-01-22T00:00:00"/>
    <m/>
    <m/>
    <m/>
    <n v="1144.1684"/>
    <d v="2023-01-29T00:00:00"/>
    <n v="0"/>
    <n v="1"/>
    <n v="0"/>
    <n v="0"/>
    <n v="0"/>
    <n v="1"/>
    <n v="0"/>
    <x v="1"/>
    <n v="52631.746400000004"/>
    <n v="41190.062400000003"/>
    <n v="11441.684000000001"/>
    <n v="10"/>
    <x v="2"/>
    <x v="9"/>
  </r>
  <r>
    <s v="ORD03254"/>
    <d v="2024-03-01T00:00:00"/>
    <x v="243"/>
    <x v="231"/>
    <n v="102"/>
    <s v="INV03254"/>
    <n v="102"/>
    <n v="850.83783702720893"/>
    <m/>
    <m/>
    <m/>
    <m/>
    <m/>
    <n v="850.16200000000003"/>
    <d v="2023-06-22T00:00:00"/>
    <n v="0"/>
    <n v="0"/>
    <n v="1"/>
    <n v="0"/>
    <n v="0"/>
    <n v="0"/>
    <n v="0"/>
    <x v="1"/>
    <n v="86785.45937677531"/>
    <n v="86716.524000000005"/>
    <n v="68.935376775305485"/>
    <n v="4"/>
    <x v="1"/>
    <x v="6"/>
  </r>
  <r>
    <s v="ORD03255"/>
    <d v="2023-01-07T00:00:00"/>
    <x v="252"/>
    <x v="47"/>
    <n v="109"/>
    <s v="INV03255"/>
    <n v="109"/>
    <n v="412.95450000000005"/>
    <m/>
    <m/>
    <m/>
    <m/>
    <m/>
    <n v="412.95450000000005"/>
    <d v="2022-08-12T00:00:00"/>
    <n v="0"/>
    <n v="0"/>
    <n v="0"/>
    <n v="0"/>
    <n v="0"/>
    <n v="0"/>
    <n v="0"/>
    <x v="0"/>
    <n v="45012.040500000003"/>
    <n v="45012.040500000003"/>
    <n v="0"/>
    <n v="0"/>
    <x v="0"/>
    <x v="8"/>
  </r>
  <r>
    <s v="ORD03256"/>
    <d v="2024-10-30T00:00:00"/>
    <x v="376"/>
    <x v="280"/>
    <n v="94"/>
    <s v="INV03256"/>
    <n v="94"/>
    <n v="511.96"/>
    <m/>
    <m/>
    <m/>
    <m/>
    <m/>
    <n v="511.96"/>
    <d v="2023-05-12T00:00:00"/>
    <n v="0"/>
    <n v="0"/>
    <n v="0"/>
    <n v="0"/>
    <n v="0"/>
    <n v="0"/>
    <n v="0"/>
    <x v="0"/>
    <n v="48124.24"/>
    <n v="48124.24"/>
    <n v="0"/>
    <n v="0"/>
    <x v="0"/>
    <x v="5"/>
  </r>
  <r>
    <s v="ORD03257"/>
    <d v="2023-11-25T00:00:00"/>
    <x v="639"/>
    <x v="180"/>
    <n v="123"/>
    <s v="INV03257"/>
    <n v="123"/>
    <n v="977.22280000000001"/>
    <m/>
    <m/>
    <m/>
    <m/>
    <m/>
    <n v="977.22280000000001"/>
    <d v="2023-02-27T00:00:00"/>
    <n v="0"/>
    <n v="0"/>
    <n v="0"/>
    <n v="0"/>
    <n v="0"/>
    <n v="0"/>
    <n v="0"/>
    <x v="0"/>
    <n v="120198.4044"/>
    <n v="120198.4044"/>
    <n v="0"/>
    <n v="0"/>
    <x v="0"/>
    <x v="0"/>
  </r>
  <r>
    <s v="ORD03258"/>
    <d v="2023-12-09T00:00:00"/>
    <x v="356"/>
    <x v="247"/>
    <n v="11"/>
    <s v="INV03258"/>
    <n v="11"/>
    <n v="648.86940000000004"/>
    <m/>
    <m/>
    <m/>
    <m/>
    <m/>
    <n v="648.86940000000004"/>
    <d v="2023-05-18T00:00:00"/>
    <n v="0"/>
    <n v="0"/>
    <n v="0"/>
    <n v="0"/>
    <n v="0"/>
    <n v="0"/>
    <n v="0"/>
    <x v="0"/>
    <n v="7137.5634000000009"/>
    <n v="7137.5634000000009"/>
    <n v="0"/>
    <n v="0"/>
    <x v="0"/>
    <x v="20"/>
  </r>
  <r>
    <s v="ORD03259"/>
    <d v="2023-10-19T00:00:00"/>
    <x v="539"/>
    <x v="9"/>
    <n v="14"/>
    <s v="INV03259"/>
    <n v="14"/>
    <n v="397.40159999999997"/>
    <n v="13"/>
    <d v="2024-07-16T00:00:00"/>
    <m/>
    <m/>
    <m/>
    <n v="397.40159999999997"/>
    <d v="2023-04-05T00:00:00"/>
    <n v="0"/>
    <n v="0"/>
    <n v="0"/>
    <n v="0"/>
    <n v="0"/>
    <n v="1"/>
    <n v="0"/>
    <x v="1"/>
    <n v="5563.6223999999993"/>
    <n v="5563.6223999999993"/>
    <n v="0"/>
    <n v="2"/>
    <x v="1"/>
    <x v="19"/>
  </r>
  <r>
    <s v="ORD03260"/>
    <d v="2023-11-29T00:00:00"/>
    <x v="344"/>
    <x v="233"/>
    <n v="200"/>
    <s v="INV03260"/>
    <n v="200"/>
    <n v="799.8357000000002"/>
    <m/>
    <m/>
    <m/>
    <m/>
    <m/>
    <n v="799.8357000000002"/>
    <d v="2023-05-17T00:00:00"/>
    <n v="0"/>
    <n v="0"/>
    <n v="0"/>
    <n v="0"/>
    <n v="0"/>
    <n v="0"/>
    <n v="0"/>
    <x v="0"/>
    <n v="159967.14000000004"/>
    <n v="159967.14000000004"/>
    <n v="0"/>
    <n v="0"/>
    <x v="0"/>
    <x v="0"/>
  </r>
  <r>
    <s v="ORD03261"/>
    <d v="2023-05-16T00:00:00"/>
    <x v="342"/>
    <x v="70"/>
    <n v="118"/>
    <s v="INV03261"/>
    <n v="118"/>
    <n v="72.858600000000024"/>
    <m/>
    <m/>
    <m/>
    <m/>
    <m/>
    <n v="72.858600000000024"/>
    <d v="2022-11-17T00:00:00"/>
    <n v="0"/>
    <n v="0"/>
    <n v="0"/>
    <n v="0"/>
    <n v="0"/>
    <n v="0"/>
    <n v="0"/>
    <x v="0"/>
    <n v="8597.3148000000037"/>
    <n v="8597.3148000000037"/>
    <n v="0"/>
    <n v="0"/>
    <x v="0"/>
    <x v="7"/>
  </r>
  <r>
    <s v="ORD03262"/>
    <d v="2024-09-27T00:00:00"/>
    <x v="71"/>
    <x v="115"/>
    <n v="29"/>
    <s v="INV03262"/>
    <n v="29"/>
    <n v="208.65799999999999"/>
    <m/>
    <m/>
    <m/>
    <m/>
    <m/>
    <n v="208.65799999999999"/>
    <d v="2023-02-14T00:00:00"/>
    <n v="0"/>
    <n v="0"/>
    <n v="0"/>
    <n v="0"/>
    <n v="0"/>
    <n v="0"/>
    <n v="0"/>
    <x v="0"/>
    <n v="6051.0819999999994"/>
    <n v="6051.0819999999994"/>
    <n v="0"/>
    <n v="0"/>
    <x v="0"/>
    <x v="2"/>
  </r>
  <r>
    <s v="ORD03263"/>
    <d v="2024-07-08T00:00:00"/>
    <x v="400"/>
    <x v="103"/>
    <n v="35"/>
    <s v="INV03263"/>
    <n v="35"/>
    <n v="697.85279999999989"/>
    <m/>
    <m/>
    <m/>
    <m/>
    <m/>
    <n v="697.85279999999989"/>
    <d v="2023-08-31T00:00:00"/>
    <n v="0"/>
    <n v="0"/>
    <n v="0"/>
    <n v="0"/>
    <n v="0"/>
    <n v="0"/>
    <n v="0"/>
    <x v="0"/>
    <n v="24424.847999999994"/>
    <n v="24424.847999999994"/>
    <n v="0"/>
    <n v="0"/>
    <x v="0"/>
    <x v="21"/>
  </r>
  <r>
    <s v="ORD03264"/>
    <d v="2024-10-16T00:00:00"/>
    <x v="661"/>
    <x v="190"/>
    <n v="104"/>
    <s v="INV03264"/>
    <n v="104"/>
    <n v="892.55520000000013"/>
    <m/>
    <m/>
    <m/>
    <m/>
    <m/>
    <n v="892.55520000000013"/>
    <d v="2023-02-28T00:00:00"/>
    <n v="0"/>
    <n v="0"/>
    <n v="0"/>
    <n v="0"/>
    <n v="0"/>
    <n v="0"/>
    <n v="0"/>
    <x v="0"/>
    <n v="92825.740800000014"/>
    <n v="92825.740800000014"/>
    <n v="0"/>
    <n v="0"/>
    <x v="0"/>
    <x v="5"/>
  </r>
  <r>
    <s v="ORD03265"/>
    <d v="2023-02-09T00:00:00"/>
    <x v="461"/>
    <x v="166"/>
    <n v="105"/>
    <s v="INV03265"/>
    <n v="105"/>
    <n v="151.82"/>
    <m/>
    <m/>
    <m/>
    <m/>
    <m/>
    <n v="151.82"/>
    <d v="2022-10-26T00:00:00"/>
    <n v="0"/>
    <n v="0"/>
    <n v="0"/>
    <n v="0"/>
    <n v="0"/>
    <n v="0"/>
    <n v="0"/>
    <x v="0"/>
    <n v="15941.099999999999"/>
    <n v="15941.099999999999"/>
    <n v="0"/>
    <n v="0"/>
    <x v="0"/>
    <x v="11"/>
  </r>
  <r>
    <s v="ORD03266"/>
    <d v="2024-10-16T00:00:00"/>
    <x v="61"/>
    <x v="236"/>
    <n v="171"/>
    <s v="INV03266"/>
    <n v="171"/>
    <n v="1182.1740000000002"/>
    <m/>
    <m/>
    <m/>
    <m/>
    <m/>
    <n v="1182.1740000000002"/>
    <d v="2023-07-23T00:00:00"/>
    <n v="0"/>
    <n v="0"/>
    <n v="0"/>
    <n v="0"/>
    <n v="0"/>
    <n v="0"/>
    <n v="0"/>
    <x v="0"/>
    <n v="202151.75400000004"/>
    <n v="202151.75400000004"/>
    <n v="0"/>
    <n v="0"/>
    <x v="0"/>
    <x v="5"/>
  </r>
  <r>
    <s v="ORD03267"/>
    <d v="2023-06-24T00:00:00"/>
    <x v="625"/>
    <x v="282"/>
    <n v="106"/>
    <s v="INV03267"/>
    <n v="106"/>
    <n v="428.59800000000007"/>
    <m/>
    <m/>
    <m/>
    <m/>
    <m/>
    <n v="428.59800000000007"/>
    <d v="2022-08-25T00:00:00"/>
    <n v="0"/>
    <n v="0"/>
    <n v="0"/>
    <n v="0"/>
    <n v="0"/>
    <n v="0"/>
    <n v="0"/>
    <x v="0"/>
    <n v="45431.388000000006"/>
    <n v="45431.388000000006"/>
    <n v="0"/>
    <n v="0"/>
    <x v="0"/>
    <x v="14"/>
  </r>
  <r>
    <s v="ORD03268"/>
    <d v="2024-07-23T00:00:00"/>
    <x v="787"/>
    <x v="156"/>
    <n v="102"/>
    <s v="INV03268"/>
    <n v="102"/>
    <n v="376.38049999999998"/>
    <m/>
    <m/>
    <m/>
    <m/>
    <m/>
    <n v="376.38049999999998"/>
    <d v="2023-02-27T00:00:00"/>
    <n v="0"/>
    <n v="0"/>
    <n v="0"/>
    <n v="0"/>
    <n v="0"/>
    <n v="0"/>
    <n v="0"/>
    <x v="0"/>
    <n v="38390.811000000002"/>
    <n v="38390.811000000002"/>
    <n v="0"/>
    <n v="0"/>
    <x v="0"/>
    <x v="21"/>
  </r>
  <r>
    <s v="ORD03269"/>
    <d v="2023-09-08T00:00:00"/>
    <x v="58"/>
    <x v="136"/>
    <n v="142"/>
    <s v="INV03269"/>
    <n v="142"/>
    <n v="216.2484"/>
    <m/>
    <m/>
    <m/>
    <m/>
    <m/>
    <n v="216.2484"/>
    <d v="2023-01-18T00:00:00"/>
    <n v="0"/>
    <n v="0"/>
    <n v="0"/>
    <n v="0"/>
    <n v="0"/>
    <n v="0"/>
    <n v="0"/>
    <x v="0"/>
    <n v="30707.272799999999"/>
    <n v="30707.272799999999"/>
    <n v="0"/>
    <n v="0"/>
    <x v="0"/>
    <x v="18"/>
  </r>
  <r>
    <s v="ORD03270"/>
    <d v="2023-02-15T00:00:00"/>
    <x v="581"/>
    <x v="196"/>
    <n v="98"/>
    <s v="INV03270"/>
    <n v="98"/>
    <n v="1099.82"/>
    <m/>
    <m/>
    <m/>
    <m/>
    <m/>
    <n v="1099.82"/>
    <d v="2023-02-05T00:00:00"/>
    <n v="0"/>
    <n v="0"/>
    <n v="0"/>
    <n v="0"/>
    <n v="0"/>
    <n v="0"/>
    <n v="0"/>
    <x v="0"/>
    <n v="107782.36"/>
    <n v="107782.36"/>
    <n v="0"/>
    <n v="0"/>
    <x v="0"/>
    <x v="11"/>
  </r>
  <r>
    <s v="ORD03271"/>
    <d v="2024-10-26T00:00:00"/>
    <x v="725"/>
    <x v="64"/>
    <n v="161"/>
    <s v="INV03271"/>
    <n v="161"/>
    <n v="1129.6166000000001"/>
    <m/>
    <m/>
    <m/>
    <m/>
    <m/>
    <n v="1129.6166000000001"/>
    <d v="2023-02-03T00:00:00"/>
    <n v="0"/>
    <n v="0"/>
    <n v="0"/>
    <n v="0"/>
    <n v="0"/>
    <n v="0"/>
    <n v="0"/>
    <x v="0"/>
    <n v="181868.2726"/>
    <n v="181868.2726"/>
    <n v="0"/>
    <n v="0"/>
    <x v="0"/>
    <x v="5"/>
  </r>
  <r>
    <s v="ORD03272"/>
    <d v="2024-10-27T00:00:00"/>
    <x v="704"/>
    <x v="156"/>
    <n v="69"/>
    <s v="INV03272"/>
    <n v="69"/>
    <n v="376.38049999999998"/>
    <m/>
    <m/>
    <m/>
    <m/>
    <m/>
    <n v="376.38049999999998"/>
    <d v="2023-02-27T00:00:00"/>
    <n v="0"/>
    <n v="0"/>
    <n v="0"/>
    <n v="0"/>
    <n v="0"/>
    <n v="0"/>
    <n v="0"/>
    <x v="0"/>
    <n v="25970.254499999999"/>
    <n v="25970.254499999999"/>
    <n v="0"/>
    <n v="0"/>
    <x v="0"/>
    <x v="5"/>
  </r>
  <r>
    <s v="ORD03273"/>
    <d v="2024-07-19T00:00:00"/>
    <x v="184"/>
    <x v="297"/>
    <n v="108"/>
    <s v="INV03273"/>
    <n v="108"/>
    <n v="275.19450000000001"/>
    <m/>
    <m/>
    <m/>
    <m/>
    <m/>
    <n v="275.19450000000001"/>
    <d v="2023-10-19T00:00:00"/>
    <n v="0"/>
    <n v="0"/>
    <n v="0"/>
    <n v="0"/>
    <n v="0"/>
    <n v="0"/>
    <n v="0"/>
    <x v="0"/>
    <n v="29721.006000000001"/>
    <n v="29721.006000000001"/>
    <n v="0"/>
    <n v="0"/>
    <x v="0"/>
    <x v="21"/>
  </r>
  <r>
    <s v="ORD03274"/>
    <d v="2023-01-24T00:00:00"/>
    <x v="387"/>
    <x v="102"/>
    <n v="27"/>
    <s v="INV03274"/>
    <n v="27"/>
    <n v="1158.7071999999998"/>
    <m/>
    <m/>
    <m/>
    <m/>
    <m/>
    <n v="1158.7071999999998"/>
    <d v="2022-11-22T00:00:00"/>
    <n v="0"/>
    <n v="0"/>
    <n v="0"/>
    <n v="0"/>
    <n v="0"/>
    <n v="0"/>
    <n v="0"/>
    <x v="0"/>
    <n v="31285.094399999994"/>
    <n v="31285.094399999994"/>
    <n v="0"/>
    <n v="0"/>
    <x v="0"/>
    <x v="8"/>
  </r>
  <r>
    <s v="ORD03275"/>
    <d v="2024-02-07T00:00:00"/>
    <x v="73"/>
    <x v="58"/>
    <n v="82"/>
    <s v="INV03275"/>
    <n v="82"/>
    <n v="601.32929999999999"/>
    <m/>
    <m/>
    <m/>
    <m/>
    <m/>
    <n v="601.32929999999999"/>
    <d v="2023-02-05T00:00:00"/>
    <n v="0"/>
    <n v="0"/>
    <n v="0"/>
    <n v="0"/>
    <n v="0"/>
    <n v="0"/>
    <n v="0"/>
    <x v="0"/>
    <n v="49309.0026"/>
    <n v="49309.0026"/>
    <n v="0"/>
    <n v="0"/>
    <x v="0"/>
    <x v="3"/>
  </r>
  <r>
    <s v="ORD03276"/>
    <d v="2024-03-30T00:00:00"/>
    <x v="378"/>
    <x v="140"/>
    <n v="70"/>
    <s v="INV03276"/>
    <n v="70"/>
    <n v="521.54959999999994"/>
    <m/>
    <m/>
    <m/>
    <m/>
    <m/>
    <n v="521.54959999999994"/>
    <d v="2023-03-09T00:00:00"/>
    <n v="0"/>
    <n v="0"/>
    <n v="0"/>
    <n v="0"/>
    <n v="0"/>
    <n v="0"/>
    <n v="0"/>
    <x v="0"/>
    <n v="36508.471999999994"/>
    <n v="36508.471999999994"/>
    <n v="0"/>
    <n v="0"/>
    <x v="0"/>
    <x v="6"/>
  </r>
  <r>
    <s v="ORD03277"/>
    <d v="2024-01-16T00:00:00"/>
    <x v="74"/>
    <x v="153"/>
    <n v="69"/>
    <s v="INV03277"/>
    <n v="69"/>
    <n v="680.30940000000021"/>
    <m/>
    <m/>
    <m/>
    <m/>
    <m/>
    <n v="680.30940000000021"/>
    <d v="2023-01-08T00:00:00"/>
    <n v="0"/>
    <n v="0"/>
    <n v="0"/>
    <n v="0"/>
    <n v="0"/>
    <n v="0"/>
    <n v="0"/>
    <x v="0"/>
    <n v="46941.348600000012"/>
    <n v="46941.348600000012"/>
    <n v="0"/>
    <n v="0"/>
    <x v="0"/>
    <x v="15"/>
  </r>
  <r>
    <s v="ORD03278"/>
    <d v="2023-01-02T00:00:00"/>
    <x v="83"/>
    <x v="221"/>
    <n v="163"/>
    <s v="INV03278"/>
    <n v="163"/>
    <n v="644.91"/>
    <m/>
    <m/>
    <m/>
    <m/>
    <m/>
    <n v="644.91"/>
    <d v="2022-01-29T00:00:00"/>
    <n v="0"/>
    <n v="0"/>
    <n v="0"/>
    <n v="0"/>
    <n v="0"/>
    <n v="0"/>
    <n v="0"/>
    <x v="0"/>
    <n v="105120.33"/>
    <n v="105120.33"/>
    <n v="0"/>
    <n v="0"/>
    <x v="0"/>
    <x v="8"/>
  </r>
  <r>
    <s v="ORD03279"/>
    <d v="2023-11-15T00:00:00"/>
    <x v="62"/>
    <x v="72"/>
    <n v="4"/>
    <s v="INV03279"/>
    <n v="4"/>
    <n v="791.35360000000003"/>
    <m/>
    <m/>
    <m/>
    <m/>
    <m/>
    <n v="791.35360000000003"/>
    <d v="2023-06-20T00:00:00"/>
    <n v="0"/>
    <n v="0"/>
    <n v="0"/>
    <n v="0"/>
    <n v="0"/>
    <n v="0"/>
    <n v="0"/>
    <x v="0"/>
    <n v="3165.4144000000001"/>
    <n v="3165.4144000000001"/>
    <n v="0"/>
    <n v="0"/>
    <x v="0"/>
    <x v="0"/>
  </r>
  <r>
    <s v="ORD03280"/>
    <d v="2024-03-25T00:00:00"/>
    <x v="766"/>
    <x v="24"/>
    <n v="4"/>
    <s v="INV03280"/>
    <n v="4"/>
    <n v="426.10500000000002"/>
    <m/>
    <m/>
    <m/>
    <m/>
    <m/>
    <n v="426.10500000000002"/>
    <d v="2023-10-16T00:00:00"/>
    <n v="0"/>
    <n v="0"/>
    <n v="0"/>
    <n v="0"/>
    <n v="0"/>
    <n v="0"/>
    <n v="0"/>
    <x v="0"/>
    <n v="1704.42"/>
    <n v="1704.42"/>
    <n v="0"/>
    <n v="0"/>
    <x v="0"/>
    <x v="6"/>
  </r>
  <r>
    <s v="ORD03281"/>
    <d v="2023-01-04T00:00:00"/>
    <x v="365"/>
    <x v="178"/>
    <n v="29"/>
    <s v="INV03281"/>
    <n v="29"/>
    <n v="483.88319999999999"/>
    <m/>
    <m/>
    <m/>
    <m/>
    <m/>
    <n v="483.88319999999999"/>
    <d v="2022-09-28T00:00:00"/>
    <n v="0"/>
    <n v="0"/>
    <n v="0"/>
    <n v="0"/>
    <n v="0"/>
    <n v="0"/>
    <n v="0"/>
    <x v="0"/>
    <n v="14032.612799999999"/>
    <n v="14032.612799999999"/>
    <n v="0"/>
    <n v="0"/>
    <x v="0"/>
    <x v="8"/>
  </r>
  <r>
    <s v="ORD03282"/>
    <d v="2023-08-10T00:00:00"/>
    <x v="754"/>
    <x v="62"/>
    <n v="106"/>
    <s v="INV03282"/>
    <n v="106"/>
    <n v="1080.0740000000001"/>
    <m/>
    <m/>
    <m/>
    <m/>
    <m/>
    <n v="1080.0740000000001"/>
    <d v="2023-05-12T00:00:00"/>
    <n v="0"/>
    <n v="0"/>
    <n v="0"/>
    <n v="0"/>
    <n v="0"/>
    <n v="0"/>
    <n v="0"/>
    <x v="0"/>
    <n v="114487.84400000001"/>
    <n v="114487.84400000001"/>
    <n v="0"/>
    <n v="0"/>
    <x v="0"/>
    <x v="12"/>
  </r>
  <r>
    <s v="ORD03283"/>
    <d v="2024-04-14T00:00:00"/>
    <x v="602"/>
    <x v="16"/>
    <n v="64"/>
    <s v="INV03283"/>
    <n v="64"/>
    <n v="78.696099999999987"/>
    <m/>
    <m/>
    <m/>
    <m/>
    <m/>
    <n v="78.696099999999987"/>
    <d v="2023-06-06T00:00:00"/>
    <n v="0"/>
    <n v="0"/>
    <n v="0"/>
    <n v="0"/>
    <n v="0"/>
    <n v="0"/>
    <n v="0"/>
    <x v="0"/>
    <n v="5036.5503999999992"/>
    <n v="5036.5503999999992"/>
    <n v="0"/>
    <n v="0"/>
    <x v="0"/>
    <x v="9"/>
  </r>
  <r>
    <s v="ORD03284"/>
    <d v="2023-04-26T00:00:00"/>
    <x v="8"/>
    <x v="148"/>
    <n v="85"/>
    <s v="INV03284"/>
    <n v="85"/>
    <n v="724.52160000000003"/>
    <m/>
    <m/>
    <m/>
    <m/>
    <m/>
    <n v="724.52160000000003"/>
    <d v="2022-10-03T00:00:00"/>
    <n v="0"/>
    <n v="0"/>
    <n v="0"/>
    <n v="0"/>
    <n v="0"/>
    <n v="0"/>
    <n v="0"/>
    <x v="0"/>
    <n v="61584.336000000003"/>
    <n v="61584.336000000003"/>
    <n v="0"/>
    <n v="0"/>
    <x v="0"/>
    <x v="23"/>
  </r>
  <r>
    <s v="ORD03285"/>
    <d v="2024-08-02T00:00:00"/>
    <x v="652"/>
    <x v="117"/>
    <n v="162"/>
    <s v="INV03285"/>
    <n v="162"/>
    <n v="214.6182"/>
    <m/>
    <m/>
    <m/>
    <m/>
    <m/>
    <n v="214.6182"/>
    <d v="2023-07-09T00:00:00"/>
    <n v="0"/>
    <n v="0"/>
    <n v="0"/>
    <n v="0"/>
    <n v="0"/>
    <n v="0"/>
    <n v="0"/>
    <x v="0"/>
    <n v="34768.148399999998"/>
    <n v="34768.148399999998"/>
    <n v="0"/>
    <n v="0"/>
    <x v="0"/>
    <x v="22"/>
  </r>
  <r>
    <s v="ORD03286"/>
    <d v="2024-02-26T00:00:00"/>
    <x v="114"/>
    <x v="171"/>
    <n v="161"/>
    <s v="INV03286"/>
    <n v="165"/>
    <n v="115.0735"/>
    <m/>
    <m/>
    <m/>
    <m/>
    <m/>
    <n v="115.0735"/>
    <d v="2023-10-28T00:00:00"/>
    <n v="0"/>
    <n v="1"/>
    <n v="0"/>
    <n v="0"/>
    <n v="0"/>
    <n v="0"/>
    <n v="0"/>
    <x v="1"/>
    <n v="18987.127499999999"/>
    <n v="18526.833500000001"/>
    <n v="460.29399999999805"/>
    <n v="3"/>
    <x v="1"/>
    <x v="3"/>
  </r>
  <r>
    <s v="ORD03287"/>
    <d v="2023-08-16T00:00:00"/>
    <x v="554"/>
    <x v="227"/>
    <n v="178"/>
    <s v="INV03287"/>
    <n v="177"/>
    <n v="1131.7711000000002"/>
    <m/>
    <m/>
    <m/>
    <m/>
    <m/>
    <n v="1131.7711000000002"/>
    <d v="2023-05-02T00:00:00"/>
    <n v="0"/>
    <n v="1"/>
    <n v="0"/>
    <n v="0"/>
    <n v="0"/>
    <n v="0"/>
    <n v="0"/>
    <x v="1"/>
    <n v="200323.48470000003"/>
    <n v="201455.25580000004"/>
    <n v="-1131.7711000000127"/>
    <n v="8"/>
    <x v="2"/>
    <x v="12"/>
  </r>
  <r>
    <s v="ORD03288"/>
    <d v="2024-08-21T00:00:00"/>
    <x v="478"/>
    <x v="157"/>
    <n v="66"/>
    <s v="INV03288"/>
    <n v="66"/>
    <n v="1158.2643"/>
    <m/>
    <m/>
    <m/>
    <m/>
    <m/>
    <n v="1158.2643"/>
    <d v="2023-07-12T00:00:00"/>
    <n v="0"/>
    <n v="0"/>
    <n v="0"/>
    <n v="0"/>
    <n v="0"/>
    <n v="0"/>
    <n v="0"/>
    <x v="0"/>
    <n v="76445.443800000008"/>
    <n v="76445.443800000008"/>
    <n v="0"/>
    <n v="0"/>
    <x v="0"/>
    <x v="22"/>
  </r>
  <r>
    <s v="ORD03289"/>
    <d v="2024-03-03T00:00:00"/>
    <x v="186"/>
    <x v="225"/>
    <n v="26"/>
    <s v="INV03289"/>
    <n v="26"/>
    <n v="307.97520000000003"/>
    <m/>
    <m/>
    <m/>
    <m/>
    <m/>
    <n v="307.97520000000003"/>
    <d v="2023-04-13T00:00:00"/>
    <n v="0"/>
    <n v="0"/>
    <n v="0"/>
    <n v="0"/>
    <n v="0"/>
    <n v="0"/>
    <n v="0"/>
    <x v="0"/>
    <n v="8007.3552000000009"/>
    <n v="8007.3552000000009"/>
    <n v="0"/>
    <n v="0"/>
    <x v="0"/>
    <x v="6"/>
  </r>
  <r>
    <s v="ORD03290"/>
    <d v="2023-12-23T00:00:00"/>
    <x v="237"/>
    <x v="26"/>
    <n v="33"/>
    <s v="INV03290"/>
    <n v="33"/>
    <n v="129.17519999999999"/>
    <m/>
    <m/>
    <m/>
    <m/>
    <m/>
    <n v="129.17519999999999"/>
    <d v="2023-09-15T00:00:00"/>
    <n v="0"/>
    <n v="0"/>
    <n v="0"/>
    <n v="0"/>
    <n v="0"/>
    <n v="0"/>
    <n v="0"/>
    <x v="0"/>
    <n v="4262.7815999999993"/>
    <n v="4262.7815999999993"/>
    <n v="0"/>
    <n v="0"/>
    <x v="0"/>
    <x v="20"/>
  </r>
  <r>
    <s v="ORD03291"/>
    <d v="2023-08-26T00:00:00"/>
    <x v="610"/>
    <x v="274"/>
    <n v="190"/>
    <s v="INV03291"/>
    <n v="188"/>
    <n v="596.07000000000005"/>
    <m/>
    <m/>
    <m/>
    <m/>
    <m/>
    <n v="596.07000000000005"/>
    <d v="2023-02-27T00:00:00"/>
    <n v="0"/>
    <n v="1"/>
    <n v="0"/>
    <n v="0"/>
    <n v="0"/>
    <n v="0"/>
    <n v="0"/>
    <x v="1"/>
    <n v="112061.16"/>
    <n v="113253.3"/>
    <n v="-1192.1399999999994"/>
    <n v="8"/>
    <x v="2"/>
    <x v="12"/>
  </r>
  <r>
    <s v="ORD03292"/>
    <d v="2024-11-09T00:00:00"/>
    <x v="17"/>
    <x v="97"/>
    <n v="108"/>
    <s v="INV03292"/>
    <n v="108"/>
    <n v="664.57040000000006"/>
    <n v="4"/>
    <d v="2023-06-19T00:00:00"/>
    <m/>
    <m/>
    <m/>
    <n v="664.57040000000006"/>
    <d v="2023-05-20T00:00:00"/>
    <n v="0"/>
    <n v="0"/>
    <n v="0"/>
    <n v="0"/>
    <n v="0"/>
    <n v="0"/>
    <n v="0"/>
    <x v="0"/>
    <n v="71773.603200000012"/>
    <n v="71773.603200000012"/>
    <n v="0"/>
    <n v="0"/>
    <x v="0"/>
    <x v="4"/>
  </r>
  <r>
    <s v="ORD03293"/>
    <d v="2024-02-16T00:00:00"/>
    <x v="469"/>
    <x v="241"/>
    <n v="147"/>
    <s v="INV03293"/>
    <n v="147"/>
    <n v="854.74350000000004"/>
    <m/>
    <m/>
    <m/>
    <m/>
    <m/>
    <n v="854.74350000000004"/>
    <d v="2023-02-27T00:00:00"/>
    <n v="0"/>
    <n v="0"/>
    <n v="0"/>
    <n v="0"/>
    <n v="0"/>
    <n v="0"/>
    <n v="0"/>
    <x v="0"/>
    <n v="125647.2945"/>
    <n v="125647.2945"/>
    <n v="0"/>
    <n v="0"/>
    <x v="0"/>
    <x v="3"/>
  </r>
  <r>
    <s v="ORD03294"/>
    <d v="2024-09-10T00:00:00"/>
    <x v="9"/>
    <x v="163"/>
    <n v="45"/>
    <s v="INV03294"/>
    <n v="45"/>
    <n v="147.87150000000003"/>
    <m/>
    <m/>
    <m/>
    <m/>
    <m/>
    <n v="147.87150000000003"/>
    <d v="2023-02-15T00:00:00"/>
    <n v="0"/>
    <n v="0"/>
    <n v="0"/>
    <n v="0"/>
    <n v="0"/>
    <n v="0"/>
    <n v="0"/>
    <x v="0"/>
    <n v="6654.2175000000016"/>
    <n v="6654.2175000000016"/>
    <n v="0"/>
    <n v="0"/>
    <x v="0"/>
    <x v="2"/>
  </r>
  <r>
    <s v="ORD03295"/>
    <d v="2023-07-17T00:00:00"/>
    <x v="316"/>
    <x v="284"/>
    <n v="39"/>
    <s v="INV03295"/>
    <n v="39"/>
    <n v="1032.7408"/>
    <m/>
    <m/>
    <m/>
    <m/>
    <m/>
    <n v="1032.7408"/>
    <d v="2023-05-31T00:00:00"/>
    <n v="0"/>
    <n v="0"/>
    <n v="0"/>
    <n v="0"/>
    <n v="0"/>
    <n v="0"/>
    <n v="0"/>
    <x v="0"/>
    <n v="40276.891199999998"/>
    <n v="40276.891199999998"/>
    <n v="0"/>
    <n v="0"/>
    <x v="0"/>
    <x v="10"/>
  </r>
  <r>
    <s v="ORD03296"/>
    <d v="2023-02-22T00:00:00"/>
    <x v="565"/>
    <x v="7"/>
    <n v="23"/>
    <s v="INV03296"/>
    <n v="23"/>
    <n v="563.59040000000005"/>
    <m/>
    <m/>
    <m/>
    <m/>
    <m/>
    <n v="563.59040000000005"/>
    <d v="2022-10-01T00:00:00"/>
    <n v="0"/>
    <n v="0"/>
    <n v="0"/>
    <n v="0"/>
    <n v="0"/>
    <n v="0"/>
    <n v="0"/>
    <x v="0"/>
    <n v="12962.5792"/>
    <n v="12962.5792"/>
    <n v="0"/>
    <n v="0"/>
    <x v="0"/>
    <x v="11"/>
  </r>
  <r>
    <s v="ORD03297"/>
    <d v="2024-05-12T00:00:00"/>
    <x v="751"/>
    <x v="87"/>
    <n v="47"/>
    <s v="INV03297"/>
    <n v="47"/>
    <n v="443.27359999999999"/>
    <m/>
    <m/>
    <m/>
    <m/>
    <m/>
    <n v="443.27359999999999"/>
    <d v="2023-02-15T00:00:00"/>
    <n v="0"/>
    <n v="0"/>
    <n v="0"/>
    <n v="0"/>
    <n v="0"/>
    <n v="0"/>
    <n v="0"/>
    <x v="0"/>
    <n v="20833.859199999999"/>
    <n v="20833.859199999999"/>
    <n v="0"/>
    <n v="0"/>
    <x v="0"/>
    <x v="13"/>
  </r>
  <r>
    <s v="ORD03298"/>
    <d v="2024-02-16T00:00:00"/>
    <x v="705"/>
    <x v="61"/>
    <n v="56"/>
    <s v="INV03298"/>
    <n v="56"/>
    <n v="759.48969999999997"/>
    <n v="1"/>
    <d v="2023-07-17T00:00:00"/>
    <m/>
    <m/>
    <m/>
    <n v="759.48969999999997"/>
    <d v="2023-07-31T00:00:00"/>
    <n v="0"/>
    <n v="0"/>
    <n v="0"/>
    <n v="0"/>
    <n v="0"/>
    <n v="0"/>
    <n v="0"/>
    <x v="0"/>
    <n v="42531.423199999997"/>
    <n v="42531.423199999997"/>
    <n v="0"/>
    <n v="0"/>
    <x v="0"/>
    <x v="3"/>
  </r>
  <r>
    <s v="ORD03299"/>
    <d v="2023-05-02T00:00:00"/>
    <x v="330"/>
    <x v="104"/>
    <n v="91"/>
    <s v="INV03299"/>
    <n v="91"/>
    <n v="898.02300000000002"/>
    <m/>
    <m/>
    <m/>
    <m/>
    <m/>
    <n v="898.02300000000002"/>
    <d v="2023-04-10T00:00:00"/>
    <n v="0"/>
    <n v="0"/>
    <n v="0"/>
    <n v="0"/>
    <n v="0"/>
    <n v="0"/>
    <n v="0"/>
    <x v="0"/>
    <n v="81720.093000000008"/>
    <n v="81720.093000000008"/>
    <n v="0"/>
    <n v="0"/>
    <x v="0"/>
    <x v="7"/>
  </r>
  <r>
    <s v="ORD03300"/>
    <d v="2024-08-29T00:00:00"/>
    <x v="133"/>
    <x v="189"/>
    <n v="59"/>
    <s v="INV03300"/>
    <n v="59"/>
    <n v="75.847200000000001"/>
    <m/>
    <m/>
    <m/>
    <m/>
    <m/>
    <n v="75.847200000000001"/>
    <d v="2023-06-05T00:00:00"/>
    <n v="0"/>
    <n v="0"/>
    <n v="0"/>
    <n v="0"/>
    <n v="0"/>
    <n v="0"/>
    <n v="0"/>
    <x v="0"/>
    <n v="4474.9848000000002"/>
    <n v="4474.9848000000002"/>
    <n v="0"/>
    <n v="0"/>
    <x v="0"/>
    <x v="22"/>
  </r>
  <r>
    <s v="ORD03301"/>
    <d v="2024-08-22T00:00:00"/>
    <x v="727"/>
    <x v="239"/>
    <n v="102"/>
    <s v="INV03301"/>
    <n v="102"/>
    <n v="1197.9306999999999"/>
    <m/>
    <m/>
    <m/>
    <m/>
    <m/>
    <n v="1197.9306999999999"/>
    <d v="2023-06-12T00:00:00"/>
    <n v="0"/>
    <n v="0"/>
    <n v="0"/>
    <n v="0"/>
    <n v="0"/>
    <n v="0"/>
    <n v="0"/>
    <x v="0"/>
    <n v="122188.93139999999"/>
    <n v="122188.93139999999"/>
    <n v="0"/>
    <n v="0"/>
    <x v="0"/>
    <x v="22"/>
  </r>
  <r>
    <s v="ORD03302"/>
    <d v="2023-07-06T00:00:00"/>
    <x v="356"/>
    <x v="45"/>
    <n v="149"/>
    <s v="INV03302"/>
    <n v="149"/>
    <n v="169.22900000000001"/>
    <m/>
    <m/>
    <m/>
    <m/>
    <m/>
    <n v="169.22900000000001"/>
    <d v="2023-04-23T00:00:00"/>
    <n v="0"/>
    <n v="0"/>
    <n v="0"/>
    <n v="0"/>
    <n v="0"/>
    <n v="0"/>
    <n v="0"/>
    <x v="0"/>
    <n v="25215.121000000003"/>
    <n v="25215.121000000003"/>
    <n v="0"/>
    <n v="0"/>
    <x v="0"/>
    <x v="10"/>
  </r>
  <r>
    <s v="ORD03303"/>
    <d v="2024-02-01T00:00:00"/>
    <x v="394"/>
    <x v="277"/>
    <n v="99"/>
    <s v="INV03303"/>
    <n v="99"/>
    <n v="544.5"/>
    <m/>
    <m/>
    <m/>
    <m/>
    <m/>
    <n v="544.5"/>
    <d v="2023-08-21T00:00:00"/>
    <n v="0"/>
    <n v="0"/>
    <n v="0"/>
    <n v="0"/>
    <n v="0"/>
    <n v="0"/>
    <n v="0"/>
    <x v="0"/>
    <n v="53905.5"/>
    <n v="53905.5"/>
    <n v="0"/>
    <n v="0"/>
    <x v="0"/>
    <x v="3"/>
  </r>
  <r>
    <s v="ORD03304"/>
    <d v="2023-11-28T00:00:00"/>
    <x v="171"/>
    <x v="291"/>
    <n v="127"/>
    <s v="INV03304"/>
    <n v="127"/>
    <n v="933.43190000000004"/>
    <m/>
    <m/>
    <m/>
    <m/>
    <m/>
    <n v="933.43190000000004"/>
    <d v="2023-03-26T00:00:00"/>
    <n v="0"/>
    <n v="0"/>
    <n v="0"/>
    <n v="0"/>
    <n v="0"/>
    <n v="0"/>
    <n v="0"/>
    <x v="0"/>
    <n v="118545.85130000001"/>
    <n v="118545.85130000001"/>
    <n v="0"/>
    <n v="0"/>
    <x v="0"/>
    <x v="0"/>
  </r>
  <r>
    <s v="ORD03305"/>
    <d v="2023-11-26T00:00:00"/>
    <x v="157"/>
    <x v="102"/>
    <n v="154"/>
    <s v="INV03305"/>
    <n v="154"/>
    <n v="1093.1199999999999"/>
    <m/>
    <m/>
    <m/>
    <m/>
    <m/>
    <n v="1093.1199999999999"/>
    <d v="2023-04-19T00:00:00"/>
    <n v="0"/>
    <n v="0"/>
    <n v="0"/>
    <n v="0"/>
    <n v="0"/>
    <n v="0"/>
    <n v="0"/>
    <x v="0"/>
    <n v="168340.47999999998"/>
    <n v="168340.47999999998"/>
    <n v="0"/>
    <n v="0"/>
    <x v="0"/>
    <x v="0"/>
  </r>
  <r>
    <s v="ORD03306"/>
    <d v="2023-03-18T00:00:00"/>
    <x v="108"/>
    <x v="275"/>
    <n v="86"/>
    <s v="INV03306"/>
    <n v="86"/>
    <n v="852.48720000000014"/>
    <m/>
    <m/>
    <m/>
    <m/>
    <m/>
    <n v="852.48720000000014"/>
    <d v="2023-02-26T00:00:00"/>
    <n v="0"/>
    <n v="0"/>
    <n v="0"/>
    <n v="0"/>
    <n v="0"/>
    <n v="0"/>
    <n v="0"/>
    <x v="0"/>
    <n v="73313.899200000014"/>
    <n v="73313.899200000014"/>
    <n v="0"/>
    <n v="0"/>
    <x v="0"/>
    <x v="17"/>
  </r>
  <r>
    <s v="ORD03307"/>
    <d v="2023-09-08T00:00:00"/>
    <x v="576"/>
    <x v="128"/>
    <n v="84"/>
    <s v="INV03307"/>
    <n v="84"/>
    <n v="440.38799999999998"/>
    <m/>
    <m/>
    <m/>
    <m/>
    <m/>
    <n v="440.38799999999998"/>
    <d v="2023-03-31T00:00:00"/>
    <n v="0"/>
    <n v="0"/>
    <n v="0"/>
    <n v="0"/>
    <n v="0"/>
    <n v="0"/>
    <n v="0"/>
    <x v="0"/>
    <n v="36992.591999999997"/>
    <n v="36992.591999999997"/>
    <n v="0"/>
    <n v="0"/>
    <x v="0"/>
    <x v="18"/>
  </r>
  <r>
    <s v="ORD03308"/>
    <d v="2024-12-08T00:00:00"/>
    <x v="204"/>
    <x v="264"/>
    <n v="150"/>
    <s v="INV03308"/>
    <n v="150"/>
    <n v="230.7345"/>
    <m/>
    <m/>
    <m/>
    <m/>
    <m/>
    <n v="230.7345"/>
    <d v="2023-08-04T00:00:00"/>
    <n v="0"/>
    <n v="0"/>
    <n v="0"/>
    <n v="0"/>
    <n v="0"/>
    <n v="0"/>
    <n v="0"/>
    <x v="0"/>
    <n v="34610.175000000003"/>
    <n v="34610.175000000003"/>
    <n v="0"/>
    <n v="0"/>
    <x v="0"/>
    <x v="1"/>
  </r>
  <r>
    <s v="ORD03309"/>
    <d v="2024-09-08T00:00:00"/>
    <x v="82"/>
    <x v="251"/>
    <n v="64"/>
    <s v="INV03309"/>
    <n v="64"/>
    <n v="75.504800000000003"/>
    <m/>
    <m/>
    <m/>
    <m/>
    <m/>
    <n v="75.504800000000003"/>
    <d v="2023-06-03T00:00:00"/>
    <n v="0"/>
    <n v="0"/>
    <n v="0"/>
    <n v="0"/>
    <n v="0"/>
    <n v="0"/>
    <n v="0"/>
    <x v="0"/>
    <n v="4832.3072000000002"/>
    <n v="4832.3072000000002"/>
    <n v="0"/>
    <n v="0"/>
    <x v="0"/>
    <x v="2"/>
  </r>
  <r>
    <s v="ORD03310"/>
    <d v="2023-08-14T00:00:00"/>
    <x v="171"/>
    <x v="38"/>
    <n v="97"/>
    <s v="INV03310"/>
    <n v="97"/>
    <n v="454.98379999999997"/>
    <m/>
    <m/>
    <m/>
    <m/>
    <m/>
    <n v="454.98379999999997"/>
    <d v="2023-03-26T00:00:00"/>
    <n v="0"/>
    <n v="0"/>
    <n v="0"/>
    <n v="0"/>
    <n v="0"/>
    <n v="0"/>
    <n v="0"/>
    <x v="0"/>
    <n v="44133.428599999999"/>
    <n v="44133.428599999999"/>
    <n v="0"/>
    <n v="0"/>
    <x v="0"/>
    <x v="12"/>
  </r>
  <r>
    <s v="ORD03311"/>
    <d v="2024-05-24T00:00:00"/>
    <x v="175"/>
    <x v="286"/>
    <n v="8"/>
    <s v="INV03311"/>
    <n v="8"/>
    <n v="278.27100000000002"/>
    <m/>
    <m/>
    <m/>
    <m/>
    <m/>
    <n v="278.27100000000002"/>
    <d v="2023-07-12T00:00:00"/>
    <n v="0"/>
    <n v="0"/>
    <n v="0"/>
    <n v="0"/>
    <n v="0"/>
    <n v="0"/>
    <n v="0"/>
    <x v="0"/>
    <n v="2226.1680000000001"/>
    <n v="2226.1680000000001"/>
    <n v="0"/>
    <n v="0"/>
    <x v="0"/>
    <x v="13"/>
  </r>
  <r>
    <s v="ORD03312"/>
    <d v="2023-08-05T00:00:00"/>
    <x v="31"/>
    <x v="143"/>
    <n v="121"/>
    <s v="INV03312"/>
    <n v="121"/>
    <n v="893.8972"/>
    <m/>
    <m/>
    <m/>
    <m/>
    <m/>
    <n v="893.8972"/>
    <d v="2023-05-03T00:00:00"/>
    <n v="0"/>
    <n v="0"/>
    <n v="0"/>
    <n v="0"/>
    <n v="0"/>
    <n v="0"/>
    <n v="0"/>
    <x v="0"/>
    <n v="108161.5612"/>
    <n v="108161.5612"/>
    <n v="0"/>
    <n v="0"/>
    <x v="0"/>
    <x v="12"/>
  </r>
  <r>
    <s v="ORD03313"/>
    <d v="2023-09-12T00:00:00"/>
    <x v="214"/>
    <x v="102"/>
    <n v="103"/>
    <s v="INV03313"/>
    <n v="103"/>
    <n v="1093.1199999999999"/>
    <m/>
    <m/>
    <m/>
    <m/>
    <m/>
    <n v="1093.1199999999999"/>
    <d v="2023-04-19T00:00:00"/>
    <n v="0"/>
    <n v="0"/>
    <n v="0"/>
    <n v="0"/>
    <n v="0"/>
    <n v="0"/>
    <n v="0"/>
    <x v="0"/>
    <n v="112591.35999999999"/>
    <n v="112591.35999999999"/>
    <n v="0"/>
    <n v="0"/>
    <x v="0"/>
    <x v="18"/>
  </r>
  <r>
    <s v="ORD03314"/>
    <d v="2024-04-19T00:00:00"/>
    <x v="285"/>
    <x v="270"/>
    <n v="85"/>
    <s v="INV03314"/>
    <n v="85"/>
    <n v="983.19460000000004"/>
    <m/>
    <m/>
    <m/>
    <m/>
    <m/>
    <n v="983.19460000000004"/>
    <d v="2023-08-04T00:00:00"/>
    <n v="0"/>
    <n v="0"/>
    <n v="0"/>
    <n v="0"/>
    <n v="0"/>
    <n v="0"/>
    <n v="0"/>
    <x v="0"/>
    <n v="83571.540999999997"/>
    <n v="83571.540999999997"/>
    <n v="0"/>
    <n v="0"/>
    <x v="0"/>
    <x v="9"/>
  </r>
  <r>
    <s v="ORD03315"/>
    <d v="2024-04-04T00:00:00"/>
    <x v="620"/>
    <x v="297"/>
    <n v="133"/>
    <s v="INV03315"/>
    <n v="133"/>
    <n v="275.31330172294065"/>
    <m/>
    <m/>
    <m/>
    <m/>
    <m/>
    <n v="275.19450000000001"/>
    <d v="2023-10-19T00:00:00"/>
    <n v="0"/>
    <n v="0"/>
    <n v="1"/>
    <n v="0"/>
    <n v="0"/>
    <n v="0"/>
    <n v="0"/>
    <x v="1"/>
    <n v="36616.669129151109"/>
    <n v="36600.868500000004"/>
    <n v="15.800629151104658"/>
    <n v="4"/>
    <x v="1"/>
    <x v="9"/>
  </r>
  <r>
    <s v="ORD03316"/>
    <d v="2024-05-03T00:00:00"/>
    <x v="261"/>
    <x v="62"/>
    <n v="17"/>
    <s v="INV03316"/>
    <n v="17"/>
    <n v="1080.0740000000001"/>
    <m/>
    <m/>
    <m/>
    <m/>
    <m/>
    <n v="1080.0740000000001"/>
    <d v="2023-05-12T00:00:00"/>
    <n v="0"/>
    <n v="0"/>
    <n v="0"/>
    <n v="0"/>
    <n v="0"/>
    <n v="0"/>
    <n v="0"/>
    <x v="0"/>
    <n v="18361.258000000002"/>
    <n v="18361.258000000002"/>
    <n v="0"/>
    <n v="0"/>
    <x v="0"/>
    <x v="13"/>
  </r>
  <r>
    <s v="ORD03317"/>
    <d v="2023-10-18T00:00:00"/>
    <x v="419"/>
    <x v="123"/>
    <n v="118"/>
    <s v="INV03317"/>
    <n v="118"/>
    <n v="618.375"/>
    <m/>
    <m/>
    <m/>
    <m/>
    <m/>
    <n v="618.375"/>
    <d v="2023-07-17T00:00:00"/>
    <n v="0"/>
    <n v="0"/>
    <n v="0"/>
    <n v="0"/>
    <n v="0"/>
    <n v="0"/>
    <n v="0"/>
    <x v="0"/>
    <n v="72968.25"/>
    <n v="72968.25"/>
    <n v="0"/>
    <n v="0"/>
    <x v="0"/>
    <x v="19"/>
  </r>
  <r>
    <s v="ORD03318"/>
    <d v="2024-07-16T00:00:00"/>
    <x v="523"/>
    <x v="221"/>
    <n v="138"/>
    <s v="INV03318"/>
    <n v="138"/>
    <n v="690.05370000000005"/>
    <m/>
    <m/>
    <m/>
    <m/>
    <m/>
    <n v="690.05370000000005"/>
    <d v="2023-02-19T00:00:00"/>
    <n v="0"/>
    <n v="0"/>
    <n v="0"/>
    <n v="0"/>
    <n v="0"/>
    <n v="0"/>
    <n v="0"/>
    <x v="0"/>
    <n v="95227.410600000003"/>
    <n v="95227.410600000003"/>
    <n v="0"/>
    <n v="0"/>
    <x v="0"/>
    <x v="21"/>
  </r>
  <r>
    <s v="ORD03319"/>
    <d v="2023-02-11T00:00:00"/>
    <x v="124"/>
    <x v="77"/>
    <n v="181"/>
    <s v="INV03319"/>
    <n v="181"/>
    <n v="709.45920000000001"/>
    <m/>
    <m/>
    <m/>
    <m/>
    <m/>
    <n v="709.45920000000001"/>
    <d v="2022-09-26T00:00:00"/>
    <n v="0"/>
    <n v="0"/>
    <n v="0"/>
    <n v="0"/>
    <n v="0"/>
    <n v="0"/>
    <n v="0"/>
    <x v="0"/>
    <n v="128412.1152"/>
    <n v="128412.1152"/>
    <n v="0"/>
    <n v="0"/>
    <x v="0"/>
    <x v="11"/>
  </r>
  <r>
    <s v="ORD03320"/>
    <d v="2024-11-23T00:00:00"/>
    <x v="515"/>
    <x v="15"/>
    <n v="139"/>
    <s v="INV03320"/>
    <n v="139"/>
    <n v="1039.0536"/>
    <m/>
    <m/>
    <m/>
    <m/>
    <m/>
    <n v="1039.0536"/>
    <d v="2023-05-08T00:00:00"/>
    <n v="0"/>
    <n v="0"/>
    <n v="0"/>
    <n v="0"/>
    <n v="0"/>
    <n v="0"/>
    <n v="0"/>
    <x v="0"/>
    <n v="144428.4504"/>
    <n v="144428.4504"/>
    <n v="0"/>
    <n v="0"/>
    <x v="0"/>
    <x v="4"/>
  </r>
  <r>
    <s v="ORD03321"/>
    <d v="2023-11-01T00:00:00"/>
    <x v="490"/>
    <x v="201"/>
    <n v="132"/>
    <s v="INV03321"/>
    <n v="132"/>
    <n v="418.93040000000002"/>
    <n v="13"/>
    <d v="2024-08-03T00:00:00"/>
    <m/>
    <m/>
    <m/>
    <n v="418.93040000000002"/>
    <d v="2023-10-15T00:00:00"/>
    <n v="0"/>
    <n v="0"/>
    <n v="0"/>
    <n v="0"/>
    <n v="0"/>
    <n v="1"/>
    <n v="0"/>
    <x v="1"/>
    <n v="55298.8128"/>
    <n v="55298.8128"/>
    <n v="0"/>
    <n v="2"/>
    <x v="1"/>
    <x v="0"/>
  </r>
  <r>
    <s v="ORD03322"/>
    <d v="2024-01-05T00:00:00"/>
    <x v="119"/>
    <x v="121"/>
    <n v="112"/>
    <s v="INV03322"/>
    <n v="112"/>
    <n v="1061.7264"/>
    <m/>
    <m/>
    <m/>
    <m/>
    <m/>
    <n v="1061.7264"/>
    <d v="2023-09-11T00:00:00"/>
    <n v="0"/>
    <n v="0"/>
    <n v="0"/>
    <n v="0"/>
    <n v="0"/>
    <n v="0"/>
    <n v="0"/>
    <x v="0"/>
    <n v="118913.35680000001"/>
    <n v="118913.35680000001"/>
    <n v="0"/>
    <n v="0"/>
    <x v="0"/>
    <x v="15"/>
  </r>
  <r>
    <s v="ORD03323"/>
    <d v="2023-04-20T00:00:00"/>
    <x v="780"/>
    <x v="72"/>
    <n v="189"/>
    <s v="INV03323"/>
    <n v="189"/>
    <n v="754.02560000000005"/>
    <m/>
    <m/>
    <m/>
    <m/>
    <m/>
    <n v="754.02560000000005"/>
    <d v="2023-01-23T00:00:00"/>
    <n v="0"/>
    <n v="0"/>
    <n v="0"/>
    <n v="0"/>
    <n v="0"/>
    <n v="0"/>
    <n v="0"/>
    <x v="0"/>
    <n v="142510.83840000001"/>
    <n v="142510.83840000001"/>
    <n v="0"/>
    <n v="0"/>
    <x v="0"/>
    <x v="23"/>
  </r>
  <r>
    <s v="ORD03324"/>
    <d v="2023-04-11T00:00:00"/>
    <x v="4"/>
    <x v="224"/>
    <n v="163"/>
    <s v="INV03324"/>
    <n v="163"/>
    <n v="358.416"/>
    <m/>
    <m/>
    <m/>
    <m/>
    <m/>
    <n v="358.416"/>
    <d v="2022-09-20T00:00:00"/>
    <n v="0"/>
    <n v="0"/>
    <n v="0"/>
    <n v="0"/>
    <n v="0"/>
    <n v="0"/>
    <n v="0"/>
    <x v="0"/>
    <n v="58421.807999999997"/>
    <n v="58421.807999999997"/>
    <n v="0"/>
    <n v="0"/>
    <x v="0"/>
    <x v="23"/>
  </r>
  <r>
    <s v="ORD03325"/>
    <d v="2023-01-08T00:00:00"/>
    <x v="499"/>
    <x v="121"/>
    <n v="165"/>
    <s v="INV03325"/>
    <n v="165"/>
    <n v="1032.2340000000002"/>
    <m/>
    <m/>
    <m/>
    <m/>
    <m/>
    <n v="1032.2340000000002"/>
    <d v="2022-08-25T00:00:00"/>
    <n v="0"/>
    <n v="0"/>
    <n v="0"/>
    <n v="0"/>
    <n v="0"/>
    <n v="0"/>
    <n v="0"/>
    <x v="0"/>
    <n v="170318.61000000002"/>
    <n v="170318.61000000002"/>
    <n v="0"/>
    <n v="0"/>
    <x v="0"/>
    <x v="8"/>
  </r>
  <r>
    <s v="ORD03326"/>
    <d v="2024-02-01T00:00:00"/>
    <x v="717"/>
    <x v="170"/>
    <n v="106"/>
    <s v="INV03326"/>
    <n v="106"/>
    <n v="825.13580000000002"/>
    <m/>
    <m/>
    <m/>
    <m/>
    <m/>
    <n v="825.13580000000002"/>
    <d v="2023-03-13T00:00:00"/>
    <n v="0"/>
    <n v="0"/>
    <n v="0"/>
    <n v="0"/>
    <n v="0"/>
    <n v="0"/>
    <n v="0"/>
    <x v="0"/>
    <n v="87464.394800000009"/>
    <n v="87464.394800000009"/>
    <n v="0"/>
    <n v="0"/>
    <x v="0"/>
    <x v="3"/>
  </r>
  <r>
    <s v="ORD03327"/>
    <d v="2023-09-06T00:00:00"/>
    <x v="693"/>
    <x v="173"/>
    <n v="93"/>
    <s v="INV03327"/>
    <n v="93"/>
    <n v="579.32940000000008"/>
    <m/>
    <m/>
    <m/>
    <m/>
    <m/>
    <n v="579.32940000000008"/>
    <d v="2022-12-14T00:00:00"/>
    <n v="0"/>
    <n v="0"/>
    <n v="0"/>
    <n v="0"/>
    <n v="0"/>
    <n v="0"/>
    <n v="0"/>
    <x v="0"/>
    <n v="53877.634200000008"/>
    <n v="53877.634200000008"/>
    <n v="0"/>
    <n v="0"/>
    <x v="0"/>
    <x v="18"/>
  </r>
  <r>
    <s v="ORD03328"/>
    <d v="2023-04-11T00:00:00"/>
    <x v="6"/>
    <x v="144"/>
    <n v="34"/>
    <s v="INV03328"/>
    <n v="34"/>
    <n v="327.61419999999998"/>
    <m/>
    <m/>
    <m/>
    <m/>
    <m/>
    <n v="327.61419999999998"/>
    <d v="2023-04-07T00:00:00"/>
    <n v="0"/>
    <n v="0"/>
    <n v="0"/>
    <n v="0"/>
    <n v="0"/>
    <n v="0"/>
    <n v="0"/>
    <x v="0"/>
    <n v="11138.882799999999"/>
    <n v="11138.882799999999"/>
    <n v="0"/>
    <n v="0"/>
    <x v="0"/>
    <x v="23"/>
  </r>
  <r>
    <s v="ORD03329"/>
    <d v="2023-02-16T00:00:00"/>
    <x v="165"/>
    <x v="24"/>
    <n v="104"/>
    <s v="INV03329"/>
    <n v="104"/>
    <n v="421.92750000000001"/>
    <m/>
    <m/>
    <m/>
    <m/>
    <m/>
    <n v="421.92750000000001"/>
    <d v="2023-02-12T00:00:00"/>
    <n v="0"/>
    <n v="0"/>
    <n v="0"/>
    <n v="0"/>
    <n v="0"/>
    <n v="0"/>
    <n v="0"/>
    <x v="0"/>
    <n v="43880.46"/>
    <n v="43880.46"/>
    <n v="0"/>
    <n v="0"/>
    <x v="0"/>
    <x v="11"/>
  </r>
  <r>
    <s v="ORD03330"/>
    <d v="2024-11-27T00:00:00"/>
    <x v="54"/>
    <x v="275"/>
    <n v="79"/>
    <s v="INV03330"/>
    <n v="79"/>
    <n v="797.23339999999996"/>
    <m/>
    <m/>
    <m/>
    <m/>
    <m/>
    <n v="797.23339999999996"/>
    <d v="2023-06-08T00:00:00"/>
    <n v="0"/>
    <n v="0"/>
    <n v="0"/>
    <n v="0"/>
    <n v="0"/>
    <n v="0"/>
    <n v="0"/>
    <x v="0"/>
    <n v="62981.438599999994"/>
    <n v="62981.438599999994"/>
    <n v="0"/>
    <n v="0"/>
    <x v="0"/>
    <x v="4"/>
  </r>
  <r>
    <s v="ORD03331"/>
    <d v="2023-12-12T00:00:00"/>
    <x v="622"/>
    <x v="219"/>
    <n v="57"/>
    <s v="INV03331"/>
    <n v="57"/>
    <n v="556.99"/>
    <m/>
    <m/>
    <m/>
    <m/>
    <m/>
    <n v="556.99"/>
    <d v="2023-08-09T00:00:00"/>
    <n v="0"/>
    <n v="0"/>
    <n v="0"/>
    <n v="0"/>
    <n v="0"/>
    <n v="0"/>
    <n v="0"/>
    <x v="0"/>
    <n v="31748.43"/>
    <n v="31748.43"/>
    <n v="0"/>
    <n v="0"/>
    <x v="0"/>
    <x v="20"/>
  </r>
  <r>
    <s v="ORD03332"/>
    <d v="2023-06-08T00:00:00"/>
    <x v="464"/>
    <x v="167"/>
    <n v="103"/>
    <s v="INV03332"/>
    <n v="103"/>
    <n v="249.2424"/>
    <m/>
    <m/>
    <m/>
    <m/>
    <m/>
    <n v="249.2424"/>
    <d v="2023-03-21T00:00:00"/>
    <n v="0"/>
    <n v="0"/>
    <n v="0"/>
    <n v="0"/>
    <n v="0"/>
    <n v="0"/>
    <n v="0"/>
    <x v="0"/>
    <n v="25671.967199999999"/>
    <n v="25671.967199999999"/>
    <n v="0"/>
    <n v="0"/>
    <x v="0"/>
    <x v="14"/>
  </r>
  <r>
    <s v="ORD03333"/>
    <d v="2024-08-28T00:00:00"/>
    <x v="18"/>
    <x v="143"/>
    <n v="154"/>
    <s v="INV03333"/>
    <n v="154"/>
    <n v="893.8972"/>
    <m/>
    <m/>
    <m/>
    <m/>
    <m/>
    <n v="893.8972"/>
    <d v="2023-05-03T00:00:00"/>
    <n v="0"/>
    <n v="0"/>
    <n v="0"/>
    <n v="0"/>
    <n v="0"/>
    <n v="0"/>
    <n v="0"/>
    <x v="0"/>
    <n v="137660.16880000001"/>
    <n v="137660.16880000001"/>
    <n v="0"/>
    <n v="0"/>
    <x v="0"/>
    <x v="22"/>
  </r>
  <r>
    <s v="ORD03334"/>
    <d v="2023-02-04T00:00:00"/>
    <x v="155"/>
    <x v="56"/>
    <n v="96"/>
    <s v="INV03334"/>
    <n v="96"/>
    <n v="639.91840000000002"/>
    <m/>
    <m/>
    <m/>
    <m/>
    <m/>
    <n v="639.91840000000002"/>
    <d v="2023-01-04T00:00:00"/>
    <n v="0"/>
    <n v="0"/>
    <n v="0"/>
    <n v="0"/>
    <n v="0"/>
    <n v="0"/>
    <n v="0"/>
    <x v="0"/>
    <n v="61432.166400000002"/>
    <n v="61432.166400000002"/>
    <n v="0"/>
    <n v="0"/>
    <x v="0"/>
    <x v="11"/>
  </r>
  <r>
    <s v="ORD03335"/>
    <d v="2023-05-02T00:00:00"/>
    <x v="745"/>
    <x v="68"/>
    <n v="53"/>
    <s v="INV03335"/>
    <n v="53"/>
    <n v="168.12909999999999"/>
    <m/>
    <m/>
    <m/>
    <m/>
    <m/>
    <n v="168.12909999999999"/>
    <d v="2023-03-28T00:00:00"/>
    <n v="0"/>
    <n v="0"/>
    <n v="0"/>
    <n v="0"/>
    <n v="0"/>
    <n v="0"/>
    <n v="0"/>
    <x v="0"/>
    <n v="8910.8423000000003"/>
    <n v="8910.8423000000003"/>
    <n v="0"/>
    <n v="0"/>
    <x v="0"/>
    <x v="7"/>
  </r>
  <r>
    <s v="ORD03336"/>
    <d v="2023-11-25T00:00:00"/>
    <x v="315"/>
    <x v="28"/>
    <n v="119"/>
    <s v="INV03336"/>
    <n v="119"/>
    <n v="957.65700000000015"/>
    <m/>
    <m/>
    <m/>
    <m/>
    <m/>
    <n v="957.65700000000015"/>
    <d v="2023-05-11T00:00:00"/>
    <n v="0"/>
    <n v="0"/>
    <n v="0"/>
    <n v="0"/>
    <n v="0"/>
    <n v="0"/>
    <n v="0"/>
    <x v="0"/>
    <n v="113961.18300000002"/>
    <n v="113961.18300000002"/>
    <n v="0"/>
    <n v="0"/>
    <x v="0"/>
    <x v="0"/>
  </r>
  <r>
    <s v="ORD03337"/>
    <d v="2024-11-14T00:00:00"/>
    <x v="772"/>
    <x v="0"/>
    <n v="183"/>
    <s v="INV03337"/>
    <n v="183"/>
    <n v="446.4905"/>
    <m/>
    <m/>
    <m/>
    <m/>
    <m/>
    <n v="446.4905"/>
    <d v="2023-08-23T00:00:00"/>
    <n v="0"/>
    <n v="0"/>
    <n v="0"/>
    <n v="0"/>
    <n v="0"/>
    <n v="0"/>
    <n v="0"/>
    <x v="0"/>
    <n v="81707.761499999993"/>
    <n v="81707.761499999993"/>
    <n v="0"/>
    <n v="0"/>
    <x v="0"/>
    <x v="4"/>
  </r>
  <r>
    <s v="ORD03338"/>
    <d v="2023-04-24T00:00:00"/>
    <x v="585"/>
    <x v="126"/>
    <n v="120"/>
    <s v="INV03338"/>
    <n v="120"/>
    <n v="287.14"/>
    <n v="15"/>
    <d v="2023-12-29T00:00:00"/>
    <m/>
    <m/>
    <m/>
    <n v="287.14"/>
    <d v="2023-02-20T00:00:00"/>
    <n v="0"/>
    <n v="0"/>
    <n v="0"/>
    <n v="0"/>
    <n v="0"/>
    <n v="1"/>
    <n v="0"/>
    <x v="1"/>
    <n v="34456.799999999996"/>
    <n v="34456.799999999996"/>
    <n v="0"/>
    <n v="2"/>
    <x v="1"/>
    <x v="23"/>
  </r>
  <r>
    <s v="ORD03339"/>
    <d v="2024-05-04T00:00:00"/>
    <x v="47"/>
    <x v="279"/>
    <n v="78"/>
    <s v="INV03339"/>
    <n v="78"/>
    <n v="461.00940000000003"/>
    <m/>
    <m/>
    <m/>
    <m/>
    <m/>
    <n v="461.00940000000003"/>
    <d v="2023-04-20T00:00:00"/>
    <n v="0"/>
    <n v="0"/>
    <n v="0"/>
    <n v="0"/>
    <n v="0"/>
    <n v="0"/>
    <n v="0"/>
    <x v="0"/>
    <n v="35958.733200000002"/>
    <n v="35958.733200000002"/>
    <n v="0"/>
    <n v="0"/>
    <x v="0"/>
    <x v="13"/>
  </r>
  <r>
    <s v="ORD03340"/>
    <d v="2024-11-28T00:00:00"/>
    <x v="20"/>
    <x v="246"/>
    <n v="172"/>
    <s v="INV03340"/>
    <n v="172"/>
    <n v="491.71135873745158"/>
    <n v="1"/>
    <d v="2024-11-30T00:00:00"/>
    <m/>
    <m/>
    <m/>
    <n v="491.10239999999999"/>
    <d v="2023-09-18T00:00:00"/>
    <n v="0"/>
    <n v="0"/>
    <n v="1"/>
    <n v="0"/>
    <n v="0"/>
    <n v="0"/>
    <n v="0"/>
    <x v="1"/>
    <n v="84574.353702841676"/>
    <n v="84469.612800000003"/>
    <n v="104.74090284167323"/>
    <n v="4"/>
    <x v="1"/>
    <x v="4"/>
  </r>
  <r>
    <s v="ORD03341"/>
    <d v="2023-02-18T00:00:00"/>
    <x v="350"/>
    <x v="102"/>
    <n v="170"/>
    <s v="INV03341"/>
    <n v="170"/>
    <n v="1158.7071999999998"/>
    <m/>
    <m/>
    <m/>
    <m/>
    <m/>
    <n v="1158.7071999999998"/>
    <d v="2022-11-22T00:00:00"/>
    <n v="0"/>
    <n v="0"/>
    <n v="0"/>
    <n v="0"/>
    <n v="0"/>
    <n v="0"/>
    <n v="0"/>
    <x v="0"/>
    <n v="196980.22399999996"/>
    <n v="196980.22399999996"/>
    <n v="0"/>
    <n v="0"/>
    <x v="0"/>
    <x v="11"/>
  </r>
  <r>
    <s v="ORD03342"/>
    <d v="2023-06-27T00:00:00"/>
    <x v="537"/>
    <x v="212"/>
    <n v="66"/>
    <s v="INV03342"/>
    <n v="66"/>
    <n v="1167.9120000000005"/>
    <n v="6"/>
    <d v="2023-06-09T00:00:00"/>
    <m/>
    <m/>
    <m/>
    <n v="1167.9120000000005"/>
    <d v="2023-04-03T00:00:00"/>
    <n v="0"/>
    <n v="0"/>
    <n v="0"/>
    <n v="0"/>
    <n v="0"/>
    <n v="0"/>
    <n v="0"/>
    <x v="0"/>
    <n v="77082.192000000039"/>
    <n v="77082.192000000039"/>
    <n v="0"/>
    <n v="0"/>
    <x v="0"/>
    <x v="14"/>
  </r>
  <r>
    <s v="ORD03343"/>
    <d v="2024-03-21T00:00:00"/>
    <x v="134"/>
    <x v="120"/>
    <n v="43"/>
    <s v="INV03343"/>
    <n v="43"/>
    <n v="989.96579999999994"/>
    <m/>
    <m/>
    <m/>
    <m/>
    <m/>
    <n v="989.96579999999994"/>
    <d v="2023-02-18T00:00:00"/>
    <n v="0"/>
    <n v="0"/>
    <n v="0"/>
    <n v="0"/>
    <n v="0"/>
    <n v="0"/>
    <n v="0"/>
    <x v="0"/>
    <n v="42568.529399999999"/>
    <n v="42568.529399999999"/>
    <n v="0"/>
    <n v="0"/>
    <x v="0"/>
    <x v="6"/>
  </r>
  <r>
    <s v="ORD03344"/>
    <d v="2023-10-01T00:00:00"/>
    <x v="789"/>
    <x v="112"/>
    <n v="72"/>
    <s v="INV03344"/>
    <n v="72"/>
    <n v="322.71780000000001"/>
    <m/>
    <m/>
    <m/>
    <m/>
    <m/>
    <n v="322.71780000000001"/>
    <d v="2023-08-31T00:00:00"/>
    <n v="0"/>
    <n v="0"/>
    <n v="0"/>
    <n v="0"/>
    <n v="0"/>
    <n v="0"/>
    <n v="0"/>
    <x v="0"/>
    <n v="23235.6816"/>
    <n v="23235.6816"/>
    <n v="0"/>
    <n v="0"/>
    <x v="0"/>
    <x v="19"/>
  </r>
  <r>
    <s v="ORD03345"/>
    <d v="2023-03-18T00:00:00"/>
    <x v="144"/>
    <x v="85"/>
    <n v="96"/>
    <s v="INV03345"/>
    <n v="96"/>
    <n v="1086.3648000000001"/>
    <m/>
    <m/>
    <m/>
    <m/>
    <m/>
    <n v="1086.3648000000001"/>
    <d v="2023-01-14T00:00:00"/>
    <n v="0"/>
    <n v="0"/>
    <n v="0"/>
    <n v="0"/>
    <n v="0"/>
    <n v="0"/>
    <n v="0"/>
    <x v="0"/>
    <n v="104291.0208"/>
    <n v="104291.0208"/>
    <n v="0"/>
    <n v="0"/>
    <x v="0"/>
    <x v="17"/>
  </r>
  <r>
    <s v="ORD03346"/>
    <d v="2024-10-10T00:00:00"/>
    <x v="129"/>
    <x v="98"/>
    <n v="86"/>
    <s v="INV03346"/>
    <n v="86"/>
    <n v="1119.6587000000002"/>
    <m/>
    <m/>
    <m/>
    <m/>
    <m/>
    <n v="1119.6587000000002"/>
    <d v="2023-08-09T00:00:00"/>
    <n v="0"/>
    <n v="0"/>
    <n v="0"/>
    <n v="0"/>
    <n v="0"/>
    <n v="0"/>
    <n v="0"/>
    <x v="0"/>
    <n v="96290.648200000011"/>
    <n v="96290.648200000011"/>
    <n v="0"/>
    <n v="0"/>
    <x v="0"/>
    <x v="5"/>
  </r>
  <r>
    <s v="ORD03347"/>
    <d v="2023-12-18T00:00:00"/>
    <x v="523"/>
    <x v="72"/>
    <n v="14"/>
    <s v="INV03347"/>
    <n v="14"/>
    <n v="791.35360000000003"/>
    <m/>
    <m/>
    <m/>
    <m/>
    <m/>
    <n v="791.35360000000003"/>
    <d v="2023-06-20T00:00:00"/>
    <n v="0"/>
    <n v="0"/>
    <n v="0"/>
    <n v="0"/>
    <n v="0"/>
    <n v="0"/>
    <n v="0"/>
    <x v="0"/>
    <n v="11078.9504"/>
    <n v="11078.9504"/>
    <n v="0"/>
    <n v="0"/>
    <x v="0"/>
    <x v="20"/>
  </r>
  <r>
    <s v="ORD03348"/>
    <d v="2023-02-18T00:00:00"/>
    <x v="256"/>
    <x v="161"/>
    <n v="199"/>
    <s v="INV03348"/>
    <n v="199"/>
    <n v="1016.7027"/>
    <m/>
    <m/>
    <m/>
    <m/>
    <m/>
    <n v="1016.7027"/>
    <d v="2023-01-29T00:00:00"/>
    <n v="0"/>
    <n v="0"/>
    <n v="0"/>
    <n v="0"/>
    <n v="0"/>
    <n v="0"/>
    <n v="0"/>
    <x v="0"/>
    <n v="202323.83730000001"/>
    <n v="202323.83730000001"/>
    <n v="0"/>
    <n v="0"/>
    <x v="0"/>
    <x v="11"/>
  </r>
  <r>
    <s v="ORD03349"/>
    <d v="2024-03-30T00:00:00"/>
    <x v="328"/>
    <x v="129"/>
    <n v="110"/>
    <s v="INV03349"/>
    <n v="110"/>
    <n v="664.8768"/>
    <m/>
    <m/>
    <m/>
    <m/>
    <m/>
    <n v="664.8768"/>
    <d v="2023-07-09T00:00:00"/>
    <n v="0"/>
    <n v="0"/>
    <n v="0"/>
    <n v="0"/>
    <n v="0"/>
    <n v="0"/>
    <n v="0"/>
    <x v="0"/>
    <n v="73136.448000000004"/>
    <n v="73136.448000000004"/>
    <n v="0"/>
    <n v="0"/>
    <x v="0"/>
    <x v="6"/>
  </r>
  <r>
    <s v="ORD03350"/>
    <d v="2023-04-18T00:00:00"/>
    <x v="304"/>
    <x v="181"/>
    <n v="45"/>
    <s v="INV03350"/>
    <n v="45"/>
    <n v="860.25239999999997"/>
    <n v="12"/>
    <d v="2023-10-06T00:00:00"/>
    <m/>
    <m/>
    <m/>
    <n v="860.25239999999997"/>
    <d v="2022-08-01T00:00:00"/>
    <n v="0"/>
    <n v="0"/>
    <n v="0"/>
    <n v="0"/>
    <n v="0"/>
    <n v="1"/>
    <n v="0"/>
    <x v="1"/>
    <n v="38711.358"/>
    <n v="38711.358"/>
    <n v="0"/>
    <n v="2"/>
    <x v="1"/>
    <x v="23"/>
  </r>
  <r>
    <s v="ORD03351"/>
    <d v="2023-09-24T00:00:00"/>
    <x v="22"/>
    <x v="102"/>
    <n v="15"/>
    <s v="INV03351"/>
    <n v="15"/>
    <n v="1093.1199999999999"/>
    <m/>
    <m/>
    <m/>
    <m/>
    <m/>
    <n v="1093.1199999999999"/>
    <d v="2023-04-19T00:00:00"/>
    <n v="0"/>
    <n v="0"/>
    <n v="0"/>
    <n v="0"/>
    <n v="0"/>
    <n v="0"/>
    <n v="0"/>
    <x v="0"/>
    <n v="16396.8"/>
    <n v="16396.8"/>
    <n v="0"/>
    <n v="0"/>
    <x v="0"/>
    <x v="18"/>
  </r>
  <r>
    <s v="ORD03352"/>
    <d v="2024-06-30T00:00:00"/>
    <x v="735"/>
    <x v="276"/>
    <n v="196"/>
    <s v="INV03352"/>
    <n v="196"/>
    <n v="1066.4874"/>
    <m/>
    <m/>
    <m/>
    <m/>
    <m/>
    <n v="1066.4874"/>
    <d v="2023-05-31T00:00:00"/>
    <n v="0"/>
    <n v="0"/>
    <n v="0"/>
    <n v="0"/>
    <n v="0"/>
    <n v="0"/>
    <n v="0"/>
    <x v="0"/>
    <n v="209031.53039999999"/>
    <n v="209031.53039999999"/>
    <n v="0"/>
    <n v="0"/>
    <x v="0"/>
    <x v="16"/>
  </r>
  <r>
    <s v="ORD03353"/>
    <d v="2024-01-24T00:00:00"/>
    <x v="703"/>
    <x v="27"/>
    <n v="126"/>
    <s v="INV03353"/>
    <n v="126"/>
    <n v="715.86900000000003"/>
    <m/>
    <m/>
    <m/>
    <m/>
    <m/>
    <n v="715.86900000000003"/>
    <d v="2023-08-02T00:00:00"/>
    <n v="0"/>
    <n v="0"/>
    <n v="0"/>
    <n v="0"/>
    <n v="0"/>
    <n v="0"/>
    <n v="0"/>
    <x v="0"/>
    <n v="90199.494000000006"/>
    <n v="90199.494000000006"/>
    <n v="0"/>
    <n v="0"/>
    <x v="0"/>
    <x v="15"/>
  </r>
  <r>
    <s v="ORD03354"/>
    <d v="2023-11-24T00:00:00"/>
    <x v="576"/>
    <x v="38"/>
    <n v="86"/>
    <s v="INV03354"/>
    <n v="86"/>
    <n v="454.98379999999997"/>
    <m/>
    <m/>
    <m/>
    <m/>
    <m/>
    <n v="454.98379999999997"/>
    <d v="2023-03-26T00:00:00"/>
    <n v="0"/>
    <n v="0"/>
    <n v="0"/>
    <n v="0"/>
    <n v="0"/>
    <n v="0"/>
    <n v="0"/>
    <x v="0"/>
    <n v="39128.606799999994"/>
    <n v="39128.606799999994"/>
    <n v="0"/>
    <n v="0"/>
    <x v="0"/>
    <x v="0"/>
  </r>
  <r>
    <s v="ORD03355"/>
    <d v="2023-08-30T00:00:00"/>
    <x v="167"/>
    <x v="70"/>
    <n v="67"/>
    <s v="INV03355"/>
    <n v="67"/>
    <n v="68.572800000000001"/>
    <m/>
    <m/>
    <m/>
    <m/>
    <m/>
    <n v="68.572800000000001"/>
    <d v="2023-06-21T00:00:00"/>
    <n v="0"/>
    <n v="0"/>
    <n v="0"/>
    <n v="0"/>
    <n v="0"/>
    <n v="0"/>
    <n v="0"/>
    <x v="0"/>
    <n v="4594.3775999999998"/>
    <n v="4594.3775999999998"/>
    <n v="0"/>
    <n v="0"/>
    <x v="0"/>
    <x v="12"/>
  </r>
  <r>
    <s v="ORD03356"/>
    <d v="2023-01-28T00:00:00"/>
    <x v="262"/>
    <x v="70"/>
    <n v="85"/>
    <s v="INV03356"/>
    <n v="94"/>
    <n v="72.858600000000024"/>
    <m/>
    <m/>
    <m/>
    <m/>
    <m/>
    <n v="72.858600000000024"/>
    <d v="2022-11-17T00:00:00"/>
    <n v="0"/>
    <n v="1"/>
    <n v="0"/>
    <n v="0"/>
    <n v="0"/>
    <n v="0"/>
    <n v="0"/>
    <x v="1"/>
    <n v="6848.7084000000023"/>
    <n v="6192.9810000000016"/>
    <n v="655.72740000000067"/>
    <n v="8"/>
    <x v="2"/>
    <x v="8"/>
  </r>
  <r>
    <s v="ORD03357"/>
    <d v="2024-07-01T00:00:00"/>
    <x v="153"/>
    <x v="62"/>
    <n v="90"/>
    <s v="INV03357"/>
    <n v="90"/>
    <n v="1080.0740000000001"/>
    <m/>
    <m/>
    <m/>
    <m/>
    <m/>
    <n v="1080.0740000000001"/>
    <d v="2023-05-12T00:00:00"/>
    <n v="0"/>
    <n v="0"/>
    <n v="0"/>
    <n v="0"/>
    <n v="0"/>
    <n v="0"/>
    <n v="0"/>
    <x v="0"/>
    <n v="97206.66"/>
    <n v="97206.66"/>
    <n v="0"/>
    <n v="0"/>
    <x v="0"/>
    <x v="21"/>
  </r>
  <r>
    <s v="ORD03358"/>
    <d v="2023-06-11T00:00:00"/>
    <x v="330"/>
    <x v="195"/>
    <n v="140"/>
    <s v="INV03358"/>
    <n v="140"/>
    <n v="793.03560000000004"/>
    <m/>
    <m/>
    <m/>
    <m/>
    <m/>
    <n v="793.03560000000004"/>
    <d v="2022-11-27T00:00:00"/>
    <n v="0"/>
    <n v="0"/>
    <n v="0"/>
    <n v="0"/>
    <n v="0"/>
    <n v="0"/>
    <n v="0"/>
    <x v="0"/>
    <n v="111024.98400000001"/>
    <n v="111024.98400000001"/>
    <n v="0"/>
    <n v="0"/>
    <x v="0"/>
    <x v="14"/>
  </r>
  <r>
    <s v="ORD03359"/>
    <d v="2023-03-01T00:00:00"/>
    <x v="65"/>
    <x v="56"/>
    <n v="2"/>
    <s v="INV03359"/>
    <n v="2"/>
    <n v="639.91840000000002"/>
    <m/>
    <m/>
    <m/>
    <m/>
    <m/>
    <n v="639.91840000000002"/>
    <d v="2023-01-04T00:00:00"/>
    <n v="0"/>
    <n v="0"/>
    <n v="0"/>
    <n v="0"/>
    <n v="0"/>
    <n v="0"/>
    <n v="0"/>
    <x v="0"/>
    <n v="1279.8368"/>
    <n v="1279.8368"/>
    <n v="0"/>
    <n v="0"/>
    <x v="0"/>
    <x v="17"/>
  </r>
  <r>
    <s v="ORD03360"/>
    <d v="2023-04-09T00:00:00"/>
    <x v="84"/>
    <x v="241"/>
    <n v="115"/>
    <s v="INV03360"/>
    <n v="115"/>
    <n v="854.74350000000004"/>
    <m/>
    <m/>
    <m/>
    <m/>
    <m/>
    <n v="854.74350000000004"/>
    <d v="2023-02-27T00:00:00"/>
    <n v="0"/>
    <n v="0"/>
    <n v="0"/>
    <n v="0"/>
    <n v="0"/>
    <n v="0"/>
    <n v="0"/>
    <x v="0"/>
    <n v="98295.502500000002"/>
    <n v="98295.502500000002"/>
    <n v="0"/>
    <n v="0"/>
    <x v="0"/>
    <x v="23"/>
  </r>
  <r>
    <s v="ORD03361"/>
    <d v="2023-07-23T00:00:00"/>
    <x v="656"/>
    <x v="293"/>
    <n v="79"/>
    <s v="INV03361"/>
    <n v="79"/>
    <n v="104.9652"/>
    <m/>
    <m/>
    <m/>
    <m/>
    <m/>
    <n v="104.9652"/>
    <d v="2023-05-20T00:00:00"/>
    <n v="0"/>
    <n v="0"/>
    <n v="0"/>
    <n v="0"/>
    <n v="0"/>
    <n v="0"/>
    <n v="0"/>
    <x v="0"/>
    <n v="8292.2507999999998"/>
    <n v="8292.2507999999998"/>
    <n v="0"/>
    <n v="0"/>
    <x v="0"/>
    <x v="10"/>
  </r>
  <r>
    <s v="ORD03362"/>
    <d v="2023-04-26T00:00:00"/>
    <x v="126"/>
    <x v="10"/>
    <n v="199"/>
    <s v="INV03362"/>
    <n v="199"/>
    <n v="461.69279999999998"/>
    <m/>
    <m/>
    <m/>
    <m/>
    <m/>
    <n v="461.69279999999998"/>
    <d v="2023-04-15T00:00:00"/>
    <n v="0"/>
    <n v="0"/>
    <n v="0"/>
    <n v="0"/>
    <n v="0"/>
    <n v="0"/>
    <n v="0"/>
    <x v="0"/>
    <n v="91876.867199999993"/>
    <n v="91876.867199999993"/>
    <n v="0"/>
    <n v="0"/>
    <x v="0"/>
    <x v="23"/>
  </r>
  <r>
    <s v="ORD03363"/>
    <d v="2023-03-24T00:00:00"/>
    <x v="770"/>
    <x v="12"/>
    <n v="100"/>
    <s v="INV03363"/>
    <n v="100"/>
    <n v="725.50320000000011"/>
    <m/>
    <m/>
    <m/>
    <m/>
    <m/>
    <n v="725.50320000000011"/>
    <d v="2022-10-24T00:00:00"/>
    <n v="0"/>
    <n v="0"/>
    <n v="0"/>
    <n v="0"/>
    <n v="0"/>
    <n v="0"/>
    <n v="0"/>
    <x v="0"/>
    <n v="72550.320000000007"/>
    <n v="72550.320000000007"/>
    <n v="0"/>
    <n v="0"/>
    <x v="0"/>
    <x v="17"/>
  </r>
  <r>
    <s v="ORD03364"/>
    <d v="2023-02-12T00:00:00"/>
    <x v="440"/>
    <x v="94"/>
    <n v="158"/>
    <s v="INV03364"/>
    <n v="158"/>
    <n v="813.36839999999995"/>
    <m/>
    <m/>
    <m/>
    <m/>
    <m/>
    <n v="813.36839999999995"/>
    <d v="2023-01-03T00:00:00"/>
    <n v="0"/>
    <n v="0"/>
    <n v="0"/>
    <n v="0"/>
    <n v="0"/>
    <n v="0"/>
    <n v="0"/>
    <x v="0"/>
    <n v="128512.20719999999"/>
    <n v="128512.20719999999"/>
    <n v="0"/>
    <n v="0"/>
    <x v="0"/>
    <x v="11"/>
  </r>
  <r>
    <s v="ORD03365"/>
    <d v="2023-03-12T00:00:00"/>
    <x v="652"/>
    <x v="15"/>
    <n v="198"/>
    <s v="INV03365"/>
    <n v="198"/>
    <n v="1039.0536"/>
    <m/>
    <m/>
    <m/>
    <m/>
    <m/>
    <n v="1039.0536"/>
    <d v="2023-02-04T00:00:00"/>
    <n v="0"/>
    <n v="0"/>
    <n v="0"/>
    <n v="0"/>
    <n v="0"/>
    <n v="0"/>
    <n v="0"/>
    <x v="0"/>
    <n v="205732.6128"/>
    <n v="205732.6128"/>
    <n v="0"/>
    <n v="0"/>
    <x v="0"/>
    <x v="17"/>
  </r>
  <r>
    <s v="ORD03366"/>
    <d v="2024-11-07T00:00:00"/>
    <x v="257"/>
    <x v="53"/>
    <n v="97"/>
    <s v="INV03366"/>
    <n v="97"/>
    <n v="393.40140000000002"/>
    <m/>
    <m/>
    <m/>
    <m/>
    <m/>
    <n v="393.40140000000002"/>
    <d v="2023-08-08T00:00:00"/>
    <n v="0"/>
    <n v="0"/>
    <n v="0"/>
    <n v="0"/>
    <n v="0"/>
    <n v="0"/>
    <n v="0"/>
    <x v="0"/>
    <n v="38159.935799999999"/>
    <n v="38159.935799999999"/>
    <n v="0"/>
    <n v="0"/>
    <x v="0"/>
    <x v="4"/>
  </r>
  <r>
    <s v="ORD03367"/>
    <d v="2023-02-11T00:00:00"/>
    <x v="528"/>
    <x v="115"/>
    <n v="116"/>
    <s v="INV03367"/>
    <n v="116"/>
    <n v="219.64"/>
    <m/>
    <m/>
    <m/>
    <m/>
    <m/>
    <n v="219.64"/>
    <d v="2022-05-11T00:00:00"/>
    <n v="0"/>
    <n v="0"/>
    <n v="0"/>
    <n v="0"/>
    <n v="0"/>
    <n v="0"/>
    <n v="0"/>
    <x v="0"/>
    <n v="25478.239999999998"/>
    <n v="25478.239999999998"/>
    <n v="0"/>
    <n v="0"/>
    <x v="0"/>
    <x v="11"/>
  </r>
  <r>
    <s v="ORD03368"/>
    <d v="2024-08-25T00:00:00"/>
    <x v="748"/>
    <x v="248"/>
    <n v="172"/>
    <s v="INV03368"/>
    <n v="172"/>
    <n v="226.88399999999999"/>
    <m/>
    <m/>
    <m/>
    <m/>
    <m/>
    <n v="226.88399999999999"/>
    <d v="2023-06-09T00:00:00"/>
    <n v="0"/>
    <n v="0"/>
    <n v="0"/>
    <n v="0"/>
    <n v="0"/>
    <n v="0"/>
    <n v="0"/>
    <x v="0"/>
    <n v="39024.047999999995"/>
    <n v="39024.047999999995"/>
    <n v="0"/>
    <n v="0"/>
    <x v="0"/>
    <x v="22"/>
  </r>
  <r>
    <s v="ORD03369"/>
    <d v="2023-12-15T00:00:00"/>
    <x v="596"/>
    <x v="61"/>
    <n v="191"/>
    <s v="INV03369"/>
    <n v="191"/>
    <n v="759.48969999999997"/>
    <m/>
    <m/>
    <m/>
    <m/>
    <m/>
    <n v="759.48969999999997"/>
    <d v="2023-07-31T00:00:00"/>
    <n v="0"/>
    <n v="0"/>
    <n v="0"/>
    <n v="0"/>
    <n v="0"/>
    <n v="0"/>
    <n v="0"/>
    <x v="0"/>
    <n v="145062.53269999998"/>
    <n v="145062.53269999998"/>
    <n v="0"/>
    <n v="0"/>
    <x v="0"/>
    <x v="20"/>
  </r>
  <r>
    <s v="ORD03370"/>
    <d v="2024-05-12T00:00:00"/>
    <x v="504"/>
    <x v="101"/>
    <n v="51"/>
    <s v="INV03370"/>
    <n v="51"/>
    <n v="1223.9694"/>
    <m/>
    <m/>
    <m/>
    <m/>
    <m/>
    <n v="1223.9694"/>
    <d v="2023-08-16T00:00:00"/>
    <n v="0"/>
    <n v="0"/>
    <n v="0"/>
    <n v="0"/>
    <n v="0"/>
    <n v="0"/>
    <n v="0"/>
    <x v="0"/>
    <n v="62422.439399999996"/>
    <n v="62422.439399999996"/>
    <n v="0"/>
    <n v="0"/>
    <x v="0"/>
    <x v="13"/>
  </r>
  <r>
    <s v="ORD03371"/>
    <d v="2024-11-16T00:00:00"/>
    <x v="140"/>
    <x v="137"/>
    <n v="191"/>
    <s v="INV03371"/>
    <n v="191"/>
    <n v="1026.4637"/>
    <m/>
    <m/>
    <m/>
    <m/>
    <m/>
    <n v="1026.4637"/>
    <d v="2023-02-10T00:00:00"/>
    <n v="0"/>
    <n v="0"/>
    <n v="0"/>
    <n v="0"/>
    <n v="0"/>
    <n v="0"/>
    <n v="0"/>
    <x v="0"/>
    <n v="196054.5667"/>
    <n v="196054.5667"/>
    <n v="0"/>
    <n v="0"/>
    <x v="0"/>
    <x v="4"/>
  </r>
  <r>
    <s v="ORD03372"/>
    <d v="2023-11-30T00:00:00"/>
    <x v="278"/>
    <x v="218"/>
    <n v="178"/>
    <s v="INV03372"/>
    <n v="178"/>
    <n v="960.85850000000005"/>
    <m/>
    <m/>
    <m/>
    <m/>
    <m/>
    <n v="960.85850000000005"/>
    <d v="2023-05-03T00:00:00"/>
    <n v="0"/>
    <n v="0"/>
    <n v="0"/>
    <n v="0"/>
    <n v="0"/>
    <n v="0"/>
    <n v="0"/>
    <x v="0"/>
    <n v="171032.81299999999"/>
    <n v="171032.81299999999"/>
    <n v="0"/>
    <n v="0"/>
    <x v="0"/>
    <x v="0"/>
  </r>
  <r>
    <s v="ORD03373"/>
    <d v="2024-04-15T00:00:00"/>
    <x v="460"/>
    <x v="52"/>
    <n v="117"/>
    <s v="INV03373"/>
    <n v="117"/>
    <n v="61.845300000000002"/>
    <m/>
    <m/>
    <m/>
    <m/>
    <m/>
    <n v="61.845300000000002"/>
    <d v="2023-10-27T00:00:00"/>
    <n v="0"/>
    <n v="0"/>
    <n v="0"/>
    <n v="0"/>
    <n v="0"/>
    <n v="0"/>
    <n v="0"/>
    <x v="0"/>
    <n v="7235.9000999999998"/>
    <n v="7235.9000999999998"/>
    <n v="0"/>
    <n v="0"/>
    <x v="0"/>
    <x v="9"/>
  </r>
  <r>
    <s v="ORD03374"/>
    <d v="2023-07-30T00:00:00"/>
    <x v="735"/>
    <x v="9"/>
    <n v="71"/>
    <s v="INV03374"/>
    <n v="71"/>
    <n v="397.40159999999997"/>
    <m/>
    <m/>
    <m/>
    <m/>
    <m/>
    <n v="397.40159999999997"/>
    <d v="2023-04-05T00:00:00"/>
    <n v="0"/>
    <n v="0"/>
    <n v="0"/>
    <n v="0"/>
    <n v="0"/>
    <n v="0"/>
    <n v="0"/>
    <x v="0"/>
    <n v="28215.513599999998"/>
    <n v="28215.513599999998"/>
    <n v="0"/>
    <n v="0"/>
    <x v="0"/>
    <x v="10"/>
  </r>
  <r>
    <s v="ORD03375"/>
    <d v="2023-05-20T00:00:00"/>
    <x v="130"/>
    <x v="23"/>
    <n v="65"/>
    <s v="INV03375"/>
    <n v="65"/>
    <n v="77.398200000000003"/>
    <m/>
    <m/>
    <m/>
    <m/>
    <m/>
    <n v="77.398200000000003"/>
    <d v="2023-04-16T00:00:00"/>
    <n v="0"/>
    <n v="0"/>
    <n v="0"/>
    <n v="0"/>
    <n v="0"/>
    <n v="0"/>
    <n v="0"/>
    <x v="0"/>
    <n v="5030.8829999999998"/>
    <n v="5030.8829999999998"/>
    <n v="0"/>
    <n v="0"/>
    <x v="0"/>
    <x v="7"/>
  </r>
  <r>
    <s v="ORD03376"/>
    <d v="2023-12-14T00:00:00"/>
    <x v="236"/>
    <x v="137"/>
    <n v="184"/>
    <s v="INV03376"/>
    <n v="184"/>
    <n v="1026.4637"/>
    <m/>
    <m/>
    <m/>
    <m/>
    <m/>
    <n v="1026.4637"/>
    <d v="2023-02-10T00:00:00"/>
    <n v="0"/>
    <n v="0"/>
    <n v="0"/>
    <n v="0"/>
    <n v="0"/>
    <n v="0"/>
    <n v="0"/>
    <x v="0"/>
    <n v="188869.32080000002"/>
    <n v="188869.32080000002"/>
    <n v="0"/>
    <n v="0"/>
    <x v="0"/>
    <x v="20"/>
  </r>
  <r>
    <s v="ORD03377"/>
    <d v="2023-12-26T00:00:00"/>
    <x v="384"/>
    <x v="195"/>
    <n v="32"/>
    <s v="INV03377"/>
    <n v="32"/>
    <n v="825.40440000000001"/>
    <m/>
    <m/>
    <m/>
    <m/>
    <m/>
    <n v="825.40440000000001"/>
    <d v="2023-06-28T00:00:00"/>
    <n v="0"/>
    <n v="0"/>
    <n v="0"/>
    <n v="0"/>
    <n v="0"/>
    <n v="0"/>
    <n v="0"/>
    <x v="0"/>
    <n v="26412.9408"/>
    <n v="26412.9408"/>
    <n v="0"/>
    <n v="0"/>
    <x v="0"/>
    <x v="20"/>
  </r>
  <r>
    <s v="ORD03378"/>
    <d v="2024-04-15T00:00:00"/>
    <x v="258"/>
    <x v="175"/>
    <n v="87"/>
    <s v="INV03378"/>
    <n v="87"/>
    <n v="212.07900000000001"/>
    <m/>
    <m/>
    <m/>
    <m/>
    <m/>
    <n v="212.07900000000001"/>
    <d v="2023-05-11T00:00:00"/>
    <n v="0"/>
    <n v="0"/>
    <n v="0"/>
    <n v="0"/>
    <n v="0"/>
    <n v="0"/>
    <n v="0"/>
    <x v="0"/>
    <n v="18450.873"/>
    <n v="18450.873"/>
    <n v="0"/>
    <n v="0"/>
    <x v="0"/>
    <x v="9"/>
  </r>
  <r>
    <s v="ORD03379"/>
    <d v="2024-12-06T00:00:00"/>
    <x v="127"/>
    <x v="178"/>
    <n v="155"/>
    <s v="INV03379"/>
    <n v="155"/>
    <n v="479.40280000000007"/>
    <m/>
    <m/>
    <m/>
    <m/>
    <m/>
    <n v="479.40280000000007"/>
    <d v="2023-01-15T00:00:00"/>
    <n v="0"/>
    <n v="0"/>
    <n v="0"/>
    <n v="0"/>
    <n v="0"/>
    <n v="0"/>
    <n v="0"/>
    <x v="0"/>
    <n v="74307.434000000008"/>
    <n v="74307.434000000008"/>
    <n v="0"/>
    <n v="0"/>
    <x v="0"/>
    <x v="1"/>
  </r>
  <r>
    <s v="ORD03380"/>
    <d v="2024-09-13T00:00:00"/>
    <x v="756"/>
    <x v="277"/>
    <n v="165"/>
    <s v="INV03380"/>
    <n v="165"/>
    <n v="544.5"/>
    <m/>
    <m/>
    <m/>
    <m/>
    <m/>
    <n v="544.5"/>
    <d v="2023-08-21T00:00:00"/>
    <n v="0"/>
    <n v="0"/>
    <n v="0"/>
    <n v="0"/>
    <n v="0"/>
    <n v="0"/>
    <n v="0"/>
    <x v="0"/>
    <n v="89842.5"/>
    <n v="89842.5"/>
    <n v="0"/>
    <n v="0"/>
    <x v="0"/>
    <x v="2"/>
  </r>
  <r>
    <s v="ORD03381"/>
    <d v="2024-05-01T00:00:00"/>
    <x v="84"/>
    <x v="213"/>
    <n v="119"/>
    <s v="INV03381"/>
    <n v="119"/>
    <n v="872.7808"/>
    <m/>
    <m/>
    <m/>
    <m/>
    <m/>
    <n v="872.7808"/>
    <d v="2023-10-26T00:00:00"/>
    <n v="0"/>
    <n v="0"/>
    <n v="0"/>
    <n v="0"/>
    <n v="0"/>
    <n v="0"/>
    <n v="0"/>
    <x v="0"/>
    <n v="103860.9152"/>
    <n v="103860.9152"/>
    <n v="0"/>
    <n v="0"/>
    <x v="0"/>
    <x v="13"/>
  </r>
  <r>
    <s v="ORD03382"/>
    <d v="2024-09-29T00:00:00"/>
    <x v="668"/>
    <x v="243"/>
    <n v="52"/>
    <s v="INV03382"/>
    <n v="52"/>
    <n v="191.1936"/>
    <m/>
    <m/>
    <m/>
    <m/>
    <m/>
    <n v="191.1936"/>
    <d v="2023-04-10T00:00:00"/>
    <n v="0"/>
    <n v="0"/>
    <n v="0"/>
    <n v="0"/>
    <n v="0"/>
    <n v="0"/>
    <n v="0"/>
    <x v="0"/>
    <n v="9942.0671999999995"/>
    <n v="9942.0671999999995"/>
    <n v="0"/>
    <n v="0"/>
    <x v="0"/>
    <x v="2"/>
  </r>
  <r>
    <s v="ORD03383"/>
    <d v="2023-07-10T00:00:00"/>
    <x v="500"/>
    <x v="56"/>
    <n v="31"/>
    <s v="INV03383"/>
    <n v="31"/>
    <n v="639.91840000000002"/>
    <m/>
    <m/>
    <m/>
    <m/>
    <m/>
    <n v="639.91840000000002"/>
    <d v="2023-01-04T00:00:00"/>
    <n v="0"/>
    <n v="0"/>
    <n v="0"/>
    <n v="0"/>
    <n v="0"/>
    <n v="0"/>
    <n v="0"/>
    <x v="0"/>
    <n v="19837.470400000002"/>
    <n v="19837.470400000002"/>
    <n v="0"/>
    <n v="0"/>
    <x v="0"/>
    <x v="10"/>
  </r>
  <r>
    <s v="ORD03384"/>
    <d v="2023-02-19T00:00:00"/>
    <x v="665"/>
    <x v="156"/>
    <n v="31"/>
    <s v="INV03384"/>
    <n v="31"/>
    <n v="408.07569999999998"/>
    <m/>
    <m/>
    <m/>
    <m/>
    <m/>
    <n v="408.07569999999998"/>
    <d v="2022-09-16T00:00:00"/>
    <n v="0"/>
    <n v="0"/>
    <n v="0"/>
    <n v="0"/>
    <n v="0"/>
    <n v="0"/>
    <n v="0"/>
    <x v="0"/>
    <n v="12650.3467"/>
    <n v="12650.3467"/>
    <n v="0"/>
    <n v="0"/>
    <x v="0"/>
    <x v="11"/>
  </r>
  <r>
    <s v="ORD03385"/>
    <d v="2024-07-10T00:00:00"/>
    <x v="337"/>
    <x v="194"/>
    <n v="126"/>
    <s v="INV03385"/>
    <n v="126"/>
    <n v="416.04223977942024"/>
    <m/>
    <m/>
    <m/>
    <m/>
    <m/>
    <n v="415.8877"/>
    <d v="2023-08-08T00:00:00"/>
    <n v="0"/>
    <n v="0"/>
    <n v="1"/>
    <n v="0"/>
    <n v="0"/>
    <n v="0"/>
    <n v="0"/>
    <x v="1"/>
    <n v="52421.322212206949"/>
    <n v="52401.850200000001"/>
    <n v="19.47201220694842"/>
    <n v="4"/>
    <x v="1"/>
    <x v="21"/>
  </r>
  <r>
    <s v="ORD03386"/>
    <d v="2023-01-14T00:00:00"/>
    <x v="420"/>
    <x v="260"/>
    <n v="63"/>
    <s v="INV03386"/>
    <n v="63"/>
    <n v="952.9855"/>
    <n v="12"/>
    <d v="2024-12-19T00:00:00"/>
    <m/>
    <m/>
    <m/>
    <n v="952.9855"/>
    <d v="2022-09-16T00:00:00"/>
    <n v="0"/>
    <n v="0"/>
    <n v="0"/>
    <n v="0"/>
    <n v="0"/>
    <n v="1"/>
    <n v="0"/>
    <x v="1"/>
    <n v="60038.086499999998"/>
    <n v="60038.086499999998"/>
    <n v="0"/>
    <n v="2"/>
    <x v="1"/>
    <x v="8"/>
  </r>
  <r>
    <s v="ORD03387"/>
    <d v="2024-10-06T00:00:00"/>
    <x v="91"/>
    <x v="262"/>
    <n v="104"/>
    <s v="INV03387"/>
    <n v="104"/>
    <n v="251.7122"/>
    <m/>
    <m/>
    <m/>
    <m/>
    <m/>
    <n v="251.7122"/>
    <d v="2023-06-11T00:00:00"/>
    <n v="0"/>
    <n v="0"/>
    <n v="0"/>
    <n v="0"/>
    <n v="0"/>
    <n v="0"/>
    <n v="0"/>
    <x v="0"/>
    <n v="26178.068800000001"/>
    <n v="26178.068800000001"/>
    <n v="0"/>
    <n v="0"/>
    <x v="0"/>
    <x v="5"/>
  </r>
  <r>
    <s v="ORD03388"/>
    <d v="2023-09-17T00:00:00"/>
    <x v="623"/>
    <x v="46"/>
    <n v="158"/>
    <s v="INV03388"/>
    <n v="158"/>
    <n v="509.36320000000001"/>
    <m/>
    <m/>
    <m/>
    <m/>
    <m/>
    <n v="509.36320000000001"/>
    <d v="2023-09-02T00:00:00"/>
    <n v="0"/>
    <n v="0"/>
    <n v="0"/>
    <n v="0"/>
    <n v="0"/>
    <n v="0"/>
    <n v="0"/>
    <x v="0"/>
    <n v="80479.385599999994"/>
    <n v="80479.385599999994"/>
    <n v="0"/>
    <n v="0"/>
    <x v="0"/>
    <x v="18"/>
  </r>
  <r>
    <s v="ORD03389"/>
    <d v="2023-03-21T00:00:00"/>
    <x v="608"/>
    <x v="61"/>
    <n v="69"/>
    <s v="INV03389"/>
    <n v="69"/>
    <n v="782.04880000000003"/>
    <m/>
    <m/>
    <m/>
    <m/>
    <m/>
    <n v="782.04880000000003"/>
    <d v="2023-03-11T00:00:00"/>
    <n v="0"/>
    <n v="0"/>
    <n v="0"/>
    <n v="0"/>
    <n v="0"/>
    <n v="0"/>
    <n v="0"/>
    <x v="0"/>
    <n v="53961.367200000001"/>
    <n v="53961.367200000001"/>
    <n v="0"/>
    <n v="0"/>
    <x v="0"/>
    <x v="17"/>
  </r>
  <r>
    <s v="ORD03390"/>
    <d v="2023-03-28T00:00:00"/>
    <x v="720"/>
    <x v="224"/>
    <n v="10"/>
    <s v="INV03390"/>
    <n v="10"/>
    <n v="358.416"/>
    <m/>
    <m/>
    <m/>
    <m/>
    <m/>
    <n v="358.416"/>
    <d v="2022-09-20T00:00:00"/>
    <n v="0"/>
    <n v="0"/>
    <n v="0"/>
    <n v="0"/>
    <n v="0"/>
    <n v="0"/>
    <n v="0"/>
    <x v="0"/>
    <n v="3584.16"/>
    <n v="3584.16"/>
    <n v="0"/>
    <n v="0"/>
    <x v="0"/>
    <x v="17"/>
  </r>
  <r>
    <s v="ORD03391"/>
    <d v="2024-01-21T00:00:00"/>
    <x v="158"/>
    <x v="77"/>
    <n v="154"/>
    <s v="INV03391"/>
    <n v="154"/>
    <n v="798.30030528349539"/>
    <n v="19"/>
    <d v="2024-05-22T00:00:00"/>
    <m/>
    <m/>
    <m/>
    <n v="798.14160000000004"/>
    <d v="2023-08-11T00:00:00"/>
    <n v="0"/>
    <n v="0"/>
    <n v="1"/>
    <n v="0"/>
    <n v="0"/>
    <n v="1"/>
    <n v="0"/>
    <x v="1"/>
    <n v="122938.24701365829"/>
    <n v="122913.8064"/>
    <n v="24.440613658283837"/>
    <n v="6"/>
    <x v="2"/>
    <x v="15"/>
  </r>
  <r>
    <s v="ORD03392"/>
    <d v="2024-10-10T00:00:00"/>
    <x v="51"/>
    <x v="100"/>
    <n v="7"/>
    <s v="INV03392"/>
    <n v="16"/>
    <n v="1231.9933000000001"/>
    <m/>
    <m/>
    <m/>
    <m/>
    <m/>
    <n v="1231.9933000000001"/>
    <d v="2023-01-08T00:00:00"/>
    <n v="0"/>
    <n v="1"/>
    <n v="0"/>
    <n v="0"/>
    <n v="0"/>
    <n v="0"/>
    <n v="0"/>
    <x v="1"/>
    <n v="19711.892800000001"/>
    <n v="8623.9531000000006"/>
    <n v="11087.939700000001"/>
    <n v="8"/>
    <x v="2"/>
    <x v="5"/>
  </r>
  <r>
    <s v="ORD03393"/>
    <d v="2024-10-02T00:00:00"/>
    <x v="750"/>
    <x v="204"/>
    <n v="20"/>
    <s v="INV03393"/>
    <n v="20"/>
    <n v="940.1952"/>
    <m/>
    <m/>
    <m/>
    <m/>
    <m/>
    <n v="940.1952"/>
    <d v="2023-05-12T00:00:00"/>
    <n v="0"/>
    <n v="0"/>
    <n v="0"/>
    <n v="0"/>
    <n v="0"/>
    <n v="0"/>
    <n v="0"/>
    <x v="0"/>
    <n v="18803.903999999999"/>
    <n v="18803.903999999999"/>
    <n v="0"/>
    <n v="0"/>
    <x v="0"/>
    <x v="5"/>
  </r>
  <r>
    <s v="ORD03394"/>
    <d v="2024-04-06T00:00:00"/>
    <x v="251"/>
    <x v="239"/>
    <n v="138"/>
    <s v="INV03394"/>
    <n v="138"/>
    <n v="1197.9306999999999"/>
    <m/>
    <m/>
    <m/>
    <m/>
    <m/>
    <n v="1197.9306999999999"/>
    <d v="2023-06-12T00:00:00"/>
    <n v="0"/>
    <n v="0"/>
    <n v="0"/>
    <n v="0"/>
    <n v="0"/>
    <n v="0"/>
    <n v="0"/>
    <x v="0"/>
    <n v="165314.43659999999"/>
    <n v="165314.43659999999"/>
    <n v="0"/>
    <n v="0"/>
    <x v="0"/>
    <x v="9"/>
  </r>
  <r>
    <s v="ORD03395"/>
    <d v="2023-04-26T00:00:00"/>
    <x v="296"/>
    <x v="118"/>
    <n v="174"/>
    <s v="INV03395"/>
    <n v="174"/>
    <n v="134.64880000000002"/>
    <m/>
    <m/>
    <m/>
    <m/>
    <m/>
    <n v="134.64880000000002"/>
    <d v="2023-03-06T00:00:00"/>
    <n v="0"/>
    <n v="0"/>
    <n v="0"/>
    <n v="0"/>
    <n v="0"/>
    <n v="0"/>
    <n v="0"/>
    <x v="0"/>
    <n v="23428.891200000005"/>
    <n v="23428.891200000005"/>
    <n v="0"/>
    <n v="0"/>
    <x v="0"/>
    <x v="23"/>
  </r>
  <r>
    <s v="ORD03396"/>
    <d v="2024-03-19T00:00:00"/>
    <x v="354"/>
    <x v="46"/>
    <n v="67"/>
    <s v="INV03396"/>
    <n v="67"/>
    <n v="509.36320000000001"/>
    <m/>
    <m/>
    <m/>
    <m/>
    <m/>
    <n v="509.36320000000001"/>
    <d v="2023-09-02T00:00:00"/>
    <n v="0"/>
    <n v="0"/>
    <n v="0"/>
    <n v="0"/>
    <n v="0"/>
    <n v="0"/>
    <n v="0"/>
    <x v="0"/>
    <n v="34127.3344"/>
    <n v="34127.3344"/>
    <n v="0"/>
    <n v="0"/>
    <x v="0"/>
    <x v="6"/>
  </r>
  <r>
    <s v="ORD03397"/>
    <d v="2024-03-26T00:00:00"/>
    <x v="161"/>
    <x v="158"/>
    <n v="181"/>
    <s v="INV03397"/>
    <n v="181"/>
    <n v="754.20799999999997"/>
    <m/>
    <m/>
    <m/>
    <m/>
    <m/>
    <n v="754.20799999999997"/>
    <d v="2023-05-23T00:00:00"/>
    <n v="0"/>
    <n v="0"/>
    <n v="0"/>
    <n v="0"/>
    <n v="0"/>
    <n v="0"/>
    <n v="0"/>
    <x v="0"/>
    <n v="136511.64799999999"/>
    <n v="136511.64799999999"/>
    <n v="0"/>
    <n v="0"/>
    <x v="0"/>
    <x v="6"/>
  </r>
  <r>
    <s v="ORD03398"/>
    <d v="2023-11-26T00:00:00"/>
    <x v="641"/>
    <x v="144"/>
    <n v="138"/>
    <s v="INV03398"/>
    <n v="138"/>
    <n v="324.52350000000001"/>
    <m/>
    <m/>
    <m/>
    <m/>
    <m/>
    <n v="324.52350000000001"/>
    <d v="2023-06-23T00:00:00"/>
    <n v="0"/>
    <n v="0"/>
    <n v="0"/>
    <n v="0"/>
    <n v="0"/>
    <n v="0"/>
    <n v="0"/>
    <x v="0"/>
    <n v="44784.243000000002"/>
    <n v="44784.243000000002"/>
    <n v="0"/>
    <n v="0"/>
    <x v="0"/>
    <x v="0"/>
  </r>
  <r>
    <s v="ORD03399"/>
    <d v="2024-12-28T00:00:00"/>
    <x v="34"/>
    <x v="10"/>
    <n v="36"/>
    <s v="INV03399"/>
    <n v="36"/>
    <n v="461.69279999999998"/>
    <m/>
    <m/>
    <m/>
    <m/>
    <m/>
    <n v="461.69279999999998"/>
    <d v="2023-04-15T00:00:00"/>
    <n v="0"/>
    <n v="0"/>
    <n v="0"/>
    <n v="0"/>
    <n v="0"/>
    <n v="0"/>
    <n v="0"/>
    <x v="0"/>
    <n v="16620.9408"/>
    <n v="16620.9408"/>
    <n v="0"/>
    <n v="0"/>
    <x v="0"/>
    <x v="1"/>
  </r>
  <r>
    <s v="ORD03400"/>
    <d v="2024-03-07T00:00:00"/>
    <x v="212"/>
    <x v="278"/>
    <n v="63"/>
    <s v="INV03400"/>
    <n v="63"/>
    <n v="312.56310000000002"/>
    <m/>
    <m/>
    <m/>
    <m/>
    <m/>
    <n v="312.56310000000002"/>
    <d v="2023-04-12T00:00:00"/>
    <n v="0"/>
    <n v="0"/>
    <n v="0"/>
    <n v="0"/>
    <n v="0"/>
    <n v="0"/>
    <n v="0"/>
    <x v="0"/>
    <n v="19691.475300000002"/>
    <n v="19691.475300000002"/>
    <n v="0"/>
    <n v="0"/>
    <x v="0"/>
    <x v="6"/>
  </r>
  <r>
    <s v="ORD03401"/>
    <d v="2024-01-03T00:00:00"/>
    <x v="579"/>
    <x v="80"/>
    <n v="178"/>
    <s v="INV03401"/>
    <n v="178"/>
    <n v="1014.5718000000001"/>
    <m/>
    <m/>
    <m/>
    <m/>
    <m/>
    <n v="1014.5718000000001"/>
    <d v="2023-04-19T00:00:00"/>
    <n v="0"/>
    <n v="0"/>
    <n v="0"/>
    <n v="0"/>
    <n v="0"/>
    <n v="0"/>
    <n v="0"/>
    <x v="0"/>
    <n v="180593.78040000002"/>
    <n v="180593.78040000002"/>
    <n v="0"/>
    <n v="0"/>
    <x v="0"/>
    <x v="15"/>
  </r>
  <r>
    <s v="ORD03402"/>
    <d v="2024-03-30T00:00:00"/>
    <x v="589"/>
    <x v="257"/>
    <n v="129"/>
    <s v="INV03402"/>
    <n v="129"/>
    <n v="296.17460000000005"/>
    <m/>
    <m/>
    <m/>
    <m/>
    <m/>
    <n v="296.17460000000005"/>
    <d v="2023-09-25T00:00:00"/>
    <n v="0"/>
    <n v="0"/>
    <n v="0"/>
    <n v="0"/>
    <n v="0"/>
    <n v="0"/>
    <n v="0"/>
    <x v="0"/>
    <n v="38206.523400000005"/>
    <n v="38206.523400000005"/>
    <n v="0"/>
    <n v="0"/>
    <x v="0"/>
    <x v="6"/>
  </r>
  <r>
    <s v="ORD03403"/>
    <d v="2024-02-29T00:00:00"/>
    <x v="284"/>
    <x v="124"/>
    <n v="75"/>
    <s v="INV03403"/>
    <n v="75"/>
    <n v="381.97550000000001"/>
    <m/>
    <m/>
    <m/>
    <m/>
    <m/>
    <n v="381.97550000000001"/>
    <d v="2023-05-19T00:00:00"/>
    <n v="0"/>
    <n v="0"/>
    <n v="0"/>
    <n v="0"/>
    <n v="0"/>
    <n v="0"/>
    <n v="0"/>
    <x v="0"/>
    <n v="28648.162500000002"/>
    <n v="28648.162500000002"/>
    <n v="0"/>
    <n v="0"/>
    <x v="0"/>
    <x v="3"/>
  </r>
  <r>
    <s v="ORD03404"/>
    <d v="2024-10-04T00:00:00"/>
    <x v="558"/>
    <x v="59"/>
    <n v="153"/>
    <s v="INV03404"/>
    <n v="153"/>
    <n v="942.54840000000013"/>
    <n v="17"/>
    <d v="2023-04-08T00:00:00"/>
    <m/>
    <m/>
    <m/>
    <n v="942.54840000000013"/>
    <d v="2023-06-09T00:00:00"/>
    <n v="0"/>
    <n v="0"/>
    <n v="0"/>
    <n v="0"/>
    <n v="0"/>
    <n v="0"/>
    <n v="0"/>
    <x v="0"/>
    <n v="144209.90520000001"/>
    <n v="144209.90520000001"/>
    <n v="0"/>
    <n v="0"/>
    <x v="0"/>
    <x v="5"/>
  </r>
  <r>
    <s v="ORD03405"/>
    <d v="2024-10-26T00:00:00"/>
    <x v="479"/>
    <x v="144"/>
    <n v="40"/>
    <s v="INV03405"/>
    <n v="40"/>
    <n v="324.52350000000001"/>
    <n v="9"/>
    <d v="2023-05-27T00:00:00"/>
    <m/>
    <m/>
    <m/>
    <n v="324.52350000000001"/>
    <d v="2023-06-23T00:00:00"/>
    <n v="0"/>
    <n v="0"/>
    <n v="0"/>
    <n v="0"/>
    <n v="0"/>
    <n v="0"/>
    <n v="0"/>
    <x v="0"/>
    <n v="12980.94"/>
    <n v="12980.94"/>
    <n v="0"/>
    <n v="0"/>
    <x v="0"/>
    <x v="5"/>
  </r>
  <r>
    <s v="ORD03406"/>
    <d v="2023-07-24T00:00:00"/>
    <x v="175"/>
    <x v="198"/>
    <n v="138"/>
    <s v="INV03406"/>
    <n v="138"/>
    <n v="906.88919999999996"/>
    <m/>
    <m/>
    <m/>
    <m/>
    <m/>
    <n v="906.88919999999996"/>
    <d v="2023-03-06T00:00:00"/>
    <n v="0"/>
    <n v="0"/>
    <n v="0"/>
    <n v="0"/>
    <n v="0"/>
    <n v="0"/>
    <n v="0"/>
    <x v="0"/>
    <n v="125150.70959999999"/>
    <n v="125150.70959999999"/>
    <n v="0"/>
    <n v="0"/>
    <x v="0"/>
    <x v="10"/>
  </r>
  <r>
    <s v="ORD03407"/>
    <d v="2023-07-06T00:00:00"/>
    <x v="38"/>
    <x v="16"/>
    <n v="84"/>
    <s v="INV03407"/>
    <n v="84"/>
    <n v="78.696099999999987"/>
    <m/>
    <m/>
    <m/>
    <m/>
    <m/>
    <n v="78.696099999999987"/>
    <d v="2023-06-06T00:00:00"/>
    <n v="0"/>
    <n v="0"/>
    <n v="0"/>
    <n v="0"/>
    <n v="0"/>
    <n v="0"/>
    <n v="0"/>
    <x v="0"/>
    <n v="6610.4723999999987"/>
    <n v="6610.4723999999987"/>
    <n v="0"/>
    <n v="0"/>
    <x v="0"/>
    <x v="10"/>
  </r>
  <r>
    <s v="ORD03408"/>
    <d v="2023-08-29T00:00:00"/>
    <x v="495"/>
    <x v="167"/>
    <n v="112"/>
    <s v="INV03408"/>
    <n v="112"/>
    <n v="226.55009366787507"/>
    <m/>
    <m/>
    <m/>
    <m/>
    <m/>
    <n v="226.1644"/>
    <d v="2023-08-01T00:00:00"/>
    <n v="0"/>
    <n v="0"/>
    <n v="1"/>
    <n v="0"/>
    <n v="0"/>
    <n v="0"/>
    <n v="0"/>
    <x v="1"/>
    <n v="25373.61049080201"/>
    <n v="25330.412799999998"/>
    <n v="43.197690802011493"/>
    <n v="4"/>
    <x v="1"/>
    <x v="12"/>
  </r>
  <r>
    <s v="ORD03409"/>
    <d v="2023-01-26T00:00:00"/>
    <x v="585"/>
    <x v="171"/>
    <n v="134"/>
    <s v="INV03409"/>
    <n v="134"/>
    <n v="121.13"/>
    <m/>
    <m/>
    <m/>
    <m/>
    <m/>
    <n v="121.13"/>
    <d v="2022-02-16T00:00:00"/>
    <n v="0"/>
    <n v="0"/>
    <n v="0"/>
    <n v="0"/>
    <n v="0"/>
    <n v="0"/>
    <n v="0"/>
    <x v="0"/>
    <n v="16231.42"/>
    <n v="16231.42"/>
    <n v="0"/>
    <n v="0"/>
    <x v="0"/>
    <x v="8"/>
  </r>
  <r>
    <s v="ORD03410"/>
    <d v="2024-11-29T00:00:00"/>
    <x v="41"/>
    <x v="119"/>
    <n v="157"/>
    <s v="INV03410"/>
    <n v="157"/>
    <n v="88.578000000000003"/>
    <m/>
    <m/>
    <m/>
    <m/>
    <m/>
    <n v="88.578000000000003"/>
    <d v="2023-06-30T00:00:00"/>
    <n v="0"/>
    <n v="0"/>
    <n v="0"/>
    <n v="0"/>
    <n v="0"/>
    <n v="0"/>
    <n v="0"/>
    <x v="0"/>
    <n v="13906.746000000001"/>
    <n v="13906.746000000001"/>
    <n v="0"/>
    <n v="0"/>
    <x v="0"/>
    <x v="4"/>
  </r>
  <r>
    <s v="ORD03411"/>
    <d v="2023-08-16T00:00:00"/>
    <x v="328"/>
    <x v="244"/>
    <n v="12"/>
    <s v="INV03411"/>
    <n v="12"/>
    <n v="1072.2954"/>
    <m/>
    <m/>
    <m/>
    <m/>
    <m/>
    <n v="1072.2954"/>
    <d v="2023-07-13T00:00:00"/>
    <n v="0"/>
    <n v="0"/>
    <n v="0"/>
    <n v="0"/>
    <n v="0"/>
    <n v="0"/>
    <n v="0"/>
    <x v="0"/>
    <n v="12867.5448"/>
    <n v="12867.5448"/>
    <n v="0"/>
    <n v="0"/>
    <x v="0"/>
    <x v="12"/>
  </r>
  <r>
    <s v="ORD03412"/>
    <d v="2024-03-24T00:00:00"/>
    <x v="672"/>
    <x v="292"/>
    <n v="191"/>
    <s v="INV03412"/>
    <n v="191"/>
    <n v="850.88400000000001"/>
    <m/>
    <m/>
    <m/>
    <m/>
    <m/>
    <n v="850.88400000000001"/>
    <d v="2023-06-23T00:00:00"/>
    <n v="0"/>
    <n v="0"/>
    <n v="0"/>
    <n v="0"/>
    <n v="0"/>
    <n v="0"/>
    <n v="0"/>
    <x v="0"/>
    <n v="162518.84400000001"/>
    <n v="162518.84400000001"/>
    <n v="0"/>
    <n v="0"/>
    <x v="0"/>
    <x v="6"/>
  </r>
  <r>
    <s v="ORD03413"/>
    <d v="2024-03-28T00:00:00"/>
    <x v="113"/>
    <x v="117"/>
    <n v="179"/>
    <s v="INV03413"/>
    <n v="188"/>
    <n v="214.6182"/>
    <m/>
    <m/>
    <m/>
    <m/>
    <m/>
    <n v="214.6182"/>
    <d v="2023-07-09T00:00:00"/>
    <n v="0"/>
    <n v="1"/>
    <n v="0"/>
    <n v="0"/>
    <n v="0"/>
    <n v="0"/>
    <n v="0"/>
    <x v="1"/>
    <n v="40348.221599999997"/>
    <n v="38416.657800000001"/>
    <n v="1931.5637999999963"/>
    <n v="8"/>
    <x v="2"/>
    <x v="6"/>
  </r>
  <r>
    <s v="ORD03414"/>
    <d v="2024-06-25T00:00:00"/>
    <x v="597"/>
    <x v="4"/>
    <n v="80"/>
    <s v="INV03414"/>
    <n v="80"/>
    <n v="353.52719999999999"/>
    <m/>
    <m/>
    <m/>
    <m/>
    <m/>
    <n v="353.52719999999999"/>
    <d v="2023-09-13T00:00:00"/>
    <n v="0"/>
    <n v="0"/>
    <n v="0"/>
    <n v="0"/>
    <n v="0"/>
    <n v="0"/>
    <n v="0"/>
    <x v="0"/>
    <n v="28282.175999999999"/>
    <n v="28282.175999999999"/>
    <n v="0"/>
    <n v="0"/>
    <x v="0"/>
    <x v="16"/>
  </r>
  <r>
    <s v="ORD03415"/>
    <d v="2023-05-02T00:00:00"/>
    <x v="621"/>
    <x v="82"/>
    <n v="140"/>
    <s v="INV03415"/>
    <n v="140"/>
    <n v="285.36900000000003"/>
    <m/>
    <m/>
    <m/>
    <m/>
    <m/>
    <n v="285.36900000000003"/>
    <d v="2023-01-06T00:00:00"/>
    <n v="0"/>
    <n v="0"/>
    <n v="0"/>
    <n v="0"/>
    <n v="0"/>
    <n v="0"/>
    <n v="0"/>
    <x v="0"/>
    <n v="39951.660000000003"/>
    <n v="39951.660000000003"/>
    <n v="0"/>
    <n v="0"/>
    <x v="0"/>
    <x v="7"/>
  </r>
  <r>
    <s v="ORD03416"/>
    <d v="2024-11-05T00:00:00"/>
    <x v="397"/>
    <x v="143"/>
    <n v="149"/>
    <s v="INV03416"/>
    <n v="149"/>
    <n v="893.8972"/>
    <n v="10"/>
    <d v="2023-09-06T00:00:00"/>
    <m/>
    <m/>
    <m/>
    <n v="893.8972"/>
    <d v="2023-05-03T00:00:00"/>
    <n v="0"/>
    <n v="0"/>
    <n v="0"/>
    <n v="0"/>
    <n v="0"/>
    <n v="0"/>
    <n v="0"/>
    <x v="0"/>
    <n v="133190.68280000001"/>
    <n v="133190.68280000001"/>
    <n v="0"/>
    <n v="0"/>
    <x v="0"/>
    <x v="4"/>
  </r>
  <r>
    <s v="ORD03417"/>
    <d v="2024-12-31T00:00:00"/>
    <x v="756"/>
    <x v="105"/>
    <n v="12"/>
    <s v="INV03417"/>
    <n v="12"/>
    <n v="1085.8974999999998"/>
    <m/>
    <m/>
    <m/>
    <m/>
    <m/>
    <n v="1085.8974999999998"/>
    <d v="2023-08-09T00:00:00"/>
    <n v="0"/>
    <n v="0"/>
    <n v="0"/>
    <n v="0"/>
    <n v="0"/>
    <n v="0"/>
    <n v="0"/>
    <x v="0"/>
    <n v="13030.769999999997"/>
    <n v="13030.769999999997"/>
    <n v="0"/>
    <n v="0"/>
    <x v="0"/>
    <x v="1"/>
  </r>
  <r>
    <s v="ORD03418"/>
    <d v="2023-11-30T00:00:00"/>
    <x v="500"/>
    <x v="289"/>
    <n v="28"/>
    <s v="INV03418"/>
    <n v="28"/>
    <n v="380.30540000000002"/>
    <m/>
    <m/>
    <m/>
    <m/>
    <m/>
    <n v="380.30540000000002"/>
    <d v="2023-10-13T00:00:00"/>
    <n v="0"/>
    <n v="0"/>
    <n v="0"/>
    <n v="0"/>
    <n v="0"/>
    <n v="0"/>
    <n v="0"/>
    <x v="0"/>
    <n v="10648.5512"/>
    <n v="10648.5512"/>
    <n v="0"/>
    <n v="0"/>
    <x v="0"/>
    <x v="0"/>
  </r>
  <r>
    <s v="ORD03419"/>
    <d v="2024-06-28T00:00:00"/>
    <x v="429"/>
    <x v="76"/>
    <n v="179"/>
    <s v="INV03419"/>
    <n v="179"/>
    <n v="1114.2336"/>
    <n v="8"/>
    <d v="2023-10-19T00:00:00"/>
    <m/>
    <m/>
    <m/>
    <n v="1114.2336"/>
    <d v="2023-08-03T00:00:00"/>
    <n v="0"/>
    <n v="0"/>
    <n v="0"/>
    <n v="0"/>
    <n v="0"/>
    <n v="0"/>
    <n v="0"/>
    <x v="0"/>
    <n v="199447.8144"/>
    <n v="199447.8144"/>
    <n v="0"/>
    <n v="0"/>
    <x v="0"/>
    <x v="16"/>
  </r>
  <r>
    <s v="ORD03420"/>
    <d v="2024-07-19T00:00:00"/>
    <x v="99"/>
    <x v="81"/>
    <n v="93"/>
    <s v="INV03420"/>
    <n v="93"/>
    <n v="269.178"/>
    <m/>
    <m/>
    <m/>
    <m/>
    <m/>
    <n v="269.178"/>
    <d v="2023-08-20T00:00:00"/>
    <n v="0"/>
    <n v="0"/>
    <n v="0"/>
    <n v="0"/>
    <n v="0"/>
    <n v="0"/>
    <n v="0"/>
    <x v="0"/>
    <n v="25033.554"/>
    <n v="25033.554"/>
    <n v="0"/>
    <n v="0"/>
    <x v="0"/>
    <x v="21"/>
  </r>
  <r>
    <s v="ORD03421"/>
    <d v="2024-02-18T00:00:00"/>
    <x v="759"/>
    <x v="265"/>
    <n v="183"/>
    <s v="INV03421"/>
    <n v="183"/>
    <n v="223.6044"/>
    <m/>
    <m/>
    <m/>
    <m/>
    <m/>
    <n v="223.6044"/>
    <d v="2023-06-14T00:00:00"/>
    <n v="0"/>
    <n v="0"/>
    <n v="0"/>
    <n v="0"/>
    <n v="0"/>
    <n v="0"/>
    <n v="0"/>
    <x v="0"/>
    <n v="40919.605199999998"/>
    <n v="40919.605199999998"/>
    <n v="0"/>
    <n v="0"/>
    <x v="0"/>
    <x v="3"/>
  </r>
  <r>
    <s v="ORD03422"/>
    <d v="2023-12-11T00:00:00"/>
    <x v="484"/>
    <x v="287"/>
    <n v="191"/>
    <s v="INV03422"/>
    <n v="191"/>
    <n v="720.47380000000021"/>
    <m/>
    <m/>
    <m/>
    <m/>
    <m/>
    <n v="720.47380000000021"/>
    <d v="2023-04-10T00:00:00"/>
    <n v="0"/>
    <n v="0"/>
    <n v="0"/>
    <n v="0"/>
    <n v="0"/>
    <n v="0"/>
    <n v="0"/>
    <x v="0"/>
    <n v="137610.49580000003"/>
    <n v="137610.49580000003"/>
    <n v="0"/>
    <n v="0"/>
    <x v="0"/>
    <x v="20"/>
  </r>
  <r>
    <s v="ORD03423"/>
    <d v="2023-04-19T00:00:00"/>
    <x v="469"/>
    <x v="70"/>
    <n v="111"/>
    <s v="INV03423"/>
    <n v="111"/>
    <n v="72.858600000000024"/>
    <m/>
    <m/>
    <m/>
    <m/>
    <m/>
    <n v="72.858600000000024"/>
    <d v="2022-11-17T00:00:00"/>
    <n v="0"/>
    <n v="0"/>
    <n v="0"/>
    <n v="0"/>
    <n v="0"/>
    <n v="0"/>
    <n v="0"/>
    <x v="0"/>
    <n v="8087.3046000000031"/>
    <n v="8087.3046000000031"/>
    <n v="0"/>
    <n v="0"/>
    <x v="0"/>
    <x v="23"/>
  </r>
  <r>
    <s v="ORD03424"/>
    <d v="2023-09-25T00:00:00"/>
    <x v="513"/>
    <x v="138"/>
    <n v="184"/>
    <s v="INV03424"/>
    <n v="184"/>
    <n v="153.01650000000001"/>
    <m/>
    <m/>
    <m/>
    <m/>
    <m/>
    <n v="153.01650000000001"/>
    <d v="2023-05-18T00:00:00"/>
    <n v="0"/>
    <n v="0"/>
    <n v="0"/>
    <n v="0"/>
    <n v="0"/>
    <n v="0"/>
    <n v="0"/>
    <x v="0"/>
    <n v="28155.036"/>
    <n v="28155.036"/>
    <n v="0"/>
    <n v="0"/>
    <x v="0"/>
    <x v="18"/>
  </r>
  <r>
    <s v="ORD03425"/>
    <d v="2024-04-17T00:00:00"/>
    <x v="336"/>
    <x v="255"/>
    <n v="181"/>
    <s v="INV03425"/>
    <n v="181"/>
    <n v="1178.6880000000001"/>
    <m/>
    <m/>
    <m/>
    <m/>
    <m/>
    <n v="1178.6880000000001"/>
    <d v="2023-01-04T00:00:00"/>
    <n v="0"/>
    <n v="0"/>
    <n v="0"/>
    <n v="0"/>
    <n v="0"/>
    <n v="0"/>
    <n v="0"/>
    <x v="0"/>
    <n v="213342.52800000002"/>
    <n v="213342.52800000002"/>
    <n v="0"/>
    <n v="0"/>
    <x v="0"/>
    <x v="9"/>
  </r>
  <r>
    <s v="ORD03426"/>
    <d v="2024-07-08T00:00:00"/>
    <x v="688"/>
    <x v="142"/>
    <n v="3"/>
    <s v="INV03426"/>
    <n v="3"/>
    <n v="752.48910000000001"/>
    <m/>
    <m/>
    <m/>
    <m/>
    <m/>
    <n v="752.48910000000001"/>
    <d v="2023-01-27T00:00:00"/>
    <n v="0"/>
    <n v="0"/>
    <n v="0"/>
    <n v="0"/>
    <n v="0"/>
    <n v="0"/>
    <n v="0"/>
    <x v="0"/>
    <n v="2257.4673000000003"/>
    <n v="2257.4673000000003"/>
    <n v="0"/>
    <n v="0"/>
    <x v="0"/>
    <x v="21"/>
  </r>
  <r>
    <s v="ORD03427"/>
    <d v="2024-08-23T00:00:00"/>
    <x v="181"/>
    <x v="57"/>
    <n v="17"/>
    <s v="INV03427"/>
    <n v="24"/>
    <n v="517.39100000000008"/>
    <m/>
    <m/>
    <m/>
    <m/>
    <m/>
    <n v="517.39100000000008"/>
    <d v="2023-04-29T00:00:00"/>
    <n v="0"/>
    <n v="1"/>
    <n v="0"/>
    <n v="0"/>
    <n v="0"/>
    <n v="0"/>
    <n v="0"/>
    <x v="1"/>
    <n v="12417.384000000002"/>
    <n v="8795.6470000000008"/>
    <n v="3621.737000000001"/>
    <n v="8"/>
    <x v="2"/>
    <x v="22"/>
  </r>
  <r>
    <s v="ORD03428"/>
    <d v="2024-06-02T00:00:00"/>
    <x v="685"/>
    <x v="219"/>
    <n v="132"/>
    <s v="INV03428"/>
    <n v="132"/>
    <n v="556.99"/>
    <m/>
    <m/>
    <m/>
    <m/>
    <m/>
    <n v="556.99"/>
    <d v="2023-08-09T00:00:00"/>
    <n v="0"/>
    <n v="0"/>
    <n v="0"/>
    <n v="0"/>
    <n v="0"/>
    <n v="0"/>
    <n v="0"/>
    <x v="0"/>
    <n v="73522.680000000008"/>
    <n v="73522.680000000008"/>
    <n v="0"/>
    <n v="0"/>
    <x v="0"/>
    <x v="16"/>
  </r>
  <r>
    <s v="ORD03429"/>
    <d v="2024-10-19T00:00:00"/>
    <x v="702"/>
    <x v="216"/>
    <n v="173"/>
    <s v="INV03429"/>
    <n v="173"/>
    <n v="828.36189999999999"/>
    <m/>
    <m/>
    <m/>
    <m/>
    <m/>
    <n v="828.36189999999999"/>
    <d v="2023-07-30T00:00:00"/>
    <n v="0"/>
    <n v="0"/>
    <n v="0"/>
    <n v="0"/>
    <n v="0"/>
    <n v="0"/>
    <n v="0"/>
    <x v="0"/>
    <n v="143306.60870000001"/>
    <n v="143306.60870000001"/>
    <n v="0"/>
    <n v="0"/>
    <x v="0"/>
    <x v="5"/>
  </r>
  <r>
    <s v="ORD03430"/>
    <d v="2023-09-18T00:00:00"/>
    <x v="629"/>
    <x v="113"/>
    <n v="70"/>
    <s v="INV03430"/>
    <n v="70"/>
    <n v="951.54780000000005"/>
    <m/>
    <m/>
    <m/>
    <m/>
    <m/>
    <n v="951.54780000000005"/>
    <d v="2023-02-07T00:00:00"/>
    <n v="0"/>
    <n v="0"/>
    <n v="0"/>
    <n v="0"/>
    <n v="0"/>
    <n v="0"/>
    <n v="0"/>
    <x v="0"/>
    <n v="66608.346000000005"/>
    <n v="66608.346000000005"/>
    <n v="0"/>
    <n v="0"/>
    <x v="0"/>
    <x v="18"/>
  </r>
  <r>
    <s v="ORD03431"/>
    <d v="2024-09-13T00:00:00"/>
    <x v="677"/>
    <x v="39"/>
    <n v="128"/>
    <s v="INV03431"/>
    <n v="128"/>
    <n v="862.73640000000012"/>
    <m/>
    <m/>
    <m/>
    <m/>
    <m/>
    <n v="862.73640000000012"/>
    <d v="2023-10-24T00:00:00"/>
    <n v="0"/>
    <n v="0"/>
    <n v="0"/>
    <n v="0"/>
    <n v="0"/>
    <n v="0"/>
    <n v="0"/>
    <x v="0"/>
    <n v="110430.25920000001"/>
    <n v="110430.25920000001"/>
    <n v="0"/>
    <n v="0"/>
    <x v="0"/>
    <x v="2"/>
  </r>
  <r>
    <s v="ORD03432"/>
    <d v="2024-11-03T00:00:00"/>
    <x v="608"/>
    <x v="50"/>
    <n v="118"/>
    <s v="INV03432"/>
    <n v="118"/>
    <n v="49.450800000000001"/>
    <m/>
    <m/>
    <m/>
    <m/>
    <m/>
    <n v="49.450800000000001"/>
    <d v="2023-08-30T00:00:00"/>
    <n v="0"/>
    <n v="0"/>
    <n v="0"/>
    <n v="0"/>
    <n v="0"/>
    <n v="0"/>
    <n v="0"/>
    <x v="0"/>
    <n v="5835.1944000000003"/>
    <n v="5835.1944000000003"/>
    <n v="0"/>
    <n v="0"/>
    <x v="0"/>
    <x v="4"/>
  </r>
  <r>
    <s v="ORD03433"/>
    <d v="2023-04-15T00:00:00"/>
    <x v="738"/>
    <x v="290"/>
    <n v="39"/>
    <s v="INV03433"/>
    <n v="39"/>
    <n v="1267.336"/>
    <m/>
    <m/>
    <m/>
    <m/>
    <m/>
    <n v="1267.336"/>
    <d v="2023-04-05T00:00:00"/>
    <n v="0"/>
    <n v="0"/>
    <n v="0"/>
    <n v="0"/>
    <n v="0"/>
    <n v="0"/>
    <n v="0"/>
    <x v="0"/>
    <n v="49426.103999999999"/>
    <n v="49426.103999999999"/>
    <n v="0"/>
    <n v="0"/>
    <x v="0"/>
    <x v="23"/>
  </r>
  <r>
    <s v="ORD03434"/>
    <d v="2023-06-30T00:00:00"/>
    <x v="24"/>
    <x v="209"/>
    <n v="26"/>
    <s v="INV03434"/>
    <n v="26"/>
    <n v="880.66300000000001"/>
    <m/>
    <m/>
    <m/>
    <m/>
    <m/>
    <n v="880.66300000000001"/>
    <d v="2023-02-09T00:00:00"/>
    <n v="0"/>
    <n v="0"/>
    <n v="0"/>
    <n v="0"/>
    <n v="0"/>
    <n v="0"/>
    <n v="0"/>
    <x v="0"/>
    <n v="22897.238000000001"/>
    <n v="22897.238000000001"/>
    <n v="0"/>
    <n v="0"/>
    <x v="0"/>
    <x v="14"/>
  </r>
  <r>
    <s v="ORD03435"/>
    <d v="2023-08-25T00:00:00"/>
    <x v="42"/>
    <x v="177"/>
    <n v="78"/>
    <s v="INV03435"/>
    <n v="78"/>
    <n v="335.39150000000001"/>
    <m/>
    <m/>
    <m/>
    <m/>
    <m/>
    <n v="335.39150000000001"/>
    <d v="2023-08-13T00:00:00"/>
    <n v="0"/>
    <n v="0"/>
    <n v="0"/>
    <n v="0"/>
    <n v="0"/>
    <n v="0"/>
    <n v="0"/>
    <x v="0"/>
    <n v="26160.537"/>
    <n v="26160.537"/>
    <n v="0"/>
    <n v="0"/>
    <x v="0"/>
    <x v="12"/>
  </r>
  <r>
    <s v="ORD03436"/>
    <d v="2023-08-12T00:00:00"/>
    <x v="459"/>
    <x v="286"/>
    <n v="4"/>
    <s v="INV03436"/>
    <n v="4"/>
    <n v="278.27100000000002"/>
    <m/>
    <m/>
    <m/>
    <m/>
    <m/>
    <n v="278.27100000000002"/>
    <d v="2023-07-12T00:00:00"/>
    <n v="0"/>
    <n v="0"/>
    <n v="0"/>
    <n v="0"/>
    <n v="0"/>
    <n v="0"/>
    <n v="0"/>
    <x v="0"/>
    <n v="1113.0840000000001"/>
    <n v="1113.0840000000001"/>
    <n v="0"/>
    <n v="0"/>
    <x v="0"/>
    <x v="12"/>
  </r>
  <r>
    <s v="ORD03437"/>
    <d v="2023-09-03T00:00:00"/>
    <x v="512"/>
    <x v="220"/>
    <n v="2"/>
    <s v="INV03437"/>
    <n v="2"/>
    <n v="1149.8634"/>
    <m/>
    <m/>
    <m/>
    <m/>
    <m/>
    <n v="1149.8634"/>
    <d v="2023-07-28T00:00:00"/>
    <n v="0"/>
    <n v="0"/>
    <n v="0"/>
    <n v="0"/>
    <n v="0"/>
    <n v="0"/>
    <n v="0"/>
    <x v="0"/>
    <n v="2299.7267999999999"/>
    <n v="2299.7267999999999"/>
    <n v="0"/>
    <n v="0"/>
    <x v="0"/>
    <x v="18"/>
  </r>
  <r>
    <s v="ORD03438"/>
    <d v="2024-04-20T00:00:00"/>
    <x v="164"/>
    <x v="78"/>
    <n v="165"/>
    <s v="INV03438"/>
    <n v="165"/>
    <n v="372.85379999999998"/>
    <m/>
    <m/>
    <m/>
    <m/>
    <m/>
    <n v="372.85379999999998"/>
    <d v="2023-09-06T00:00:00"/>
    <n v="0"/>
    <n v="0"/>
    <n v="0"/>
    <n v="0"/>
    <n v="0"/>
    <n v="0"/>
    <n v="0"/>
    <x v="0"/>
    <n v="61520.876999999993"/>
    <n v="61520.876999999993"/>
    <n v="0"/>
    <n v="0"/>
    <x v="0"/>
    <x v="9"/>
  </r>
  <r>
    <s v="ORD03439"/>
    <d v="2023-06-06T00:00:00"/>
    <x v="214"/>
    <x v="100"/>
    <n v="95"/>
    <s v="INV03439"/>
    <n v="95"/>
    <n v="1231.9933000000001"/>
    <m/>
    <m/>
    <m/>
    <m/>
    <m/>
    <n v="1231.9933000000001"/>
    <d v="2023-01-08T00:00:00"/>
    <n v="0"/>
    <n v="0"/>
    <n v="0"/>
    <n v="0"/>
    <n v="0"/>
    <n v="0"/>
    <n v="0"/>
    <x v="0"/>
    <n v="117039.36350000001"/>
    <n v="117039.36350000001"/>
    <n v="0"/>
    <n v="0"/>
    <x v="0"/>
    <x v="14"/>
  </r>
  <r>
    <s v="ORD03440"/>
    <d v="2023-01-06T00:00:00"/>
    <x v="775"/>
    <x v="278"/>
    <n v="156"/>
    <s v="INV03440"/>
    <n v="156"/>
    <n v="322.23"/>
    <m/>
    <m/>
    <m/>
    <m/>
    <m/>
    <n v="322.23"/>
    <d v="2022-04-30T00:00:00"/>
    <n v="0"/>
    <n v="0"/>
    <n v="0"/>
    <n v="0"/>
    <n v="0"/>
    <n v="0"/>
    <n v="0"/>
    <x v="0"/>
    <n v="50267.880000000005"/>
    <n v="50267.880000000005"/>
    <n v="0"/>
    <n v="0"/>
    <x v="0"/>
    <x v="8"/>
  </r>
  <r>
    <s v="ORD03441"/>
    <d v="2024-02-15T00:00:00"/>
    <x v="385"/>
    <x v="36"/>
    <n v="128"/>
    <s v="INV03441"/>
    <n v="128"/>
    <n v="415.70589999999999"/>
    <m/>
    <m/>
    <m/>
    <m/>
    <m/>
    <n v="415.70589999999999"/>
    <d v="2023-03-04T00:00:00"/>
    <n v="0"/>
    <n v="0"/>
    <n v="0"/>
    <n v="0"/>
    <n v="0"/>
    <n v="0"/>
    <n v="0"/>
    <x v="0"/>
    <n v="53210.355199999998"/>
    <n v="53210.355199999998"/>
    <n v="0"/>
    <n v="0"/>
    <x v="0"/>
    <x v="3"/>
  </r>
  <r>
    <s v="ORD03442"/>
    <d v="2024-02-17T00:00:00"/>
    <x v="58"/>
    <x v="76"/>
    <n v="86"/>
    <s v="INV03442"/>
    <n v="86"/>
    <n v="1114.2336"/>
    <m/>
    <m/>
    <m/>
    <m/>
    <m/>
    <n v="1114.2336"/>
    <d v="2023-08-03T00:00:00"/>
    <n v="0"/>
    <n v="0"/>
    <n v="0"/>
    <n v="0"/>
    <n v="0"/>
    <n v="0"/>
    <n v="0"/>
    <x v="0"/>
    <n v="95824.089600000007"/>
    <n v="95824.089600000007"/>
    <n v="0"/>
    <n v="0"/>
    <x v="0"/>
    <x v="3"/>
  </r>
  <r>
    <s v="ORD03443"/>
    <d v="2023-06-04T00:00:00"/>
    <x v="632"/>
    <x v="167"/>
    <n v="75"/>
    <s v="INV03443"/>
    <n v="75"/>
    <n v="249.2424"/>
    <m/>
    <m/>
    <m/>
    <m/>
    <m/>
    <n v="249.2424"/>
    <d v="2023-03-21T00:00:00"/>
    <n v="0"/>
    <n v="0"/>
    <n v="0"/>
    <n v="0"/>
    <n v="0"/>
    <n v="0"/>
    <n v="0"/>
    <x v="0"/>
    <n v="18693.18"/>
    <n v="18693.18"/>
    <n v="0"/>
    <n v="0"/>
    <x v="0"/>
    <x v="14"/>
  </r>
  <r>
    <s v="ORD03444"/>
    <d v="2023-01-27T00:00:00"/>
    <x v="179"/>
    <x v="35"/>
    <n v="100"/>
    <s v="INV03444"/>
    <n v="100"/>
    <n v="1131.7511999999999"/>
    <m/>
    <m/>
    <m/>
    <m/>
    <m/>
    <n v="1131.7511999999999"/>
    <d v="2022-09-02T00:00:00"/>
    <n v="0"/>
    <n v="0"/>
    <n v="0"/>
    <n v="0"/>
    <n v="0"/>
    <n v="0"/>
    <n v="0"/>
    <x v="0"/>
    <n v="113175.12"/>
    <n v="113175.12"/>
    <n v="0"/>
    <n v="0"/>
    <x v="0"/>
    <x v="8"/>
  </r>
  <r>
    <s v="ORD03445"/>
    <d v="2023-11-04T00:00:00"/>
    <x v="70"/>
    <x v="228"/>
    <n v="105"/>
    <s v="INV03445"/>
    <n v="105"/>
    <n v="952.36940000000004"/>
    <m/>
    <m/>
    <m/>
    <m/>
    <m/>
    <n v="952.36940000000004"/>
    <d v="2023-08-31T00:00:00"/>
    <n v="0"/>
    <n v="0"/>
    <n v="0"/>
    <n v="0"/>
    <n v="0"/>
    <n v="0"/>
    <n v="0"/>
    <x v="0"/>
    <n v="99998.787000000011"/>
    <n v="99998.787000000011"/>
    <n v="0"/>
    <n v="0"/>
    <x v="0"/>
    <x v="0"/>
  </r>
  <r>
    <s v="ORD03446"/>
    <d v="2024-03-14T00:00:00"/>
    <x v="650"/>
    <x v="209"/>
    <n v="115"/>
    <s v="INV03446"/>
    <n v="115"/>
    <n v="880.66300000000001"/>
    <m/>
    <m/>
    <m/>
    <m/>
    <m/>
    <n v="880.66300000000001"/>
    <d v="2023-02-09T00:00:00"/>
    <n v="0"/>
    <n v="0"/>
    <n v="0"/>
    <n v="0"/>
    <n v="0"/>
    <n v="0"/>
    <n v="0"/>
    <x v="0"/>
    <n v="101276.245"/>
    <n v="101276.245"/>
    <n v="0"/>
    <n v="0"/>
    <x v="0"/>
    <x v="6"/>
  </r>
  <r>
    <s v="ORD03447"/>
    <d v="2024-01-24T00:00:00"/>
    <x v="529"/>
    <x v="197"/>
    <n v="192"/>
    <s v="INV03447"/>
    <n v="202"/>
    <n v="250.3184"/>
    <m/>
    <m/>
    <m/>
    <m/>
    <m/>
    <n v="250.3184"/>
    <d v="2023-10-13T00:00:00"/>
    <n v="0"/>
    <n v="1"/>
    <n v="0"/>
    <n v="0"/>
    <n v="0"/>
    <n v="0"/>
    <n v="0"/>
    <x v="1"/>
    <n v="50564.316800000001"/>
    <n v="48061.132799999999"/>
    <n v="2503.1840000000011"/>
    <n v="8"/>
    <x v="2"/>
    <x v="15"/>
  </r>
  <r>
    <s v="ORD03448"/>
    <d v="2023-07-03T00:00:00"/>
    <x v="689"/>
    <x v="244"/>
    <n v="188"/>
    <s v="INV03448"/>
    <n v="188"/>
    <n v="1114.3462"/>
    <m/>
    <m/>
    <m/>
    <m/>
    <m/>
    <n v="1114.3462"/>
    <d v="2023-03-30T00:00:00"/>
    <n v="0"/>
    <n v="0"/>
    <n v="0"/>
    <n v="0"/>
    <n v="0"/>
    <n v="0"/>
    <n v="0"/>
    <x v="0"/>
    <n v="209497.08559999999"/>
    <n v="209497.08559999999"/>
    <n v="0"/>
    <n v="0"/>
    <x v="0"/>
    <x v="10"/>
  </r>
  <r>
    <s v="ORD03449"/>
    <d v="2024-04-23T00:00:00"/>
    <x v="575"/>
    <x v="164"/>
    <n v="147"/>
    <s v="INV03449"/>
    <n v="147"/>
    <n v="709.52"/>
    <m/>
    <m/>
    <m/>
    <m/>
    <m/>
    <n v="709.52"/>
    <d v="2023-01-26T00:00:00"/>
    <n v="0"/>
    <n v="0"/>
    <n v="0"/>
    <n v="0"/>
    <n v="0"/>
    <n v="0"/>
    <n v="0"/>
    <x v="0"/>
    <n v="104299.44"/>
    <n v="104299.44"/>
    <n v="0"/>
    <n v="0"/>
    <x v="0"/>
    <x v="9"/>
  </r>
  <r>
    <s v="ORD03450"/>
    <d v="2023-01-19T00:00:00"/>
    <x v="383"/>
    <x v="203"/>
    <n v="183"/>
    <s v="INV03450"/>
    <n v="183"/>
    <n v="53.988499999999995"/>
    <m/>
    <m/>
    <m/>
    <m/>
    <m/>
    <n v="53.988499999999995"/>
    <d v="2022-11-19T00:00:00"/>
    <n v="0"/>
    <n v="0"/>
    <n v="0"/>
    <n v="0"/>
    <n v="0"/>
    <n v="0"/>
    <n v="0"/>
    <x v="0"/>
    <n v="9879.8954999999987"/>
    <n v="9879.8954999999987"/>
    <n v="0"/>
    <n v="0"/>
    <x v="0"/>
    <x v="8"/>
  </r>
  <r>
    <s v="ORD03451"/>
    <d v="2024-12-13T00:00:00"/>
    <x v="203"/>
    <x v="281"/>
    <n v="164"/>
    <s v="INV03451"/>
    <n v="164"/>
    <n v="696.93029999999999"/>
    <m/>
    <m/>
    <m/>
    <m/>
    <m/>
    <n v="696.93029999999999"/>
    <d v="2023-08-12T00:00:00"/>
    <n v="0"/>
    <n v="0"/>
    <n v="0"/>
    <n v="0"/>
    <n v="0"/>
    <n v="0"/>
    <n v="0"/>
    <x v="0"/>
    <n v="114296.5692"/>
    <n v="114296.5692"/>
    <n v="0"/>
    <n v="0"/>
    <x v="0"/>
    <x v="1"/>
  </r>
  <r>
    <s v="ORD03452"/>
    <d v="2024-02-01T00:00:00"/>
    <x v="431"/>
    <x v="112"/>
    <n v="191"/>
    <s v="INV03452"/>
    <n v="191"/>
    <n v="322.71780000000001"/>
    <m/>
    <m/>
    <m/>
    <m/>
    <m/>
    <n v="322.71780000000001"/>
    <d v="2023-08-31T00:00:00"/>
    <n v="0"/>
    <n v="0"/>
    <n v="0"/>
    <n v="0"/>
    <n v="0"/>
    <n v="0"/>
    <n v="0"/>
    <x v="0"/>
    <n v="61639.099800000004"/>
    <n v="61639.099800000004"/>
    <n v="0"/>
    <n v="0"/>
    <x v="0"/>
    <x v="3"/>
  </r>
  <r>
    <s v="ORD03453"/>
    <d v="2023-04-24T00:00:00"/>
    <x v="258"/>
    <x v="271"/>
    <n v="38"/>
    <s v="INV03453"/>
    <n v="38"/>
    <n v="365.80459999999999"/>
    <m/>
    <m/>
    <m/>
    <m/>
    <m/>
    <n v="365.80459999999999"/>
    <d v="2022-11-27T00:00:00"/>
    <n v="0"/>
    <n v="0"/>
    <n v="0"/>
    <n v="0"/>
    <n v="0"/>
    <n v="0"/>
    <n v="0"/>
    <x v="0"/>
    <n v="13900.5748"/>
    <n v="13900.5748"/>
    <n v="0"/>
    <n v="0"/>
    <x v="0"/>
    <x v="23"/>
  </r>
  <r>
    <s v="ORD03454"/>
    <d v="2023-08-20T00:00:00"/>
    <x v="194"/>
    <x v="198"/>
    <n v="83"/>
    <s v="INV03454"/>
    <n v="83"/>
    <n v="906.88919999999996"/>
    <n v="2"/>
    <d v="2023-04-08T00:00:00"/>
    <m/>
    <m/>
    <m/>
    <n v="906.88919999999996"/>
    <d v="2023-03-06T00:00:00"/>
    <n v="0"/>
    <n v="0"/>
    <n v="0"/>
    <n v="0"/>
    <n v="0"/>
    <n v="0"/>
    <n v="0"/>
    <x v="0"/>
    <n v="75271.803599999999"/>
    <n v="75271.803599999999"/>
    <n v="0"/>
    <n v="0"/>
    <x v="0"/>
    <x v="12"/>
  </r>
  <r>
    <s v="ORD03455"/>
    <d v="2024-01-15T00:00:00"/>
    <x v="284"/>
    <x v="7"/>
    <n v="41"/>
    <s v="INV03455"/>
    <n v="41"/>
    <n v="510.91840000000002"/>
    <m/>
    <m/>
    <m/>
    <m/>
    <m/>
    <n v="510.91840000000002"/>
    <d v="2023-02-24T00:00:00"/>
    <n v="0"/>
    <n v="0"/>
    <n v="0"/>
    <n v="0"/>
    <n v="0"/>
    <n v="0"/>
    <n v="0"/>
    <x v="0"/>
    <n v="20947.654399999999"/>
    <n v="20947.654399999999"/>
    <n v="0"/>
    <n v="0"/>
    <x v="0"/>
    <x v="15"/>
  </r>
  <r>
    <s v="ORD03456"/>
    <d v="2024-07-16T00:00:00"/>
    <x v="335"/>
    <x v="1"/>
    <n v="147"/>
    <s v="INV03456"/>
    <n v="147"/>
    <n v="444.22"/>
    <m/>
    <m/>
    <m/>
    <m/>
    <m/>
    <n v="444.22"/>
    <d v="2023-05-28T00:00:00"/>
    <n v="0"/>
    <n v="0"/>
    <n v="0"/>
    <n v="0"/>
    <n v="0"/>
    <n v="0"/>
    <n v="0"/>
    <x v="0"/>
    <n v="65300.340000000004"/>
    <n v="65300.340000000004"/>
    <n v="0"/>
    <n v="0"/>
    <x v="0"/>
    <x v="21"/>
  </r>
  <r>
    <s v="ORD03457"/>
    <d v="2024-03-17T00:00:00"/>
    <x v="610"/>
    <x v="153"/>
    <n v="41"/>
    <s v="INV03457"/>
    <n v="41"/>
    <n v="680.30940000000021"/>
    <m/>
    <m/>
    <m/>
    <m/>
    <m/>
    <n v="680.30940000000021"/>
    <d v="2023-01-08T00:00:00"/>
    <n v="0"/>
    <n v="0"/>
    <n v="0"/>
    <n v="0"/>
    <n v="0"/>
    <n v="0"/>
    <n v="0"/>
    <x v="0"/>
    <n v="27892.685400000009"/>
    <n v="27892.685400000009"/>
    <n v="0"/>
    <n v="0"/>
    <x v="0"/>
    <x v="6"/>
  </r>
  <r>
    <s v="ORD03458"/>
    <d v="2024-07-08T00:00:00"/>
    <x v="39"/>
    <x v="112"/>
    <n v="29"/>
    <s v="INV03458"/>
    <n v="29"/>
    <n v="322.71780000000001"/>
    <m/>
    <m/>
    <m/>
    <m/>
    <m/>
    <n v="322.71780000000001"/>
    <d v="2023-08-31T00:00:00"/>
    <n v="0"/>
    <n v="0"/>
    <n v="0"/>
    <n v="0"/>
    <n v="0"/>
    <n v="0"/>
    <n v="0"/>
    <x v="0"/>
    <n v="9358.8162000000011"/>
    <n v="9358.8162000000011"/>
    <n v="0"/>
    <n v="0"/>
    <x v="0"/>
    <x v="21"/>
  </r>
  <r>
    <s v="ORD03459"/>
    <d v="2023-05-19T00:00:00"/>
    <x v="541"/>
    <x v="277"/>
    <n v="8"/>
    <s v="INV03459"/>
    <n v="8"/>
    <n v="517.27499999999998"/>
    <m/>
    <m/>
    <m/>
    <m/>
    <m/>
    <n v="517.27499999999998"/>
    <d v="2022-07-27T00:00:00"/>
    <n v="0"/>
    <n v="0"/>
    <n v="0"/>
    <n v="0"/>
    <n v="0"/>
    <n v="0"/>
    <n v="0"/>
    <x v="0"/>
    <n v="4138.2"/>
    <n v="4138.2"/>
    <n v="0"/>
    <n v="0"/>
    <x v="0"/>
    <x v="7"/>
  </r>
  <r>
    <s v="ORD03460"/>
    <d v="2023-11-30T00:00:00"/>
    <x v="736"/>
    <x v="80"/>
    <n v="19"/>
    <s v="INV03460"/>
    <n v="19"/>
    <n v="1014.5718000000001"/>
    <m/>
    <m/>
    <m/>
    <m/>
    <m/>
    <n v="1014.5718000000001"/>
    <d v="2023-04-19T00:00:00"/>
    <n v="0"/>
    <n v="0"/>
    <n v="0"/>
    <n v="0"/>
    <n v="0"/>
    <n v="0"/>
    <n v="0"/>
    <x v="0"/>
    <n v="19276.8642"/>
    <n v="19276.8642"/>
    <n v="0"/>
    <n v="0"/>
    <x v="0"/>
    <x v="0"/>
  </r>
  <r>
    <s v="ORD03461"/>
    <d v="2023-04-06T00:00:00"/>
    <x v="568"/>
    <x v="108"/>
    <n v="159"/>
    <s v="INV03461"/>
    <n v="159"/>
    <n v="1083.5958000000001"/>
    <m/>
    <m/>
    <m/>
    <m/>
    <m/>
    <n v="1083.5958000000001"/>
    <d v="2022-07-31T00:00:00"/>
    <n v="0"/>
    <n v="0"/>
    <n v="0"/>
    <n v="0"/>
    <n v="0"/>
    <n v="0"/>
    <n v="0"/>
    <x v="0"/>
    <n v="172291.7322"/>
    <n v="172291.7322"/>
    <n v="0"/>
    <n v="0"/>
    <x v="0"/>
    <x v="23"/>
  </r>
  <r>
    <s v="ORD03462"/>
    <d v="2023-08-06T00:00:00"/>
    <x v="103"/>
    <x v="174"/>
    <n v="113"/>
    <s v="INV03462"/>
    <n v="113"/>
    <n v="575.53650000000005"/>
    <m/>
    <m/>
    <m/>
    <m/>
    <m/>
    <n v="575.53650000000005"/>
    <d v="2022-08-27T00:00:00"/>
    <n v="0"/>
    <n v="0"/>
    <n v="0"/>
    <n v="0"/>
    <n v="0"/>
    <n v="0"/>
    <n v="0"/>
    <x v="0"/>
    <n v="65035.624500000005"/>
    <n v="65035.624500000005"/>
    <n v="0"/>
    <n v="0"/>
    <x v="0"/>
    <x v="12"/>
  </r>
  <r>
    <s v="ORD03463"/>
    <d v="2023-03-02T00:00:00"/>
    <x v="737"/>
    <x v="104"/>
    <n v="11"/>
    <s v="INV03463"/>
    <n v="11"/>
    <n v="907.18650000000002"/>
    <m/>
    <m/>
    <m/>
    <m/>
    <m/>
    <n v="907.18650000000002"/>
    <d v="2023-03-02T00:00:00"/>
    <n v="0"/>
    <n v="0"/>
    <n v="0"/>
    <n v="0"/>
    <n v="0"/>
    <n v="0"/>
    <n v="0"/>
    <x v="0"/>
    <n v="9979.0514999999996"/>
    <n v="9979.0514999999996"/>
    <n v="0"/>
    <n v="0"/>
    <x v="0"/>
    <x v="17"/>
  </r>
  <r>
    <s v="ORD03464"/>
    <d v="2023-03-03T00:00:00"/>
    <x v="474"/>
    <x v="64"/>
    <n v="40"/>
    <s v="INV03464"/>
    <n v="40"/>
    <n v="1129.6166000000001"/>
    <m/>
    <m/>
    <m/>
    <m/>
    <m/>
    <n v="1129.6166000000001"/>
    <d v="2023-02-03T00:00:00"/>
    <n v="0"/>
    <n v="0"/>
    <n v="0"/>
    <n v="0"/>
    <n v="0"/>
    <n v="0"/>
    <n v="0"/>
    <x v="0"/>
    <n v="45184.664000000004"/>
    <n v="45184.664000000004"/>
    <n v="0"/>
    <n v="0"/>
    <x v="0"/>
    <x v="17"/>
  </r>
  <r>
    <s v="ORD03465"/>
    <d v="2024-07-14T00:00:00"/>
    <x v="341"/>
    <x v="177"/>
    <n v="170"/>
    <s v="INV03465"/>
    <n v="170"/>
    <n v="335.39150000000001"/>
    <m/>
    <m/>
    <m/>
    <m/>
    <m/>
    <n v="335.39150000000001"/>
    <d v="2023-08-13T00:00:00"/>
    <n v="0"/>
    <n v="0"/>
    <n v="0"/>
    <n v="0"/>
    <n v="0"/>
    <n v="0"/>
    <n v="0"/>
    <x v="0"/>
    <n v="57016.555"/>
    <n v="57016.555"/>
    <n v="0"/>
    <n v="0"/>
    <x v="0"/>
    <x v="21"/>
  </r>
  <r>
    <s v="ORD03466"/>
    <d v="2024-10-20T00:00:00"/>
    <x v="771"/>
    <x v="254"/>
    <n v="58"/>
    <s v="INV03466"/>
    <n v="58"/>
    <n v="571.49840000000006"/>
    <m/>
    <m/>
    <m/>
    <m/>
    <m/>
    <n v="571.49840000000006"/>
    <d v="2023-05-25T00:00:00"/>
    <n v="0"/>
    <n v="0"/>
    <n v="0"/>
    <n v="0"/>
    <n v="0"/>
    <n v="0"/>
    <n v="0"/>
    <x v="0"/>
    <n v="33146.907200000001"/>
    <n v="33146.907200000001"/>
    <n v="0"/>
    <n v="0"/>
    <x v="0"/>
    <x v="5"/>
  </r>
  <r>
    <s v="ORD03467"/>
    <d v="2023-06-29T00:00:00"/>
    <x v="790"/>
    <x v="192"/>
    <n v="153"/>
    <s v="INV03467"/>
    <n v="153"/>
    <n v="247.48920000000001"/>
    <n v="14"/>
    <d v="2023-05-03T00:00:00"/>
    <m/>
    <m/>
    <m/>
    <n v="247.48920000000001"/>
    <d v="2023-06-11T00:00:00"/>
    <n v="0"/>
    <n v="0"/>
    <n v="0"/>
    <n v="0"/>
    <n v="0"/>
    <n v="0"/>
    <n v="0"/>
    <x v="0"/>
    <n v="37865.847600000001"/>
    <n v="37865.847600000001"/>
    <n v="0"/>
    <n v="0"/>
    <x v="0"/>
    <x v="14"/>
  </r>
  <r>
    <s v="ORD03468"/>
    <d v="2024-02-13T00:00:00"/>
    <x v="509"/>
    <x v="291"/>
    <n v="64"/>
    <s v="INV03468"/>
    <n v="64"/>
    <n v="933.43190000000004"/>
    <m/>
    <m/>
    <m/>
    <m/>
    <m/>
    <n v="933.43190000000004"/>
    <d v="2023-03-26T00:00:00"/>
    <n v="0"/>
    <n v="0"/>
    <n v="0"/>
    <n v="0"/>
    <n v="0"/>
    <n v="0"/>
    <n v="0"/>
    <x v="0"/>
    <n v="59739.641600000003"/>
    <n v="59739.641600000003"/>
    <n v="0"/>
    <n v="0"/>
    <x v="0"/>
    <x v="3"/>
  </r>
  <r>
    <s v="ORD03469"/>
    <d v="2023-03-03T00:00:00"/>
    <x v="789"/>
    <x v="286"/>
    <n v="27"/>
    <s v="INV03469"/>
    <n v="27"/>
    <n v="273.00034336797461"/>
    <m/>
    <m/>
    <m/>
    <m/>
    <m/>
    <n v="272.97059999999999"/>
    <d v="2022-11-18T00:00:00"/>
    <n v="0"/>
    <n v="0"/>
    <n v="1"/>
    <n v="0"/>
    <n v="0"/>
    <n v="0"/>
    <n v="0"/>
    <x v="1"/>
    <n v="7371.0092709353148"/>
    <n v="7370.2061999999996"/>
    <n v="0.80307093531519058"/>
    <n v="4"/>
    <x v="1"/>
    <x v="17"/>
  </r>
  <r>
    <s v="ORD03470"/>
    <d v="2023-08-25T00:00:00"/>
    <x v="39"/>
    <x v="137"/>
    <n v="92"/>
    <s v="INV03470"/>
    <n v="92"/>
    <n v="1026.4637"/>
    <m/>
    <m/>
    <m/>
    <m/>
    <m/>
    <n v="1026.4637"/>
    <d v="2023-02-10T00:00:00"/>
    <n v="0"/>
    <n v="0"/>
    <n v="0"/>
    <n v="0"/>
    <n v="0"/>
    <n v="0"/>
    <n v="0"/>
    <x v="0"/>
    <n v="94434.660400000008"/>
    <n v="94434.660400000008"/>
    <n v="0"/>
    <n v="0"/>
    <x v="0"/>
    <x v="12"/>
  </r>
  <r>
    <s v="ORD03471"/>
    <d v="2024-04-11T00:00:00"/>
    <x v="554"/>
    <x v="156"/>
    <n v="113"/>
    <s v="INV03471"/>
    <n v="113"/>
    <n v="376.38049999999998"/>
    <m/>
    <m/>
    <m/>
    <m/>
    <m/>
    <n v="376.38049999999998"/>
    <d v="2023-02-27T00:00:00"/>
    <n v="0"/>
    <n v="0"/>
    <n v="0"/>
    <n v="0"/>
    <n v="0"/>
    <n v="0"/>
    <n v="0"/>
    <x v="0"/>
    <n v="42530.996500000001"/>
    <n v="42530.996500000001"/>
    <n v="0"/>
    <n v="0"/>
    <x v="0"/>
    <x v="9"/>
  </r>
  <r>
    <s v="ORD03472"/>
    <d v="2024-08-05T00:00:00"/>
    <x v="644"/>
    <x v="96"/>
    <n v="104"/>
    <s v="INV03472"/>
    <n v="104"/>
    <n v="497.98683481788726"/>
    <m/>
    <m/>
    <m/>
    <m/>
    <m/>
    <n v="497.4264"/>
    <d v="2023-10-13T00:00:00"/>
    <n v="0"/>
    <n v="0"/>
    <n v="1"/>
    <n v="0"/>
    <n v="0"/>
    <n v="0"/>
    <n v="0"/>
    <x v="1"/>
    <n v="51790.630821060273"/>
    <n v="51732.345600000001"/>
    <n v="58.285221060272306"/>
    <n v="4"/>
    <x v="1"/>
    <x v="22"/>
  </r>
  <r>
    <s v="ORD03473"/>
    <d v="2024-06-09T00:00:00"/>
    <x v="506"/>
    <x v="42"/>
    <n v="166"/>
    <s v="INV03473"/>
    <n v="166"/>
    <n v="946.74860000000001"/>
    <m/>
    <m/>
    <m/>
    <m/>
    <m/>
    <n v="946.74860000000001"/>
    <d v="2023-04-22T00:00:00"/>
    <n v="0"/>
    <n v="0"/>
    <n v="0"/>
    <n v="0"/>
    <n v="0"/>
    <n v="0"/>
    <n v="0"/>
    <x v="0"/>
    <n v="157160.26759999999"/>
    <n v="157160.26759999999"/>
    <n v="0"/>
    <n v="0"/>
    <x v="0"/>
    <x v="16"/>
  </r>
  <r>
    <s v="ORD03474"/>
    <d v="2023-04-28T00:00:00"/>
    <x v="721"/>
    <x v="58"/>
    <n v="39"/>
    <s v="INV03474"/>
    <n v="39"/>
    <n v="601.32929999999999"/>
    <m/>
    <m/>
    <m/>
    <m/>
    <m/>
    <n v="601.32929999999999"/>
    <d v="2023-02-05T00:00:00"/>
    <n v="0"/>
    <n v="0"/>
    <n v="0"/>
    <n v="0"/>
    <n v="0"/>
    <n v="0"/>
    <n v="0"/>
    <x v="0"/>
    <n v="23451.842700000001"/>
    <n v="23451.842700000001"/>
    <n v="0"/>
    <n v="0"/>
    <x v="0"/>
    <x v="23"/>
  </r>
  <r>
    <s v="ORD03475"/>
    <d v="2024-05-16T00:00:00"/>
    <x v="419"/>
    <x v="0"/>
    <n v="8"/>
    <s v="INV03475"/>
    <n v="8"/>
    <n v="446.4905"/>
    <m/>
    <m/>
    <m/>
    <m/>
    <m/>
    <n v="446.4905"/>
    <d v="2023-08-23T00:00:00"/>
    <n v="0"/>
    <n v="0"/>
    <n v="0"/>
    <n v="0"/>
    <n v="0"/>
    <n v="0"/>
    <n v="0"/>
    <x v="0"/>
    <n v="3571.924"/>
    <n v="3571.924"/>
    <n v="0"/>
    <n v="0"/>
    <x v="0"/>
    <x v="13"/>
  </r>
  <r>
    <s v="ORD03476"/>
    <d v="2023-11-24T00:00:00"/>
    <x v="25"/>
    <x v="77"/>
    <n v="116"/>
    <s v="INV03476"/>
    <n v="116"/>
    <n v="798.14160000000004"/>
    <m/>
    <m/>
    <m/>
    <m/>
    <m/>
    <n v="798.14160000000004"/>
    <d v="2023-08-11T00:00:00"/>
    <n v="0"/>
    <n v="0"/>
    <n v="0"/>
    <n v="0"/>
    <n v="0"/>
    <n v="0"/>
    <n v="0"/>
    <x v="0"/>
    <n v="92584.425600000002"/>
    <n v="92584.425600000002"/>
    <n v="0"/>
    <n v="0"/>
    <x v="0"/>
    <x v="0"/>
  </r>
  <r>
    <s v="ORD03477"/>
    <d v="2024-09-13T00:00:00"/>
    <x v="205"/>
    <x v="31"/>
    <n v="95"/>
    <s v="INV03477"/>
    <n v="95"/>
    <n v="1147.3289"/>
    <m/>
    <m/>
    <n v="922.15"/>
    <d v="2023-06-24T00:00:00"/>
    <d v="2024-03-07T00:00:00"/>
    <n v="1147.3289"/>
    <d v="2023-01-19T00:00:00"/>
    <n v="0"/>
    <n v="0"/>
    <n v="0"/>
    <n v="1"/>
    <n v="1"/>
    <n v="0"/>
    <n v="0"/>
    <x v="1"/>
    <n v="108996.2455"/>
    <n v="108996.2455"/>
    <n v="0"/>
    <n v="8"/>
    <x v="2"/>
    <x v="2"/>
  </r>
  <r>
    <s v="ORD03478"/>
    <d v="2024-05-25T00:00:00"/>
    <x v="368"/>
    <x v="197"/>
    <n v="120"/>
    <s v="INV03478"/>
    <n v="120"/>
    <n v="250.3184"/>
    <m/>
    <m/>
    <m/>
    <m/>
    <m/>
    <n v="250.3184"/>
    <d v="2023-10-13T00:00:00"/>
    <n v="0"/>
    <n v="0"/>
    <n v="0"/>
    <n v="0"/>
    <n v="0"/>
    <n v="0"/>
    <n v="0"/>
    <x v="0"/>
    <n v="30038.207999999999"/>
    <n v="30038.207999999999"/>
    <n v="0"/>
    <n v="0"/>
    <x v="0"/>
    <x v="13"/>
  </r>
  <r>
    <s v="ORD03479"/>
    <d v="2024-05-11T00:00:00"/>
    <x v="11"/>
    <x v="137"/>
    <n v="51"/>
    <s v="INV03479"/>
    <n v="51"/>
    <n v="1026.5890420829448"/>
    <m/>
    <m/>
    <m/>
    <m/>
    <m/>
    <n v="1026.4637"/>
    <d v="2023-02-10T00:00:00"/>
    <n v="0"/>
    <n v="0"/>
    <n v="1"/>
    <n v="0"/>
    <n v="0"/>
    <n v="0"/>
    <n v="0"/>
    <x v="1"/>
    <n v="52356.041146230185"/>
    <n v="52349.648699999998"/>
    <n v="6.3924462301874883"/>
    <n v="4"/>
    <x v="1"/>
    <x v="13"/>
  </r>
  <r>
    <s v="ORD03480"/>
    <d v="2023-10-08T00:00:00"/>
    <x v="689"/>
    <x v="141"/>
    <n v="35"/>
    <s v="INV03480"/>
    <n v="35"/>
    <n v="785.89"/>
    <m/>
    <m/>
    <m/>
    <m/>
    <m/>
    <n v="785.89"/>
    <d v="2023-03-04T00:00:00"/>
    <n v="0"/>
    <n v="0"/>
    <n v="0"/>
    <n v="0"/>
    <n v="0"/>
    <n v="0"/>
    <n v="0"/>
    <x v="0"/>
    <n v="27506.149999999998"/>
    <n v="27506.149999999998"/>
    <n v="0"/>
    <n v="0"/>
    <x v="0"/>
    <x v="19"/>
  </r>
  <r>
    <s v="ORD03481"/>
    <d v="2023-03-21T00:00:00"/>
    <x v="408"/>
    <x v="197"/>
    <n v="179"/>
    <s v="INV03481"/>
    <n v="179"/>
    <n v="240.40479999999999"/>
    <m/>
    <m/>
    <m/>
    <m/>
    <m/>
    <n v="240.40479999999999"/>
    <d v="2022-10-20T00:00:00"/>
    <n v="0"/>
    <n v="0"/>
    <n v="0"/>
    <n v="0"/>
    <n v="0"/>
    <n v="0"/>
    <n v="0"/>
    <x v="0"/>
    <n v="43032.459199999998"/>
    <n v="43032.459199999998"/>
    <n v="0"/>
    <n v="0"/>
    <x v="0"/>
    <x v="17"/>
  </r>
  <r>
    <s v="ORD03482"/>
    <d v="2024-11-03T00:00:00"/>
    <x v="10"/>
    <x v="12"/>
    <n v="21"/>
    <s v="INV03482"/>
    <n v="21"/>
    <n v="689.58720000000005"/>
    <m/>
    <m/>
    <m/>
    <m/>
    <m/>
    <n v="689.58720000000005"/>
    <d v="2023-10-25T00:00:00"/>
    <n v="0"/>
    <n v="0"/>
    <n v="0"/>
    <n v="0"/>
    <n v="0"/>
    <n v="0"/>
    <n v="0"/>
    <x v="0"/>
    <n v="14481.331200000001"/>
    <n v="14481.331200000001"/>
    <n v="0"/>
    <n v="0"/>
    <x v="0"/>
    <x v="4"/>
  </r>
  <r>
    <s v="ORD03483"/>
    <d v="2023-06-14T00:00:00"/>
    <x v="578"/>
    <x v="22"/>
    <n v="49"/>
    <s v="INV03483"/>
    <n v="49"/>
    <n v="671.91280000000006"/>
    <m/>
    <m/>
    <m/>
    <m/>
    <m/>
    <n v="671.91280000000006"/>
    <d v="2023-03-10T00:00:00"/>
    <n v="0"/>
    <n v="0"/>
    <n v="0"/>
    <n v="0"/>
    <n v="0"/>
    <n v="0"/>
    <n v="0"/>
    <x v="0"/>
    <n v="32923.727200000001"/>
    <n v="32923.727200000001"/>
    <n v="0"/>
    <n v="0"/>
    <x v="0"/>
    <x v="14"/>
  </r>
  <r>
    <s v="ORD03484"/>
    <d v="2023-09-21T00:00:00"/>
    <x v="683"/>
    <x v="186"/>
    <n v="78"/>
    <s v="INV03484"/>
    <n v="86"/>
    <n v="643.81900000000007"/>
    <m/>
    <m/>
    <m/>
    <m/>
    <m/>
    <n v="643.81900000000007"/>
    <d v="2022-10-12T00:00:00"/>
    <n v="0"/>
    <n v="1"/>
    <n v="0"/>
    <n v="0"/>
    <n v="0"/>
    <n v="0"/>
    <n v="0"/>
    <x v="1"/>
    <n v="55368.434000000008"/>
    <n v="50217.882000000005"/>
    <n v="5150.5520000000033"/>
    <n v="8"/>
    <x v="2"/>
    <x v="18"/>
  </r>
  <r>
    <s v="ORD03485"/>
    <d v="2023-10-26T00:00:00"/>
    <x v="694"/>
    <x v="57"/>
    <n v="142"/>
    <s v="INV03485"/>
    <n v="142"/>
    <n v="517.39100000000008"/>
    <m/>
    <m/>
    <m/>
    <m/>
    <m/>
    <n v="517.39100000000008"/>
    <d v="2023-04-29T00:00:00"/>
    <n v="0"/>
    <n v="0"/>
    <n v="0"/>
    <n v="0"/>
    <n v="0"/>
    <n v="0"/>
    <n v="0"/>
    <x v="0"/>
    <n v="73469.522000000012"/>
    <n v="73469.522000000012"/>
    <n v="0"/>
    <n v="0"/>
    <x v="0"/>
    <x v="19"/>
  </r>
  <r>
    <s v="ORD03486"/>
    <d v="2024-06-10T00:00:00"/>
    <x v="600"/>
    <x v="57"/>
    <n v="157"/>
    <s v="INV03486"/>
    <n v="157"/>
    <n v="517.39100000000008"/>
    <m/>
    <m/>
    <m/>
    <m/>
    <m/>
    <n v="517.39100000000008"/>
    <d v="2023-04-29T00:00:00"/>
    <n v="0"/>
    <n v="0"/>
    <n v="0"/>
    <n v="0"/>
    <n v="0"/>
    <n v="0"/>
    <n v="0"/>
    <x v="0"/>
    <n v="81230.387000000017"/>
    <n v="81230.387000000017"/>
    <n v="0"/>
    <n v="0"/>
    <x v="0"/>
    <x v="16"/>
  </r>
  <r>
    <s v="ORD03487"/>
    <d v="2023-09-13T00:00:00"/>
    <x v="526"/>
    <x v="58"/>
    <n v="108"/>
    <s v="INV03487"/>
    <n v="108"/>
    <n v="601.32929999999999"/>
    <m/>
    <m/>
    <m/>
    <m/>
    <m/>
    <n v="601.32929999999999"/>
    <d v="2023-02-05T00:00:00"/>
    <n v="0"/>
    <n v="0"/>
    <n v="0"/>
    <n v="0"/>
    <n v="0"/>
    <n v="0"/>
    <n v="0"/>
    <x v="0"/>
    <n v="64943.564399999996"/>
    <n v="64943.564399999996"/>
    <n v="0"/>
    <n v="0"/>
    <x v="0"/>
    <x v="18"/>
  </r>
  <r>
    <s v="ORD03488"/>
    <d v="2024-06-16T00:00:00"/>
    <x v="427"/>
    <x v="180"/>
    <n v="200"/>
    <s v="INV03488"/>
    <n v="200"/>
    <n v="977.22280000000001"/>
    <m/>
    <m/>
    <m/>
    <m/>
    <m/>
    <n v="977.22280000000001"/>
    <d v="2023-02-27T00:00:00"/>
    <n v="0"/>
    <n v="0"/>
    <n v="0"/>
    <n v="0"/>
    <n v="0"/>
    <n v="0"/>
    <n v="0"/>
    <x v="0"/>
    <n v="195444.56"/>
    <n v="195444.56"/>
    <n v="0"/>
    <n v="0"/>
    <x v="0"/>
    <x v="16"/>
  </r>
  <r>
    <s v="ORD03489"/>
    <d v="2024-02-03T00:00:00"/>
    <x v="599"/>
    <x v="119"/>
    <n v="176"/>
    <s v="INV03489"/>
    <n v="176"/>
    <n v="88.578000000000003"/>
    <m/>
    <m/>
    <m/>
    <m/>
    <m/>
    <n v="88.578000000000003"/>
    <d v="2023-06-30T00:00:00"/>
    <n v="0"/>
    <n v="0"/>
    <n v="0"/>
    <n v="0"/>
    <n v="0"/>
    <n v="0"/>
    <n v="0"/>
    <x v="0"/>
    <n v="15589.728000000001"/>
    <n v="15589.728000000001"/>
    <n v="0"/>
    <n v="0"/>
    <x v="0"/>
    <x v="3"/>
  </r>
  <r>
    <s v="ORD03490"/>
    <d v="2024-01-22T00:00:00"/>
    <x v="340"/>
    <x v="36"/>
    <n v="144"/>
    <s v="INV03490"/>
    <n v="144"/>
    <n v="415.70589999999999"/>
    <m/>
    <m/>
    <m/>
    <m/>
    <m/>
    <n v="415.70589999999999"/>
    <d v="2023-03-04T00:00:00"/>
    <n v="0"/>
    <n v="0"/>
    <n v="0"/>
    <n v="0"/>
    <n v="0"/>
    <n v="0"/>
    <n v="0"/>
    <x v="0"/>
    <n v="59861.649599999997"/>
    <n v="59861.649599999997"/>
    <n v="0"/>
    <n v="0"/>
    <x v="0"/>
    <x v="15"/>
  </r>
  <r>
    <s v="ORD03491"/>
    <d v="2023-11-21T00:00:00"/>
    <x v="779"/>
    <x v="83"/>
    <n v="156"/>
    <s v="INV03491"/>
    <n v="156"/>
    <n v="1157.6343999999999"/>
    <m/>
    <m/>
    <m/>
    <m/>
    <m/>
    <n v="1157.6343999999999"/>
    <d v="2023-02-02T00:00:00"/>
    <n v="0"/>
    <n v="0"/>
    <n v="0"/>
    <n v="0"/>
    <n v="0"/>
    <n v="0"/>
    <n v="0"/>
    <x v="0"/>
    <n v="180590.96639999998"/>
    <n v="180590.96639999998"/>
    <n v="0"/>
    <n v="0"/>
    <x v="0"/>
    <x v="0"/>
  </r>
  <r>
    <s v="ORD03492"/>
    <d v="2023-01-19T00:00:00"/>
    <x v="791"/>
    <x v="289"/>
    <n v="94"/>
    <s v="INV03492"/>
    <n v="94"/>
    <n v="361.47840000000002"/>
    <m/>
    <m/>
    <m/>
    <m/>
    <m/>
    <n v="361.47840000000002"/>
    <d v="2022-12-14T00:00:00"/>
    <n v="0"/>
    <n v="0"/>
    <n v="0"/>
    <n v="0"/>
    <n v="0"/>
    <n v="0"/>
    <n v="0"/>
    <x v="0"/>
    <n v="33978.969600000004"/>
    <n v="33978.969600000004"/>
    <n v="0"/>
    <n v="0"/>
    <x v="0"/>
    <x v="8"/>
  </r>
  <r>
    <s v="ORD03493"/>
    <d v="2023-05-31T00:00:00"/>
    <x v="583"/>
    <x v="59"/>
    <n v="160"/>
    <s v="INV03493"/>
    <n v="160"/>
    <n v="933.82110000000011"/>
    <m/>
    <m/>
    <m/>
    <m/>
    <m/>
    <n v="933.82110000000011"/>
    <d v="2022-10-21T00:00:00"/>
    <n v="0"/>
    <n v="0"/>
    <n v="0"/>
    <n v="0"/>
    <n v="0"/>
    <n v="0"/>
    <n v="0"/>
    <x v="0"/>
    <n v="149411.37600000002"/>
    <n v="149411.37600000002"/>
    <n v="0"/>
    <n v="0"/>
    <x v="0"/>
    <x v="7"/>
  </r>
  <r>
    <s v="ORD03494"/>
    <d v="2023-09-01T00:00:00"/>
    <x v="703"/>
    <x v="55"/>
    <n v="167"/>
    <s v="INV03494"/>
    <n v="167"/>
    <n v="499.17750000000001"/>
    <m/>
    <m/>
    <m/>
    <m/>
    <m/>
    <n v="499.17750000000001"/>
    <d v="2023-07-16T00:00:00"/>
    <n v="0"/>
    <n v="0"/>
    <n v="0"/>
    <n v="0"/>
    <n v="0"/>
    <n v="0"/>
    <n v="0"/>
    <x v="0"/>
    <n v="83362.642500000002"/>
    <n v="83362.642500000002"/>
    <n v="0"/>
    <n v="0"/>
    <x v="0"/>
    <x v="18"/>
  </r>
  <r>
    <s v="ORD03495"/>
    <d v="2023-03-11T00:00:00"/>
    <x v="613"/>
    <x v="45"/>
    <n v="108"/>
    <s v="INV03495"/>
    <n v="108"/>
    <n v="162.65700000000001"/>
    <m/>
    <m/>
    <m/>
    <m/>
    <m/>
    <n v="162.65700000000001"/>
    <d v="2023-02-26T00:00:00"/>
    <n v="0"/>
    <n v="0"/>
    <n v="0"/>
    <n v="0"/>
    <n v="0"/>
    <n v="0"/>
    <n v="0"/>
    <x v="0"/>
    <n v="17566.956000000002"/>
    <n v="17566.956000000002"/>
    <n v="0"/>
    <n v="0"/>
    <x v="0"/>
    <x v="17"/>
  </r>
  <r>
    <s v="ORD03496"/>
    <d v="2023-08-30T00:00:00"/>
    <x v="280"/>
    <x v="174"/>
    <n v="162"/>
    <s v="INV03496"/>
    <n v="162"/>
    <n v="575.53650000000005"/>
    <m/>
    <m/>
    <m/>
    <m/>
    <m/>
    <n v="575.53650000000005"/>
    <d v="2022-08-27T00:00:00"/>
    <n v="0"/>
    <n v="0"/>
    <n v="0"/>
    <n v="0"/>
    <n v="0"/>
    <n v="0"/>
    <n v="0"/>
    <x v="0"/>
    <n v="93236.913"/>
    <n v="93236.913"/>
    <n v="0"/>
    <n v="0"/>
    <x v="0"/>
    <x v="12"/>
  </r>
  <r>
    <s v="ORD03497"/>
    <d v="2023-05-19T00:00:00"/>
    <x v="727"/>
    <x v="108"/>
    <n v="166"/>
    <s v="INV03497"/>
    <n v="166"/>
    <n v="1072.5387000000001"/>
    <m/>
    <m/>
    <m/>
    <m/>
    <m/>
    <n v="1072.5387000000001"/>
    <d v="2023-04-07T00:00:00"/>
    <n v="0"/>
    <n v="0"/>
    <n v="0"/>
    <n v="0"/>
    <n v="0"/>
    <n v="0"/>
    <n v="0"/>
    <x v="0"/>
    <n v="178041.42420000001"/>
    <n v="178041.42420000001"/>
    <n v="0"/>
    <n v="0"/>
    <x v="0"/>
    <x v="7"/>
  </r>
  <r>
    <s v="ORD03498"/>
    <d v="2023-02-10T00:00:00"/>
    <x v="217"/>
    <x v="154"/>
    <n v="131"/>
    <s v="INV03498"/>
    <n v="131"/>
    <n v="775.08529999999996"/>
    <m/>
    <m/>
    <m/>
    <m/>
    <m/>
    <n v="775.08529999999996"/>
    <d v="2022-11-27T00:00:00"/>
    <n v="0"/>
    <n v="0"/>
    <n v="0"/>
    <n v="0"/>
    <n v="0"/>
    <n v="0"/>
    <n v="0"/>
    <x v="0"/>
    <n v="101536.1743"/>
    <n v="101536.1743"/>
    <n v="0"/>
    <n v="0"/>
    <x v="0"/>
    <x v="11"/>
  </r>
  <r>
    <s v="ORD03499"/>
    <d v="2023-03-02T00:00:00"/>
    <x v="587"/>
    <x v="59"/>
    <n v="37"/>
    <s v="INV03499"/>
    <n v="37"/>
    <n v="934.0475908333824"/>
    <m/>
    <m/>
    <m/>
    <m/>
    <m/>
    <n v="933.82110000000011"/>
    <d v="2022-10-21T00:00:00"/>
    <n v="0"/>
    <n v="0"/>
    <n v="1"/>
    <n v="0"/>
    <n v="0"/>
    <n v="0"/>
    <n v="0"/>
    <x v="1"/>
    <n v="34559.760860835151"/>
    <n v="34551.380700000002"/>
    <n v="8.3801608351495815"/>
    <n v="4"/>
    <x v="1"/>
    <x v="17"/>
  </r>
  <r>
    <s v="ORD03500"/>
    <d v="2024-09-20T00:00:00"/>
    <x v="371"/>
    <x v="257"/>
    <n v="148"/>
    <s v="INV03500"/>
    <n v="148"/>
    <n v="296.17460000000005"/>
    <m/>
    <m/>
    <m/>
    <m/>
    <m/>
    <n v="296.17460000000005"/>
    <d v="2023-09-25T00:00:00"/>
    <n v="0"/>
    <n v="0"/>
    <n v="0"/>
    <n v="0"/>
    <n v="0"/>
    <n v="0"/>
    <n v="0"/>
    <x v="0"/>
    <n v="43833.840800000005"/>
    <n v="43833.840800000005"/>
    <n v="0"/>
    <n v="0"/>
    <x v="0"/>
    <x v="2"/>
  </r>
  <r>
    <s v="ORD03501"/>
    <d v="2024-06-03T00:00:00"/>
    <x v="2"/>
    <x v="1"/>
    <n v="118"/>
    <s v="INV03501"/>
    <n v="118"/>
    <n v="444.22"/>
    <m/>
    <m/>
    <m/>
    <m/>
    <m/>
    <n v="444.22"/>
    <d v="2023-05-28T00:00:00"/>
    <n v="0"/>
    <n v="0"/>
    <n v="0"/>
    <n v="0"/>
    <n v="0"/>
    <n v="0"/>
    <n v="0"/>
    <x v="0"/>
    <n v="52417.960000000006"/>
    <n v="52417.960000000006"/>
    <n v="0"/>
    <n v="0"/>
    <x v="0"/>
    <x v="16"/>
  </r>
  <r>
    <s v="ORD03502"/>
    <d v="2024-08-16T00:00:00"/>
    <x v="379"/>
    <x v="175"/>
    <n v="31"/>
    <s v="INV03502"/>
    <n v="31"/>
    <n v="212.07900000000001"/>
    <m/>
    <m/>
    <m/>
    <m/>
    <m/>
    <n v="212.07900000000001"/>
    <d v="2023-05-11T00:00:00"/>
    <n v="0"/>
    <n v="0"/>
    <n v="0"/>
    <n v="0"/>
    <n v="0"/>
    <n v="0"/>
    <n v="0"/>
    <x v="0"/>
    <n v="6574.4490000000005"/>
    <n v="6574.4490000000005"/>
    <n v="0"/>
    <n v="0"/>
    <x v="0"/>
    <x v="22"/>
  </r>
  <r>
    <s v="ORD03503"/>
    <d v="2023-11-16T00:00:00"/>
    <x v="307"/>
    <x v="177"/>
    <n v="30"/>
    <s v="INV03503"/>
    <n v="30"/>
    <n v="335.39150000000001"/>
    <n v="1"/>
    <d v="2023-09-05T00:00:00"/>
    <m/>
    <m/>
    <m/>
    <n v="335.39150000000001"/>
    <d v="2023-08-13T00:00:00"/>
    <n v="0"/>
    <n v="0"/>
    <n v="0"/>
    <n v="0"/>
    <n v="0"/>
    <n v="0"/>
    <n v="0"/>
    <x v="0"/>
    <n v="10061.745000000001"/>
    <n v="10061.745000000001"/>
    <n v="0"/>
    <n v="0"/>
    <x v="0"/>
    <x v="0"/>
  </r>
  <r>
    <s v="ORD03504"/>
    <d v="2024-04-22T00:00:00"/>
    <x v="236"/>
    <x v="71"/>
    <n v="180"/>
    <s v="INV03504"/>
    <n v="180"/>
    <n v="238.7328"/>
    <m/>
    <m/>
    <m/>
    <m/>
    <m/>
    <n v="238.7328"/>
    <d v="2023-03-02T00:00:00"/>
    <n v="0"/>
    <n v="0"/>
    <n v="0"/>
    <n v="0"/>
    <n v="0"/>
    <n v="0"/>
    <n v="0"/>
    <x v="0"/>
    <n v="42971.904000000002"/>
    <n v="42971.904000000002"/>
    <n v="0"/>
    <n v="0"/>
    <x v="0"/>
    <x v="9"/>
  </r>
  <r>
    <s v="ORD03505"/>
    <d v="2024-04-27T00:00:00"/>
    <x v="502"/>
    <x v="51"/>
    <n v="102"/>
    <s v="INV03505"/>
    <n v="102"/>
    <n v="580.38720000000001"/>
    <m/>
    <m/>
    <m/>
    <m/>
    <m/>
    <n v="580.38720000000001"/>
    <d v="2023-09-11T00:00:00"/>
    <n v="0"/>
    <n v="0"/>
    <n v="0"/>
    <n v="0"/>
    <n v="0"/>
    <n v="0"/>
    <n v="0"/>
    <x v="0"/>
    <n v="59199.494400000003"/>
    <n v="59199.494400000003"/>
    <n v="0"/>
    <n v="0"/>
    <x v="0"/>
    <x v="9"/>
  </r>
  <r>
    <s v="ORD03506"/>
    <d v="2023-11-22T00:00:00"/>
    <x v="26"/>
    <x v="271"/>
    <n v="137"/>
    <s v="INV03506"/>
    <n v="137"/>
    <n v="358.33919999999995"/>
    <n v="15"/>
    <d v="2023-09-15T00:00:00"/>
    <m/>
    <m/>
    <m/>
    <n v="358.33919999999995"/>
    <d v="2023-07-01T00:00:00"/>
    <n v="0"/>
    <n v="0"/>
    <n v="0"/>
    <n v="0"/>
    <n v="0"/>
    <n v="0"/>
    <n v="0"/>
    <x v="0"/>
    <n v="49092.470399999991"/>
    <n v="49092.470399999991"/>
    <n v="0"/>
    <n v="0"/>
    <x v="0"/>
    <x v="0"/>
  </r>
  <r>
    <s v="ORD03507"/>
    <d v="2024-12-23T00:00:00"/>
    <x v="556"/>
    <x v="214"/>
    <n v="113"/>
    <s v="INV03507"/>
    <n v="113"/>
    <n v="77.178600000000003"/>
    <m/>
    <m/>
    <m/>
    <m/>
    <m/>
    <n v="77.178600000000003"/>
    <d v="2023-02-18T00:00:00"/>
    <n v="0"/>
    <n v="0"/>
    <n v="0"/>
    <n v="0"/>
    <n v="0"/>
    <n v="0"/>
    <n v="0"/>
    <x v="0"/>
    <n v="8721.1818000000003"/>
    <n v="8721.1818000000003"/>
    <n v="0"/>
    <n v="0"/>
    <x v="0"/>
    <x v="1"/>
  </r>
  <r>
    <s v="ORD03508"/>
    <d v="2024-06-27T00:00:00"/>
    <x v="194"/>
    <x v="246"/>
    <n v="77"/>
    <s v="INV03508"/>
    <n v="77"/>
    <n v="491.10239999999999"/>
    <m/>
    <m/>
    <m/>
    <m/>
    <m/>
    <n v="491.10239999999999"/>
    <d v="2023-09-18T00:00:00"/>
    <n v="0"/>
    <n v="0"/>
    <n v="0"/>
    <n v="0"/>
    <n v="0"/>
    <n v="0"/>
    <n v="0"/>
    <x v="0"/>
    <n v="37814.8848"/>
    <n v="37814.8848"/>
    <n v="0"/>
    <n v="0"/>
    <x v="0"/>
    <x v="16"/>
  </r>
  <r>
    <s v="ORD03509"/>
    <d v="2024-12-15T00:00:00"/>
    <x v="715"/>
    <x v="264"/>
    <n v="43"/>
    <s v="INV03509"/>
    <n v="43"/>
    <n v="230.7345"/>
    <n v="5"/>
    <d v="2024-06-09T00:00:00"/>
    <m/>
    <m/>
    <m/>
    <n v="230.7345"/>
    <d v="2023-08-04T00:00:00"/>
    <n v="0"/>
    <n v="0"/>
    <n v="0"/>
    <n v="0"/>
    <n v="0"/>
    <n v="0"/>
    <n v="0"/>
    <x v="0"/>
    <n v="9921.5835000000006"/>
    <n v="9921.5835000000006"/>
    <n v="0"/>
    <n v="0"/>
    <x v="0"/>
    <x v="1"/>
  </r>
  <r>
    <s v="ORD03510"/>
    <d v="2024-02-06T00:00:00"/>
    <x v="782"/>
    <x v="207"/>
    <n v="64"/>
    <s v="INV03510"/>
    <n v="64"/>
    <n v="287.90559999999999"/>
    <m/>
    <m/>
    <m/>
    <m/>
    <m/>
    <n v="287.90559999999999"/>
    <d v="2023-10-25T00:00:00"/>
    <n v="0"/>
    <n v="0"/>
    <n v="0"/>
    <n v="0"/>
    <n v="0"/>
    <n v="0"/>
    <n v="0"/>
    <x v="0"/>
    <n v="18425.9584"/>
    <n v="18425.9584"/>
    <n v="0"/>
    <n v="0"/>
    <x v="0"/>
    <x v="3"/>
  </r>
  <r>
    <s v="ORD03511"/>
    <d v="2023-05-06T00:00:00"/>
    <x v="363"/>
    <x v="71"/>
    <n v="62"/>
    <s v="INV03511"/>
    <n v="62"/>
    <n v="238.7328"/>
    <m/>
    <m/>
    <m/>
    <m/>
    <m/>
    <n v="238.7328"/>
    <d v="2023-03-02T00:00:00"/>
    <n v="0"/>
    <n v="0"/>
    <n v="0"/>
    <n v="0"/>
    <n v="0"/>
    <n v="0"/>
    <n v="0"/>
    <x v="0"/>
    <n v="14801.4336"/>
    <n v="14801.4336"/>
    <n v="0"/>
    <n v="0"/>
    <x v="0"/>
    <x v="7"/>
  </r>
  <r>
    <s v="ORD03512"/>
    <d v="2023-04-15T00:00:00"/>
    <x v="122"/>
    <x v="223"/>
    <n v="102"/>
    <s v="INV03512"/>
    <n v="102"/>
    <n v="901.83"/>
    <m/>
    <m/>
    <m/>
    <m/>
    <m/>
    <n v="901.83"/>
    <d v="2023-01-20T00:00:00"/>
    <n v="0"/>
    <n v="0"/>
    <n v="0"/>
    <n v="0"/>
    <n v="0"/>
    <n v="0"/>
    <n v="0"/>
    <x v="0"/>
    <n v="91986.66"/>
    <n v="91986.66"/>
    <n v="0"/>
    <n v="0"/>
    <x v="0"/>
    <x v="23"/>
  </r>
  <r>
    <s v="ORD03513"/>
    <d v="2024-02-11T00:00:00"/>
    <x v="455"/>
    <x v="225"/>
    <n v="36"/>
    <s v="INV03513"/>
    <n v="36"/>
    <n v="307.97520000000003"/>
    <m/>
    <m/>
    <m/>
    <m/>
    <m/>
    <n v="307.97520000000003"/>
    <d v="2023-04-13T00:00:00"/>
    <n v="0"/>
    <n v="0"/>
    <n v="0"/>
    <n v="0"/>
    <n v="0"/>
    <n v="0"/>
    <n v="0"/>
    <x v="0"/>
    <n v="11087.1072"/>
    <n v="11087.1072"/>
    <n v="0"/>
    <n v="0"/>
    <x v="0"/>
    <x v="3"/>
  </r>
  <r>
    <s v="ORD03514"/>
    <d v="2023-11-14T00:00:00"/>
    <x v="758"/>
    <x v="296"/>
    <n v="112"/>
    <s v="INV03514"/>
    <n v="112"/>
    <n v="724.16120000000001"/>
    <m/>
    <m/>
    <m/>
    <m/>
    <m/>
    <n v="724.16120000000001"/>
    <d v="2023-04-28T00:00:00"/>
    <n v="0"/>
    <n v="0"/>
    <n v="0"/>
    <n v="0"/>
    <n v="0"/>
    <n v="0"/>
    <n v="0"/>
    <x v="0"/>
    <n v="81106.054399999994"/>
    <n v="81106.054399999994"/>
    <n v="0"/>
    <n v="0"/>
    <x v="0"/>
    <x v="0"/>
  </r>
  <r>
    <s v="ORD03515"/>
    <d v="2024-04-29T00:00:00"/>
    <x v="415"/>
    <x v="168"/>
    <n v="182"/>
    <s v="INV03515"/>
    <n v="182"/>
    <n v="232.3732"/>
    <m/>
    <m/>
    <m/>
    <m/>
    <m/>
    <n v="232.3732"/>
    <d v="2023-05-19T00:00:00"/>
    <n v="0"/>
    <n v="0"/>
    <n v="0"/>
    <n v="0"/>
    <n v="0"/>
    <n v="0"/>
    <n v="0"/>
    <x v="0"/>
    <n v="42291.922399999996"/>
    <n v="42291.922399999996"/>
    <n v="0"/>
    <n v="0"/>
    <x v="0"/>
    <x v="9"/>
  </r>
  <r>
    <s v="ORD03516"/>
    <d v="2024-09-21T00:00:00"/>
    <x v="44"/>
    <x v="54"/>
    <n v="154"/>
    <s v="INV03516"/>
    <n v="154"/>
    <n v="465.21179999999998"/>
    <m/>
    <m/>
    <m/>
    <m/>
    <m/>
    <n v="465.21179999999998"/>
    <d v="2023-07-30T00:00:00"/>
    <n v="0"/>
    <n v="0"/>
    <n v="0"/>
    <n v="0"/>
    <n v="0"/>
    <n v="0"/>
    <n v="0"/>
    <x v="0"/>
    <n v="71642.617199999993"/>
    <n v="71642.617199999993"/>
    <n v="0"/>
    <n v="0"/>
    <x v="0"/>
    <x v="2"/>
  </r>
  <r>
    <s v="ORD03517"/>
    <d v="2023-02-12T00:00:00"/>
    <x v="246"/>
    <x v="298"/>
    <n v="91"/>
    <s v="INV03517"/>
    <n v="91"/>
    <n v="728.84"/>
    <n v="1"/>
    <d v="2024-08-15T00:00:00"/>
    <m/>
    <m/>
    <m/>
    <n v="728.84"/>
    <d v="2022-03-06T00:00:00"/>
    <n v="0"/>
    <n v="0"/>
    <n v="0"/>
    <n v="0"/>
    <n v="0"/>
    <n v="1"/>
    <n v="0"/>
    <x v="1"/>
    <n v="66324.44"/>
    <n v="66324.44"/>
    <n v="0"/>
    <n v="2"/>
    <x v="1"/>
    <x v="11"/>
  </r>
  <r>
    <s v="ORD03518"/>
    <d v="2023-09-08T00:00:00"/>
    <x v="650"/>
    <x v="240"/>
    <n v="79"/>
    <s v="INV03518"/>
    <n v="79"/>
    <n v="489.35803115938955"/>
    <m/>
    <m/>
    <m/>
    <m/>
    <m/>
    <n v="488.43360000000007"/>
    <d v="2023-06-30T00:00:00"/>
    <n v="0"/>
    <n v="0"/>
    <n v="1"/>
    <n v="0"/>
    <n v="0"/>
    <n v="0"/>
    <n v="0"/>
    <x v="1"/>
    <n v="38659.284461591778"/>
    <n v="38586.254400000005"/>
    <n v="73.030061591773119"/>
    <n v="4"/>
    <x v="1"/>
    <x v="18"/>
  </r>
  <r>
    <s v="ORD03519"/>
    <d v="2024-02-12T00:00:00"/>
    <x v="544"/>
    <x v="147"/>
    <n v="100"/>
    <s v="INV03519"/>
    <n v="100"/>
    <n v="1195.6769999999999"/>
    <m/>
    <m/>
    <m/>
    <m/>
    <m/>
    <n v="1195.6769999999999"/>
    <d v="2023-03-25T00:00:00"/>
    <n v="0"/>
    <n v="0"/>
    <n v="0"/>
    <n v="0"/>
    <n v="0"/>
    <n v="0"/>
    <n v="0"/>
    <x v="0"/>
    <n v="119567.7"/>
    <n v="119567.7"/>
    <n v="0"/>
    <n v="0"/>
    <x v="0"/>
    <x v="3"/>
  </r>
  <r>
    <s v="ORD03520"/>
    <d v="2024-07-28T00:00:00"/>
    <x v="700"/>
    <x v="120"/>
    <n v="44"/>
    <s v="INV03520"/>
    <n v="44"/>
    <n v="989.96579999999994"/>
    <m/>
    <m/>
    <m/>
    <m/>
    <m/>
    <n v="989.96579999999994"/>
    <d v="2023-02-18T00:00:00"/>
    <n v="0"/>
    <n v="0"/>
    <n v="0"/>
    <n v="0"/>
    <n v="0"/>
    <n v="0"/>
    <n v="0"/>
    <x v="0"/>
    <n v="43558.495199999998"/>
    <n v="43558.495199999998"/>
    <n v="0"/>
    <n v="0"/>
    <x v="0"/>
    <x v="21"/>
  </r>
  <r>
    <s v="ORD03521"/>
    <d v="2024-09-29T00:00:00"/>
    <x v="7"/>
    <x v="277"/>
    <n v="91"/>
    <s v="INV03521"/>
    <n v="91"/>
    <n v="544.5"/>
    <m/>
    <m/>
    <m/>
    <m/>
    <m/>
    <n v="544.5"/>
    <d v="2023-08-21T00:00:00"/>
    <n v="0"/>
    <n v="0"/>
    <n v="0"/>
    <n v="0"/>
    <n v="0"/>
    <n v="0"/>
    <n v="0"/>
    <x v="0"/>
    <n v="49549.5"/>
    <n v="49549.5"/>
    <n v="0"/>
    <n v="0"/>
    <x v="0"/>
    <x v="2"/>
  </r>
  <r>
    <s v="ORD03522"/>
    <d v="2023-06-23T00:00:00"/>
    <x v="621"/>
    <x v="250"/>
    <n v="126"/>
    <s v="INV03522"/>
    <n v="126"/>
    <n v="83.314999999999998"/>
    <m/>
    <m/>
    <m/>
    <m/>
    <m/>
    <n v="83.314999999999998"/>
    <d v="2022-09-15T00:00:00"/>
    <n v="0"/>
    <n v="0"/>
    <n v="0"/>
    <n v="0"/>
    <n v="0"/>
    <n v="0"/>
    <n v="0"/>
    <x v="0"/>
    <n v="10497.69"/>
    <n v="10497.69"/>
    <n v="0"/>
    <n v="0"/>
    <x v="0"/>
    <x v="14"/>
  </r>
  <r>
    <s v="ORD03523"/>
    <d v="2024-11-02T00:00:00"/>
    <x v="59"/>
    <x v="39"/>
    <n v="182"/>
    <s v="INV03523"/>
    <n v="182"/>
    <n v="862.73640000000012"/>
    <m/>
    <m/>
    <m/>
    <m/>
    <m/>
    <n v="862.73640000000012"/>
    <d v="2023-10-24T00:00:00"/>
    <n v="0"/>
    <n v="0"/>
    <n v="0"/>
    <n v="0"/>
    <n v="0"/>
    <n v="0"/>
    <n v="0"/>
    <x v="0"/>
    <n v="157018.02480000001"/>
    <n v="157018.02480000001"/>
    <n v="0"/>
    <n v="0"/>
    <x v="0"/>
    <x v="4"/>
  </r>
  <r>
    <s v="ORD03524"/>
    <d v="2023-07-25T00:00:00"/>
    <x v="610"/>
    <x v="7"/>
    <n v="141"/>
    <s v="INV03524"/>
    <n v="141"/>
    <n v="510.91840000000002"/>
    <m/>
    <m/>
    <m/>
    <m/>
    <m/>
    <n v="510.91840000000002"/>
    <d v="2023-02-24T00:00:00"/>
    <n v="0"/>
    <n v="0"/>
    <n v="0"/>
    <n v="0"/>
    <n v="0"/>
    <n v="0"/>
    <n v="0"/>
    <x v="0"/>
    <n v="72039.494399999996"/>
    <n v="72039.494399999996"/>
    <n v="0"/>
    <n v="0"/>
    <x v="0"/>
    <x v="10"/>
  </r>
  <r>
    <s v="ORD03525"/>
    <d v="2024-01-12T00:00:00"/>
    <x v="744"/>
    <x v="117"/>
    <n v="33"/>
    <s v="INV03525"/>
    <n v="33"/>
    <n v="214.6182"/>
    <m/>
    <m/>
    <m/>
    <m/>
    <m/>
    <n v="214.6182"/>
    <d v="2023-07-09T00:00:00"/>
    <n v="0"/>
    <n v="0"/>
    <n v="0"/>
    <n v="0"/>
    <n v="0"/>
    <n v="0"/>
    <n v="0"/>
    <x v="0"/>
    <n v="7082.4005999999999"/>
    <n v="7082.4005999999999"/>
    <n v="0"/>
    <n v="0"/>
    <x v="0"/>
    <x v="15"/>
  </r>
  <r>
    <s v="ORD03526"/>
    <d v="2024-03-13T00:00:00"/>
    <x v="535"/>
    <x v="94"/>
    <n v="46"/>
    <s v="INV03526"/>
    <n v="46"/>
    <n v="765.52319999999997"/>
    <m/>
    <m/>
    <m/>
    <m/>
    <m/>
    <n v="765.52319999999997"/>
    <d v="2023-09-05T00:00:00"/>
    <n v="0"/>
    <n v="0"/>
    <n v="0"/>
    <n v="0"/>
    <n v="0"/>
    <n v="0"/>
    <n v="0"/>
    <x v="0"/>
    <n v="35214.067199999998"/>
    <n v="35214.067199999998"/>
    <n v="0"/>
    <n v="0"/>
    <x v="0"/>
    <x v="6"/>
  </r>
  <r>
    <s v="ORD03527"/>
    <d v="2024-03-20T00:00:00"/>
    <x v="2"/>
    <x v="72"/>
    <n v="46"/>
    <s v="INV03527"/>
    <n v="46"/>
    <n v="791.35360000000003"/>
    <m/>
    <m/>
    <m/>
    <m/>
    <m/>
    <n v="791.35360000000003"/>
    <d v="2023-06-20T00:00:00"/>
    <n v="0"/>
    <n v="0"/>
    <n v="0"/>
    <n v="0"/>
    <n v="0"/>
    <n v="0"/>
    <n v="0"/>
    <x v="0"/>
    <n v="36402.265599999999"/>
    <n v="36402.265599999999"/>
    <n v="0"/>
    <n v="0"/>
    <x v="0"/>
    <x v="6"/>
  </r>
  <r>
    <s v="ORD03528"/>
    <d v="2023-04-24T00:00:00"/>
    <x v="463"/>
    <x v="233"/>
    <n v="11"/>
    <s v="INV03528"/>
    <n v="11"/>
    <n v="747.51"/>
    <m/>
    <m/>
    <m/>
    <m/>
    <m/>
    <n v="747.51"/>
    <d v="2022-01-21T00:00:00"/>
    <n v="0"/>
    <n v="0"/>
    <n v="0"/>
    <n v="0"/>
    <n v="0"/>
    <n v="0"/>
    <n v="0"/>
    <x v="0"/>
    <n v="8222.61"/>
    <n v="8222.61"/>
    <n v="0"/>
    <n v="0"/>
    <x v="0"/>
    <x v="23"/>
  </r>
  <r>
    <s v="ORD03529"/>
    <d v="2024-01-04T00:00:00"/>
    <x v="688"/>
    <x v="193"/>
    <n v="113"/>
    <s v="INV03529"/>
    <n v="113"/>
    <n v="1030.7952"/>
    <m/>
    <m/>
    <m/>
    <m/>
    <m/>
    <n v="1030.7952"/>
    <d v="2023-08-16T00:00:00"/>
    <n v="0"/>
    <n v="0"/>
    <n v="0"/>
    <n v="0"/>
    <n v="0"/>
    <n v="0"/>
    <n v="0"/>
    <x v="0"/>
    <n v="116479.8576"/>
    <n v="116479.8576"/>
    <n v="0"/>
    <n v="0"/>
    <x v="0"/>
    <x v="15"/>
  </r>
  <r>
    <s v="ORD03530"/>
    <d v="2023-04-14T00:00:00"/>
    <x v="388"/>
    <x v="64"/>
    <n v="125"/>
    <s v="INV03530"/>
    <n v="125"/>
    <n v="1129.6166000000001"/>
    <m/>
    <m/>
    <m/>
    <m/>
    <m/>
    <n v="1129.6166000000001"/>
    <d v="2023-02-03T00:00:00"/>
    <n v="0"/>
    <n v="0"/>
    <n v="0"/>
    <n v="0"/>
    <n v="0"/>
    <n v="0"/>
    <n v="0"/>
    <x v="0"/>
    <n v="141202.07500000001"/>
    <n v="141202.07500000001"/>
    <n v="0"/>
    <n v="0"/>
    <x v="0"/>
    <x v="23"/>
  </r>
  <r>
    <s v="ORD03531"/>
    <d v="2024-12-22T00:00:00"/>
    <x v="687"/>
    <x v="73"/>
    <n v="197"/>
    <s v="INV03531"/>
    <n v="197"/>
    <n v="1006.5033"/>
    <m/>
    <m/>
    <m/>
    <m/>
    <m/>
    <n v="1006.5033"/>
    <d v="2023-07-16T00:00:00"/>
    <n v="0"/>
    <n v="0"/>
    <n v="0"/>
    <n v="0"/>
    <n v="0"/>
    <n v="0"/>
    <n v="0"/>
    <x v="0"/>
    <n v="198281.1501"/>
    <n v="198281.1501"/>
    <n v="0"/>
    <n v="0"/>
    <x v="0"/>
    <x v="1"/>
  </r>
  <r>
    <s v="ORD03532"/>
    <d v="2023-03-09T00:00:00"/>
    <x v="59"/>
    <x v="154"/>
    <n v="1"/>
    <s v="INV03532"/>
    <n v="1"/>
    <n v="775.08529999999996"/>
    <m/>
    <m/>
    <m/>
    <m/>
    <m/>
    <n v="775.08529999999996"/>
    <d v="2022-11-27T00:00:00"/>
    <n v="0"/>
    <n v="0"/>
    <n v="0"/>
    <n v="0"/>
    <n v="0"/>
    <n v="0"/>
    <n v="0"/>
    <x v="0"/>
    <n v="775.08529999999996"/>
    <n v="775.08529999999996"/>
    <n v="0"/>
    <n v="0"/>
    <x v="0"/>
    <x v="17"/>
  </r>
  <r>
    <s v="ORD03533"/>
    <d v="2024-12-21T00:00:00"/>
    <x v="139"/>
    <x v="38"/>
    <n v="151"/>
    <s v="INV03533"/>
    <n v="151"/>
    <n v="455.18812835027614"/>
    <m/>
    <m/>
    <m/>
    <m/>
    <m/>
    <n v="454.98379999999997"/>
    <d v="2023-03-26T00:00:00"/>
    <n v="0"/>
    <n v="0"/>
    <n v="1"/>
    <n v="0"/>
    <n v="0"/>
    <n v="0"/>
    <n v="0"/>
    <x v="1"/>
    <n v="68733.407380891702"/>
    <n v="68702.553799999994"/>
    <n v="30.853580891707679"/>
    <n v="4"/>
    <x v="1"/>
    <x v="1"/>
  </r>
  <r>
    <s v="ORD03534"/>
    <d v="2024-11-24T00:00:00"/>
    <x v="221"/>
    <x v="239"/>
    <n v="5"/>
    <s v="INV03534"/>
    <n v="5"/>
    <n v="1197.9306999999999"/>
    <m/>
    <m/>
    <m/>
    <m/>
    <m/>
    <n v="1197.9306999999999"/>
    <d v="2023-06-12T00:00:00"/>
    <n v="0"/>
    <n v="0"/>
    <n v="0"/>
    <n v="0"/>
    <n v="0"/>
    <n v="0"/>
    <n v="0"/>
    <x v="0"/>
    <n v="5989.6534999999994"/>
    <n v="5989.6534999999994"/>
    <n v="0"/>
    <n v="0"/>
    <x v="0"/>
    <x v="4"/>
  </r>
  <r>
    <s v="ORD03535"/>
    <d v="2023-02-20T00:00:00"/>
    <x v="196"/>
    <x v="132"/>
    <n v="115"/>
    <s v="INV03535"/>
    <n v="115"/>
    <n v="736.77120000000002"/>
    <m/>
    <m/>
    <m/>
    <m/>
    <m/>
    <n v="736.77120000000002"/>
    <d v="2022-12-28T00:00:00"/>
    <n v="0"/>
    <n v="0"/>
    <n v="0"/>
    <n v="0"/>
    <n v="0"/>
    <n v="0"/>
    <n v="0"/>
    <x v="0"/>
    <n v="84728.688000000009"/>
    <n v="84728.688000000009"/>
    <n v="0"/>
    <n v="0"/>
    <x v="0"/>
    <x v="11"/>
  </r>
  <r>
    <s v="ORD03536"/>
    <d v="2024-10-13T00:00:00"/>
    <x v="272"/>
    <x v="141"/>
    <n v="152"/>
    <s v="INV03536"/>
    <n v="152"/>
    <n v="785.89"/>
    <m/>
    <m/>
    <m/>
    <m/>
    <m/>
    <n v="785.89"/>
    <d v="2023-03-04T00:00:00"/>
    <n v="0"/>
    <n v="0"/>
    <n v="0"/>
    <n v="0"/>
    <n v="0"/>
    <n v="0"/>
    <n v="0"/>
    <x v="0"/>
    <n v="119455.28"/>
    <n v="119455.28"/>
    <n v="0"/>
    <n v="0"/>
    <x v="0"/>
    <x v="5"/>
  </r>
  <r>
    <s v="ORD03537"/>
    <d v="2024-03-25T00:00:00"/>
    <x v="189"/>
    <x v="159"/>
    <n v="73"/>
    <s v="INV03537"/>
    <n v="73"/>
    <n v="159.06059999999999"/>
    <m/>
    <m/>
    <m/>
    <m/>
    <m/>
    <n v="159.06059999999999"/>
    <d v="2023-01-18T00:00:00"/>
    <n v="0"/>
    <n v="0"/>
    <n v="0"/>
    <n v="0"/>
    <n v="0"/>
    <n v="0"/>
    <n v="0"/>
    <x v="0"/>
    <n v="11611.423799999999"/>
    <n v="11611.423799999999"/>
    <n v="0"/>
    <n v="0"/>
    <x v="0"/>
    <x v="6"/>
  </r>
  <r>
    <s v="ORD03538"/>
    <d v="2024-02-21T00:00:00"/>
    <x v="86"/>
    <x v="241"/>
    <n v="102"/>
    <s v="INV03538"/>
    <n v="98"/>
    <n v="854.74350000000004"/>
    <m/>
    <m/>
    <m/>
    <m/>
    <m/>
    <n v="854.74350000000004"/>
    <d v="2023-02-27T00:00:00"/>
    <n v="0"/>
    <n v="1"/>
    <n v="0"/>
    <n v="0"/>
    <n v="0"/>
    <n v="0"/>
    <n v="0"/>
    <x v="1"/>
    <n v="83764.862999999998"/>
    <n v="87183.837"/>
    <n v="-3418.974000000002"/>
    <n v="8"/>
    <x v="2"/>
    <x v="3"/>
  </r>
  <r>
    <s v="ORD03539"/>
    <d v="2023-11-09T00:00:00"/>
    <x v="587"/>
    <x v="59"/>
    <n v="163"/>
    <s v="INV03539"/>
    <n v="168"/>
    <n v="942.54840000000013"/>
    <m/>
    <m/>
    <m/>
    <m/>
    <m/>
    <n v="942.54840000000013"/>
    <d v="2023-06-09T00:00:00"/>
    <n v="0"/>
    <n v="1"/>
    <n v="0"/>
    <n v="0"/>
    <n v="0"/>
    <n v="0"/>
    <n v="0"/>
    <x v="1"/>
    <n v="158348.13120000003"/>
    <n v="153635.38920000003"/>
    <n v="4712.7419999999984"/>
    <n v="8"/>
    <x v="2"/>
    <x v="0"/>
  </r>
  <r>
    <s v="ORD03540"/>
    <d v="2024-10-10T00:00:00"/>
    <x v="323"/>
    <x v="196"/>
    <n v="74"/>
    <s v="INV03540"/>
    <n v="74"/>
    <n v="1099.82"/>
    <m/>
    <m/>
    <m/>
    <m/>
    <m/>
    <n v="1099.82"/>
    <d v="2023-02-05T00:00:00"/>
    <n v="0"/>
    <n v="0"/>
    <n v="0"/>
    <n v="0"/>
    <n v="0"/>
    <n v="0"/>
    <n v="0"/>
    <x v="0"/>
    <n v="81386.679999999993"/>
    <n v="81386.679999999993"/>
    <n v="0"/>
    <n v="0"/>
    <x v="0"/>
    <x v="5"/>
  </r>
  <r>
    <s v="ORD03541"/>
    <d v="2024-05-08T00:00:00"/>
    <x v="618"/>
    <x v="83"/>
    <n v="49"/>
    <s v="INV03541"/>
    <n v="49"/>
    <n v="1157.6343999999999"/>
    <n v="4"/>
    <d v="2024-04-13T00:00:00"/>
    <m/>
    <m/>
    <m/>
    <n v="1157.6343999999999"/>
    <d v="2023-02-02T00:00:00"/>
    <n v="0"/>
    <n v="0"/>
    <n v="0"/>
    <n v="0"/>
    <n v="0"/>
    <n v="0"/>
    <n v="0"/>
    <x v="0"/>
    <n v="56724.085599999999"/>
    <n v="56724.085599999999"/>
    <n v="0"/>
    <n v="0"/>
    <x v="0"/>
    <x v="13"/>
  </r>
  <r>
    <s v="ORD03542"/>
    <d v="2024-05-05T00:00:00"/>
    <x v="503"/>
    <x v="173"/>
    <n v="104"/>
    <s v="INV03542"/>
    <n v="104"/>
    <n v="539.57150000000001"/>
    <m/>
    <m/>
    <m/>
    <m/>
    <m/>
    <n v="539.57150000000001"/>
    <d v="2023-09-22T00:00:00"/>
    <n v="0"/>
    <n v="0"/>
    <n v="0"/>
    <n v="0"/>
    <n v="0"/>
    <n v="0"/>
    <n v="0"/>
    <x v="0"/>
    <n v="56115.436000000002"/>
    <n v="56115.436000000002"/>
    <n v="0"/>
    <n v="0"/>
    <x v="0"/>
    <x v="13"/>
  </r>
  <r>
    <s v="ORD03543"/>
    <d v="2024-04-13T00:00:00"/>
    <x v="542"/>
    <x v="241"/>
    <n v="36"/>
    <s v="INV03543"/>
    <n v="36"/>
    <n v="854.74350000000004"/>
    <m/>
    <m/>
    <m/>
    <m/>
    <m/>
    <n v="854.74350000000004"/>
    <d v="2023-02-27T00:00:00"/>
    <n v="0"/>
    <n v="0"/>
    <n v="0"/>
    <n v="0"/>
    <n v="0"/>
    <n v="0"/>
    <n v="0"/>
    <x v="0"/>
    <n v="30770.766000000003"/>
    <n v="30770.766000000003"/>
    <n v="0"/>
    <n v="0"/>
    <x v="0"/>
    <x v="9"/>
  </r>
  <r>
    <s v="ORD03544"/>
    <d v="2023-05-26T00:00:00"/>
    <x v="114"/>
    <x v="252"/>
    <n v="64"/>
    <s v="INV03544"/>
    <n v="64"/>
    <n v="752.34559999999999"/>
    <m/>
    <m/>
    <m/>
    <m/>
    <m/>
    <n v="752.34559999999999"/>
    <d v="2022-12-05T00:00:00"/>
    <n v="0"/>
    <n v="0"/>
    <n v="0"/>
    <n v="0"/>
    <n v="0"/>
    <n v="0"/>
    <n v="0"/>
    <x v="0"/>
    <n v="48150.118399999999"/>
    <n v="48150.118399999999"/>
    <n v="0"/>
    <n v="0"/>
    <x v="0"/>
    <x v="7"/>
  </r>
  <r>
    <s v="ORD03545"/>
    <d v="2024-01-21T00:00:00"/>
    <x v="524"/>
    <x v="161"/>
    <n v="118"/>
    <s v="INV03545"/>
    <n v="118"/>
    <n v="1006.8318"/>
    <m/>
    <m/>
    <m/>
    <m/>
    <m/>
    <n v="1006.8318"/>
    <d v="2023-10-05T00:00:00"/>
    <n v="0"/>
    <n v="0"/>
    <n v="0"/>
    <n v="0"/>
    <n v="0"/>
    <n v="0"/>
    <n v="0"/>
    <x v="0"/>
    <n v="118806.15240000001"/>
    <n v="118806.15240000001"/>
    <n v="0"/>
    <n v="0"/>
    <x v="0"/>
    <x v="15"/>
  </r>
  <r>
    <s v="ORD03546"/>
    <d v="2024-03-17T00:00:00"/>
    <x v="217"/>
    <x v="157"/>
    <n v="104"/>
    <s v="INV03546"/>
    <n v="104"/>
    <n v="1158.2643"/>
    <m/>
    <m/>
    <m/>
    <m/>
    <m/>
    <n v="1158.2643"/>
    <d v="2023-07-12T00:00:00"/>
    <n v="0"/>
    <n v="0"/>
    <n v="0"/>
    <n v="0"/>
    <n v="0"/>
    <n v="0"/>
    <n v="0"/>
    <x v="0"/>
    <n v="120459.4872"/>
    <n v="120459.4872"/>
    <n v="0"/>
    <n v="0"/>
    <x v="0"/>
    <x v="6"/>
  </r>
  <r>
    <s v="ORD03547"/>
    <d v="2024-04-02T00:00:00"/>
    <x v="304"/>
    <x v="126"/>
    <n v="199"/>
    <s v="INV03547"/>
    <n v="199"/>
    <n v="287.14"/>
    <m/>
    <m/>
    <m/>
    <m/>
    <m/>
    <n v="287.14"/>
    <d v="2023-02-20T00:00:00"/>
    <n v="0"/>
    <n v="0"/>
    <n v="0"/>
    <n v="0"/>
    <n v="0"/>
    <n v="0"/>
    <n v="0"/>
    <x v="0"/>
    <n v="57140.86"/>
    <n v="57140.86"/>
    <n v="0"/>
    <n v="0"/>
    <x v="0"/>
    <x v="9"/>
  </r>
  <r>
    <s v="ORD03548"/>
    <d v="2023-11-15T00:00:00"/>
    <x v="243"/>
    <x v="43"/>
    <n v="190"/>
    <s v="INV03548"/>
    <n v="190"/>
    <n v="1190.6054999999999"/>
    <m/>
    <m/>
    <m/>
    <m/>
    <m/>
    <n v="1190.6054999999999"/>
    <d v="2023-02-27T00:00:00"/>
    <n v="0"/>
    <n v="0"/>
    <n v="0"/>
    <n v="0"/>
    <n v="0"/>
    <n v="0"/>
    <n v="0"/>
    <x v="0"/>
    <n v="226215.04499999998"/>
    <n v="226215.04499999998"/>
    <n v="0"/>
    <n v="0"/>
    <x v="0"/>
    <x v="0"/>
  </r>
  <r>
    <s v="ORD03549"/>
    <d v="2023-11-06T00:00:00"/>
    <x v="206"/>
    <x v="119"/>
    <n v="25"/>
    <s v="INV03549"/>
    <n v="25"/>
    <n v="88.578000000000003"/>
    <m/>
    <m/>
    <m/>
    <m/>
    <m/>
    <n v="88.578000000000003"/>
    <d v="2023-06-30T00:00:00"/>
    <n v="0"/>
    <n v="0"/>
    <n v="0"/>
    <n v="0"/>
    <n v="0"/>
    <n v="0"/>
    <n v="0"/>
    <x v="0"/>
    <n v="2214.4500000000003"/>
    <n v="2214.4500000000003"/>
    <n v="0"/>
    <n v="0"/>
    <x v="0"/>
    <x v="0"/>
  </r>
  <r>
    <s v="ORD03550"/>
    <d v="2024-06-20T00:00:00"/>
    <x v="650"/>
    <x v="80"/>
    <n v="160"/>
    <s v="INV03550"/>
    <n v="160"/>
    <n v="1014.5718000000001"/>
    <m/>
    <m/>
    <m/>
    <m/>
    <m/>
    <n v="1014.5718000000001"/>
    <d v="2023-04-19T00:00:00"/>
    <n v="0"/>
    <n v="0"/>
    <n v="0"/>
    <n v="0"/>
    <n v="0"/>
    <n v="0"/>
    <n v="0"/>
    <x v="0"/>
    <n v="162331.48800000001"/>
    <n v="162331.48800000001"/>
    <n v="0"/>
    <n v="0"/>
    <x v="0"/>
    <x v="16"/>
  </r>
  <r>
    <s v="ORD03551"/>
    <d v="2024-10-08T00:00:00"/>
    <x v="261"/>
    <x v="17"/>
    <n v="18"/>
    <s v="INV03551"/>
    <n v="18"/>
    <n v="761.50400000000002"/>
    <m/>
    <m/>
    <m/>
    <m/>
    <m/>
    <n v="761.50400000000002"/>
    <d v="2023-08-23T00:00:00"/>
    <n v="0"/>
    <n v="0"/>
    <n v="0"/>
    <n v="0"/>
    <n v="0"/>
    <n v="0"/>
    <n v="0"/>
    <x v="0"/>
    <n v="13707.072"/>
    <n v="13707.072"/>
    <n v="0"/>
    <n v="0"/>
    <x v="0"/>
    <x v="5"/>
  </r>
  <r>
    <s v="ORD03552"/>
    <d v="2024-12-03T00:00:00"/>
    <x v="194"/>
    <x v="154"/>
    <n v="101"/>
    <s v="INV03552"/>
    <n v="101"/>
    <n v="744.98490000000004"/>
    <m/>
    <m/>
    <m/>
    <m/>
    <m/>
    <n v="744.98490000000004"/>
    <d v="2023-07-31T00:00:00"/>
    <n v="0"/>
    <n v="0"/>
    <n v="0"/>
    <n v="0"/>
    <n v="0"/>
    <n v="0"/>
    <n v="0"/>
    <x v="0"/>
    <n v="75243.474900000001"/>
    <n v="75243.474900000001"/>
    <n v="0"/>
    <n v="0"/>
    <x v="0"/>
    <x v="1"/>
  </r>
  <r>
    <s v="ORD03553"/>
    <d v="2023-08-26T00:00:00"/>
    <x v="455"/>
    <x v="289"/>
    <n v="198"/>
    <s v="INV03553"/>
    <n v="198"/>
    <n v="361.47840000000002"/>
    <m/>
    <m/>
    <m/>
    <m/>
    <m/>
    <n v="361.47840000000002"/>
    <d v="2022-12-14T00:00:00"/>
    <n v="0"/>
    <n v="0"/>
    <n v="0"/>
    <n v="0"/>
    <n v="0"/>
    <n v="0"/>
    <n v="0"/>
    <x v="0"/>
    <n v="71572.723200000008"/>
    <n v="71572.723200000008"/>
    <n v="0"/>
    <n v="0"/>
    <x v="0"/>
    <x v="12"/>
  </r>
  <r>
    <s v="ORD03554"/>
    <d v="2023-03-30T00:00:00"/>
    <x v="555"/>
    <x v="41"/>
    <n v="172"/>
    <s v="INV03554"/>
    <n v="172"/>
    <n v="1065.9095"/>
    <m/>
    <m/>
    <m/>
    <m/>
    <m/>
    <n v="1065.9095"/>
    <d v="2023-02-06T00:00:00"/>
    <n v="0"/>
    <n v="0"/>
    <n v="0"/>
    <n v="0"/>
    <n v="0"/>
    <n v="0"/>
    <n v="0"/>
    <x v="0"/>
    <n v="183336.43400000001"/>
    <n v="183336.43400000001"/>
    <n v="0"/>
    <n v="0"/>
    <x v="0"/>
    <x v="17"/>
  </r>
  <r>
    <s v="ORD03555"/>
    <d v="2023-12-25T00:00:00"/>
    <x v="572"/>
    <x v="182"/>
    <n v="137"/>
    <s v="INV03555"/>
    <n v="137"/>
    <n v="926.52549999999997"/>
    <m/>
    <m/>
    <m/>
    <m/>
    <m/>
    <n v="926.52549999999997"/>
    <d v="2023-09-14T00:00:00"/>
    <n v="0"/>
    <n v="0"/>
    <n v="0"/>
    <n v="0"/>
    <n v="0"/>
    <n v="0"/>
    <n v="0"/>
    <x v="0"/>
    <n v="126933.9935"/>
    <n v="126933.9935"/>
    <n v="0"/>
    <n v="0"/>
    <x v="0"/>
    <x v="20"/>
  </r>
  <r>
    <s v="ORD03556"/>
    <d v="2024-07-05T00:00:00"/>
    <x v="659"/>
    <x v="103"/>
    <n v="186"/>
    <s v="INV03556"/>
    <n v="186"/>
    <n v="697.85279999999989"/>
    <m/>
    <m/>
    <m/>
    <m/>
    <m/>
    <n v="697.85279999999989"/>
    <d v="2023-08-31T00:00:00"/>
    <n v="0"/>
    <n v="0"/>
    <n v="0"/>
    <n v="0"/>
    <n v="0"/>
    <n v="0"/>
    <n v="0"/>
    <x v="0"/>
    <n v="129800.62079999998"/>
    <n v="129800.62079999998"/>
    <n v="0"/>
    <n v="0"/>
    <x v="0"/>
    <x v="21"/>
  </r>
  <r>
    <s v="ORD03557"/>
    <d v="2023-09-29T00:00:00"/>
    <x v="697"/>
    <x v="134"/>
    <n v="7"/>
    <s v="INV03557"/>
    <n v="7"/>
    <n v="410.02"/>
    <m/>
    <m/>
    <m/>
    <m/>
    <m/>
    <n v="410.02"/>
    <d v="2023-04-01T00:00:00"/>
    <n v="0"/>
    <n v="0"/>
    <n v="0"/>
    <n v="0"/>
    <n v="0"/>
    <n v="0"/>
    <n v="0"/>
    <x v="0"/>
    <n v="2870.14"/>
    <n v="2870.14"/>
    <n v="0"/>
    <n v="0"/>
    <x v="0"/>
    <x v="18"/>
  </r>
  <r>
    <s v="ORD03558"/>
    <d v="2024-11-01T00:00:00"/>
    <x v="508"/>
    <x v="211"/>
    <n v="112"/>
    <s v="INV03558"/>
    <n v="120"/>
    <n v="655.93800000000022"/>
    <m/>
    <m/>
    <m/>
    <m/>
    <m/>
    <n v="655.93800000000022"/>
    <d v="2023-05-29T00:00:00"/>
    <n v="0"/>
    <n v="1"/>
    <n v="0"/>
    <n v="0"/>
    <n v="0"/>
    <n v="0"/>
    <n v="0"/>
    <x v="1"/>
    <n v="78712.560000000027"/>
    <n v="73465.056000000026"/>
    <n v="5247.5040000000008"/>
    <n v="8"/>
    <x v="2"/>
    <x v="4"/>
  </r>
  <r>
    <s v="ORD03559"/>
    <d v="2023-01-15T00:00:00"/>
    <x v="631"/>
    <x v="168"/>
    <n v="186"/>
    <s v="INV03559"/>
    <n v="186"/>
    <n v="229.9776"/>
    <m/>
    <m/>
    <m/>
    <m/>
    <m/>
    <n v="229.9776"/>
    <d v="2023-01-04T00:00:00"/>
    <n v="0"/>
    <n v="0"/>
    <n v="0"/>
    <n v="0"/>
    <n v="0"/>
    <n v="0"/>
    <n v="0"/>
    <x v="0"/>
    <n v="42775.833599999998"/>
    <n v="42775.833599999998"/>
    <n v="0"/>
    <n v="0"/>
    <x v="0"/>
    <x v="8"/>
  </r>
  <r>
    <s v="ORD03560"/>
    <d v="2024-04-07T00:00:00"/>
    <x v="81"/>
    <x v="257"/>
    <n v="181"/>
    <s v="INV03560"/>
    <n v="181"/>
    <n v="296.17460000000005"/>
    <m/>
    <m/>
    <m/>
    <m/>
    <m/>
    <n v="296.17460000000005"/>
    <d v="2023-09-25T00:00:00"/>
    <n v="0"/>
    <n v="0"/>
    <n v="0"/>
    <n v="0"/>
    <n v="0"/>
    <n v="0"/>
    <n v="0"/>
    <x v="0"/>
    <n v="53607.602600000013"/>
    <n v="53607.602600000013"/>
    <n v="0"/>
    <n v="0"/>
    <x v="0"/>
    <x v="9"/>
  </r>
  <r>
    <s v="ORD03561"/>
    <d v="2023-07-20T00:00:00"/>
    <x v="741"/>
    <x v="222"/>
    <n v="70"/>
    <s v="INV03561"/>
    <n v="70"/>
    <n v="273.24680000000001"/>
    <m/>
    <m/>
    <m/>
    <m/>
    <m/>
    <n v="273.24680000000001"/>
    <d v="2023-06-26T00:00:00"/>
    <n v="0"/>
    <n v="0"/>
    <n v="0"/>
    <n v="0"/>
    <n v="0"/>
    <n v="0"/>
    <n v="0"/>
    <x v="0"/>
    <n v="19127.276000000002"/>
    <n v="19127.276000000002"/>
    <n v="0"/>
    <n v="0"/>
    <x v="0"/>
    <x v="10"/>
  </r>
  <r>
    <s v="ORD03562"/>
    <d v="2024-05-17T00:00:00"/>
    <x v="249"/>
    <x v="131"/>
    <n v="135"/>
    <s v="INV03562"/>
    <n v="135"/>
    <n v="741.88620000000003"/>
    <m/>
    <m/>
    <m/>
    <m/>
    <m/>
    <n v="741.88620000000003"/>
    <d v="2023-01-04T00:00:00"/>
    <n v="0"/>
    <n v="0"/>
    <n v="0"/>
    <n v="0"/>
    <n v="0"/>
    <n v="0"/>
    <n v="0"/>
    <x v="0"/>
    <n v="100154.637"/>
    <n v="100154.637"/>
    <n v="0"/>
    <n v="0"/>
    <x v="0"/>
    <x v="13"/>
  </r>
  <r>
    <s v="ORD03563"/>
    <d v="2024-04-18T00:00:00"/>
    <x v="591"/>
    <x v="186"/>
    <n v="10"/>
    <s v="INV03563"/>
    <n v="10"/>
    <n v="589.66600000000005"/>
    <m/>
    <m/>
    <m/>
    <m/>
    <m/>
    <n v="589.66600000000005"/>
    <d v="2023-10-19T00:00:00"/>
    <n v="0"/>
    <n v="0"/>
    <n v="0"/>
    <n v="0"/>
    <n v="0"/>
    <n v="0"/>
    <n v="0"/>
    <x v="0"/>
    <n v="5896.6600000000008"/>
    <n v="5896.6600000000008"/>
    <n v="0"/>
    <n v="0"/>
    <x v="0"/>
    <x v="9"/>
  </r>
  <r>
    <s v="ORD03564"/>
    <d v="2024-02-18T00:00:00"/>
    <x v="363"/>
    <x v="12"/>
    <n v="116"/>
    <s v="INV03564"/>
    <n v="116"/>
    <n v="689.58720000000005"/>
    <m/>
    <m/>
    <m/>
    <m/>
    <m/>
    <n v="689.58720000000005"/>
    <d v="2023-10-25T00:00:00"/>
    <n v="0"/>
    <n v="0"/>
    <n v="0"/>
    <n v="0"/>
    <n v="0"/>
    <n v="0"/>
    <n v="0"/>
    <x v="0"/>
    <n v="79992.1152"/>
    <n v="79992.1152"/>
    <n v="0"/>
    <n v="0"/>
    <x v="0"/>
    <x v="3"/>
  </r>
  <r>
    <s v="ORD03565"/>
    <d v="2023-08-13T00:00:00"/>
    <x v="611"/>
    <x v="29"/>
    <n v="105"/>
    <s v="INV03565"/>
    <n v="105"/>
    <n v="1061.4222"/>
    <m/>
    <m/>
    <m/>
    <m/>
    <m/>
    <n v="1061.4222"/>
    <d v="2023-05-16T00:00:00"/>
    <n v="0"/>
    <n v="0"/>
    <n v="0"/>
    <n v="0"/>
    <n v="0"/>
    <n v="0"/>
    <n v="0"/>
    <x v="0"/>
    <n v="111449.33099999999"/>
    <n v="111449.33099999999"/>
    <n v="0"/>
    <n v="0"/>
    <x v="0"/>
    <x v="12"/>
  </r>
  <r>
    <s v="ORD03566"/>
    <d v="2024-04-02T00:00:00"/>
    <x v="637"/>
    <x v="173"/>
    <n v="106"/>
    <s v="INV03566"/>
    <n v="106"/>
    <n v="539.57150000000001"/>
    <n v="18"/>
    <d v="2023-04-06T00:00:00"/>
    <m/>
    <m/>
    <m/>
    <n v="539.57150000000001"/>
    <d v="2023-09-22T00:00:00"/>
    <n v="0"/>
    <n v="0"/>
    <n v="0"/>
    <n v="0"/>
    <n v="0"/>
    <n v="0"/>
    <n v="0"/>
    <x v="0"/>
    <n v="57194.578999999998"/>
    <n v="57194.578999999998"/>
    <n v="0"/>
    <n v="0"/>
    <x v="0"/>
    <x v="9"/>
  </r>
  <r>
    <s v="ORD03567"/>
    <d v="2023-09-18T00:00:00"/>
    <x v="240"/>
    <x v="180"/>
    <n v="117"/>
    <s v="INV03567"/>
    <n v="117"/>
    <n v="977.22280000000001"/>
    <m/>
    <m/>
    <m/>
    <m/>
    <m/>
    <n v="977.22280000000001"/>
    <d v="2023-02-27T00:00:00"/>
    <n v="0"/>
    <n v="0"/>
    <n v="0"/>
    <n v="0"/>
    <n v="0"/>
    <n v="0"/>
    <n v="0"/>
    <x v="0"/>
    <n v="114335.06759999999"/>
    <n v="114335.06759999999"/>
    <n v="0"/>
    <n v="0"/>
    <x v="0"/>
    <x v="18"/>
  </r>
  <r>
    <s v="ORD03568"/>
    <d v="2023-12-26T00:00:00"/>
    <x v="138"/>
    <x v="118"/>
    <n v="94"/>
    <s v="INV03568"/>
    <n v="94"/>
    <n v="130.87360000000001"/>
    <m/>
    <m/>
    <m/>
    <m/>
    <m/>
    <n v="130.87360000000001"/>
    <d v="2023-05-28T00:00:00"/>
    <n v="0"/>
    <n v="0"/>
    <n v="0"/>
    <n v="0"/>
    <n v="0"/>
    <n v="0"/>
    <n v="0"/>
    <x v="0"/>
    <n v="12302.118400000001"/>
    <n v="12302.118400000001"/>
    <n v="0"/>
    <n v="0"/>
    <x v="0"/>
    <x v="20"/>
  </r>
  <r>
    <s v="ORD03569"/>
    <d v="2024-05-11T00:00:00"/>
    <x v="15"/>
    <x v="125"/>
    <n v="72"/>
    <s v="INV03569"/>
    <n v="72"/>
    <n v="405.98"/>
    <m/>
    <m/>
    <m/>
    <m/>
    <m/>
    <n v="405.98"/>
    <d v="2023-08-14T00:00:00"/>
    <n v="0"/>
    <n v="0"/>
    <n v="0"/>
    <n v="0"/>
    <n v="0"/>
    <n v="0"/>
    <n v="0"/>
    <x v="0"/>
    <n v="29230.560000000001"/>
    <n v="29230.560000000001"/>
    <n v="0"/>
    <n v="0"/>
    <x v="0"/>
    <x v="13"/>
  </r>
  <r>
    <s v="ORD03570"/>
    <d v="2024-05-12T00:00:00"/>
    <x v="19"/>
    <x v="201"/>
    <n v="43"/>
    <s v="INV03570"/>
    <n v="43"/>
    <n v="418.93040000000002"/>
    <m/>
    <m/>
    <m/>
    <m/>
    <m/>
    <n v="418.93040000000002"/>
    <d v="2023-10-15T00:00:00"/>
    <n v="0"/>
    <n v="0"/>
    <n v="0"/>
    <n v="0"/>
    <n v="0"/>
    <n v="0"/>
    <n v="0"/>
    <x v="0"/>
    <n v="18014.0072"/>
    <n v="18014.0072"/>
    <n v="0"/>
    <n v="0"/>
    <x v="0"/>
    <x v="13"/>
  </r>
  <r>
    <s v="ORD03571"/>
    <d v="2023-09-24T00:00:00"/>
    <x v="514"/>
    <x v="167"/>
    <n v="34"/>
    <s v="INV03571"/>
    <n v="34"/>
    <n v="226.1644"/>
    <m/>
    <m/>
    <m/>
    <m/>
    <m/>
    <n v="226.1644"/>
    <d v="2023-08-01T00:00:00"/>
    <n v="0"/>
    <n v="0"/>
    <n v="0"/>
    <n v="0"/>
    <n v="0"/>
    <n v="0"/>
    <n v="0"/>
    <x v="0"/>
    <n v="7689.5896000000002"/>
    <n v="7689.5896000000002"/>
    <n v="0"/>
    <n v="0"/>
    <x v="0"/>
    <x v="18"/>
  </r>
  <r>
    <s v="ORD03572"/>
    <d v="2024-03-23T00:00:00"/>
    <x v="328"/>
    <x v="299"/>
    <n v="180"/>
    <s v="INV03572"/>
    <n v="180"/>
    <n v="1005.2222"/>
    <m/>
    <m/>
    <m/>
    <m/>
    <m/>
    <n v="1005.2222"/>
    <d v="2023-08-05T00:00:00"/>
    <n v="0"/>
    <n v="0"/>
    <n v="0"/>
    <n v="0"/>
    <n v="0"/>
    <n v="0"/>
    <n v="0"/>
    <x v="0"/>
    <n v="180939.99600000001"/>
    <n v="180939.99600000001"/>
    <n v="0"/>
    <n v="0"/>
    <x v="0"/>
    <x v="6"/>
  </r>
  <r>
    <s v="ORD03573"/>
    <d v="2024-06-27T00:00:00"/>
    <x v="179"/>
    <x v="220"/>
    <n v="169"/>
    <s v="INV03573"/>
    <n v="169"/>
    <n v="1150.2164506136967"/>
    <m/>
    <m/>
    <m/>
    <m/>
    <m/>
    <n v="1149.8634"/>
    <d v="2023-07-28T00:00:00"/>
    <n v="0"/>
    <n v="0"/>
    <n v="1"/>
    <n v="0"/>
    <n v="0"/>
    <n v="0"/>
    <n v="0"/>
    <x v="1"/>
    <n v="194386.58015371475"/>
    <n v="194326.91459999999"/>
    <n v="59.665553714759881"/>
    <n v="4"/>
    <x v="1"/>
    <x v="16"/>
  </r>
  <r>
    <s v="ORD03574"/>
    <d v="2023-04-07T00:00:00"/>
    <x v="610"/>
    <x v="52"/>
    <n v="165"/>
    <s v="INV03574"/>
    <n v="165"/>
    <n v="63.7194"/>
    <m/>
    <m/>
    <m/>
    <m/>
    <m/>
    <n v="63.7194"/>
    <d v="2022-11-02T00:00:00"/>
    <n v="0"/>
    <n v="0"/>
    <n v="0"/>
    <n v="0"/>
    <n v="0"/>
    <n v="0"/>
    <n v="0"/>
    <x v="0"/>
    <n v="10513.701000000001"/>
    <n v="10513.701000000001"/>
    <n v="0"/>
    <n v="0"/>
    <x v="0"/>
    <x v="23"/>
  </r>
  <r>
    <s v="ORD03575"/>
    <d v="2023-10-11T00:00:00"/>
    <x v="707"/>
    <x v="68"/>
    <n v="88"/>
    <s v="INV03575"/>
    <n v="88"/>
    <n v="168.12909999999999"/>
    <m/>
    <m/>
    <m/>
    <m/>
    <m/>
    <n v="168.12909999999999"/>
    <d v="2023-03-28T00:00:00"/>
    <n v="0"/>
    <n v="0"/>
    <n v="0"/>
    <n v="0"/>
    <n v="0"/>
    <n v="0"/>
    <n v="0"/>
    <x v="0"/>
    <n v="14795.360799999999"/>
    <n v="14795.360799999999"/>
    <n v="0"/>
    <n v="0"/>
    <x v="0"/>
    <x v="19"/>
  </r>
  <r>
    <s v="ORD03576"/>
    <d v="2024-06-24T00:00:00"/>
    <x v="637"/>
    <x v="215"/>
    <n v="72"/>
    <s v="INV03576"/>
    <n v="72"/>
    <n v="174.32480000000001"/>
    <n v="3"/>
    <d v="2023-04-05T00:00:00"/>
    <m/>
    <m/>
    <m/>
    <n v="174.32480000000001"/>
    <d v="2023-08-04T00:00:00"/>
    <n v="0"/>
    <n v="0"/>
    <n v="0"/>
    <n v="0"/>
    <n v="0"/>
    <n v="0"/>
    <n v="0"/>
    <x v="0"/>
    <n v="12551.385600000001"/>
    <n v="12551.385600000001"/>
    <n v="0"/>
    <n v="0"/>
    <x v="0"/>
    <x v="16"/>
  </r>
  <r>
    <s v="ORD03577"/>
    <d v="2024-10-23T00:00:00"/>
    <x v="353"/>
    <x v="135"/>
    <n v="79"/>
    <s v="INV03577"/>
    <n v="79"/>
    <n v="1231.8180000000002"/>
    <m/>
    <m/>
    <m/>
    <m/>
    <m/>
    <n v="1231.8180000000002"/>
    <d v="2023-05-02T00:00:00"/>
    <n v="0"/>
    <n v="0"/>
    <n v="0"/>
    <n v="0"/>
    <n v="0"/>
    <n v="0"/>
    <n v="0"/>
    <x v="0"/>
    <n v="97313.622000000018"/>
    <n v="97313.622000000018"/>
    <n v="0"/>
    <n v="0"/>
    <x v="0"/>
    <x v="5"/>
  </r>
  <r>
    <s v="ORD03578"/>
    <d v="2023-02-26T00:00:00"/>
    <x v="490"/>
    <x v="196"/>
    <n v="154"/>
    <s v="INV03578"/>
    <n v="154"/>
    <n v="1099.82"/>
    <m/>
    <m/>
    <m/>
    <m/>
    <m/>
    <n v="1099.82"/>
    <d v="2023-02-05T00:00:00"/>
    <n v="0"/>
    <n v="0"/>
    <n v="0"/>
    <n v="0"/>
    <n v="0"/>
    <n v="0"/>
    <n v="0"/>
    <x v="0"/>
    <n v="169372.28"/>
    <n v="169372.28"/>
    <n v="0"/>
    <n v="0"/>
    <x v="0"/>
    <x v="11"/>
  </r>
  <r>
    <s v="ORD03579"/>
    <d v="2024-05-11T00:00:00"/>
    <x v="443"/>
    <x v="118"/>
    <n v="97"/>
    <s v="INV03579"/>
    <n v="97"/>
    <n v="130.87360000000001"/>
    <m/>
    <m/>
    <m/>
    <m/>
    <m/>
    <n v="130.87360000000001"/>
    <d v="2023-05-28T00:00:00"/>
    <n v="0"/>
    <n v="0"/>
    <n v="0"/>
    <n v="0"/>
    <n v="0"/>
    <n v="0"/>
    <n v="0"/>
    <x v="0"/>
    <n v="12694.739200000002"/>
    <n v="12694.739200000002"/>
    <n v="0"/>
    <n v="0"/>
    <x v="0"/>
    <x v="13"/>
  </r>
  <r>
    <s v="ORD03580"/>
    <d v="2024-05-12T00:00:00"/>
    <x v="645"/>
    <x v="114"/>
    <n v="11"/>
    <s v="INV03580"/>
    <n v="11"/>
    <n v="945.38850000000002"/>
    <m/>
    <m/>
    <m/>
    <m/>
    <m/>
    <n v="945.38850000000002"/>
    <d v="2023-05-01T00:00:00"/>
    <n v="0"/>
    <n v="0"/>
    <n v="0"/>
    <n v="0"/>
    <n v="0"/>
    <n v="0"/>
    <n v="0"/>
    <x v="0"/>
    <n v="10399.273499999999"/>
    <n v="10399.273499999999"/>
    <n v="0"/>
    <n v="0"/>
    <x v="0"/>
    <x v="13"/>
  </r>
  <r>
    <s v="ORD03581"/>
    <d v="2024-11-14T00:00:00"/>
    <x v="494"/>
    <x v="146"/>
    <n v="159"/>
    <s v="INV03581"/>
    <n v="159"/>
    <n v="428.46220000000005"/>
    <m/>
    <m/>
    <m/>
    <m/>
    <m/>
    <n v="428.46220000000005"/>
    <d v="2023-06-25T00:00:00"/>
    <n v="0"/>
    <n v="0"/>
    <n v="0"/>
    <n v="0"/>
    <n v="0"/>
    <n v="0"/>
    <n v="0"/>
    <x v="0"/>
    <n v="68125.48980000001"/>
    <n v="68125.48980000001"/>
    <n v="0"/>
    <n v="0"/>
    <x v="0"/>
    <x v="4"/>
  </r>
  <r>
    <s v="ORD03582"/>
    <d v="2023-06-20T00:00:00"/>
    <x v="436"/>
    <x v="123"/>
    <n v="18"/>
    <s v="INV03582"/>
    <n v="18"/>
    <n v="650.25"/>
    <m/>
    <m/>
    <m/>
    <m/>
    <m/>
    <n v="650.25"/>
    <d v="2022-11-13T00:00:00"/>
    <n v="0"/>
    <n v="0"/>
    <n v="0"/>
    <n v="0"/>
    <n v="0"/>
    <n v="0"/>
    <n v="0"/>
    <x v="0"/>
    <n v="11704.5"/>
    <n v="11704.5"/>
    <n v="0"/>
    <n v="0"/>
    <x v="0"/>
    <x v="14"/>
  </r>
  <r>
    <s v="ORD03583"/>
    <d v="2024-12-23T00:00:00"/>
    <x v="543"/>
    <x v="168"/>
    <n v="69"/>
    <s v="INV03583"/>
    <n v="69"/>
    <n v="232.3732"/>
    <m/>
    <m/>
    <m/>
    <m/>
    <m/>
    <n v="232.3732"/>
    <d v="2023-05-19T00:00:00"/>
    <n v="0"/>
    <n v="0"/>
    <n v="0"/>
    <n v="0"/>
    <n v="0"/>
    <n v="0"/>
    <n v="0"/>
    <x v="0"/>
    <n v="16033.7508"/>
    <n v="16033.7508"/>
    <n v="0"/>
    <n v="0"/>
    <x v="0"/>
    <x v="1"/>
  </r>
  <r>
    <s v="ORD03584"/>
    <d v="2024-03-12T00:00:00"/>
    <x v="491"/>
    <x v="64"/>
    <n v="68"/>
    <s v="INV03584"/>
    <n v="68"/>
    <n v="1129.6166000000001"/>
    <m/>
    <m/>
    <m/>
    <m/>
    <m/>
    <n v="1129.6166000000001"/>
    <d v="2023-02-03T00:00:00"/>
    <n v="0"/>
    <n v="0"/>
    <n v="0"/>
    <n v="0"/>
    <n v="0"/>
    <n v="0"/>
    <n v="0"/>
    <x v="0"/>
    <n v="76813.928800000009"/>
    <n v="76813.928800000009"/>
    <n v="0"/>
    <n v="0"/>
    <x v="0"/>
    <x v="6"/>
  </r>
  <r>
    <s v="ORD03585"/>
    <d v="2024-04-28T00:00:00"/>
    <x v="622"/>
    <x v="217"/>
    <n v="19"/>
    <s v="INV03585"/>
    <n v="19"/>
    <n v="189.52920000000003"/>
    <m/>
    <m/>
    <m/>
    <m/>
    <m/>
    <n v="189.52920000000003"/>
    <d v="2023-05-24T00:00:00"/>
    <n v="0"/>
    <n v="0"/>
    <n v="0"/>
    <n v="0"/>
    <n v="0"/>
    <n v="0"/>
    <n v="0"/>
    <x v="0"/>
    <n v="3601.0548000000008"/>
    <n v="3601.0548000000008"/>
    <n v="0"/>
    <n v="0"/>
    <x v="0"/>
    <x v="9"/>
  </r>
  <r>
    <s v="ORD03586"/>
    <d v="2024-10-31T00:00:00"/>
    <x v="169"/>
    <x v="129"/>
    <n v="117"/>
    <s v="INV03586"/>
    <n v="117"/>
    <n v="664.8768"/>
    <m/>
    <m/>
    <m/>
    <m/>
    <m/>
    <n v="664.8768"/>
    <d v="2023-07-09T00:00:00"/>
    <n v="0"/>
    <n v="0"/>
    <n v="0"/>
    <n v="0"/>
    <n v="0"/>
    <n v="0"/>
    <n v="0"/>
    <x v="0"/>
    <n v="77790.585600000006"/>
    <n v="77790.585600000006"/>
    <n v="0"/>
    <n v="0"/>
    <x v="0"/>
    <x v="5"/>
  </r>
  <r>
    <s v="ORD03587"/>
    <d v="2024-02-08T00:00:00"/>
    <x v="471"/>
    <x v="235"/>
    <n v="55"/>
    <s v="INV03587"/>
    <n v="55"/>
    <n v="708.51900000000001"/>
    <m/>
    <m/>
    <m/>
    <m/>
    <m/>
    <n v="708.51900000000001"/>
    <d v="2023-05-17T00:00:00"/>
    <n v="0"/>
    <n v="0"/>
    <n v="0"/>
    <n v="0"/>
    <n v="0"/>
    <n v="0"/>
    <n v="0"/>
    <x v="0"/>
    <n v="38968.544999999998"/>
    <n v="38968.544999999998"/>
    <n v="0"/>
    <n v="0"/>
    <x v="0"/>
    <x v="3"/>
  </r>
  <r>
    <s v="ORD03588"/>
    <d v="2024-08-19T00:00:00"/>
    <x v="631"/>
    <x v="49"/>
    <n v="56"/>
    <s v="INV03588"/>
    <n v="56"/>
    <n v="991.84019999999998"/>
    <m/>
    <m/>
    <m/>
    <m/>
    <m/>
    <n v="991.84019999999998"/>
    <d v="2023-10-23T00:00:00"/>
    <n v="0"/>
    <n v="0"/>
    <n v="0"/>
    <n v="0"/>
    <n v="0"/>
    <n v="0"/>
    <n v="0"/>
    <x v="0"/>
    <n v="55543.051200000002"/>
    <n v="55543.051200000002"/>
    <n v="0"/>
    <n v="0"/>
    <x v="0"/>
    <x v="22"/>
  </r>
  <r>
    <s v="ORD03589"/>
    <d v="2023-04-28T00:00:00"/>
    <x v="139"/>
    <x v="276"/>
    <n v="135"/>
    <s v="INV03589"/>
    <n v="135"/>
    <n v="1055.7148"/>
    <m/>
    <m/>
    <m/>
    <m/>
    <m/>
    <n v="1055.7148"/>
    <d v="2023-04-08T00:00:00"/>
    <n v="0"/>
    <n v="0"/>
    <n v="0"/>
    <n v="0"/>
    <n v="0"/>
    <n v="0"/>
    <n v="0"/>
    <x v="0"/>
    <n v="142521.49799999999"/>
    <n v="142521.49799999999"/>
    <n v="0"/>
    <n v="0"/>
    <x v="0"/>
    <x v="23"/>
  </r>
  <r>
    <s v="ORD03590"/>
    <d v="2023-07-21T00:00:00"/>
    <x v="626"/>
    <x v="173"/>
    <n v="136"/>
    <s v="INV03590"/>
    <n v="136"/>
    <n v="579.32940000000008"/>
    <m/>
    <m/>
    <m/>
    <m/>
    <m/>
    <n v="579.32940000000008"/>
    <d v="2022-12-14T00:00:00"/>
    <n v="0"/>
    <n v="0"/>
    <n v="0"/>
    <n v="0"/>
    <n v="0"/>
    <n v="0"/>
    <n v="0"/>
    <x v="0"/>
    <n v="78788.798400000014"/>
    <n v="78788.798400000014"/>
    <n v="0"/>
    <n v="0"/>
    <x v="0"/>
    <x v="10"/>
  </r>
  <r>
    <s v="ORD03591"/>
    <d v="2023-10-13T00:00:00"/>
    <x v="286"/>
    <x v="290"/>
    <n v="98"/>
    <s v="INV03591"/>
    <n v="98"/>
    <n v="1159.732"/>
    <m/>
    <m/>
    <n v="884.74"/>
    <d v="2022-11-05T00:00:00"/>
    <d v="2023-10-20T00:00:00"/>
    <n v="1159.732"/>
    <d v="2023-04-16T00:00:00"/>
    <n v="0"/>
    <n v="0"/>
    <n v="0"/>
    <n v="1"/>
    <n v="0"/>
    <n v="0"/>
    <n v="0"/>
    <x v="1"/>
    <n v="113653.736"/>
    <n v="113653.736"/>
    <n v="0"/>
    <n v="4"/>
    <x v="1"/>
    <x v="19"/>
  </r>
  <r>
    <s v="ORD03592"/>
    <d v="2023-01-31T00:00:00"/>
    <x v="260"/>
    <x v="287"/>
    <n v="41"/>
    <s v="INV03592"/>
    <n v="41"/>
    <n v="680.07339999999999"/>
    <m/>
    <m/>
    <m/>
    <m/>
    <m/>
    <n v="680.07339999999999"/>
    <d v="2022-11-22T00:00:00"/>
    <n v="0"/>
    <n v="0"/>
    <n v="0"/>
    <n v="0"/>
    <n v="0"/>
    <n v="0"/>
    <n v="0"/>
    <x v="0"/>
    <n v="27883.009399999999"/>
    <n v="27883.009399999999"/>
    <n v="0"/>
    <n v="0"/>
    <x v="0"/>
    <x v="8"/>
  </r>
  <r>
    <s v="ORD03593"/>
    <d v="2024-10-01T00:00:00"/>
    <x v="787"/>
    <x v="265"/>
    <n v="181"/>
    <s v="INV03593"/>
    <n v="181"/>
    <n v="223.6044"/>
    <m/>
    <m/>
    <m/>
    <m/>
    <m/>
    <n v="223.6044"/>
    <d v="2023-06-14T00:00:00"/>
    <n v="0"/>
    <n v="0"/>
    <n v="0"/>
    <n v="0"/>
    <n v="0"/>
    <n v="0"/>
    <n v="0"/>
    <x v="0"/>
    <n v="40472.396399999998"/>
    <n v="40472.396399999998"/>
    <n v="0"/>
    <n v="0"/>
    <x v="0"/>
    <x v="5"/>
  </r>
  <r>
    <s v="ORD03594"/>
    <d v="2023-05-13T00:00:00"/>
    <x v="692"/>
    <x v="51"/>
    <n v="183"/>
    <s v="INV03594"/>
    <n v="183"/>
    <n v="574.3415"/>
    <m/>
    <m/>
    <m/>
    <m/>
    <m/>
    <n v="574.3415"/>
    <d v="2022-09-02T00:00:00"/>
    <n v="0"/>
    <n v="0"/>
    <n v="0"/>
    <n v="0"/>
    <n v="0"/>
    <n v="0"/>
    <n v="0"/>
    <x v="0"/>
    <n v="105104.4945"/>
    <n v="105104.4945"/>
    <n v="0"/>
    <n v="0"/>
    <x v="0"/>
    <x v="7"/>
  </r>
  <r>
    <s v="ORD03595"/>
    <d v="2023-01-09T00:00:00"/>
    <x v="400"/>
    <x v="21"/>
    <n v="121"/>
    <s v="INV03595"/>
    <n v="121"/>
    <n v="524.67999999999995"/>
    <m/>
    <m/>
    <m/>
    <m/>
    <m/>
    <n v="524.67999999999995"/>
    <d v="2022-02-23T00:00:00"/>
    <n v="0"/>
    <n v="0"/>
    <n v="0"/>
    <n v="0"/>
    <n v="0"/>
    <n v="0"/>
    <n v="0"/>
    <x v="0"/>
    <n v="63486.279999999992"/>
    <n v="63486.279999999992"/>
    <n v="0"/>
    <n v="0"/>
    <x v="0"/>
    <x v="8"/>
  </r>
  <r>
    <s v="ORD03596"/>
    <d v="2024-11-09T00:00:00"/>
    <x v="410"/>
    <x v="64"/>
    <n v="107"/>
    <s v="INV03596"/>
    <n v="107"/>
    <n v="1129.8278158163448"/>
    <m/>
    <m/>
    <m/>
    <m/>
    <m/>
    <n v="1129.6166000000001"/>
    <d v="2023-02-03T00:00:00"/>
    <n v="0"/>
    <n v="0"/>
    <n v="1"/>
    <n v="0"/>
    <n v="0"/>
    <n v="0"/>
    <n v="0"/>
    <x v="1"/>
    <n v="120891.57629234889"/>
    <n v="120868.9762"/>
    <n v="22.60009234889003"/>
    <n v="4"/>
    <x v="1"/>
    <x v="4"/>
  </r>
  <r>
    <s v="ORD03597"/>
    <d v="2024-12-24T00:00:00"/>
    <x v="136"/>
    <x v="171"/>
    <n v="40"/>
    <s v="INV03597"/>
    <n v="40"/>
    <n v="115.0735"/>
    <m/>
    <m/>
    <m/>
    <m/>
    <m/>
    <n v="115.0735"/>
    <d v="2023-10-28T00:00:00"/>
    <n v="0"/>
    <n v="0"/>
    <n v="0"/>
    <n v="0"/>
    <n v="0"/>
    <n v="0"/>
    <n v="0"/>
    <x v="0"/>
    <n v="4602.9399999999996"/>
    <n v="4602.9399999999996"/>
    <n v="0"/>
    <n v="0"/>
    <x v="0"/>
    <x v="1"/>
  </r>
  <r>
    <s v="ORD03598"/>
    <d v="2023-06-07T00:00:00"/>
    <x v="571"/>
    <x v="202"/>
    <n v="34"/>
    <s v="INV03598"/>
    <n v="34"/>
    <n v="614.96820000000002"/>
    <n v="3"/>
    <d v="2024-11-18T00:00:00"/>
    <m/>
    <m/>
    <m/>
    <n v="614.96820000000002"/>
    <d v="2023-02-27T00:00:00"/>
    <n v="0"/>
    <n v="0"/>
    <n v="0"/>
    <n v="0"/>
    <n v="0"/>
    <n v="1"/>
    <n v="0"/>
    <x v="1"/>
    <n v="20908.918799999999"/>
    <n v="20908.918799999999"/>
    <n v="0"/>
    <n v="2"/>
    <x v="1"/>
    <x v="14"/>
  </r>
  <r>
    <s v="ORD03599"/>
    <d v="2023-09-14T00:00:00"/>
    <x v="358"/>
    <x v="22"/>
    <n v="99"/>
    <s v="INV03599"/>
    <n v="99"/>
    <n v="626.68790000000001"/>
    <m/>
    <m/>
    <m/>
    <m/>
    <m/>
    <n v="626.68790000000001"/>
    <d v="2023-06-26T00:00:00"/>
    <n v="0"/>
    <n v="0"/>
    <n v="0"/>
    <n v="0"/>
    <n v="0"/>
    <n v="0"/>
    <n v="0"/>
    <x v="0"/>
    <n v="62042.102100000004"/>
    <n v="62042.102100000004"/>
    <n v="0"/>
    <n v="0"/>
    <x v="0"/>
    <x v="18"/>
  </r>
  <r>
    <s v="ORD03600"/>
    <d v="2023-06-02T00:00:00"/>
    <x v="4"/>
    <x v="102"/>
    <n v="10"/>
    <s v="INV03600"/>
    <n v="10"/>
    <n v="1093.1199999999999"/>
    <m/>
    <m/>
    <m/>
    <m/>
    <m/>
    <n v="1093.1199999999999"/>
    <d v="2023-04-19T00:00:00"/>
    <n v="0"/>
    <n v="0"/>
    <n v="0"/>
    <n v="0"/>
    <n v="0"/>
    <n v="0"/>
    <n v="0"/>
    <x v="0"/>
    <n v="10931.199999999999"/>
    <n v="10931.199999999999"/>
    <n v="0"/>
    <n v="0"/>
    <x v="0"/>
    <x v="14"/>
  </r>
  <r>
    <s v="ORD03601"/>
    <d v="2023-11-02T00:00:00"/>
    <x v="31"/>
    <x v="76"/>
    <n v="75"/>
    <s v="INV03601"/>
    <n v="75"/>
    <n v="1114.2336"/>
    <m/>
    <m/>
    <m/>
    <m/>
    <m/>
    <n v="1114.2336"/>
    <d v="2023-08-03T00:00:00"/>
    <n v="0"/>
    <n v="0"/>
    <n v="0"/>
    <n v="0"/>
    <n v="0"/>
    <n v="0"/>
    <n v="0"/>
    <x v="0"/>
    <n v="83567.520000000004"/>
    <n v="83567.520000000004"/>
    <n v="0"/>
    <n v="0"/>
    <x v="0"/>
    <x v="0"/>
  </r>
  <r>
    <s v="ORD03602"/>
    <d v="2024-01-08T00:00:00"/>
    <x v="90"/>
    <x v="1"/>
    <n v="145"/>
    <s v="INV03602"/>
    <n v="145"/>
    <n v="444.22"/>
    <m/>
    <m/>
    <m/>
    <m/>
    <m/>
    <n v="444.22"/>
    <d v="2023-05-28T00:00:00"/>
    <n v="0"/>
    <n v="0"/>
    <n v="0"/>
    <n v="0"/>
    <n v="0"/>
    <n v="0"/>
    <n v="0"/>
    <x v="0"/>
    <n v="64411.9"/>
    <n v="64411.9"/>
    <n v="0"/>
    <n v="0"/>
    <x v="0"/>
    <x v="15"/>
  </r>
  <r>
    <s v="ORD03603"/>
    <d v="2023-04-19T00:00:00"/>
    <x v="778"/>
    <x v="145"/>
    <n v="79"/>
    <s v="INV03603"/>
    <n v="79"/>
    <n v="171.78"/>
    <m/>
    <m/>
    <m/>
    <m/>
    <m/>
    <n v="171.78"/>
    <d v="2023-03-25T00:00:00"/>
    <n v="0"/>
    <n v="0"/>
    <n v="0"/>
    <n v="0"/>
    <n v="0"/>
    <n v="0"/>
    <n v="0"/>
    <x v="0"/>
    <n v="13570.62"/>
    <n v="13570.62"/>
    <n v="0"/>
    <n v="0"/>
    <x v="0"/>
    <x v="23"/>
  </r>
  <r>
    <s v="ORD03604"/>
    <d v="2023-03-12T00:00:00"/>
    <x v="397"/>
    <x v="99"/>
    <n v="55"/>
    <s v="INV03604"/>
    <n v="55"/>
    <n v="1148.73"/>
    <m/>
    <m/>
    <m/>
    <m/>
    <m/>
    <n v="1148.73"/>
    <d v="2022-07-07T00:00:00"/>
    <n v="0"/>
    <n v="0"/>
    <n v="0"/>
    <n v="0"/>
    <n v="0"/>
    <n v="0"/>
    <n v="0"/>
    <x v="0"/>
    <n v="63180.15"/>
    <n v="63180.15"/>
    <n v="0"/>
    <n v="0"/>
    <x v="0"/>
    <x v="17"/>
  </r>
  <r>
    <s v="ORD03605"/>
    <d v="2023-11-07T00:00:00"/>
    <x v="679"/>
    <x v="238"/>
    <n v="157"/>
    <s v="INV03605"/>
    <n v="157"/>
    <n v="1137.9636"/>
    <m/>
    <m/>
    <m/>
    <m/>
    <m/>
    <n v="1137.9636"/>
    <d v="2023-03-22T00:00:00"/>
    <n v="0"/>
    <n v="0"/>
    <n v="0"/>
    <n v="0"/>
    <n v="0"/>
    <n v="0"/>
    <n v="0"/>
    <x v="0"/>
    <n v="178660.28520000001"/>
    <n v="178660.28520000001"/>
    <n v="0"/>
    <n v="0"/>
    <x v="0"/>
    <x v="0"/>
  </r>
  <r>
    <s v="ORD03606"/>
    <d v="2023-04-30T00:00:00"/>
    <x v="605"/>
    <x v="133"/>
    <n v="106"/>
    <s v="INV03606"/>
    <n v="106"/>
    <n v="1220.5917999999999"/>
    <m/>
    <m/>
    <m/>
    <m/>
    <m/>
    <n v="1220.5917999999999"/>
    <d v="2023-03-31T00:00:00"/>
    <n v="0"/>
    <n v="0"/>
    <n v="0"/>
    <n v="0"/>
    <n v="0"/>
    <n v="0"/>
    <n v="0"/>
    <x v="0"/>
    <n v="129382.73079999999"/>
    <n v="129382.73079999999"/>
    <n v="0"/>
    <n v="0"/>
    <x v="0"/>
    <x v="23"/>
  </r>
  <r>
    <s v="ORD03607"/>
    <d v="2023-03-09T00:00:00"/>
    <x v="486"/>
    <x v="256"/>
    <n v="139"/>
    <s v="INV03607"/>
    <n v="139"/>
    <n v="717.0471"/>
    <m/>
    <m/>
    <m/>
    <m/>
    <m/>
    <n v="717.0471"/>
    <d v="2023-02-27T00:00:00"/>
    <n v="0"/>
    <n v="0"/>
    <n v="0"/>
    <n v="0"/>
    <n v="0"/>
    <n v="0"/>
    <n v="0"/>
    <x v="0"/>
    <n v="99669.546900000001"/>
    <n v="99669.546900000001"/>
    <n v="0"/>
    <n v="0"/>
    <x v="0"/>
    <x v="17"/>
  </r>
  <r>
    <s v="ORD03608"/>
    <d v="2023-06-20T00:00:00"/>
    <x v="464"/>
    <x v="64"/>
    <n v="37"/>
    <s v="INV03608"/>
    <n v="37"/>
    <n v="1129.6166000000001"/>
    <m/>
    <m/>
    <m/>
    <m/>
    <m/>
    <n v="1129.6166000000001"/>
    <d v="2023-02-03T00:00:00"/>
    <n v="0"/>
    <n v="0"/>
    <n v="0"/>
    <n v="0"/>
    <n v="0"/>
    <n v="0"/>
    <n v="0"/>
    <x v="0"/>
    <n v="41795.814200000001"/>
    <n v="41795.814200000001"/>
    <n v="0"/>
    <n v="0"/>
    <x v="0"/>
    <x v="14"/>
  </r>
  <r>
    <s v="ORD03609"/>
    <d v="2024-12-31T00:00:00"/>
    <x v="785"/>
    <x v="56"/>
    <n v="142"/>
    <s v="INV03609"/>
    <n v="142"/>
    <n v="639.91840000000002"/>
    <m/>
    <m/>
    <m/>
    <m/>
    <m/>
    <n v="639.91840000000002"/>
    <d v="2023-01-04T00:00:00"/>
    <n v="0"/>
    <n v="0"/>
    <n v="0"/>
    <n v="0"/>
    <n v="0"/>
    <n v="0"/>
    <n v="0"/>
    <x v="0"/>
    <n v="90868.412800000006"/>
    <n v="90868.412800000006"/>
    <n v="0"/>
    <n v="0"/>
    <x v="0"/>
    <x v="1"/>
  </r>
  <r>
    <s v="ORD03610"/>
    <d v="2023-11-14T00:00:00"/>
    <x v="303"/>
    <x v="15"/>
    <n v="137"/>
    <s v="INV03610"/>
    <n v="137"/>
    <n v="1039.0536"/>
    <m/>
    <m/>
    <m/>
    <m/>
    <m/>
    <n v="1039.0536"/>
    <d v="2023-05-08T00:00:00"/>
    <n v="0"/>
    <n v="0"/>
    <n v="0"/>
    <n v="0"/>
    <n v="0"/>
    <n v="0"/>
    <n v="0"/>
    <x v="0"/>
    <n v="142350.3432"/>
    <n v="142350.3432"/>
    <n v="0"/>
    <n v="0"/>
    <x v="0"/>
    <x v="0"/>
  </r>
  <r>
    <s v="ORD03611"/>
    <d v="2024-10-26T00:00:00"/>
    <x v="123"/>
    <x v="171"/>
    <n v="171"/>
    <s v="INV03611"/>
    <n v="171"/>
    <n v="115.08341666284828"/>
    <m/>
    <m/>
    <m/>
    <m/>
    <m/>
    <n v="115.0735"/>
    <d v="2023-10-28T00:00:00"/>
    <n v="0"/>
    <n v="0"/>
    <n v="1"/>
    <n v="0"/>
    <n v="0"/>
    <n v="0"/>
    <n v="0"/>
    <x v="1"/>
    <n v="19679.264249347056"/>
    <n v="19677.568499999998"/>
    <n v="1.6957493470581539"/>
    <n v="4"/>
    <x v="1"/>
    <x v="5"/>
  </r>
  <r>
    <s v="ORD03612"/>
    <d v="2024-03-08T00:00:00"/>
    <x v="150"/>
    <x v="207"/>
    <n v="143"/>
    <s v="INV03612"/>
    <n v="143"/>
    <n v="287.90559999999999"/>
    <m/>
    <m/>
    <m/>
    <m/>
    <m/>
    <n v="287.90559999999999"/>
    <d v="2023-10-25T00:00:00"/>
    <n v="0"/>
    <n v="0"/>
    <n v="0"/>
    <n v="0"/>
    <n v="0"/>
    <n v="0"/>
    <n v="0"/>
    <x v="0"/>
    <n v="41170.500800000002"/>
    <n v="41170.500800000002"/>
    <n v="0"/>
    <n v="0"/>
    <x v="0"/>
    <x v="6"/>
  </r>
  <r>
    <s v="ORD03613"/>
    <d v="2024-10-09T00:00:00"/>
    <x v="524"/>
    <x v="54"/>
    <n v="139"/>
    <s v="INV03613"/>
    <n v="139"/>
    <n v="465.21179999999998"/>
    <m/>
    <m/>
    <m/>
    <m/>
    <m/>
    <n v="465.21179999999998"/>
    <d v="2023-07-30T00:00:00"/>
    <n v="0"/>
    <n v="0"/>
    <n v="0"/>
    <n v="0"/>
    <n v="0"/>
    <n v="0"/>
    <n v="0"/>
    <x v="0"/>
    <n v="64664.440199999997"/>
    <n v="64664.440199999997"/>
    <n v="0"/>
    <n v="0"/>
    <x v="0"/>
    <x v="5"/>
  </r>
  <r>
    <s v="ORD03614"/>
    <d v="2023-09-11T00:00:00"/>
    <x v="169"/>
    <x v="224"/>
    <n v="194"/>
    <s v="INV03614"/>
    <n v="194"/>
    <n v="377.08350000000002"/>
    <m/>
    <m/>
    <m/>
    <m/>
    <m/>
    <n v="377.08350000000002"/>
    <d v="2023-05-18T00:00:00"/>
    <n v="0"/>
    <n v="0"/>
    <n v="0"/>
    <n v="0"/>
    <n v="0"/>
    <n v="0"/>
    <n v="0"/>
    <x v="0"/>
    <n v="73154.199000000008"/>
    <n v="73154.199000000008"/>
    <n v="0"/>
    <n v="0"/>
    <x v="0"/>
    <x v="18"/>
  </r>
  <r>
    <s v="ORD03615"/>
    <d v="2023-10-09T00:00:00"/>
    <x v="543"/>
    <x v="162"/>
    <n v="112"/>
    <s v="INV03615"/>
    <n v="112"/>
    <n v="571.32999999999993"/>
    <m/>
    <m/>
    <m/>
    <m/>
    <m/>
    <n v="571.32999999999993"/>
    <d v="2023-10-07T00:00:00"/>
    <n v="0"/>
    <n v="0"/>
    <n v="0"/>
    <n v="0"/>
    <n v="0"/>
    <n v="0"/>
    <n v="0"/>
    <x v="0"/>
    <n v="63988.959999999992"/>
    <n v="63988.959999999992"/>
    <n v="0"/>
    <n v="0"/>
    <x v="0"/>
    <x v="19"/>
  </r>
  <r>
    <s v="ORD03616"/>
    <d v="2023-08-17T00:00:00"/>
    <x v="98"/>
    <x v="278"/>
    <n v="170"/>
    <s v="INV03616"/>
    <n v="170"/>
    <n v="312.56310000000002"/>
    <m/>
    <m/>
    <m/>
    <m/>
    <m/>
    <n v="312.56310000000002"/>
    <d v="2023-04-12T00:00:00"/>
    <n v="0"/>
    <n v="0"/>
    <n v="0"/>
    <n v="0"/>
    <n v="0"/>
    <n v="0"/>
    <n v="0"/>
    <x v="0"/>
    <n v="53135.727000000006"/>
    <n v="53135.727000000006"/>
    <n v="0"/>
    <n v="0"/>
    <x v="0"/>
    <x v="12"/>
  </r>
  <r>
    <s v="ORD03617"/>
    <d v="2023-05-01T00:00:00"/>
    <x v="124"/>
    <x v="291"/>
    <n v="92"/>
    <s v="INV03617"/>
    <n v="92"/>
    <n v="933.43190000000004"/>
    <m/>
    <m/>
    <m/>
    <m/>
    <m/>
    <n v="933.43190000000004"/>
    <d v="2023-03-26T00:00:00"/>
    <n v="0"/>
    <n v="0"/>
    <n v="0"/>
    <n v="0"/>
    <n v="0"/>
    <n v="0"/>
    <n v="0"/>
    <x v="0"/>
    <n v="85875.734800000006"/>
    <n v="85875.734800000006"/>
    <n v="0"/>
    <n v="0"/>
    <x v="0"/>
    <x v="7"/>
  </r>
  <r>
    <s v="ORD03618"/>
    <d v="2024-02-24T00:00:00"/>
    <x v="705"/>
    <x v="52"/>
    <n v="171"/>
    <s v="INV03618"/>
    <n v="171"/>
    <n v="61.845300000000002"/>
    <m/>
    <m/>
    <m/>
    <m/>
    <m/>
    <n v="61.845300000000002"/>
    <d v="2023-10-27T00:00:00"/>
    <n v="0"/>
    <n v="0"/>
    <n v="0"/>
    <n v="0"/>
    <n v="0"/>
    <n v="0"/>
    <n v="0"/>
    <x v="0"/>
    <n v="10575.5463"/>
    <n v="10575.5463"/>
    <n v="0"/>
    <n v="0"/>
    <x v="0"/>
    <x v="3"/>
  </r>
  <r>
    <s v="ORD03619"/>
    <d v="2023-03-01T00:00:00"/>
    <x v="84"/>
    <x v="128"/>
    <n v="47"/>
    <s v="INV03619"/>
    <n v="47"/>
    <n v="414.98099999999999"/>
    <n v="30"/>
    <d v="2023-08-11T00:00:00"/>
    <m/>
    <m/>
    <m/>
    <n v="414.98099999999999"/>
    <d v="2023-02-15T00:00:00"/>
    <n v="0"/>
    <n v="0"/>
    <n v="0"/>
    <n v="0"/>
    <n v="0"/>
    <n v="1"/>
    <n v="0"/>
    <x v="1"/>
    <n v="19504.107"/>
    <n v="19504.107"/>
    <n v="0"/>
    <n v="2"/>
    <x v="1"/>
    <x v="17"/>
  </r>
  <r>
    <s v="ORD03620"/>
    <d v="2024-03-04T00:00:00"/>
    <x v="371"/>
    <x v="208"/>
    <n v="186"/>
    <s v="INV03620"/>
    <n v="186"/>
    <n v="107.1605"/>
    <n v="7"/>
    <d v="2024-01-22T00:00:00"/>
    <m/>
    <m/>
    <m/>
    <n v="107.1605"/>
    <d v="2023-02-13T00:00:00"/>
    <n v="0"/>
    <n v="0"/>
    <n v="0"/>
    <n v="0"/>
    <n v="0"/>
    <n v="0"/>
    <n v="0"/>
    <x v="0"/>
    <n v="19931.852999999999"/>
    <n v="19931.852999999999"/>
    <n v="0"/>
    <n v="0"/>
    <x v="0"/>
    <x v="6"/>
  </r>
  <r>
    <s v="ORD03621"/>
    <d v="2024-01-08T00:00:00"/>
    <x v="499"/>
    <x v="298"/>
    <n v="92"/>
    <s v="INV03621"/>
    <n v="92"/>
    <n v="750.70520000000022"/>
    <m/>
    <m/>
    <m/>
    <m/>
    <m/>
    <n v="750.70520000000022"/>
    <d v="2023-10-27T00:00:00"/>
    <n v="0"/>
    <n v="0"/>
    <n v="0"/>
    <n v="0"/>
    <n v="0"/>
    <n v="0"/>
    <n v="0"/>
    <x v="0"/>
    <n v="69064.878400000016"/>
    <n v="69064.878400000016"/>
    <n v="0"/>
    <n v="0"/>
    <x v="0"/>
    <x v="15"/>
  </r>
  <r>
    <s v="ORD03622"/>
    <d v="2024-04-14T00:00:00"/>
    <x v="600"/>
    <x v="113"/>
    <n v="64"/>
    <s v="INV03622"/>
    <n v="64"/>
    <n v="951.54780000000005"/>
    <n v="2"/>
    <d v="2023-12-06T00:00:00"/>
    <m/>
    <m/>
    <m/>
    <n v="951.54780000000005"/>
    <d v="2023-02-07T00:00:00"/>
    <n v="0"/>
    <n v="0"/>
    <n v="0"/>
    <n v="0"/>
    <n v="0"/>
    <n v="0"/>
    <n v="0"/>
    <x v="0"/>
    <n v="60899.059200000003"/>
    <n v="60899.059200000003"/>
    <n v="0"/>
    <n v="0"/>
    <x v="0"/>
    <x v="9"/>
  </r>
  <r>
    <s v="ORD03623"/>
    <d v="2024-07-24T00:00:00"/>
    <x v="731"/>
    <x v="144"/>
    <n v="21"/>
    <s v="INV03623"/>
    <n v="21"/>
    <n v="324.52350000000001"/>
    <m/>
    <m/>
    <m/>
    <m/>
    <m/>
    <n v="324.52350000000001"/>
    <d v="2023-06-23T00:00:00"/>
    <n v="0"/>
    <n v="0"/>
    <n v="0"/>
    <n v="0"/>
    <n v="0"/>
    <n v="0"/>
    <n v="0"/>
    <x v="0"/>
    <n v="6814.9935000000005"/>
    <n v="6814.9935000000005"/>
    <n v="0"/>
    <n v="0"/>
    <x v="0"/>
    <x v="21"/>
  </r>
  <r>
    <s v="ORD03624"/>
    <d v="2023-12-03T00:00:00"/>
    <x v="481"/>
    <x v="3"/>
    <n v="177"/>
    <s v="INV03624"/>
    <n v="177"/>
    <n v="849.43949999999995"/>
    <m/>
    <m/>
    <m/>
    <m/>
    <m/>
    <n v="849.43949999999995"/>
    <d v="2023-07-07T00:00:00"/>
    <n v="0"/>
    <n v="0"/>
    <n v="0"/>
    <n v="0"/>
    <n v="0"/>
    <n v="0"/>
    <n v="0"/>
    <x v="0"/>
    <n v="150350.79149999999"/>
    <n v="150350.79149999999"/>
    <n v="0"/>
    <n v="0"/>
    <x v="0"/>
    <x v="20"/>
  </r>
  <r>
    <s v="ORD03625"/>
    <d v="2024-10-13T00:00:00"/>
    <x v="74"/>
    <x v="136"/>
    <n v="113"/>
    <s v="INV03625"/>
    <n v="113"/>
    <n v="216.2484"/>
    <m/>
    <m/>
    <m/>
    <m/>
    <m/>
    <n v="216.2484"/>
    <d v="2023-01-18T00:00:00"/>
    <n v="0"/>
    <n v="0"/>
    <n v="0"/>
    <n v="0"/>
    <n v="0"/>
    <n v="0"/>
    <n v="0"/>
    <x v="0"/>
    <n v="24436.069200000002"/>
    <n v="24436.069200000002"/>
    <n v="0"/>
    <n v="0"/>
    <x v="0"/>
    <x v="5"/>
  </r>
  <r>
    <s v="ORD03626"/>
    <d v="2023-10-24T00:00:00"/>
    <x v="193"/>
    <x v="162"/>
    <n v="27"/>
    <s v="INV03626"/>
    <n v="27"/>
    <n v="571.32999999999993"/>
    <m/>
    <m/>
    <m/>
    <m/>
    <m/>
    <n v="571.32999999999993"/>
    <d v="2023-10-07T00:00:00"/>
    <n v="0"/>
    <n v="0"/>
    <n v="0"/>
    <n v="0"/>
    <n v="0"/>
    <n v="0"/>
    <n v="0"/>
    <x v="0"/>
    <n v="15425.909999999998"/>
    <n v="15425.909999999998"/>
    <n v="0"/>
    <n v="0"/>
    <x v="0"/>
    <x v="19"/>
  </r>
  <r>
    <s v="ORD03627"/>
    <d v="2024-09-22T00:00:00"/>
    <x v="183"/>
    <x v="53"/>
    <n v="77"/>
    <s v="INV03627"/>
    <n v="77"/>
    <n v="393.40140000000002"/>
    <m/>
    <m/>
    <m/>
    <m/>
    <m/>
    <n v="393.40140000000002"/>
    <d v="2023-08-08T00:00:00"/>
    <n v="0"/>
    <n v="0"/>
    <n v="0"/>
    <n v="0"/>
    <n v="0"/>
    <n v="0"/>
    <n v="0"/>
    <x v="0"/>
    <n v="30291.907800000001"/>
    <n v="30291.907800000001"/>
    <n v="0"/>
    <n v="0"/>
    <x v="0"/>
    <x v="2"/>
  </r>
  <r>
    <s v="ORD03628"/>
    <d v="2023-06-30T00:00:00"/>
    <x v="639"/>
    <x v="242"/>
    <n v="159"/>
    <s v="INV03628"/>
    <n v="159"/>
    <n v="1066.4928"/>
    <m/>
    <m/>
    <m/>
    <m/>
    <m/>
    <n v="1066.4928"/>
    <d v="2023-03-08T00:00:00"/>
    <n v="0"/>
    <n v="0"/>
    <n v="0"/>
    <n v="0"/>
    <n v="0"/>
    <n v="0"/>
    <n v="0"/>
    <x v="0"/>
    <n v="169572.35519999999"/>
    <n v="169572.35519999999"/>
    <n v="0"/>
    <n v="0"/>
    <x v="0"/>
    <x v="14"/>
  </r>
  <r>
    <s v="ORD03629"/>
    <d v="2024-10-27T00:00:00"/>
    <x v="322"/>
    <x v="58"/>
    <n v="59"/>
    <s v="INV03629"/>
    <n v="59"/>
    <n v="601.32929999999999"/>
    <m/>
    <m/>
    <m/>
    <m/>
    <m/>
    <n v="601.32929999999999"/>
    <d v="2023-02-05T00:00:00"/>
    <n v="0"/>
    <n v="0"/>
    <n v="0"/>
    <n v="0"/>
    <n v="0"/>
    <n v="0"/>
    <n v="0"/>
    <x v="0"/>
    <n v="35478.428699999997"/>
    <n v="35478.428699999997"/>
    <n v="0"/>
    <n v="0"/>
    <x v="0"/>
    <x v="5"/>
  </r>
  <r>
    <s v="ORD03630"/>
    <d v="2023-03-04T00:00:00"/>
    <x v="427"/>
    <x v="166"/>
    <n v="25"/>
    <s v="INV03630"/>
    <n v="25"/>
    <n v="151.82"/>
    <m/>
    <m/>
    <m/>
    <m/>
    <m/>
    <n v="151.82"/>
    <d v="2022-10-26T00:00:00"/>
    <n v="0"/>
    <n v="0"/>
    <n v="0"/>
    <n v="0"/>
    <n v="0"/>
    <n v="0"/>
    <n v="0"/>
    <x v="0"/>
    <n v="3795.5"/>
    <n v="3795.5"/>
    <n v="0"/>
    <n v="0"/>
    <x v="0"/>
    <x v="17"/>
  </r>
  <r>
    <s v="ORD03631"/>
    <d v="2023-04-01T00:00:00"/>
    <x v="110"/>
    <x v="99"/>
    <n v="101"/>
    <s v="INV03631"/>
    <n v="101"/>
    <n v="1206.1665"/>
    <m/>
    <m/>
    <m/>
    <m/>
    <m/>
    <n v="1206.1665"/>
    <d v="2023-03-13T00:00:00"/>
    <n v="0"/>
    <n v="0"/>
    <n v="0"/>
    <n v="0"/>
    <n v="0"/>
    <n v="0"/>
    <n v="0"/>
    <x v="0"/>
    <n v="121822.8165"/>
    <n v="121822.8165"/>
    <n v="0"/>
    <n v="0"/>
    <x v="0"/>
    <x v="23"/>
  </r>
  <r>
    <s v="ORD03632"/>
    <d v="2023-07-24T00:00:00"/>
    <x v="393"/>
    <x v="14"/>
    <n v="118"/>
    <s v="INV03632"/>
    <n v="118"/>
    <n v="265.44960000000003"/>
    <m/>
    <m/>
    <m/>
    <m/>
    <m/>
    <n v="265.44960000000003"/>
    <d v="2023-03-14T00:00:00"/>
    <n v="0"/>
    <n v="0"/>
    <n v="0"/>
    <n v="0"/>
    <n v="0"/>
    <n v="0"/>
    <n v="0"/>
    <x v="0"/>
    <n v="31323.052800000005"/>
    <n v="31323.052800000005"/>
    <n v="0"/>
    <n v="0"/>
    <x v="0"/>
    <x v="10"/>
  </r>
  <r>
    <s v="ORD03633"/>
    <d v="2024-06-07T00:00:00"/>
    <x v="725"/>
    <x v="257"/>
    <n v="133"/>
    <s v="INV03633"/>
    <n v="133"/>
    <n v="296.17460000000005"/>
    <m/>
    <m/>
    <m/>
    <m/>
    <m/>
    <n v="296.17460000000005"/>
    <d v="2023-09-25T00:00:00"/>
    <n v="0"/>
    <n v="0"/>
    <n v="0"/>
    <n v="0"/>
    <n v="0"/>
    <n v="0"/>
    <n v="0"/>
    <x v="0"/>
    <n v="39391.221800000007"/>
    <n v="39391.221800000007"/>
    <n v="0"/>
    <n v="0"/>
    <x v="0"/>
    <x v="16"/>
  </r>
  <r>
    <s v="ORD03634"/>
    <d v="2024-09-12T00:00:00"/>
    <x v="598"/>
    <x v="164"/>
    <n v="133"/>
    <s v="INV03634"/>
    <n v="133"/>
    <n v="710.19044951695003"/>
    <m/>
    <m/>
    <m/>
    <m/>
    <m/>
    <n v="709.52"/>
    <d v="2023-01-26T00:00:00"/>
    <n v="0"/>
    <n v="0"/>
    <n v="1"/>
    <n v="0"/>
    <n v="0"/>
    <n v="0"/>
    <n v="0"/>
    <x v="1"/>
    <n v="94455.329785754351"/>
    <n v="94366.16"/>
    <n v="89.169785754347686"/>
    <n v="4"/>
    <x v="1"/>
    <x v="2"/>
  </r>
  <r>
    <s v="ORD03635"/>
    <d v="2023-11-22T00:00:00"/>
    <x v="746"/>
    <x v="200"/>
    <n v="84"/>
    <s v="INV03635"/>
    <n v="84"/>
    <n v="69.45"/>
    <m/>
    <m/>
    <m/>
    <m/>
    <m/>
    <n v="69.45"/>
    <d v="2023-08-31T00:00:00"/>
    <n v="0"/>
    <n v="0"/>
    <n v="0"/>
    <n v="0"/>
    <n v="0"/>
    <n v="0"/>
    <n v="0"/>
    <x v="0"/>
    <n v="5833.8"/>
    <n v="5833.8"/>
    <n v="0"/>
    <n v="0"/>
    <x v="0"/>
    <x v="0"/>
  </r>
  <r>
    <s v="ORD03636"/>
    <d v="2023-05-01T00:00:00"/>
    <x v="218"/>
    <x v="100"/>
    <n v="197"/>
    <s v="INV03636"/>
    <n v="207"/>
    <n v="1231.9933000000001"/>
    <m/>
    <m/>
    <m/>
    <m/>
    <m/>
    <n v="1231.9933000000001"/>
    <d v="2023-01-08T00:00:00"/>
    <n v="0"/>
    <n v="1"/>
    <n v="0"/>
    <n v="0"/>
    <n v="0"/>
    <n v="0"/>
    <n v="0"/>
    <x v="1"/>
    <n v="255022.61310000002"/>
    <n v="242702.68010000003"/>
    <n v="12319.93299999999"/>
    <n v="8"/>
    <x v="2"/>
    <x v="7"/>
  </r>
  <r>
    <s v="ORD03637"/>
    <d v="2023-06-03T00:00:00"/>
    <x v="615"/>
    <x v="291"/>
    <n v="156"/>
    <s v="INV03637"/>
    <n v="156"/>
    <n v="933.43190000000004"/>
    <m/>
    <m/>
    <m/>
    <m/>
    <m/>
    <n v="933.43190000000004"/>
    <d v="2023-03-26T00:00:00"/>
    <n v="0"/>
    <n v="0"/>
    <n v="0"/>
    <n v="0"/>
    <n v="0"/>
    <n v="0"/>
    <n v="0"/>
    <x v="0"/>
    <n v="145615.37640000001"/>
    <n v="145615.37640000001"/>
    <n v="0"/>
    <n v="0"/>
    <x v="0"/>
    <x v="14"/>
  </r>
  <r>
    <s v="ORD03638"/>
    <d v="2024-07-03T00:00:00"/>
    <x v="511"/>
    <x v="173"/>
    <n v="30"/>
    <s v="INV03638"/>
    <n v="30"/>
    <n v="539.57150000000001"/>
    <m/>
    <m/>
    <m/>
    <m/>
    <m/>
    <n v="539.57150000000001"/>
    <d v="2023-09-22T00:00:00"/>
    <n v="0"/>
    <n v="0"/>
    <n v="0"/>
    <n v="0"/>
    <n v="0"/>
    <n v="0"/>
    <n v="0"/>
    <x v="0"/>
    <n v="16187.145"/>
    <n v="16187.145"/>
    <n v="0"/>
    <n v="0"/>
    <x v="0"/>
    <x v="21"/>
  </r>
  <r>
    <s v="ORD03639"/>
    <d v="2023-06-13T00:00:00"/>
    <x v="729"/>
    <x v="39"/>
    <n v="189"/>
    <s v="INV03639"/>
    <n v="189"/>
    <n v="838.77149999999995"/>
    <m/>
    <m/>
    <m/>
    <m/>
    <m/>
    <n v="838.77149999999995"/>
    <d v="2022-12-07T00:00:00"/>
    <n v="0"/>
    <n v="0"/>
    <n v="0"/>
    <n v="0"/>
    <n v="0"/>
    <n v="0"/>
    <n v="0"/>
    <x v="0"/>
    <n v="158527.81349999999"/>
    <n v="158527.81349999999"/>
    <n v="0"/>
    <n v="0"/>
    <x v="0"/>
    <x v="14"/>
  </r>
  <r>
    <s v="ORD03640"/>
    <d v="2023-05-01T00:00:00"/>
    <x v="792"/>
    <x v="248"/>
    <n v="180"/>
    <s v="INV03640"/>
    <n v="180"/>
    <n v="224.72319999999999"/>
    <m/>
    <m/>
    <m/>
    <m/>
    <m/>
    <n v="224.72319999999999"/>
    <d v="2022-09-01T00:00:00"/>
    <n v="0"/>
    <n v="0"/>
    <n v="0"/>
    <n v="0"/>
    <n v="0"/>
    <n v="0"/>
    <n v="0"/>
    <x v="0"/>
    <n v="40450.175999999999"/>
    <n v="40450.175999999999"/>
    <n v="0"/>
    <n v="0"/>
    <x v="0"/>
    <x v="7"/>
  </r>
  <r>
    <s v="ORD03641"/>
    <d v="2024-11-17T00:00:00"/>
    <x v="737"/>
    <x v="201"/>
    <n v="167"/>
    <s v="INV03641"/>
    <n v="167"/>
    <n v="418.93040000000002"/>
    <m/>
    <m/>
    <m/>
    <m/>
    <m/>
    <n v="418.93040000000002"/>
    <d v="2023-10-15T00:00:00"/>
    <n v="0"/>
    <n v="0"/>
    <n v="0"/>
    <n v="0"/>
    <n v="0"/>
    <n v="0"/>
    <n v="0"/>
    <x v="0"/>
    <n v="69961.376799999998"/>
    <n v="69961.376799999998"/>
    <n v="0"/>
    <n v="0"/>
    <x v="0"/>
    <x v="4"/>
  </r>
  <r>
    <s v="ORD03642"/>
    <d v="2024-05-12T00:00:00"/>
    <x v="683"/>
    <x v="61"/>
    <n v="176"/>
    <s v="INV03642"/>
    <n v="176"/>
    <n v="759.48969999999997"/>
    <n v="32"/>
    <d v="2024-05-29T00:00:00"/>
    <m/>
    <m/>
    <m/>
    <n v="759.48969999999997"/>
    <d v="2023-07-31T00:00:00"/>
    <n v="0"/>
    <n v="0"/>
    <n v="0"/>
    <n v="0"/>
    <n v="0"/>
    <n v="0"/>
    <n v="0"/>
    <x v="0"/>
    <n v="133670.18719999999"/>
    <n v="133670.18719999999"/>
    <n v="0"/>
    <n v="0"/>
    <x v="0"/>
    <x v="13"/>
  </r>
  <r>
    <s v="ORD03643"/>
    <d v="2023-09-21T00:00:00"/>
    <x v="191"/>
    <x v="198"/>
    <n v="154"/>
    <s v="INV03643"/>
    <n v="154"/>
    <n v="906.88919999999996"/>
    <m/>
    <m/>
    <m/>
    <m/>
    <m/>
    <n v="906.88919999999996"/>
    <d v="2023-03-06T00:00:00"/>
    <n v="0"/>
    <n v="0"/>
    <n v="0"/>
    <n v="0"/>
    <n v="0"/>
    <n v="0"/>
    <n v="0"/>
    <x v="0"/>
    <n v="139660.9368"/>
    <n v="139660.9368"/>
    <n v="0"/>
    <n v="0"/>
    <x v="0"/>
    <x v="18"/>
  </r>
  <r>
    <s v="ORD03644"/>
    <d v="2024-06-12T00:00:00"/>
    <x v="669"/>
    <x v="294"/>
    <n v="129"/>
    <s v="INV03644"/>
    <n v="129"/>
    <n v="143.86799999999999"/>
    <m/>
    <m/>
    <m/>
    <m/>
    <m/>
    <n v="143.86799999999999"/>
    <d v="2023-04-20T00:00:00"/>
    <n v="0"/>
    <n v="0"/>
    <n v="0"/>
    <n v="0"/>
    <n v="0"/>
    <n v="0"/>
    <n v="0"/>
    <x v="0"/>
    <n v="18558.971999999998"/>
    <n v="18558.971999999998"/>
    <n v="0"/>
    <n v="0"/>
    <x v="0"/>
    <x v="16"/>
  </r>
  <r>
    <s v="ORD03645"/>
    <d v="2023-09-11T00:00:00"/>
    <x v="572"/>
    <x v="206"/>
    <n v="159"/>
    <s v="INV03645"/>
    <n v="159"/>
    <n v="82.026000000000025"/>
    <m/>
    <m/>
    <m/>
    <m/>
    <m/>
    <n v="82.026000000000025"/>
    <d v="2023-05-15T00:00:00"/>
    <n v="0"/>
    <n v="0"/>
    <n v="0"/>
    <n v="0"/>
    <n v="0"/>
    <n v="0"/>
    <n v="0"/>
    <x v="0"/>
    <n v="13042.134000000004"/>
    <n v="13042.134000000004"/>
    <n v="0"/>
    <n v="0"/>
    <x v="0"/>
    <x v="18"/>
  </r>
  <r>
    <s v="ORD03646"/>
    <d v="2023-09-27T00:00:00"/>
    <x v="718"/>
    <x v="150"/>
    <n v="25"/>
    <s v="INV03646"/>
    <n v="25"/>
    <n v="956.41030000000001"/>
    <n v="13"/>
    <d v="2023-11-22T00:00:00"/>
    <m/>
    <m/>
    <m/>
    <n v="956.41030000000001"/>
    <d v="2023-08-30T00:00:00"/>
    <n v="0"/>
    <n v="0"/>
    <n v="0"/>
    <n v="0"/>
    <n v="0"/>
    <n v="0"/>
    <n v="0"/>
    <x v="0"/>
    <n v="23910.2575"/>
    <n v="23910.2575"/>
    <n v="0"/>
    <n v="0"/>
    <x v="0"/>
    <x v="18"/>
  </r>
  <r>
    <s v="ORD03647"/>
    <d v="2024-08-22T00:00:00"/>
    <x v="296"/>
    <x v="254"/>
    <n v="150"/>
    <s v="INV03647"/>
    <n v="150"/>
    <n v="571.49840000000006"/>
    <m/>
    <m/>
    <m/>
    <m/>
    <m/>
    <n v="571.49840000000006"/>
    <d v="2023-05-25T00:00:00"/>
    <n v="0"/>
    <n v="0"/>
    <n v="0"/>
    <n v="0"/>
    <n v="0"/>
    <n v="0"/>
    <n v="0"/>
    <x v="0"/>
    <n v="85724.760000000009"/>
    <n v="85724.760000000009"/>
    <n v="0"/>
    <n v="0"/>
    <x v="0"/>
    <x v="22"/>
  </r>
  <r>
    <s v="ORD03648"/>
    <d v="2024-04-26T00:00:00"/>
    <x v="408"/>
    <x v="72"/>
    <n v="115"/>
    <s v="INV03648"/>
    <n v="115"/>
    <n v="791.35360000000003"/>
    <m/>
    <m/>
    <m/>
    <m/>
    <m/>
    <n v="791.35360000000003"/>
    <d v="2023-06-20T00:00:00"/>
    <n v="0"/>
    <n v="0"/>
    <n v="0"/>
    <n v="0"/>
    <n v="0"/>
    <n v="0"/>
    <n v="0"/>
    <x v="0"/>
    <n v="91005.664000000004"/>
    <n v="91005.664000000004"/>
    <n v="0"/>
    <n v="0"/>
    <x v="0"/>
    <x v="9"/>
  </r>
  <r>
    <s v="ORD03649"/>
    <d v="2023-11-24T00:00:00"/>
    <x v="264"/>
    <x v="45"/>
    <n v="199"/>
    <s v="INV03649"/>
    <n v="199"/>
    <n v="169.22900000000001"/>
    <m/>
    <m/>
    <m/>
    <m/>
    <m/>
    <n v="169.22900000000001"/>
    <d v="2023-04-23T00:00:00"/>
    <n v="0"/>
    <n v="0"/>
    <n v="0"/>
    <n v="0"/>
    <n v="0"/>
    <n v="0"/>
    <n v="0"/>
    <x v="0"/>
    <n v="33676.571000000004"/>
    <n v="33676.571000000004"/>
    <n v="0"/>
    <n v="0"/>
    <x v="0"/>
    <x v="0"/>
  </r>
  <r>
    <s v="ORD03650"/>
    <d v="2023-08-04T00:00:00"/>
    <x v="652"/>
    <x v="42"/>
    <n v="27"/>
    <s v="INV03650"/>
    <n v="27"/>
    <n v="946.74860000000001"/>
    <m/>
    <m/>
    <m/>
    <m/>
    <m/>
    <n v="946.74860000000001"/>
    <d v="2023-04-22T00:00:00"/>
    <n v="0"/>
    <n v="0"/>
    <n v="0"/>
    <n v="0"/>
    <n v="0"/>
    <n v="0"/>
    <n v="0"/>
    <x v="0"/>
    <n v="25562.212200000002"/>
    <n v="25562.212200000002"/>
    <n v="0"/>
    <n v="0"/>
    <x v="0"/>
    <x v="12"/>
  </r>
  <r>
    <s v="ORD03651"/>
    <d v="2024-11-11T00:00:00"/>
    <x v="688"/>
    <x v="23"/>
    <n v="75"/>
    <s v="INV03651"/>
    <n v="75"/>
    <n v="77.398200000000003"/>
    <m/>
    <m/>
    <m/>
    <m/>
    <m/>
    <n v="77.398200000000003"/>
    <d v="2023-04-16T00:00:00"/>
    <n v="0"/>
    <n v="0"/>
    <n v="0"/>
    <n v="0"/>
    <n v="0"/>
    <n v="0"/>
    <n v="0"/>
    <x v="0"/>
    <n v="5804.8649999999998"/>
    <n v="5804.8649999999998"/>
    <n v="0"/>
    <n v="0"/>
    <x v="0"/>
    <x v="4"/>
  </r>
  <r>
    <s v="ORD03652"/>
    <d v="2023-06-08T00:00:00"/>
    <x v="766"/>
    <x v="184"/>
    <n v="80"/>
    <s v="INV03652"/>
    <n v="80"/>
    <n v="427.43"/>
    <n v="18"/>
    <d v="2024-09-18T00:00:00"/>
    <m/>
    <m/>
    <m/>
    <n v="427.43"/>
    <d v="2023-05-08T00:00:00"/>
    <n v="0"/>
    <n v="0"/>
    <n v="0"/>
    <n v="0"/>
    <n v="0"/>
    <n v="1"/>
    <n v="0"/>
    <x v="1"/>
    <n v="34194.400000000001"/>
    <n v="34194.400000000001"/>
    <n v="0"/>
    <n v="2"/>
    <x v="1"/>
    <x v="14"/>
  </r>
  <r>
    <s v="ORD03653"/>
    <d v="2024-05-18T00:00:00"/>
    <x v="563"/>
    <x v="36"/>
    <n v="71"/>
    <s v="INV03653"/>
    <n v="71"/>
    <n v="415.8210697880092"/>
    <m/>
    <m/>
    <m/>
    <m/>
    <m/>
    <n v="415.70589999999999"/>
    <d v="2023-03-04T00:00:00"/>
    <n v="0"/>
    <n v="0"/>
    <n v="1"/>
    <n v="0"/>
    <n v="0"/>
    <n v="0"/>
    <n v="0"/>
    <x v="1"/>
    <n v="29523.295954948651"/>
    <n v="29515.118899999998"/>
    <n v="8.1770549486536765"/>
    <n v="4"/>
    <x v="1"/>
    <x v="13"/>
  </r>
  <r>
    <s v="ORD03654"/>
    <d v="2023-12-23T00:00:00"/>
    <x v="240"/>
    <x v="276"/>
    <n v="27"/>
    <s v="INV03654"/>
    <n v="27"/>
    <n v="1066.4874"/>
    <m/>
    <m/>
    <m/>
    <m/>
    <m/>
    <n v="1066.4874"/>
    <d v="2023-05-31T00:00:00"/>
    <n v="0"/>
    <n v="0"/>
    <n v="0"/>
    <n v="0"/>
    <n v="0"/>
    <n v="0"/>
    <n v="0"/>
    <x v="0"/>
    <n v="28795.159800000001"/>
    <n v="28795.159800000001"/>
    <n v="0"/>
    <n v="0"/>
    <x v="0"/>
    <x v="20"/>
  </r>
  <r>
    <s v="ORD03655"/>
    <d v="2024-02-08T00:00:00"/>
    <x v="614"/>
    <x v="253"/>
    <n v="44"/>
    <s v="INV03655"/>
    <n v="44"/>
    <n v="1092.5376000000001"/>
    <m/>
    <m/>
    <m/>
    <m/>
    <m/>
    <n v="1092.5376000000001"/>
    <d v="2023-03-11T00:00:00"/>
    <n v="0"/>
    <n v="0"/>
    <n v="0"/>
    <n v="0"/>
    <n v="0"/>
    <n v="0"/>
    <n v="0"/>
    <x v="0"/>
    <n v="48071.654400000007"/>
    <n v="48071.654400000007"/>
    <n v="0"/>
    <n v="0"/>
    <x v="0"/>
    <x v="3"/>
  </r>
  <r>
    <s v="ORD03656"/>
    <d v="2023-02-06T00:00:00"/>
    <x v="593"/>
    <x v="51"/>
    <n v="29"/>
    <s v="INV03656"/>
    <n v="29"/>
    <n v="574.3415"/>
    <m/>
    <m/>
    <m/>
    <m/>
    <m/>
    <n v="574.3415"/>
    <d v="2022-09-02T00:00:00"/>
    <n v="0"/>
    <n v="0"/>
    <n v="0"/>
    <n v="0"/>
    <n v="0"/>
    <n v="0"/>
    <n v="0"/>
    <x v="0"/>
    <n v="16655.9035"/>
    <n v="16655.9035"/>
    <n v="0"/>
    <n v="0"/>
    <x v="0"/>
    <x v="11"/>
  </r>
  <r>
    <s v="ORD03657"/>
    <d v="2024-08-28T00:00:00"/>
    <x v="43"/>
    <x v="183"/>
    <n v="100"/>
    <s v="INV03657"/>
    <n v="100"/>
    <n v="624.37260000000003"/>
    <m/>
    <m/>
    <m/>
    <m/>
    <m/>
    <n v="624.37260000000003"/>
    <d v="2023-01-06T00:00:00"/>
    <n v="0"/>
    <n v="0"/>
    <n v="0"/>
    <n v="0"/>
    <n v="0"/>
    <n v="0"/>
    <n v="0"/>
    <x v="0"/>
    <n v="62437.26"/>
    <n v="62437.26"/>
    <n v="0"/>
    <n v="0"/>
    <x v="0"/>
    <x v="22"/>
  </r>
  <r>
    <s v="ORD03658"/>
    <d v="2024-04-23T00:00:00"/>
    <x v="11"/>
    <x v="298"/>
    <n v="53"/>
    <s v="INV03658"/>
    <n v="53"/>
    <n v="750.70520000000022"/>
    <m/>
    <m/>
    <m/>
    <m/>
    <m/>
    <n v="750.70520000000022"/>
    <d v="2023-10-27T00:00:00"/>
    <n v="0"/>
    <n v="0"/>
    <n v="0"/>
    <n v="0"/>
    <n v="0"/>
    <n v="0"/>
    <n v="0"/>
    <x v="0"/>
    <n v="39787.375600000014"/>
    <n v="39787.375600000014"/>
    <n v="0"/>
    <n v="0"/>
    <x v="0"/>
    <x v="9"/>
  </r>
  <r>
    <s v="ORD03659"/>
    <d v="2024-01-15T00:00:00"/>
    <x v="119"/>
    <x v="75"/>
    <n v="45"/>
    <s v="INV03659"/>
    <n v="45"/>
    <n v="492.38400000000001"/>
    <m/>
    <m/>
    <m/>
    <m/>
    <m/>
    <n v="492.38400000000001"/>
    <d v="2023-02-09T00:00:00"/>
    <n v="0"/>
    <n v="0"/>
    <n v="0"/>
    <n v="0"/>
    <n v="0"/>
    <n v="0"/>
    <n v="0"/>
    <x v="0"/>
    <n v="22157.279999999999"/>
    <n v="22157.279999999999"/>
    <n v="0"/>
    <n v="0"/>
    <x v="0"/>
    <x v="15"/>
  </r>
  <r>
    <s v="ORD03660"/>
    <d v="2023-02-16T00:00:00"/>
    <x v="556"/>
    <x v="72"/>
    <n v="39"/>
    <s v="INV03660"/>
    <n v="39"/>
    <n v="754.02560000000005"/>
    <m/>
    <m/>
    <m/>
    <m/>
    <m/>
    <n v="754.02560000000005"/>
    <d v="2023-01-23T00:00:00"/>
    <n v="0"/>
    <n v="0"/>
    <n v="0"/>
    <n v="0"/>
    <n v="0"/>
    <n v="0"/>
    <n v="0"/>
    <x v="0"/>
    <n v="29406.9984"/>
    <n v="29406.9984"/>
    <n v="0"/>
    <n v="0"/>
    <x v="0"/>
    <x v="11"/>
  </r>
  <r>
    <s v="ORD03661"/>
    <d v="2023-11-06T00:00:00"/>
    <x v="403"/>
    <x v="278"/>
    <n v="125"/>
    <s v="INV03661"/>
    <n v="125"/>
    <n v="312.56310000000002"/>
    <m/>
    <m/>
    <m/>
    <m/>
    <m/>
    <n v="312.56310000000002"/>
    <d v="2023-04-12T00:00:00"/>
    <n v="0"/>
    <n v="0"/>
    <n v="0"/>
    <n v="0"/>
    <n v="0"/>
    <n v="0"/>
    <n v="0"/>
    <x v="0"/>
    <n v="39070.387500000004"/>
    <n v="39070.387500000004"/>
    <n v="0"/>
    <n v="0"/>
    <x v="0"/>
    <x v="0"/>
  </r>
  <r>
    <s v="ORD03662"/>
    <d v="2024-10-10T00:00:00"/>
    <x v="773"/>
    <x v="218"/>
    <n v="140"/>
    <s v="INV03662"/>
    <n v="140"/>
    <n v="960.85850000000005"/>
    <m/>
    <m/>
    <m/>
    <m/>
    <m/>
    <n v="960.85850000000005"/>
    <d v="2023-05-03T00:00:00"/>
    <n v="0"/>
    <n v="0"/>
    <n v="0"/>
    <n v="0"/>
    <n v="0"/>
    <n v="0"/>
    <n v="0"/>
    <x v="0"/>
    <n v="134520.19"/>
    <n v="134520.19"/>
    <n v="0"/>
    <n v="0"/>
    <x v="0"/>
    <x v="5"/>
  </r>
  <r>
    <s v="ORD03663"/>
    <d v="2024-05-20T00:00:00"/>
    <x v="746"/>
    <x v="227"/>
    <n v="130"/>
    <s v="INV03663"/>
    <n v="130"/>
    <n v="1131.7711000000002"/>
    <m/>
    <m/>
    <m/>
    <m/>
    <m/>
    <n v="1131.7711000000002"/>
    <d v="2023-05-02T00:00:00"/>
    <n v="0"/>
    <n v="0"/>
    <n v="0"/>
    <n v="0"/>
    <n v="0"/>
    <n v="0"/>
    <n v="0"/>
    <x v="0"/>
    <n v="147130.24300000002"/>
    <n v="147130.24300000002"/>
    <n v="0"/>
    <n v="0"/>
    <x v="0"/>
    <x v="13"/>
  </r>
  <r>
    <s v="ORD03664"/>
    <d v="2023-01-22T00:00:00"/>
    <x v="434"/>
    <x v="253"/>
    <n v="116"/>
    <s v="INV03664"/>
    <n v="116"/>
    <n v="1138.06"/>
    <m/>
    <m/>
    <m/>
    <m/>
    <m/>
    <n v="1138.06"/>
    <d v="2022-07-21T00:00:00"/>
    <n v="0"/>
    <n v="0"/>
    <n v="0"/>
    <n v="0"/>
    <n v="0"/>
    <n v="0"/>
    <n v="0"/>
    <x v="0"/>
    <n v="132014.96"/>
    <n v="132014.96"/>
    <n v="0"/>
    <n v="0"/>
    <x v="0"/>
    <x v="8"/>
  </r>
  <r>
    <s v="ORD03665"/>
    <d v="2024-02-05T00:00:00"/>
    <x v="448"/>
    <x v="8"/>
    <n v="31"/>
    <s v="INV03665"/>
    <n v="31"/>
    <n v="376.82319999999999"/>
    <m/>
    <m/>
    <m/>
    <m/>
    <m/>
    <n v="376.82319999999999"/>
    <d v="2023-09-02T00:00:00"/>
    <n v="0"/>
    <n v="0"/>
    <n v="0"/>
    <n v="0"/>
    <n v="0"/>
    <n v="0"/>
    <n v="0"/>
    <x v="0"/>
    <n v="11681.519199999999"/>
    <n v="11681.519199999999"/>
    <n v="0"/>
    <n v="0"/>
    <x v="0"/>
    <x v="3"/>
  </r>
  <r>
    <s v="ORD03666"/>
    <d v="2024-11-05T00:00:00"/>
    <x v="65"/>
    <x v="196"/>
    <n v="37"/>
    <s v="INV03666"/>
    <n v="37"/>
    <n v="1099.82"/>
    <m/>
    <m/>
    <m/>
    <m/>
    <m/>
    <n v="1099.82"/>
    <d v="2023-02-05T00:00:00"/>
    <n v="0"/>
    <n v="0"/>
    <n v="0"/>
    <n v="0"/>
    <n v="0"/>
    <n v="0"/>
    <n v="0"/>
    <x v="0"/>
    <n v="40693.339999999997"/>
    <n v="40693.339999999997"/>
    <n v="0"/>
    <n v="0"/>
    <x v="0"/>
    <x v="4"/>
  </r>
  <r>
    <s v="ORD03667"/>
    <d v="2023-08-25T00:00:00"/>
    <x v="87"/>
    <x v="77"/>
    <n v="168"/>
    <s v="INV03667"/>
    <n v="168"/>
    <n v="798.14160000000004"/>
    <m/>
    <m/>
    <m/>
    <m/>
    <m/>
    <n v="798.14160000000004"/>
    <d v="2023-08-11T00:00:00"/>
    <n v="0"/>
    <n v="0"/>
    <n v="0"/>
    <n v="0"/>
    <n v="0"/>
    <n v="0"/>
    <n v="0"/>
    <x v="0"/>
    <n v="134087.78880000001"/>
    <n v="134087.78880000001"/>
    <n v="0"/>
    <n v="0"/>
    <x v="0"/>
    <x v="12"/>
  </r>
  <r>
    <s v="ORD03668"/>
    <d v="2024-06-18T00:00:00"/>
    <x v="468"/>
    <x v="284"/>
    <n v="89"/>
    <s v="INV03668"/>
    <n v="89"/>
    <n v="1032.7408"/>
    <m/>
    <m/>
    <m/>
    <m/>
    <m/>
    <n v="1032.7408"/>
    <d v="2023-05-31T00:00:00"/>
    <n v="0"/>
    <n v="0"/>
    <n v="0"/>
    <n v="0"/>
    <n v="0"/>
    <n v="0"/>
    <n v="0"/>
    <x v="0"/>
    <n v="91913.931200000006"/>
    <n v="91913.931200000006"/>
    <n v="0"/>
    <n v="0"/>
    <x v="0"/>
    <x v="16"/>
  </r>
  <r>
    <s v="ORD03669"/>
    <d v="2024-08-09T00:00:00"/>
    <x v="227"/>
    <x v="166"/>
    <n v="9"/>
    <s v="INV03669"/>
    <n v="9"/>
    <n v="156.37459999999999"/>
    <m/>
    <m/>
    <m/>
    <m/>
    <m/>
    <n v="156.37459999999999"/>
    <d v="2023-06-13T00:00:00"/>
    <n v="0"/>
    <n v="0"/>
    <n v="0"/>
    <n v="0"/>
    <n v="0"/>
    <n v="0"/>
    <n v="0"/>
    <x v="0"/>
    <n v="1407.3714"/>
    <n v="1407.3714"/>
    <n v="0"/>
    <n v="0"/>
    <x v="0"/>
    <x v="22"/>
  </r>
  <r>
    <s v="ORD03670"/>
    <d v="2024-06-08T00:00:00"/>
    <x v="593"/>
    <x v="232"/>
    <n v="93"/>
    <s v="INV03670"/>
    <n v="93"/>
    <n v="1065.7722000000001"/>
    <m/>
    <m/>
    <m/>
    <m/>
    <m/>
    <n v="1065.7722000000001"/>
    <d v="2023-01-10T00:00:00"/>
    <n v="0"/>
    <n v="0"/>
    <n v="0"/>
    <n v="0"/>
    <n v="0"/>
    <n v="0"/>
    <n v="0"/>
    <x v="0"/>
    <n v="99116.814600000012"/>
    <n v="99116.814600000012"/>
    <n v="0"/>
    <n v="0"/>
    <x v="0"/>
    <x v="16"/>
  </r>
  <r>
    <s v="ORD03671"/>
    <d v="2023-11-19T00:00:00"/>
    <x v="697"/>
    <x v="122"/>
    <n v="132"/>
    <s v="INV03671"/>
    <n v="132"/>
    <n v="75.620999999999995"/>
    <m/>
    <m/>
    <m/>
    <m/>
    <m/>
    <n v="75.620999999999995"/>
    <d v="2023-07-01T00:00:00"/>
    <n v="0"/>
    <n v="0"/>
    <n v="0"/>
    <n v="0"/>
    <n v="0"/>
    <n v="0"/>
    <n v="0"/>
    <x v="0"/>
    <n v="9981.9719999999998"/>
    <n v="9981.9719999999998"/>
    <n v="0"/>
    <n v="0"/>
    <x v="0"/>
    <x v="0"/>
  </r>
  <r>
    <s v="ORD03672"/>
    <d v="2024-01-04T00:00:00"/>
    <x v="239"/>
    <x v="232"/>
    <n v="11"/>
    <s v="INV03672"/>
    <n v="11"/>
    <n v="1065.7722000000001"/>
    <m/>
    <m/>
    <m/>
    <m/>
    <m/>
    <n v="1065.7722000000001"/>
    <d v="2023-01-10T00:00:00"/>
    <n v="0"/>
    <n v="0"/>
    <n v="0"/>
    <n v="0"/>
    <n v="0"/>
    <n v="0"/>
    <n v="0"/>
    <x v="0"/>
    <n v="11723.494200000001"/>
    <n v="11723.494200000001"/>
    <n v="0"/>
    <n v="0"/>
    <x v="0"/>
    <x v="15"/>
  </r>
  <r>
    <s v="ORD03673"/>
    <d v="2023-11-04T00:00:00"/>
    <x v="251"/>
    <x v="143"/>
    <n v="89"/>
    <s v="INV03673"/>
    <n v="89"/>
    <n v="893.8972"/>
    <m/>
    <m/>
    <m/>
    <m/>
    <m/>
    <n v="893.8972"/>
    <d v="2023-05-03T00:00:00"/>
    <n v="0"/>
    <n v="0"/>
    <n v="0"/>
    <n v="0"/>
    <n v="0"/>
    <n v="0"/>
    <n v="0"/>
    <x v="0"/>
    <n v="79556.8508"/>
    <n v="79556.8508"/>
    <n v="0"/>
    <n v="0"/>
    <x v="0"/>
    <x v="0"/>
  </r>
  <r>
    <s v="ORD03674"/>
    <d v="2023-10-07T00:00:00"/>
    <x v="450"/>
    <x v="201"/>
    <n v="126"/>
    <s v="INV03674"/>
    <n v="126"/>
    <n v="414.65559999999999"/>
    <n v="10"/>
    <d v="2024-01-05T00:00:00"/>
    <m/>
    <m/>
    <m/>
    <n v="414.65559999999999"/>
    <d v="2022-12-29T00:00:00"/>
    <n v="0"/>
    <n v="0"/>
    <n v="0"/>
    <n v="0"/>
    <n v="0"/>
    <n v="1"/>
    <n v="0"/>
    <x v="1"/>
    <n v="52246.605600000003"/>
    <n v="52246.605600000003"/>
    <n v="0"/>
    <n v="2"/>
    <x v="1"/>
    <x v="19"/>
  </r>
  <r>
    <s v="ORD03675"/>
    <d v="2024-10-04T00:00:00"/>
    <x v="380"/>
    <x v="4"/>
    <n v="112"/>
    <s v="INV03675"/>
    <n v="112"/>
    <n v="353.52719999999999"/>
    <n v="8"/>
    <d v="2024-03-13T00:00:00"/>
    <m/>
    <m/>
    <m/>
    <n v="353.52719999999999"/>
    <d v="2023-09-13T00:00:00"/>
    <n v="0"/>
    <n v="0"/>
    <n v="0"/>
    <n v="0"/>
    <n v="0"/>
    <n v="0"/>
    <n v="0"/>
    <x v="0"/>
    <n v="39595.046399999999"/>
    <n v="39595.046399999999"/>
    <n v="0"/>
    <n v="0"/>
    <x v="0"/>
    <x v="5"/>
  </r>
  <r>
    <s v="ORD03676"/>
    <d v="2023-04-30T00:00:00"/>
    <x v="382"/>
    <x v="228"/>
    <n v="41"/>
    <s v="INV03676"/>
    <n v="41"/>
    <n v="942.94"/>
    <m/>
    <m/>
    <m/>
    <m/>
    <m/>
    <n v="942.94"/>
    <d v="2022-04-15T00:00:00"/>
    <n v="0"/>
    <n v="0"/>
    <n v="0"/>
    <n v="0"/>
    <n v="0"/>
    <n v="0"/>
    <n v="0"/>
    <x v="0"/>
    <n v="38660.54"/>
    <n v="38660.54"/>
    <n v="0"/>
    <n v="0"/>
    <x v="0"/>
    <x v="23"/>
  </r>
  <r>
    <s v="ORD03677"/>
    <d v="2023-02-07T00:00:00"/>
    <x v="458"/>
    <x v="169"/>
    <n v="69"/>
    <s v="INV03677"/>
    <n v="69"/>
    <n v="1153.4984999999999"/>
    <m/>
    <m/>
    <m/>
    <m/>
    <m/>
    <n v="1153.4984999999999"/>
    <d v="2023-02-05T00:00:00"/>
    <n v="0"/>
    <n v="0"/>
    <n v="0"/>
    <n v="0"/>
    <n v="0"/>
    <n v="0"/>
    <n v="0"/>
    <x v="0"/>
    <n v="79591.396499999988"/>
    <n v="79591.396499999988"/>
    <n v="0"/>
    <n v="0"/>
    <x v="0"/>
    <x v="11"/>
  </r>
  <r>
    <s v="ORD03678"/>
    <d v="2023-08-19T00:00:00"/>
    <x v="450"/>
    <x v="76"/>
    <n v="150"/>
    <s v="INV03678"/>
    <n v="150"/>
    <n v="1114.2336"/>
    <m/>
    <m/>
    <m/>
    <m/>
    <m/>
    <n v="1114.2336"/>
    <d v="2023-08-03T00:00:00"/>
    <n v="0"/>
    <n v="0"/>
    <n v="0"/>
    <n v="0"/>
    <n v="0"/>
    <n v="0"/>
    <n v="0"/>
    <x v="0"/>
    <n v="167135.04000000001"/>
    <n v="167135.04000000001"/>
    <n v="0"/>
    <n v="0"/>
    <x v="0"/>
    <x v="12"/>
  </r>
  <r>
    <s v="ORD03679"/>
    <d v="2024-01-19T00:00:00"/>
    <x v="745"/>
    <x v="177"/>
    <n v="19"/>
    <s v="INV03679"/>
    <n v="19"/>
    <n v="335.39150000000001"/>
    <m/>
    <m/>
    <m/>
    <m/>
    <m/>
    <n v="335.39150000000001"/>
    <d v="2023-08-13T00:00:00"/>
    <n v="0"/>
    <n v="0"/>
    <n v="0"/>
    <n v="0"/>
    <n v="0"/>
    <n v="0"/>
    <n v="0"/>
    <x v="0"/>
    <n v="6372.4385000000002"/>
    <n v="6372.4385000000002"/>
    <n v="0"/>
    <n v="0"/>
    <x v="0"/>
    <x v="15"/>
  </r>
  <r>
    <s v="ORD03680"/>
    <d v="2023-04-27T00:00:00"/>
    <x v="446"/>
    <x v="287"/>
    <n v="94"/>
    <s v="INV03680"/>
    <n v="94"/>
    <n v="720.47380000000021"/>
    <m/>
    <m/>
    <m/>
    <m/>
    <m/>
    <n v="720.47380000000021"/>
    <d v="2023-04-10T00:00:00"/>
    <n v="0"/>
    <n v="0"/>
    <n v="0"/>
    <n v="0"/>
    <n v="0"/>
    <n v="0"/>
    <n v="0"/>
    <x v="0"/>
    <n v="67724.537200000021"/>
    <n v="67724.537200000021"/>
    <n v="0"/>
    <n v="0"/>
    <x v="0"/>
    <x v="23"/>
  </r>
  <r>
    <s v="ORD03681"/>
    <d v="2024-06-07T00:00:00"/>
    <x v="369"/>
    <x v="61"/>
    <n v="2"/>
    <s v="INV03681"/>
    <n v="2"/>
    <n v="759.48969999999997"/>
    <m/>
    <m/>
    <m/>
    <m/>
    <m/>
    <n v="759.48969999999997"/>
    <d v="2023-07-31T00:00:00"/>
    <n v="0"/>
    <n v="0"/>
    <n v="0"/>
    <n v="0"/>
    <n v="0"/>
    <n v="0"/>
    <n v="0"/>
    <x v="0"/>
    <n v="1518.9793999999999"/>
    <n v="1518.9793999999999"/>
    <n v="0"/>
    <n v="0"/>
    <x v="0"/>
    <x v="16"/>
  </r>
  <r>
    <s v="ORD03682"/>
    <d v="2023-07-25T00:00:00"/>
    <x v="299"/>
    <x v="113"/>
    <n v="113"/>
    <s v="INV03682"/>
    <n v="113"/>
    <n v="951.54780000000005"/>
    <m/>
    <m/>
    <m/>
    <m/>
    <m/>
    <n v="951.54780000000005"/>
    <d v="2023-02-07T00:00:00"/>
    <n v="0"/>
    <n v="0"/>
    <n v="0"/>
    <n v="0"/>
    <n v="0"/>
    <n v="0"/>
    <n v="0"/>
    <x v="0"/>
    <n v="107524.9014"/>
    <n v="107524.9014"/>
    <n v="0"/>
    <n v="0"/>
    <x v="0"/>
    <x v="10"/>
  </r>
  <r>
    <s v="ORD03683"/>
    <d v="2024-08-20T00:00:00"/>
    <x v="724"/>
    <x v="11"/>
    <n v="89"/>
    <s v="INV03683"/>
    <n v="89"/>
    <n v="687.65840000000003"/>
    <m/>
    <m/>
    <m/>
    <m/>
    <m/>
    <n v="687.65840000000003"/>
    <d v="2023-08-01T00:00:00"/>
    <n v="0"/>
    <n v="0"/>
    <n v="0"/>
    <n v="0"/>
    <n v="0"/>
    <n v="0"/>
    <n v="0"/>
    <x v="0"/>
    <n v="61201.597600000001"/>
    <n v="61201.597600000001"/>
    <n v="0"/>
    <n v="0"/>
    <x v="0"/>
    <x v="22"/>
  </r>
  <r>
    <s v="ORD03684"/>
    <d v="2024-09-10T00:00:00"/>
    <x v="106"/>
    <x v="235"/>
    <n v="153"/>
    <s v="INV03684"/>
    <n v="153"/>
    <n v="708.51900000000001"/>
    <m/>
    <m/>
    <m/>
    <m/>
    <m/>
    <n v="708.51900000000001"/>
    <d v="2023-05-17T00:00:00"/>
    <n v="0"/>
    <n v="0"/>
    <n v="0"/>
    <n v="0"/>
    <n v="0"/>
    <n v="0"/>
    <n v="0"/>
    <x v="0"/>
    <n v="108403.40700000001"/>
    <n v="108403.40700000001"/>
    <n v="0"/>
    <n v="0"/>
    <x v="0"/>
    <x v="2"/>
  </r>
  <r>
    <s v="ORD03685"/>
    <d v="2023-11-17T00:00:00"/>
    <x v="143"/>
    <x v="141"/>
    <n v="171"/>
    <s v="INV03685"/>
    <n v="171"/>
    <n v="785.89"/>
    <n v="15"/>
    <d v="2024-05-09T00:00:00"/>
    <m/>
    <m/>
    <m/>
    <n v="785.89"/>
    <d v="2023-03-04T00:00:00"/>
    <n v="0"/>
    <n v="0"/>
    <n v="0"/>
    <n v="0"/>
    <n v="0"/>
    <n v="1"/>
    <n v="0"/>
    <x v="1"/>
    <n v="134387.19"/>
    <n v="134387.19"/>
    <n v="0"/>
    <n v="2"/>
    <x v="1"/>
    <x v="0"/>
  </r>
  <r>
    <s v="ORD03686"/>
    <d v="2023-10-27T00:00:00"/>
    <x v="403"/>
    <x v="273"/>
    <n v="176"/>
    <s v="INV03686"/>
    <n v="176"/>
    <n v="1247.7911999999999"/>
    <m/>
    <m/>
    <m/>
    <m/>
    <m/>
    <n v="1247.7911999999999"/>
    <d v="2023-10-14T00:00:00"/>
    <n v="0"/>
    <n v="0"/>
    <n v="0"/>
    <n v="0"/>
    <n v="0"/>
    <n v="0"/>
    <n v="0"/>
    <x v="0"/>
    <n v="219611.25119999997"/>
    <n v="219611.25119999997"/>
    <n v="0"/>
    <n v="0"/>
    <x v="0"/>
    <x v="19"/>
  </r>
  <r>
    <s v="ORD03687"/>
    <d v="2023-01-31T00:00:00"/>
    <x v="70"/>
    <x v="215"/>
    <n v="150"/>
    <s v="INV03687"/>
    <n v="150"/>
    <n v="167.62"/>
    <m/>
    <m/>
    <m/>
    <m/>
    <m/>
    <n v="167.62"/>
    <d v="2022-06-21T00:00:00"/>
    <n v="0"/>
    <n v="0"/>
    <n v="0"/>
    <n v="0"/>
    <n v="0"/>
    <n v="0"/>
    <n v="0"/>
    <x v="0"/>
    <n v="25143"/>
    <n v="25143"/>
    <n v="0"/>
    <n v="0"/>
    <x v="0"/>
    <x v="8"/>
  </r>
  <r>
    <s v="ORD03688"/>
    <d v="2023-06-13T00:00:00"/>
    <x v="70"/>
    <x v="51"/>
    <n v="175"/>
    <s v="INV03688"/>
    <n v="175"/>
    <n v="574.3415"/>
    <m/>
    <m/>
    <m/>
    <m/>
    <m/>
    <n v="574.3415"/>
    <d v="2022-09-02T00:00:00"/>
    <n v="0"/>
    <n v="0"/>
    <n v="0"/>
    <n v="0"/>
    <n v="0"/>
    <n v="0"/>
    <n v="0"/>
    <x v="0"/>
    <n v="100509.7625"/>
    <n v="100509.7625"/>
    <n v="0"/>
    <n v="0"/>
    <x v="0"/>
    <x v="14"/>
  </r>
  <r>
    <s v="ORD03689"/>
    <d v="2024-08-09T00:00:00"/>
    <x v="559"/>
    <x v="246"/>
    <n v="100"/>
    <s v="INV03689"/>
    <n v="100"/>
    <n v="491.10239999999999"/>
    <m/>
    <m/>
    <m/>
    <m/>
    <m/>
    <n v="491.10239999999999"/>
    <d v="2023-09-18T00:00:00"/>
    <n v="0"/>
    <n v="0"/>
    <n v="0"/>
    <n v="0"/>
    <n v="0"/>
    <n v="0"/>
    <n v="0"/>
    <x v="0"/>
    <n v="49110.239999999998"/>
    <n v="49110.239999999998"/>
    <n v="0"/>
    <n v="0"/>
    <x v="0"/>
    <x v="22"/>
  </r>
  <r>
    <s v="ORD03690"/>
    <d v="2024-05-08T00:00:00"/>
    <x v="626"/>
    <x v="129"/>
    <n v="174"/>
    <s v="INV03690"/>
    <n v="174"/>
    <n v="664.8768"/>
    <m/>
    <m/>
    <m/>
    <m/>
    <m/>
    <n v="664.8768"/>
    <d v="2023-07-09T00:00:00"/>
    <n v="0"/>
    <n v="0"/>
    <n v="0"/>
    <n v="0"/>
    <n v="0"/>
    <n v="0"/>
    <n v="0"/>
    <x v="0"/>
    <n v="115688.5632"/>
    <n v="115688.5632"/>
    <n v="0"/>
    <n v="0"/>
    <x v="0"/>
    <x v="13"/>
  </r>
  <r>
    <s v="ORD03691"/>
    <d v="2023-10-02T00:00:00"/>
    <x v="431"/>
    <x v="74"/>
    <n v="103"/>
    <s v="INV03691"/>
    <n v="103"/>
    <n v="1184.9544000000001"/>
    <m/>
    <m/>
    <m/>
    <m/>
    <m/>
    <n v="1184.9544000000001"/>
    <d v="2023-09-02T00:00:00"/>
    <n v="0"/>
    <n v="0"/>
    <n v="0"/>
    <n v="0"/>
    <n v="0"/>
    <n v="0"/>
    <n v="0"/>
    <x v="0"/>
    <n v="122050.30320000001"/>
    <n v="122050.30320000001"/>
    <n v="0"/>
    <n v="0"/>
    <x v="0"/>
    <x v="19"/>
  </r>
  <r>
    <s v="ORD03692"/>
    <d v="2023-03-11T00:00:00"/>
    <x v="747"/>
    <x v="228"/>
    <n v="1"/>
    <s v="INV03692"/>
    <n v="-4"/>
    <n v="942.94"/>
    <m/>
    <m/>
    <m/>
    <m/>
    <m/>
    <n v="942.94"/>
    <d v="2022-04-15T00:00:00"/>
    <n v="0"/>
    <n v="1"/>
    <n v="0"/>
    <n v="0"/>
    <n v="0"/>
    <n v="0"/>
    <n v="0"/>
    <x v="1"/>
    <n v="-3771.76"/>
    <n v="942.94"/>
    <n v="-4714.7000000000007"/>
    <n v="8"/>
    <x v="2"/>
    <x v="17"/>
  </r>
  <r>
    <s v="ORD03693"/>
    <d v="2023-06-22T00:00:00"/>
    <x v="306"/>
    <x v="237"/>
    <n v="89"/>
    <s v="INV03693"/>
    <n v="89"/>
    <n v="580.28646139563534"/>
    <m/>
    <m/>
    <m/>
    <m/>
    <m/>
    <n v="579.65"/>
    <d v="2022-10-03T00:00:00"/>
    <n v="0"/>
    <n v="0"/>
    <n v="1"/>
    <n v="0"/>
    <n v="0"/>
    <n v="0"/>
    <n v="0"/>
    <x v="1"/>
    <n v="51645.495064211544"/>
    <n v="51588.85"/>
    <n v="56.645064211545105"/>
    <n v="4"/>
    <x v="1"/>
    <x v="14"/>
  </r>
  <r>
    <s v="ORD03694"/>
    <d v="2023-09-27T00:00:00"/>
    <x v="35"/>
    <x v="88"/>
    <n v="98"/>
    <s v="INV03694"/>
    <n v="98"/>
    <n v="211.68960000000001"/>
    <m/>
    <m/>
    <m/>
    <m/>
    <m/>
    <n v="211.68960000000001"/>
    <d v="2023-07-22T00:00:00"/>
    <n v="0"/>
    <n v="0"/>
    <n v="0"/>
    <n v="0"/>
    <n v="0"/>
    <n v="0"/>
    <n v="0"/>
    <x v="0"/>
    <n v="20745.5808"/>
    <n v="20745.5808"/>
    <n v="0"/>
    <n v="0"/>
    <x v="0"/>
    <x v="18"/>
  </r>
  <r>
    <s v="ORD03695"/>
    <d v="2024-02-11T00:00:00"/>
    <x v="422"/>
    <x v="157"/>
    <n v="46"/>
    <s v="INV03695"/>
    <n v="46"/>
    <n v="1158.2643"/>
    <m/>
    <m/>
    <m/>
    <m/>
    <m/>
    <n v="1158.2643"/>
    <d v="2023-07-12T00:00:00"/>
    <n v="0"/>
    <n v="0"/>
    <n v="0"/>
    <n v="0"/>
    <n v="0"/>
    <n v="0"/>
    <n v="0"/>
    <x v="0"/>
    <n v="53280.157800000001"/>
    <n v="53280.157800000001"/>
    <n v="0"/>
    <n v="0"/>
    <x v="0"/>
    <x v="3"/>
  </r>
  <r>
    <s v="ORD03696"/>
    <d v="2024-04-28T00:00:00"/>
    <x v="560"/>
    <x v="100"/>
    <n v="198"/>
    <s v="INV03696"/>
    <n v="198"/>
    <n v="1231.9933000000001"/>
    <m/>
    <m/>
    <m/>
    <m/>
    <m/>
    <n v="1231.9933000000001"/>
    <d v="2023-01-08T00:00:00"/>
    <n v="0"/>
    <n v="0"/>
    <n v="0"/>
    <n v="0"/>
    <n v="0"/>
    <n v="0"/>
    <n v="0"/>
    <x v="0"/>
    <n v="243934.67340000003"/>
    <n v="243934.67340000003"/>
    <n v="0"/>
    <n v="0"/>
    <x v="0"/>
    <x v="9"/>
  </r>
  <r>
    <s v="ORD03697"/>
    <d v="2023-12-02T00:00:00"/>
    <x v="690"/>
    <x v="214"/>
    <n v="102"/>
    <s v="INV03697"/>
    <n v="102"/>
    <n v="77.178600000000003"/>
    <m/>
    <m/>
    <m/>
    <m/>
    <m/>
    <n v="77.178600000000003"/>
    <d v="2023-02-18T00:00:00"/>
    <n v="0"/>
    <n v="0"/>
    <n v="0"/>
    <n v="0"/>
    <n v="0"/>
    <n v="0"/>
    <n v="0"/>
    <x v="0"/>
    <n v="7872.2172"/>
    <n v="7872.2172"/>
    <n v="0"/>
    <n v="0"/>
    <x v="0"/>
    <x v="20"/>
  </r>
  <r>
    <s v="ORD03698"/>
    <d v="2024-10-10T00:00:00"/>
    <x v="171"/>
    <x v="234"/>
    <n v="87"/>
    <s v="INV03698"/>
    <n v="87"/>
    <n v="1226.9154000000001"/>
    <m/>
    <m/>
    <m/>
    <m/>
    <m/>
    <n v="1226.9154000000001"/>
    <d v="2023-04-16T00:00:00"/>
    <n v="0"/>
    <n v="0"/>
    <n v="0"/>
    <n v="0"/>
    <n v="0"/>
    <n v="0"/>
    <n v="0"/>
    <x v="0"/>
    <n v="106741.6398"/>
    <n v="106741.6398"/>
    <n v="0"/>
    <n v="0"/>
    <x v="0"/>
    <x v="5"/>
  </r>
  <r>
    <s v="ORD03699"/>
    <d v="2023-03-31T00:00:00"/>
    <x v="69"/>
    <x v="1"/>
    <n v="194"/>
    <s v="INV03699"/>
    <n v="194"/>
    <n v="466.43099999999998"/>
    <m/>
    <m/>
    <m/>
    <m/>
    <m/>
    <n v="466.43099999999998"/>
    <d v="2022-11-17T00:00:00"/>
    <n v="0"/>
    <n v="0"/>
    <n v="0"/>
    <n v="0"/>
    <n v="0"/>
    <n v="0"/>
    <n v="0"/>
    <x v="0"/>
    <n v="90487.614000000001"/>
    <n v="90487.614000000001"/>
    <n v="0"/>
    <n v="0"/>
    <x v="0"/>
    <x v="17"/>
  </r>
  <r>
    <s v="ORD03700"/>
    <d v="2023-01-09T00:00:00"/>
    <x v="277"/>
    <x v="71"/>
    <n v="61"/>
    <s v="INV03700"/>
    <n v="61"/>
    <n v="238.7328"/>
    <m/>
    <m/>
    <m/>
    <m/>
    <m/>
    <n v="238.7328"/>
    <d v="2022-11-30T00:00:00"/>
    <n v="0"/>
    <n v="0"/>
    <n v="0"/>
    <n v="0"/>
    <n v="0"/>
    <n v="0"/>
    <n v="0"/>
    <x v="0"/>
    <n v="14562.700800000001"/>
    <n v="14562.700800000001"/>
    <n v="0"/>
    <n v="0"/>
    <x v="0"/>
    <x v="8"/>
  </r>
  <r>
    <s v="ORD03701"/>
    <d v="2024-05-14T00:00:00"/>
    <x v="7"/>
    <x v="179"/>
    <n v="41"/>
    <s v="INV03701"/>
    <n v="45"/>
    <n v="72.63"/>
    <m/>
    <m/>
    <m/>
    <m/>
    <m/>
    <n v="72.63"/>
    <d v="2023-01-30T00:00:00"/>
    <n v="0"/>
    <n v="1"/>
    <n v="0"/>
    <n v="0"/>
    <n v="0"/>
    <n v="0"/>
    <n v="0"/>
    <x v="1"/>
    <n v="3268.35"/>
    <n v="2977.83"/>
    <n v="290.52"/>
    <n v="3"/>
    <x v="1"/>
    <x v="13"/>
  </r>
  <r>
    <s v="ORD03702"/>
    <d v="2024-12-26T00:00:00"/>
    <x v="388"/>
    <x v="286"/>
    <n v="132"/>
    <s v="INV03702"/>
    <n v="132"/>
    <n v="278.27100000000002"/>
    <m/>
    <m/>
    <m/>
    <m/>
    <m/>
    <n v="278.27100000000002"/>
    <d v="2023-07-12T00:00:00"/>
    <n v="0"/>
    <n v="0"/>
    <n v="0"/>
    <n v="0"/>
    <n v="0"/>
    <n v="0"/>
    <n v="0"/>
    <x v="0"/>
    <n v="36731.772000000004"/>
    <n v="36731.772000000004"/>
    <n v="0"/>
    <n v="0"/>
    <x v="0"/>
    <x v="1"/>
  </r>
  <r>
    <s v="ORD03703"/>
    <d v="2024-05-22T00:00:00"/>
    <x v="317"/>
    <x v="229"/>
    <n v="166"/>
    <s v="INV03703"/>
    <n v="166"/>
    <n v="402.05340000000001"/>
    <m/>
    <m/>
    <m/>
    <m/>
    <m/>
    <n v="402.05340000000001"/>
    <d v="2023-10-15T00:00:00"/>
    <n v="0"/>
    <n v="0"/>
    <n v="0"/>
    <n v="0"/>
    <n v="0"/>
    <n v="0"/>
    <n v="0"/>
    <x v="0"/>
    <n v="66740.864400000006"/>
    <n v="66740.864400000006"/>
    <n v="0"/>
    <n v="0"/>
    <x v="0"/>
    <x v="13"/>
  </r>
  <r>
    <s v="ORD03704"/>
    <d v="2023-03-23T00:00:00"/>
    <x v="518"/>
    <x v="115"/>
    <n v="102"/>
    <s v="INV03704"/>
    <n v="102"/>
    <n v="208.65799999999999"/>
    <m/>
    <m/>
    <m/>
    <m/>
    <m/>
    <n v="208.65799999999999"/>
    <d v="2023-02-14T00:00:00"/>
    <n v="0"/>
    <n v="0"/>
    <n v="0"/>
    <n v="0"/>
    <n v="0"/>
    <n v="0"/>
    <n v="0"/>
    <x v="0"/>
    <n v="21283.115999999998"/>
    <n v="21283.115999999998"/>
    <n v="0"/>
    <n v="0"/>
    <x v="0"/>
    <x v="17"/>
  </r>
  <r>
    <s v="ORD03705"/>
    <d v="2024-03-25T00:00:00"/>
    <x v="657"/>
    <x v="214"/>
    <n v="83"/>
    <s v="INV03705"/>
    <n v="83"/>
    <n v="77.178600000000003"/>
    <n v="14"/>
    <d v="2023-09-23T00:00:00"/>
    <m/>
    <m/>
    <m/>
    <n v="77.178600000000003"/>
    <d v="2023-02-18T00:00:00"/>
    <n v="0"/>
    <n v="0"/>
    <n v="0"/>
    <n v="0"/>
    <n v="0"/>
    <n v="0"/>
    <n v="0"/>
    <x v="0"/>
    <n v="6405.8238000000001"/>
    <n v="6405.8238000000001"/>
    <n v="0"/>
    <n v="0"/>
    <x v="0"/>
    <x v="6"/>
  </r>
  <r>
    <s v="ORD03706"/>
    <d v="2023-07-22T00:00:00"/>
    <x v="298"/>
    <x v="254"/>
    <n v="64"/>
    <s v="INV03706"/>
    <n v="64"/>
    <n v="571.49840000000006"/>
    <m/>
    <m/>
    <m/>
    <m/>
    <m/>
    <n v="571.49840000000006"/>
    <d v="2023-05-25T00:00:00"/>
    <n v="0"/>
    <n v="0"/>
    <n v="0"/>
    <n v="0"/>
    <n v="0"/>
    <n v="0"/>
    <n v="0"/>
    <x v="0"/>
    <n v="36575.897600000004"/>
    <n v="36575.897600000004"/>
    <n v="0"/>
    <n v="0"/>
    <x v="0"/>
    <x v="10"/>
  </r>
  <r>
    <s v="ORD03707"/>
    <d v="2024-10-29T00:00:00"/>
    <x v="64"/>
    <x v="251"/>
    <n v="22"/>
    <s v="INV03707"/>
    <n v="22"/>
    <n v="75.711124968596565"/>
    <m/>
    <m/>
    <m/>
    <m/>
    <m/>
    <n v="75.504800000000003"/>
    <d v="2023-06-03T00:00:00"/>
    <n v="0"/>
    <n v="0"/>
    <n v="1"/>
    <n v="0"/>
    <n v="0"/>
    <n v="0"/>
    <n v="0"/>
    <x v="1"/>
    <n v="1665.6447493091243"/>
    <n v="1661.1056000000001"/>
    <n v="4.539149309124241"/>
    <n v="4"/>
    <x v="1"/>
    <x v="5"/>
  </r>
  <r>
    <s v="ORD03708"/>
    <d v="2024-06-25T00:00:00"/>
    <x v="671"/>
    <x v="284"/>
    <n v="66"/>
    <s v="INV03708"/>
    <n v="66"/>
    <n v="1032.7408"/>
    <n v="18"/>
    <d v="2025-01-21T00:00:00"/>
    <m/>
    <m/>
    <m/>
    <n v="1032.7408"/>
    <d v="2023-05-31T00:00:00"/>
    <n v="0"/>
    <n v="0"/>
    <n v="0"/>
    <n v="0"/>
    <n v="0"/>
    <n v="1"/>
    <n v="0"/>
    <x v="1"/>
    <n v="68160.892800000001"/>
    <n v="68160.892800000001"/>
    <n v="0"/>
    <n v="2"/>
    <x v="1"/>
    <x v="16"/>
  </r>
  <r>
    <s v="ORD03709"/>
    <d v="2024-12-30T00:00:00"/>
    <x v="770"/>
    <x v="249"/>
    <n v="116"/>
    <s v="INV03709"/>
    <n v="116"/>
    <n v="901.84500000000003"/>
    <m/>
    <m/>
    <m/>
    <m/>
    <m/>
    <n v="901.84500000000003"/>
    <d v="2023-10-17T00:00:00"/>
    <n v="0"/>
    <n v="0"/>
    <n v="0"/>
    <n v="0"/>
    <n v="0"/>
    <n v="0"/>
    <n v="0"/>
    <x v="0"/>
    <n v="104614.02"/>
    <n v="104614.02"/>
    <n v="0"/>
    <n v="0"/>
    <x v="0"/>
    <x v="1"/>
  </r>
  <r>
    <s v="ORD03710"/>
    <d v="2024-01-18T00:00:00"/>
    <x v="57"/>
    <x v="242"/>
    <n v="98"/>
    <s v="INV03710"/>
    <n v="98"/>
    <n v="1166.4765000000002"/>
    <m/>
    <m/>
    <m/>
    <m/>
    <m/>
    <n v="1166.4765000000002"/>
    <d v="2023-07-07T00:00:00"/>
    <n v="0"/>
    <n v="0"/>
    <n v="0"/>
    <n v="0"/>
    <n v="0"/>
    <n v="0"/>
    <n v="0"/>
    <x v="0"/>
    <n v="114314.69700000001"/>
    <n v="114314.69700000001"/>
    <n v="0"/>
    <n v="0"/>
    <x v="0"/>
    <x v="15"/>
  </r>
  <r>
    <s v="ORD03711"/>
    <d v="2024-08-21T00:00:00"/>
    <x v="344"/>
    <x v="64"/>
    <n v="95"/>
    <s v="INV03711"/>
    <n v="95"/>
    <n v="1129.6166000000001"/>
    <m/>
    <m/>
    <m/>
    <m/>
    <m/>
    <n v="1129.6166000000001"/>
    <d v="2023-02-03T00:00:00"/>
    <n v="0"/>
    <n v="0"/>
    <n v="0"/>
    <n v="0"/>
    <n v="0"/>
    <n v="0"/>
    <n v="0"/>
    <x v="0"/>
    <n v="107313.577"/>
    <n v="107313.577"/>
    <n v="0"/>
    <n v="0"/>
    <x v="0"/>
    <x v="22"/>
  </r>
  <r>
    <s v="ORD03712"/>
    <d v="2023-09-03T00:00:00"/>
    <x v="764"/>
    <x v="128"/>
    <n v="55"/>
    <s v="INV03712"/>
    <n v="55"/>
    <n v="440.38799999999998"/>
    <m/>
    <m/>
    <m/>
    <m/>
    <m/>
    <n v="440.38799999999998"/>
    <d v="2023-03-31T00:00:00"/>
    <n v="0"/>
    <n v="0"/>
    <n v="0"/>
    <n v="0"/>
    <n v="0"/>
    <n v="0"/>
    <n v="0"/>
    <x v="0"/>
    <n v="24221.34"/>
    <n v="24221.34"/>
    <n v="0"/>
    <n v="0"/>
    <x v="0"/>
    <x v="18"/>
  </r>
  <r>
    <s v="ORD03713"/>
    <d v="2023-12-21T00:00:00"/>
    <x v="626"/>
    <x v="203"/>
    <n v="47"/>
    <s v="INV03713"/>
    <n v="47"/>
    <n v="60.239800000000002"/>
    <m/>
    <m/>
    <m/>
    <m/>
    <m/>
    <n v="60.239800000000002"/>
    <d v="2023-08-07T00:00:00"/>
    <n v="0"/>
    <n v="0"/>
    <n v="0"/>
    <n v="0"/>
    <n v="0"/>
    <n v="0"/>
    <n v="0"/>
    <x v="0"/>
    <n v="2831.2706000000003"/>
    <n v="2831.2706000000003"/>
    <n v="0"/>
    <n v="0"/>
    <x v="0"/>
    <x v="20"/>
  </r>
  <r>
    <s v="ORD03714"/>
    <d v="2024-05-03T00:00:00"/>
    <x v="525"/>
    <x v="217"/>
    <n v="146"/>
    <s v="INV03714"/>
    <n v="146"/>
    <n v="189.52920000000003"/>
    <m/>
    <m/>
    <m/>
    <m/>
    <m/>
    <n v="189.52920000000003"/>
    <d v="2023-05-24T00:00:00"/>
    <n v="0"/>
    <n v="0"/>
    <n v="0"/>
    <n v="0"/>
    <n v="0"/>
    <n v="0"/>
    <n v="0"/>
    <x v="0"/>
    <n v="27671.263200000005"/>
    <n v="27671.263200000005"/>
    <n v="0"/>
    <n v="0"/>
    <x v="0"/>
    <x v="13"/>
  </r>
  <r>
    <s v="ORD03715"/>
    <d v="2024-09-09T00:00:00"/>
    <x v="217"/>
    <x v="186"/>
    <n v="120"/>
    <s v="INV03715"/>
    <n v="120"/>
    <n v="589.66600000000005"/>
    <m/>
    <m/>
    <m/>
    <m/>
    <m/>
    <n v="589.66600000000005"/>
    <d v="2023-10-19T00:00:00"/>
    <n v="0"/>
    <n v="0"/>
    <n v="0"/>
    <n v="0"/>
    <n v="0"/>
    <n v="0"/>
    <n v="0"/>
    <x v="0"/>
    <n v="70759.920000000013"/>
    <n v="70759.920000000013"/>
    <n v="0"/>
    <n v="0"/>
    <x v="0"/>
    <x v="2"/>
  </r>
  <r>
    <s v="ORD03716"/>
    <d v="2023-11-12T00:00:00"/>
    <x v="601"/>
    <x v="151"/>
    <n v="153"/>
    <s v="INV03716"/>
    <n v="153"/>
    <n v="212.73140000000001"/>
    <m/>
    <m/>
    <m/>
    <m/>
    <m/>
    <n v="212.73140000000001"/>
    <d v="2023-08-06T00:00:00"/>
    <n v="0"/>
    <n v="0"/>
    <n v="0"/>
    <n v="0"/>
    <n v="0"/>
    <n v="0"/>
    <n v="0"/>
    <x v="0"/>
    <n v="32547.904200000001"/>
    <n v="32547.904200000001"/>
    <n v="0"/>
    <n v="0"/>
    <x v="0"/>
    <x v="0"/>
  </r>
  <r>
    <s v="ORD03717"/>
    <d v="2024-04-24T00:00:00"/>
    <x v="207"/>
    <x v="38"/>
    <n v="192"/>
    <s v="INV03717"/>
    <n v="192"/>
    <n v="454.98379999999997"/>
    <m/>
    <m/>
    <m/>
    <m/>
    <m/>
    <n v="454.98379999999997"/>
    <d v="2023-03-26T00:00:00"/>
    <n v="0"/>
    <n v="0"/>
    <n v="0"/>
    <n v="0"/>
    <n v="0"/>
    <n v="0"/>
    <n v="0"/>
    <x v="0"/>
    <n v="87356.889599999995"/>
    <n v="87356.889599999995"/>
    <n v="0"/>
    <n v="0"/>
    <x v="0"/>
    <x v="9"/>
  </r>
  <r>
    <s v="ORD03718"/>
    <d v="2023-10-13T00:00:00"/>
    <x v="264"/>
    <x v="180"/>
    <n v="107"/>
    <s v="INV03718"/>
    <n v="107"/>
    <n v="977.22280000000001"/>
    <m/>
    <m/>
    <m/>
    <m/>
    <m/>
    <n v="977.22280000000001"/>
    <d v="2023-02-27T00:00:00"/>
    <n v="0"/>
    <n v="0"/>
    <n v="0"/>
    <n v="0"/>
    <n v="0"/>
    <n v="0"/>
    <n v="0"/>
    <x v="0"/>
    <n v="104562.83960000001"/>
    <n v="104562.83960000001"/>
    <n v="0"/>
    <n v="0"/>
    <x v="0"/>
    <x v="19"/>
  </r>
  <r>
    <s v="ORD03719"/>
    <d v="2024-03-04T00:00:00"/>
    <x v="361"/>
    <x v="146"/>
    <n v="45"/>
    <s v="INV03719"/>
    <n v="45"/>
    <n v="428.46220000000005"/>
    <n v="3"/>
    <d v="2024-07-18T00:00:00"/>
    <m/>
    <m/>
    <m/>
    <n v="428.46220000000005"/>
    <d v="2023-06-25T00:00:00"/>
    <n v="0"/>
    <n v="0"/>
    <n v="0"/>
    <n v="0"/>
    <n v="0"/>
    <n v="1"/>
    <n v="0"/>
    <x v="1"/>
    <n v="19280.799000000003"/>
    <n v="19280.799000000003"/>
    <n v="0"/>
    <n v="2"/>
    <x v="1"/>
    <x v="6"/>
  </r>
  <r>
    <s v="ORD03720"/>
    <d v="2024-09-27T00:00:00"/>
    <x v="770"/>
    <x v="193"/>
    <n v="27"/>
    <s v="INV03720"/>
    <n v="27"/>
    <n v="1030.7952"/>
    <m/>
    <m/>
    <m/>
    <m/>
    <m/>
    <n v="1030.7952"/>
    <d v="2023-08-16T00:00:00"/>
    <n v="0"/>
    <n v="0"/>
    <n v="0"/>
    <n v="0"/>
    <n v="0"/>
    <n v="0"/>
    <n v="0"/>
    <x v="0"/>
    <n v="27831.470400000002"/>
    <n v="27831.470400000002"/>
    <n v="0"/>
    <n v="0"/>
    <x v="0"/>
    <x v="2"/>
  </r>
  <r>
    <s v="ORD03721"/>
    <d v="2023-03-26T00:00:00"/>
    <x v="549"/>
    <x v="151"/>
    <n v="96"/>
    <s v="INV03721"/>
    <n v="96"/>
    <n v="200.69"/>
    <m/>
    <m/>
    <m/>
    <m/>
    <m/>
    <n v="200.69"/>
    <d v="2022-02-24T00:00:00"/>
    <n v="0"/>
    <n v="0"/>
    <n v="0"/>
    <n v="0"/>
    <n v="0"/>
    <n v="0"/>
    <n v="0"/>
    <x v="0"/>
    <n v="19266.239999999998"/>
    <n v="19266.239999999998"/>
    <n v="0"/>
    <n v="0"/>
    <x v="0"/>
    <x v="17"/>
  </r>
  <r>
    <s v="ORD03722"/>
    <d v="2023-12-02T00:00:00"/>
    <x v="120"/>
    <x v="213"/>
    <n v="75"/>
    <s v="INV03722"/>
    <n v="75"/>
    <n v="872.7808"/>
    <m/>
    <m/>
    <m/>
    <m/>
    <m/>
    <n v="872.7808"/>
    <d v="2023-10-26T00:00:00"/>
    <n v="0"/>
    <n v="0"/>
    <n v="0"/>
    <n v="0"/>
    <n v="0"/>
    <n v="0"/>
    <n v="0"/>
    <x v="0"/>
    <n v="65458.559999999998"/>
    <n v="65458.559999999998"/>
    <n v="0"/>
    <n v="0"/>
    <x v="0"/>
    <x v="20"/>
  </r>
  <r>
    <s v="ORD03723"/>
    <d v="2024-02-25T00:00:00"/>
    <x v="492"/>
    <x v="3"/>
    <n v="36"/>
    <s v="INV03723"/>
    <n v="36"/>
    <n v="849.43949999999995"/>
    <n v="36"/>
    <d v="2024-05-07T00:00:00"/>
    <m/>
    <m/>
    <m/>
    <n v="849.43949999999995"/>
    <d v="2023-07-07T00:00:00"/>
    <n v="0"/>
    <n v="0"/>
    <n v="0"/>
    <n v="0"/>
    <n v="0"/>
    <n v="1"/>
    <n v="0"/>
    <x v="1"/>
    <n v="30579.822"/>
    <n v="30579.822"/>
    <n v="0"/>
    <n v="2"/>
    <x v="1"/>
    <x v="3"/>
  </r>
  <r>
    <s v="ORD03724"/>
    <d v="2024-02-25T00:00:00"/>
    <x v="1"/>
    <x v="68"/>
    <n v="178"/>
    <s v="INV03724"/>
    <n v="178"/>
    <n v="168.12909999999999"/>
    <m/>
    <m/>
    <m/>
    <m/>
    <m/>
    <n v="168.12909999999999"/>
    <d v="2023-03-28T00:00:00"/>
    <n v="0"/>
    <n v="0"/>
    <n v="0"/>
    <n v="0"/>
    <n v="0"/>
    <n v="0"/>
    <n v="0"/>
    <x v="0"/>
    <n v="29926.979799999997"/>
    <n v="29926.979799999997"/>
    <n v="0"/>
    <n v="0"/>
    <x v="0"/>
    <x v="3"/>
  </r>
  <r>
    <s v="ORD03725"/>
    <d v="2023-06-13T00:00:00"/>
    <x v="349"/>
    <x v="235"/>
    <n v="58"/>
    <s v="INV03725"/>
    <n v="58"/>
    <n v="708.51900000000001"/>
    <m/>
    <m/>
    <m/>
    <m/>
    <m/>
    <n v="708.51900000000001"/>
    <d v="2023-05-17T00:00:00"/>
    <n v="0"/>
    <n v="0"/>
    <n v="0"/>
    <n v="0"/>
    <n v="0"/>
    <n v="0"/>
    <n v="0"/>
    <x v="0"/>
    <n v="41094.101999999999"/>
    <n v="41094.101999999999"/>
    <n v="0"/>
    <n v="0"/>
    <x v="0"/>
    <x v="14"/>
  </r>
  <r>
    <s v="ORD03726"/>
    <d v="2024-02-15T00:00:00"/>
    <x v="165"/>
    <x v="255"/>
    <n v="73"/>
    <s v="INV03726"/>
    <n v="73"/>
    <n v="1178.6880000000001"/>
    <m/>
    <m/>
    <m/>
    <m/>
    <m/>
    <n v="1178.6880000000001"/>
    <d v="2023-01-04T00:00:00"/>
    <n v="0"/>
    <n v="0"/>
    <n v="0"/>
    <n v="0"/>
    <n v="0"/>
    <n v="0"/>
    <n v="0"/>
    <x v="0"/>
    <n v="86044.224000000002"/>
    <n v="86044.224000000002"/>
    <n v="0"/>
    <n v="0"/>
    <x v="0"/>
    <x v="3"/>
  </r>
  <r>
    <s v="ORD03727"/>
    <d v="2024-08-20T00:00:00"/>
    <x v="409"/>
    <x v="83"/>
    <n v="72"/>
    <s v="INV03727"/>
    <n v="72"/>
    <n v="1157.6343999999999"/>
    <m/>
    <m/>
    <m/>
    <m/>
    <m/>
    <n v="1157.6343999999999"/>
    <d v="2023-02-02T00:00:00"/>
    <n v="0"/>
    <n v="0"/>
    <n v="0"/>
    <n v="0"/>
    <n v="0"/>
    <n v="0"/>
    <n v="0"/>
    <x v="0"/>
    <n v="83349.676799999987"/>
    <n v="83349.676799999987"/>
    <n v="0"/>
    <n v="0"/>
    <x v="0"/>
    <x v="22"/>
  </r>
  <r>
    <s v="ORD03728"/>
    <d v="2023-06-17T00:00:00"/>
    <x v="218"/>
    <x v="217"/>
    <n v="7"/>
    <s v="INV03728"/>
    <n v="7"/>
    <n v="189.52920000000003"/>
    <m/>
    <m/>
    <m/>
    <m/>
    <m/>
    <n v="189.52920000000003"/>
    <d v="2023-05-24T00:00:00"/>
    <n v="0"/>
    <n v="0"/>
    <n v="0"/>
    <n v="0"/>
    <n v="0"/>
    <n v="0"/>
    <n v="0"/>
    <x v="0"/>
    <n v="1326.7044000000003"/>
    <n v="1326.7044000000003"/>
    <n v="0"/>
    <n v="0"/>
    <x v="0"/>
    <x v="14"/>
  </r>
  <r>
    <s v="ORD03729"/>
    <d v="2023-11-22T00:00:00"/>
    <x v="751"/>
    <x v="268"/>
    <n v="62"/>
    <s v="INV03729"/>
    <n v="62"/>
    <n v="1119.27"/>
    <m/>
    <m/>
    <m/>
    <m/>
    <m/>
    <n v="1119.27"/>
    <d v="2023-07-20T00:00:00"/>
    <n v="0"/>
    <n v="0"/>
    <n v="0"/>
    <n v="0"/>
    <n v="0"/>
    <n v="0"/>
    <n v="0"/>
    <x v="0"/>
    <n v="69394.740000000005"/>
    <n v="69394.740000000005"/>
    <n v="0"/>
    <n v="0"/>
    <x v="0"/>
    <x v="0"/>
  </r>
  <r>
    <s v="ORD03730"/>
    <d v="2023-01-08T00:00:00"/>
    <x v="466"/>
    <x v="104"/>
    <n v="112"/>
    <s v="INV03730"/>
    <n v="112"/>
    <n v="916.35"/>
    <m/>
    <m/>
    <m/>
    <m/>
    <m/>
    <n v="916.35"/>
    <d v="2022-02-24T00:00:00"/>
    <n v="0"/>
    <n v="0"/>
    <n v="0"/>
    <n v="0"/>
    <n v="0"/>
    <n v="0"/>
    <n v="0"/>
    <x v="0"/>
    <n v="102631.2"/>
    <n v="102631.2"/>
    <n v="0"/>
    <n v="0"/>
    <x v="0"/>
    <x v="8"/>
  </r>
  <r>
    <s v="ORD03731"/>
    <d v="2023-03-16T00:00:00"/>
    <x v="600"/>
    <x v="243"/>
    <n v="160"/>
    <s v="INV03731"/>
    <n v="160"/>
    <n v="185.67840000000001"/>
    <m/>
    <m/>
    <m/>
    <m/>
    <m/>
    <n v="185.67840000000001"/>
    <d v="2022-09-04T00:00:00"/>
    <n v="0"/>
    <n v="0"/>
    <n v="0"/>
    <n v="0"/>
    <n v="0"/>
    <n v="0"/>
    <n v="0"/>
    <x v="0"/>
    <n v="29708.544000000002"/>
    <n v="29708.544000000002"/>
    <n v="0"/>
    <n v="0"/>
    <x v="0"/>
    <x v="17"/>
  </r>
  <r>
    <s v="ORD03732"/>
    <d v="2023-09-11T00:00:00"/>
    <x v="262"/>
    <x v="131"/>
    <n v="11"/>
    <s v="INV03732"/>
    <n v="11"/>
    <n v="741.88620000000003"/>
    <m/>
    <m/>
    <m/>
    <m/>
    <m/>
    <n v="741.88620000000003"/>
    <d v="2023-01-04T00:00:00"/>
    <n v="0"/>
    <n v="0"/>
    <n v="0"/>
    <n v="0"/>
    <n v="0"/>
    <n v="0"/>
    <n v="0"/>
    <x v="0"/>
    <n v="8160.7482"/>
    <n v="8160.7482"/>
    <n v="0"/>
    <n v="0"/>
    <x v="0"/>
    <x v="18"/>
  </r>
  <r>
    <s v="ORD03733"/>
    <d v="2023-08-06T00:00:00"/>
    <x v="284"/>
    <x v="183"/>
    <n v="97"/>
    <s v="INV03733"/>
    <n v="97"/>
    <n v="624.37260000000003"/>
    <n v="3"/>
    <d v="2023-11-07T00:00:00"/>
    <m/>
    <m/>
    <m/>
    <n v="624.37260000000003"/>
    <d v="2023-01-06T00:00:00"/>
    <n v="0"/>
    <n v="0"/>
    <n v="0"/>
    <n v="0"/>
    <n v="0"/>
    <n v="1"/>
    <n v="0"/>
    <x v="1"/>
    <n v="60564.142200000002"/>
    <n v="60564.142200000002"/>
    <n v="0"/>
    <n v="2"/>
    <x v="1"/>
    <x v="12"/>
  </r>
  <r>
    <s v="ORD03734"/>
    <d v="2024-02-07T00:00:00"/>
    <x v="788"/>
    <x v="189"/>
    <n v="10"/>
    <s v="INV03734"/>
    <n v="10"/>
    <n v="75.847200000000001"/>
    <n v="10"/>
    <d v="2023-11-18T00:00:00"/>
    <m/>
    <m/>
    <m/>
    <n v="75.847200000000001"/>
    <d v="2023-06-05T00:00:00"/>
    <n v="0"/>
    <n v="0"/>
    <n v="0"/>
    <n v="0"/>
    <n v="0"/>
    <n v="0"/>
    <n v="0"/>
    <x v="0"/>
    <n v="758.47199999999998"/>
    <n v="758.47199999999998"/>
    <n v="0"/>
    <n v="0"/>
    <x v="0"/>
    <x v="3"/>
  </r>
  <r>
    <s v="ORD03735"/>
    <d v="2023-05-10T00:00:00"/>
    <x v="71"/>
    <x v="172"/>
    <n v="132"/>
    <s v="INV03735"/>
    <n v="132"/>
    <n v="370.82850000000002"/>
    <n v="1"/>
    <d v="2023-03-18T00:00:00"/>
    <m/>
    <m/>
    <m/>
    <n v="370.82850000000002"/>
    <d v="2023-03-01T00:00:00"/>
    <n v="0"/>
    <n v="0"/>
    <n v="0"/>
    <n v="0"/>
    <n v="0"/>
    <n v="0"/>
    <n v="0"/>
    <x v="0"/>
    <n v="48949.362000000001"/>
    <n v="48949.362000000001"/>
    <n v="0"/>
    <n v="0"/>
    <x v="0"/>
    <x v="7"/>
  </r>
  <r>
    <s v="ORD03736"/>
    <d v="2024-05-21T00:00:00"/>
    <x v="262"/>
    <x v="36"/>
    <n v="101"/>
    <s v="INV03736"/>
    <n v="101"/>
    <n v="415.70589999999999"/>
    <m/>
    <m/>
    <m/>
    <m/>
    <m/>
    <n v="415.70589999999999"/>
    <d v="2023-03-04T00:00:00"/>
    <n v="0"/>
    <n v="0"/>
    <n v="0"/>
    <n v="0"/>
    <n v="0"/>
    <n v="0"/>
    <n v="0"/>
    <x v="0"/>
    <n v="41986.295899999997"/>
    <n v="41986.295899999997"/>
    <n v="0"/>
    <n v="0"/>
    <x v="0"/>
    <x v="13"/>
  </r>
  <r>
    <s v="ORD03737"/>
    <d v="2023-10-06T00:00:00"/>
    <x v="243"/>
    <x v="244"/>
    <n v="114"/>
    <s v="INV03737"/>
    <n v="114"/>
    <n v="1072.2954"/>
    <m/>
    <m/>
    <m/>
    <m/>
    <m/>
    <n v="1072.2954"/>
    <d v="2023-07-13T00:00:00"/>
    <n v="0"/>
    <n v="0"/>
    <n v="0"/>
    <n v="0"/>
    <n v="0"/>
    <n v="0"/>
    <n v="0"/>
    <x v="0"/>
    <n v="122241.6756"/>
    <n v="122241.6756"/>
    <n v="0"/>
    <n v="0"/>
    <x v="0"/>
    <x v="19"/>
  </r>
  <r>
    <s v="ORD03738"/>
    <d v="2024-03-13T00:00:00"/>
    <x v="593"/>
    <x v="122"/>
    <n v="30"/>
    <s v="INV03738"/>
    <n v="31"/>
    <n v="75.620999999999995"/>
    <m/>
    <m/>
    <m/>
    <m/>
    <m/>
    <n v="75.620999999999995"/>
    <d v="2023-07-01T00:00:00"/>
    <n v="0"/>
    <n v="1"/>
    <n v="0"/>
    <n v="0"/>
    <n v="0"/>
    <n v="0"/>
    <n v="0"/>
    <x v="1"/>
    <n v="2344.2509999999997"/>
    <n v="2268.6299999999997"/>
    <n v="75.621000000000095"/>
    <n v="3"/>
    <x v="1"/>
    <x v="6"/>
  </r>
  <r>
    <s v="ORD03739"/>
    <d v="2023-07-25T00:00:00"/>
    <x v="305"/>
    <x v="238"/>
    <n v="89"/>
    <s v="INV03739"/>
    <n v="89"/>
    <n v="1137.9636"/>
    <m/>
    <m/>
    <m/>
    <m/>
    <m/>
    <n v="1137.9636"/>
    <d v="2023-03-22T00:00:00"/>
    <n v="0"/>
    <n v="0"/>
    <n v="0"/>
    <n v="0"/>
    <n v="0"/>
    <n v="0"/>
    <n v="0"/>
    <x v="0"/>
    <n v="101278.7604"/>
    <n v="101278.7604"/>
    <n v="0"/>
    <n v="0"/>
    <x v="0"/>
    <x v="10"/>
  </r>
  <r>
    <s v="ORD03740"/>
    <d v="2024-11-19T00:00:00"/>
    <x v="301"/>
    <x v="255"/>
    <n v="176"/>
    <s v="INV03740"/>
    <n v="176"/>
    <n v="1178.6880000000001"/>
    <m/>
    <m/>
    <m/>
    <m/>
    <m/>
    <n v="1178.6880000000001"/>
    <d v="2023-01-04T00:00:00"/>
    <n v="0"/>
    <n v="0"/>
    <n v="0"/>
    <n v="0"/>
    <n v="0"/>
    <n v="0"/>
    <n v="0"/>
    <x v="0"/>
    <n v="207449.08800000002"/>
    <n v="207449.08800000002"/>
    <n v="0"/>
    <n v="0"/>
    <x v="0"/>
    <x v="4"/>
  </r>
  <r>
    <s v="ORD03741"/>
    <d v="2024-03-04T00:00:00"/>
    <x v="367"/>
    <x v="265"/>
    <n v="126"/>
    <s v="INV03741"/>
    <n v="126"/>
    <n v="223.6044"/>
    <m/>
    <m/>
    <m/>
    <m/>
    <m/>
    <n v="223.6044"/>
    <d v="2023-06-14T00:00:00"/>
    <n v="0"/>
    <n v="0"/>
    <n v="0"/>
    <n v="0"/>
    <n v="0"/>
    <n v="0"/>
    <n v="0"/>
    <x v="0"/>
    <n v="28174.154399999999"/>
    <n v="28174.154399999999"/>
    <n v="0"/>
    <n v="0"/>
    <x v="0"/>
    <x v="6"/>
  </r>
  <r>
    <s v="ORD03742"/>
    <d v="2024-01-01T00:00:00"/>
    <x v="67"/>
    <x v="272"/>
    <n v="50"/>
    <s v="INV03742"/>
    <n v="50"/>
    <n v="852.46560000000011"/>
    <m/>
    <m/>
    <m/>
    <m/>
    <m/>
    <n v="852.46560000000011"/>
    <d v="2023-03-11T00:00:00"/>
    <n v="0"/>
    <n v="0"/>
    <n v="0"/>
    <n v="0"/>
    <n v="0"/>
    <n v="0"/>
    <n v="0"/>
    <x v="0"/>
    <n v="42623.280000000006"/>
    <n v="42623.280000000006"/>
    <n v="0"/>
    <n v="0"/>
    <x v="0"/>
    <x v="15"/>
  </r>
  <r>
    <s v="ORD03743"/>
    <d v="2024-09-09T00:00:00"/>
    <x v="582"/>
    <x v="50"/>
    <n v="107"/>
    <s v="INV03743"/>
    <n v="107"/>
    <n v="49.450800000000001"/>
    <m/>
    <m/>
    <m/>
    <m/>
    <m/>
    <n v="49.450800000000001"/>
    <d v="2023-08-30T00:00:00"/>
    <n v="0"/>
    <n v="0"/>
    <n v="0"/>
    <n v="0"/>
    <n v="0"/>
    <n v="0"/>
    <n v="0"/>
    <x v="0"/>
    <n v="5291.2356"/>
    <n v="5291.2356"/>
    <n v="0"/>
    <n v="0"/>
    <x v="0"/>
    <x v="2"/>
  </r>
  <r>
    <s v="ORD03744"/>
    <d v="2023-02-11T00:00:00"/>
    <x v="787"/>
    <x v="156"/>
    <n v="100"/>
    <s v="INV03744"/>
    <n v="100"/>
    <n v="408.07569999999998"/>
    <m/>
    <m/>
    <m/>
    <m/>
    <m/>
    <n v="408.07569999999998"/>
    <d v="2022-09-16T00:00:00"/>
    <n v="0"/>
    <n v="0"/>
    <n v="0"/>
    <n v="0"/>
    <n v="0"/>
    <n v="0"/>
    <n v="0"/>
    <x v="0"/>
    <n v="40807.57"/>
    <n v="40807.57"/>
    <n v="0"/>
    <n v="0"/>
    <x v="0"/>
    <x v="11"/>
  </r>
  <r>
    <s v="ORD03745"/>
    <d v="2024-03-27T00:00:00"/>
    <x v="316"/>
    <x v="248"/>
    <n v="91"/>
    <s v="INV03745"/>
    <n v="91"/>
    <n v="226.88399999999999"/>
    <m/>
    <m/>
    <m/>
    <m/>
    <m/>
    <n v="226.88399999999999"/>
    <d v="2023-06-09T00:00:00"/>
    <n v="0"/>
    <n v="0"/>
    <n v="0"/>
    <n v="0"/>
    <n v="0"/>
    <n v="0"/>
    <n v="0"/>
    <x v="0"/>
    <n v="20646.444"/>
    <n v="20646.444"/>
    <n v="0"/>
    <n v="0"/>
    <x v="0"/>
    <x v="6"/>
  </r>
  <r>
    <s v="ORD03746"/>
    <d v="2023-03-08T00:00:00"/>
    <x v="25"/>
    <x v="164"/>
    <n v="154"/>
    <s v="INV03746"/>
    <n v="154"/>
    <n v="709.52"/>
    <m/>
    <m/>
    <m/>
    <m/>
    <m/>
    <n v="709.52"/>
    <d v="2023-01-26T00:00:00"/>
    <n v="0"/>
    <n v="0"/>
    <n v="0"/>
    <n v="0"/>
    <n v="0"/>
    <n v="0"/>
    <n v="0"/>
    <x v="0"/>
    <n v="109266.08"/>
    <n v="109266.08"/>
    <n v="0"/>
    <n v="0"/>
    <x v="0"/>
    <x v="17"/>
  </r>
  <r>
    <s v="ORD03747"/>
    <d v="2024-09-28T00:00:00"/>
    <x v="5"/>
    <x v="121"/>
    <n v="139"/>
    <s v="INV03747"/>
    <n v="139"/>
    <n v="1061.7264"/>
    <m/>
    <m/>
    <m/>
    <m/>
    <m/>
    <n v="1061.7264"/>
    <d v="2023-09-11T00:00:00"/>
    <n v="0"/>
    <n v="0"/>
    <n v="0"/>
    <n v="0"/>
    <n v="0"/>
    <n v="0"/>
    <n v="0"/>
    <x v="0"/>
    <n v="147579.96960000001"/>
    <n v="147579.96960000001"/>
    <n v="0"/>
    <n v="0"/>
    <x v="0"/>
    <x v="2"/>
  </r>
  <r>
    <s v="ORD03748"/>
    <d v="2024-02-28T00:00:00"/>
    <x v="271"/>
    <x v="147"/>
    <n v="70"/>
    <s v="INV03748"/>
    <n v="70"/>
    <n v="1195.6769999999999"/>
    <m/>
    <m/>
    <m/>
    <m/>
    <m/>
    <n v="1195.6769999999999"/>
    <d v="2023-03-25T00:00:00"/>
    <n v="0"/>
    <n v="0"/>
    <n v="0"/>
    <n v="0"/>
    <n v="0"/>
    <n v="0"/>
    <n v="0"/>
    <x v="0"/>
    <n v="83697.39"/>
    <n v="83697.39"/>
    <n v="0"/>
    <n v="0"/>
    <x v="0"/>
    <x v="3"/>
  </r>
  <r>
    <s v="ORD03749"/>
    <d v="2024-09-23T00:00:00"/>
    <x v="375"/>
    <x v="282"/>
    <n v="104"/>
    <s v="INV03749"/>
    <n v="104"/>
    <n v="380.976"/>
    <m/>
    <m/>
    <m/>
    <m/>
    <m/>
    <n v="380.976"/>
    <d v="2023-09-03T00:00:00"/>
    <n v="0"/>
    <n v="0"/>
    <n v="0"/>
    <n v="0"/>
    <n v="0"/>
    <n v="0"/>
    <n v="0"/>
    <x v="0"/>
    <n v="39621.504000000001"/>
    <n v="39621.504000000001"/>
    <n v="0"/>
    <n v="0"/>
    <x v="0"/>
    <x v="2"/>
  </r>
  <r>
    <s v="ORD03750"/>
    <d v="2024-01-11T00:00:00"/>
    <x v="503"/>
    <x v="39"/>
    <n v="53"/>
    <s v="INV03750"/>
    <n v="53"/>
    <n v="862.83822583543179"/>
    <m/>
    <m/>
    <m/>
    <m/>
    <m/>
    <n v="862.73640000000012"/>
    <d v="2023-10-24T00:00:00"/>
    <n v="0"/>
    <n v="0"/>
    <n v="1"/>
    <n v="0"/>
    <n v="0"/>
    <n v="0"/>
    <n v="0"/>
    <x v="1"/>
    <n v="45730.425969277887"/>
    <n v="45725.029200000004"/>
    <n v="5.396769277882413"/>
    <n v="4"/>
    <x v="1"/>
    <x v="15"/>
  </r>
  <r>
    <s v="ORD03751"/>
    <d v="2024-05-17T00:00:00"/>
    <x v="723"/>
    <x v="266"/>
    <n v="15"/>
    <s v="INV03751"/>
    <n v="15"/>
    <n v="378.91109999999998"/>
    <m/>
    <m/>
    <m/>
    <m/>
    <m/>
    <n v="378.91109999999998"/>
    <d v="2023-07-10T00:00:00"/>
    <n v="0"/>
    <n v="0"/>
    <n v="0"/>
    <n v="0"/>
    <n v="0"/>
    <n v="0"/>
    <n v="0"/>
    <x v="0"/>
    <n v="5683.6664999999994"/>
    <n v="5683.6664999999994"/>
    <n v="0"/>
    <n v="0"/>
    <x v="0"/>
    <x v="13"/>
  </r>
  <r>
    <s v="ORD03752"/>
    <d v="2024-04-20T00:00:00"/>
    <x v="399"/>
    <x v="299"/>
    <n v="82"/>
    <s v="INV03752"/>
    <n v="82"/>
    <n v="1005.2222"/>
    <m/>
    <m/>
    <m/>
    <m/>
    <m/>
    <n v="1005.2222"/>
    <d v="2023-08-05T00:00:00"/>
    <n v="0"/>
    <n v="0"/>
    <n v="0"/>
    <n v="0"/>
    <n v="0"/>
    <n v="0"/>
    <n v="0"/>
    <x v="0"/>
    <n v="82428.220400000006"/>
    <n v="82428.220400000006"/>
    <n v="0"/>
    <n v="0"/>
    <x v="0"/>
    <x v="9"/>
  </r>
  <r>
    <s v="ORD03753"/>
    <d v="2024-03-02T00:00:00"/>
    <x v="443"/>
    <x v="141"/>
    <n v="55"/>
    <s v="INV03753"/>
    <n v="55"/>
    <n v="785.89"/>
    <m/>
    <m/>
    <m/>
    <m/>
    <m/>
    <n v="785.89"/>
    <d v="2023-03-04T00:00:00"/>
    <n v="0"/>
    <n v="0"/>
    <n v="0"/>
    <n v="0"/>
    <n v="0"/>
    <n v="0"/>
    <n v="0"/>
    <x v="0"/>
    <n v="43223.95"/>
    <n v="43223.95"/>
    <n v="0"/>
    <n v="0"/>
    <x v="0"/>
    <x v="6"/>
  </r>
  <r>
    <s v="ORD03754"/>
    <d v="2023-06-15T00:00:00"/>
    <x v="72"/>
    <x v="101"/>
    <n v="187"/>
    <s v="INV03754"/>
    <n v="187"/>
    <n v="1259.9685000000002"/>
    <m/>
    <m/>
    <m/>
    <m/>
    <m/>
    <n v="1259.9685000000002"/>
    <d v="2022-12-18T00:00:00"/>
    <n v="0"/>
    <n v="0"/>
    <n v="0"/>
    <n v="0"/>
    <n v="0"/>
    <n v="0"/>
    <n v="0"/>
    <x v="0"/>
    <n v="235614.10950000002"/>
    <n v="235614.10950000002"/>
    <n v="0"/>
    <n v="0"/>
    <x v="0"/>
    <x v="14"/>
  </r>
  <r>
    <s v="ORD03755"/>
    <d v="2024-05-30T00:00:00"/>
    <x v="434"/>
    <x v="97"/>
    <n v="105"/>
    <s v="INV03755"/>
    <n v="105"/>
    <n v="664.57040000000006"/>
    <m/>
    <m/>
    <m/>
    <m/>
    <m/>
    <n v="664.57040000000006"/>
    <d v="2023-05-20T00:00:00"/>
    <n v="0"/>
    <n v="0"/>
    <n v="0"/>
    <n v="0"/>
    <n v="0"/>
    <n v="0"/>
    <n v="0"/>
    <x v="0"/>
    <n v="69779.892000000007"/>
    <n v="69779.892000000007"/>
    <n v="0"/>
    <n v="0"/>
    <x v="0"/>
    <x v="13"/>
  </r>
  <r>
    <s v="ORD03756"/>
    <d v="2023-09-10T00:00:00"/>
    <x v="376"/>
    <x v="201"/>
    <n v="196"/>
    <s v="INV03756"/>
    <n v="196"/>
    <n v="414.65559999999999"/>
    <m/>
    <m/>
    <m/>
    <m/>
    <m/>
    <n v="414.65559999999999"/>
    <d v="2022-12-29T00:00:00"/>
    <n v="0"/>
    <n v="0"/>
    <n v="0"/>
    <n v="0"/>
    <n v="0"/>
    <n v="0"/>
    <n v="0"/>
    <x v="0"/>
    <n v="81272.497600000002"/>
    <n v="81272.497600000002"/>
    <n v="0"/>
    <n v="0"/>
    <x v="0"/>
    <x v="18"/>
  </r>
  <r>
    <s v="ORD03757"/>
    <d v="2023-10-23T00:00:00"/>
    <x v="767"/>
    <x v="139"/>
    <n v="91"/>
    <s v="INV03757"/>
    <n v="91"/>
    <n v="383.63"/>
    <m/>
    <m/>
    <m/>
    <m/>
    <m/>
    <n v="383.63"/>
    <d v="2023-10-01T00:00:00"/>
    <n v="0"/>
    <n v="0"/>
    <n v="0"/>
    <n v="0"/>
    <n v="0"/>
    <n v="0"/>
    <n v="0"/>
    <x v="0"/>
    <n v="34910.33"/>
    <n v="34910.33"/>
    <n v="0"/>
    <n v="0"/>
    <x v="0"/>
    <x v="19"/>
  </r>
  <r>
    <s v="ORD03758"/>
    <d v="2023-03-14T00:00:00"/>
    <x v="701"/>
    <x v="256"/>
    <n v="94"/>
    <s v="INV03758"/>
    <n v="94"/>
    <n v="717.0471"/>
    <m/>
    <m/>
    <m/>
    <m/>
    <m/>
    <n v="717.0471"/>
    <d v="2023-02-27T00:00:00"/>
    <n v="0"/>
    <n v="0"/>
    <n v="0"/>
    <n v="0"/>
    <n v="0"/>
    <n v="0"/>
    <n v="0"/>
    <x v="0"/>
    <n v="67402.4274"/>
    <n v="67402.4274"/>
    <n v="0"/>
    <n v="0"/>
    <x v="0"/>
    <x v="17"/>
  </r>
  <r>
    <s v="ORD03759"/>
    <d v="2023-09-29T00:00:00"/>
    <x v="455"/>
    <x v="166"/>
    <n v="36"/>
    <s v="INV03759"/>
    <n v="36"/>
    <n v="156.37459999999999"/>
    <m/>
    <m/>
    <m/>
    <m/>
    <m/>
    <n v="156.37459999999999"/>
    <d v="2023-06-13T00:00:00"/>
    <n v="0"/>
    <n v="0"/>
    <n v="0"/>
    <n v="0"/>
    <n v="0"/>
    <n v="0"/>
    <n v="0"/>
    <x v="0"/>
    <n v="5629.4856"/>
    <n v="5629.4856"/>
    <n v="0"/>
    <n v="0"/>
    <x v="0"/>
    <x v="18"/>
  </r>
  <r>
    <s v="ORD03760"/>
    <d v="2024-01-04T00:00:00"/>
    <x v="287"/>
    <x v="261"/>
    <n v="196"/>
    <s v="INV03760"/>
    <n v="196"/>
    <n v="994.85640000000001"/>
    <m/>
    <m/>
    <m/>
    <m/>
    <m/>
    <n v="994.85640000000001"/>
    <d v="2023-08-11T00:00:00"/>
    <n v="0"/>
    <n v="0"/>
    <n v="0"/>
    <n v="0"/>
    <n v="0"/>
    <n v="0"/>
    <n v="0"/>
    <x v="0"/>
    <n v="194991.85440000001"/>
    <n v="194991.85440000001"/>
    <n v="0"/>
    <n v="0"/>
    <x v="0"/>
    <x v="15"/>
  </r>
  <r>
    <s v="ORD03761"/>
    <d v="2024-08-24T00:00:00"/>
    <x v="417"/>
    <x v="285"/>
    <n v="69"/>
    <s v="INV03761"/>
    <n v="69"/>
    <n v="1037.4366"/>
    <m/>
    <m/>
    <m/>
    <m/>
    <m/>
    <n v="1037.4366"/>
    <d v="2023-09-29T00:00:00"/>
    <n v="0"/>
    <n v="0"/>
    <n v="0"/>
    <n v="0"/>
    <n v="0"/>
    <n v="0"/>
    <n v="0"/>
    <x v="0"/>
    <n v="71583.125400000004"/>
    <n v="71583.125400000004"/>
    <n v="0"/>
    <n v="0"/>
    <x v="0"/>
    <x v="22"/>
  </r>
  <r>
    <s v="ORD03762"/>
    <d v="2024-03-27T00:00:00"/>
    <x v="540"/>
    <x v="114"/>
    <n v="6"/>
    <s v="INV03762"/>
    <n v="6"/>
    <n v="945.38850000000002"/>
    <m/>
    <m/>
    <m/>
    <m/>
    <m/>
    <n v="945.38850000000002"/>
    <d v="2023-05-01T00:00:00"/>
    <n v="0"/>
    <n v="0"/>
    <n v="0"/>
    <n v="0"/>
    <n v="0"/>
    <n v="0"/>
    <n v="0"/>
    <x v="0"/>
    <n v="5672.3310000000001"/>
    <n v="5672.3310000000001"/>
    <n v="0"/>
    <n v="0"/>
    <x v="0"/>
    <x v="6"/>
  </r>
  <r>
    <s v="ORD03763"/>
    <d v="2024-11-12T00:00:00"/>
    <x v="770"/>
    <x v="251"/>
    <n v="168"/>
    <s v="INV03763"/>
    <n v="168"/>
    <n v="75.504800000000003"/>
    <m/>
    <m/>
    <m/>
    <m/>
    <m/>
    <n v="75.504800000000003"/>
    <d v="2023-06-03T00:00:00"/>
    <n v="0"/>
    <n v="0"/>
    <n v="0"/>
    <n v="0"/>
    <n v="0"/>
    <n v="0"/>
    <n v="0"/>
    <x v="0"/>
    <n v="12684.806400000001"/>
    <n v="12684.806400000001"/>
    <n v="0"/>
    <n v="0"/>
    <x v="0"/>
    <x v="4"/>
  </r>
  <r>
    <s v="ORD03764"/>
    <d v="2023-04-11T00:00:00"/>
    <x v="102"/>
    <x v="34"/>
    <n v="64"/>
    <s v="INV03764"/>
    <n v="64"/>
    <n v="397.19560000000001"/>
    <m/>
    <m/>
    <m/>
    <m/>
    <m/>
    <n v="397.19560000000001"/>
    <d v="2023-01-06T00:00:00"/>
    <n v="0"/>
    <n v="0"/>
    <n v="0"/>
    <n v="0"/>
    <n v="0"/>
    <n v="0"/>
    <n v="0"/>
    <x v="0"/>
    <n v="25420.518400000001"/>
    <n v="25420.518400000001"/>
    <n v="0"/>
    <n v="0"/>
    <x v="0"/>
    <x v="23"/>
  </r>
  <r>
    <s v="ORD03765"/>
    <d v="2024-10-11T00:00:00"/>
    <x v="241"/>
    <x v="226"/>
    <n v="72"/>
    <s v="INV03765"/>
    <n v="72"/>
    <n v="1067.6925000000001"/>
    <m/>
    <m/>
    <m/>
    <m/>
    <m/>
    <n v="1067.6925000000001"/>
    <d v="2023-03-14T00:00:00"/>
    <n v="0"/>
    <n v="0"/>
    <n v="0"/>
    <n v="0"/>
    <n v="0"/>
    <n v="0"/>
    <n v="0"/>
    <x v="0"/>
    <n v="76873.860000000015"/>
    <n v="76873.860000000015"/>
    <n v="0"/>
    <n v="0"/>
    <x v="0"/>
    <x v="5"/>
  </r>
  <r>
    <s v="ORD03766"/>
    <d v="2024-08-27T00:00:00"/>
    <x v="473"/>
    <x v="17"/>
    <n v="32"/>
    <s v="INV03766"/>
    <n v="32"/>
    <n v="761.50400000000002"/>
    <m/>
    <m/>
    <m/>
    <m/>
    <m/>
    <n v="761.50400000000002"/>
    <d v="2023-08-23T00:00:00"/>
    <n v="0"/>
    <n v="0"/>
    <n v="0"/>
    <n v="0"/>
    <n v="0"/>
    <n v="0"/>
    <n v="0"/>
    <x v="0"/>
    <n v="24368.128000000001"/>
    <n v="24368.128000000001"/>
    <n v="0"/>
    <n v="0"/>
    <x v="0"/>
    <x v="22"/>
  </r>
  <r>
    <s v="ORD03767"/>
    <d v="2023-08-05T00:00:00"/>
    <x v="303"/>
    <x v="226"/>
    <n v="130"/>
    <s v="INV03767"/>
    <n v="130"/>
    <n v="1067.6925000000001"/>
    <m/>
    <m/>
    <m/>
    <m/>
    <m/>
    <n v="1067.6925000000001"/>
    <d v="2023-03-14T00:00:00"/>
    <n v="0"/>
    <n v="0"/>
    <n v="0"/>
    <n v="0"/>
    <n v="0"/>
    <n v="0"/>
    <n v="0"/>
    <x v="0"/>
    <n v="138800.02500000002"/>
    <n v="138800.02500000002"/>
    <n v="0"/>
    <n v="0"/>
    <x v="0"/>
    <x v="12"/>
  </r>
  <r>
    <s v="ORD03768"/>
    <d v="2023-10-09T00:00:00"/>
    <x v="447"/>
    <x v="12"/>
    <n v="133"/>
    <s v="INV03768"/>
    <n v="133"/>
    <n v="725.50320000000011"/>
    <n v="7"/>
    <d v="2023-08-01T00:00:00"/>
    <m/>
    <m/>
    <m/>
    <n v="725.50320000000011"/>
    <d v="2022-10-24T00:00:00"/>
    <n v="0"/>
    <n v="0"/>
    <n v="0"/>
    <n v="0"/>
    <n v="0"/>
    <n v="0"/>
    <n v="0"/>
    <x v="0"/>
    <n v="96491.925600000017"/>
    <n v="96491.925600000017"/>
    <n v="0"/>
    <n v="0"/>
    <x v="0"/>
    <x v="19"/>
  </r>
  <r>
    <s v="ORD03769"/>
    <d v="2023-03-28T00:00:00"/>
    <x v="692"/>
    <x v="32"/>
    <n v="37"/>
    <s v="INV03769"/>
    <n v="37"/>
    <n v="973.43799999999999"/>
    <m/>
    <m/>
    <m/>
    <m/>
    <m/>
    <n v="973.43799999999999"/>
    <d v="2023-03-26T00:00:00"/>
    <n v="0"/>
    <n v="0"/>
    <n v="0"/>
    <n v="0"/>
    <n v="0"/>
    <n v="0"/>
    <n v="0"/>
    <x v="0"/>
    <n v="36017.205999999998"/>
    <n v="36017.205999999998"/>
    <n v="0"/>
    <n v="0"/>
    <x v="0"/>
    <x v="17"/>
  </r>
  <r>
    <s v="ORD03770"/>
    <d v="2024-07-18T00:00:00"/>
    <x v="261"/>
    <x v="296"/>
    <n v="185"/>
    <s v="INV03770"/>
    <n v="185"/>
    <n v="724.16120000000001"/>
    <m/>
    <m/>
    <m/>
    <m/>
    <m/>
    <n v="724.16120000000001"/>
    <d v="2023-04-28T00:00:00"/>
    <n v="0"/>
    <n v="0"/>
    <n v="0"/>
    <n v="0"/>
    <n v="0"/>
    <n v="0"/>
    <n v="0"/>
    <x v="0"/>
    <n v="133969.82200000001"/>
    <n v="133969.82200000001"/>
    <n v="0"/>
    <n v="0"/>
    <x v="0"/>
    <x v="21"/>
  </r>
  <r>
    <s v="ORD03771"/>
    <d v="2023-11-04T00:00:00"/>
    <x v="469"/>
    <x v="128"/>
    <n v="74"/>
    <s v="INV03771"/>
    <n v="74"/>
    <n v="440.38799999999998"/>
    <n v="17"/>
    <d v="2023-10-15T00:00:00"/>
    <m/>
    <m/>
    <m/>
    <n v="440.38799999999998"/>
    <d v="2023-03-31T00:00:00"/>
    <n v="0"/>
    <n v="0"/>
    <n v="0"/>
    <n v="0"/>
    <n v="0"/>
    <n v="0"/>
    <n v="0"/>
    <x v="0"/>
    <n v="32588.712"/>
    <n v="32588.712"/>
    <n v="0"/>
    <n v="0"/>
    <x v="0"/>
    <x v="0"/>
  </r>
  <r>
    <s v="ORD03772"/>
    <d v="2024-09-13T00:00:00"/>
    <x v="661"/>
    <x v="117"/>
    <n v="145"/>
    <s v="INV03772"/>
    <n v="145"/>
    <n v="214.6182"/>
    <m/>
    <m/>
    <m/>
    <m/>
    <m/>
    <n v="214.6182"/>
    <d v="2023-07-09T00:00:00"/>
    <n v="0"/>
    <n v="0"/>
    <n v="0"/>
    <n v="0"/>
    <n v="0"/>
    <n v="0"/>
    <n v="0"/>
    <x v="0"/>
    <n v="31119.638999999999"/>
    <n v="31119.638999999999"/>
    <n v="0"/>
    <n v="0"/>
    <x v="0"/>
    <x v="2"/>
  </r>
  <r>
    <s v="ORD03773"/>
    <d v="2023-10-11T00:00:00"/>
    <x v="560"/>
    <x v="275"/>
    <n v="13"/>
    <s v="INV03773"/>
    <n v="13"/>
    <n v="797.23339999999996"/>
    <m/>
    <m/>
    <m/>
    <m/>
    <m/>
    <n v="797.23339999999996"/>
    <d v="2023-06-08T00:00:00"/>
    <n v="0"/>
    <n v="0"/>
    <n v="0"/>
    <n v="0"/>
    <n v="0"/>
    <n v="0"/>
    <n v="0"/>
    <x v="0"/>
    <n v="10364.0342"/>
    <n v="10364.0342"/>
    <n v="0"/>
    <n v="0"/>
    <x v="0"/>
    <x v="19"/>
  </r>
  <r>
    <s v="ORD03774"/>
    <d v="2024-12-05T00:00:00"/>
    <x v="657"/>
    <x v="75"/>
    <n v="102"/>
    <s v="INV03774"/>
    <n v="102"/>
    <n v="492.38400000000001"/>
    <m/>
    <m/>
    <m/>
    <m/>
    <m/>
    <n v="492.38400000000001"/>
    <d v="2023-02-09T00:00:00"/>
    <n v="0"/>
    <n v="0"/>
    <n v="0"/>
    <n v="0"/>
    <n v="0"/>
    <n v="0"/>
    <n v="0"/>
    <x v="0"/>
    <n v="50223.168000000005"/>
    <n v="50223.168000000005"/>
    <n v="0"/>
    <n v="0"/>
    <x v="0"/>
    <x v="1"/>
  </r>
  <r>
    <s v="ORD03775"/>
    <d v="2023-05-09T00:00:00"/>
    <x v="784"/>
    <x v="198"/>
    <n v="109"/>
    <s v="INV03775"/>
    <n v="109"/>
    <n v="906.88919999999996"/>
    <m/>
    <m/>
    <m/>
    <m/>
    <m/>
    <n v="906.88919999999996"/>
    <d v="2023-03-06T00:00:00"/>
    <n v="0"/>
    <n v="0"/>
    <n v="0"/>
    <n v="0"/>
    <n v="0"/>
    <n v="0"/>
    <n v="0"/>
    <x v="0"/>
    <n v="98850.9228"/>
    <n v="98850.9228"/>
    <n v="0"/>
    <n v="0"/>
    <x v="0"/>
    <x v="7"/>
  </r>
  <r>
    <s v="ORD03776"/>
    <d v="2023-03-30T00:00:00"/>
    <x v="172"/>
    <x v="135"/>
    <n v="52"/>
    <s v="INV03776"/>
    <n v="52"/>
    <n v="1173.1600000000001"/>
    <m/>
    <m/>
    <m/>
    <m/>
    <m/>
    <n v="1173.1600000000001"/>
    <d v="2022-05-11T00:00:00"/>
    <n v="0"/>
    <n v="0"/>
    <n v="0"/>
    <n v="0"/>
    <n v="0"/>
    <n v="0"/>
    <n v="0"/>
    <x v="0"/>
    <n v="61004.320000000007"/>
    <n v="61004.320000000007"/>
    <n v="0"/>
    <n v="0"/>
    <x v="0"/>
    <x v="17"/>
  </r>
  <r>
    <s v="ORD03777"/>
    <d v="2024-01-04T00:00:00"/>
    <x v="574"/>
    <x v="237"/>
    <n v="61"/>
    <s v="INV03777"/>
    <n v="61"/>
    <n v="620.22550000000001"/>
    <m/>
    <m/>
    <m/>
    <m/>
    <m/>
    <n v="620.22550000000001"/>
    <d v="2023-10-01T00:00:00"/>
    <n v="0"/>
    <n v="0"/>
    <n v="0"/>
    <n v="0"/>
    <n v="0"/>
    <n v="0"/>
    <n v="0"/>
    <x v="0"/>
    <n v="37833.755499999999"/>
    <n v="37833.755499999999"/>
    <n v="0"/>
    <n v="0"/>
    <x v="0"/>
    <x v="15"/>
  </r>
  <r>
    <s v="ORD03778"/>
    <d v="2024-12-12T00:00:00"/>
    <x v="624"/>
    <x v="102"/>
    <n v="26"/>
    <s v="INV03778"/>
    <n v="34"/>
    <n v="1093.1199999999999"/>
    <m/>
    <m/>
    <m/>
    <m/>
    <m/>
    <n v="1093.1199999999999"/>
    <d v="2023-04-19T00:00:00"/>
    <n v="0"/>
    <n v="1"/>
    <n v="0"/>
    <n v="0"/>
    <n v="0"/>
    <n v="0"/>
    <n v="0"/>
    <x v="1"/>
    <n v="37166.079999999994"/>
    <n v="28421.119999999995"/>
    <n v="8744.9599999999991"/>
    <n v="8"/>
    <x v="2"/>
    <x v="1"/>
  </r>
  <r>
    <s v="ORD03779"/>
    <d v="2023-08-29T00:00:00"/>
    <x v="609"/>
    <x v="249"/>
    <n v="11"/>
    <s v="INV03779"/>
    <n v="11"/>
    <n v="833.13300000000004"/>
    <m/>
    <m/>
    <m/>
    <m/>
    <m/>
    <n v="833.13300000000004"/>
    <d v="2022-12-25T00:00:00"/>
    <n v="0"/>
    <n v="0"/>
    <n v="0"/>
    <n v="0"/>
    <n v="0"/>
    <n v="0"/>
    <n v="0"/>
    <x v="0"/>
    <n v="9164.4629999999997"/>
    <n v="9164.4629999999997"/>
    <n v="0"/>
    <n v="0"/>
    <x v="0"/>
    <x v="12"/>
  </r>
  <r>
    <s v="ORD03780"/>
    <d v="2023-12-14T00:00:00"/>
    <x v="763"/>
    <x v="134"/>
    <n v="35"/>
    <s v="INV03780"/>
    <n v="35"/>
    <n v="410.02"/>
    <m/>
    <m/>
    <m/>
    <m/>
    <m/>
    <n v="410.02"/>
    <d v="2023-04-01T00:00:00"/>
    <n v="0"/>
    <n v="0"/>
    <n v="0"/>
    <n v="0"/>
    <n v="0"/>
    <n v="0"/>
    <n v="0"/>
    <x v="0"/>
    <n v="14350.699999999999"/>
    <n v="14350.699999999999"/>
    <n v="0"/>
    <n v="0"/>
    <x v="0"/>
    <x v="20"/>
  </r>
  <r>
    <s v="ORD03781"/>
    <d v="2024-11-08T00:00:00"/>
    <x v="543"/>
    <x v="119"/>
    <n v="165"/>
    <s v="INV03781"/>
    <n v="161"/>
    <n v="88.578000000000003"/>
    <m/>
    <m/>
    <m/>
    <m/>
    <m/>
    <n v="88.578000000000003"/>
    <d v="2023-06-30T00:00:00"/>
    <n v="0"/>
    <n v="1"/>
    <n v="0"/>
    <n v="0"/>
    <n v="0"/>
    <n v="0"/>
    <n v="0"/>
    <x v="1"/>
    <n v="14261.058000000001"/>
    <n v="14615.37"/>
    <n v="-354.3119999999999"/>
    <n v="3"/>
    <x v="1"/>
    <x v="4"/>
  </r>
  <r>
    <s v="ORD03782"/>
    <d v="2024-11-17T00:00:00"/>
    <x v="698"/>
    <x v="179"/>
    <n v="128"/>
    <s v="INV03782"/>
    <n v="128"/>
    <n v="72.63"/>
    <m/>
    <m/>
    <m/>
    <m/>
    <m/>
    <n v="72.63"/>
    <d v="2023-01-30T00:00:00"/>
    <n v="0"/>
    <n v="0"/>
    <n v="0"/>
    <n v="0"/>
    <n v="0"/>
    <n v="0"/>
    <n v="0"/>
    <x v="0"/>
    <n v="9296.64"/>
    <n v="9296.64"/>
    <n v="0"/>
    <n v="0"/>
    <x v="0"/>
    <x v="4"/>
  </r>
  <r>
    <s v="ORD03783"/>
    <d v="2023-10-24T00:00:00"/>
    <x v="264"/>
    <x v="244"/>
    <n v="133"/>
    <s v="INV03783"/>
    <n v="133"/>
    <n v="1072.2954"/>
    <m/>
    <m/>
    <m/>
    <m/>
    <m/>
    <n v="1072.2954"/>
    <d v="2023-07-13T00:00:00"/>
    <n v="0"/>
    <n v="0"/>
    <n v="0"/>
    <n v="0"/>
    <n v="0"/>
    <n v="0"/>
    <n v="0"/>
    <x v="0"/>
    <n v="142615.28820000001"/>
    <n v="142615.28820000001"/>
    <n v="0"/>
    <n v="0"/>
    <x v="0"/>
    <x v="19"/>
  </r>
  <r>
    <s v="ORD03784"/>
    <d v="2023-10-18T00:00:00"/>
    <x v="254"/>
    <x v="101"/>
    <n v="3"/>
    <s v="INV03784"/>
    <n v="3"/>
    <n v="1223.9694"/>
    <n v="20"/>
    <d v="2024-03-18T00:00:00"/>
    <m/>
    <m/>
    <m/>
    <n v="1223.9694"/>
    <d v="2023-08-16T00:00:00"/>
    <n v="0"/>
    <n v="0"/>
    <n v="0"/>
    <n v="0"/>
    <n v="0"/>
    <n v="1"/>
    <n v="1"/>
    <x v="1"/>
    <n v="3671.9081999999999"/>
    <n v="3671.9081999999999"/>
    <n v="0"/>
    <n v="5"/>
    <x v="1"/>
    <x v="19"/>
  </r>
  <r>
    <s v="ORD03785"/>
    <d v="2023-08-06T00:00:00"/>
    <x v="535"/>
    <x v="150"/>
    <n v="113"/>
    <s v="INV03785"/>
    <n v="122"/>
    <n v="1035.2895000000001"/>
    <m/>
    <m/>
    <m/>
    <m/>
    <m/>
    <n v="1035.2895000000001"/>
    <d v="2022-08-31T00:00:00"/>
    <n v="0"/>
    <n v="1"/>
    <n v="0"/>
    <n v="0"/>
    <n v="0"/>
    <n v="0"/>
    <n v="0"/>
    <x v="1"/>
    <n v="126305.31900000002"/>
    <n v="116987.71350000001"/>
    <n v="9317.6055000000051"/>
    <n v="8"/>
    <x v="2"/>
    <x v="12"/>
  </r>
  <r>
    <s v="ORD03786"/>
    <d v="2024-05-02T00:00:00"/>
    <x v="288"/>
    <x v="17"/>
    <n v="11"/>
    <s v="INV03786"/>
    <n v="11"/>
    <n v="761.50400000000002"/>
    <m/>
    <m/>
    <m/>
    <m/>
    <m/>
    <n v="761.50400000000002"/>
    <d v="2023-08-23T00:00:00"/>
    <n v="0"/>
    <n v="0"/>
    <n v="0"/>
    <n v="0"/>
    <n v="0"/>
    <n v="0"/>
    <n v="0"/>
    <x v="0"/>
    <n v="8376.5439999999999"/>
    <n v="8376.5439999999999"/>
    <n v="0"/>
    <n v="0"/>
    <x v="0"/>
    <x v="13"/>
  </r>
  <r>
    <s v="ORD03787"/>
    <d v="2024-10-02T00:00:00"/>
    <x v="670"/>
    <x v="243"/>
    <n v="33"/>
    <s v="INV03787"/>
    <n v="33"/>
    <n v="191.1936"/>
    <m/>
    <m/>
    <m/>
    <m/>
    <m/>
    <n v="191.1936"/>
    <d v="2023-04-10T00:00:00"/>
    <n v="0"/>
    <n v="0"/>
    <n v="0"/>
    <n v="0"/>
    <n v="0"/>
    <n v="0"/>
    <n v="0"/>
    <x v="0"/>
    <n v="6309.3887999999997"/>
    <n v="6309.3887999999997"/>
    <n v="0"/>
    <n v="0"/>
    <x v="0"/>
    <x v="5"/>
  </r>
  <r>
    <s v="ORD03788"/>
    <d v="2023-03-17T00:00:00"/>
    <x v="328"/>
    <x v="249"/>
    <n v="68"/>
    <s v="INV03788"/>
    <n v="67"/>
    <n v="833.13300000000004"/>
    <m/>
    <m/>
    <m/>
    <m/>
    <m/>
    <n v="833.13300000000004"/>
    <d v="2022-12-25T00:00:00"/>
    <n v="0"/>
    <n v="1"/>
    <n v="0"/>
    <n v="0"/>
    <n v="0"/>
    <n v="0"/>
    <n v="0"/>
    <x v="1"/>
    <n v="55819.911"/>
    <n v="56653.044000000002"/>
    <n v="-833.13300000000163"/>
    <n v="8"/>
    <x v="2"/>
    <x v="17"/>
  </r>
  <r>
    <s v="ORD03789"/>
    <d v="2024-06-21T00:00:00"/>
    <x v="553"/>
    <x v="116"/>
    <n v="16"/>
    <s v="INV03789"/>
    <n v="16"/>
    <n v="279.42789999999997"/>
    <m/>
    <m/>
    <m/>
    <m/>
    <m/>
    <n v="279.42789999999997"/>
    <d v="2023-06-26T00:00:00"/>
    <n v="0"/>
    <n v="0"/>
    <n v="0"/>
    <n v="0"/>
    <n v="0"/>
    <n v="0"/>
    <n v="0"/>
    <x v="0"/>
    <n v="4470.8463999999994"/>
    <n v="4470.8463999999994"/>
    <n v="0"/>
    <n v="0"/>
    <x v="0"/>
    <x v="16"/>
  </r>
  <r>
    <s v="ORD03790"/>
    <d v="2024-03-05T00:00:00"/>
    <x v="379"/>
    <x v="271"/>
    <n v="119"/>
    <s v="INV03790"/>
    <n v="119"/>
    <n v="358.33919999999995"/>
    <m/>
    <m/>
    <m/>
    <m/>
    <m/>
    <n v="358.33919999999995"/>
    <d v="2023-07-01T00:00:00"/>
    <n v="0"/>
    <n v="0"/>
    <n v="0"/>
    <n v="0"/>
    <n v="0"/>
    <n v="0"/>
    <n v="0"/>
    <x v="0"/>
    <n v="42642.364799999996"/>
    <n v="42642.364799999996"/>
    <n v="0"/>
    <n v="0"/>
    <x v="0"/>
    <x v="6"/>
  </r>
  <r>
    <s v="ORD03791"/>
    <d v="2024-05-04T00:00:00"/>
    <x v="58"/>
    <x v="6"/>
    <n v="121"/>
    <s v="INV03791"/>
    <n v="121"/>
    <n v="700.93560000000002"/>
    <n v="3"/>
    <d v="2024-12-19T00:00:00"/>
    <m/>
    <m/>
    <m/>
    <n v="700.93560000000002"/>
    <d v="2023-05-31T00:00:00"/>
    <n v="0"/>
    <n v="0"/>
    <n v="0"/>
    <n v="0"/>
    <n v="0"/>
    <n v="1"/>
    <n v="0"/>
    <x v="1"/>
    <n v="84813.207600000009"/>
    <n v="84813.207600000009"/>
    <n v="0"/>
    <n v="2"/>
    <x v="1"/>
    <x v="13"/>
  </r>
  <r>
    <s v="ORD03792"/>
    <d v="2024-06-11T00:00:00"/>
    <x v="204"/>
    <x v="257"/>
    <n v="94"/>
    <s v="INV03792"/>
    <n v="94"/>
    <n v="296.17460000000005"/>
    <m/>
    <m/>
    <m/>
    <m/>
    <m/>
    <n v="296.17460000000005"/>
    <d v="2023-09-25T00:00:00"/>
    <n v="0"/>
    <n v="0"/>
    <n v="0"/>
    <n v="0"/>
    <n v="0"/>
    <n v="0"/>
    <n v="0"/>
    <x v="0"/>
    <n v="27840.412400000005"/>
    <n v="27840.412400000005"/>
    <n v="0"/>
    <n v="0"/>
    <x v="0"/>
    <x v="16"/>
  </r>
  <r>
    <s v="ORD03793"/>
    <d v="2023-03-04T00:00:00"/>
    <x v="782"/>
    <x v="37"/>
    <n v="49"/>
    <s v="INV03793"/>
    <n v="49"/>
    <n v="670.72"/>
    <m/>
    <m/>
    <m/>
    <m/>
    <m/>
    <n v="670.72"/>
    <d v="2022-02-14T00:00:00"/>
    <n v="0"/>
    <n v="0"/>
    <n v="0"/>
    <n v="0"/>
    <n v="0"/>
    <n v="0"/>
    <n v="0"/>
    <x v="0"/>
    <n v="32865.279999999999"/>
    <n v="32865.279999999999"/>
    <n v="0"/>
    <n v="0"/>
    <x v="0"/>
    <x v="17"/>
  </r>
  <r>
    <s v="ORD03794"/>
    <d v="2024-03-08T00:00:00"/>
    <x v="391"/>
    <x v="297"/>
    <n v="52"/>
    <s v="INV03794"/>
    <n v="52"/>
    <n v="275.19450000000001"/>
    <m/>
    <m/>
    <m/>
    <m/>
    <m/>
    <n v="275.19450000000001"/>
    <d v="2023-10-19T00:00:00"/>
    <n v="0"/>
    <n v="0"/>
    <n v="0"/>
    <n v="0"/>
    <n v="0"/>
    <n v="0"/>
    <n v="0"/>
    <x v="0"/>
    <n v="14310.114"/>
    <n v="14310.114"/>
    <n v="0"/>
    <n v="0"/>
    <x v="0"/>
    <x v="6"/>
  </r>
  <r>
    <s v="ORD03795"/>
    <d v="2024-05-19T00:00:00"/>
    <x v="378"/>
    <x v="199"/>
    <n v="99"/>
    <s v="INV03795"/>
    <n v="99"/>
    <n v="334.24649999999997"/>
    <m/>
    <m/>
    <m/>
    <m/>
    <m/>
    <n v="334.24649999999997"/>
    <d v="2023-07-18T00:00:00"/>
    <n v="0"/>
    <n v="0"/>
    <n v="0"/>
    <n v="0"/>
    <n v="0"/>
    <n v="0"/>
    <n v="0"/>
    <x v="0"/>
    <n v="33090.4035"/>
    <n v="33090.4035"/>
    <n v="0"/>
    <n v="0"/>
    <x v="0"/>
    <x v="13"/>
  </r>
  <r>
    <s v="ORD03796"/>
    <d v="2023-05-25T00:00:00"/>
    <x v="297"/>
    <x v="156"/>
    <n v="185"/>
    <s v="INV03796"/>
    <n v="185"/>
    <n v="376.38049999999998"/>
    <m/>
    <m/>
    <m/>
    <m/>
    <m/>
    <n v="376.38049999999998"/>
    <d v="2023-02-27T00:00:00"/>
    <n v="0"/>
    <n v="0"/>
    <n v="0"/>
    <n v="0"/>
    <n v="0"/>
    <n v="0"/>
    <n v="0"/>
    <x v="0"/>
    <n v="69630.392500000002"/>
    <n v="69630.392500000002"/>
    <n v="0"/>
    <n v="0"/>
    <x v="0"/>
    <x v="7"/>
  </r>
  <r>
    <s v="ORD03797"/>
    <d v="2023-07-20T00:00:00"/>
    <x v="688"/>
    <x v="137"/>
    <n v="162"/>
    <s v="INV03797"/>
    <n v="162"/>
    <n v="1026.4637"/>
    <m/>
    <m/>
    <m/>
    <m/>
    <m/>
    <n v="1026.4637"/>
    <d v="2023-02-10T00:00:00"/>
    <n v="0"/>
    <n v="0"/>
    <n v="0"/>
    <n v="0"/>
    <n v="0"/>
    <n v="0"/>
    <n v="0"/>
    <x v="0"/>
    <n v="166287.1194"/>
    <n v="166287.1194"/>
    <n v="0"/>
    <n v="0"/>
    <x v="0"/>
    <x v="10"/>
  </r>
  <r>
    <s v="ORD03798"/>
    <d v="2024-10-21T00:00:00"/>
    <x v="635"/>
    <x v="280"/>
    <n v="19"/>
    <s v="INV03798"/>
    <n v="19"/>
    <n v="511.96"/>
    <m/>
    <m/>
    <m/>
    <m/>
    <m/>
    <n v="511.96"/>
    <d v="2023-05-12T00:00:00"/>
    <n v="0"/>
    <n v="0"/>
    <n v="0"/>
    <n v="0"/>
    <n v="0"/>
    <n v="0"/>
    <n v="0"/>
    <x v="0"/>
    <n v="9727.24"/>
    <n v="9727.24"/>
    <n v="0"/>
    <n v="0"/>
    <x v="0"/>
    <x v="5"/>
  </r>
  <r>
    <s v="ORD03799"/>
    <d v="2023-03-22T00:00:00"/>
    <x v="524"/>
    <x v="241"/>
    <n v="176"/>
    <s v="INV03799"/>
    <n v="176"/>
    <n v="854.74350000000004"/>
    <m/>
    <m/>
    <m/>
    <m/>
    <m/>
    <n v="854.74350000000004"/>
    <d v="2023-02-27T00:00:00"/>
    <n v="0"/>
    <n v="0"/>
    <n v="0"/>
    <n v="0"/>
    <n v="0"/>
    <n v="0"/>
    <n v="0"/>
    <x v="0"/>
    <n v="150434.856"/>
    <n v="150434.856"/>
    <n v="0"/>
    <n v="0"/>
    <x v="0"/>
    <x v="17"/>
  </r>
  <r>
    <s v="ORD03800"/>
    <d v="2024-01-08T00:00:00"/>
    <x v="123"/>
    <x v="56"/>
    <n v="9"/>
    <s v="INV03800"/>
    <n v="8"/>
    <n v="639.91840000000002"/>
    <m/>
    <m/>
    <m/>
    <m/>
    <m/>
    <n v="639.91840000000002"/>
    <d v="2023-01-04T00:00:00"/>
    <n v="0"/>
    <n v="1"/>
    <n v="0"/>
    <n v="0"/>
    <n v="0"/>
    <n v="0"/>
    <n v="0"/>
    <x v="1"/>
    <n v="5119.3472000000002"/>
    <n v="5759.2656000000006"/>
    <n v="-639.91840000000047"/>
    <n v="8"/>
    <x v="2"/>
    <x v="15"/>
  </r>
  <r>
    <s v="ORD03801"/>
    <d v="2023-06-28T00:00:00"/>
    <x v="595"/>
    <x v="247"/>
    <n v="52"/>
    <s v="INV03801"/>
    <n v="52"/>
    <n v="648.86940000000004"/>
    <m/>
    <m/>
    <m/>
    <m/>
    <m/>
    <n v="648.86940000000004"/>
    <d v="2023-05-18T00:00:00"/>
    <n v="0"/>
    <n v="0"/>
    <n v="0"/>
    <n v="0"/>
    <n v="0"/>
    <n v="0"/>
    <n v="0"/>
    <x v="0"/>
    <n v="33741.2088"/>
    <n v="33741.2088"/>
    <n v="0"/>
    <n v="0"/>
    <x v="0"/>
    <x v="14"/>
  </r>
  <r>
    <s v="ORD03802"/>
    <d v="2023-06-11T00:00:00"/>
    <x v="131"/>
    <x v="177"/>
    <n v="44"/>
    <s v="INV03802"/>
    <n v="44"/>
    <n v="335.39150000000001"/>
    <m/>
    <m/>
    <m/>
    <m/>
    <m/>
    <n v="335.39150000000001"/>
    <d v="2023-03-01T00:00:00"/>
    <n v="0"/>
    <n v="0"/>
    <n v="0"/>
    <n v="0"/>
    <n v="0"/>
    <n v="0"/>
    <n v="0"/>
    <x v="0"/>
    <n v="14757.226000000001"/>
    <n v="14757.226000000001"/>
    <n v="0"/>
    <n v="0"/>
    <x v="0"/>
    <x v="14"/>
  </r>
  <r>
    <s v="ORD03803"/>
    <d v="2024-03-14T00:00:00"/>
    <x v="666"/>
    <x v="175"/>
    <n v="189"/>
    <s v="INV03803"/>
    <n v="189"/>
    <n v="212.07900000000001"/>
    <m/>
    <m/>
    <m/>
    <m/>
    <m/>
    <n v="212.07900000000001"/>
    <d v="2023-05-11T00:00:00"/>
    <n v="0"/>
    <n v="0"/>
    <n v="0"/>
    <n v="0"/>
    <n v="0"/>
    <n v="0"/>
    <n v="0"/>
    <x v="0"/>
    <n v="40082.931000000004"/>
    <n v="40082.931000000004"/>
    <n v="0"/>
    <n v="0"/>
    <x v="0"/>
    <x v="6"/>
  </r>
  <r>
    <s v="ORD03804"/>
    <d v="2024-09-02T00:00:00"/>
    <x v="151"/>
    <x v="44"/>
    <n v="41"/>
    <s v="INV03804"/>
    <n v="41"/>
    <n v="1119.3012000000001"/>
    <m/>
    <m/>
    <m/>
    <m/>
    <m/>
    <n v="1119.3012000000001"/>
    <d v="2023-06-14T00:00:00"/>
    <n v="0"/>
    <n v="0"/>
    <n v="0"/>
    <n v="0"/>
    <n v="0"/>
    <n v="0"/>
    <n v="0"/>
    <x v="0"/>
    <n v="45891.349200000004"/>
    <n v="45891.349200000004"/>
    <n v="0"/>
    <n v="0"/>
    <x v="0"/>
    <x v="2"/>
  </r>
  <r>
    <s v="ORD03805"/>
    <d v="2024-01-20T00:00:00"/>
    <x v="0"/>
    <x v="236"/>
    <n v="181"/>
    <s v="INV03805"/>
    <n v="181"/>
    <n v="1182.1740000000002"/>
    <m/>
    <m/>
    <m/>
    <m/>
    <m/>
    <n v="1182.1740000000002"/>
    <d v="2023-07-23T00:00:00"/>
    <n v="0"/>
    <n v="0"/>
    <n v="0"/>
    <n v="0"/>
    <n v="0"/>
    <n v="0"/>
    <n v="0"/>
    <x v="0"/>
    <n v="213973.49400000004"/>
    <n v="213973.49400000004"/>
    <n v="0"/>
    <n v="0"/>
    <x v="0"/>
    <x v="15"/>
  </r>
  <r>
    <s v="ORD03806"/>
    <d v="2023-12-09T00:00:00"/>
    <x v="106"/>
    <x v="270"/>
    <n v="92"/>
    <s v="INV03806"/>
    <n v="92"/>
    <n v="983.3949275329536"/>
    <m/>
    <m/>
    <m/>
    <m/>
    <m/>
    <n v="983.19460000000004"/>
    <d v="2023-08-04T00:00:00"/>
    <n v="0"/>
    <n v="0"/>
    <n v="1"/>
    <n v="0"/>
    <n v="0"/>
    <n v="0"/>
    <n v="0"/>
    <x v="1"/>
    <n v="90472.333333031725"/>
    <n v="90453.903200000001"/>
    <n v="18.430133031724836"/>
    <n v="4"/>
    <x v="1"/>
    <x v="20"/>
  </r>
  <r>
    <s v="ORD03807"/>
    <d v="2023-10-14T00:00:00"/>
    <x v="763"/>
    <x v="285"/>
    <n v="58"/>
    <s v="INV03807"/>
    <n v="58"/>
    <n v="1037.4366"/>
    <m/>
    <m/>
    <m/>
    <m/>
    <m/>
    <n v="1037.4366"/>
    <d v="2023-09-29T00:00:00"/>
    <n v="0"/>
    <n v="0"/>
    <n v="0"/>
    <n v="0"/>
    <n v="0"/>
    <n v="0"/>
    <n v="0"/>
    <x v="0"/>
    <n v="60171.322800000002"/>
    <n v="60171.322800000002"/>
    <n v="0"/>
    <n v="0"/>
    <x v="0"/>
    <x v="19"/>
  </r>
  <r>
    <s v="ORD03808"/>
    <d v="2023-12-29T00:00:00"/>
    <x v="206"/>
    <x v="270"/>
    <n v="84"/>
    <s v="INV03808"/>
    <n v="84"/>
    <n v="983.19460000000004"/>
    <m/>
    <m/>
    <m/>
    <m/>
    <m/>
    <n v="983.19460000000004"/>
    <d v="2023-08-04T00:00:00"/>
    <n v="0"/>
    <n v="0"/>
    <n v="0"/>
    <n v="0"/>
    <n v="0"/>
    <n v="0"/>
    <n v="0"/>
    <x v="0"/>
    <n v="82588.346400000009"/>
    <n v="82588.346400000009"/>
    <n v="0"/>
    <n v="0"/>
    <x v="0"/>
    <x v="20"/>
  </r>
  <r>
    <s v="ORD03809"/>
    <d v="2023-10-06T00:00:00"/>
    <x v="269"/>
    <x v="197"/>
    <n v="151"/>
    <s v="INV03809"/>
    <n v="151"/>
    <n v="240.40479999999999"/>
    <m/>
    <m/>
    <m/>
    <m/>
    <m/>
    <n v="240.40479999999999"/>
    <d v="2022-10-20T00:00:00"/>
    <n v="0"/>
    <n v="0"/>
    <n v="0"/>
    <n v="0"/>
    <n v="0"/>
    <n v="0"/>
    <n v="0"/>
    <x v="0"/>
    <n v="36301.124799999998"/>
    <n v="36301.124799999998"/>
    <n v="0"/>
    <n v="0"/>
    <x v="0"/>
    <x v="19"/>
  </r>
  <r>
    <s v="ORD03810"/>
    <d v="2024-01-13T00:00:00"/>
    <x v="683"/>
    <x v="205"/>
    <n v="157"/>
    <s v="INV03810"/>
    <n v="157"/>
    <n v="82.749600000000015"/>
    <m/>
    <m/>
    <m/>
    <m/>
    <m/>
    <n v="82.749600000000015"/>
    <d v="2023-05-22T00:00:00"/>
    <n v="0"/>
    <n v="0"/>
    <n v="0"/>
    <n v="0"/>
    <n v="0"/>
    <n v="0"/>
    <n v="0"/>
    <x v="0"/>
    <n v="12991.687200000002"/>
    <n v="12991.687200000002"/>
    <n v="0"/>
    <n v="0"/>
    <x v="0"/>
    <x v="15"/>
  </r>
  <r>
    <s v="ORD03811"/>
    <d v="2023-03-19T00:00:00"/>
    <x v="537"/>
    <x v="84"/>
    <n v="92"/>
    <s v="INV03811"/>
    <n v="92"/>
    <n v="265.38866814234598"/>
    <n v="10"/>
    <d v="2024-12-28T00:00:00"/>
    <m/>
    <m/>
    <m/>
    <n v="264.84640000000002"/>
    <d v="2022-11-05T00:00:00"/>
    <n v="0"/>
    <n v="0"/>
    <n v="1"/>
    <n v="0"/>
    <n v="0"/>
    <n v="1"/>
    <n v="0"/>
    <x v="1"/>
    <n v="24415.757469095828"/>
    <n v="24365.8688"/>
    <n v="49.888669095827936"/>
    <n v="6"/>
    <x v="2"/>
    <x v="17"/>
  </r>
  <r>
    <s v="ORD03812"/>
    <d v="2023-12-09T00:00:00"/>
    <x v="354"/>
    <x v="139"/>
    <n v="129"/>
    <s v="INV03812"/>
    <n v="129"/>
    <n v="383.63"/>
    <m/>
    <m/>
    <m/>
    <m/>
    <m/>
    <n v="383.63"/>
    <d v="2023-10-01T00:00:00"/>
    <n v="0"/>
    <n v="0"/>
    <n v="0"/>
    <n v="0"/>
    <n v="0"/>
    <n v="0"/>
    <n v="0"/>
    <x v="0"/>
    <n v="49488.27"/>
    <n v="49488.27"/>
    <n v="0"/>
    <n v="0"/>
    <x v="0"/>
    <x v="20"/>
  </r>
  <r>
    <s v="ORD03813"/>
    <d v="2023-08-11T00:00:00"/>
    <x v="134"/>
    <x v="217"/>
    <n v="71"/>
    <s v="INV03813"/>
    <n v="71"/>
    <n v="189.52920000000003"/>
    <m/>
    <m/>
    <m/>
    <m/>
    <m/>
    <n v="189.52920000000003"/>
    <d v="2023-05-24T00:00:00"/>
    <n v="0"/>
    <n v="0"/>
    <n v="0"/>
    <n v="0"/>
    <n v="0"/>
    <n v="0"/>
    <n v="0"/>
    <x v="0"/>
    <n v="13456.573200000003"/>
    <n v="13456.573200000003"/>
    <n v="0"/>
    <n v="0"/>
    <x v="0"/>
    <x v="12"/>
  </r>
  <r>
    <s v="ORD03814"/>
    <d v="2023-01-21T00:00:00"/>
    <x v="607"/>
    <x v="78"/>
    <n v="93"/>
    <s v="INV03814"/>
    <n v="94"/>
    <n v="376.62"/>
    <m/>
    <m/>
    <m/>
    <m/>
    <m/>
    <n v="376.62"/>
    <d v="2022-07-05T00:00:00"/>
    <n v="0"/>
    <n v="1"/>
    <n v="0"/>
    <n v="0"/>
    <n v="0"/>
    <n v="0"/>
    <n v="0"/>
    <x v="1"/>
    <n v="35402.28"/>
    <n v="35025.660000000003"/>
    <n v="376.61999999999534"/>
    <n v="3"/>
    <x v="1"/>
    <x v="8"/>
  </r>
  <r>
    <s v="ORD03815"/>
    <d v="2024-11-08T00:00:00"/>
    <x v="159"/>
    <x v="214"/>
    <n v="94"/>
    <s v="INV03815"/>
    <n v="94"/>
    <n v="77.178600000000003"/>
    <m/>
    <m/>
    <m/>
    <m/>
    <m/>
    <n v="77.178600000000003"/>
    <d v="2023-02-18T00:00:00"/>
    <n v="0"/>
    <n v="0"/>
    <n v="0"/>
    <n v="0"/>
    <n v="0"/>
    <n v="0"/>
    <n v="0"/>
    <x v="0"/>
    <n v="7254.7884000000004"/>
    <n v="7254.7884000000004"/>
    <n v="0"/>
    <n v="0"/>
    <x v="0"/>
    <x v="4"/>
  </r>
  <r>
    <s v="ORD03816"/>
    <d v="2023-10-23T00:00:00"/>
    <x v="187"/>
    <x v="270"/>
    <n v="190"/>
    <s v="INV03816"/>
    <n v="190"/>
    <n v="983.19460000000004"/>
    <m/>
    <m/>
    <m/>
    <m/>
    <m/>
    <n v="983.19460000000004"/>
    <d v="2023-08-04T00:00:00"/>
    <n v="0"/>
    <n v="0"/>
    <n v="0"/>
    <n v="0"/>
    <n v="0"/>
    <n v="0"/>
    <n v="0"/>
    <x v="0"/>
    <n v="186806.97400000002"/>
    <n v="186806.97400000002"/>
    <n v="0"/>
    <n v="0"/>
    <x v="0"/>
    <x v="19"/>
  </r>
  <r>
    <s v="ORD03817"/>
    <d v="2023-12-12T00:00:00"/>
    <x v="332"/>
    <x v="286"/>
    <n v="90"/>
    <s v="INV03817"/>
    <n v="90"/>
    <n v="278.27100000000002"/>
    <m/>
    <m/>
    <m/>
    <m/>
    <m/>
    <n v="278.27100000000002"/>
    <d v="2023-07-12T00:00:00"/>
    <n v="0"/>
    <n v="0"/>
    <n v="0"/>
    <n v="0"/>
    <n v="0"/>
    <n v="0"/>
    <n v="0"/>
    <x v="0"/>
    <n v="25044.390000000003"/>
    <n v="25044.390000000003"/>
    <n v="0"/>
    <n v="0"/>
    <x v="0"/>
    <x v="20"/>
  </r>
  <r>
    <s v="ORD03818"/>
    <d v="2023-12-29T00:00:00"/>
    <x v="605"/>
    <x v="98"/>
    <n v="149"/>
    <s v="INV03818"/>
    <n v="149"/>
    <n v="1119.6587000000002"/>
    <m/>
    <m/>
    <m/>
    <m/>
    <m/>
    <n v="1119.6587000000002"/>
    <d v="2023-08-09T00:00:00"/>
    <n v="0"/>
    <n v="0"/>
    <n v="0"/>
    <n v="0"/>
    <n v="0"/>
    <n v="0"/>
    <n v="0"/>
    <x v="0"/>
    <n v="166829.14630000002"/>
    <n v="166829.14630000002"/>
    <n v="0"/>
    <n v="0"/>
    <x v="0"/>
    <x v="20"/>
  </r>
  <r>
    <s v="ORD03819"/>
    <d v="2023-03-20T00:00:00"/>
    <x v="128"/>
    <x v="172"/>
    <n v="143"/>
    <s v="INV03819"/>
    <n v="143"/>
    <n v="370.82850000000002"/>
    <m/>
    <m/>
    <m/>
    <m/>
    <m/>
    <n v="370.82850000000002"/>
    <d v="2023-03-01T00:00:00"/>
    <n v="0"/>
    <n v="0"/>
    <n v="0"/>
    <n v="0"/>
    <n v="0"/>
    <n v="0"/>
    <n v="0"/>
    <x v="0"/>
    <n v="53028.4755"/>
    <n v="53028.4755"/>
    <n v="0"/>
    <n v="0"/>
    <x v="0"/>
    <x v="17"/>
  </r>
  <r>
    <s v="ORD03820"/>
    <d v="2024-01-01T00:00:00"/>
    <x v="793"/>
    <x v="197"/>
    <n v="61"/>
    <s v="INV03820"/>
    <n v="61"/>
    <n v="250.3184"/>
    <m/>
    <m/>
    <m/>
    <m/>
    <m/>
    <n v="250.3184"/>
    <d v="2023-10-13T00:00:00"/>
    <n v="0"/>
    <n v="0"/>
    <n v="0"/>
    <n v="0"/>
    <n v="0"/>
    <n v="0"/>
    <n v="0"/>
    <x v="0"/>
    <n v="15269.422399999999"/>
    <n v="15269.422399999999"/>
    <n v="0"/>
    <n v="0"/>
    <x v="0"/>
    <x v="15"/>
  </r>
  <r>
    <s v="ORD03821"/>
    <d v="2024-05-19T00:00:00"/>
    <x v="81"/>
    <x v="46"/>
    <n v="92"/>
    <s v="INV03821"/>
    <n v="92"/>
    <n v="509.36320000000001"/>
    <m/>
    <m/>
    <m/>
    <m/>
    <m/>
    <n v="509.36320000000001"/>
    <d v="2023-09-02T00:00:00"/>
    <n v="0"/>
    <n v="0"/>
    <n v="0"/>
    <n v="0"/>
    <n v="0"/>
    <n v="0"/>
    <n v="0"/>
    <x v="0"/>
    <n v="46861.414400000001"/>
    <n v="46861.414400000001"/>
    <n v="0"/>
    <n v="0"/>
    <x v="0"/>
    <x v="13"/>
  </r>
  <r>
    <s v="ORD03822"/>
    <d v="2023-10-17T00:00:00"/>
    <x v="578"/>
    <x v="274"/>
    <n v="120"/>
    <s v="INV03822"/>
    <n v="120"/>
    <n v="631.83420000000012"/>
    <m/>
    <m/>
    <m/>
    <m/>
    <m/>
    <n v="631.83420000000012"/>
    <d v="2023-09-03T00:00:00"/>
    <n v="0"/>
    <n v="0"/>
    <n v="0"/>
    <n v="0"/>
    <n v="0"/>
    <n v="0"/>
    <n v="0"/>
    <x v="0"/>
    <n v="75820.104000000021"/>
    <n v="75820.104000000021"/>
    <n v="0"/>
    <n v="0"/>
    <x v="0"/>
    <x v="19"/>
  </r>
  <r>
    <s v="ORD03823"/>
    <d v="2023-10-18T00:00:00"/>
    <x v="343"/>
    <x v="135"/>
    <n v="118"/>
    <s v="INV03823"/>
    <n v="118"/>
    <n v="1231.8180000000002"/>
    <m/>
    <m/>
    <m/>
    <m/>
    <m/>
    <n v="1231.8180000000002"/>
    <d v="2023-05-02T00:00:00"/>
    <n v="0"/>
    <n v="0"/>
    <n v="0"/>
    <n v="0"/>
    <n v="0"/>
    <n v="0"/>
    <n v="0"/>
    <x v="0"/>
    <n v="145354.52400000003"/>
    <n v="145354.52400000003"/>
    <n v="0"/>
    <n v="0"/>
    <x v="0"/>
    <x v="19"/>
  </r>
  <r>
    <s v="ORD03824"/>
    <d v="2023-06-02T00:00:00"/>
    <x v="664"/>
    <x v="256"/>
    <n v="141"/>
    <s v="INV03824"/>
    <n v="141"/>
    <n v="717.0471"/>
    <m/>
    <m/>
    <m/>
    <m/>
    <m/>
    <n v="717.0471"/>
    <d v="2023-02-27T00:00:00"/>
    <n v="0"/>
    <n v="0"/>
    <n v="0"/>
    <n v="0"/>
    <n v="0"/>
    <n v="0"/>
    <n v="0"/>
    <x v="0"/>
    <n v="101103.64109999999"/>
    <n v="101103.64109999999"/>
    <n v="0"/>
    <n v="0"/>
    <x v="0"/>
    <x v="14"/>
  </r>
  <r>
    <s v="ORD03825"/>
    <d v="2023-03-24T00:00:00"/>
    <x v="778"/>
    <x v="55"/>
    <n v="49"/>
    <s v="INV03825"/>
    <n v="49"/>
    <n v="525.45000000000005"/>
    <m/>
    <m/>
    <m/>
    <m/>
    <m/>
    <n v="525.45000000000005"/>
    <d v="2022-03-03T00:00:00"/>
    <n v="0"/>
    <n v="0"/>
    <n v="0"/>
    <n v="0"/>
    <n v="0"/>
    <n v="0"/>
    <n v="0"/>
    <x v="0"/>
    <n v="25747.050000000003"/>
    <n v="25747.050000000003"/>
    <n v="0"/>
    <n v="0"/>
    <x v="0"/>
    <x v="17"/>
  </r>
  <r>
    <s v="ORD03826"/>
    <d v="2023-09-04T00:00:00"/>
    <x v="169"/>
    <x v="43"/>
    <n v="14"/>
    <s v="INV03826"/>
    <n v="9"/>
    <n v="1190.6054999999999"/>
    <m/>
    <m/>
    <m/>
    <m/>
    <m/>
    <n v="1190.6054999999999"/>
    <d v="2023-02-27T00:00:00"/>
    <n v="0"/>
    <n v="1"/>
    <n v="0"/>
    <n v="0"/>
    <n v="0"/>
    <n v="0"/>
    <n v="0"/>
    <x v="1"/>
    <n v="10715.449499999999"/>
    <n v="16668.476999999999"/>
    <n v="-5953.0275000000001"/>
    <n v="8"/>
    <x v="2"/>
    <x v="18"/>
  </r>
  <r>
    <s v="ORD03827"/>
    <d v="2023-08-28T00:00:00"/>
    <x v="514"/>
    <x v="198"/>
    <n v="147"/>
    <s v="INV03827"/>
    <n v="147"/>
    <n v="906.88919999999996"/>
    <m/>
    <m/>
    <m/>
    <m/>
    <m/>
    <n v="906.88919999999996"/>
    <d v="2023-03-06T00:00:00"/>
    <n v="0"/>
    <n v="0"/>
    <n v="0"/>
    <n v="0"/>
    <n v="0"/>
    <n v="0"/>
    <n v="0"/>
    <x v="0"/>
    <n v="133312.71239999999"/>
    <n v="133312.71239999999"/>
    <n v="0"/>
    <n v="0"/>
    <x v="0"/>
    <x v="12"/>
  </r>
  <r>
    <s v="ORD03828"/>
    <d v="2023-06-14T00:00:00"/>
    <x v="732"/>
    <x v="289"/>
    <n v="139"/>
    <s v="INV03828"/>
    <n v="139"/>
    <n v="361.47840000000002"/>
    <m/>
    <m/>
    <m/>
    <m/>
    <m/>
    <n v="361.47840000000002"/>
    <d v="2022-12-14T00:00:00"/>
    <n v="0"/>
    <n v="0"/>
    <n v="0"/>
    <n v="0"/>
    <n v="0"/>
    <n v="0"/>
    <n v="0"/>
    <x v="0"/>
    <n v="50245.497600000002"/>
    <n v="50245.497600000002"/>
    <n v="0"/>
    <n v="0"/>
    <x v="0"/>
    <x v="14"/>
  </r>
  <r>
    <s v="ORD03829"/>
    <d v="2024-02-07T00:00:00"/>
    <x v="506"/>
    <x v="41"/>
    <n v="39"/>
    <s v="INV03829"/>
    <n v="39"/>
    <n v="1211.7708"/>
    <m/>
    <m/>
    <m/>
    <m/>
    <m/>
    <n v="1211.7708"/>
    <d v="2023-09-24T00:00:00"/>
    <n v="0"/>
    <n v="0"/>
    <n v="0"/>
    <n v="0"/>
    <n v="0"/>
    <n v="0"/>
    <n v="0"/>
    <x v="0"/>
    <n v="47259.061200000004"/>
    <n v="47259.061200000004"/>
    <n v="0"/>
    <n v="0"/>
    <x v="0"/>
    <x v="3"/>
  </r>
  <r>
    <s v="ORD03830"/>
    <d v="2023-12-16T00:00:00"/>
    <x v="694"/>
    <x v="120"/>
    <n v="69"/>
    <s v="INV03830"/>
    <n v="69"/>
    <n v="989.96579999999994"/>
    <m/>
    <m/>
    <m/>
    <m/>
    <m/>
    <n v="989.96579999999994"/>
    <d v="2023-02-18T00:00:00"/>
    <n v="0"/>
    <n v="0"/>
    <n v="0"/>
    <n v="0"/>
    <n v="0"/>
    <n v="0"/>
    <n v="0"/>
    <x v="0"/>
    <n v="68307.640199999994"/>
    <n v="68307.640199999994"/>
    <n v="0"/>
    <n v="0"/>
    <x v="0"/>
    <x v="20"/>
  </r>
  <r>
    <s v="ORD03831"/>
    <d v="2023-10-27T00:00:00"/>
    <x v="727"/>
    <x v="254"/>
    <n v="8"/>
    <s v="INV03831"/>
    <n v="8"/>
    <n v="571.49840000000006"/>
    <m/>
    <m/>
    <m/>
    <m/>
    <m/>
    <n v="571.49840000000006"/>
    <d v="2023-05-25T00:00:00"/>
    <n v="0"/>
    <n v="0"/>
    <n v="0"/>
    <n v="0"/>
    <n v="0"/>
    <n v="0"/>
    <n v="0"/>
    <x v="0"/>
    <n v="4571.9872000000005"/>
    <n v="4571.9872000000005"/>
    <n v="0"/>
    <n v="0"/>
    <x v="0"/>
    <x v="19"/>
  </r>
  <r>
    <s v="ORD03832"/>
    <d v="2023-01-25T00:00:00"/>
    <x v="10"/>
    <x v="135"/>
    <n v="109"/>
    <s v="INV03832"/>
    <n v="109"/>
    <n v="1173.1600000000001"/>
    <m/>
    <m/>
    <m/>
    <m/>
    <m/>
    <n v="1173.1600000000001"/>
    <d v="2022-05-11T00:00:00"/>
    <n v="0"/>
    <n v="0"/>
    <n v="0"/>
    <n v="0"/>
    <n v="0"/>
    <n v="0"/>
    <n v="0"/>
    <x v="0"/>
    <n v="127874.44"/>
    <n v="127874.44"/>
    <n v="0"/>
    <n v="0"/>
    <x v="0"/>
    <x v="8"/>
  </r>
  <r>
    <s v="ORD03833"/>
    <d v="2024-04-06T00:00:00"/>
    <x v="764"/>
    <x v="101"/>
    <n v="3"/>
    <s v="INV03833"/>
    <n v="3"/>
    <n v="1223.9694"/>
    <m/>
    <m/>
    <m/>
    <m/>
    <m/>
    <n v="1223.9694"/>
    <d v="2023-08-16T00:00:00"/>
    <n v="0"/>
    <n v="0"/>
    <n v="0"/>
    <n v="0"/>
    <n v="0"/>
    <n v="0"/>
    <n v="0"/>
    <x v="0"/>
    <n v="3671.9081999999999"/>
    <n v="3671.9081999999999"/>
    <n v="0"/>
    <n v="0"/>
    <x v="0"/>
    <x v="9"/>
  </r>
  <r>
    <s v="ORD03834"/>
    <d v="2024-02-12T00:00:00"/>
    <x v="418"/>
    <x v="198"/>
    <n v="34"/>
    <s v="INV03834"/>
    <n v="33"/>
    <n v="906.88919999999996"/>
    <m/>
    <m/>
    <m/>
    <m/>
    <m/>
    <n v="906.88919999999996"/>
    <d v="2023-03-06T00:00:00"/>
    <n v="0"/>
    <n v="1"/>
    <n v="0"/>
    <n v="0"/>
    <n v="0"/>
    <n v="0"/>
    <n v="0"/>
    <x v="1"/>
    <n v="29927.3436"/>
    <n v="30834.232799999998"/>
    <n v="-906.8891999999978"/>
    <n v="8"/>
    <x v="2"/>
    <x v="3"/>
  </r>
  <r>
    <s v="ORD03835"/>
    <d v="2023-06-11T00:00:00"/>
    <x v="16"/>
    <x v="223"/>
    <n v="172"/>
    <s v="INV03835"/>
    <n v="172"/>
    <n v="901.83"/>
    <m/>
    <m/>
    <m/>
    <m/>
    <m/>
    <n v="901.83"/>
    <d v="2023-01-20T00:00:00"/>
    <n v="0"/>
    <n v="0"/>
    <n v="0"/>
    <n v="0"/>
    <n v="0"/>
    <n v="0"/>
    <n v="0"/>
    <x v="0"/>
    <n v="155114.76"/>
    <n v="155114.76"/>
    <n v="0"/>
    <n v="0"/>
    <x v="0"/>
    <x v="14"/>
  </r>
  <r>
    <s v="ORD03836"/>
    <d v="2023-03-21T00:00:00"/>
    <x v="101"/>
    <x v="35"/>
    <n v="12"/>
    <s v="INV03836"/>
    <n v="12"/>
    <n v="1131.7511999999999"/>
    <m/>
    <m/>
    <m/>
    <m/>
    <m/>
    <n v="1131.7511999999999"/>
    <d v="2022-09-02T00:00:00"/>
    <n v="0"/>
    <n v="0"/>
    <n v="0"/>
    <n v="0"/>
    <n v="0"/>
    <n v="0"/>
    <n v="0"/>
    <x v="0"/>
    <n v="13581.0144"/>
    <n v="13581.0144"/>
    <n v="0"/>
    <n v="0"/>
    <x v="0"/>
    <x v="17"/>
  </r>
  <r>
    <s v="ORD03837"/>
    <d v="2023-03-02T00:00:00"/>
    <x v="271"/>
    <x v="222"/>
    <n v="164"/>
    <s v="INV03837"/>
    <n v="164"/>
    <n v="257.77999999999997"/>
    <m/>
    <m/>
    <m/>
    <m/>
    <m/>
    <n v="257.77999999999997"/>
    <d v="2022-06-13T00:00:00"/>
    <n v="0"/>
    <n v="0"/>
    <n v="0"/>
    <n v="0"/>
    <n v="0"/>
    <n v="0"/>
    <n v="0"/>
    <x v="0"/>
    <n v="42275.92"/>
    <n v="42275.92"/>
    <n v="0"/>
    <n v="0"/>
    <x v="0"/>
    <x v="17"/>
  </r>
  <r>
    <s v="ORD03838"/>
    <d v="2024-12-20T00:00:00"/>
    <x v="583"/>
    <x v="59"/>
    <n v="60"/>
    <s v="INV03838"/>
    <n v="58"/>
    <n v="942.54840000000013"/>
    <m/>
    <m/>
    <m/>
    <m/>
    <m/>
    <n v="942.54840000000013"/>
    <d v="2023-06-09T00:00:00"/>
    <n v="0"/>
    <n v="1"/>
    <n v="0"/>
    <n v="0"/>
    <n v="0"/>
    <n v="0"/>
    <n v="0"/>
    <x v="1"/>
    <n v="54667.80720000001"/>
    <n v="56552.90400000001"/>
    <n v="-1885.0967999999993"/>
    <n v="8"/>
    <x v="2"/>
    <x v="1"/>
  </r>
  <r>
    <s v="ORD03839"/>
    <d v="2023-02-20T00:00:00"/>
    <x v="768"/>
    <x v="60"/>
    <n v="86"/>
    <s v="INV03839"/>
    <n v="86"/>
    <n v="1087.8191999999999"/>
    <m/>
    <m/>
    <m/>
    <m/>
    <m/>
    <n v="1087.8191999999999"/>
    <d v="2022-10-10T00:00:00"/>
    <n v="0"/>
    <n v="0"/>
    <n v="0"/>
    <n v="0"/>
    <n v="0"/>
    <n v="0"/>
    <n v="0"/>
    <x v="0"/>
    <n v="93552.451199999996"/>
    <n v="93552.451199999996"/>
    <n v="0"/>
    <n v="0"/>
    <x v="0"/>
    <x v="11"/>
  </r>
  <r>
    <s v="ORD03840"/>
    <d v="2024-05-10T00:00:00"/>
    <x v="115"/>
    <x v="117"/>
    <n v="124"/>
    <s v="INV03840"/>
    <n v="124"/>
    <n v="214.6182"/>
    <m/>
    <m/>
    <m/>
    <m/>
    <m/>
    <n v="214.6182"/>
    <d v="2023-07-09T00:00:00"/>
    <n v="0"/>
    <n v="0"/>
    <n v="0"/>
    <n v="0"/>
    <n v="0"/>
    <n v="0"/>
    <n v="0"/>
    <x v="0"/>
    <n v="26612.656800000001"/>
    <n v="26612.656800000001"/>
    <n v="0"/>
    <n v="0"/>
    <x v="0"/>
    <x v="13"/>
  </r>
  <r>
    <s v="ORD03841"/>
    <d v="2023-07-04T00:00:00"/>
    <x v="215"/>
    <x v="0"/>
    <n v="48"/>
    <s v="INV03841"/>
    <n v="48"/>
    <n v="502.88930000000011"/>
    <m/>
    <m/>
    <m/>
    <m/>
    <m/>
    <n v="502.88930000000011"/>
    <d v="2022-12-27T00:00:00"/>
    <n v="0"/>
    <n v="0"/>
    <n v="0"/>
    <n v="0"/>
    <n v="0"/>
    <n v="0"/>
    <n v="0"/>
    <x v="0"/>
    <n v="24138.686400000006"/>
    <n v="24138.686400000006"/>
    <n v="0"/>
    <n v="0"/>
    <x v="0"/>
    <x v="10"/>
  </r>
  <r>
    <s v="ORD03842"/>
    <d v="2023-03-05T00:00:00"/>
    <x v="167"/>
    <x v="256"/>
    <n v="131"/>
    <s v="INV03842"/>
    <n v="131"/>
    <n v="717.16189753954166"/>
    <m/>
    <m/>
    <m/>
    <m/>
    <m/>
    <n v="717.0471"/>
    <d v="2023-02-27T00:00:00"/>
    <n v="0"/>
    <n v="0"/>
    <n v="1"/>
    <n v="0"/>
    <n v="0"/>
    <n v="0"/>
    <n v="0"/>
    <x v="1"/>
    <n v="93948.20857767995"/>
    <n v="93933.170100000003"/>
    <n v="15.038477679947391"/>
    <n v="4"/>
    <x v="1"/>
    <x v="17"/>
  </r>
  <r>
    <s v="ORD03843"/>
    <d v="2024-02-27T00:00:00"/>
    <x v="168"/>
    <x v="63"/>
    <n v="185"/>
    <s v="INV03843"/>
    <n v="185"/>
    <n v="96.6"/>
    <m/>
    <m/>
    <m/>
    <m/>
    <m/>
    <n v="96.6"/>
    <d v="2023-06-28T00:00:00"/>
    <n v="0"/>
    <n v="0"/>
    <n v="0"/>
    <n v="0"/>
    <n v="0"/>
    <n v="0"/>
    <n v="0"/>
    <x v="0"/>
    <n v="17871"/>
    <n v="17871"/>
    <n v="0"/>
    <n v="0"/>
    <x v="0"/>
    <x v="3"/>
  </r>
  <r>
    <s v="ORD03844"/>
    <d v="2024-03-01T00:00:00"/>
    <x v="123"/>
    <x v="277"/>
    <n v="157"/>
    <s v="INV03844"/>
    <n v="157"/>
    <n v="544.5"/>
    <m/>
    <m/>
    <m/>
    <m/>
    <m/>
    <n v="544.5"/>
    <d v="2023-08-21T00:00:00"/>
    <n v="0"/>
    <n v="0"/>
    <n v="0"/>
    <n v="0"/>
    <n v="0"/>
    <n v="0"/>
    <n v="0"/>
    <x v="0"/>
    <n v="85486.5"/>
    <n v="85486.5"/>
    <n v="0"/>
    <n v="0"/>
    <x v="0"/>
    <x v="6"/>
  </r>
  <r>
    <s v="ORD03845"/>
    <d v="2024-06-04T00:00:00"/>
    <x v="592"/>
    <x v="162"/>
    <n v="74"/>
    <s v="INV03845"/>
    <n v="74"/>
    <n v="571.32999999999993"/>
    <m/>
    <m/>
    <m/>
    <m/>
    <m/>
    <n v="571.32999999999993"/>
    <d v="2023-10-07T00:00:00"/>
    <n v="0"/>
    <n v="0"/>
    <n v="0"/>
    <n v="0"/>
    <n v="0"/>
    <n v="0"/>
    <n v="0"/>
    <x v="0"/>
    <n v="42278.42"/>
    <n v="42278.42"/>
    <n v="0"/>
    <n v="0"/>
    <x v="0"/>
    <x v="16"/>
  </r>
  <r>
    <s v="ORD03846"/>
    <d v="2024-06-23T00:00:00"/>
    <x v="278"/>
    <x v="120"/>
    <n v="37"/>
    <s v="INV03846"/>
    <n v="37"/>
    <n v="989.96579999999994"/>
    <m/>
    <m/>
    <m/>
    <m/>
    <m/>
    <n v="989.96579999999994"/>
    <d v="2023-02-18T00:00:00"/>
    <n v="0"/>
    <n v="0"/>
    <n v="0"/>
    <n v="0"/>
    <n v="0"/>
    <n v="0"/>
    <n v="0"/>
    <x v="0"/>
    <n v="36628.734599999996"/>
    <n v="36628.734599999996"/>
    <n v="0"/>
    <n v="0"/>
    <x v="0"/>
    <x v="16"/>
  </r>
  <r>
    <s v="ORD03847"/>
    <d v="2023-12-20T00:00:00"/>
    <x v="385"/>
    <x v="269"/>
    <n v="94"/>
    <s v="INV03847"/>
    <n v="94"/>
    <n v="153.69479999999999"/>
    <m/>
    <m/>
    <m/>
    <m/>
    <m/>
    <n v="153.69479999999999"/>
    <d v="2023-02-03T00:00:00"/>
    <n v="0"/>
    <n v="0"/>
    <n v="0"/>
    <n v="0"/>
    <n v="0"/>
    <n v="0"/>
    <n v="0"/>
    <x v="0"/>
    <n v="14447.311199999998"/>
    <n v="14447.311199999998"/>
    <n v="0"/>
    <n v="0"/>
    <x v="0"/>
    <x v="20"/>
  </r>
  <r>
    <s v="ORD03848"/>
    <d v="2023-04-02T00:00:00"/>
    <x v="197"/>
    <x v="144"/>
    <n v="63"/>
    <s v="INV03848"/>
    <n v="63"/>
    <n v="309.07"/>
    <m/>
    <m/>
    <m/>
    <m/>
    <m/>
    <n v="309.07"/>
    <d v="2022-04-24T00:00:00"/>
    <n v="0"/>
    <n v="0"/>
    <n v="0"/>
    <n v="0"/>
    <n v="0"/>
    <n v="0"/>
    <n v="0"/>
    <x v="0"/>
    <n v="19471.41"/>
    <n v="19471.41"/>
    <n v="0"/>
    <n v="0"/>
    <x v="0"/>
    <x v="23"/>
  </r>
  <r>
    <s v="ORD03849"/>
    <d v="2024-04-28T00:00:00"/>
    <x v="259"/>
    <x v="255"/>
    <n v="69"/>
    <s v="INV03849"/>
    <n v="69"/>
    <n v="1178.6880000000001"/>
    <m/>
    <m/>
    <m/>
    <m/>
    <m/>
    <n v="1178.6880000000001"/>
    <d v="2023-01-04T00:00:00"/>
    <n v="0"/>
    <n v="0"/>
    <n v="0"/>
    <n v="0"/>
    <n v="0"/>
    <n v="0"/>
    <n v="0"/>
    <x v="0"/>
    <n v="81329.472000000009"/>
    <n v="81329.472000000009"/>
    <n v="0"/>
    <n v="0"/>
    <x v="0"/>
    <x v="9"/>
  </r>
  <r>
    <s v="ORD03850"/>
    <d v="2024-12-10T00:00:00"/>
    <x v="66"/>
    <x v="240"/>
    <n v="181"/>
    <s v="INV03850"/>
    <n v="181"/>
    <n v="488.43360000000007"/>
    <n v="1"/>
    <d v="2024-06-15T00:00:00"/>
    <m/>
    <m/>
    <m/>
    <n v="488.43360000000007"/>
    <d v="2023-06-30T00:00:00"/>
    <n v="0"/>
    <n v="0"/>
    <n v="0"/>
    <n v="0"/>
    <n v="0"/>
    <n v="0"/>
    <n v="0"/>
    <x v="0"/>
    <n v="88406.481600000014"/>
    <n v="88406.481600000014"/>
    <n v="0"/>
    <n v="0"/>
    <x v="0"/>
    <x v="1"/>
  </r>
  <r>
    <s v="ORD03851"/>
    <d v="2023-09-24T00:00:00"/>
    <x v="598"/>
    <x v="199"/>
    <n v="7"/>
    <s v="INV03851"/>
    <n v="7"/>
    <n v="334.24649999999997"/>
    <m/>
    <m/>
    <m/>
    <m/>
    <m/>
    <n v="334.24649999999997"/>
    <d v="2023-07-18T00:00:00"/>
    <n v="0"/>
    <n v="0"/>
    <n v="0"/>
    <n v="0"/>
    <n v="0"/>
    <n v="0"/>
    <n v="0"/>
    <x v="0"/>
    <n v="2339.7254999999996"/>
    <n v="2339.7254999999996"/>
    <n v="0"/>
    <n v="0"/>
    <x v="0"/>
    <x v="18"/>
  </r>
  <r>
    <s v="ORD03852"/>
    <d v="2023-11-12T00:00:00"/>
    <x v="154"/>
    <x v="30"/>
    <n v="88"/>
    <s v="INV03852"/>
    <n v="88"/>
    <n v="360.68479999999994"/>
    <m/>
    <m/>
    <m/>
    <m/>
    <m/>
    <n v="360.68479999999994"/>
    <d v="2023-05-26T00:00:00"/>
    <n v="0"/>
    <n v="0"/>
    <n v="0"/>
    <n v="0"/>
    <n v="0"/>
    <n v="0"/>
    <n v="0"/>
    <x v="0"/>
    <n v="31740.262399999996"/>
    <n v="31740.262399999996"/>
    <n v="0"/>
    <n v="0"/>
    <x v="0"/>
    <x v="0"/>
  </r>
  <r>
    <s v="ORD03853"/>
    <d v="2023-05-24T00:00:00"/>
    <x v="766"/>
    <x v="207"/>
    <n v="135"/>
    <s v="INV03853"/>
    <n v="135"/>
    <n v="296.2912"/>
    <n v="20"/>
    <d v="2024-11-10T00:00:00"/>
    <m/>
    <m/>
    <m/>
    <n v="296.2912"/>
    <d v="2022-12-26T00:00:00"/>
    <n v="0"/>
    <n v="0"/>
    <n v="0"/>
    <n v="0"/>
    <n v="0"/>
    <n v="1"/>
    <n v="0"/>
    <x v="1"/>
    <n v="39999.311999999998"/>
    <n v="39999.311999999998"/>
    <n v="0"/>
    <n v="2"/>
    <x v="1"/>
    <x v="7"/>
  </r>
  <r>
    <s v="ORD03854"/>
    <d v="2024-04-27T00:00:00"/>
    <x v="528"/>
    <x v="296"/>
    <n v="7"/>
    <s v="INV03854"/>
    <n v="7"/>
    <n v="724.16120000000001"/>
    <m/>
    <m/>
    <m/>
    <m/>
    <m/>
    <n v="724.16120000000001"/>
    <d v="2023-04-28T00:00:00"/>
    <n v="0"/>
    <n v="0"/>
    <n v="0"/>
    <n v="0"/>
    <n v="0"/>
    <n v="0"/>
    <n v="0"/>
    <x v="0"/>
    <n v="5069.1283999999996"/>
    <n v="5069.1283999999996"/>
    <n v="0"/>
    <n v="0"/>
    <x v="0"/>
    <x v="9"/>
  </r>
  <r>
    <s v="ORD03855"/>
    <d v="2024-10-23T00:00:00"/>
    <x v="742"/>
    <x v="64"/>
    <n v="10"/>
    <s v="INV03855"/>
    <n v="10"/>
    <n v="1129.6166000000001"/>
    <m/>
    <m/>
    <m/>
    <m/>
    <m/>
    <n v="1129.6166000000001"/>
    <d v="2023-02-03T00:00:00"/>
    <n v="0"/>
    <n v="0"/>
    <n v="0"/>
    <n v="0"/>
    <n v="0"/>
    <n v="0"/>
    <n v="0"/>
    <x v="0"/>
    <n v="11296.166000000001"/>
    <n v="11296.166000000001"/>
    <n v="0"/>
    <n v="0"/>
    <x v="0"/>
    <x v="5"/>
  </r>
  <r>
    <s v="ORD03856"/>
    <d v="2024-06-25T00:00:00"/>
    <x v="540"/>
    <x v="90"/>
    <n v="131"/>
    <s v="INV03856"/>
    <n v="131"/>
    <n v="249.1748"/>
    <m/>
    <m/>
    <m/>
    <m/>
    <m/>
    <n v="249.1748"/>
    <d v="2023-08-03T00:00:00"/>
    <n v="0"/>
    <n v="0"/>
    <n v="0"/>
    <n v="0"/>
    <n v="0"/>
    <n v="0"/>
    <n v="0"/>
    <x v="0"/>
    <n v="32641.898799999999"/>
    <n v="32641.898799999999"/>
    <n v="0"/>
    <n v="0"/>
    <x v="0"/>
    <x v="16"/>
  </r>
  <r>
    <s v="ORD03857"/>
    <d v="2023-10-21T00:00:00"/>
    <x v="425"/>
    <x v="174"/>
    <n v="199"/>
    <s v="INV03857"/>
    <n v="199"/>
    <n v="575.53650000000005"/>
    <m/>
    <m/>
    <m/>
    <m/>
    <m/>
    <n v="575.53650000000005"/>
    <d v="2023-09-12T00:00:00"/>
    <n v="0"/>
    <n v="0"/>
    <n v="0"/>
    <n v="0"/>
    <n v="0"/>
    <n v="0"/>
    <n v="0"/>
    <x v="0"/>
    <n v="114531.76350000002"/>
    <n v="114531.76350000002"/>
    <n v="0"/>
    <n v="0"/>
    <x v="0"/>
    <x v="19"/>
  </r>
  <r>
    <s v="ORD03858"/>
    <d v="2023-10-31T00:00:00"/>
    <x v="471"/>
    <x v="217"/>
    <n v="185"/>
    <s v="INV03858"/>
    <n v="185"/>
    <n v="189.52920000000003"/>
    <m/>
    <m/>
    <m/>
    <m/>
    <m/>
    <n v="189.52920000000003"/>
    <d v="2023-05-24T00:00:00"/>
    <n v="0"/>
    <n v="0"/>
    <n v="0"/>
    <n v="0"/>
    <n v="0"/>
    <n v="0"/>
    <n v="0"/>
    <x v="0"/>
    <n v="35062.902000000009"/>
    <n v="35062.902000000009"/>
    <n v="0"/>
    <n v="0"/>
    <x v="0"/>
    <x v="19"/>
  </r>
  <r>
    <s v="ORD03859"/>
    <d v="2024-03-22T00:00:00"/>
    <x v="121"/>
    <x v="43"/>
    <n v="103"/>
    <s v="INV03859"/>
    <n v="103"/>
    <n v="1190.6054999999999"/>
    <m/>
    <m/>
    <m/>
    <m/>
    <m/>
    <n v="1190.6054999999999"/>
    <d v="2023-02-27T00:00:00"/>
    <n v="0"/>
    <n v="0"/>
    <n v="0"/>
    <n v="0"/>
    <n v="0"/>
    <n v="0"/>
    <n v="0"/>
    <x v="0"/>
    <n v="122632.36649999999"/>
    <n v="122632.36649999999"/>
    <n v="0"/>
    <n v="0"/>
    <x v="0"/>
    <x v="6"/>
  </r>
  <r>
    <s v="ORD03860"/>
    <d v="2024-07-03T00:00:00"/>
    <x v="341"/>
    <x v="196"/>
    <n v="46"/>
    <s v="INV03860"/>
    <n v="50"/>
    <n v="1099.82"/>
    <n v="4"/>
    <d v="2024-03-27T00:00:00"/>
    <m/>
    <m/>
    <m/>
    <n v="1099.82"/>
    <d v="2023-02-05T00:00:00"/>
    <n v="0"/>
    <n v="1"/>
    <n v="0"/>
    <n v="0"/>
    <n v="0"/>
    <n v="0"/>
    <n v="0"/>
    <x v="1"/>
    <n v="54991"/>
    <n v="50591.719999999994"/>
    <n v="4399.2800000000061"/>
    <n v="8"/>
    <x v="2"/>
    <x v="21"/>
  </r>
  <r>
    <s v="ORD03861"/>
    <d v="2024-05-17T00:00:00"/>
    <x v="757"/>
    <x v="213"/>
    <n v="98"/>
    <s v="INV03861"/>
    <n v="98"/>
    <n v="872.7808"/>
    <m/>
    <m/>
    <m/>
    <m/>
    <m/>
    <n v="872.7808"/>
    <d v="2023-10-26T00:00:00"/>
    <n v="0"/>
    <n v="0"/>
    <n v="0"/>
    <n v="0"/>
    <n v="0"/>
    <n v="0"/>
    <n v="0"/>
    <x v="0"/>
    <n v="85532.518400000001"/>
    <n v="85532.518400000001"/>
    <n v="0"/>
    <n v="0"/>
    <x v="0"/>
    <x v="13"/>
  </r>
  <r>
    <s v="ORD03862"/>
    <d v="2024-04-10T00:00:00"/>
    <x v="88"/>
    <x v="127"/>
    <n v="143"/>
    <s v="INV03862"/>
    <n v="144"/>
    <n v="343.34190000000001"/>
    <n v="4"/>
    <d v="2024-04-03T00:00:00"/>
    <m/>
    <m/>
    <m/>
    <n v="343.34190000000001"/>
    <d v="2023-07-19T00:00:00"/>
    <n v="0"/>
    <n v="1"/>
    <n v="0"/>
    <n v="0"/>
    <n v="0"/>
    <n v="0"/>
    <n v="0"/>
    <x v="1"/>
    <n v="49441.2336"/>
    <n v="49097.8917"/>
    <n v="343.34189999999944"/>
    <n v="3"/>
    <x v="1"/>
    <x v="9"/>
  </r>
  <r>
    <s v="ORD03863"/>
    <d v="2023-12-04T00:00:00"/>
    <x v="675"/>
    <x v="96"/>
    <n v="84"/>
    <s v="INV03863"/>
    <n v="84"/>
    <n v="497.4264"/>
    <m/>
    <m/>
    <m/>
    <m/>
    <m/>
    <n v="497.4264"/>
    <d v="2023-10-13T00:00:00"/>
    <n v="0"/>
    <n v="0"/>
    <n v="0"/>
    <n v="0"/>
    <n v="0"/>
    <n v="0"/>
    <n v="0"/>
    <x v="0"/>
    <n v="41783.817600000002"/>
    <n v="41783.817600000002"/>
    <n v="0"/>
    <n v="0"/>
    <x v="0"/>
    <x v="20"/>
  </r>
  <r>
    <s v="ORD03864"/>
    <d v="2023-08-14T00:00:00"/>
    <x v="464"/>
    <x v="169"/>
    <n v="18"/>
    <s v="INV03864"/>
    <n v="18"/>
    <n v="1153.4984999999999"/>
    <m/>
    <m/>
    <m/>
    <m/>
    <m/>
    <n v="1153.4984999999999"/>
    <d v="2023-02-05T00:00:00"/>
    <n v="0"/>
    <n v="0"/>
    <n v="0"/>
    <n v="0"/>
    <n v="0"/>
    <n v="0"/>
    <n v="0"/>
    <x v="0"/>
    <n v="20762.972999999998"/>
    <n v="20762.972999999998"/>
    <n v="0"/>
    <n v="0"/>
    <x v="0"/>
    <x v="12"/>
  </r>
  <r>
    <s v="ORD03865"/>
    <d v="2024-07-17T00:00:00"/>
    <x v="142"/>
    <x v="192"/>
    <n v="118"/>
    <s v="INV03865"/>
    <n v="118"/>
    <n v="247.48920000000001"/>
    <m/>
    <m/>
    <m/>
    <m/>
    <m/>
    <n v="247.48920000000001"/>
    <d v="2023-06-11T00:00:00"/>
    <n v="0"/>
    <n v="0"/>
    <n v="0"/>
    <n v="0"/>
    <n v="0"/>
    <n v="0"/>
    <n v="0"/>
    <x v="0"/>
    <n v="29203.725600000002"/>
    <n v="29203.725600000002"/>
    <n v="0"/>
    <n v="0"/>
    <x v="0"/>
    <x v="21"/>
  </r>
  <r>
    <s v="ORD03866"/>
    <d v="2023-01-11T00:00:00"/>
    <x v="478"/>
    <x v="262"/>
    <n v="135"/>
    <s v="INV03866"/>
    <n v="135"/>
    <n v="249.22"/>
    <m/>
    <m/>
    <m/>
    <m/>
    <m/>
    <n v="249.22"/>
    <d v="2022-10-03T00:00:00"/>
    <n v="0"/>
    <n v="0"/>
    <n v="0"/>
    <n v="0"/>
    <n v="0"/>
    <n v="0"/>
    <n v="0"/>
    <x v="0"/>
    <n v="33644.699999999997"/>
    <n v="33644.699999999997"/>
    <n v="0"/>
    <n v="0"/>
    <x v="0"/>
    <x v="8"/>
  </r>
  <r>
    <s v="ORD03867"/>
    <d v="2023-10-02T00:00:00"/>
    <x v="655"/>
    <x v="49"/>
    <n v="178"/>
    <s v="INV03867"/>
    <n v="178"/>
    <n v="1040.9412"/>
    <m/>
    <m/>
    <m/>
    <m/>
    <m/>
    <n v="1040.9412"/>
    <d v="2023-02-26T00:00:00"/>
    <n v="0"/>
    <n v="0"/>
    <n v="0"/>
    <n v="0"/>
    <n v="0"/>
    <n v="0"/>
    <n v="0"/>
    <x v="0"/>
    <n v="185287.5336"/>
    <n v="185287.5336"/>
    <n v="0"/>
    <n v="0"/>
    <x v="0"/>
    <x v="19"/>
  </r>
  <r>
    <s v="ORD03868"/>
    <d v="2023-06-07T00:00:00"/>
    <x v="454"/>
    <x v="231"/>
    <n v="180"/>
    <s v="INV03868"/>
    <n v="180"/>
    <n v="874.92399999999998"/>
    <m/>
    <m/>
    <m/>
    <m/>
    <m/>
    <n v="874.92399999999998"/>
    <d v="2023-02-09T00:00:00"/>
    <n v="0"/>
    <n v="0"/>
    <n v="0"/>
    <n v="0"/>
    <n v="0"/>
    <n v="0"/>
    <n v="0"/>
    <x v="0"/>
    <n v="157486.32"/>
    <n v="157486.32"/>
    <n v="0"/>
    <n v="0"/>
    <x v="0"/>
    <x v="14"/>
  </r>
  <r>
    <s v="ORD03869"/>
    <d v="2024-06-15T00:00:00"/>
    <x v="82"/>
    <x v="107"/>
    <n v="179"/>
    <s v="INV03869"/>
    <n v="179"/>
    <n v="52.185000000000002"/>
    <m/>
    <m/>
    <m/>
    <m/>
    <m/>
    <n v="52.185000000000002"/>
    <d v="2023-03-13T00:00:00"/>
    <n v="0"/>
    <n v="0"/>
    <n v="0"/>
    <n v="0"/>
    <n v="0"/>
    <n v="0"/>
    <n v="0"/>
    <x v="0"/>
    <n v="9341.1149999999998"/>
    <n v="9341.1149999999998"/>
    <n v="0"/>
    <n v="0"/>
    <x v="0"/>
    <x v="16"/>
  </r>
  <r>
    <s v="ORD03870"/>
    <d v="2024-05-03T00:00:00"/>
    <x v="30"/>
    <x v="213"/>
    <n v="83"/>
    <s v="INV03870"/>
    <n v="83"/>
    <n v="872.7808"/>
    <m/>
    <m/>
    <m/>
    <m/>
    <m/>
    <n v="872.7808"/>
    <d v="2023-10-26T00:00:00"/>
    <n v="0"/>
    <n v="0"/>
    <n v="0"/>
    <n v="0"/>
    <n v="0"/>
    <n v="0"/>
    <n v="0"/>
    <x v="0"/>
    <n v="72440.806400000001"/>
    <n v="72440.806400000001"/>
    <n v="0"/>
    <n v="0"/>
    <x v="0"/>
    <x v="13"/>
  </r>
  <r>
    <s v="ORD03871"/>
    <d v="2024-09-26T00:00:00"/>
    <x v="432"/>
    <x v="3"/>
    <n v="198"/>
    <s v="INV03871"/>
    <n v="198"/>
    <n v="849.43949999999995"/>
    <m/>
    <m/>
    <m/>
    <m/>
    <m/>
    <n v="849.43949999999995"/>
    <d v="2023-07-07T00:00:00"/>
    <n v="0"/>
    <n v="0"/>
    <n v="0"/>
    <n v="0"/>
    <n v="0"/>
    <n v="0"/>
    <n v="0"/>
    <x v="0"/>
    <n v="168189.02099999998"/>
    <n v="168189.02099999998"/>
    <n v="0"/>
    <n v="0"/>
    <x v="0"/>
    <x v="2"/>
  </r>
  <r>
    <s v="ORD03872"/>
    <d v="2023-01-05T00:00:00"/>
    <x v="727"/>
    <x v="30"/>
    <n v="148"/>
    <s v="INV03872"/>
    <n v="148"/>
    <n v="364.40320000000003"/>
    <m/>
    <m/>
    <m/>
    <m/>
    <m/>
    <n v="364.40320000000003"/>
    <d v="2022-07-24T00:00:00"/>
    <n v="0"/>
    <n v="0"/>
    <n v="0"/>
    <n v="0"/>
    <n v="0"/>
    <n v="0"/>
    <n v="0"/>
    <x v="0"/>
    <n v="53931.673600000002"/>
    <n v="53931.673600000002"/>
    <n v="0"/>
    <n v="0"/>
    <x v="0"/>
    <x v="8"/>
  </r>
  <r>
    <s v="ORD03873"/>
    <d v="2023-01-29T00:00:00"/>
    <x v="54"/>
    <x v="103"/>
    <n v="124"/>
    <s v="INV03873"/>
    <n v="124"/>
    <n v="770.54579999999999"/>
    <m/>
    <m/>
    <m/>
    <m/>
    <m/>
    <n v="770.54579999999999"/>
    <d v="2022-11-04T00:00:00"/>
    <n v="0"/>
    <n v="0"/>
    <n v="0"/>
    <n v="0"/>
    <n v="0"/>
    <n v="0"/>
    <n v="0"/>
    <x v="0"/>
    <n v="95547.679199999999"/>
    <n v="95547.679199999999"/>
    <n v="0"/>
    <n v="0"/>
    <x v="0"/>
    <x v="8"/>
  </r>
  <r>
    <s v="ORD03874"/>
    <d v="2024-07-10T00:00:00"/>
    <x v="227"/>
    <x v="171"/>
    <n v="159"/>
    <s v="INV03874"/>
    <n v="159"/>
    <n v="115.0735"/>
    <m/>
    <m/>
    <m/>
    <m/>
    <m/>
    <n v="115.0735"/>
    <d v="2023-10-28T00:00:00"/>
    <n v="0"/>
    <n v="0"/>
    <n v="0"/>
    <n v="0"/>
    <n v="0"/>
    <n v="0"/>
    <n v="0"/>
    <x v="0"/>
    <n v="18296.6865"/>
    <n v="18296.6865"/>
    <n v="0"/>
    <n v="0"/>
    <x v="0"/>
    <x v="21"/>
  </r>
  <r>
    <s v="ORD03875"/>
    <d v="2023-10-26T00:00:00"/>
    <x v="785"/>
    <x v="101"/>
    <n v="38"/>
    <s v="INV03875"/>
    <n v="38"/>
    <n v="1223.9694"/>
    <m/>
    <m/>
    <m/>
    <m/>
    <m/>
    <n v="1223.9694"/>
    <d v="2023-08-16T00:00:00"/>
    <n v="0"/>
    <n v="0"/>
    <n v="0"/>
    <n v="0"/>
    <n v="0"/>
    <n v="0"/>
    <n v="0"/>
    <x v="0"/>
    <n v="46510.837199999994"/>
    <n v="46510.837199999994"/>
    <n v="0"/>
    <n v="0"/>
    <x v="0"/>
    <x v="19"/>
  </r>
  <r>
    <s v="ORD03876"/>
    <d v="2024-07-15T00:00:00"/>
    <x v="590"/>
    <x v="105"/>
    <n v="127"/>
    <s v="INV03876"/>
    <n v="127"/>
    <n v="1085.8974999999998"/>
    <m/>
    <m/>
    <m/>
    <m/>
    <m/>
    <n v="1085.8974999999998"/>
    <d v="2023-08-09T00:00:00"/>
    <n v="0"/>
    <n v="0"/>
    <n v="0"/>
    <n v="0"/>
    <n v="0"/>
    <n v="0"/>
    <n v="0"/>
    <x v="0"/>
    <n v="137908.98249999998"/>
    <n v="137908.98249999998"/>
    <n v="0"/>
    <n v="0"/>
    <x v="0"/>
    <x v="21"/>
  </r>
  <r>
    <s v="ORD03877"/>
    <d v="2023-02-22T00:00:00"/>
    <x v="768"/>
    <x v="144"/>
    <n v="179"/>
    <s v="INV03877"/>
    <n v="179"/>
    <n v="309.07"/>
    <m/>
    <m/>
    <m/>
    <m/>
    <m/>
    <n v="309.07"/>
    <d v="2022-04-24T00:00:00"/>
    <n v="0"/>
    <n v="0"/>
    <n v="0"/>
    <n v="0"/>
    <n v="0"/>
    <n v="0"/>
    <n v="0"/>
    <x v="0"/>
    <n v="55323.53"/>
    <n v="55323.53"/>
    <n v="0"/>
    <n v="0"/>
    <x v="0"/>
    <x v="11"/>
  </r>
  <r>
    <s v="ORD03878"/>
    <d v="2023-12-19T00:00:00"/>
    <x v="737"/>
    <x v="277"/>
    <n v="17"/>
    <s v="INV03878"/>
    <n v="17"/>
    <n v="544.5"/>
    <m/>
    <m/>
    <m/>
    <m/>
    <m/>
    <n v="544.5"/>
    <d v="2023-08-21T00:00:00"/>
    <n v="0"/>
    <n v="0"/>
    <n v="0"/>
    <n v="0"/>
    <n v="0"/>
    <n v="0"/>
    <n v="0"/>
    <x v="0"/>
    <n v="9256.5"/>
    <n v="9256.5"/>
    <n v="0"/>
    <n v="0"/>
    <x v="0"/>
    <x v="20"/>
  </r>
  <r>
    <s v="ORD03879"/>
    <d v="2024-05-24T00:00:00"/>
    <x v="434"/>
    <x v="33"/>
    <n v="195"/>
    <s v="INV03879"/>
    <n v="195"/>
    <n v="54.580199999999998"/>
    <m/>
    <m/>
    <m/>
    <m/>
    <m/>
    <n v="54.580199999999998"/>
    <d v="2023-02-27T00:00:00"/>
    <n v="0"/>
    <n v="0"/>
    <n v="0"/>
    <n v="0"/>
    <n v="0"/>
    <n v="0"/>
    <n v="0"/>
    <x v="0"/>
    <n v="10643.138999999999"/>
    <n v="10643.138999999999"/>
    <n v="0"/>
    <n v="0"/>
    <x v="0"/>
    <x v="13"/>
  </r>
  <r>
    <s v="ORD03880"/>
    <d v="2023-01-09T00:00:00"/>
    <x v="151"/>
    <x v="194"/>
    <n v="179"/>
    <s v="INV03880"/>
    <n v="179"/>
    <n v="411.77"/>
    <m/>
    <m/>
    <m/>
    <m/>
    <m/>
    <n v="411.77"/>
    <d v="2022-02-19T00:00:00"/>
    <n v="0"/>
    <n v="0"/>
    <n v="0"/>
    <n v="0"/>
    <n v="0"/>
    <n v="0"/>
    <n v="0"/>
    <x v="0"/>
    <n v="73706.83"/>
    <n v="73706.83"/>
    <n v="0"/>
    <n v="0"/>
    <x v="0"/>
    <x v="8"/>
  </r>
  <r>
    <s v="ORD03881"/>
    <d v="2023-03-09T00:00:00"/>
    <x v="283"/>
    <x v="204"/>
    <n v="194"/>
    <s v="INV03881"/>
    <n v="194"/>
    <n v="921.76"/>
    <m/>
    <m/>
    <m/>
    <m/>
    <m/>
    <n v="921.76"/>
    <d v="2022-04-11T00:00:00"/>
    <n v="0"/>
    <n v="0"/>
    <n v="0"/>
    <n v="0"/>
    <n v="0"/>
    <n v="0"/>
    <n v="0"/>
    <x v="0"/>
    <n v="178821.44"/>
    <n v="178821.44"/>
    <n v="0"/>
    <n v="0"/>
    <x v="0"/>
    <x v="17"/>
  </r>
  <r>
    <s v="ORD03882"/>
    <d v="2024-02-06T00:00:00"/>
    <x v="333"/>
    <x v="207"/>
    <n v="82"/>
    <s v="INV03882"/>
    <n v="82"/>
    <n v="287.90559999999999"/>
    <m/>
    <m/>
    <m/>
    <m/>
    <m/>
    <n v="287.90559999999999"/>
    <d v="2023-10-25T00:00:00"/>
    <n v="0"/>
    <n v="0"/>
    <n v="0"/>
    <n v="0"/>
    <n v="0"/>
    <n v="0"/>
    <n v="0"/>
    <x v="0"/>
    <n v="23608.2592"/>
    <n v="23608.2592"/>
    <n v="0"/>
    <n v="0"/>
    <x v="0"/>
    <x v="3"/>
  </r>
  <r>
    <s v="ORD03883"/>
    <d v="2024-10-24T00:00:00"/>
    <x v="208"/>
    <x v="280"/>
    <n v="18"/>
    <s v="INV03883"/>
    <n v="18"/>
    <n v="511.96"/>
    <n v="4"/>
    <d v="2025-02-25T00:00:00"/>
    <m/>
    <m/>
    <m/>
    <n v="511.96"/>
    <d v="2023-05-12T00:00:00"/>
    <n v="0"/>
    <n v="0"/>
    <n v="0"/>
    <n v="0"/>
    <n v="0"/>
    <n v="1"/>
    <n v="0"/>
    <x v="1"/>
    <n v="9215.2799999999988"/>
    <n v="9215.2799999999988"/>
    <n v="0"/>
    <n v="2"/>
    <x v="1"/>
    <x v="5"/>
  </r>
  <r>
    <s v="ORD03884"/>
    <d v="2023-07-08T00:00:00"/>
    <x v="566"/>
    <x v="290"/>
    <n v="104"/>
    <s v="INV03884"/>
    <n v="104"/>
    <n v="1159.732"/>
    <n v="4"/>
    <d v="2023-07-13T00:00:00"/>
    <m/>
    <m/>
    <m/>
    <n v="1159.732"/>
    <d v="2023-04-16T00:00:00"/>
    <n v="0"/>
    <n v="0"/>
    <n v="0"/>
    <n v="0"/>
    <n v="0"/>
    <n v="0"/>
    <n v="0"/>
    <x v="0"/>
    <n v="120612.128"/>
    <n v="120612.128"/>
    <n v="0"/>
    <n v="0"/>
    <x v="0"/>
    <x v="10"/>
  </r>
  <r>
    <s v="ORD03885"/>
    <d v="2024-02-15T00:00:00"/>
    <x v="469"/>
    <x v="154"/>
    <n v="106"/>
    <s v="INV03885"/>
    <n v="106"/>
    <n v="744.98490000000004"/>
    <m/>
    <m/>
    <m/>
    <m/>
    <m/>
    <n v="744.98490000000004"/>
    <d v="2023-07-31T00:00:00"/>
    <n v="0"/>
    <n v="0"/>
    <n v="0"/>
    <n v="0"/>
    <n v="0"/>
    <n v="0"/>
    <n v="0"/>
    <x v="0"/>
    <n v="78968.399400000009"/>
    <n v="78968.399400000009"/>
    <n v="0"/>
    <n v="0"/>
    <x v="0"/>
    <x v="3"/>
  </r>
  <r>
    <s v="ORD03886"/>
    <d v="2024-12-19T00:00:00"/>
    <x v="400"/>
    <x v="19"/>
    <n v="108"/>
    <s v="INV03886"/>
    <n v="108"/>
    <n v="833.41650000000004"/>
    <n v="11"/>
    <d v="2025-01-08T00:00:00"/>
    <m/>
    <m/>
    <m/>
    <n v="833.41650000000004"/>
    <d v="2023-09-25T00:00:00"/>
    <n v="0"/>
    <n v="0"/>
    <n v="0"/>
    <n v="0"/>
    <n v="0"/>
    <n v="0"/>
    <n v="0"/>
    <x v="0"/>
    <n v="90008.982000000004"/>
    <n v="90008.982000000004"/>
    <n v="0"/>
    <n v="0"/>
    <x v="0"/>
    <x v="1"/>
  </r>
  <r>
    <s v="ORD03887"/>
    <d v="2024-01-01T00:00:00"/>
    <x v="248"/>
    <x v="218"/>
    <n v="129"/>
    <s v="INV03887"/>
    <n v="129"/>
    <n v="960.85850000000005"/>
    <m/>
    <m/>
    <m/>
    <m/>
    <m/>
    <n v="960.85850000000005"/>
    <d v="2023-05-03T00:00:00"/>
    <n v="0"/>
    <n v="0"/>
    <n v="0"/>
    <n v="0"/>
    <n v="0"/>
    <n v="0"/>
    <n v="0"/>
    <x v="0"/>
    <n v="123950.74650000001"/>
    <n v="123950.74650000001"/>
    <n v="0"/>
    <n v="0"/>
    <x v="0"/>
    <x v="15"/>
  </r>
  <r>
    <s v="ORD03888"/>
    <d v="2024-05-18T00:00:00"/>
    <x v="270"/>
    <x v="263"/>
    <n v="84"/>
    <s v="INV03888"/>
    <n v="84"/>
    <n v="599.90620000000001"/>
    <n v="10"/>
    <d v="2024-02-07T00:00:00"/>
    <m/>
    <m/>
    <m/>
    <n v="599.90620000000001"/>
    <d v="2023-05-14T00:00:00"/>
    <n v="0"/>
    <n v="0"/>
    <n v="0"/>
    <n v="0"/>
    <n v="0"/>
    <n v="0"/>
    <n v="0"/>
    <x v="0"/>
    <n v="50392.120800000004"/>
    <n v="50392.120800000004"/>
    <n v="0"/>
    <n v="0"/>
    <x v="0"/>
    <x v="13"/>
  </r>
  <r>
    <s v="ORD03889"/>
    <d v="2023-07-01T00:00:00"/>
    <x v="774"/>
    <x v="42"/>
    <n v="186"/>
    <s v="INV03889"/>
    <n v="186"/>
    <n v="946.74860000000001"/>
    <m/>
    <m/>
    <m/>
    <m/>
    <m/>
    <n v="946.74860000000001"/>
    <d v="2023-04-22T00:00:00"/>
    <n v="0"/>
    <n v="0"/>
    <n v="0"/>
    <n v="0"/>
    <n v="0"/>
    <n v="0"/>
    <n v="0"/>
    <x v="0"/>
    <n v="176095.2396"/>
    <n v="176095.2396"/>
    <n v="0"/>
    <n v="0"/>
    <x v="0"/>
    <x v="10"/>
  </r>
  <r>
    <s v="ORD03890"/>
    <d v="2023-08-31T00:00:00"/>
    <x v="78"/>
    <x v="176"/>
    <n v="167"/>
    <s v="INV03890"/>
    <n v="167"/>
    <n v="78.298400000000001"/>
    <m/>
    <m/>
    <m/>
    <m/>
    <m/>
    <n v="78.298400000000001"/>
    <d v="2022-12-24T00:00:00"/>
    <n v="0"/>
    <n v="0"/>
    <n v="0"/>
    <n v="0"/>
    <n v="0"/>
    <n v="0"/>
    <n v="0"/>
    <x v="0"/>
    <n v="13075.8328"/>
    <n v="13075.8328"/>
    <n v="0"/>
    <n v="0"/>
    <x v="0"/>
    <x v="12"/>
  </r>
  <r>
    <s v="ORD03891"/>
    <d v="2024-02-16T00:00:00"/>
    <x v="224"/>
    <x v="194"/>
    <n v="167"/>
    <s v="INV03891"/>
    <n v="167"/>
    <n v="415.8877"/>
    <m/>
    <m/>
    <m/>
    <m/>
    <m/>
    <n v="415.8877"/>
    <d v="2023-08-08T00:00:00"/>
    <n v="0"/>
    <n v="0"/>
    <n v="0"/>
    <n v="0"/>
    <n v="0"/>
    <n v="0"/>
    <n v="0"/>
    <x v="0"/>
    <n v="69453.245899999994"/>
    <n v="69453.245899999994"/>
    <n v="0"/>
    <n v="0"/>
    <x v="0"/>
    <x v="3"/>
  </r>
  <r>
    <s v="ORD03892"/>
    <d v="2023-10-08T00:00:00"/>
    <x v="196"/>
    <x v="37"/>
    <n v="194"/>
    <s v="INV03892"/>
    <n v="194"/>
    <n v="637.18399999999997"/>
    <m/>
    <m/>
    <m/>
    <m/>
    <m/>
    <n v="637.18399999999997"/>
    <d v="2023-09-06T00:00:00"/>
    <n v="0"/>
    <n v="0"/>
    <n v="0"/>
    <n v="0"/>
    <n v="0"/>
    <n v="0"/>
    <n v="0"/>
    <x v="0"/>
    <n v="123613.696"/>
    <n v="123613.696"/>
    <n v="0"/>
    <n v="0"/>
    <x v="0"/>
    <x v="19"/>
  </r>
  <r>
    <s v="ORD03893"/>
    <d v="2023-01-28T00:00:00"/>
    <x v="270"/>
    <x v="167"/>
    <n v="15"/>
    <s v="INV03893"/>
    <n v="15"/>
    <n v="230.78"/>
    <m/>
    <m/>
    <m/>
    <m/>
    <m/>
    <n v="230.78"/>
    <d v="2022-03-13T00:00:00"/>
    <n v="0"/>
    <n v="0"/>
    <n v="0"/>
    <n v="0"/>
    <n v="0"/>
    <n v="0"/>
    <n v="0"/>
    <x v="0"/>
    <n v="3461.7"/>
    <n v="3461.7"/>
    <n v="0"/>
    <n v="0"/>
    <x v="0"/>
    <x v="8"/>
  </r>
  <r>
    <s v="ORD03894"/>
    <d v="2024-12-28T00:00:00"/>
    <x v="735"/>
    <x v="216"/>
    <n v="177"/>
    <s v="INV03894"/>
    <n v="177"/>
    <n v="828.36189999999999"/>
    <m/>
    <m/>
    <m/>
    <m/>
    <m/>
    <n v="828.36189999999999"/>
    <d v="2023-07-30T00:00:00"/>
    <n v="0"/>
    <n v="0"/>
    <n v="0"/>
    <n v="0"/>
    <n v="0"/>
    <n v="0"/>
    <n v="0"/>
    <x v="0"/>
    <n v="146620.0563"/>
    <n v="146620.0563"/>
    <n v="0"/>
    <n v="0"/>
    <x v="0"/>
    <x v="1"/>
  </r>
  <r>
    <s v="ORD03895"/>
    <d v="2023-04-10T00:00:00"/>
    <x v="109"/>
    <x v="96"/>
    <n v="183"/>
    <s v="INV03895"/>
    <n v="183"/>
    <n v="442.15679999999998"/>
    <m/>
    <m/>
    <m/>
    <m/>
    <m/>
    <n v="442.15679999999998"/>
    <d v="2022-09-28T00:00:00"/>
    <n v="0"/>
    <n v="0"/>
    <n v="0"/>
    <n v="0"/>
    <n v="0"/>
    <n v="0"/>
    <n v="0"/>
    <x v="0"/>
    <n v="80914.694399999993"/>
    <n v="80914.694399999993"/>
    <n v="0"/>
    <n v="0"/>
    <x v="0"/>
    <x v="23"/>
  </r>
  <r>
    <s v="ORD03896"/>
    <d v="2024-09-18T00:00:00"/>
    <x v="107"/>
    <x v="180"/>
    <n v="50"/>
    <s v="INV03896"/>
    <n v="50"/>
    <n v="977.22280000000001"/>
    <m/>
    <m/>
    <m/>
    <m/>
    <m/>
    <n v="977.22280000000001"/>
    <d v="2023-02-27T00:00:00"/>
    <n v="0"/>
    <n v="0"/>
    <n v="0"/>
    <n v="0"/>
    <n v="0"/>
    <n v="0"/>
    <n v="0"/>
    <x v="0"/>
    <n v="48861.14"/>
    <n v="48861.14"/>
    <n v="0"/>
    <n v="0"/>
    <x v="0"/>
    <x v="2"/>
  </r>
  <r>
    <s v="ORD03897"/>
    <d v="2024-04-06T00:00:00"/>
    <x v="433"/>
    <x v="117"/>
    <n v="191"/>
    <s v="INV03897"/>
    <n v="191"/>
    <n v="214.6182"/>
    <m/>
    <m/>
    <m/>
    <m/>
    <m/>
    <n v="214.6182"/>
    <d v="2023-07-09T00:00:00"/>
    <n v="0"/>
    <n v="0"/>
    <n v="0"/>
    <n v="0"/>
    <n v="0"/>
    <n v="0"/>
    <n v="0"/>
    <x v="0"/>
    <n v="40992.076200000003"/>
    <n v="40992.076200000003"/>
    <n v="0"/>
    <n v="0"/>
    <x v="0"/>
    <x v="9"/>
  </r>
  <r>
    <s v="ORD03898"/>
    <d v="2024-09-12T00:00:00"/>
    <x v="566"/>
    <x v="279"/>
    <n v="67"/>
    <s v="INV03898"/>
    <n v="67"/>
    <n v="461.00940000000003"/>
    <m/>
    <m/>
    <m/>
    <m/>
    <m/>
    <n v="461.00940000000003"/>
    <d v="2023-04-20T00:00:00"/>
    <n v="0"/>
    <n v="0"/>
    <n v="0"/>
    <n v="0"/>
    <n v="0"/>
    <n v="0"/>
    <n v="0"/>
    <x v="0"/>
    <n v="30887.629800000002"/>
    <n v="30887.629800000002"/>
    <n v="0"/>
    <n v="0"/>
    <x v="0"/>
    <x v="2"/>
  </r>
  <r>
    <s v="ORD03899"/>
    <d v="2024-02-26T00:00:00"/>
    <x v="41"/>
    <x v="229"/>
    <n v="4"/>
    <s v="INV03899"/>
    <n v="4"/>
    <n v="402.05340000000001"/>
    <m/>
    <m/>
    <m/>
    <m/>
    <m/>
    <n v="402.05340000000001"/>
    <d v="2023-10-15T00:00:00"/>
    <n v="0"/>
    <n v="0"/>
    <n v="0"/>
    <n v="0"/>
    <n v="0"/>
    <n v="0"/>
    <n v="0"/>
    <x v="0"/>
    <n v="1608.2136"/>
    <n v="1608.2136"/>
    <n v="0"/>
    <n v="0"/>
    <x v="0"/>
    <x v="3"/>
  </r>
  <r>
    <s v="ORD03900"/>
    <d v="2024-03-01T00:00:00"/>
    <x v="724"/>
    <x v="152"/>
    <n v="140"/>
    <s v="INV03900"/>
    <n v="140"/>
    <n v="403.01909999999998"/>
    <m/>
    <m/>
    <m/>
    <m/>
    <m/>
    <n v="403.01909999999998"/>
    <d v="2023-05-10T00:00:00"/>
    <n v="0"/>
    <n v="0"/>
    <n v="0"/>
    <n v="0"/>
    <n v="0"/>
    <n v="0"/>
    <n v="0"/>
    <x v="0"/>
    <n v="56422.673999999999"/>
    <n v="56422.673999999999"/>
    <n v="0"/>
    <n v="0"/>
    <x v="0"/>
    <x v="6"/>
  </r>
  <r>
    <s v="ORD03901"/>
    <d v="2024-12-12T00:00:00"/>
    <x v="599"/>
    <x v="62"/>
    <n v="87"/>
    <s v="INV03901"/>
    <n v="87"/>
    <n v="1080.0740000000001"/>
    <m/>
    <m/>
    <m/>
    <m/>
    <m/>
    <n v="1080.0740000000001"/>
    <d v="2023-05-12T00:00:00"/>
    <n v="0"/>
    <n v="0"/>
    <n v="0"/>
    <n v="0"/>
    <n v="0"/>
    <n v="0"/>
    <n v="0"/>
    <x v="0"/>
    <n v="93966.438000000009"/>
    <n v="93966.438000000009"/>
    <n v="0"/>
    <n v="0"/>
    <x v="0"/>
    <x v="1"/>
  </r>
  <r>
    <s v="ORD03902"/>
    <d v="2023-05-01T00:00:00"/>
    <x v="338"/>
    <x v="196"/>
    <n v="76"/>
    <s v="INV03902"/>
    <n v="76"/>
    <n v="1099.82"/>
    <m/>
    <m/>
    <m/>
    <m/>
    <m/>
    <n v="1099.82"/>
    <d v="2023-02-05T00:00:00"/>
    <n v="0"/>
    <n v="0"/>
    <n v="0"/>
    <n v="0"/>
    <n v="0"/>
    <n v="0"/>
    <n v="0"/>
    <x v="0"/>
    <n v="83586.319999999992"/>
    <n v="83586.319999999992"/>
    <n v="0"/>
    <n v="0"/>
    <x v="0"/>
    <x v="7"/>
  </r>
  <r>
    <s v="ORD03903"/>
    <d v="2023-05-04T00:00:00"/>
    <x v="136"/>
    <x v="163"/>
    <n v="157"/>
    <s v="INV03903"/>
    <n v="155"/>
    <n v="147.87150000000003"/>
    <m/>
    <m/>
    <m/>
    <m/>
    <m/>
    <n v="147.87150000000003"/>
    <d v="2023-02-15T00:00:00"/>
    <n v="0"/>
    <n v="1"/>
    <n v="0"/>
    <n v="0"/>
    <n v="0"/>
    <n v="0"/>
    <n v="0"/>
    <x v="1"/>
    <n v="22920.082500000004"/>
    <n v="23215.825500000003"/>
    <n v="-295.74299999999857"/>
    <n v="3"/>
    <x v="1"/>
    <x v="7"/>
  </r>
  <r>
    <s v="ORD03904"/>
    <d v="2023-06-11T00:00:00"/>
    <x v="152"/>
    <x v="27"/>
    <n v="182"/>
    <s v="INV03904"/>
    <n v="182"/>
    <n v="723.1"/>
    <m/>
    <m/>
    <m/>
    <m/>
    <m/>
    <n v="723.1"/>
    <d v="2023-02-13T00:00:00"/>
    <n v="0"/>
    <n v="0"/>
    <n v="0"/>
    <n v="0"/>
    <n v="0"/>
    <n v="0"/>
    <n v="0"/>
    <x v="0"/>
    <n v="131604.20000000001"/>
    <n v="131604.20000000001"/>
    <n v="0"/>
    <n v="0"/>
    <x v="0"/>
    <x v="14"/>
  </r>
  <r>
    <s v="ORD03905"/>
    <d v="2023-10-26T00:00:00"/>
    <x v="122"/>
    <x v="48"/>
    <n v="174"/>
    <s v="INV03905"/>
    <n v="174"/>
    <n v="1144.1684"/>
    <m/>
    <m/>
    <m/>
    <m/>
    <m/>
    <n v="1144.1684"/>
    <d v="2023-01-29T00:00:00"/>
    <n v="0"/>
    <n v="0"/>
    <n v="0"/>
    <n v="0"/>
    <n v="0"/>
    <n v="0"/>
    <n v="0"/>
    <x v="0"/>
    <n v="199085.30160000001"/>
    <n v="199085.30160000001"/>
    <n v="0"/>
    <n v="0"/>
    <x v="0"/>
    <x v="19"/>
  </r>
  <r>
    <s v="ORD03906"/>
    <d v="2023-03-11T00:00:00"/>
    <x v="35"/>
    <x v="36"/>
    <n v="173"/>
    <s v="INV03906"/>
    <n v="173"/>
    <n v="415.70589999999999"/>
    <m/>
    <m/>
    <m/>
    <m/>
    <m/>
    <n v="415.70589999999999"/>
    <d v="2023-03-04T00:00:00"/>
    <n v="0"/>
    <n v="0"/>
    <n v="0"/>
    <n v="0"/>
    <n v="0"/>
    <n v="0"/>
    <n v="0"/>
    <x v="0"/>
    <n v="71917.120699999999"/>
    <n v="71917.120699999999"/>
    <n v="0"/>
    <n v="0"/>
    <x v="0"/>
    <x v="17"/>
  </r>
  <r>
    <s v="ORD03907"/>
    <d v="2023-11-22T00:00:00"/>
    <x v="229"/>
    <x v="287"/>
    <n v="107"/>
    <s v="INV03907"/>
    <n v="107"/>
    <n v="720.47380000000021"/>
    <m/>
    <m/>
    <m/>
    <m/>
    <m/>
    <n v="720.47380000000021"/>
    <d v="2023-04-10T00:00:00"/>
    <n v="0"/>
    <n v="0"/>
    <n v="0"/>
    <n v="0"/>
    <n v="0"/>
    <n v="0"/>
    <n v="0"/>
    <x v="0"/>
    <n v="77090.696600000025"/>
    <n v="77090.696600000025"/>
    <n v="0"/>
    <n v="0"/>
    <x v="0"/>
    <x v="0"/>
  </r>
  <r>
    <s v="ORD03908"/>
    <d v="2023-02-15T00:00:00"/>
    <x v="308"/>
    <x v="71"/>
    <n v="90"/>
    <s v="INV03908"/>
    <n v="90"/>
    <n v="238.7328"/>
    <m/>
    <m/>
    <m/>
    <m/>
    <m/>
    <n v="238.7328"/>
    <d v="2022-11-30T00:00:00"/>
    <n v="0"/>
    <n v="0"/>
    <n v="0"/>
    <n v="0"/>
    <n v="0"/>
    <n v="0"/>
    <n v="0"/>
    <x v="0"/>
    <n v="21485.952000000001"/>
    <n v="21485.952000000001"/>
    <n v="0"/>
    <n v="0"/>
    <x v="0"/>
    <x v="11"/>
  </r>
  <r>
    <s v="ORD03909"/>
    <d v="2023-10-28T00:00:00"/>
    <x v="747"/>
    <x v="275"/>
    <n v="104"/>
    <s v="INV03909"/>
    <n v="104"/>
    <n v="797.23339999999996"/>
    <m/>
    <m/>
    <m/>
    <m/>
    <m/>
    <n v="797.23339999999996"/>
    <d v="2023-06-08T00:00:00"/>
    <n v="0"/>
    <n v="0"/>
    <n v="0"/>
    <n v="0"/>
    <n v="0"/>
    <n v="0"/>
    <n v="0"/>
    <x v="0"/>
    <n v="82912.2736"/>
    <n v="82912.2736"/>
    <n v="0"/>
    <n v="0"/>
    <x v="0"/>
    <x v="19"/>
  </r>
  <r>
    <s v="ORD03910"/>
    <d v="2023-02-14T00:00:00"/>
    <x v="549"/>
    <x v="21"/>
    <n v="49"/>
    <s v="INV03910"/>
    <n v="49"/>
    <n v="514.18639999999994"/>
    <m/>
    <m/>
    <m/>
    <m/>
    <m/>
    <n v="514.18639999999994"/>
    <d v="2023-01-10T00:00:00"/>
    <n v="0"/>
    <n v="0"/>
    <n v="0"/>
    <n v="0"/>
    <n v="0"/>
    <n v="0"/>
    <n v="0"/>
    <x v="0"/>
    <n v="25195.133599999997"/>
    <n v="25195.133599999997"/>
    <n v="0"/>
    <n v="0"/>
    <x v="0"/>
    <x v="11"/>
  </r>
  <r>
    <s v="ORD03911"/>
    <d v="2024-01-11T00:00:00"/>
    <x v="73"/>
    <x v="218"/>
    <n v="118"/>
    <s v="INV03911"/>
    <n v="118"/>
    <n v="960.85850000000005"/>
    <m/>
    <m/>
    <m/>
    <m/>
    <m/>
    <n v="960.85850000000005"/>
    <d v="2023-05-03T00:00:00"/>
    <n v="0"/>
    <n v="0"/>
    <n v="0"/>
    <n v="0"/>
    <n v="0"/>
    <n v="0"/>
    <n v="0"/>
    <x v="0"/>
    <n v="113381.303"/>
    <n v="113381.303"/>
    <n v="0"/>
    <n v="0"/>
    <x v="0"/>
    <x v="15"/>
  </r>
  <r>
    <s v="ORD03912"/>
    <d v="2024-10-26T00:00:00"/>
    <x v="370"/>
    <x v="107"/>
    <n v="80"/>
    <s v="INV03912"/>
    <n v="80"/>
    <n v="52.185000000000002"/>
    <m/>
    <m/>
    <m/>
    <m/>
    <m/>
    <n v="52.185000000000002"/>
    <d v="2023-03-13T00:00:00"/>
    <n v="0"/>
    <n v="0"/>
    <n v="0"/>
    <n v="0"/>
    <n v="0"/>
    <n v="0"/>
    <n v="0"/>
    <x v="0"/>
    <n v="4174.8"/>
    <n v="4174.8"/>
    <n v="0"/>
    <n v="0"/>
    <x v="0"/>
    <x v="5"/>
  </r>
  <r>
    <s v="ORD03913"/>
    <d v="2023-01-06T00:00:00"/>
    <x v="87"/>
    <x v="51"/>
    <n v="190"/>
    <s v="INV03913"/>
    <n v="190"/>
    <n v="574.3415"/>
    <m/>
    <m/>
    <m/>
    <m/>
    <m/>
    <n v="574.3415"/>
    <d v="2022-09-02T00:00:00"/>
    <n v="0"/>
    <n v="0"/>
    <n v="0"/>
    <n v="0"/>
    <n v="0"/>
    <n v="0"/>
    <n v="0"/>
    <x v="0"/>
    <n v="109124.88499999999"/>
    <n v="109124.88499999999"/>
    <n v="0"/>
    <n v="0"/>
    <x v="0"/>
    <x v="8"/>
  </r>
  <r>
    <s v="ORD03914"/>
    <d v="2023-12-12T00:00:00"/>
    <x v="623"/>
    <x v="290"/>
    <n v="197"/>
    <s v="INV03914"/>
    <n v="197"/>
    <n v="1159.732"/>
    <m/>
    <m/>
    <m/>
    <m/>
    <m/>
    <n v="1159.732"/>
    <d v="2023-04-16T00:00:00"/>
    <n v="0"/>
    <n v="0"/>
    <n v="0"/>
    <n v="0"/>
    <n v="0"/>
    <n v="0"/>
    <n v="0"/>
    <x v="0"/>
    <n v="228467.204"/>
    <n v="228467.204"/>
    <n v="0"/>
    <n v="0"/>
    <x v="0"/>
    <x v="20"/>
  </r>
  <r>
    <s v="ORD03915"/>
    <d v="2024-05-30T00:00:00"/>
    <x v="99"/>
    <x v="298"/>
    <n v="152"/>
    <s v="INV03915"/>
    <n v="152"/>
    <n v="750.70520000000022"/>
    <m/>
    <m/>
    <m/>
    <m/>
    <m/>
    <n v="750.70520000000022"/>
    <d v="2023-10-27T00:00:00"/>
    <n v="0"/>
    <n v="0"/>
    <n v="0"/>
    <n v="0"/>
    <n v="0"/>
    <n v="0"/>
    <n v="0"/>
    <x v="0"/>
    <n v="114107.19040000004"/>
    <n v="114107.19040000004"/>
    <n v="0"/>
    <n v="0"/>
    <x v="0"/>
    <x v="13"/>
  </r>
  <r>
    <s v="ORD03916"/>
    <d v="2023-01-24T00:00:00"/>
    <x v="592"/>
    <x v="12"/>
    <n v="176"/>
    <s v="INV03916"/>
    <n v="173"/>
    <n v="725.50320000000011"/>
    <m/>
    <m/>
    <m/>
    <m/>
    <m/>
    <n v="725.50320000000011"/>
    <d v="2022-10-24T00:00:00"/>
    <n v="0"/>
    <n v="1"/>
    <n v="0"/>
    <n v="0"/>
    <n v="0"/>
    <n v="0"/>
    <n v="0"/>
    <x v="1"/>
    <n v="125512.05360000001"/>
    <n v="127688.56320000002"/>
    <n v="-2176.5096000000049"/>
    <n v="8"/>
    <x v="2"/>
    <x v="8"/>
  </r>
  <r>
    <s v="ORD03917"/>
    <d v="2023-02-12T00:00:00"/>
    <x v="444"/>
    <x v="155"/>
    <n v="54"/>
    <s v="INV03917"/>
    <n v="54"/>
    <n v="560.10919999999999"/>
    <m/>
    <m/>
    <m/>
    <m/>
    <m/>
    <n v="560.10919999999999"/>
    <d v="2022-10-17T00:00:00"/>
    <n v="0"/>
    <n v="0"/>
    <n v="0"/>
    <n v="0"/>
    <n v="0"/>
    <n v="0"/>
    <n v="0"/>
    <x v="0"/>
    <n v="30245.896799999999"/>
    <n v="30245.896799999999"/>
    <n v="0"/>
    <n v="0"/>
    <x v="0"/>
    <x v="11"/>
  </r>
  <r>
    <s v="ORD03918"/>
    <d v="2024-10-07T00:00:00"/>
    <x v="478"/>
    <x v="126"/>
    <n v="70"/>
    <s v="INV03918"/>
    <n v="70"/>
    <n v="287.14"/>
    <m/>
    <m/>
    <m/>
    <m/>
    <m/>
    <n v="287.14"/>
    <d v="2023-02-20T00:00:00"/>
    <n v="0"/>
    <n v="0"/>
    <n v="0"/>
    <n v="0"/>
    <n v="0"/>
    <n v="0"/>
    <n v="0"/>
    <x v="0"/>
    <n v="20099.8"/>
    <n v="20099.8"/>
    <n v="0"/>
    <n v="0"/>
    <x v="0"/>
    <x v="5"/>
  </r>
  <r>
    <s v="ORD03919"/>
    <d v="2023-11-26T00:00:00"/>
    <x v="650"/>
    <x v="113"/>
    <n v="80"/>
    <s v="INV03919"/>
    <n v="80"/>
    <n v="951.54780000000005"/>
    <m/>
    <m/>
    <m/>
    <m/>
    <m/>
    <n v="951.54780000000005"/>
    <d v="2023-02-07T00:00:00"/>
    <n v="0"/>
    <n v="0"/>
    <n v="0"/>
    <n v="0"/>
    <n v="0"/>
    <n v="0"/>
    <n v="0"/>
    <x v="0"/>
    <n v="76123.824000000008"/>
    <n v="76123.824000000008"/>
    <n v="0"/>
    <n v="0"/>
    <x v="0"/>
    <x v="0"/>
  </r>
  <r>
    <s v="ORD03920"/>
    <d v="2024-05-11T00:00:00"/>
    <x v="755"/>
    <x v="191"/>
    <n v="24"/>
    <s v="INV03920"/>
    <n v="24"/>
    <n v="355.32000000000005"/>
    <m/>
    <m/>
    <m/>
    <m/>
    <m/>
    <n v="355.32000000000005"/>
    <d v="2023-05-12T00:00:00"/>
    <n v="0"/>
    <n v="0"/>
    <n v="0"/>
    <n v="0"/>
    <n v="0"/>
    <n v="0"/>
    <n v="0"/>
    <x v="0"/>
    <n v="8527.68"/>
    <n v="8527.68"/>
    <n v="0"/>
    <n v="0"/>
    <x v="0"/>
    <x v="13"/>
  </r>
  <r>
    <s v="ORD03921"/>
    <d v="2023-01-31T00:00:00"/>
    <x v="178"/>
    <x v="240"/>
    <n v="128"/>
    <s v="INV03921"/>
    <n v="128"/>
    <n v="465.6096"/>
    <m/>
    <m/>
    <m/>
    <m/>
    <m/>
    <n v="465.6096"/>
    <d v="2022-09-06T00:00:00"/>
    <n v="0"/>
    <n v="0"/>
    <n v="0"/>
    <n v="0"/>
    <n v="0"/>
    <n v="0"/>
    <n v="0"/>
    <x v="0"/>
    <n v="59598.0288"/>
    <n v="59598.0288"/>
    <n v="0"/>
    <n v="0"/>
    <x v="0"/>
    <x v="8"/>
  </r>
  <r>
    <s v="ORD03922"/>
    <d v="2024-09-17T00:00:00"/>
    <x v="554"/>
    <x v="159"/>
    <n v="146"/>
    <s v="INV03922"/>
    <n v="146"/>
    <n v="159.06059999999999"/>
    <m/>
    <m/>
    <m/>
    <m/>
    <m/>
    <n v="159.06059999999999"/>
    <d v="2023-01-18T00:00:00"/>
    <n v="0"/>
    <n v="0"/>
    <n v="0"/>
    <n v="0"/>
    <n v="0"/>
    <n v="0"/>
    <n v="0"/>
    <x v="0"/>
    <n v="23222.847599999997"/>
    <n v="23222.847599999997"/>
    <n v="0"/>
    <n v="0"/>
    <x v="0"/>
    <x v="2"/>
  </r>
  <r>
    <s v="ORD03923"/>
    <d v="2024-11-01T00:00:00"/>
    <x v="142"/>
    <x v="157"/>
    <n v="9"/>
    <s v="INV03923"/>
    <n v="9"/>
    <n v="1158.2643"/>
    <m/>
    <m/>
    <m/>
    <m/>
    <m/>
    <n v="1158.2643"/>
    <d v="2023-07-12T00:00:00"/>
    <n v="0"/>
    <n v="0"/>
    <n v="0"/>
    <n v="0"/>
    <n v="0"/>
    <n v="0"/>
    <n v="0"/>
    <x v="0"/>
    <n v="10424.378700000001"/>
    <n v="10424.378700000001"/>
    <n v="0"/>
    <n v="0"/>
    <x v="0"/>
    <x v="4"/>
  </r>
  <r>
    <s v="ORD03924"/>
    <d v="2024-04-11T00:00:00"/>
    <x v="712"/>
    <x v="139"/>
    <n v="152"/>
    <s v="INV03924"/>
    <n v="152"/>
    <n v="383.63"/>
    <m/>
    <m/>
    <m/>
    <m/>
    <m/>
    <n v="383.63"/>
    <d v="2023-10-01T00:00:00"/>
    <n v="0"/>
    <n v="0"/>
    <n v="0"/>
    <n v="0"/>
    <n v="0"/>
    <n v="0"/>
    <n v="0"/>
    <x v="0"/>
    <n v="58311.76"/>
    <n v="58311.76"/>
    <n v="0"/>
    <n v="0"/>
    <x v="0"/>
    <x v="9"/>
  </r>
  <r>
    <s v="ORD03925"/>
    <d v="2023-08-21T00:00:00"/>
    <x v="579"/>
    <x v="137"/>
    <n v="71"/>
    <s v="INV03925"/>
    <n v="71"/>
    <n v="1026.4637"/>
    <m/>
    <m/>
    <m/>
    <m/>
    <m/>
    <n v="1026.4637"/>
    <d v="2023-02-10T00:00:00"/>
    <n v="0"/>
    <n v="0"/>
    <n v="0"/>
    <n v="0"/>
    <n v="0"/>
    <n v="0"/>
    <n v="0"/>
    <x v="0"/>
    <n v="72878.922699999996"/>
    <n v="72878.922699999996"/>
    <n v="0"/>
    <n v="0"/>
    <x v="0"/>
    <x v="12"/>
  </r>
  <r>
    <s v="ORD03926"/>
    <d v="2023-02-06T00:00:00"/>
    <x v="361"/>
    <x v="245"/>
    <n v="110"/>
    <s v="INV03926"/>
    <n v="110"/>
    <n v="899.13"/>
    <m/>
    <m/>
    <m/>
    <m/>
    <m/>
    <n v="899.13"/>
    <d v="2022-01-03T00:00:00"/>
    <n v="0"/>
    <n v="0"/>
    <n v="0"/>
    <n v="0"/>
    <n v="0"/>
    <n v="0"/>
    <n v="0"/>
    <x v="0"/>
    <n v="98904.3"/>
    <n v="98904.3"/>
    <n v="0"/>
    <n v="0"/>
    <x v="0"/>
    <x v="11"/>
  </r>
  <r>
    <s v="ORD03927"/>
    <d v="2023-09-06T00:00:00"/>
    <x v="739"/>
    <x v="200"/>
    <n v="101"/>
    <s v="INV03927"/>
    <n v="101"/>
    <n v="69.45"/>
    <m/>
    <m/>
    <m/>
    <m/>
    <m/>
    <n v="69.45"/>
    <d v="2023-08-31T00:00:00"/>
    <n v="0"/>
    <n v="0"/>
    <n v="0"/>
    <n v="0"/>
    <n v="0"/>
    <n v="0"/>
    <n v="0"/>
    <x v="0"/>
    <n v="7014.4500000000007"/>
    <n v="7014.4500000000007"/>
    <n v="0"/>
    <n v="0"/>
    <x v="0"/>
    <x v="18"/>
  </r>
  <r>
    <s v="ORD03928"/>
    <d v="2024-04-25T00:00:00"/>
    <x v="519"/>
    <x v="120"/>
    <n v="92"/>
    <s v="INV03928"/>
    <n v="92"/>
    <n v="989.96579999999994"/>
    <m/>
    <m/>
    <m/>
    <m/>
    <m/>
    <n v="989.96579999999994"/>
    <d v="2023-02-18T00:00:00"/>
    <n v="0"/>
    <n v="0"/>
    <n v="0"/>
    <n v="0"/>
    <n v="0"/>
    <n v="0"/>
    <n v="0"/>
    <x v="0"/>
    <n v="91076.853600000002"/>
    <n v="91076.853600000002"/>
    <n v="0"/>
    <n v="0"/>
    <x v="0"/>
    <x v="9"/>
  </r>
  <r>
    <s v="ORD03929"/>
    <d v="2023-03-27T00:00:00"/>
    <x v="279"/>
    <x v="92"/>
    <n v="90"/>
    <s v="INV03929"/>
    <n v="90"/>
    <n v="859.25750000000005"/>
    <m/>
    <m/>
    <m/>
    <m/>
    <m/>
    <n v="859.25750000000005"/>
    <d v="2022-08-09T00:00:00"/>
    <n v="0"/>
    <n v="0"/>
    <n v="0"/>
    <n v="0"/>
    <n v="0"/>
    <n v="0"/>
    <n v="0"/>
    <x v="0"/>
    <n v="77333.175000000003"/>
    <n v="77333.175000000003"/>
    <n v="0"/>
    <n v="0"/>
    <x v="0"/>
    <x v="17"/>
  </r>
  <r>
    <s v="ORD03930"/>
    <d v="2024-05-28T00:00:00"/>
    <x v="723"/>
    <x v="150"/>
    <n v="29"/>
    <s v="INV03930"/>
    <n v="39"/>
    <n v="956.41030000000001"/>
    <m/>
    <m/>
    <m/>
    <m/>
    <m/>
    <n v="956.41030000000001"/>
    <d v="2023-08-30T00:00:00"/>
    <n v="0"/>
    <n v="1"/>
    <n v="0"/>
    <n v="0"/>
    <n v="0"/>
    <n v="0"/>
    <n v="0"/>
    <x v="1"/>
    <n v="37300.001700000001"/>
    <n v="27735.898700000002"/>
    <n v="9564.1029999999992"/>
    <n v="8"/>
    <x v="2"/>
    <x v="13"/>
  </r>
  <r>
    <s v="ORD03931"/>
    <d v="2023-08-07T00:00:00"/>
    <x v="111"/>
    <x v="49"/>
    <n v="108"/>
    <s v="INV03931"/>
    <n v="108"/>
    <n v="1040.9412"/>
    <m/>
    <m/>
    <m/>
    <m/>
    <m/>
    <n v="1040.9412"/>
    <d v="2023-02-26T00:00:00"/>
    <n v="0"/>
    <n v="0"/>
    <n v="0"/>
    <n v="0"/>
    <n v="0"/>
    <n v="0"/>
    <n v="0"/>
    <x v="0"/>
    <n v="112421.6496"/>
    <n v="112421.6496"/>
    <n v="0"/>
    <n v="0"/>
    <x v="0"/>
    <x v="12"/>
  </r>
  <r>
    <s v="ORD03932"/>
    <d v="2024-03-17T00:00:00"/>
    <x v="165"/>
    <x v="88"/>
    <n v="80"/>
    <s v="INV03932"/>
    <n v="80"/>
    <n v="211.68960000000001"/>
    <m/>
    <m/>
    <m/>
    <m/>
    <m/>
    <n v="211.68960000000001"/>
    <d v="2023-07-22T00:00:00"/>
    <n v="0"/>
    <n v="0"/>
    <n v="0"/>
    <n v="0"/>
    <n v="0"/>
    <n v="0"/>
    <n v="0"/>
    <x v="0"/>
    <n v="16935.168000000001"/>
    <n v="16935.168000000001"/>
    <n v="0"/>
    <n v="0"/>
    <x v="0"/>
    <x v="6"/>
  </r>
  <r>
    <s v="ORD03933"/>
    <d v="2024-08-06T00:00:00"/>
    <x v="647"/>
    <x v="84"/>
    <n v="109"/>
    <s v="INV03933"/>
    <n v="109"/>
    <n v="262.37120000000004"/>
    <m/>
    <m/>
    <m/>
    <m/>
    <m/>
    <n v="262.37120000000004"/>
    <d v="2023-06-28T00:00:00"/>
    <n v="0"/>
    <n v="0"/>
    <n v="0"/>
    <n v="0"/>
    <n v="0"/>
    <n v="0"/>
    <n v="0"/>
    <x v="0"/>
    <n v="28598.460800000004"/>
    <n v="28598.460800000004"/>
    <n v="0"/>
    <n v="0"/>
    <x v="0"/>
    <x v="22"/>
  </r>
  <r>
    <s v="ORD03934"/>
    <d v="2023-08-05T00:00:00"/>
    <x v="269"/>
    <x v="123"/>
    <n v="190"/>
    <s v="INV03934"/>
    <n v="190"/>
    <n v="618.375"/>
    <m/>
    <m/>
    <m/>
    <m/>
    <m/>
    <n v="618.375"/>
    <d v="2023-07-17T00:00:00"/>
    <n v="0"/>
    <n v="0"/>
    <n v="0"/>
    <n v="0"/>
    <n v="0"/>
    <n v="0"/>
    <n v="0"/>
    <x v="0"/>
    <n v="117491.25"/>
    <n v="117491.25"/>
    <n v="0"/>
    <n v="0"/>
    <x v="0"/>
    <x v="12"/>
  </r>
  <r>
    <s v="ORD03935"/>
    <d v="2024-02-21T00:00:00"/>
    <x v="600"/>
    <x v="122"/>
    <n v="98"/>
    <s v="INV03935"/>
    <n v="98"/>
    <n v="75.620999999999995"/>
    <m/>
    <m/>
    <m/>
    <m/>
    <m/>
    <n v="75.620999999999995"/>
    <d v="2023-07-01T00:00:00"/>
    <n v="0"/>
    <n v="0"/>
    <n v="0"/>
    <n v="0"/>
    <n v="0"/>
    <n v="0"/>
    <n v="0"/>
    <x v="0"/>
    <n v="7410.8579999999993"/>
    <n v="7410.8579999999993"/>
    <n v="0"/>
    <n v="0"/>
    <x v="0"/>
    <x v="3"/>
  </r>
  <r>
    <s v="ORD03936"/>
    <d v="2023-12-25T00:00:00"/>
    <x v="268"/>
    <x v="52"/>
    <n v="83"/>
    <s v="INV03936"/>
    <n v="83"/>
    <n v="61.845300000000002"/>
    <m/>
    <m/>
    <m/>
    <m/>
    <m/>
    <n v="61.845300000000002"/>
    <d v="2023-10-27T00:00:00"/>
    <n v="0"/>
    <n v="0"/>
    <n v="0"/>
    <n v="0"/>
    <n v="0"/>
    <n v="0"/>
    <n v="0"/>
    <x v="0"/>
    <n v="5133.1599000000006"/>
    <n v="5133.1599000000006"/>
    <n v="0"/>
    <n v="0"/>
    <x v="0"/>
    <x v="20"/>
  </r>
  <r>
    <s v="ORD03937"/>
    <d v="2023-05-23T00:00:00"/>
    <x v="742"/>
    <x v="221"/>
    <n v="11"/>
    <s v="INV03937"/>
    <n v="11"/>
    <n v="690.05370000000005"/>
    <m/>
    <m/>
    <m/>
    <m/>
    <m/>
    <n v="690.05370000000005"/>
    <d v="2023-02-19T00:00:00"/>
    <n v="0"/>
    <n v="0"/>
    <n v="0"/>
    <n v="0"/>
    <n v="0"/>
    <n v="0"/>
    <n v="0"/>
    <x v="0"/>
    <n v="7590.5907000000007"/>
    <n v="7590.5907000000007"/>
    <n v="0"/>
    <n v="0"/>
    <x v="0"/>
    <x v="7"/>
  </r>
  <r>
    <s v="ORD03938"/>
    <d v="2024-04-07T00:00:00"/>
    <x v="524"/>
    <x v="134"/>
    <n v="129"/>
    <s v="INV03938"/>
    <n v="129"/>
    <n v="410.02"/>
    <n v="4"/>
    <d v="2024-08-08T00:00:00"/>
    <m/>
    <m/>
    <m/>
    <n v="410.02"/>
    <d v="2023-04-01T00:00:00"/>
    <n v="0"/>
    <n v="0"/>
    <n v="0"/>
    <n v="0"/>
    <n v="0"/>
    <n v="1"/>
    <n v="0"/>
    <x v="1"/>
    <n v="52892.579999999994"/>
    <n v="52892.579999999994"/>
    <n v="0"/>
    <n v="2"/>
    <x v="1"/>
    <x v="9"/>
  </r>
  <r>
    <s v="ORD03939"/>
    <d v="2023-02-23T00:00:00"/>
    <x v="518"/>
    <x v="63"/>
    <n v="44"/>
    <s v="INV03939"/>
    <n v="44"/>
    <n v="97.565999999999988"/>
    <m/>
    <m/>
    <m/>
    <m/>
    <m/>
    <n v="97.565999999999988"/>
    <d v="2022-08-05T00:00:00"/>
    <n v="0"/>
    <n v="0"/>
    <n v="0"/>
    <n v="0"/>
    <n v="0"/>
    <n v="0"/>
    <n v="0"/>
    <x v="0"/>
    <n v="4292.9039999999995"/>
    <n v="4292.9039999999995"/>
    <n v="0"/>
    <n v="0"/>
    <x v="0"/>
    <x v="11"/>
  </r>
  <r>
    <s v="ORD03940"/>
    <d v="2023-04-26T00:00:00"/>
    <x v="516"/>
    <x v="277"/>
    <n v="181"/>
    <s v="INV03940"/>
    <n v="181"/>
    <n v="517.27499999999998"/>
    <m/>
    <m/>
    <m/>
    <m/>
    <m/>
    <n v="517.27499999999998"/>
    <d v="2022-07-27T00:00:00"/>
    <n v="0"/>
    <n v="0"/>
    <n v="0"/>
    <n v="0"/>
    <n v="0"/>
    <n v="0"/>
    <n v="0"/>
    <x v="0"/>
    <n v="93626.774999999994"/>
    <n v="93626.774999999994"/>
    <n v="0"/>
    <n v="0"/>
    <x v="0"/>
    <x v="23"/>
  </r>
  <r>
    <s v="ORD03941"/>
    <d v="2024-11-14T00:00:00"/>
    <x v="613"/>
    <x v="64"/>
    <n v="59"/>
    <s v="INV03941"/>
    <n v="59"/>
    <n v="1129.6166000000001"/>
    <m/>
    <m/>
    <m/>
    <m/>
    <m/>
    <n v="1129.6166000000001"/>
    <d v="2023-02-03T00:00:00"/>
    <n v="0"/>
    <n v="0"/>
    <n v="0"/>
    <n v="0"/>
    <n v="0"/>
    <n v="0"/>
    <n v="0"/>
    <x v="0"/>
    <n v="66647.379400000005"/>
    <n v="66647.379400000005"/>
    <n v="0"/>
    <n v="0"/>
    <x v="0"/>
    <x v="4"/>
  </r>
  <r>
    <s v="ORD03942"/>
    <d v="2023-07-19T00:00:00"/>
    <x v="259"/>
    <x v="256"/>
    <n v="85"/>
    <s v="INV03942"/>
    <n v="85"/>
    <n v="717.0471"/>
    <n v="9"/>
    <d v="2024-09-29T00:00:00"/>
    <m/>
    <m/>
    <m/>
    <n v="717.0471"/>
    <d v="2023-02-27T00:00:00"/>
    <n v="0"/>
    <n v="0"/>
    <n v="0"/>
    <n v="0"/>
    <n v="0"/>
    <n v="1"/>
    <n v="0"/>
    <x v="1"/>
    <n v="60949.003499999999"/>
    <n v="60949.003499999999"/>
    <n v="0"/>
    <n v="2"/>
    <x v="1"/>
    <x v="10"/>
  </r>
  <r>
    <s v="ORD03943"/>
    <d v="2023-09-11T00:00:00"/>
    <x v="422"/>
    <x v="281"/>
    <n v="85"/>
    <s v="INV03943"/>
    <n v="85"/>
    <n v="696.93029999999999"/>
    <m/>
    <m/>
    <m/>
    <m/>
    <m/>
    <n v="696.93029999999999"/>
    <d v="2023-08-12T00:00:00"/>
    <n v="0"/>
    <n v="0"/>
    <n v="0"/>
    <n v="0"/>
    <n v="0"/>
    <n v="0"/>
    <n v="0"/>
    <x v="0"/>
    <n v="59239.075499999999"/>
    <n v="59239.075499999999"/>
    <n v="0"/>
    <n v="0"/>
    <x v="0"/>
    <x v="18"/>
  </r>
  <r>
    <s v="ORD03944"/>
    <d v="2023-10-05T00:00:00"/>
    <x v="51"/>
    <x v="45"/>
    <n v="125"/>
    <s v="INV03944"/>
    <n v="125"/>
    <n v="169.22900000000001"/>
    <m/>
    <m/>
    <m/>
    <m/>
    <m/>
    <n v="169.22900000000001"/>
    <d v="2023-04-23T00:00:00"/>
    <n v="0"/>
    <n v="0"/>
    <n v="0"/>
    <n v="0"/>
    <n v="0"/>
    <n v="0"/>
    <n v="0"/>
    <x v="0"/>
    <n v="21153.625"/>
    <n v="21153.625"/>
    <n v="0"/>
    <n v="0"/>
    <x v="0"/>
    <x v="19"/>
  </r>
  <r>
    <s v="ORD03945"/>
    <d v="2023-07-22T00:00:00"/>
    <x v="231"/>
    <x v="110"/>
    <n v="173"/>
    <s v="INV03945"/>
    <n v="173"/>
    <n v="1021.8869999999999"/>
    <m/>
    <m/>
    <m/>
    <m/>
    <m/>
    <n v="1021.8869999999999"/>
    <d v="2023-04-04T00:00:00"/>
    <n v="0"/>
    <n v="0"/>
    <n v="0"/>
    <n v="0"/>
    <n v="0"/>
    <n v="0"/>
    <n v="0"/>
    <x v="0"/>
    <n v="176786.451"/>
    <n v="176786.451"/>
    <n v="0"/>
    <n v="0"/>
    <x v="0"/>
    <x v="10"/>
  </r>
  <r>
    <s v="ORD03946"/>
    <d v="2024-05-09T00:00:00"/>
    <x v="116"/>
    <x v="285"/>
    <n v="76"/>
    <s v="INV03946"/>
    <n v="76"/>
    <n v="1037.4366"/>
    <m/>
    <m/>
    <m/>
    <m/>
    <m/>
    <n v="1037.4366"/>
    <d v="2023-09-29T00:00:00"/>
    <n v="0"/>
    <n v="0"/>
    <n v="0"/>
    <n v="0"/>
    <n v="0"/>
    <n v="0"/>
    <n v="0"/>
    <x v="0"/>
    <n v="78845.181599999996"/>
    <n v="78845.181599999996"/>
    <n v="0"/>
    <n v="0"/>
    <x v="0"/>
    <x v="13"/>
  </r>
  <r>
    <s v="ORD03947"/>
    <d v="2023-06-27T00:00:00"/>
    <x v="184"/>
    <x v="119"/>
    <n v="44"/>
    <s v="INV03947"/>
    <n v="44"/>
    <n v="80.141999999999996"/>
    <m/>
    <m/>
    <m/>
    <m/>
    <m/>
    <n v="80.141999999999996"/>
    <d v="2022-11-05T00:00:00"/>
    <n v="0"/>
    <n v="0"/>
    <n v="0"/>
    <n v="0"/>
    <n v="0"/>
    <n v="0"/>
    <n v="0"/>
    <x v="0"/>
    <n v="3526.2479999999996"/>
    <n v="3526.2479999999996"/>
    <n v="0"/>
    <n v="0"/>
    <x v="0"/>
    <x v="14"/>
  </r>
  <r>
    <s v="ORD03948"/>
    <d v="2023-10-12T00:00:00"/>
    <x v="358"/>
    <x v="0"/>
    <n v="192"/>
    <s v="INV03948"/>
    <n v="192"/>
    <n v="446.4905"/>
    <m/>
    <m/>
    <m/>
    <m/>
    <m/>
    <n v="446.4905"/>
    <d v="2023-08-23T00:00:00"/>
    <n v="0"/>
    <n v="0"/>
    <n v="0"/>
    <n v="0"/>
    <n v="0"/>
    <n v="0"/>
    <n v="0"/>
    <x v="0"/>
    <n v="85726.176000000007"/>
    <n v="85726.176000000007"/>
    <n v="0"/>
    <n v="0"/>
    <x v="0"/>
    <x v="19"/>
  </r>
  <r>
    <s v="ORD03949"/>
    <d v="2023-02-15T00:00:00"/>
    <x v="517"/>
    <x v="79"/>
    <n v="171"/>
    <s v="INV03949"/>
    <n v="171"/>
    <n v="682.98"/>
    <m/>
    <m/>
    <m/>
    <m/>
    <m/>
    <n v="682.98"/>
    <d v="2022-03-09T00:00:00"/>
    <n v="0"/>
    <n v="0"/>
    <n v="0"/>
    <n v="0"/>
    <n v="0"/>
    <n v="0"/>
    <n v="0"/>
    <x v="0"/>
    <n v="116789.58"/>
    <n v="116789.58"/>
    <n v="0"/>
    <n v="0"/>
    <x v="0"/>
    <x v="11"/>
  </r>
  <r>
    <s v="ORD03950"/>
    <d v="2024-07-03T00:00:00"/>
    <x v="601"/>
    <x v="159"/>
    <n v="149"/>
    <s v="INV03950"/>
    <n v="149"/>
    <n v="159.06059999999999"/>
    <m/>
    <m/>
    <m/>
    <m/>
    <m/>
    <n v="159.06059999999999"/>
    <d v="2023-01-18T00:00:00"/>
    <n v="0"/>
    <n v="0"/>
    <n v="0"/>
    <n v="0"/>
    <n v="0"/>
    <n v="0"/>
    <n v="0"/>
    <x v="0"/>
    <n v="23700.029399999999"/>
    <n v="23700.029399999999"/>
    <n v="0"/>
    <n v="0"/>
    <x v="0"/>
    <x v="21"/>
  </r>
  <r>
    <s v="ORD03951"/>
    <d v="2023-11-22T00:00:00"/>
    <x v="672"/>
    <x v="167"/>
    <n v="129"/>
    <s v="INV03951"/>
    <n v="129"/>
    <n v="226.1644"/>
    <m/>
    <m/>
    <m/>
    <m/>
    <m/>
    <n v="226.1644"/>
    <d v="2023-08-01T00:00:00"/>
    <n v="0"/>
    <n v="0"/>
    <n v="0"/>
    <n v="0"/>
    <n v="0"/>
    <n v="0"/>
    <n v="0"/>
    <x v="0"/>
    <n v="29175.207600000002"/>
    <n v="29175.207600000002"/>
    <n v="0"/>
    <n v="0"/>
    <x v="0"/>
    <x v="0"/>
  </r>
  <r>
    <s v="ORD03952"/>
    <d v="2024-04-13T00:00:00"/>
    <x v="604"/>
    <x v="93"/>
    <n v="76"/>
    <s v="INV03952"/>
    <n v="76"/>
    <n v="432.98871444277376"/>
    <m/>
    <m/>
    <m/>
    <m/>
    <m/>
    <n v="432.839"/>
    <d v="2023-05-02T00:00:00"/>
    <n v="0"/>
    <n v="0"/>
    <n v="1"/>
    <n v="0"/>
    <n v="0"/>
    <n v="0"/>
    <n v="0"/>
    <x v="1"/>
    <n v="32907.142297650804"/>
    <n v="32895.764000000003"/>
    <n v="11.37829765080096"/>
    <n v="4"/>
    <x v="1"/>
    <x v="9"/>
  </r>
  <r>
    <s v="ORD03953"/>
    <d v="2024-04-01T00:00:00"/>
    <x v="736"/>
    <x v="69"/>
    <n v="36"/>
    <s v="INV03953"/>
    <n v="36"/>
    <n v="876.32749999999999"/>
    <m/>
    <m/>
    <m/>
    <m/>
    <m/>
    <n v="876.32749999999999"/>
    <d v="2023-06-29T00:00:00"/>
    <n v="0"/>
    <n v="0"/>
    <n v="0"/>
    <n v="0"/>
    <n v="0"/>
    <n v="0"/>
    <n v="0"/>
    <x v="0"/>
    <n v="31547.79"/>
    <n v="31547.79"/>
    <n v="0"/>
    <n v="0"/>
    <x v="0"/>
    <x v="9"/>
  </r>
  <r>
    <s v="ORD03954"/>
    <d v="2024-05-10T00:00:00"/>
    <x v="594"/>
    <x v="165"/>
    <n v="155"/>
    <s v="INV03954"/>
    <n v="155"/>
    <n v="991.99"/>
    <m/>
    <m/>
    <m/>
    <m/>
    <m/>
    <n v="991.99"/>
    <d v="2023-02-19T00:00:00"/>
    <n v="0"/>
    <n v="0"/>
    <n v="0"/>
    <n v="0"/>
    <n v="0"/>
    <n v="0"/>
    <n v="0"/>
    <x v="0"/>
    <n v="153758.45000000001"/>
    <n v="153758.45000000001"/>
    <n v="0"/>
    <n v="0"/>
    <x v="0"/>
    <x v="13"/>
  </r>
  <r>
    <s v="ORD03955"/>
    <d v="2023-06-12T00:00:00"/>
    <x v="521"/>
    <x v="61"/>
    <n v="106"/>
    <s v="INV03955"/>
    <n v="106"/>
    <n v="782.04880000000003"/>
    <m/>
    <m/>
    <m/>
    <m/>
    <m/>
    <n v="782.04880000000003"/>
    <d v="2023-03-11T00:00:00"/>
    <n v="0"/>
    <n v="0"/>
    <n v="0"/>
    <n v="0"/>
    <n v="0"/>
    <n v="0"/>
    <n v="0"/>
    <x v="0"/>
    <n v="82897.1728"/>
    <n v="82897.1728"/>
    <n v="0"/>
    <n v="0"/>
    <x v="0"/>
    <x v="14"/>
  </r>
  <r>
    <s v="ORD03956"/>
    <d v="2024-03-09T00:00:00"/>
    <x v="413"/>
    <x v="199"/>
    <n v="69"/>
    <s v="INV03956"/>
    <n v="69"/>
    <n v="334.24649999999997"/>
    <m/>
    <m/>
    <m/>
    <m/>
    <m/>
    <n v="334.24649999999997"/>
    <d v="2023-07-18T00:00:00"/>
    <n v="0"/>
    <n v="0"/>
    <n v="0"/>
    <n v="0"/>
    <n v="0"/>
    <n v="0"/>
    <n v="0"/>
    <x v="0"/>
    <n v="23063.008499999996"/>
    <n v="23063.008499999996"/>
    <n v="0"/>
    <n v="0"/>
    <x v="0"/>
    <x v="6"/>
  </r>
  <r>
    <s v="ORD03957"/>
    <d v="2024-04-12T00:00:00"/>
    <x v="227"/>
    <x v="88"/>
    <n v="190"/>
    <s v="INV03957"/>
    <n v="190"/>
    <n v="211.68960000000001"/>
    <m/>
    <m/>
    <m/>
    <m/>
    <m/>
    <n v="211.68960000000001"/>
    <d v="2023-07-22T00:00:00"/>
    <n v="0"/>
    <n v="0"/>
    <n v="0"/>
    <n v="0"/>
    <n v="0"/>
    <n v="0"/>
    <n v="0"/>
    <x v="0"/>
    <n v="40221.024000000005"/>
    <n v="40221.024000000005"/>
    <n v="0"/>
    <n v="0"/>
    <x v="0"/>
    <x v="9"/>
  </r>
  <r>
    <s v="ORD03958"/>
    <d v="2024-02-09T00:00:00"/>
    <x v="72"/>
    <x v="31"/>
    <n v="53"/>
    <s v="INV03958"/>
    <n v="53"/>
    <n v="1147.3289"/>
    <m/>
    <m/>
    <m/>
    <m/>
    <m/>
    <n v="1147.3289"/>
    <d v="2023-01-19T00:00:00"/>
    <n v="0"/>
    <n v="0"/>
    <n v="0"/>
    <n v="0"/>
    <n v="0"/>
    <n v="0"/>
    <n v="0"/>
    <x v="0"/>
    <n v="60808.431700000001"/>
    <n v="60808.431700000001"/>
    <n v="0"/>
    <n v="0"/>
    <x v="0"/>
    <x v="3"/>
  </r>
  <r>
    <s v="ORD03959"/>
    <d v="2024-12-15T00:00:00"/>
    <x v="646"/>
    <x v="226"/>
    <n v="25"/>
    <s v="INV03959"/>
    <n v="25"/>
    <n v="1067.6925000000001"/>
    <m/>
    <m/>
    <m/>
    <m/>
    <m/>
    <n v="1067.6925000000001"/>
    <d v="2023-03-14T00:00:00"/>
    <n v="0"/>
    <n v="0"/>
    <n v="0"/>
    <n v="0"/>
    <n v="0"/>
    <n v="0"/>
    <n v="0"/>
    <x v="0"/>
    <n v="26692.312500000004"/>
    <n v="26692.312500000004"/>
    <n v="0"/>
    <n v="0"/>
    <x v="0"/>
    <x v="1"/>
  </r>
  <r>
    <s v="ORD03960"/>
    <d v="2024-12-04T00:00:00"/>
    <x v="699"/>
    <x v="276"/>
    <n v="11"/>
    <s v="INV03960"/>
    <n v="11"/>
    <n v="1066.4874"/>
    <m/>
    <m/>
    <m/>
    <m/>
    <m/>
    <n v="1066.4874"/>
    <d v="2023-05-31T00:00:00"/>
    <n v="0"/>
    <n v="0"/>
    <n v="0"/>
    <n v="0"/>
    <n v="0"/>
    <n v="0"/>
    <n v="0"/>
    <x v="0"/>
    <n v="11731.3614"/>
    <n v="11731.3614"/>
    <n v="0"/>
    <n v="0"/>
    <x v="0"/>
    <x v="1"/>
  </r>
  <r>
    <s v="ORD03961"/>
    <d v="2023-12-22T00:00:00"/>
    <x v="284"/>
    <x v="68"/>
    <n v="59"/>
    <s v="INV03961"/>
    <n v="59"/>
    <n v="168.12909999999999"/>
    <m/>
    <m/>
    <m/>
    <m/>
    <m/>
    <n v="168.12909999999999"/>
    <d v="2023-03-28T00:00:00"/>
    <n v="0"/>
    <n v="0"/>
    <n v="0"/>
    <n v="0"/>
    <n v="0"/>
    <n v="0"/>
    <n v="0"/>
    <x v="0"/>
    <n v="9919.6168999999991"/>
    <n v="9919.6168999999991"/>
    <n v="0"/>
    <n v="0"/>
    <x v="0"/>
    <x v="20"/>
  </r>
  <r>
    <s v="ORD03962"/>
    <d v="2024-04-07T00:00:00"/>
    <x v="778"/>
    <x v="206"/>
    <n v="80"/>
    <s v="INV03962"/>
    <n v="80"/>
    <n v="82.026000000000025"/>
    <m/>
    <m/>
    <m/>
    <m/>
    <m/>
    <n v="82.026000000000025"/>
    <d v="2023-05-15T00:00:00"/>
    <n v="0"/>
    <n v="0"/>
    <n v="0"/>
    <n v="0"/>
    <n v="0"/>
    <n v="0"/>
    <n v="0"/>
    <x v="0"/>
    <n v="6562.0800000000017"/>
    <n v="6562.0800000000017"/>
    <n v="0"/>
    <n v="0"/>
    <x v="0"/>
    <x v="9"/>
  </r>
  <r>
    <s v="ORD03963"/>
    <d v="2024-06-05T00:00:00"/>
    <x v="619"/>
    <x v="223"/>
    <n v="157"/>
    <s v="INV03963"/>
    <n v="157"/>
    <n v="919.86659999999995"/>
    <m/>
    <m/>
    <m/>
    <m/>
    <m/>
    <n v="919.86659999999995"/>
    <d v="2023-07-01T00:00:00"/>
    <n v="0"/>
    <n v="0"/>
    <n v="0"/>
    <n v="0"/>
    <n v="0"/>
    <n v="0"/>
    <n v="0"/>
    <x v="0"/>
    <n v="144419.05619999999"/>
    <n v="144419.05619999999"/>
    <n v="0"/>
    <n v="0"/>
    <x v="0"/>
    <x v="16"/>
  </r>
  <r>
    <s v="ORD03964"/>
    <d v="2024-11-14T00:00:00"/>
    <x v="620"/>
    <x v="38"/>
    <n v="164"/>
    <s v="INV03964"/>
    <n v="164"/>
    <n v="454.98379999999997"/>
    <m/>
    <m/>
    <m/>
    <m/>
    <m/>
    <n v="454.98379999999997"/>
    <d v="2023-03-26T00:00:00"/>
    <n v="0"/>
    <n v="0"/>
    <n v="0"/>
    <n v="0"/>
    <n v="0"/>
    <n v="0"/>
    <n v="0"/>
    <x v="0"/>
    <n v="74617.343200000003"/>
    <n v="74617.343200000003"/>
    <n v="0"/>
    <n v="0"/>
    <x v="0"/>
    <x v="4"/>
  </r>
  <r>
    <s v="ORD03965"/>
    <d v="2023-01-19T00:00:00"/>
    <x v="93"/>
    <x v="190"/>
    <n v="162"/>
    <s v="INV03965"/>
    <n v="162"/>
    <n v="826.44"/>
    <m/>
    <m/>
    <m/>
    <m/>
    <m/>
    <n v="826.44"/>
    <d v="2022-02-21T00:00:00"/>
    <n v="0"/>
    <n v="0"/>
    <n v="0"/>
    <n v="0"/>
    <n v="0"/>
    <n v="0"/>
    <n v="0"/>
    <x v="0"/>
    <n v="133883.28"/>
    <n v="133883.28"/>
    <n v="0"/>
    <n v="0"/>
    <x v="0"/>
    <x v="8"/>
  </r>
  <r>
    <s v="ORD03966"/>
    <d v="2023-12-17T00:00:00"/>
    <x v="178"/>
    <x v="41"/>
    <n v="177"/>
    <s v="INV03966"/>
    <n v="177"/>
    <n v="1211.7708"/>
    <m/>
    <m/>
    <m/>
    <m/>
    <m/>
    <n v="1211.7708"/>
    <d v="2023-09-24T00:00:00"/>
    <n v="0"/>
    <n v="0"/>
    <n v="0"/>
    <n v="0"/>
    <n v="0"/>
    <n v="0"/>
    <n v="0"/>
    <x v="0"/>
    <n v="214483.43160000001"/>
    <n v="214483.43160000001"/>
    <n v="0"/>
    <n v="0"/>
    <x v="0"/>
    <x v="20"/>
  </r>
  <r>
    <s v="ORD03967"/>
    <d v="2024-07-24T00:00:00"/>
    <x v="702"/>
    <x v="290"/>
    <n v="185"/>
    <s v="INV03967"/>
    <n v="185"/>
    <n v="1159.732"/>
    <m/>
    <m/>
    <m/>
    <m/>
    <m/>
    <n v="1159.732"/>
    <d v="2023-04-16T00:00:00"/>
    <n v="0"/>
    <n v="0"/>
    <n v="0"/>
    <n v="0"/>
    <n v="0"/>
    <n v="0"/>
    <n v="0"/>
    <x v="0"/>
    <n v="214550.41999999998"/>
    <n v="214550.41999999998"/>
    <n v="0"/>
    <n v="0"/>
    <x v="0"/>
    <x v="21"/>
  </r>
  <r>
    <s v="ORD03968"/>
    <d v="2023-01-14T00:00:00"/>
    <x v="109"/>
    <x v="107"/>
    <n v="143"/>
    <s v="INV03968"/>
    <n v="143"/>
    <n v="53.25"/>
    <m/>
    <m/>
    <m/>
    <m/>
    <m/>
    <n v="53.25"/>
    <d v="2022-06-10T00:00:00"/>
    <n v="0"/>
    <n v="0"/>
    <n v="0"/>
    <n v="0"/>
    <n v="0"/>
    <n v="0"/>
    <n v="0"/>
    <x v="0"/>
    <n v="7614.75"/>
    <n v="7614.75"/>
    <n v="0"/>
    <n v="0"/>
    <x v="0"/>
    <x v="8"/>
  </r>
  <r>
    <s v="ORD03969"/>
    <d v="2023-09-03T00:00:00"/>
    <x v="364"/>
    <x v="77"/>
    <n v="80"/>
    <s v="INV03969"/>
    <n v="80"/>
    <n v="798.14160000000004"/>
    <m/>
    <m/>
    <m/>
    <m/>
    <m/>
    <n v="798.14160000000004"/>
    <d v="2023-08-11T00:00:00"/>
    <n v="0"/>
    <n v="0"/>
    <n v="0"/>
    <n v="0"/>
    <n v="0"/>
    <n v="0"/>
    <n v="0"/>
    <x v="0"/>
    <n v="63851.328000000001"/>
    <n v="63851.328000000001"/>
    <n v="0"/>
    <n v="0"/>
    <x v="0"/>
    <x v="18"/>
  </r>
  <r>
    <s v="ORD03970"/>
    <d v="2024-05-19T00:00:00"/>
    <x v="659"/>
    <x v="41"/>
    <n v="130"/>
    <s v="INV03970"/>
    <n v="130"/>
    <n v="1211.7708"/>
    <m/>
    <m/>
    <m/>
    <m/>
    <m/>
    <n v="1211.7708"/>
    <d v="2023-09-24T00:00:00"/>
    <n v="0"/>
    <n v="0"/>
    <n v="0"/>
    <n v="0"/>
    <n v="0"/>
    <n v="0"/>
    <n v="0"/>
    <x v="0"/>
    <n v="157530.204"/>
    <n v="157530.204"/>
    <n v="0"/>
    <n v="0"/>
    <x v="0"/>
    <x v="13"/>
  </r>
  <r>
    <s v="ORD03971"/>
    <d v="2024-06-26T00:00:00"/>
    <x v="202"/>
    <x v="235"/>
    <n v="57"/>
    <s v="INV03971"/>
    <n v="57"/>
    <n v="708.51900000000001"/>
    <m/>
    <m/>
    <m/>
    <m/>
    <m/>
    <n v="708.51900000000001"/>
    <d v="2023-05-17T00:00:00"/>
    <n v="0"/>
    <n v="0"/>
    <n v="0"/>
    <n v="0"/>
    <n v="0"/>
    <n v="0"/>
    <n v="0"/>
    <x v="0"/>
    <n v="40385.582999999999"/>
    <n v="40385.582999999999"/>
    <n v="0"/>
    <n v="0"/>
    <x v="0"/>
    <x v="16"/>
  </r>
  <r>
    <s v="ORD03972"/>
    <d v="2024-07-13T00:00:00"/>
    <x v="565"/>
    <x v="172"/>
    <n v="30"/>
    <s v="INV03972"/>
    <n v="30"/>
    <n v="370.82850000000002"/>
    <m/>
    <m/>
    <m/>
    <m/>
    <m/>
    <n v="370.82850000000002"/>
    <d v="2023-09-18T00:00:00"/>
    <n v="0"/>
    <n v="0"/>
    <n v="0"/>
    <n v="0"/>
    <n v="0"/>
    <n v="0"/>
    <n v="0"/>
    <x v="0"/>
    <n v="11124.855000000001"/>
    <n v="11124.855000000001"/>
    <n v="0"/>
    <n v="0"/>
    <x v="0"/>
    <x v="21"/>
  </r>
  <r>
    <s v="ORD03973"/>
    <d v="2024-01-20T00:00:00"/>
    <x v="432"/>
    <x v="246"/>
    <n v="154"/>
    <s v="INV03973"/>
    <n v="154"/>
    <n v="491.10239999999999"/>
    <m/>
    <m/>
    <m/>
    <m/>
    <m/>
    <n v="491.10239999999999"/>
    <d v="2023-09-18T00:00:00"/>
    <n v="0"/>
    <n v="0"/>
    <n v="0"/>
    <n v="0"/>
    <n v="0"/>
    <n v="0"/>
    <n v="0"/>
    <x v="0"/>
    <n v="75629.7696"/>
    <n v="75629.7696"/>
    <n v="0"/>
    <n v="0"/>
    <x v="0"/>
    <x v="15"/>
  </r>
  <r>
    <s v="ORD03974"/>
    <d v="2023-06-28T00:00:00"/>
    <x v="637"/>
    <x v="279"/>
    <n v="115"/>
    <s v="INV03974"/>
    <n v="115"/>
    <n v="461.00940000000003"/>
    <n v="18"/>
    <d v="2023-11-01T00:00:00"/>
    <m/>
    <m/>
    <m/>
    <n v="461.00940000000003"/>
    <d v="2023-04-20T00:00:00"/>
    <n v="0"/>
    <n v="0"/>
    <n v="0"/>
    <n v="0"/>
    <n v="0"/>
    <n v="1"/>
    <n v="0"/>
    <x v="1"/>
    <n v="53016.081000000006"/>
    <n v="53016.081000000006"/>
    <n v="0"/>
    <n v="2"/>
    <x v="1"/>
    <x v="14"/>
  </r>
  <r>
    <s v="ORD03975"/>
    <d v="2024-09-18T00:00:00"/>
    <x v="149"/>
    <x v="239"/>
    <n v="141"/>
    <s v="INV03975"/>
    <n v="141"/>
    <n v="1197.9306999999999"/>
    <n v="14"/>
    <d v="2024-11-09T00:00:00"/>
    <m/>
    <m/>
    <m/>
    <n v="1197.9306999999999"/>
    <d v="2023-06-12T00:00:00"/>
    <n v="0"/>
    <n v="0"/>
    <n v="0"/>
    <n v="0"/>
    <n v="0"/>
    <n v="0"/>
    <n v="0"/>
    <x v="0"/>
    <n v="168908.22869999998"/>
    <n v="168908.22869999998"/>
    <n v="0"/>
    <n v="0"/>
    <x v="0"/>
    <x v="2"/>
  </r>
  <r>
    <s v="ORD03976"/>
    <d v="2024-01-09T00:00:00"/>
    <x v="88"/>
    <x v="42"/>
    <n v="102"/>
    <s v="INV03976"/>
    <n v="99"/>
    <n v="946.74860000000001"/>
    <m/>
    <m/>
    <m/>
    <m/>
    <m/>
    <n v="946.74860000000001"/>
    <d v="2023-04-22T00:00:00"/>
    <n v="0"/>
    <n v="1"/>
    <n v="0"/>
    <n v="0"/>
    <n v="0"/>
    <n v="0"/>
    <n v="0"/>
    <x v="1"/>
    <n v="93728.111399999994"/>
    <n v="96568.357199999999"/>
    <n v="-2840.2458000000042"/>
    <n v="8"/>
    <x v="2"/>
    <x v="15"/>
  </r>
  <r>
    <s v="ORD03977"/>
    <d v="2023-03-15T00:00:00"/>
    <x v="777"/>
    <x v="225"/>
    <n v="50"/>
    <s v="INV03977"/>
    <n v="50"/>
    <n v="302.05259999999998"/>
    <m/>
    <m/>
    <m/>
    <m/>
    <m/>
    <n v="302.05259999999998"/>
    <d v="2023-01-19T00:00:00"/>
    <n v="0"/>
    <n v="0"/>
    <n v="0"/>
    <n v="0"/>
    <n v="0"/>
    <n v="0"/>
    <n v="0"/>
    <x v="0"/>
    <n v="15102.63"/>
    <n v="15102.63"/>
    <n v="0"/>
    <n v="0"/>
    <x v="0"/>
    <x v="17"/>
  </r>
  <r>
    <s v="ORD03978"/>
    <d v="2024-11-12T00:00:00"/>
    <x v="436"/>
    <x v="241"/>
    <n v="122"/>
    <s v="INV03978"/>
    <n v="122"/>
    <n v="854.74350000000004"/>
    <m/>
    <m/>
    <m/>
    <m/>
    <m/>
    <n v="854.74350000000004"/>
    <d v="2023-02-27T00:00:00"/>
    <n v="0"/>
    <n v="0"/>
    <n v="0"/>
    <n v="0"/>
    <n v="0"/>
    <n v="0"/>
    <n v="0"/>
    <x v="0"/>
    <n v="104278.70700000001"/>
    <n v="104278.70700000001"/>
    <n v="0"/>
    <n v="0"/>
    <x v="0"/>
    <x v="4"/>
  </r>
  <r>
    <s v="ORD03979"/>
    <d v="2023-11-23T00:00:00"/>
    <x v="168"/>
    <x v="181"/>
    <n v="176"/>
    <s v="INV03979"/>
    <n v="176"/>
    <n v="796.53"/>
    <m/>
    <m/>
    <m/>
    <m/>
    <m/>
    <n v="796.53"/>
    <d v="2023-09-03T00:00:00"/>
    <n v="0"/>
    <n v="0"/>
    <n v="0"/>
    <n v="0"/>
    <n v="0"/>
    <n v="0"/>
    <n v="0"/>
    <x v="0"/>
    <n v="140189.28"/>
    <n v="140189.28"/>
    <n v="0"/>
    <n v="0"/>
    <x v="0"/>
    <x v="0"/>
  </r>
  <r>
    <s v="ORD03980"/>
    <d v="2023-04-05T00:00:00"/>
    <x v="508"/>
    <x v="143"/>
    <n v="5"/>
    <s v="INV03980"/>
    <n v="11"/>
    <n v="948.62559999999996"/>
    <m/>
    <m/>
    <m/>
    <m/>
    <m/>
    <n v="948.62559999999996"/>
    <d v="2022-12-20T00:00:00"/>
    <n v="0"/>
    <n v="1"/>
    <n v="0"/>
    <n v="0"/>
    <n v="0"/>
    <n v="0"/>
    <n v="0"/>
    <x v="1"/>
    <n v="10434.881599999999"/>
    <n v="4743.1279999999997"/>
    <n v="5691.7535999999991"/>
    <n v="8"/>
    <x v="2"/>
    <x v="23"/>
  </r>
  <r>
    <s v="ORD03981"/>
    <d v="2024-06-29T00:00:00"/>
    <x v="435"/>
    <x v="77"/>
    <n v="140"/>
    <s v="INV03981"/>
    <n v="140"/>
    <n v="798.14160000000004"/>
    <m/>
    <m/>
    <m/>
    <m/>
    <m/>
    <n v="798.14160000000004"/>
    <d v="2023-08-11T00:00:00"/>
    <n v="0"/>
    <n v="0"/>
    <n v="0"/>
    <n v="0"/>
    <n v="0"/>
    <n v="0"/>
    <n v="0"/>
    <x v="0"/>
    <n v="111739.82400000001"/>
    <n v="111739.82400000001"/>
    <n v="0"/>
    <n v="0"/>
    <x v="0"/>
    <x v="16"/>
  </r>
  <r>
    <s v="ORD03982"/>
    <d v="2024-06-03T00:00:00"/>
    <x v="184"/>
    <x v="98"/>
    <n v="37"/>
    <s v="INV03982"/>
    <n v="37"/>
    <n v="1119.6587000000002"/>
    <m/>
    <m/>
    <m/>
    <m/>
    <m/>
    <n v="1119.6587000000002"/>
    <d v="2023-08-09T00:00:00"/>
    <n v="0"/>
    <n v="0"/>
    <n v="0"/>
    <n v="0"/>
    <n v="0"/>
    <n v="0"/>
    <n v="0"/>
    <x v="0"/>
    <n v="41427.371900000006"/>
    <n v="41427.371900000006"/>
    <n v="0"/>
    <n v="0"/>
    <x v="0"/>
    <x v="16"/>
  </r>
  <r>
    <s v="ORD03983"/>
    <d v="2023-02-06T00:00:00"/>
    <x v="519"/>
    <x v="10"/>
    <n v="43"/>
    <s v="INV03983"/>
    <n v="43"/>
    <n v="452.87746040545886"/>
    <m/>
    <m/>
    <m/>
    <m/>
    <m/>
    <n v="452.64"/>
    <d v="2022-05-13T00:00:00"/>
    <n v="0"/>
    <n v="0"/>
    <n v="1"/>
    <n v="0"/>
    <n v="0"/>
    <n v="0"/>
    <n v="0"/>
    <x v="1"/>
    <n v="19473.730797434731"/>
    <n v="19463.52"/>
    <n v="10.210797434730921"/>
    <n v="4"/>
    <x v="1"/>
    <x v="11"/>
  </r>
  <r>
    <s v="ORD03984"/>
    <d v="2023-04-20T00:00:00"/>
    <x v="313"/>
    <x v="54"/>
    <n v="144"/>
    <s v="INV03984"/>
    <n v="144"/>
    <n v="456.09"/>
    <m/>
    <m/>
    <m/>
    <m/>
    <m/>
    <n v="456.09"/>
    <d v="2022-04-27T00:00:00"/>
    <n v="0"/>
    <n v="0"/>
    <n v="0"/>
    <n v="0"/>
    <n v="0"/>
    <n v="0"/>
    <n v="0"/>
    <x v="0"/>
    <n v="65676.959999999992"/>
    <n v="65676.959999999992"/>
    <n v="0"/>
    <n v="0"/>
    <x v="0"/>
    <x v="23"/>
  </r>
  <r>
    <s v="ORD03985"/>
    <d v="2024-07-20T00:00:00"/>
    <x v="462"/>
    <x v="204"/>
    <n v="100"/>
    <s v="INV03985"/>
    <n v="100"/>
    <n v="940.1952"/>
    <n v="20"/>
    <d v="2023-09-22T00:00:00"/>
    <m/>
    <m/>
    <m/>
    <n v="940.1952"/>
    <d v="2023-05-12T00:00:00"/>
    <n v="0"/>
    <n v="0"/>
    <n v="0"/>
    <n v="0"/>
    <n v="0"/>
    <n v="0"/>
    <n v="0"/>
    <x v="0"/>
    <n v="94019.520000000004"/>
    <n v="94019.520000000004"/>
    <n v="0"/>
    <n v="0"/>
    <x v="0"/>
    <x v="21"/>
  </r>
  <r>
    <s v="ORD03986"/>
    <d v="2024-08-18T00:00:00"/>
    <x v="558"/>
    <x v="146"/>
    <n v="122"/>
    <s v="INV03986"/>
    <n v="122"/>
    <n v="428.46220000000005"/>
    <m/>
    <m/>
    <m/>
    <m/>
    <m/>
    <n v="428.46220000000005"/>
    <d v="2023-06-25T00:00:00"/>
    <n v="0"/>
    <n v="0"/>
    <n v="0"/>
    <n v="0"/>
    <n v="0"/>
    <n v="0"/>
    <n v="0"/>
    <x v="0"/>
    <n v="52272.388400000003"/>
    <n v="52272.388400000003"/>
    <n v="0"/>
    <n v="0"/>
    <x v="0"/>
    <x v="22"/>
  </r>
  <r>
    <s v="ORD03987"/>
    <d v="2024-05-22T00:00:00"/>
    <x v="219"/>
    <x v="5"/>
    <n v="55"/>
    <s v="INV03987"/>
    <n v="55"/>
    <n v="1058.3499999999999"/>
    <n v="4"/>
    <d v="2023-05-14T00:00:00"/>
    <m/>
    <m/>
    <m/>
    <n v="1058.3499999999999"/>
    <d v="2023-07-29T00:00:00"/>
    <n v="0"/>
    <n v="0"/>
    <n v="0"/>
    <n v="0"/>
    <n v="0"/>
    <n v="0"/>
    <n v="0"/>
    <x v="0"/>
    <n v="58209.249999999993"/>
    <n v="58209.249999999993"/>
    <n v="0"/>
    <n v="0"/>
    <x v="0"/>
    <x v="13"/>
  </r>
  <r>
    <s v="ORD03988"/>
    <d v="2023-01-19T00:00:00"/>
    <x v="509"/>
    <x v="129"/>
    <n v="25"/>
    <s v="INV03988"/>
    <n v="25"/>
    <n v="733.42080000000021"/>
    <m/>
    <m/>
    <m/>
    <m/>
    <m/>
    <n v="733.42080000000021"/>
    <d v="2022-10-22T00:00:00"/>
    <n v="0"/>
    <n v="0"/>
    <n v="0"/>
    <n v="0"/>
    <n v="0"/>
    <n v="0"/>
    <n v="0"/>
    <x v="0"/>
    <n v="18335.520000000004"/>
    <n v="18335.520000000004"/>
    <n v="0"/>
    <n v="0"/>
    <x v="0"/>
    <x v="8"/>
  </r>
  <r>
    <s v="ORD03989"/>
    <d v="2024-05-08T00:00:00"/>
    <x v="355"/>
    <x v="202"/>
    <n v="185"/>
    <s v="INV03989"/>
    <n v="185"/>
    <n v="651.14279999999997"/>
    <m/>
    <m/>
    <m/>
    <m/>
    <m/>
    <n v="651.14279999999997"/>
    <d v="2023-10-21T00:00:00"/>
    <n v="0"/>
    <n v="0"/>
    <n v="0"/>
    <n v="0"/>
    <n v="0"/>
    <n v="0"/>
    <n v="0"/>
    <x v="0"/>
    <n v="120461.41799999999"/>
    <n v="120461.41799999999"/>
    <n v="0"/>
    <n v="0"/>
    <x v="0"/>
    <x v="13"/>
  </r>
  <r>
    <s v="ORD03990"/>
    <d v="2024-11-10T00:00:00"/>
    <x v="31"/>
    <x v="244"/>
    <n v="166"/>
    <s v="INV03990"/>
    <n v="166"/>
    <n v="1072.2954"/>
    <m/>
    <m/>
    <m/>
    <m/>
    <m/>
    <n v="1072.2954"/>
    <d v="2023-07-13T00:00:00"/>
    <n v="0"/>
    <n v="0"/>
    <n v="0"/>
    <n v="0"/>
    <n v="0"/>
    <n v="0"/>
    <n v="0"/>
    <x v="0"/>
    <n v="178001.03639999998"/>
    <n v="178001.03639999998"/>
    <n v="0"/>
    <n v="0"/>
    <x v="0"/>
    <x v="4"/>
  </r>
  <r>
    <s v="ORD03991"/>
    <d v="2024-07-07T00:00:00"/>
    <x v="345"/>
    <x v="191"/>
    <n v="115"/>
    <s v="INV03991"/>
    <n v="115"/>
    <n v="355.32000000000005"/>
    <m/>
    <m/>
    <m/>
    <m/>
    <m/>
    <n v="355.32000000000005"/>
    <d v="2023-05-12T00:00:00"/>
    <n v="0"/>
    <n v="0"/>
    <n v="0"/>
    <n v="0"/>
    <n v="0"/>
    <n v="0"/>
    <n v="0"/>
    <x v="0"/>
    <n v="40861.800000000003"/>
    <n v="40861.800000000003"/>
    <n v="0"/>
    <n v="0"/>
    <x v="0"/>
    <x v="21"/>
  </r>
  <r>
    <s v="ORD03992"/>
    <d v="2023-05-23T00:00:00"/>
    <x v="487"/>
    <x v="281"/>
    <n v="186"/>
    <s v="INV03992"/>
    <n v="186"/>
    <n v="703.97"/>
    <m/>
    <m/>
    <m/>
    <m/>
    <m/>
    <n v="703.97"/>
    <d v="2023-04-06T00:00:00"/>
    <n v="0"/>
    <n v="0"/>
    <n v="0"/>
    <n v="0"/>
    <n v="0"/>
    <n v="0"/>
    <n v="0"/>
    <x v="0"/>
    <n v="130938.42"/>
    <n v="130938.42"/>
    <n v="0"/>
    <n v="0"/>
    <x v="0"/>
    <x v="7"/>
  </r>
  <r>
    <s v="ORD03993"/>
    <d v="2024-02-05T00:00:00"/>
    <x v="313"/>
    <x v="70"/>
    <n v="182"/>
    <s v="INV03993"/>
    <n v="182"/>
    <n v="68.572800000000001"/>
    <m/>
    <m/>
    <m/>
    <m/>
    <m/>
    <n v="68.572800000000001"/>
    <d v="2023-06-21T00:00:00"/>
    <n v="0"/>
    <n v="0"/>
    <n v="0"/>
    <n v="0"/>
    <n v="0"/>
    <n v="0"/>
    <n v="0"/>
    <x v="0"/>
    <n v="12480.249600000001"/>
    <n v="12480.249600000001"/>
    <n v="0"/>
    <n v="0"/>
    <x v="0"/>
    <x v="3"/>
  </r>
  <r>
    <s v="ORD03994"/>
    <d v="2024-09-04T00:00:00"/>
    <x v="322"/>
    <x v="208"/>
    <n v="93"/>
    <s v="INV03994"/>
    <n v="93"/>
    <n v="107.1605"/>
    <m/>
    <m/>
    <m/>
    <m/>
    <m/>
    <n v="107.1605"/>
    <d v="2023-02-13T00:00:00"/>
    <n v="0"/>
    <n v="0"/>
    <n v="0"/>
    <n v="0"/>
    <n v="0"/>
    <n v="0"/>
    <n v="0"/>
    <x v="0"/>
    <n v="9965.9264999999996"/>
    <n v="9965.9264999999996"/>
    <n v="0"/>
    <n v="0"/>
    <x v="0"/>
    <x v="2"/>
  </r>
  <r>
    <s v="ORD03995"/>
    <d v="2024-04-28T00:00:00"/>
    <x v="504"/>
    <x v="129"/>
    <n v="108"/>
    <s v="INV03995"/>
    <n v="108"/>
    <n v="664.8768"/>
    <m/>
    <m/>
    <m/>
    <m/>
    <m/>
    <n v="664.8768"/>
    <d v="2023-07-09T00:00:00"/>
    <n v="0"/>
    <n v="0"/>
    <n v="0"/>
    <n v="0"/>
    <n v="0"/>
    <n v="0"/>
    <n v="0"/>
    <x v="0"/>
    <n v="71806.694400000008"/>
    <n v="71806.694400000008"/>
    <n v="0"/>
    <n v="0"/>
    <x v="0"/>
    <x v="9"/>
  </r>
  <r>
    <s v="ORD03996"/>
    <d v="2024-02-21T00:00:00"/>
    <x v="250"/>
    <x v="241"/>
    <n v="105"/>
    <s v="INV03996"/>
    <n v="105"/>
    <n v="854.74350000000004"/>
    <m/>
    <m/>
    <m/>
    <m/>
    <m/>
    <n v="854.74350000000004"/>
    <d v="2023-02-27T00:00:00"/>
    <n v="0"/>
    <n v="0"/>
    <n v="0"/>
    <n v="0"/>
    <n v="0"/>
    <n v="0"/>
    <n v="0"/>
    <x v="0"/>
    <n v="89748.067500000005"/>
    <n v="89748.067500000005"/>
    <n v="0"/>
    <n v="0"/>
    <x v="0"/>
    <x v="3"/>
  </r>
  <r>
    <s v="ORD03997"/>
    <d v="2024-01-24T00:00:00"/>
    <x v="60"/>
    <x v="131"/>
    <n v="71"/>
    <s v="INV03997"/>
    <n v="71"/>
    <n v="741.88620000000003"/>
    <m/>
    <m/>
    <m/>
    <m/>
    <m/>
    <n v="741.88620000000003"/>
    <d v="2023-01-04T00:00:00"/>
    <n v="0"/>
    <n v="0"/>
    <n v="0"/>
    <n v="0"/>
    <n v="0"/>
    <n v="0"/>
    <n v="0"/>
    <x v="0"/>
    <n v="52673.9202"/>
    <n v="52673.9202"/>
    <n v="0"/>
    <n v="0"/>
    <x v="0"/>
    <x v="15"/>
  </r>
  <r>
    <s v="ORD03998"/>
    <d v="2024-01-26T00:00:00"/>
    <x v="546"/>
    <x v="184"/>
    <n v="19"/>
    <s v="INV03998"/>
    <n v="19"/>
    <n v="427.43"/>
    <m/>
    <m/>
    <m/>
    <m/>
    <m/>
    <n v="427.43"/>
    <d v="2023-05-08T00:00:00"/>
    <n v="0"/>
    <n v="0"/>
    <n v="0"/>
    <n v="0"/>
    <n v="0"/>
    <n v="0"/>
    <n v="0"/>
    <x v="0"/>
    <n v="8121.17"/>
    <n v="8121.17"/>
    <n v="0"/>
    <n v="0"/>
    <x v="0"/>
    <x v="15"/>
  </r>
  <r>
    <s v="ORD03999"/>
    <d v="2024-03-29T00:00:00"/>
    <x v="651"/>
    <x v="204"/>
    <n v="165"/>
    <s v="INV03999"/>
    <n v="165"/>
    <n v="940.1952"/>
    <m/>
    <m/>
    <m/>
    <m/>
    <m/>
    <n v="940.1952"/>
    <d v="2023-05-12T00:00:00"/>
    <n v="0"/>
    <n v="0"/>
    <n v="0"/>
    <n v="0"/>
    <n v="0"/>
    <n v="0"/>
    <n v="0"/>
    <x v="0"/>
    <n v="155132.20800000001"/>
    <n v="155132.20800000001"/>
    <n v="0"/>
    <n v="0"/>
    <x v="0"/>
    <x v="6"/>
  </r>
  <r>
    <s v="ORD04000"/>
    <d v="2024-08-17T00:00:00"/>
    <x v="15"/>
    <x v="202"/>
    <n v="133"/>
    <s v="INV04000"/>
    <n v="133"/>
    <n v="651.64111911953853"/>
    <m/>
    <m/>
    <m/>
    <m/>
    <m/>
    <n v="651.14279999999997"/>
    <d v="2023-10-21T00:00:00"/>
    <n v="0"/>
    <n v="0"/>
    <n v="1"/>
    <n v="0"/>
    <n v="0"/>
    <n v="0"/>
    <n v="0"/>
    <x v="1"/>
    <n v="86668.268842898629"/>
    <n v="86601.992399999988"/>
    <n v="66.276442898641108"/>
    <n v="4"/>
    <x v="1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8F713-FC3E-4E02-8180-96C0C6854E4A}" name="PivotTable1" cacheId="1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9">
    <pivotField showAll="0"/>
    <pivotField numFmtId="15" showAll="0"/>
    <pivotField showAll="0">
      <items count="795">
        <item x="720"/>
        <item x="375"/>
        <item x="161"/>
        <item x="313"/>
        <item x="85"/>
        <item x="515"/>
        <item x="188"/>
        <item x="776"/>
        <item x="92"/>
        <item x="4"/>
        <item x="573"/>
        <item x="32"/>
        <item x="129"/>
        <item x="334"/>
        <item x="663"/>
        <item x="345"/>
        <item x="239"/>
        <item x="196"/>
        <item x="585"/>
        <item x="442"/>
        <item x="544"/>
        <item x="581"/>
        <item x="180"/>
        <item x="683"/>
        <item x="226"/>
        <item x="134"/>
        <item x="496"/>
        <item x="22"/>
        <item x="686"/>
        <item x="509"/>
        <item x="171"/>
        <item x="340"/>
        <item x="423"/>
        <item x="295"/>
        <item x="713"/>
        <item x="596"/>
        <item x="427"/>
        <item x="120"/>
        <item x="470"/>
        <item x="336"/>
        <item x="308"/>
        <item x="246"/>
        <item x="668"/>
        <item x="622"/>
        <item x="412"/>
        <item x="330"/>
        <item x="400"/>
        <item x="775"/>
        <item x="291"/>
        <item x="396"/>
        <item x="356"/>
        <item x="41"/>
        <item x="459"/>
        <item x="411"/>
        <item x="195"/>
        <item x="6"/>
        <item x="610"/>
        <item x="597"/>
        <item x="587"/>
        <item x="607"/>
        <item x="762"/>
        <item x="244"/>
        <item x="380"/>
        <item x="568"/>
        <item x="264"/>
        <item x="701"/>
        <item x="135"/>
        <item x="164"/>
        <item x="91"/>
        <item x="217"/>
        <item x="179"/>
        <item x="332"/>
        <item x="111"/>
        <item x="75"/>
        <item x="269"/>
        <item x="339"/>
        <item x="455"/>
        <item x="199"/>
        <item x="649"/>
        <item x="191"/>
        <item x="645"/>
        <item x="38"/>
        <item x="763"/>
        <item x="704"/>
        <item x="153"/>
        <item x="458"/>
        <item x="209"/>
        <item x="211"/>
        <item x="644"/>
        <item x="506"/>
        <item x="731"/>
        <item x="262"/>
        <item x="723"/>
        <item x="346"/>
        <item x="724"/>
        <item x="58"/>
        <item x="173"/>
        <item x="235"/>
        <item x="55"/>
        <item x="359"/>
        <item x="532"/>
        <item x="278"/>
        <item x="572"/>
        <item x="389"/>
        <item x="150"/>
        <item x="354"/>
        <item x="494"/>
        <item x="24"/>
        <item x="760"/>
        <item x="368"/>
        <item x="104"/>
        <item x="577"/>
        <item x="461"/>
        <item x="79"/>
        <item x="122"/>
        <item x="549"/>
        <item x="221"/>
        <item x="538"/>
        <item x="34"/>
        <item x="86"/>
        <item x="617"/>
        <item x="42"/>
        <item x="764"/>
        <item x="564"/>
        <item x="193"/>
        <item x="19"/>
        <item x="485"/>
        <item x="721"/>
        <item x="136"/>
        <item x="716"/>
        <item x="516"/>
        <item x="107"/>
        <item x="14"/>
        <item x="696"/>
        <item x="377"/>
        <item x="372"/>
        <item x="650"/>
        <item x="220"/>
        <item x="477"/>
        <item x="584"/>
        <item x="398"/>
        <item x="82"/>
        <item x="67"/>
        <item x="677"/>
        <item x="252"/>
        <item x="200"/>
        <item x="210"/>
        <item x="619"/>
        <item x="756"/>
        <item x="784"/>
        <item x="162"/>
        <item x="729"/>
        <item x="476"/>
        <item x="388"/>
        <item x="89"/>
        <item x="486"/>
        <item x="488"/>
        <item x="545"/>
        <item x="551"/>
        <item x="275"/>
        <item x="789"/>
        <item x="348"/>
        <item x="454"/>
        <item x="23"/>
        <item x="77"/>
        <item x="349"/>
        <item x="694"/>
        <item x="105"/>
        <item x="166"/>
        <item x="483"/>
        <item x="399"/>
        <item x="403"/>
        <item x="680"/>
        <item x="271"/>
        <item x="754"/>
        <item x="298"/>
        <item x="654"/>
        <item x="541"/>
        <item x="406"/>
        <item x="8"/>
        <item x="418"/>
        <item x="236"/>
        <item x="497"/>
        <item x="491"/>
        <item x="466"/>
        <item x="390"/>
        <item x="2"/>
        <item x="125"/>
        <item x="307"/>
        <item x="640"/>
        <item x="328"/>
        <item x="786"/>
        <item x="495"/>
        <item x="675"/>
        <item x="18"/>
        <item x="183"/>
        <item x="745"/>
        <item x="169"/>
        <item x="604"/>
        <item x="500"/>
        <item x="69"/>
        <item x="288"/>
        <item x="449"/>
        <item x="710"/>
        <item x="154"/>
        <item x="448"/>
        <item x="472"/>
        <item x="121"/>
        <item x="537"/>
        <item x="322"/>
        <item x="647"/>
        <item x="571"/>
        <item x="715"/>
        <item x="740"/>
        <item x="685"/>
        <item x="315"/>
        <item x="276"/>
        <item x="273"/>
        <item x="684"/>
        <item x="71"/>
        <item x="114"/>
        <item x="324"/>
        <item x="409"/>
        <item x="612"/>
        <item x="30"/>
        <item x="323"/>
        <item x="213"/>
        <item x="229"/>
        <item x="146"/>
        <item x="158"/>
        <item x="250"/>
        <item x="167"/>
        <item x="395"/>
        <item x="352"/>
        <item x="106"/>
        <item x="548"/>
        <item x="510"/>
        <item x="385"/>
        <item x="283"/>
        <item x="474"/>
        <item x="678"/>
        <item x="365"/>
        <item x="367"/>
        <item x="65"/>
        <item x="72"/>
        <item x="74"/>
        <item x="422"/>
        <item x="779"/>
        <item x="93"/>
        <item x="59"/>
        <item x="431"/>
        <item x="562"/>
        <item x="574"/>
        <item x="197"/>
        <item x="618"/>
        <item x="535"/>
        <item x="743"/>
        <item x="665"/>
        <item x="505"/>
        <item x="473"/>
        <item x="47"/>
        <item x="302"/>
        <item x="602"/>
        <item x="149"/>
        <item x="733"/>
        <item x="554"/>
        <item x="410"/>
        <item x="405"/>
        <item x="53"/>
        <item x="566"/>
        <item x="787"/>
        <item x="227"/>
        <item x="434"/>
        <item x="401"/>
        <item x="443"/>
        <item x="624"/>
        <item x="575"/>
        <item x="408"/>
        <item x="0"/>
        <item x="83"/>
        <item x="325"/>
        <item x="222"/>
        <item x="15"/>
        <item x="240"/>
        <item x="320"/>
        <item x="513"/>
        <item x="703"/>
        <item x="579"/>
        <item x="28"/>
        <item x="192"/>
        <item x="670"/>
        <item x="170"/>
        <item x="374"/>
        <item x="629"/>
        <item x="301"/>
        <item x="272"/>
        <item x="279"/>
        <item x="52"/>
        <item x="725"/>
        <item x="127"/>
        <item x="16"/>
        <item x="215"/>
        <item x="341"/>
        <item x="452"/>
        <item x="514"/>
        <item x="51"/>
        <item x="592"/>
        <item x="511"/>
        <item x="527"/>
        <item x="247"/>
        <item x="268"/>
        <item x="688"/>
        <item x="623"/>
        <item x="76"/>
        <item x="266"/>
        <item x="469"/>
        <item x="140"/>
        <item x="219"/>
        <item x="292"/>
        <item x="499"/>
        <item x="81"/>
        <item x="778"/>
        <item x="582"/>
        <item x="656"/>
        <item x="490"/>
        <item x="542"/>
        <item x="194"/>
        <item x="712"/>
        <item x="25"/>
        <item x="233"/>
        <item x="742"/>
        <item x="249"/>
        <item x="456"/>
        <item x="299"/>
        <item x="46"/>
        <item x="608"/>
        <item x="428"/>
        <item x="218"/>
        <item x="115"/>
        <item x="309"/>
        <item x="440"/>
        <item x="152"/>
        <item x="660"/>
        <item x="699"/>
        <item x="50"/>
        <item x="518"/>
        <item x="363"/>
        <item x="526"/>
        <item x="48"/>
        <item x="563"/>
        <item x="230"/>
        <item x="402"/>
        <item x="311"/>
        <item x="501"/>
        <item x="189"/>
        <item x="594"/>
        <item x="287"/>
        <item x="788"/>
        <item x="203"/>
        <item x="256"/>
        <item x="781"/>
        <item x="790"/>
        <item x="206"/>
        <item x="310"/>
        <item x="361"/>
        <item x="110"/>
        <item x="57"/>
        <item x="232"/>
        <item x="768"/>
        <item x="175"/>
        <item x="718"/>
        <item x="593"/>
        <item x="382"/>
        <item x="569"/>
        <item x="791"/>
        <item x="741"/>
        <item x="160"/>
        <item x="557"/>
        <item x="98"/>
        <item x="468"/>
        <item x="570"/>
        <item x="124"/>
        <item x="44"/>
        <item x="519"/>
        <item x="326"/>
        <item x="628"/>
        <item x="783"/>
        <item x="732"/>
        <item x="208"/>
        <item x="637"/>
        <item x="609"/>
        <item x="567"/>
        <item x="467"/>
        <item x="534"/>
        <item x="186"/>
        <item x="433"/>
        <item x="316"/>
        <item x="598"/>
        <item x="616"/>
        <item x="447"/>
        <item x="711"/>
        <item x="772"/>
        <item x="636"/>
        <item x="697"/>
        <item x="416"/>
        <item x="112"/>
        <item x="391"/>
        <item x="35"/>
        <item x="314"/>
        <item x="370"/>
        <item x="782"/>
        <item x="780"/>
        <item x="49"/>
        <item x="605"/>
        <item x="657"/>
        <item x="274"/>
        <item x="407"/>
        <item x="174"/>
        <item x="9"/>
        <item x="639"/>
        <item x="118"/>
        <item x="243"/>
        <item x="293"/>
        <item x="70"/>
        <item x="695"/>
        <item x="642"/>
        <item x="281"/>
        <item x="376"/>
        <item x="774"/>
        <item x="674"/>
        <item x="525"/>
        <item x="61"/>
        <item x="749"/>
        <item x="147"/>
        <item x="225"/>
        <item x="481"/>
        <item x="95"/>
        <item x="3"/>
        <item x="669"/>
        <item x="277"/>
        <item x="381"/>
        <item x="504"/>
        <item x="13"/>
        <item x="198"/>
        <item x="415"/>
        <item x="20"/>
        <item x="737"/>
        <item x="344"/>
        <item x="379"/>
        <item x="45"/>
        <item x="502"/>
        <item x="521"/>
        <item x="734"/>
        <item x="21"/>
        <item x="163"/>
        <item x="205"/>
        <item x="312"/>
        <item x="133"/>
        <item x="765"/>
        <item x="228"/>
        <item x="304"/>
        <item x="425"/>
        <item x="539"/>
        <item x="588"/>
        <item x="421"/>
        <item x="216"/>
        <item x="632"/>
        <item x="145"/>
        <item x="184"/>
        <item x="752"/>
        <item x="139"/>
        <item x="638"/>
        <item x="187"/>
        <item x="586"/>
        <item x="517"/>
        <item x="746"/>
        <item x="353"/>
        <item x="621"/>
        <item x="97"/>
        <item x="635"/>
        <item x="263"/>
        <item x="690"/>
        <item x="286"/>
        <item x="702"/>
        <item x="698"/>
        <item x="214"/>
        <item x="530"/>
        <item x="259"/>
        <item x="242"/>
        <item x="738"/>
        <item x="11"/>
        <item x="96"/>
        <item x="305"/>
        <item x="10"/>
        <item x="387"/>
        <item x="364"/>
        <item x="358"/>
        <item x="751"/>
        <item x="508"/>
        <item x="646"/>
        <item x="614"/>
        <item x="251"/>
        <item x="540"/>
        <item x="128"/>
        <item x="347"/>
        <item x="747"/>
        <item x="524"/>
        <item x="769"/>
        <item x="578"/>
        <item x="463"/>
        <item x="419"/>
        <item x="392"/>
        <item x="599"/>
        <item x="238"/>
        <item x="386"/>
        <item x="681"/>
        <item x="43"/>
        <item x="333"/>
        <item x="237"/>
        <item x="290"/>
        <item x="182"/>
        <item x="498"/>
        <item x="342"/>
        <item x="254"/>
        <item x="357"/>
        <item x="327"/>
        <item x="771"/>
        <item x="759"/>
        <item x="512"/>
        <item x="248"/>
        <item x="296"/>
        <item x="258"/>
        <item x="613"/>
        <item x="561"/>
        <item x="303"/>
        <item x="103"/>
        <item x="679"/>
        <item x="204"/>
        <item x="464"/>
        <item x="700"/>
        <item x="777"/>
        <item x="223"/>
        <item x="770"/>
        <item x="658"/>
        <item x="439"/>
        <item x="560"/>
        <item x="758"/>
        <item x="234"/>
        <item x="284"/>
        <item x="176"/>
        <item x="766"/>
        <item x="306"/>
        <item x="441"/>
        <item x="378"/>
        <item x="143"/>
        <item x="753"/>
        <item x="595"/>
        <item x="643"/>
        <item x="735"/>
        <item x="108"/>
        <item x="487"/>
        <item x="536"/>
        <item x="265"/>
        <item x="706"/>
        <item x="165"/>
        <item x="676"/>
        <item x="331"/>
        <item x="709"/>
        <item x="63"/>
        <item x="369"/>
        <item x="672"/>
        <item x="94"/>
        <item x="793"/>
        <item x="394"/>
        <item x="606"/>
        <item x="27"/>
        <item x="270"/>
        <item x="555"/>
        <item x="335"/>
        <item x="37"/>
        <item x="436"/>
        <item x="655"/>
        <item x="662"/>
        <item x="383"/>
        <item x="351"/>
        <item x="1"/>
        <item x="355"/>
        <item x="132"/>
        <item x="260"/>
        <item x="362"/>
        <item x="590"/>
        <item x="141"/>
        <item x="576"/>
        <item x="529"/>
        <item x="297"/>
        <item x="625"/>
        <item x="130"/>
        <item x="317"/>
        <item x="185"/>
        <item x="29"/>
        <item x="64"/>
        <item x="435"/>
        <item x="484"/>
        <item x="726"/>
        <item x="12"/>
        <item x="177"/>
        <item x="492"/>
        <item x="736"/>
        <item x="84"/>
        <item x="757"/>
        <item x="102"/>
        <item x="282"/>
        <item x="620"/>
        <item x="318"/>
        <item x="480"/>
        <item x="343"/>
        <item x="138"/>
        <item x="66"/>
        <item x="432"/>
        <item x="88"/>
        <item x="719"/>
        <item x="615"/>
        <item x="728"/>
        <item x="457"/>
        <item x="257"/>
        <item x="371"/>
        <item x="148"/>
        <item x="321"/>
        <item x="717"/>
        <item x="397"/>
        <item x="417"/>
        <item x="552"/>
        <item x="648"/>
        <item x="600"/>
        <item x="438"/>
        <item x="168"/>
        <item x="591"/>
        <item x="687"/>
        <item x="785"/>
        <item x="761"/>
        <item x="750"/>
        <item x="489"/>
        <item x="603"/>
        <item x="580"/>
        <item x="207"/>
        <item x="424"/>
        <item x="285"/>
        <item x="142"/>
        <item x="26"/>
        <item x="39"/>
        <item x="68"/>
        <item x="5"/>
        <item x="627"/>
        <item x="119"/>
        <item x="792"/>
        <item x="748"/>
        <item x="601"/>
        <item x="633"/>
        <item x="116"/>
        <item x="493"/>
        <item x="652"/>
        <item x="33"/>
        <item x="261"/>
        <item x="451"/>
        <item x="144"/>
        <item x="289"/>
        <item x="666"/>
        <item x="338"/>
        <item x="17"/>
        <item x="705"/>
        <item x="744"/>
        <item x="631"/>
        <item x="360"/>
        <item x="546"/>
        <item x="727"/>
        <item x="87"/>
        <item x="253"/>
        <item x="99"/>
        <item x="730"/>
        <item x="653"/>
        <item x="178"/>
        <item x="583"/>
        <item x="337"/>
        <item x="558"/>
        <item x="755"/>
        <item x="722"/>
        <item x="465"/>
        <item x="181"/>
        <item x="692"/>
        <item x="626"/>
        <item x="630"/>
        <item x="267"/>
        <item x="413"/>
        <item x="159"/>
        <item x="117"/>
        <item x="60"/>
        <item x="547"/>
        <item x="426"/>
        <item x="475"/>
        <item x="126"/>
        <item x="373"/>
        <item x="241"/>
        <item x="350"/>
        <item x="462"/>
        <item x="366"/>
        <item x="155"/>
        <item x="507"/>
        <item x="393"/>
        <item x="664"/>
        <item x="533"/>
        <item x="172"/>
        <item x="101"/>
        <item x="673"/>
        <item x="437"/>
        <item x="531"/>
        <item x="445"/>
        <item x="202"/>
        <item x="201"/>
        <item x="691"/>
        <item x="693"/>
        <item x="156"/>
        <item x="503"/>
        <item x="190"/>
        <item x="641"/>
        <item x="520"/>
        <item x="589"/>
        <item x="767"/>
        <item x="689"/>
        <item x="100"/>
        <item x="661"/>
        <item x="123"/>
        <item x="109"/>
        <item x="659"/>
        <item x="523"/>
        <item x="634"/>
        <item x="329"/>
        <item x="54"/>
        <item x="137"/>
        <item x="611"/>
        <item x="478"/>
        <item x="429"/>
        <item x="446"/>
        <item x="78"/>
        <item x="420"/>
        <item x="414"/>
        <item x="384"/>
        <item x="479"/>
        <item x="31"/>
        <item x="556"/>
        <item x="682"/>
        <item x="151"/>
        <item x="773"/>
        <item x="404"/>
        <item x="444"/>
        <item x="708"/>
        <item x="36"/>
        <item x="671"/>
        <item x="550"/>
        <item x="522"/>
        <item x="471"/>
        <item x="714"/>
        <item x="300"/>
        <item x="131"/>
        <item x="482"/>
        <item x="157"/>
        <item x="56"/>
        <item x="559"/>
        <item x="667"/>
        <item x="245"/>
        <item x="231"/>
        <item x="40"/>
        <item x="224"/>
        <item x="460"/>
        <item x="80"/>
        <item x="294"/>
        <item x="453"/>
        <item x="565"/>
        <item x="739"/>
        <item x="319"/>
        <item x="212"/>
        <item x="553"/>
        <item x="62"/>
        <item x="280"/>
        <item x="90"/>
        <item x="430"/>
        <item x="113"/>
        <item x="651"/>
        <item x="528"/>
        <item x="450"/>
        <item x="707"/>
        <item x="543"/>
        <item x="73"/>
        <item x="7"/>
        <item x="255"/>
        <item t="default"/>
      </items>
    </pivotField>
    <pivotField showAll="0">
      <items count="301">
        <item x="124"/>
        <item x="279"/>
        <item x="15"/>
        <item x="267"/>
        <item x="19"/>
        <item x="216"/>
        <item x="170"/>
        <item x="85"/>
        <item x="253"/>
        <item x="264"/>
        <item x="46"/>
        <item x="182"/>
        <item x="23"/>
        <item x="145"/>
        <item x="91"/>
        <item x="174"/>
        <item x="187"/>
        <item x="35"/>
        <item x="51"/>
        <item x="220"/>
        <item x="172"/>
        <item x="59"/>
        <item x="100"/>
        <item x="17"/>
        <item x="96"/>
        <item x="209"/>
        <item x="288"/>
        <item x="244"/>
        <item x="285"/>
        <item x="67"/>
        <item x="0"/>
        <item x="226"/>
        <item x="18"/>
        <item x="50"/>
        <item x="199"/>
        <item x="47"/>
        <item x="171"/>
        <item x="83"/>
        <item x="271"/>
        <item x="291"/>
        <item x="86"/>
        <item x="250"/>
        <item x="156"/>
        <item x="208"/>
        <item x="294"/>
        <item x="255"/>
        <item x="128"/>
        <item x="36"/>
        <item x="236"/>
        <item x="40"/>
        <item x="206"/>
        <item x="195"/>
        <item x="20"/>
        <item x="24"/>
        <item x="289"/>
        <item x="273"/>
        <item x="16"/>
        <item x="176"/>
        <item x="227"/>
        <item x="200"/>
        <item x="257"/>
        <item x="115"/>
        <item x="122"/>
        <item x="157"/>
        <item x="194"/>
        <item x="290"/>
        <item x="129"/>
        <item x="251"/>
        <item x="114"/>
        <item x="146"/>
        <item x="186"/>
        <item x="132"/>
        <item x="77"/>
        <item x="183"/>
        <item x="261"/>
        <item x="81"/>
        <item x="142"/>
        <item x="119"/>
        <item x="242"/>
        <item x="260"/>
        <item x="57"/>
        <item x="192"/>
        <item x="7"/>
        <item x="213"/>
        <item x="276"/>
        <item x="66"/>
        <item x="235"/>
        <item x="4"/>
        <item x="49"/>
        <item x="230"/>
        <item x="215"/>
        <item x="241"/>
        <item x="21"/>
        <item x="144"/>
        <item x="270"/>
        <item x="225"/>
        <item x="110"/>
        <item x="68"/>
        <item x="245"/>
        <item x="158"/>
        <item x="45"/>
        <item x="190"/>
        <item x="201"/>
        <item x="272"/>
        <item x="117"/>
        <item x="126"/>
        <item x="101"/>
        <item x="82"/>
        <item x="252"/>
        <item x="218"/>
        <item x="278"/>
        <item x="103"/>
        <item x="163"/>
        <item x="204"/>
        <item x="14"/>
        <item x="104"/>
        <item x="107"/>
        <item x="89"/>
        <item x="185"/>
        <item x="130"/>
        <item x="229"/>
        <item x="265"/>
        <item x="64"/>
        <item x="139"/>
        <item x="150"/>
        <item x="234"/>
        <item x="161"/>
        <item x="179"/>
        <item x="34"/>
        <item x="90"/>
        <item x="123"/>
        <item x="275"/>
        <item x="78"/>
        <item x="180"/>
        <item x="211"/>
        <item x="105"/>
        <item x="69"/>
        <item x="191"/>
        <item x="32"/>
        <item x="9"/>
        <item x="205"/>
        <item x="48"/>
        <item x="58"/>
        <item x="95"/>
        <item x="3"/>
        <item x="53"/>
        <item x="177"/>
        <item x="166"/>
        <item x="136"/>
        <item x="239"/>
        <item x="298"/>
        <item x="269"/>
        <item x="222"/>
        <item x="152"/>
        <item x="202"/>
        <item x="11"/>
        <item x="108"/>
        <item x="37"/>
        <item x="198"/>
        <item x="33"/>
        <item x="165"/>
        <item x="84"/>
        <item x="135"/>
        <item x="112"/>
        <item x="256"/>
        <item x="181"/>
        <item x="125"/>
        <item x="237"/>
        <item x="263"/>
        <item x="160"/>
        <item x="73"/>
        <item x="212"/>
        <item x="249"/>
        <item x="274"/>
        <item x="188"/>
        <item x="173"/>
        <item x="28"/>
        <item x="231"/>
        <item x="72"/>
        <item x="283"/>
        <item x="189"/>
        <item x="65"/>
        <item x="148"/>
        <item x="221"/>
        <item x="113"/>
        <item x="87"/>
        <item x="184"/>
        <item x="238"/>
        <item x="137"/>
        <item x="217"/>
        <item x="92"/>
        <item x="162"/>
        <item x="280"/>
        <item x="98"/>
        <item x="138"/>
        <item x="61"/>
        <item x="258"/>
        <item x="30"/>
        <item x="13"/>
        <item x="228"/>
        <item x="292"/>
        <item x="178"/>
        <item x="42"/>
        <item x="133"/>
        <item x="151"/>
        <item x="121"/>
        <item x="297"/>
        <item x="106"/>
        <item x="240"/>
        <item x="169"/>
        <item x="153"/>
        <item x="219"/>
        <item x="299"/>
        <item x="5"/>
        <item x="10"/>
        <item x="74"/>
        <item x="247"/>
        <item x="116"/>
        <item x="25"/>
        <item x="52"/>
        <item x="248"/>
        <item x="295"/>
        <item x="29"/>
        <item x="80"/>
        <item x="193"/>
        <item x="207"/>
        <item x="284"/>
        <item x="140"/>
        <item x="38"/>
        <item x="287"/>
        <item x="39"/>
        <item x="281"/>
        <item x="93"/>
        <item x="233"/>
        <item x="286"/>
        <item x="102"/>
        <item x="62"/>
        <item x="149"/>
        <item x="76"/>
        <item x="232"/>
        <item x="254"/>
        <item x="109"/>
        <item x="127"/>
        <item x="159"/>
        <item x="155"/>
        <item x="12"/>
        <item x="282"/>
        <item x="44"/>
        <item x="277"/>
        <item x="296"/>
        <item x="27"/>
        <item x="1"/>
        <item x="262"/>
        <item x="43"/>
        <item x="143"/>
        <item x="224"/>
        <item x="266"/>
        <item x="71"/>
        <item x="56"/>
        <item x="111"/>
        <item x="120"/>
        <item x="293"/>
        <item x="54"/>
        <item x="75"/>
        <item x="223"/>
        <item x="243"/>
        <item x="99"/>
        <item x="8"/>
        <item x="246"/>
        <item x="55"/>
        <item x="147"/>
        <item x="141"/>
        <item x="167"/>
        <item x="210"/>
        <item x="60"/>
        <item x="131"/>
        <item x="79"/>
        <item x="154"/>
        <item x="6"/>
        <item x="97"/>
        <item x="214"/>
        <item x="168"/>
        <item x="70"/>
        <item x="41"/>
        <item x="26"/>
        <item x="134"/>
        <item x="197"/>
        <item x="2"/>
        <item x="175"/>
        <item x="22"/>
        <item x="196"/>
        <item x="94"/>
        <item x="118"/>
        <item x="268"/>
        <item x="164"/>
        <item x="259"/>
        <item x="203"/>
        <item x="88"/>
        <item x="63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  <pivotField showAll="0">
      <items count="25">
        <item x="8"/>
        <item x="11"/>
        <item x="17"/>
        <item x="23"/>
        <item x="7"/>
        <item x="14"/>
        <item x="10"/>
        <item x="12"/>
        <item x="18"/>
        <item x="19"/>
        <item x="0"/>
        <item x="20"/>
        <item x="15"/>
        <item x="3"/>
        <item x="6"/>
        <item x="9"/>
        <item x="13"/>
        <item x="16"/>
        <item x="21"/>
        <item x="22"/>
        <item x="2"/>
        <item x="5"/>
        <item x="4"/>
        <item x="1"/>
        <item t="default"/>
      </items>
    </pivotField>
  </pivotFields>
  <rowItems count="1">
    <i/>
  </rowItems>
  <colItems count="1">
    <i/>
  </colItems>
  <dataFields count="1">
    <dataField name="Sum of revenue_variance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0D69D-0568-4BC5-A6E2-345D82667C57}" name="ReconciliationData" displayName="ReconciliationData" ref="A1:AC4001" totalsRowShown="0">
  <autoFilter ref="A1:AC4001" xr:uid="{84C0D69D-0568-4BC5-A6E2-345D82667C57}"/>
  <tableColumns count="29">
    <tableColumn id="1" xr3:uid="{2E850012-F655-4F30-A3B1-C0743E8EB763}" name="Order_ID"/>
    <tableColumn id="2" xr3:uid="{D94A323B-4504-42A0-9D93-CF03DA0217E3}" name="Order_Date" dataDxfId="17"/>
    <tableColumn id="3" xr3:uid="{AEC27484-CAF7-4CD0-8400-58F78D86253E}" name="Customer_ID"/>
    <tableColumn id="4" xr3:uid="{700B6064-2A52-4834-A546-BDD1A45307AE}" name="Product_ID"/>
    <tableColumn id="5" xr3:uid="{A87FA7F3-56BB-4EB9-ACC1-20AA4F09055F}" name="ordered_units"/>
    <tableColumn id="6" xr3:uid="{4074A58A-0739-4FA1-80E3-9BEA571379EC}" name="Invoice_ID"/>
    <tableColumn id="7" xr3:uid="{210681C9-A0A7-4479-BDCD-6C8DF5E15224}" name="Billed_Units"/>
    <tableColumn id="8" xr3:uid="{40DCDA4D-746F-4C6A-B474-0F39EF0784C8}" name="Billed_Price"/>
    <tableColumn id="9" xr3:uid="{21E37D91-1EEE-405E-8D55-18B7374A3A58}" name="total_returned_units"/>
    <tableColumn id="10" xr3:uid="{F9CD6325-92BD-4C01-85A0-E285197B59B4}" name="last_return_date"/>
    <tableColumn id="11" xr3:uid="{602399D0-8B54-4057-8E08-01E6F8F1A34B}" name="Contract_Price"/>
    <tableColumn id="12" xr3:uid="{7113C4D2-4DFC-4974-8EBA-B641665DB7B6}" name="Start_Date"/>
    <tableColumn id="13" xr3:uid="{764ACA22-D902-4B1E-901F-A91E1B70919E}" name="End_Date"/>
    <tableColumn id="14" xr3:uid="{CCD4206C-4CB3-4A8D-A4A5-9EDA3D0CD3F3}" name="List_Price"/>
    <tableColumn id="15" xr3:uid="{DA095275-FF55-489C-89DE-D4A52B382588}" name="Effective_Date" dataDxfId="16"/>
    <tableColumn id="16" xr3:uid="{2E7CF7D7-9508-40A2-829A-0F33349BB52D}" name="missing_invoice" dataDxfId="15">
      <calculatedColumnFormula>IF(ISBLANK(ReconciliationData[[#This Row],[Invoice_ID]]),1,0)</calculatedColumnFormula>
    </tableColumn>
    <tableColumn id="17" xr3:uid="{412516ED-5F2E-4F4C-B7B7-D6BE99EA993E}" name="unit_mismatch" dataDxfId="14">
      <calculatedColumnFormula>IF(AND(NOT(ISBLANK(ReconciliationData[[#This Row],[Billed_Units]])),ReconciliationData[[#This Row],[ordered_units]]&lt;&gt;ReconciliationData[[#This Row],[Billed_Units]]),1,0)</calculatedColumnFormula>
    </tableColumn>
    <tableColumn id="18" xr3:uid="{1068358D-8AE4-4822-93CA-5F25F9257ACA}" name="list_price_mismatch" dataDxfId="13">
      <calculatedColumnFormula>IF(AND(NOT(ISBLANK(ReconciliationData[[#This Row],[Billed_Price]])),NOT(ISBLANK(ReconciliationData[[#This Row],[List_Price]])),ReconciliationData[[#This Row],[Billed_Price]]&lt;&gt;ReconciliationData[[#This Row],[List_Price]]),1,0)</calculatedColumnFormula>
    </tableColumn>
    <tableColumn id="19" xr3:uid="{D217B357-0775-4805-89A2-CC111368187C}" name="contract_price_mismatch" dataDxfId="12">
      <calculatedColumnFormula>IF(AND(NOT(ISBLANK(ReconciliationData[[#This Row],[Contract_Price]])),ReconciliationData[[#This Row],[Billed_Price]]&lt;&gt;ReconciliationData[[#This Row],[Contract_Price]]),1,0)</calculatedColumnFormula>
    </tableColumn>
    <tableColumn id="20" xr3:uid="{F58A4421-8029-47A8-8F45-66CBB1F79236}" name="expired_contract" dataDxfId="11">
      <calculatedColumnFormula>IF(AND(NOT(ISBLANK(ReconciliationData[[#This Row],[End_Date]])),ReconciliationData[[#This Row],[Order_Date]]&gt;ReconciliationData[[#This Row],[End_Date]]),1,0)</calculatedColumnFormula>
    </tableColumn>
    <tableColumn id="21" xr3:uid="{D1B261E7-6107-4843-931F-CB79A8E742B1}" name="late_return" dataDxfId="10">
      <calculatedColumnFormula>IF(AND(NOT(ISBLANK(ReconciliationData[[#This Row],[last_return_date]])),ReconciliationData[[#This Row],[last_return_date]]&gt;ReconciliationData[[#This Row],[Order_Date]]+60),1,0)</calculatedColumnFormula>
    </tableColumn>
    <tableColumn id="22" xr3:uid="{13F874EE-2844-482C-AD4D-B47BC552A748}" name="over_return" dataDxfId="9">
      <calculatedColumnFormula>IF(ReconciliationData[[#This Row],[total_returned_units]]&gt;ReconciliationData[[#This Row],[ordered_units]],1,0)</calculatedColumnFormula>
    </tableColumn>
    <tableColumn id="23" xr3:uid="{4E6BACB4-E32E-43C2-BB24-6E73AD4BE0F1}" name="recon_status" dataDxfId="8">
      <calculatedColumnFormula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calculatedColumnFormula>
    </tableColumn>
    <tableColumn id="24" xr3:uid="{5332237C-7EDD-4BB3-B6FF-63B709EE7B27}" name="billed_revenue" dataDxfId="7">
      <calculatedColumnFormula>ReconciliationData[[#This Row],[Billed_Units]]*ReconciliationData[[#This Row],[Billed_Price]]</calculatedColumnFormula>
    </tableColumn>
    <tableColumn id="25" xr3:uid="{18F22D73-4A4E-45AB-9923-1ADDBEDD3F24}" name="expected_revenue" dataDxfId="6">
      <calculatedColumnFormula>ReconciliationData[[#This Row],[ordered_units]]*ReconciliationData[[#This Row],[List_Price]]</calculatedColumnFormula>
    </tableColumn>
    <tableColumn id="26" xr3:uid="{A6E989AE-C946-48F0-9FDA-BED188A9212E}" name="revenue_variance" dataDxfId="5">
      <calculatedColumnFormula>ReconciliationData[[#This Row],[billed_revenue]]-ReconciliationData[[#This Row],[expected_revenue]]</calculatedColumnFormula>
    </tableColumn>
    <tableColumn id="27" xr3:uid="{C8123A50-E866-4A5C-BC40-68603908C89C}" name="severity_score" dataDxfId="4">
      <calculatedColumnFormula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calculatedColumnFormula>
    </tableColumn>
    <tableColumn id="28" xr3:uid="{D8E656C9-D8F8-4908-BF44-15E9C7A04FE2}" name="risk_level" dataDxfId="3">
      <calculatedColumnFormula>IF(ReconciliationData[[#This Row],[severity_score]]=0,"LOW",
 IF(ReconciliationData[[#This Row],[severity_score]]&lt;=5,"MEDIUM","HIGH"))</calculatedColumnFormula>
    </tableColumn>
    <tableColumn id="29" xr3:uid="{59E82626-4DB2-444C-8414-CC3B41E63B40}" name="month" dataDxfId="2">
      <calculatedColumnFormula>TEXT(ReconciliationData[[#This Row],[Order_Date]],"YYYY-MM")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AD1B-8247-4911-929E-FC41F5139E16}">
  <dimension ref="A1:K48"/>
  <sheetViews>
    <sheetView workbookViewId="0"/>
  </sheetViews>
  <sheetFormatPr defaultRowHeight="15"/>
  <cols>
    <col min="1" max="1" width="47.5703125" customWidth="1"/>
    <col min="2" max="2" width="24.7109375" customWidth="1"/>
    <col min="3" max="3" width="19" customWidth="1"/>
    <col min="4" max="4" width="30.42578125" customWidth="1"/>
    <col min="5" max="5" width="19" customWidth="1"/>
    <col min="6" max="6" width="34.28515625" customWidth="1"/>
    <col min="7" max="7" width="3.85546875" customWidth="1"/>
    <col min="8" max="8" width="43.85546875" customWidth="1"/>
    <col min="9" max="9" width="19" customWidth="1"/>
    <col min="10" max="10" width="21" customWidth="1"/>
    <col min="11" max="11" width="19" customWidth="1"/>
  </cols>
  <sheetData>
    <row r="1" spans="1:11" ht="2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3" spans="1:11" ht="15.75">
      <c r="A3" s="32" t="s">
        <v>1</v>
      </c>
      <c r="H3" s="46" t="s">
        <v>2</v>
      </c>
      <c r="I3" s="46"/>
      <c r="J3" s="46"/>
      <c r="K3" s="46"/>
    </row>
    <row r="4" spans="1:11">
      <c r="A4" s="33" t="s">
        <v>3</v>
      </c>
      <c r="B4" s="33" t="s">
        <v>4</v>
      </c>
      <c r="C4" s="33" t="s">
        <v>5</v>
      </c>
      <c r="H4" s="33" t="s">
        <v>6</v>
      </c>
      <c r="I4" s="33" t="s">
        <v>7</v>
      </c>
      <c r="J4" s="33" t="s">
        <v>8</v>
      </c>
      <c r="K4" s="33" t="s">
        <v>9</v>
      </c>
    </row>
    <row r="5" spans="1:11">
      <c r="A5" s="24" t="s">
        <v>10</v>
      </c>
      <c r="B5" s="24">
        <f>COUNTA(reconciliation_base!A:A)-1</f>
        <v>4000</v>
      </c>
      <c r="C5" s="24" t="s">
        <v>11</v>
      </c>
      <c r="H5" s="35" t="s">
        <v>12</v>
      </c>
      <c r="I5" s="35">
        <f>COUNTIF(reconciliation_base!Q:Q,1)</f>
        <v>197</v>
      </c>
      <c r="J5" s="37">
        <f>SUMIF(reconciliation_base!Q:Q,1,reconciliation_base!Z:Z)</f>
        <v>363390.07475726592</v>
      </c>
      <c r="K5" s="36">
        <f>J5/SUM(reconciliation_base!Z:Z)</f>
        <v>0.98888958279282146</v>
      </c>
    </row>
    <row r="6" spans="1:11">
      <c r="A6" s="24" t="s">
        <v>13</v>
      </c>
      <c r="B6" s="26">
        <f>SUM(reconciliation_base!X:X)</f>
        <v>254365758.62614921</v>
      </c>
      <c r="C6" s="24" t="s">
        <v>14</v>
      </c>
      <c r="H6" s="24" t="s">
        <v>15</v>
      </c>
      <c r="I6" s="24">
        <f>COUNTIF(reconciliation_base!R:R,1)</f>
        <v>123</v>
      </c>
      <c r="J6" s="26">
        <f>SUMIF(reconciliation_base!R:R,1,reconciliation_base!Z:Z)</f>
        <v>36253.36674917784</v>
      </c>
      <c r="K6" s="34">
        <f>J6/SUM(reconciliation_base!Z:Z)</f>
        <v>9.8655905072192102E-2</v>
      </c>
    </row>
    <row r="7" spans="1:11">
      <c r="A7" s="24" t="s">
        <v>16</v>
      </c>
      <c r="B7" s="26">
        <f>SUM(reconciliation_base!Z:Z)</f>
        <v>367472.85144917783</v>
      </c>
      <c r="C7" s="24" t="s">
        <v>17</v>
      </c>
      <c r="H7" s="24" t="s">
        <v>18</v>
      </c>
      <c r="I7" s="24">
        <f>COUNTIF(reconciliation_base!U:U,1)</f>
        <v>191</v>
      </c>
      <c r="J7" s="26">
        <f>SUMIF(reconciliation_base!U:U,1,reconciliation_base!Z:Z)</f>
        <v>28457.737419609039</v>
      </c>
      <c r="K7" s="34">
        <f>J7/SUM(reconciliation_base!Z:Z)</f>
        <v>7.7441741090211652E-2</v>
      </c>
    </row>
    <row r="8" spans="1:11">
      <c r="A8" s="24" t="s">
        <v>19</v>
      </c>
      <c r="B8" s="25">
        <f>SUM(reconciliation_base!Z:Z)/SUM(reconciliation_base!X:X)</f>
        <v>1.4446632024448947E-3</v>
      </c>
      <c r="C8" s="24" t="s">
        <v>20</v>
      </c>
      <c r="H8" s="24" t="s">
        <v>21</v>
      </c>
      <c r="I8" s="24">
        <f>COUNTIF(reconciliation_base!S:S,1)</f>
        <v>7</v>
      </c>
      <c r="J8" s="26">
        <f>SUMIF(reconciliation_base!S:S,1,reconciliation_base!Z:Z)</f>
        <v>7438.1759999999995</v>
      </c>
      <c r="K8" s="34">
        <f>J8/SUM(reconciliation_base!Z:Z)</f>
        <v>2.0241430001336339E-2</v>
      </c>
    </row>
    <row r="9" spans="1:11">
      <c r="A9" s="24" t="s">
        <v>22</v>
      </c>
      <c r="B9" s="24">
        <f>COUNTIF(reconciliation_base!W:W,"FAIL")</f>
        <v>503</v>
      </c>
      <c r="C9" s="24" t="s">
        <v>23</v>
      </c>
      <c r="H9" s="24" t="s">
        <v>24</v>
      </c>
      <c r="I9" s="24">
        <f>COUNTIF(reconciliation_base!T:T,1)</f>
        <v>5</v>
      </c>
      <c r="J9" s="26">
        <f>SUMIF(reconciliation_base!T:T,1,reconciliation_base!Z:Z)</f>
        <v>7438.1759999999995</v>
      </c>
      <c r="K9" s="34">
        <f>J9/SUM(reconciliation_base!Z:Z)</f>
        <v>2.0241430001336339E-2</v>
      </c>
    </row>
    <row r="10" spans="1:11">
      <c r="A10" s="24" t="s">
        <v>25</v>
      </c>
      <c r="B10" s="24">
        <f>COUNTIF(reconciliation_base!W:W,"PASS")</f>
        <v>3497</v>
      </c>
      <c r="C10" s="24" t="s">
        <v>26</v>
      </c>
      <c r="H10" s="24" t="s">
        <v>27</v>
      </c>
      <c r="I10" s="24">
        <f>COUNTIF(reconciliation_base!V:V,1)</f>
        <v>15</v>
      </c>
      <c r="J10" s="26">
        <f>SUMIF(reconciliation_base!V:V,1,reconciliation_base!Z:Z)</f>
        <v>3979.4255999999987</v>
      </c>
      <c r="K10" s="34">
        <f>J10/SUM(reconciliation_base!Z:Z)</f>
        <v>1.082916896937177E-2</v>
      </c>
    </row>
    <row r="11" spans="1:11">
      <c r="A11" s="24" t="s">
        <v>28</v>
      </c>
      <c r="B11" s="24">
        <f>COUNTIF(reconciliation_base!W:W,"FAIL")/(COUNTA(reconciliation_base!W:W)-1)</f>
        <v>0.12575</v>
      </c>
      <c r="C11" s="25" t="s">
        <v>29</v>
      </c>
    </row>
    <row r="12" spans="1:11" ht="15.75">
      <c r="H12" s="46" t="s">
        <v>30</v>
      </c>
      <c r="I12" s="46"/>
      <c r="J12" s="46"/>
      <c r="K12" s="46"/>
    </row>
    <row r="13" spans="1:11" ht="15.75">
      <c r="A13" s="32" t="s">
        <v>31</v>
      </c>
      <c r="H13" s="33" t="s">
        <v>32</v>
      </c>
      <c r="I13" s="33" t="s">
        <v>8</v>
      </c>
      <c r="J13" s="33" t="s">
        <v>33</v>
      </c>
      <c r="K13" s="33" t="s">
        <v>34</v>
      </c>
    </row>
    <row r="14" spans="1:11">
      <c r="A14" s="33" t="s">
        <v>35</v>
      </c>
      <c r="B14" s="33" t="s">
        <v>36</v>
      </c>
      <c r="C14" s="33" t="s">
        <v>37</v>
      </c>
      <c r="D14" s="33" t="s">
        <v>38</v>
      </c>
      <c r="H14" s="26">
        <v>2023</v>
      </c>
      <c r="I14" s="24">
        <f>SUMIFS(reconciliation_base!Z:Z,reconciliation_base!AC:AC,"2023-*")</f>
        <v>190266.38062661007</v>
      </c>
      <c r="J14" s="26">
        <f>COUNTIF(reconciliation_base!AC:AC,"2023-*")</f>
        <v>2003</v>
      </c>
      <c r="K14" s="24">
        <f>IF(I14&gt;0,H14/I14,0)</f>
        <v>1.0632461674719372E-2</v>
      </c>
    </row>
    <row r="15" spans="1:11">
      <c r="A15" s="24" t="s">
        <v>39</v>
      </c>
      <c r="B15" s="26">
        <f>SUMIF(reconciliation_base!Z:Z,"&gt;0")</f>
        <v>493353.97418231168</v>
      </c>
      <c r="C15" s="34">
        <f>B15/(ABS(B15)+ABS(B16))</f>
        <v>0.79671513555969753</v>
      </c>
      <c r="D15" s="24" t="s">
        <v>40</v>
      </c>
      <c r="H15" s="26">
        <v>2024</v>
      </c>
      <c r="I15" s="24">
        <f>SUMIFS(reconciliation_base!Z:Z,reconciliation_base!AC:AC,"2024-*")</f>
        <v>177206.47082256788</v>
      </c>
      <c r="J15" s="26">
        <f>COUNTIF(reconciliation_base!AC:AC,"2024-*")</f>
        <v>1997</v>
      </c>
      <c r="K15" s="24">
        <f>IF(I15&gt;0,H15/I15,0)</f>
        <v>1.1421704809112627E-2</v>
      </c>
    </row>
    <row r="16" spans="1:11">
      <c r="A16" s="24" t="s">
        <v>41</v>
      </c>
      <c r="B16" s="26">
        <f>SUMIF(reconciliation_base!Z:Z,"&lt;0")</f>
        <v>-125881.12273313399</v>
      </c>
      <c r="C16" s="34">
        <f>ABS(B16)/(ABS(B15)+ABS(B16))</f>
        <v>0.20328486444030258</v>
      </c>
      <c r="D16" s="24" t="s">
        <v>42</v>
      </c>
      <c r="H16" s="26" t="s">
        <v>43</v>
      </c>
      <c r="I16" s="24">
        <f>H15-H14</f>
        <v>1</v>
      </c>
      <c r="J16" s="26">
        <f>I15-I14</f>
        <v>-13059.909804042196</v>
      </c>
      <c r="K16" s="24">
        <f>J15-J14</f>
        <v>-6</v>
      </c>
    </row>
    <row r="17" spans="1:11">
      <c r="A17" s="24" t="s">
        <v>44</v>
      </c>
      <c r="B17" s="26">
        <f>SUM(reconciliation_base!Z:Z)</f>
        <v>367472.85144917783</v>
      </c>
      <c r="C17" s="34">
        <f>B17/(ABS(B15)+ABS(B16))</f>
        <v>0.59343027111939517</v>
      </c>
      <c r="D17" s="24" t="s">
        <v>45</v>
      </c>
      <c r="H17" s="34" t="s">
        <v>46</v>
      </c>
      <c r="I17" s="24">
        <f>IF(H14&lt;&gt;0,(H15-H14)/H14,0)</f>
        <v>4.9431537320810673E-4</v>
      </c>
      <c r="J17" s="26"/>
      <c r="K17" s="34">
        <f>IF(J14&lt;&gt;0,(J15-J14)/J14,0)</f>
        <v>-2.9955067398901645E-3</v>
      </c>
    </row>
    <row r="18" spans="1:11">
      <c r="A18" s="24" t="s">
        <v>47</v>
      </c>
      <c r="B18" s="26">
        <f>AVERAGEIF(reconciliation_base!Z:Z,"&lt;&gt;0")</f>
        <v>1185.3962949973479</v>
      </c>
      <c r="C18" s="24"/>
      <c r="D18" s="24" t="s">
        <v>48</v>
      </c>
    </row>
    <row r="19" spans="1:11" ht="15.75">
      <c r="A19" s="24" t="s">
        <v>49</v>
      </c>
      <c r="B19" s="26">
        <f>MAX(reconciliation_base!Z:Z)</f>
        <v>12319.93299999999</v>
      </c>
      <c r="C19" s="24"/>
      <c r="D19" s="24" t="s">
        <v>50</v>
      </c>
      <c r="H19" s="47" t="s">
        <v>51</v>
      </c>
      <c r="I19" s="47"/>
      <c r="J19" s="47"/>
      <c r="K19" s="47"/>
    </row>
    <row r="20" spans="1:11">
      <c r="A20" s="24" t="s">
        <v>52</v>
      </c>
      <c r="B20" s="26">
        <f>MIN(reconciliation_base!Z:Z)</f>
        <v>-6159.9664999999804</v>
      </c>
      <c r="C20" s="24"/>
      <c r="D20" s="24" t="s">
        <v>53</v>
      </c>
      <c r="H20" s="24" t="s">
        <v>54</v>
      </c>
      <c r="I20" s="44">
        <v>45078</v>
      </c>
      <c r="J20" s="24"/>
      <c r="K20" s="24"/>
    </row>
    <row r="21" spans="1:11">
      <c r="H21" s="24" t="s">
        <v>55</v>
      </c>
      <c r="I21" s="26">
        <f>SUMIFS(reconciliation_base!Z:Z,reconciliation_base!AC:AC,"2023-06")</f>
        <v>43272.063542537922</v>
      </c>
      <c r="J21" s="24"/>
      <c r="K21" s="24"/>
    </row>
    <row r="22" spans="1:11" ht="15.75">
      <c r="A22" s="32" t="s">
        <v>56</v>
      </c>
      <c r="H22" s="24" t="s">
        <v>57</v>
      </c>
      <c r="I22" s="24" t="s">
        <v>58</v>
      </c>
      <c r="J22" s="24"/>
      <c r="K22" s="24"/>
    </row>
    <row r="23" spans="1:11">
      <c r="A23" s="33" t="s">
        <v>59</v>
      </c>
      <c r="B23" s="33" t="s">
        <v>33</v>
      </c>
      <c r="C23" s="33" t="s">
        <v>60</v>
      </c>
      <c r="D23" s="33" t="s">
        <v>8</v>
      </c>
      <c r="E23" s="33" t="s">
        <v>61</v>
      </c>
      <c r="F23" s="33" t="s">
        <v>62</v>
      </c>
      <c r="H23" s="24" t="s">
        <v>63</v>
      </c>
      <c r="I23" s="24" t="s">
        <v>64</v>
      </c>
      <c r="J23" s="24"/>
      <c r="K23" s="24"/>
    </row>
    <row r="24" spans="1:11">
      <c r="A24" s="35" t="s">
        <v>65</v>
      </c>
      <c r="B24" s="35">
        <f>COUNTIF(reconciliation_base!AB:AB,"HIGH")</f>
        <v>181</v>
      </c>
      <c r="C24" s="36">
        <f>B24/(COUNTA(reconciliation_base!AB:AB)-1)</f>
        <v>4.5249999999999999E-2</v>
      </c>
      <c r="D24" s="37">
        <f>SUMIF(reconciliation_base!AB:AB,"HIGH",reconciliation_base!Z:Z)</f>
        <v>361776.79629486887</v>
      </c>
      <c r="E24" s="37">
        <f>IF(B24&gt;0,D24/B24,0)</f>
        <v>1998.7668303583914</v>
      </c>
      <c r="F24" s="35" t="s">
        <v>66</v>
      </c>
    </row>
    <row r="25" spans="1:11" ht="15.75">
      <c r="A25" s="38" t="s">
        <v>67</v>
      </c>
      <c r="B25" s="38">
        <f>COUNTIF(reconciliation_base!AB:AB,"MEDIUM")</f>
        <v>322</v>
      </c>
      <c r="C25" s="39">
        <f>B25/(COUNTA(reconciliation_base!AB:AB)-1)</f>
        <v>8.0500000000000002E-2</v>
      </c>
      <c r="D25" s="40">
        <f>SUMIF(reconciliation_base!AB:AB,"MEDIUM",reconciliation_base!Z:Z)</f>
        <v>5696.0551543089632</v>
      </c>
      <c r="E25" s="40">
        <f>IF(B25&gt;0,D25/B25,0)</f>
        <v>17.689612280462619</v>
      </c>
      <c r="F25" s="38" t="s">
        <v>68</v>
      </c>
      <c r="H25" s="48" t="s">
        <v>69</v>
      </c>
      <c r="I25" s="48"/>
      <c r="J25" s="48"/>
      <c r="K25" s="48"/>
    </row>
    <row r="26" spans="1:11">
      <c r="A26" s="41" t="s">
        <v>70</v>
      </c>
      <c r="B26" s="41">
        <f>COUNTIF(reconciliation_base!AB:AB,"LOW")</f>
        <v>3497</v>
      </c>
      <c r="C26" s="42">
        <f>B26/(COUNTA(reconciliation_base!AB:AB)-1)</f>
        <v>0.87424999999999997</v>
      </c>
      <c r="D26" s="43">
        <f>SUMIF(reconciliation_base!AB:AB,"LOW",reconciliation_base!Z:Z)</f>
        <v>0</v>
      </c>
      <c r="E26" s="43">
        <f>IF(B26&gt;0,D26/B26,0)</f>
        <v>0</v>
      </c>
      <c r="F26" s="41" t="s">
        <v>71</v>
      </c>
      <c r="H26" t="s">
        <v>72</v>
      </c>
    </row>
    <row r="27" spans="1:11">
      <c r="A27" s="24" t="s">
        <v>73</v>
      </c>
      <c r="B27" s="24">
        <f>SUM(B24:B26)</f>
        <v>4000</v>
      </c>
      <c r="C27" s="34">
        <f>SUM(C24:C26)</f>
        <v>1</v>
      </c>
      <c r="D27" s="26">
        <f>SUM(D24:D26)</f>
        <v>367472.85144917783</v>
      </c>
      <c r="E27" s="26">
        <f>IF(B27&gt;0,D27/B27,0)</f>
        <v>91.868212862294456</v>
      </c>
      <c r="F27" s="24"/>
      <c r="H27" t="s">
        <v>74</v>
      </c>
    </row>
    <row r="28" spans="1:11">
      <c r="H28" t="s">
        <v>75</v>
      </c>
    </row>
    <row r="29" spans="1:11" ht="15.75">
      <c r="A29" s="48" t="s">
        <v>76</v>
      </c>
      <c r="B29" s="48"/>
      <c r="C29" s="48"/>
      <c r="D29" s="48"/>
      <c r="E29" s="48"/>
      <c r="F29" s="48"/>
    </row>
    <row r="30" spans="1:11">
      <c r="A30" t="s">
        <v>77</v>
      </c>
      <c r="H30" t="s">
        <v>78</v>
      </c>
    </row>
    <row r="31" spans="1:11">
      <c r="A31" t="s">
        <v>79</v>
      </c>
      <c r="H31" t="s">
        <v>80</v>
      </c>
    </row>
    <row r="32" spans="1:11">
      <c r="A32" t="s">
        <v>81</v>
      </c>
      <c r="H32" t="s">
        <v>82</v>
      </c>
    </row>
    <row r="33" spans="1:8">
      <c r="A33" t="s">
        <v>83</v>
      </c>
    </row>
    <row r="34" spans="1:8">
      <c r="H34" t="s">
        <v>84</v>
      </c>
    </row>
    <row r="35" spans="1:8">
      <c r="A35" t="s">
        <v>85</v>
      </c>
      <c r="H35" t="s">
        <v>86</v>
      </c>
    </row>
    <row r="36" spans="1:8">
      <c r="A36" t="s">
        <v>87</v>
      </c>
      <c r="H36" t="s">
        <v>88</v>
      </c>
    </row>
    <row r="37" spans="1:8">
      <c r="A37" t="s">
        <v>89</v>
      </c>
    </row>
    <row r="38" spans="1:8">
      <c r="A38" t="s">
        <v>90</v>
      </c>
      <c r="H38" t="s">
        <v>91</v>
      </c>
    </row>
    <row r="39" spans="1:8">
      <c r="H39" t="s">
        <v>92</v>
      </c>
    </row>
    <row r="40" spans="1:8">
      <c r="A40" t="s">
        <v>93</v>
      </c>
      <c r="H40" t="s">
        <v>94</v>
      </c>
    </row>
    <row r="41" spans="1:8">
      <c r="A41" t="s">
        <v>95</v>
      </c>
    </row>
    <row r="42" spans="1:8">
      <c r="A42" t="s">
        <v>96</v>
      </c>
    </row>
    <row r="43" spans="1:8">
      <c r="A43" t="s">
        <v>97</v>
      </c>
    </row>
    <row r="45" spans="1:8">
      <c r="A45" t="s">
        <v>98</v>
      </c>
    </row>
    <row r="46" spans="1:8">
      <c r="A46" t="s">
        <v>99</v>
      </c>
    </row>
    <row r="47" spans="1:8">
      <c r="A47" t="s">
        <v>100</v>
      </c>
    </row>
    <row r="48" spans="1:8">
      <c r="A48" t="s">
        <v>101</v>
      </c>
    </row>
  </sheetData>
  <mergeCells count="6">
    <mergeCell ref="A1:K1"/>
    <mergeCell ref="H3:K3"/>
    <mergeCell ref="H12:K12"/>
    <mergeCell ref="H19:K19"/>
    <mergeCell ref="A29:F29"/>
    <mergeCell ref="H25:K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51B1-33CE-4F8F-BF14-5208C8802077}">
  <dimension ref="A3:A4"/>
  <sheetViews>
    <sheetView workbookViewId="0">
      <selection activeCell="I7" sqref="I7"/>
    </sheetView>
  </sheetViews>
  <sheetFormatPr defaultRowHeight="14.45"/>
  <cols>
    <col min="1" max="1" width="22.7109375" bestFit="1" customWidth="1"/>
  </cols>
  <sheetData>
    <row r="3" spans="1:1">
      <c r="A3" t="s">
        <v>102</v>
      </c>
    </row>
    <row r="4" spans="1:1">
      <c r="A4" s="2">
        <v>367472.85144917783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01"/>
  <sheetViews>
    <sheetView workbookViewId="0">
      <selection activeCell="F4" sqref="F4"/>
    </sheetView>
  </sheetViews>
  <sheetFormatPr defaultRowHeight="14.45"/>
  <cols>
    <col min="1" max="1" width="10.42578125" customWidth="1"/>
    <col min="2" max="2" width="12.5703125" customWidth="1"/>
    <col min="3" max="3" width="13.7109375" customWidth="1"/>
    <col min="4" max="4" width="12.28515625" customWidth="1"/>
    <col min="5" max="5" width="9.42578125" customWidth="1"/>
    <col min="6" max="6" width="14.7109375" customWidth="1"/>
    <col min="7" max="8" width="13" customWidth="1"/>
    <col min="9" max="9" width="12.28515625" customWidth="1"/>
    <col min="10" max="10" width="17" customWidth="1"/>
    <col min="11" max="11" width="15.28515625" customWidth="1"/>
    <col min="12" max="12" width="11.7109375" customWidth="1"/>
    <col min="13" max="13" width="11" customWidth="1"/>
    <col min="14" max="14" width="13" customWidth="1"/>
    <col min="15" max="15" width="15.140625" customWidth="1"/>
    <col min="16" max="16" width="16.5703125" customWidth="1"/>
    <col min="17" max="17" width="14.7109375" customWidth="1"/>
    <col min="18" max="18" width="20.42578125" customWidth="1"/>
    <col min="19" max="19" width="25.7109375" customWidth="1"/>
    <col min="20" max="20" width="18.28515625" customWidth="1"/>
    <col min="21" max="21" width="16.7109375" customWidth="1"/>
    <col min="22" max="22" width="17.42578125" customWidth="1"/>
    <col min="23" max="23" width="18.7109375" customWidth="1"/>
    <col min="24" max="24" width="13.28515625" customWidth="1"/>
    <col min="25" max="25" width="19.5703125" customWidth="1"/>
    <col min="26" max="26" width="14.140625" customWidth="1"/>
    <col min="28" max="28" width="14.85546875" customWidth="1"/>
  </cols>
  <sheetData>
    <row r="1" spans="1:29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</row>
    <row r="2" spans="1:29">
      <c r="A2" t="s">
        <v>132</v>
      </c>
      <c r="B2" s="1">
        <v>45239</v>
      </c>
      <c r="C2" t="s">
        <v>133</v>
      </c>
      <c r="D2" t="s">
        <v>134</v>
      </c>
      <c r="E2">
        <v>26</v>
      </c>
      <c r="F2" t="s">
        <v>135</v>
      </c>
      <c r="G2">
        <v>26</v>
      </c>
      <c r="H2">
        <v>446.4905</v>
      </c>
      <c r="N2">
        <v>446.4905</v>
      </c>
      <c r="O2" s="1">
        <v>45161</v>
      </c>
      <c r="P2">
        <f>IF(AND(NOT(ISBLANK(ReconciliationData[[#This Row],[Contract_Price]])),ReconciliationData[[#This Row],[Billed_Price]]&lt;&gt;ReconciliationData[[#This Row],[Contract_Price]]),1,0)</f>
        <v>0</v>
      </c>
      <c r="Q2">
        <f>IF(AND(NOT(ISBLANK(ReconciliationData[[#This Row],[Billed_Units]])),ReconciliationData[[#This Row],[ordered_units]]&lt;&gt;ReconciliationData[[#This Row],[Billed_Units]]),1,0)</f>
        <v>0</v>
      </c>
      <c r="R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">
        <f>IF(AND(NOT(ISBLANK(ReconciliationData[[#This Row],[Contract_Price]])),ReconciliationData[[#This Row],[Billed_Price]]&lt;&gt;ReconciliationData[[#This Row],[Contract_Price]]),1,0)</f>
        <v>0</v>
      </c>
      <c r="T2">
        <f>IF(AND(NOT(ISBLANK(ReconciliationData[[#This Row],[End_Date]])),ReconciliationData[[#This Row],[Order_Date]]&gt;ReconciliationData[[#This Row],[End_Date]]),1,0)</f>
        <v>0</v>
      </c>
      <c r="U2">
        <f>IF(AND(NOT(ISBLANK(ReconciliationData[[#This Row],[last_return_date]])),ReconciliationData[[#This Row],[last_return_date]]&gt;ReconciliationData[[#This Row],[Order_Date]]+60),1,0)</f>
        <v>0</v>
      </c>
      <c r="V2">
        <f>IF(ReconciliationData[[#This Row],[total_returned_units]]&gt;ReconciliationData[[#This Row],[ordered_units]],1,0)</f>
        <v>0</v>
      </c>
      <c r="W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">
        <f>ReconciliationData[[#This Row],[Billed_Units]]*ReconciliationData[[#This Row],[Billed_Price]]</f>
        <v>11608.753000000001</v>
      </c>
      <c r="Y2">
        <f>ReconciliationData[[#This Row],[ordered_units]]*ReconciliationData[[#This Row],[List_Price]]</f>
        <v>11608.753000000001</v>
      </c>
      <c r="Z2">
        <f>ReconciliationData[[#This Row],[billed_revenue]]-ReconciliationData[[#This Row],[expected_revenue]]</f>
        <v>0</v>
      </c>
      <c r="AA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" t="str">
        <f>IF(ReconciliationData[[#This Row],[severity_score]]=0,"LOW",
 IF(ReconciliationData[[#This Row],[severity_score]]&lt;=5,"MEDIUM","HIGH"))</f>
        <v>LOW</v>
      </c>
      <c r="AC2" t="str">
        <f>TEXT(ReconciliationData[[#This Row],[Order_Date]],"YYYY-MM")</f>
        <v>2023-11</v>
      </c>
    </row>
    <row r="3" spans="1:29">
      <c r="A3" t="s">
        <v>136</v>
      </c>
      <c r="B3" s="1">
        <v>45637</v>
      </c>
      <c r="C3" t="s">
        <v>137</v>
      </c>
      <c r="D3" t="s">
        <v>138</v>
      </c>
      <c r="E3">
        <v>139</v>
      </c>
      <c r="F3" t="s">
        <v>139</v>
      </c>
      <c r="G3">
        <v>139</v>
      </c>
      <c r="H3">
        <v>444.22</v>
      </c>
      <c r="N3">
        <v>444.22</v>
      </c>
      <c r="O3" s="1">
        <v>45074</v>
      </c>
      <c r="P3">
        <f>IF(ISBLANK(ReconciliationData[[#This Row],[Invoice_ID]]),1,0)</f>
        <v>0</v>
      </c>
      <c r="Q3">
        <f>IF(AND(NOT(ISBLANK(ReconciliationData[[#This Row],[Billed_Units]])),ReconciliationData[[#This Row],[ordered_units]]&lt;&gt;ReconciliationData[[#This Row],[Billed_Units]]),1,0)</f>
        <v>0</v>
      </c>
      <c r="R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">
        <f>IF(AND(NOT(ISBLANK(ReconciliationData[[#This Row],[Contract_Price]])),ReconciliationData[[#This Row],[Billed_Price]]&lt;&gt;ReconciliationData[[#This Row],[Contract_Price]]),1,0)</f>
        <v>0</v>
      </c>
      <c r="T3">
        <f>IF(AND(NOT(ISBLANK(ReconciliationData[[#This Row],[End_Date]])),ReconciliationData[[#This Row],[Order_Date]]&gt;ReconciliationData[[#This Row],[End_Date]]),1,0)</f>
        <v>0</v>
      </c>
      <c r="U3">
        <f>IF(AND(NOT(ISBLANK(ReconciliationData[[#This Row],[last_return_date]])),ReconciliationData[[#This Row],[last_return_date]]&gt;ReconciliationData[[#This Row],[Order_Date]]+60),1,0)</f>
        <v>0</v>
      </c>
      <c r="V3">
        <f>IF(ReconciliationData[[#This Row],[total_returned_units]]&gt;ReconciliationData[[#This Row],[ordered_units]],1,0)</f>
        <v>0</v>
      </c>
      <c r="W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">
        <f>ReconciliationData[[#This Row],[Billed_Units]]*ReconciliationData[[#This Row],[Billed_Price]]</f>
        <v>61746.58</v>
      </c>
      <c r="Y3">
        <f>ReconciliationData[[#This Row],[ordered_units]]*ReconciliationData[[#This Row],[List_Price]]</f>
        <v>61746.58</v>
      </c>
      <c r="Z3">
        <f>ReconciliationData[[#This Row],[billed_revenue]]-ReconciliationData[[#This Row],[expected_revenue]]</f>
        <v>0</v>
      </c>
      <c r="AA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" t="str">
        <f>IF(ReconciliationData[[#This Row],[severity_score]]=0,"LOW",
 IF(ReconciliationData[[#This Row],[severity_score]]&lt;=5,"MEDIUM","HIGH"))</f>
        <v>LOW</v>
      </c>
      <c r="AC3" t="str">
        <f>TEXT(ReconciliationData[[#This Row],[Order_Date]],"YYYY-MM")</f>
        <v>2024-12</v>
      </c>
    </row>
    <row r="4" spans="1:29">
      <c r="A4" t="s">
        <v>140</v>
      </c>
      <c r="B4" s="1">
        <v>45542</v>
      </c>
      <c r="C4" t="s">
        <v>141</v>
      </c>
      <c r="D4" t="s">
        <v>142</v>
      </c>
      <c r="E4">
        <v>9</v>
      </c>
      <c r="F4" t="s">
        <v>143</v>
      </c>
      <c r="G4">
        <v>9</v>
      </c>
      <c r="H4">
        <v>189.1498</v>
      </c>
      <c r="N4">
        <v>189.1498</v>
      </c>
      <c r="O4" s="1">
        <v>45108</v>
      </c>
      <c r="P4">
        <f>IF(ISBLANK(ReconciliationData[[#This Row],[Invoice_ID]]),1,0)</f>
        <v>0</v>
      </c>
      <c r="Q4">
        <f>IF(AND(NOT(ISBLANK(ReconciliationData[[#This Row],[Billed_Units]])),ReconciliationData[[#This Row],[ordered_units]]&lt;&gt;ReconciliationData[[#This Row],[Billed_Units]]),1,0)</f>
        <v>0</v>
      </c>
      <c r="R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">
        <f>IF(AND(NOT(ISBLANK(ReconciliationData[[#This Row],[Contract_Price]])),ReconciliationData[[#This Row],[Billed_Price]]&lt;&gt;ReconciliationData[[#This Row],[Contract_Price]]),1,0)</f>
        <v>0</v>
      </c>
      <c r="T4">
        <f>IF(AND(NOT(ISBLANK(ReconciliationData[[#This Row],[End_Date]])),ReconciliationData[[#This Row],[Order_Date]]&gt;ReconciliationData[[#This Row],[End_Date]]),1,0)</f>
        <v>0</v>
      </c>
      <c r="U4">
        <f>IF(AND(NOT(ISBLANK(ReconciliationData[[#This Row],[last_return_date]])),ReconciliationData[[#This Row],[last_return_date]]&gt;ReconciliationData[[#This Row],[Order_Date]]+60),1,0)</f>
        <v>0</v>
      </c>
      <c r="V4">
        <f>IF(ReconciliationData[[#This Row],[total_returned_units]]&gt;ReconciliationData[[#This Row],[ordered_units]],1,0)</f>
        <v>0</v>
      </c>
      <c r="W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">
        <f>ReconciliationData[[#This Row],[Billed_Units]]*ReconciliationData[[#This Row],[Billed_Price]]</f>
        <v>1702.3481999999999</v>
      </c>
      <c r="Y4">
        <f>ReconciliationData[[#This Row],[ordered_units]]*ReconciliationData[[#This Row],[List_Price]]</f>
        <v>1702.3481999999999</v>
      </c>
      <c r="Z4">
        <f>ReconciliationData[[#This Row],[billed_revenue]]-ReconciliationData[[#This Row],[expected_revenue]]</f>
        <v>0</v>
      </c>
      <c r="AA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" t="str">
        <f>IF(ReconciliationData[[#This Row],[severity_score]]=0,"LOW",
 IF(ReconciliationData[[#This Row],[severity_score]]&lt;=5,"MEDIUM","HIGH"))</f>
        <v>LOW</v>
      </c>
      <c r="AC4" t="str">
        <f>TEXT(ReconciliationData[[#This Row],[Order_Date]],"YYYY-MM")</f>
        <v>2024-09</v>
      </c>
    </row>
    <row r="5" spans="1:29">
      <c r="A5" t="s">
        <v>144</v>
      </c>
      <c r="B5" s="1">
        <v>45334</v>
      </c>
      <c r="C5" t="s">
        <v>145</v>
      </c>
      <c r="D5" t="s">
        <v>146</v>
      </c>
      <c r="E5">
        <v>185</v>
      </c>
      <c r="F5" t="s">
        <v>147</v>
      </c>
      <c r="G5">
        <v>185</v>
      </c>
      <c r="H5">
        <v>849.43949999999995</v>
      </c>
      <c r="I5">
        <v>15</v>
      </c>
      <c r="J5" s="1">
        <v>45428</v>
      </c>
      <c r="N5">
        <v>849.43949999999995</v>
      </c>
      <c r="O5" s="1">
        <v>45114</v>
      </c>
      <c r="P5">
        <f>IF(ISBLANK(ReconciliationData[[#This Row],[Invoice_ID]]),1,0)</f>
        <v>0</v>
      </c>
      <c r="Q5">
        <f>IF(AND(NOT(ISBLANK(ReconciliationData[[#This Row],[Billed_Units]])),ReconciliationData[[#This Row],[ordered_units]]&lt;&gt;ReconciliationData[[#This Row],[Billed_Units]]),1,0)</f>
        <v>0</v>
      </c>
      <c r="R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">
        <f>IF(AND(NOT(ISBLANK(ReconciliationData[[#This Row],[Contract_Price]])),ReconciliationData[[#This Row],[Billed_Price]]&lt;&gt;ReconciliationData[[#This Row],[Contract_Price]]),1,0)</f>
        <v>0</v>
      </c>
      <c r="T5">
        <f>IF(AND(NOT(ISBLANK(ReconciliationData[[#This Row],[End_Date]])),ReconciliationData[[#This Row],[Order_Date]]&gt;ReconciliationData[[#This Row],[End_Date]]),1,0)</f>
        <v>0</v>
      </c>
      <c r="U5">
        <f>IF(AND(NOT(ISBLANK(ReconciliationData[[#This Row],[last_return_date]])),ReconciliationData[[#This Row],[last_return_date]]&gt;ReconciliationData[[#This Row],[Order_Date]]+60),1,0)</f>
        <v>1</v>
      </c>
      <c r="V5">
        <f>IF(ReconciliationData[[#This Row],[total_returned_units]]&gt;ReconciliationData[[#This Row],[ordered_units]],1,0)</f>
        <v>0</v>
      </c>
      <c r="W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5">
        <f>ReconciliationData[[#This Row],[Billed_Units]]*ReconciliationData[[#This Row],[Billed_Price]]</f>
        <v>157146.3075</v>
      </c>
      <c r="Y5">
        <f>ReconciliationData[[#This Row],[ordered_units]]*ReconciliationData[[#This Row],[List_Price]]</f>
        <v>157146.3075</v>
      </c>
      <c r="Z5">
        <f>ReconciliationData[[#This Row],[billed_revenue]]-ReconciliationData[[#This Row],[expected_revenue]]</f>
        <v>0</v>
      </c>
      <c r="AA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5" t="str">
        <f>IF(ReconciliationData[[#This Row],[severity_score]]=0,"LOW",
 IF(ReconciliationData[[#This Row],[severity_score]]&lt;=5,"MEDIUM","HIGH"))</f>
        <v>MEDIUM</v>
      </c>
      <c r="AC5" t="str">
        <f>TEXT(ReconciliationData[[#This Row],[Order_Date]],"YYYY-MM")</f>
        <v>2024-02</v>
      </c>
    </row>
    <row r="6" spans="1:29">
      <c r="A6" t="s">
        <v>148</v>
      </c>
      <c r="B6" s="1">
        <v>45598</v>
      </c>
      <c r="C6" t="s">
        <v>149</v>
      </c>
      <c r="D6" t="s">
        <v>150</v>
      </c>
      <c r="E6">
        <v>192</v>
      </c>
      <c r="F6" t="s">
        <v>151</v>
      </c>
      <c r="G6">
        <v>192</v>
      </c>
      <c r="H6">
        <v>353.52719999999999</v>
      </c>
      <c r="I6">
        <v>18</v>
      </c>
      <c r="J6" s="1">
        <v>45450</v>
      </c>
      <c r="N6">
        <v>353.52719999999999</v>
      </c>
      <c r="O6" s="1">
        <v>45182</v>
      </c>
      <c r="P6">
        <f>IF(ISBLANK(ReconciliationData[[#This Row],[Invoice_ID]]),1,0)</f>
        <v>0</v>
      </c>
      <c r="Q6">
        <f>IF(AND(NOT(ISBLANK(ReconciliationData[[#This Row],[Billed_Units]])),ReconciliationData[[#This Row],[ordered_units]]&lt;&gt;ReconciliationData[[#This Row],[Billed_Units]]),1,0)</f>
        <v>0</v>
      </c>
      <c r="R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">
        <f>IF(AND(NOT(ISBLANK(ReconciliationData[[#This Row],[Contract_Price]])),ReconciliationData[[#This Row],[Billed_Price]]&lt;&gt;ReconciliationData[[#This Row],[Contract_Price]]),1,0)</f>
        <v>0</v>
      </c>
      <c r="T6">
        <f>IF(AND(NOT(ISBLANK(ReconciliationData[[#This Row],[End_Date]])),ReconciliationData[[#This Row],[Order_Date]]&gt;ReconciliationData[[#This Row],[End_Date]]),1,0)</f>
        <v>0</v>
      </c>
      <c r="U6">
        <f>IF(AND(NOT(ISBLANK(ReconciliationData[[#This Row],[last_return_date]])),ReconciliationData[[#This Row],[last_return_date]]&gt;ReconciliationData[[#This Row],[Order_Date]]+60),1,0)</f>
        <v>0</v>
      </c>
      <c r="V6">
        <f>IF(ReconciliationData[[#This Row],[total_returned_units]]&gt;ReconciliationData[[#This Row],[ordered_units]],1,0)</f>
        <v>0</v>
      </c>
      <c r="W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">
        <f>ReconciliationData[[#This Row],[Billed_Units]]*ReconciliationData[[#This Row],[Billed_Price]]</f>
        <v>67877.222399999999</v>
      </c>
      <c r="Y6">
        <f>ReconciliationData[[#This Row],[ordered_units]]*ReconciliationData[[#This Row],[List_Price]]</f>
        <v>67877.222399999999</v>
      </c>
      <c r="Z6">
        <f>ReconciliationData[[#This Row],[billed_revenue]]-ReconciliationData[[#This Row],[expected_revenue]]</f>
        <v>0</v>
      </c>
      <c r="AA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" t="str">
        <f>IF(ReconciliationData[[#This Row],[severity_score]]=0,"LOW",
 IF(ReconciliationData[[#This Row],[severity_score]]&lt;=5,"MEDIUM","HIGH"))</f>
        <v>LOW</v>
      </c>
      <c r="AC6" t="str">
        <f>TEXT(ReconciliationData[[#This Row],[Order_Date]],"YYYY-MM")</f>
        <v>2024-11</v>
      </c>
    </row>
    <row r="7" spans="1:29">
      <c r="A7" t="s">
        <v>152</v>
      </c>
      <c r="B7" s="1">
        <v>45570</v>
      </c>
      <c r="C7" t="s">
        <v>153</v>
      </c>
      <c r="D7" t="s">
        <v>154</v>
      </c>
      <c r="E7">
        <v>38</v>
      </c>
      <c r="F7" t="s">
        <v>155</v>
      </c>
      <c r="G7">
        <v>38</v>
      </c>
      <c r="H7">
        <v>1058.3499999999999</v>
      </c>
      <c r="N7">
        <v>1058.3499999999999</v>
      </c>
      <c r="O7" s="1">
        <v>45136</v>
      </c>
      <c r="P7">
        <f>IF(ISBLANK(ReconciliationData[[#This Row],[Invoice_ID]]),1,0)</f>
        <v>0</v>
      </c>
      <c r="Q7">
        <f>IF(AND(NOT(ISBLANK(ReconciliationData[[#This Row],[Billed_Units]])),ReconciliationData[[#This Row],[ordered_units]]&lt;&gt;ReconciliationData[[#This Row],[Billed_Units]]),1,0)</f>
        <v>0</v>
      </c>
      <c r="R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">
        <f>IF(AND(NOT(ISBLANK(ReconciliationData[[#This Row],[Contract_Price]])),ReconciliationData[[#This Row],[Billed_Price]]&lt;&gt;ReconciliationData[[#This Row],[Contract_Price]]),1,0)</f>
        <v>0</v>
      </c>
      <c r="T7">
        <f>IF(AND(NOT(ISBLANK(ReconciliationData[[#This Row],[End_Date]])),ReconciliationData[[#This Row],[Order_Date]]&gt;ReconciliationData[[#This Row],[End_Date]]),1,0)</f>
        <v>0</v>
      </c>
      <c r="U7">
        <f>IF(AND(NOT(ISBLANK(ReconciliationData[[#This Row],[last_return_date]])),ReconciliationData[[#This Row],[last_return_date]]&gt;ReconciliationData[[#This Row],[Order_Date]]+60),1,0)</f>
        <v>0</v>
      </c>
      <c r="V7">
        <f>IF(ReconciliationData[[#This Row],[total_returned_units]]&gt;ReconciliationData[[#This Row],[ordered_units]],1,0)</f>
        <v>0</v>
      </c>
      <c r="W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">
        <f>ReconciliationData[[#This Row],[Billed_Units]]*ReconciliationData[[#This Row],[Billed_Price]]</f>
        <v>40217.299999999996</v>
      </c>
      <c r="Y7">
        <f>ReconciliationData[[#This Row],[ordered_units]]*ReconciliationData[[#This Row],[List_Price]]</f>
        <v>40217.299999999996</v>
      </c>
      <c r="Z7">
        <f>ReconciliationData[[#This Row],[billed_revenue]]-ReconciliationData[[#This Row],[expected_revenue]]</f>
        <v>0</v>
      </c>
      <c r="AA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" t="str">
        <f>IF(ReconciliationData[[#This Row],[severity_score]]=0,"LOW",
 IF(ReconciliationData[[#This Row],[severity_score]]&lt;=5,"MEDIUM","HIGH"))</f>
        <v>LOW</v>
      </c>
      <c r="AC7" t="str">
        <f>TEXT(ReconciliationData[[#This Row],[Order_Date]],"YYYY-MM")</f>
        <v>2024-10</v>
      </c>
    </row>
    <row r="8" spans="1:29">
      <c r="A8" t="s">
        <v>156</v>
      </c>
      <c r="B8" s="1">
        <v>45612</v>
      </c>
      <c r="C8" t="s">
        <v>157</v>
      </c>
      <c r="D8" t="s">
        <v>158</v>
      </c>
      <c r="E8">
        <v>144</v>
      </c>
      <c r="F8" t="s">
        <v>159</v>
      </c>
      <c r="G8">
        <v>144</v>
      </c>
      <c r="H8">
        <v>700.93560000000002</v>
      </c>
      <c r="I8">
        <v>4</v>
      </c>
      <c r="J8" s="1">
        <v>45293</v>
      </c>
      <c r="N8">
        <v>700.93560000000002</v>
      </c>
      <c r="O8" s="1">
        <v>45077</v>
      </c>
      <c r="P8">
        <f>IF(ISBLANK(ReconciliationData[[#This Row],[Invoice_ID]]),1,0)</f>
        <v>0</v>
      </c>
      <c r="Q8">
        <f>IF(AND(NOT(ISBLANK(ReconciliationData[[#This Row],[Billed_Units]])),ReconciliationData[[#This Row],[ordered_units]]&lt;&gt;ReconciliationData[[#This Row],[Billed_Units]]),1,0)</f>
        <v>0</v>
      </c>
      <c r="R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">
        <f>IF(AND(NOT(ISBLANK(ReconciliationData[[#This Row],[Contract_Price]])),ReconciliationData[[#This Row],[Billed_Price]]&lt;&gt;ReconciliationData[[#This Row],[Contract_Price]]),1,0)</f>
        <v>0</v>
      </c>
      <c r="T8">
        <f>IF(AND(NOT(ISBLANK(ReconciliationData[[#This Row],[End_Date]])),ReconciliationData[[#This Row],[Order_Date]]&gt;ReconciliationData[[#This Row],[End_Date]]),1,0)</f>
        <v>0</v>
      </c>
      <c r="U8">
        <f>IF(AND(NOT(ISBLANK(ReconciliationData[[#This Row],[last_return_date]])),ReconciliationData[[#This Row],[last_return_date]]&gt;ReconciliationData[[#This Row],[Order_Date]]+60),1,0)</f>
        <v>0</v>
      </c>
      <c r="V8">
        <f>IF(ReconciliationData[[#This Row],[total_returned_units]]&gt;ReconciliationData[[#This Row],[ordered_units]],1,0)</f>
        <v>0</v>
      </c>
      <c r="W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">
        <f>ReconciliationData[[#This Row],[Billed_Units]]*ReconciliationData[[#This Row],[Billed_Price]]</f>
        <v>100934.7264</v>
      </c>
      <c r="Y8">
        <f>ReconciliationData[[#This Row],[ordered_units]]*ReconciliationData[[#This Row],[List_Price]]</f>
        <v>100934.7264</v>
      </c>
      <c r="Z8">
        <f>ReconciliationData[[#This Row],[billed_revenue]]-ReconciliationData[[#This Row],[expected_revenue]]</f>
        <v>0</v>
      </c>
      <c r="AA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" t="str">
        <f>IF(ReconciliationData[[#This Row],[severity_score]]=0,"LOW",
 IF(ReconciliationData[[#This Row],[severity_score]]&lt;=5,"MEDIUM","HIGH"))</f>
        <v>LOW</v>
      </c>
      <c r="AC8" t="str">
        <f>TEXT(ReconciliationData[[#This Row],[Order_Date]],"YYYY-MM")</f>
        <v>2024-11</v>
      </c>
    </row>
    <row r="9" spans="1:29">
      <c r="A9" t="s">
        <v>160</v>
      </c>
      <c r="B9" s="1">
        <v>45366</v>
      </c>
      <c r="C9" t="s">
        <v>161</v>
      </c>
      <c r="D9" t="s">
        <v>162</v>
      </c>
      <c r="E9">
        <v>172</v>
      </c>
      <c r="F9" t="s">
        <v>163</v>
      </c>
      <c r="G9">
        <v>169</v>
      </c>
      <c r="H9">
        <v>510.91840000000002</v>
      </c>
      <c r="N9">
        <v>510.91840000000002</v>
      </c>
      <c r="O9" s="1">
        <v>44981</v>
      </c>
      <c r="P9">
        <f>IF(ISBLANK(ReconciliationData[[#This Row],[Invoice_ID]]),1,0)</f>
        <v>0</v>
      </c>
      <c r="Q9">
        <f>IF(AND(NOT(ISBLANK(ReconciliationData[[#This Row],[Billed_Units]])),ReconciliationData[[#This Row],[ordered_units]]&lt;&gt;ReconciliationData[[#This Row],[Billed_Units]]),1,0)</f>
        <v>1</v>
      </c>
      <c r="R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">
        <f>IF(AND(NOT(ISBLANK(ReconciliationData[[#This Row],[Contract_Price]])),ReconciliationData[[#This Row],[Billed_Price]]&lt;&gt;ReconciliationData[[#This Row],[Contract_Price]]),1,0)</f>
        <v>0</v>
      </c>
      <c r="T9">
        <f>IF(AND(NOT(ISBLANK(ReconciliationData[[#This Row],[End_Date]])),ReconciliationData[[#This Row],[Order_Date]]&gt;ReconciliationData[[#This Row],[End_Date]]),1,0)</f>
        <v>0</v>
      </c>
      <c r="U9">
        <f>IF(AND(NOT(ISBLANK(ReconciliationData[[#This Row],[last_return_date]])),ReconciliationData[[#This Row],[last_return_date]]&gt;ReconciliationData[[#This Row],[Order_Date]]+60),1,0)</f>
        <v>0</v>
      </c>
      <c r="V9">
        <f>IF(ReconciliationData[[#This Row],[total_returned_units]]&gt;ReconciliationData[[#This Row],[ordered_units]],1,0)</f>
        <v>0</v>
      </c>
      <c r="W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">
        <f>ReconciliationData[[#This Row],[Billed_Units]]*ReconciliationData[[#This Row],[Billed_Price]]</f>
        <v>86345.209600000002</v>
      </c>
      <c r="Y9">
        <f>ReconciliationData[[#This Row],[ordered_units]]*ReconciliationData[[#This Row],[List_Price]]</f>
        <v>87877.964800000002</v>
      </c>
      <c r="Z9">
        <f>ReconciliationData[[#This Row],[billed_revenue]]-ReconciliationData[[#This Row],[expected_revenue]]</f>
        <v>-1532.7551999999996</v>
      </c>
      <c r="AA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9" t="str">
        <f>IF(ReconciliationData[[#This Row],[severity_score]]=0,"LOW",
 IF(ReconciliationData[[#This Row],[severity_score]]&lt;=5,"MEDIUM","HIGH"))</f>
        <v>HIGH</v>
      </c>
      <c r="AC9" t="str">
        <f>TEXT(ReconciliationData[[#This Row],[Order_Date]],"YYYY-MM")</f>
        <v>2024-03</v>
      </c>
    </row>
    <row r="10" spans="1:29">
      <c r="A10" t="s">
        <v>164</v>
      </c>
      <c r="B10" s="1">
        <v>45047</v>
      </c>
      <c r="C10" t="s">
        <v>165</v>
      </c>
      <c r="D10" t="s">
        <v>166</v>
      </c>
      <c r="E10">
        <v>15</v>
      </c>
      <c r="F10" t="s">
        <v>167</v>
      </c>
      <c r="G10">
        <v>15</v>
      </c>
      <c r="H10">
        <v>365.95330000000001</v>
      </c>
      <c r="N10">
        <v>365.95330000000001</v>
      </c>
      <c r="O10" s="1">
        <v>44824</v>
      </c>
      <c r="P10">
        <f>IF(ISBLANK(ReconciliationData[[#This Row],[Invoice_ID]]),1,0)</f>
        <v>0</v>
      </c>
      <c r="Q10">
        <f>IF(AND(NOT(ISBLANK(ReconciliationData[[#This Row],[Billed_Units]])),ReconciliationData[[#This Row],[ordered_units]]&lt;&gt;ReconciliationData[[#This Row],[Billed_Units]]),1,0)</f>
        <v>0</v>
      </c>
      <c r="R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">
        <f>IF(AND(NOT(ISBLANK(ReconciliationData[[#This Row],[Contract_Price]])),ReconciliationData[[#This Row],[Billed_Price]]&lt;&gt;ReconciliationData[[#This Row],[Contract_Price]]),1,0)</f>
        <v>0</v>
      </c>
      <c r="T10">
        <f>IF(AND(NOT(ISBLANK(ReconciliationData[[#This Row],[End_Date]])),ReconciliationData[[#This Row],[Order_Date]]&gt;ReconciliationData[[#This Row],[End_Date]]),1,0)</f>
        <v>0</v>
      </c>
      <c r="U10">
        <f>IF(AND(NOT(ISBLANK(ReconciliationData[[#This Row],[last_return_date]])),ReconciliationData[[#This Row],[last_return_date]]&gt;ReconciliationData[[#This Row],[Order_Date]]+60),1,0)</f>
        <v>0</v>
      </c>
      <c r="V10">
        <f>IF(ReconciliationData[[#This Row],[total_returned_units]]&gt;ReconciliationData[[#This Row],[ordered_units]],1,0)</f>
        <v>0</v>
      </c>
      <c r="W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">
        <f>ReconciliationData[[#This Row],[Billed_Units]]*ReconciliationData[[#This Row],[Billed_Price]]</f>
        <v>5489.2995000000001</v>
      </c>
      <c r="Y10">
        <f>ReconciliationData[[#This Row],[ordered_units]]*ReconciliationData[[#This Row],[List_Price]]</f>
        <v>5489.2995000000001</v>
      </c>
      <c r="Z10">
        <f>ReconciliationData[[#This Row],[billed_revenue]]-ReconciliationData[[#This Row],[expected_revenue]]</f>
        <v>0</v>
      </c>
      <c r="AA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" t="str">
        <f>IF(ReconciliationData[[#This Row],[severity_score]]=0,"LOW",
 IF(ReconciliationData[[#This Row],[severity_score]]&lt;=5,"MEDIUM","HIGH"))</f>
        <v>LOW</v>
      </c>
      <c r="AC10" t="str">
        <f>TEXT(ReconciliationData[[#This Row],[Order_Date]],"YYYY-MM")</f>
        <v>2023-05</v>
      </c>
    </row>
    <row r="11" spans="1:29">
      <c r="A11" t="s">
        <v>168</v>
      </c>
      <c r="B11" s="1">
        <v>44945</v>
      </c>
      <c r="C11" t="s">
        <v>169</v>
      </c>
      <c r="D11" t="s">
        <v>170</v>
      </c>
      <c r="E11">
        <v>160</v>
      </c>
      <c r="F11" t="s">
        <v>171</v>
      </c>
      <c r="G11">
        <v>160</v>
      </c>
      <c r="H11">
        <v>426.37880000000001</v>
      </c>
      <c r="N11">
        <v>426.37880000000001</v>
      </c>
      <c r="O11" s="1">
        <v>44923</v>
      </c>
      <c r="P11">
        <f>IF(ISBLANK(ReconciliationData[[#This Row],[Invoice_ID]]),1,0)</f>
        <v>0</v>
      </c>
      <c r="Q11">
        <f>IF(AND(NOT(ISBLANK(ReconciliationData[[#This Row],[Billed_Units]])),ReconciliationData[[#This Row],[ordered_units]]&lt;&gt;ReconciliationData[[#This Row],[Billed_Units]]),1,0)</f>
        <v>0</v>
      </c>
      <c r="R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">
        <f>IF(AND(NOT(ISBLANK(ReconciliationData[[#This Row],[Contract_Price]])),ReconciliationData[[#This Row],[Billed_Price]]&lt;&gt;ReconciliationData[[#This Row],[Contract_Price]]),1,0)</f>
        <v>0</v>
      </c>
      <c r="T11">
        <f>IF(AND(NOT(ISBLANK(ReconciliationData[[#This Row],[End_Date]])),ReconciliationData[[#This Row],[Order_Date]]&gt;ReconciliationData[[#This Row],[End_Date]]),1,0)</f>
        <v>0</v>
      </c>
      <c r="U11">
        <f>IF(AND(NOT(ISBLANK(ReconciliationData[[#This Row],[last_return_date]])),ReconciliationData[[#This Row],[last_return_date]]&gt;ReconciliationData[[#This Row],[Order_Date]]+60),1,0)</f>
        <v>0</v>
      </c>
      <c r="V11">
        <f>IF(ReconciliationData[[#This Row],[total_returned_units]]&gt;ReconciliationData[[#This Row],[ordered_units]],1,0)</f>
        <v>0</v>
      </c>
      <c r="W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">
        <f>ReconciliationData[[#This Row],[Billed_Units]]*ReconciliationData[[#This Row],[Billed_Price]]</f>
        <v>68220.608000000007</v>
      </c>
      <c r="Y11">
        <f>ReconciliationData[[#This Row],[ordered_units]]*ReconciliationData[[#This Row],[List_Price]]</f>
        <v>68220.608000000007</v>
      </c>
      <c r="Z11">
        <f>ReconciliationData[[#This Row],[billed_revenue]]-ReconciliationData[[#This Row],[expected_revenue]]</f>
        <v>0</v>
      </c>
      <c r="AA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" t="str">
        <f>IF(ReconciliationData[[#This Row],[severity_score]]=0,"LOW",
 IF(ReconciliationData[[#This Row],[severity_score]]&lt;=5,"MEDIUM","HIGH"))</f>
        <v>LOW</v>
      </c>
      <c r="AC11" t="str">
        <f>TEXT(ReconciliationData[[#This Row],[Order_Date]],"YYYY-MM")</f>
        <v>2023-01</v>
      </c>
    </row>
    <row r="12" spans="1:29">
      <c r="A12" t="s">
        <v>172</v>
      </c>
      <c r="B12" s="1">
        <v>45647</v>
      </c>
      <c r="C12" t="s">
        <v>173</v>
      </c>
      <c r="D12" t="s">
        <v>174</v>
      </c>
      <c r="E12">
        <v>112</v>
      </c>
      <c r="F12" t="s">
        <v>175</v>
      </c>
      <c r="G12">
        <v>112</v>
      </c>
      <c r="H12">
        <v>461.69279999999998</v>
      </c>
      <c r="N12">
        <v>461.69279999999998</v>
      </c>
      <c r="O12" s="1">
        <v>45031</v>
      </c>
      <c r="P12">
        <f>IF(ISBLANK(ReconciliationData[[#This Row],[Invoice_ID]]),1,0)</f>
        <v>0</v>
      </c>
      <c r="Q12">
        <f>IF(AND(NOT(ISBLANK(ReconciliationData[[#This Row],[Billed_Units]])),ReconciliationData[[#This Row],[ordered_units]]&lt;&gt;ReconciliationData[[#This Row],[Billed_Units]]),1,0)</f>
        <v>0</v>
      </c>
      <c r="R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">
        <f>IF(AND(NOT(ISBLANK(ReconciliationData[[#This Row],[Contract_Price]])),ReconciliationData[[#This Row],[Billed_Price]]&lt;&gt;ReconciliationData[[#This Row],[Contract_Price]]),1,0)</f>
        <v>0</v>
      </c>
      <c r="T12">
        <f>IF(AND(NOT(ISBLANK(ReconciliationData[[#This Row],[End_Date]])),ReconciliationData[[#This Row],[Order_Date]]&gt;ReconciliationData[[#This Row],[End_Date]]),1,0)</f>
        <v>0</v>
      </c>
      <c r="U12">
        <f>IF(AND(NOT(ISBLANK(ReconciliationData[[#This Row],[last_return_date]])),ReconciliationData[[#This Row],[last_return_date]]&gt;ReconciliationData[[#This Row],[Order_Date]]+60),1,0)</f>
        <v>0</v>
      </c>
      <c r="V12">
        <f>IF(ReconciliationData[[#This Row],[total_returned_units]]&gt;ReconciliationData[[#This Row],[ordered_units]],1,0)</f>
        <v>0</v>
      </c>
      <c r="W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">
        <f>ReconciliationData[[#This Row],[Billed_Units]]*ReconciliationData[[#This Row],[Billed_Price]]</f>
        <v>51709.5936</v>
      </c>
      <c r="Y12">
        <f>ReconciliationData[[#This Row],[ordered_units]]*ReconciliationData[[#This Row],[List_Price]]</f>
        <v>51709.5936</v>
      </c>
      <c r="Z12">
        <f>ReconciliationData[[#This Row],[billed_revenue]]-ReconciliationData[[#This Row],[expected_revenue]]</f>
        <v>0</v>
      </c>
      <c r="AA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" t="str">
        <f>IF(ReconciliationData[[#This Row],[severity_score]]=0,"LOW",
 IF(ReconciliationData[[#This Row],[severity_score]]&lt;=5,"MEDIUM","HIGH"))</f>
        <v>LOW</v>
      </c>
      <c r="AC12" t="str">
        <f>TEXT(ReconciliationData[[#This Row],[Order_Date]],"YYYY-MM")</f>
        <v>2024-12</v>
      </c>
    </row>
    <row r="13" spans="1:29">
      <c r="A13" t="s">
        <v>176</v>
      </c>
      <c r="B13" s="1">
        <v>45394</v>
      </c>
      <c r="C13" t="s">
        <v>177</v>
      </c>
      <c r="D13" t="s">
        <v>178</v>
      </c>
      <c r="E13">
        <v>43</v>
      </c>
      <c r="F13" t="s">
        <v>179</v>
      </c>
      <c r="G13">
        <v>43</v>
      </c>
      <c r="H13">
        <v>687.65840000000003</v>
      </c>
      <c r="I13">
        <v>13</v>
      </c>
      <c r="J13" s="1">
        <v>45639</v>
      </c>
      <c r="N13">
        <v>687.65840000000003</v>
      </c>
      <c r="O13" s="1">
        <v>45139</v>
      </c>
      <c r="P13">
        <f>IF(ISBLANK(ReconciliationData[[#This Row],[Invoice_ID]]),1,0)</f>
        <v>0</v>
      </c>
      <c r="Q13">
        <f>IF(AND(NOT(ISBLANK(ReconciliationData[[#This Row],[Billed_Units]])),ReconciliationData[[#This Row],[ordered_units]]&lt;&gt;ReconciliationData[[#This Row],[Billed_Units]]),1,0)</f>
        <v>0</v>
      </c>
      <c r="R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">
        <f>IF(AND(NOT(ISBLANK(ReconciliationData[[#This Row],[Contract_Price]])),ReconciliationData[[#This Row],[Billed_Price]]&lt;&gt;ReconciliationData[[#This Row],[Contract_Price]]),1,0)</f>
        <v>0</v>
      </c>
      <c r="T13">
        <f>IF(AND(NOT(ISBLANK(ReconciliationData[[#This Row],[End_Date]])),ReconciliationData[[#This Row],[Order_Date]]&gt;ReconciliationData[[#This Row],[End_Date]]),1,0)</f>
        <v>0</v>
      </c>
      <c r="U13">
        <f>IF(AND(NOT(ISBLANK(ReconciliationData[[#This Row],[last_return_date]])),ReconciliationData[[#This Row],[last_return_date]]&gt;ReconciliationData[[#This Row],[Order_Date]]+60),1,0)</f>
        <v>1</v>
      </c>
      <c r="V13">
        <f>IF(ReconciliationData[[#This Row],[total_returned_units]]&gt;ReconciliationData[[#This Row],[ordered_units]],1,0)</f>
        <v>0</v>
      </c>
      <c r="W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">
        <f>ReconciliationData[[#This Row],[Billed_Units]]*ReconciliationData[[#This Row],[Billed_Price]]</f>
        <v>29569.3112</v>
      </c>
      <c r="Y13">
        <f>ReconciliationData[[#This Row],[ordered_units]]*ReconciliationData[[#This Row],[List_Price]]</f>
        <v>29569.3112</v>
      </c>
      <c r="Z13">
        <f>ReconciliationData[[#This Row],[billed_revenue]]-ReconciliationData[[#This Row],[expected_revenue]]</f>
        <v>0</v>
      </c>
      <c r="AA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3" t="str">
        <f>IF(ReconciliationData[[#This Row],[severity_score]]=0,"LOW",
 IF(ReconciliationData[[#This Row],[severity_score]]&lt;=5,"MEDIUM","HIGH"))</f>
        <v>MEDIUM</v>
      </c>
      <c r="AC13" t="str">
        <f>TEXT(ReconciliationData[[#This Row],[Order_Date]],"YYYY-MM")</f>
        <v>2024-04</v>
      </c>
    </row>
    <row r="14" spans="1:29">
      <c r="A14" t="s">
        <v>180</v>
      </c>
      <c r="B14" s="1">
        <v>45116</v>
      </c>
      <c r="C14" t="s">
        <v>181</v>
      </c>
      <c r="D14" t="s">
        <v>182</v>
      </c>
      <c r="E14">
        <v>178</v>
      </c>
      <c r="F14" t="s">
        <v>183</v>
      </c>
      <c r="G14">
        <v>178</v>
      </c>
      <c r="H14">
        <v>725.50320000000011</v>
      </c>
      <c r="N14">
        <v>725.50320000000011</v>
      </c>
      <c r="O14" s="1">
        <v>44858</v>
      </c>
      <c r="P14">
        <f>IF(ISBLANK(ReconciliationData[[#This Row],[Invoice_ID]]),1,0)</f>
        <v>0</v>
      </c>
      <c r="Q14">
        <f>IF(AND(NOT(ISBLANK(ReconciliationData[[#This Row],[Billed_Units]])),ReconciliationData[[#This Row],[ordered_units]]&lt;&gt;ReconciliationData[[#This Row],[Billed_Units]]),1,0)</f>
        <v>0</v>
      </c>
      <c r="R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">
        <f>IF(AND(NOT(ISBLANK(ReconciliationData[[#This Row],[Contract_Price]])),ReconciliationData[[#This Row],[Billed_Price]]&lt;&gt;ReconciliationData[[#This Row],[Contract_Price]]),1,0)</f>
        <v>0</v>
      </c>
      <c r="T14">
        <f>IF(AND(NOT(ISBLANK(ReconciliationData[[#This Row],[End_Date]])),ReconciliationData[[#This Row],[Order_Date]]&gt;ReconciliationData[[#This Row],[End_Date]]),1,0)</f>
        <v>0</v>
      </c>
      <c r="U14">
        <f>IF(AND(NOT(ISBLANK(ReconciliationData[[#This Row],[last_return_date]])),ReconciliationData[[#This Row],[last_return_date]]&gt;ReconciliationData[[#This Row],[Order_Date]]+60),1,0)</f>
        <v>0</v>
      </c>
      <c r="V14">
        <f>IF(ReconciliationData[[#This Row],[total_returned_units]]&gt;ReconciliationData[[#This Row],[ordered_units]],1,0)</f>
        <v>0</v>
      </c>
      <c r="W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">
        <f>ReconciliationData[[#This Row],[Billed_Units]]*ReconciliationData[[#This Row],[Billed_Price]]</f>
        <v>129139.56960000002</v>
      </c>
      <c r="Y14">
        <f>ReconciliationData[[#This Row],[ordered_units]]*ReconciliationData[[#This Row],[List_Price]]</f>
        <v>129139.56960000002</v>
      </c>
      <c r="Z14">
        <f>ReconciliationData[[#This Row],[billed_revenue]]-ReconciliationData[[#This Row],[expected_revenue]]</f>
        <v>0</v>
      </c>
      <c r="AA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" t="str">
        <f>IF(ReconciliationData[[#This Row],[severity_score]]=0,"LOW",
 IF(ReconciliationData[[#This Row],[severity_score]]&lt;=5,"MEDIUM","HIGH"))</f>
        <v>LOW</v>
      </c>
      <c r="AC14" t="str">
        <f>TEXT(ReconciliationData[[#This Row],[Order_Date]],"YYYY-MM")</f>
        <v>2023-07</v>
      </c>
    </row>
    <row r="15" spans="1:29">
      <c r="A15" t="s">
        <v>184</v>
      </c>
      <c r="B15" s="1">
        <v>44971</v>
      </c>
      <c r="C15" t="s">
        <v>185</v>
      </c>
      <c r="D15" t="s">
        <v>186</v>
      </c>
      <c r="E15">
        <v>79</v>
      </c>
      <c r="F15" t="s">
        <v>187</v>
      </c>
      <c r="G15">
        <v>79</v>
      </c>
      <c r="H15">
        <v>248.24449999999999</v>
      </c>
      <c r="N15">
        <v>248.24449999999999</v>
      </c>
      <c r="O15" s="1">
        <v>44933</v>
      </c>
      <c r="P15">
        <f>IF(ISBLANK(ReconciliationData[[#This Row],[Invoice_ID]]),1,0)</f>
        <v>0</v>
      </c>
      <c r="Q15">
        <f>IF(AND(NOT(ISBLANK(ReconciliationData[[#This Row],[Billed_Units]])),ReconciliationData[[#This Row],[ordered_units]]&lt;&gt;ReconciliationData[[#This Row],[Billed_Units]]),1,0)</f>
        <v>0</v>
      </c>
      <c r="R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">
        <f>IF(AND(NOT(ISBLANK(ReconciliationData[[#This Row],[Contract_Price]])),ReconciliationData[[#This Row],[Billed_Price]]&lt;&gt;ReconciliationData[[#This Row],[Contract_Price]]),1,0)</f>
        <v>0</v>
      </c>
      <c r="T15">
        <f>IF(AND(NOT(ISBLANK(ReconciliationData[[#This Row],[End_Date]])),ReconciliationData[[#This Row],[Order_Date]]&gt;ReconciliationData[[#This Row],[End_Date]]),1,0)</f>
        <v>0</v>
      </c>
      <c r="U15">
        <f>IF(AND(NOT(ISBLANK(ReconciliationData[[#This Row],[last_return_date]])),ReconciliationData[[#This Row],[last_return_date]]&gt;ReconciliationData[[#This Row],[Order_Date]]+60),1,0)</f>
        <v>0</v>
      </c>
      <c r="V15">
        <f>IF(ReconciliationData[[#This Row],[total_returned_units]]&gt;ReconciliationData[[#This Row],[ordered_units]],1,0)</f>
        <v>0</v>
      </c>
      <c r="W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">
        <f>ReconciliationData[[#This Row],[Billed_Units]]*ReconciliationData[[#This Row],[Billed_Price]]</f>
        <v>19611.315500000001</v>
      </c>
      <c r="Y15">
        <f>ReconciliationData[[#This Row],[ordered_units]]*ReconciliationData[[#This Row],[List_Price]]</f>
        <v>19611.315500000001</v>
      </c>
      <c r="Z15">
        <f>ReconciliationData[[#This Row],[billed_revenue]]-ReconciliationData[[#This Row],[expected_revenue]]</f>
        <v>0</v>
      </c>
      <c r="AA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" t="str">
        <f>IF(ReconciliationData[[#This Row],[severity_score]]=0,"LOW",
 IF(ReconciliationData[[#This Row],[severity_score]]&lt;=5,"MEDIUM","HIGH"))</f>
        <v>LOW</v>
      </c>
      <c r="AC15" t="str">
        <f>TEXT(ReconciliationData[[#This Row],[Order_Date]],"YYYY-MM")</f>
        <v>2023-02</v>
      </c>
    </row>
    <row r="16" spans="1:29">
      <c r="A16" t="s">
        <v>188</v>
      </c>
      <c r="B16" s="1">
        <v>45563</v>
      </c>
      <c r="C16" t="s">
        <v>189</v>
      </c>
      <c r="D16" t="s">
        <v>190</v>
      </c>
      <c r="E16">
        <v>143</v>
      </c>
      <c r="F16" t="s">
        <v>191</v>
      </c>
      <c r="G16">
        <v>143</v>
      </c>
      <c r="H16">
        <v>265.44960000000003</v>
      </c>
      <c r="N16">
        <v>265.44960000000003</v>
      </c>
      <c r="O16" s="1">
        <v>44999</v>
      </c>
      <c r="P16">
        <f>IF(ISBLANK(ReconciliationData[[#This Row],[Invoice_ID]]),1,0)</f>
        <v>0</v>
      </c>
      <c r="Q16">
        <f>IF(AND(NOT(ISBLANK(ReconciliationData[[#This Row],[Billed_Units]])),ReconciliationData[[#This Row],[ordered_units]]&lt;&gt;ReconciliationData[[#This Row],[Billed_Units]]),1,0)</f>
        <v>0</v>
      </c>
      <c r="R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">
        <f>IF(AND(NOT(ISBLANK(ReconciliationData[[#This Row],[Contract_Price]])),ReconciliationData[[#This Row],[Billed_Price]]&lt;&gt;ReconciliationData[[#This Row],[Contract_Price]]),1,0)</f>
        <v>0</v>
      </c>
      <c r="T16">
        <f>IF(AND(NOT(ISBLANK(ReconciliationData[[#This Row],[End_Date]])),ReconciliationData[[#This Row],[Order_Date]]&gt;ReconciliationData[[#This Row],[End_Date]]),1,0)</f>
        <v>0</v>
      </c>
      <c r="U16">
        <f>IF(AND(NOT(ISBLANK(ReconciliationData[[#This Row],[last_return_date]])),ReconciliationData[[#This Row],[last_return_date]]&gt;ReconciliationData[[#This Row],[Order_Date]]+60),1,0)</f>
        <v>0</v>
      </c>
      <c r="V16">
        <f>IF(ReconciliationData[[#This Row],[total_returned_units]]&gt;ReconciliationData[[#This Row],[ordered_units]],1,0)</f>
        <v>0</v>
      </c>
      <c r="W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">
        <f>ReconciliationData[[#This Row],[Billed_Units]]*ReconciliationData[[#This Row],[Billed_Price]]</f>
        <v>37959.292800000003</v>
      </c>
      <c r="Y16">
        <f>ReconciliationData[[#This Row],[ordered_units]]*ReconciliationData[[#This Row],[List_Price]]</f>
        <v>37959.292800000003</v>
      </c>
      <c r="Z16">
        <f>ReconciliationData[[#This Row],[billed_revenue]]-ReconciliationData[[#This Row],[expected_revenue]]</f>
        <v>0</v>
      </c>
      <c r="AA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" t="str">
        <f>IF(ReconciliationData[[#This Row],[severity_score]]=0,"LOW",
 IF(ReconciliationData[[#This Row],[severity_score]]&lt;=5,"MEDIUM","HIGH"))</f>
        <v>LOW</v>
      </c>
      <c r="AC16" t="str">
        <f>TEXT(ReconciliationData[[#This Row],[Order_Date]],"YYYY-MM")</f>
        <v>2024-09</v>
      </c>
    </row>
    <row r="17" spans="1:29">
      <c r="A17" t="s">
        <v>192</v>
      </c>
      <c r="B17" s="1">
        <v>45158</v>
      </c>
      <c r="C17" t="s">
        <v>193</v>
      </c>
      <c r="D17" t="s">
        <v>194</v>
      </c>
      <c r="E17">
        <v>83</v>
      </c>
      <c r="F17" t="s">
        <v>195</v>
      </c>
      <c r="G17">
        <v>83</v>
      </c>
      <c r="H17">
        <v>1039.0536</v>
      </c>
      <c r="N17">
        <v>1039.0536</v>
      </c>
      <c r="O17" s="1">
        <v>45054</v>
      </c>
      <c r="P17">
        <f>IF(ISBLANK(ReconciliationData[[#This Row],[Invoice_ID]]),1,0)</f>
        <v>0</v>
      </c>
      <c r="Q17">
        <f>IF(AND(NOT(ISBLANK(ReconciliationData[[#This Row],[Billed_Units]])),ReconciliationData[[#This Row],[ordered_units]]&lt;&gt;ReconciliationData[[#This Row],[Billed_Units]]),1,0)</f>
        <v>0</v>
      </c>
      <c r="R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">
        <f>IF(AND(NOT(ISBLANK(ReconciliationData[[#This Row],[Contract_Price]])),ReconciliationData[[#This Row],[Billed_Price]]&lt;&gt;ReconciliationData[[#This Row],[Contract_Price]]),1,0)</f>
        <v>0</v>
      </c>
      <c r="T17">
        <f>IF(AND(NOT(ISBLANK(ReconciliationData[[#This Row],[End_Date]])),ReconciliationData[[#This Row],[Order_Date]]&gt;ReconciliationData[[#This Row],[End_Date]]),1,0)</f>
        <v>0</v>
      </c>
      <c r="U17">
        <f>IF(AND(NOT(ISBLANK(ReconciliationData[[#This Row],[last_return_date]])),ReconciliationData[[#This Row],[last_return_date]]&gt;ReconciliationData[[#This Row],[Order_Date]]+60),1,0)</f>
        <v>0</v>
      </c>
      <c r="V17">
        <f>IF(ReconciliationData[[#This Row],[total_returned_units]]&gt;ReconciliationData[[#This Row],[ordered_units]],1,0)</f>
        <v>0</v>
      </c>
      <c r="W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">
        <f>ReconciliationData[[#This Row],[Billed_Units]]*ReconciliationData[[#This Row],[Billed_Price]]</f>
        <v>86241.448799999998</v>
      </c>
      <c r="Y17">
        <f>ReconciliationData[[#This Row],[ordered_units]]*ReconciliationData[[#This Row],[List_Price]]</f>
        <v>86241.448799999998</v>
      </c>
      <c r="Z17">
        <f>ReconciliationData[[#This Row],[billed_revenue]]-ReconciliationData[[#This Row],[expected_revenue]]</f>
        <v>0</v>
      </c>
      <c r="AA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" t="str">
        <f>IF(ReconciliationData[[#This Row],[severity_score]]=0,"LOW",
 IF(ReconciliationData[[#This Row],[severity_score]]&lt;=5,"MEDIUM","HIGH"))</f>
        <v>LOW</v>
      </c>
      <c r="AC17" t="str">
        <f>TEXT(ReconciliationData[[#This Row],[Order_Date]],"YYYY-MM")</f>
        <v>2023-08</v>
      </c>
    </row>
    <row r="18" spans="1:29">
      <c r="A18" t="s">
        <v>196</v>
      </c>
      <c r="B18" s="1">
        <v>45357</v>
      </c>
      <c r="C18" t="s">
        <v>197</v>
      </c>
      <c r="D18" t="s">
        <v>198</v>
      </c>
      <c r="E18">
        <v>27</v>
      </c>
      <c r="F18" t="s">
        <v>199</v>
      </c>
      <c r="G18">
        <v>27</v>
      </c>
      <c r="H18">
        <v>78.696099999999987</v>
      </c>
      <c r="N18">
        <v>78.696099999999987</v>
      </c>
      <c r="O18" s="1">
        <v>45083</v>
      </c>
      <c r="P18">
        <f>IF(ISBLANK(ReconciliationData[[#This Row],[Invoice_ID]]),1,0)</f>
        <v>0</v>
      </c>
      <c r="Q18">
        <f>IF(AND(NOT(ISBLANK(ReconciliationData[[#This Row],[Billed_Units]])),ReconciliationData[[#This Row],[ordered_units]]&lt;&gt;ReconciliationData[[#This Row],[Billed_Units]]),1,0)</f>
        <v>0</v>
      </c>
      <c r="R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">
        <f>IF(AND(NOT(ISBLANK(ReconciliationData[[#This Row],[Contract_Price]])),ReconciliationData[[#This Row],[Billed_Price]]&lt;&gt;ReconciliationData[[#This Row],[Contract_Price]]),1,0)</f>
        <v>0</v>
      </c>
      <c r="T18">
        <f>IF(AND(NOT(ISBLANK(ReconciliationData[[#This Row],[End_Date]])),ReconciliationData[[#This Row],[Order_Date]]&gt;ReconciliationData[[#This Row],[End_Date]]),1,0)</f>
        <v>0</v>
      </c>
      <c r="U18">
        <f>IF(AND(NOT(ISBLANK(ReconciliationData[[#This Row],[last_return_date]])),ReconciliationData[[#This Row],[last_return_date]]&gt;ReconciliationData[[#This Row],[Order_Date]]+60),1,0)</f>
        <v>0</v>
      </c>
      <c r="V18">
        <f>IF(ReconciliationData[[#This Row],[total_returned_units]]&gt;ReconciliationData[[#This Row],[ordered_units]],1,0)</f>
        <v>0</v>
      </c>
      <c r="W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">
        <f>ReconciliationData[[#This Row],[Billed_Units]]*ReconciliationData[[#This Row],[Billed_Price]]</f>
        <v>2124.7946999999995</v>
      </c>
      <c r="Y18">
        <f>ReconciliationData[[#This Row],[ordered_units]]*ReconciliationData[[#This Row],[List_Price]]</f>
        <v>2124.7946999999995</v>
      </c>
      <c r="Z18">
        <f>ReconciliationData[[#This Row],[billed_revenue]]-ReconciliationData[[#This Row],[expected_revenue]]</f>
        <v>0</v>
      </c>
      <c r="AA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" t="str">
        <f>IF(ReconciliationData[[#This Row],[severity_score]]=0,"LOW",
 IF(ReconciliationData[[#This Row],[severity_score]]&lt;=5,"MEDIUM","HIGH"))</f>
        <v>LOW</v>
      </c>
      <c r="AC18" t="str">
        <f>TEXT(ReconciliationData[[#This Row],[Order_Date]],"YYYY-MM")</f>
        <v>2024-03</v>
      </c>
    </row>
    <row r="19" spans="1:29">
      <c r="A19" t="s">
        <v>200</v>
      </c>
      <c r="B19" s="1">
        <v>45419</v>
      </c>
      <c r="C19" t="s">
        <v>201</v>
      </c>
      <c r="D19" t="s">
        <v>202</v>
      </c>
      <c r="E19">
        <v>44</v>
      </c>
      <c r="F19" t="s">
        <v>203</v>
      </c>
      <c r="G19">
        <v>44</v>
      </c>
      <c r="H19">
        <v>761.50400000000002</v>
      </c>
      <c r="N19">
        <v>761.50400000000002</v>
      </c>
      <c r="O19" s="1">
        <v>45161</v>
      </c>
      <c r="P19">
        <f>IF(ISBLANK(ReconciliationData[[#This Row],[Invoice_ID]]),1,0)</f>
        <v>0</v>
      </c>
      <c r="Q19">
        <f>IF(AND(NOT(ISBLANK(ReconciliationData[[#This Row],[Billed_Units]])),ReconciliationData[[#This Row],[ordered_units]]&lt;&gt;ReconciliationData[[#This Row],[Billed_Units]]),1,0)</f>
        <v>0</v>
      </c>
      <c r="R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">
        <f>IF(AND(NOT(ISBLANK(ReconciliationData[[#This Row],[Contract_Price]])),ReconciliationData[[#This Row],[Billed_Price]]&lt;&gt;ReconciliationData[[#This Row],[Contract_Price]]),1,0)</f>
        <v>0</v>
      </c>
      <c r="T19">
        <f>IF(AND(NOT(ISBLANK(ReconciliationData[[#This Row],[End_Date]])),ReconciliationData[[#This Row],[Order_Date]]&gt;ReconciliationData[[#This Row],[End_Date]]),1,0)</f>
        <v>0</v>
      </c>
      <c r="U19">
        <f>IF(AND(NOT(ISBLANK(ReconciliationData[[#This Row],[last_return_date]])),ReconciliationData[[#This Row],[last_return_date]]&gt;ReconciliationData[[#This Row],[Order_Date]]+60),1,0)</f>
        <v>0</v>
      </c>
      <c r="V19">
        <f>IF(ReconciliationData[[#This Row],[total_returned_units]]&gt;ReconciliationData[[#This Row],[ordered_units]],1,0)</f>
        <v>0</v>
      </c>
      <c r="W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">
        <f>ReconciliationData[[#This Row],[Billed_Units]]*ReconciliationData[[#This Row],[Billed_Price]]</f>
        <v>33506.175999999999</v>
      </c>
      <c r="Y19">
        <f>ReconciliationData[[#This Row],[ordered_units]]*ReconciliationData[[#This Row],[List_Price]]</f>
        <v>33506.175999999999</v>
      </c>
      <c r="Z19">
        <f>ReconciliationData[[#This Row],[billed_revenue]]-ReconciliationData[[#This Row],[expected_revenue]]</f>
        <v>0</v>
      </c>
      <c r="AA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" t="str">
        <f>IF(ReconciliationData[[#This Row],[severity_score]]=0,"LOW",
 IF(ReconciliationData[[#This Row],[severity_score]]&lt;=5,"MEDIUM","HIGH"))</f>
        <v>LOW</v>
      </c>
      <c r="AC19" t="str">
        <f>TEXT(ReconciliationData[[#This Row],[Order_Date]],"YYYY-MM")</f>
        <v>2024-05</v>
      </c>
    </row>
    <row r="20" spans="1:29">
      <c r="A20" t="s">
        <v>204</v>
      </c>
      <c r="B20" s="1">
        <v>45078</v>
      </c>
      <c r="C20" t="s">
        <v>205</v>
      </c>
      <c r="D20" t="s">
        <v>206</v>
      </c>
      <c r="E20">
        <v>62</v>
      </c>
      <c r="F20" t="s">
        <v>207</v>
      </c>
      <c r="G20">
        <v>62</v>
      </c>
      <c r="H20">
        <v>361.57799999999997</v>
      </c>
      <c r="N20">
        <v>361.57799999999997</v>
      </c>
      <c r="O20" s="1">
        <v>44932</v>
      </c>
      <c r="P20">
        <f>IF(ISBLANK(ReconciliationData[[#This Row],[Invoice_ID]]),1,0)</f>
        <v>0</v>
      </c>
      <c r="Q20">
        <f>IF(AND(NOT(ISBLANK(ReconciliationData[[#This Row],[Billed_Units]])),ReconciliationData[[#This Row],[ordered_units]]&lt;&gt;ReconciliationData[[#This Row],[Billed_Units]]),1,0)</f>
        <v>0</v>
      </c>
      <c r="R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">
        <f>IF(AND(NOT(ISBLANK(ReconciliationData[[#This Row],[Contract_Price]])),ReconciliationData[[#This Row],[Billed_Price]]&lt;&gt;ReconciliationData[[#This Row],[Contract_Price]]),1,0)</f>
        <v>0</v>
      </c>
      <c r="T20">
        <f>IF(AND(NOT(ISBLANK(ReconciliationData[[#This Row],[End_Date]])),ReconciliationData[[#This Row],[Order_Date]]&gt;ReconciliationData[[#This Row],[End_Date]]),1,0)</f>
        <v>0</v>
      </c>
      <c r="U20">
        <f>IF(AND(NOT(ISBLANK(ReconciliationData[[#This Row],[last_return_date]])),ReconciliationData[[#This Row],[last_return_date]]&gt;ReconciliationData[[#This Row],[Order_Date]]+60),1,0)</f>
        <v>0</v>
      </c>
      <c r="V20">
        <f>IF(ReconciliationData[[#This Row],[total_returned_units]]&gt;ReconciliationData[[#This Row],[ordered_units]],1,0)</f>
        <v>0</v>
      </c>
      <c r="W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">
        <f>ReconciliationData[[#This Row],[Billed_Units]]*ReconciliationData[[#This Row],[Billed_Price]]</f>
        <v>22417.835999999999</v>
      </c>
      <c r="Y20">
        <f>ReconciliationData[[#This Row],[ordered_units]]*ReconciliationData[[#This Row],[List_Price]]</f>
        <v>22417.835999999999</v>
      </c>
      <c r="Z20">
        <f>ReconciliationData[[#This Row],[billed_revenue]]-ReconciliationData[[#This Row],[expected_revenue]]</f>
        <v>0</v>
      </c>
      <c r="AA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" t="str">
        <f>IF(ReconciliationData[[#This Row],[severity_score]]=0,"LOW",
 IF(ReconciliationData[[#This Row],[severity_score]]&lt;=5,"MEDIUM","HIGH"))</f>
        <v>LOW</v>
      </c>
      <c r="AC20" t="str">
        <f>TEXT(ReconciliationData[[#This Row],[Order_Date]],"YYYY-MM")</f>
        <v>2023-06</v>
      </c>
    </row>
    <row r="21" spans="1:29">
      <c r="A21" t="s">
        <v>208</v>
      </c>
      <c r="B21" s="1">
        <v>45322</v>
      </c>
      <c r="C21" t="s">
        <v>209</v>
      </c>
      <c r="D21" t="s">
        <v>146</v>
      </c>
      <c r="E21">
        <v>147</v>
      </c>
      <c r="F21" t="s">
        <v>210</v>
      </c>
      <c r="G21">
        <v>147</v>
      </c>
      <c r="H21">
        <v>849.43949999999995</v>
      </c>
      <c r="N21">
        <v>849.43949999999995</v>
      </c>
      <c r="O21" s="1">
        <v>45114</v>
      </c>
      <c r="P21">
        <f>IF(ISBLANK(ReconciliationData[[#This Row],[Invoice_ID]]),1,0)</f>
        <v>0</v>
      </c>
      <c r="Q21">
        <f>IF(AND(NOT(ISBLANK(ReconciliationData[[#This Row],[Billed_Units]])),ReconciliationData[[#This Row],[ordered_units]]&lt;&gt;ReconciliationData[[#This Row],[Billed_Units]]),1,0)</f>
        <v>0</v>
      </c>
      <c r="R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">
        <f>IF(AND(NOT(ISBLANK(ReconciliationData[[#This Row],[Contract_Price]])),ReconciliationData[[#This Row],[Billed_Price]]&lt;&gt;ReconciliationData[[#This Row],[Contract_Price]]),1,0)</f>
        <v>0</v>
      </c>
      <c r="T21">
        <f>IF(AND(NOT(ISBLANK(ReconciliationData[[#This Row],[End_Date]])),ReconciliationData[[#This Row],[Order_Date]]&gt;ReconciliationData[[#This Row],[End_Date]]),1,0)</f>
        <v>0</v>
      </c>
      <c r="U21">
        <f>IF(AND(NOT(ISBLANK(ReconciliationData[[#This Row],[last_return_date]])),ReconciliationData[[#This Row],[last_return_date]]&gt;ReconciliationData[[#This Row],[Order_Date]]+60),1,0)</f>
        <v>0</v>
      </c>
      <c r="V21">
        <f>IF(ReconciliationData[[#This Row],[total_returned_units]]&gt;ReconciliationData[[#This Row],[ordered_units]],1,0)</f>
        <v>0</v>
      </c>
      <c r="W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">
        <f>ReconciliationData[[#This Row],[Billed_Units]]*ReconciliationData[[#This Row],[Billed_Price]]</f>
        <v>124867.60649999999</v>
      </c>
      <c r="Y21">
        <f>ReconciliationData[[#This Row],[ordered_units]]*ReconciliationData[[#This Row],[List_Price]]</f>
        <v>124867.60649999999</v>
      </c>
      <c r="Z21">
        <f>ReconciliationData[[#This Row],[billed_revenue]]-ReconciliationData[[#This Row],[expected_revenue]]</f>
        <v>0</v>
      </c>
      <c r="AA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" t="str">
        <f>IF(ReconciliationData[[#This Row],[severity_score]]=0,"LOW",
 IF(ReconciliationData[[#This Row],[severity_score]]&lt;=5,"MEDIUM","HIGH"))</f>
        <v>LOW</v>
      </c>
      <c r="AC21" t="str">
        <f>TEXT(ReconciliationData[[#This Row],[Order_Date]],"YYYY-MM")</f>
        <v>2024-01</v>
      </c>
    </row>
    <row r="22" spans="1:29">
      <c r="A22" t="s">
        <v>211</v>
      </c>
      <c r="B22" s="1">
        <v>45392</v>
      </c>
      <c r="C22" t="s">
        <v>169</v>
      </c>
      <c r="D22" t="s">
        <v>212</v>
      </c>
      <c r="E22">
        <v>3</v>
      </c>
      <c r="F22" t="s">
        <v>213</v>
      </c>
      <c r="G22">
        <v>3</v>
      </c>
      <c r="H22">
        <v>833.41650000000004</v>
      </c>
      <c r="N22">
        <v>833.41650000000004</v>
      </c>
      <c r="O22" s="1">
        <v>45194</v>
      </c>
      <c r="P22">
        <f>IF(ISBLANK(ReconciliationData[[#This Row],[Invoice_ID]]),1,0)</f>
        <v>0</v>
      </c>
      <c r="Q22">
        <f>IF(AND(NOT(ISBLANK(ReconciliationData[[#This Row],[Billed_Units]])),ReconciliationData[[#This Row],[ordered_units]]&lt;&gt;ReconciliationData[[#This Row],[Billed_Units]]),1,0)</f>
        <v>0</v>
      </c>
      <c r="R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">
        <f>IF(AND(NOT(ISBLANK(ReconciliationData[[#This Row],[Contract_Price]])),ReconciliationData[[#This Row],[Billed_Price]]&lt;&gt;ReconciliationData[[#This Row],[Contract_Price]]),1,0)</f>
        <v>0</v>
      </c>
      <c r="T22">
        <f>IF(AND(NOT(ISBLANK(ReconciliationData[[#This Row],[End_Date]])),ReconciliationData[[#This Row],[Order_Date]]&gt;ReconciliationData[[#This Row],[End_Date]]),1,0)</f>
        <v>0</v>
      </c>
      <c r="U22">
        <f>IF(AND(NOT(ISBLANK(ReconciliationData[[#This Row],[last_return_date]])),ReconciliationData[[#This Row],[last_return_date]]&gt;ReconciliationData[[#This Row],[Order_Date]]+60),1,0)</f>
        <v>0</v>
      </c>
      <c r="V22">
        <f>IF(ReconciliationData[[#This Row],[total_returned_units]]&gt;ReconciliationData[[#This Row],[ordered_units]],1,0)</f>
        <v>0</v>
      </c>
      <c r="W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">
        <f>ReconciliationData[[#This Row],[Billed_Units]]*ReconciliationData[[#This Row],[Billed_Price]]</f>
        <v>2500.2494999999999</v>
      </c>
      <c r="Y22">
        <f>ReconciliationData[[#This Row],[ordered_units]]*ReconciliationData[[#This Row],[List_Price]]</f>
        <v>2500.2494999999999</v>
      </c>
      <c r="Z22">
        <f>ReconciliationData[[#This Row],[billed_revenue]]-ReconciliationData[[#This Row],[expected_revenue]]</f>
        <v>0</v>
      </c>
      <c r="AA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" t="str">
        <f>IF(ReconciliationData[[#This Row],[severity_score]]=0,"LOW",
 IF(ReconciliationData[[#This Row],[severity_score]]&lt;=5,"MEDIUM","HIGH"))</f>
        <v>LOW</v>
      </c>
      <c r="AC22" t="str">
        <f>TEXT(ReconciliationData[[#This Row],[Order_Date]],"YYYY-MM")</f>
        <v>2024-04</v>
      </c>
    </row>
    <row r="23" spans="1:29">
      <c r="A23" t="s">
        <v>214</v>
      </c>
      <c r="B23" s="1">
        <v>45469</v>
      </c>
      <c r="C23" t="s">
        <v>215</v>
      </c>
      <c r="D23" t="s">
        <v>216</v>
      </c>
      <c r="E23">
        <v>167</v>
      </c>
      <c r="F23" t="s">
        <v>217</v>
      </c>
      <c r="G23">
        <v>167</v>
      </c>
      <c r="H23">
        <v>1046.6099999999999</v>
      </c>
      <c r="N23">
        <v>1046.6099999999999</v>
      </c>
      <c r="O23" s="1">
        <v>44940</v>
      </c>
      <c r="P23">
        <f>IF(ISBLANK(ReconciliationData[[#This Row],[Invoice_ID]]),1,0)</f>
        <v>0</v>
      </c>
      <c r="Q23">
        <f>IF(AND(NOT(ISBLANK(ReconciliationData[[#This Row],[Billed_Units]])),ReconciliationData[[#This Row],[ordered_units]]&lt;&gt;ReconciliationData[[#This Row],[Billed_Units]]),1,0)</f>
        <v>0</v>
      </c>
      <c r="R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">
        <f>IF(AND(NOT(ISBLANK(ReconciliationData[[#This Row],[Contract_Price]])),ReconciliationData[[#This Row],[Billed_Price]]&lt;&gt;ReconciliationData[[#This Row],[Contract_Price]]),1,0)</f>
        <v>0</v>
      </c>
      <c r="T23">
        <f>IF(AND(NOT(ISBLANK(ReconciliationData[[#This Row],[End_Date]])),ReconciliationData[[#This Row],[Order_Date]]&gt;ReconciliationData[[#This Row],[End_Date]]),1,0)</f>
        <v>0</v>
      </c>
      <c r="U23">
        <f>IF(AND(NOT(ISBLANK(ReconciliationData[[#This Row],[last_return_date]])),ReconciliationData[[#This Row],[last_return_date]]&gt;ReconciliationData[[#This Row],[Order_Date]]+60),1,0)</f>
        <v>0</v>
      </c>
      <c r="V23">
        <f>IF(ReconciliationData[[#This Row],[total_returned_units]]&gt;ReconciliationData[[#This Row],[ordered_units]],1,0)</f>
        <v>0</v>
      </c>
      <c r="W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">
        <f>ReconciliationData[[#This Row],[Billed_Units]]*ReconciliationData[[#This Row],[Billed_Price]]</f>
        <v>174783.87</v>
      </c>
      <c r="Y23">
        <f>ReconciliationData[[#This Row],[ordered_units]]*ReconciliationData[[#This Row],[List_Price]]</f>
        <v>174783.87</v>
      </c>
      <c r="Z23">
        <f>ReconciliationData[[#This Row],[billed_revenue]]-ReconciliationData[[#This Row],[expected_revenue]]</f>
        <v>0</v>
      </c>
      <c r="AA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" t="str">
        <f>IF(ReconciliationData[[#This Row],[severity_score]]=0,"LOW",
 IF(ReconciliationData[[#This Row],[severity_score]]&lt;=5,"MEDIUM","HIGH"))</f>
        <v>LOW</v>
      </c>
      <c r="AC23" t="str">
        <f>TEXT(ReconciliationData[[#This Row],[Order_Date]],"YYYY-MM")</f>
        <v>2024-06</v>
      </c>
    </row>
    <row r="24" spans="1:29">
      <c r="A24" t="s">
        <v>218</v>
      </c>
      <c r="B24" s="1">
        <v>45428</v>
      </c>
      <c r="C24" t="s">
        <v>219</v>
      </c>
      <c r="D24" t="s">
        <v>166</v>
      </c>
      <c r="E24">
        <v>52</v>
      </c>
      <c r="F24" t="s">
        <v>220</v>
      </c>
      <c r="G24">
        <v>52</v>
      </c>
      <c r="H24">
        <v>376.82319999999999</v>
      </c>
      <c r="I24">
        <v>13</v>
      </c>
      <c r="J24" s="1">
        <v>45200</v>
      </c>
      <c r="N24">
        <v>376.82319999999999</v>
      </c>
      <c r="O24" s="1">
        <v>45171</v>
      </c>
      <c r="P24">
        <f>IF(ISBLANK(ReconciliationData[[#This Row],[Invoice_ID]]),1,0)</f>
        <v>0</v>
      </c>
      <c r="Q24">
        <f>IF(AND(NOT(ISBLANK(ReconciliationData[[#This Row],[Billed_Units]])),ReconciliationData[[#This Row],[ordered_units]]&lt;&gt;ReconciliationData[[#This Row],[Billed_Units]]),1,0)</f>
        <v>0</v>
      </c>
      <c r="R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">
        <f>IF(AND(NOT(ISBLANK(ReconciliationData[[#This Row],[Contract_Price]])),ReconciliationData[[#This Row],[Billed_Price]]&lt;&gt;ReconciliationData[[#This Row],[Contract_Price]]),1,0)</f>
        <v>0</v>
      </c>
      <c r="T24">
        <f>IF(AND(NOT(ISBLANK(ReconciliationData[[#This Row],[End_Date]])),ReconciliationData[[#This Row],[Order_Date]]&gt;ReconciliationData[[#This Row],[End_Date]]),1,0)</f>
        <v>0</v>
      </c>
      <c r="U24">
        <f>IF(AND(NOT(ISBLANK(ReconciliationData[[#This Row],[last_return_date]])),ReconciliationData[[#This Row],[last_return_date]]&gt;ReconciliationData[[#This Row],[Order_Date]]+60),1,0)</f>
        <v>0</v>
      </c>
      <c r="V24">
        <f>IF(ReconciliationData[[#This Row],[total_returned_units]]&gt;ReconciliationData[[#This Row],[ordered_units]],1,0)</f>
        <v>0</v>
      </c>
      <c r="W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">
        <f>ReconciliationData[[#This Row],[Billed_Units]]*ReconciliationData[[#This Row],[Billed_Price]]</f>
        <v>19594.806399999998</v>
      </c>
      <c r="Y24">
        <f>ReconciliationData[[#This Row],[ordered_units]]*ReconciliationData[[#This Row],[List_Price]]</f>
        <v>19594.806399999998</v>
      </c>
      <c r="Z24">
        <f>ReconciliationData[[#This Row],[billed_revenue]]-ReconciliationData[[#This Row],[expected_revenue]]</f>
        <v>0</v>
      </c>
      <c r="AA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" t="str">
        <f>IF(ReconciliationData[[#This Row],[severity_score]]=0,"LOW",
 IF(ReconciliationData[[#This Row],[severity_score]]&lt;=5,"MEDIUM","HIGH"))</f>
        <v>LOW</v>
      </c>
      <c r="AC24" t="str">
        <f>TEXT(ReconciliationData[[#This Row],[Order_Date]],"YYYY-MM")</f>
        <v>2024-05</v>
      </c>
    </row>
    <row r="25" spans="1:29">
      <c r="A25" t="s">
        <v>221</v>
      </c>
      <c r="B25" s="1">
        <v>45399</v>
      </c>
      <c r="C25" t="s">
        <v>222</v>
      </c>
      <c r="D25" t="s">
        <v>223</v>
      </c>
      <c r="E25">
        <v>83</v>
      </c>
      <c r="F25" t="s">
        <v>224</v>
      </c>
      <c r="G25">
        <v>83</v>
      </c>
      <c r="H25">
        <v>561.4076</v>
      </c>
      <c r="N25">
        <v>561.4076</v>
      </c>
      <c r="O25" s="1">
        <v>45006</v>
      </c>
      <c r="P25">
        <f>IF(ISBLANK(ReconciliationData[[#This Row],[Invoice_ID]]),1,0)</f>
        <v>0</v>
      </c>
      <c r="Q25">
        <f>IF(AND(NOT(ISBLANK(ReconciliationData[[#This Row],[Billed_Units]])),ReconciliationData[[#This Row],[ordered_units]]&lt;&gt;ReconciliationData[[#This Row],[Billed_Units]]),1,0)</f>
        <v>0</v>
      </c>
      <c r="R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">
        <f>IF(AND(NOT(ISBLANK(ReconciliationData[[#This Row],[Contract_Price]])),ReconciliationData[[#This Row],[Billed_Price]]&lt;&gt;ReconciliationData[[#This Row],[Contract_Price]]),1,0)</f>
        <v>0</v>
      </c>
      <c r="T25">
        <f>IF(AND(NOT(ISBLANK(ReconciliationData[[#This Row],[End_Date]])),ReconciliationData[[#This Row],[Order_Date]]&gt;ReconciliationData[[#This Row],[End_Date]]),1,0)</f>
        <v>0</v>
      </c>
      <c r="U25">
        <f>IF(AND(NOT(ISBLANK(ReconciliationData[[#This Row],[last_return_date]])),ReconciliationData[[#This Row],[last_return_date]]&gt;ReconciliationData[[#This Row],[Order_Date]]+60),1,0)</f>
        <v>0</v>
      </c>
      <c r="V25">
        <f>IF(ReconciliationData[[#This Row],[total_returned_units]]&gt;ReconciliationData[[#This Row],[ordered_units]],1,0)</f>
        <v>0</v>
      </c>
      <c r="W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">
        <f>ReconciliationData[[#This Row],[Billed_Units]]*ReconciliationData[[#This Row],[Billed_Price]]</f>
        <v>46596.830800000003</v>
      </c>
      <c r="Y25">
        <f>ReconciliationData[[#This Row],[ordered_units]]*ReconciliationData[[#This Row],[List_Price]]</f>
        <v>46596.830800000003</v>
      </c>
      <c r="Z25">
        <f>ReconciliationData[[#This Row],[billed_revenue]]-ReconciliationData[[#This Row],[expected_revenue]]</f>
        <v>0</v>
      </c>
      <c r="AA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" t="str">
        <f>IF(ReconciliationData[[#This Row],[severity_score]]=0,"LOW",
 IF(ReconciliationData[[#This Row],[severity_score]]&lt;=5,"MEDIUM","HIGH"))</f>
        <v>LOW</v>
      </c>
      <c r="AC25" t="str">
        <f>TEXT(ReconciliationData[[#This Row],[Order_Date]],"YYYY-MM")</f>
        <v>2024-04</v>
      </c>
    </row>
    <row r="26" spans="1:29">
      <c r="A26" t="s">
        <v>225</v>
      </c>
      <c r="B26" s="1">
        <v>45151</v>
      </c>
      <c r="C26" t="s">
        <v>226</v>
      </c>
      <c r="D26" t="s">
        <v>227</v>
      </c>
      <c r="E26">
        <v>143</v>
      </c>
      <c r="F26" t="s">
        <v>228</v>
      </c>
      <c r="G26">
        <v>143</v>
      </c>
      <c r="H26">
        <v>626.68790000000001</v>
      </c>
      <c r="N26">
        <v>626.68790000000001</v>
      </c>
      <c r="O26" s="1">
        <v>45103</v>
      </c>
      <c r="P26">
        <f>IF(ISBLANK(ReconciliationData[[#This Row],[Invoice_ID]]),1,0)</f>
        <v>0</v>
      </c>
      <c r="Q26">
        <f>IF(AND(NOT(ISBLANK(ReconciliationData[[#This Row],[Billed_Units]])),ReconciliationData[[#This Row],[ordered_units]]&lt;&gt;ReconciliationData[[#This Row],[Billed_Units]]),1,0)</f>
        <v>0</v>
      </c>
      <c r="R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">
        <f>IF(AND(NOT(ISBLANK(ReconciliationData[[#This Row],[Contract_Price]])),ReconciliationData[[#This Row],[Billed_Price]]&lt;&gt;ReconciliationData[[#This Row],[Contract_Price]]),1,0)</f>
        <v>0</v>
      </c>
      <c r="T26">
        <f>IF(AND(NOT(ISBLANK(ReconciliationData[[#This Row],[End_Date]])),ReconciliationData[[#This Row],[Order_Date]]&gt;ReconciliationData[[#This Row],[End_Date]]),1,0)</f>
        <v>0</v>
      </c>
      <c r="U26">
        <f>IF(AND(NOT(ISBLANK(ReconciliationData[[#This Row],[last_return_date]])),ReconciliationData[[#This Row],[last_return_date]]&gt;ReconciliationData[[#This Row],[Order_Date]]+60),1,0)</f>
        <v>0</v>
      </c>
      <c r="V26">
        <f>IF(ReconciliationData[[#This Row],[total_returned_units]]&gt;ReconciliationData[[#This Row],[ordered_units]],1,0)</f>
        <v>0</v>
      </c>
      <c r="W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">
        <f>ReconciliationData[[#This Row],[Billed_Units]]*ReconciliationData[[#This Row],[Billed_Price]]</f>
        <v>89616.369699999996</v>
      </c>
      <c r="Y26">
        <f>ReconciliationData[[#This Row],[ordered_units]]*ReconciliationData[[#This Row],[List_Price]]</f>
        <v>89616.369699999996</v>
      </c>
      <c r="Z26">
        <f>ReconciliationData[[#This Row],[billed_revenue]]-ReconciliationData[[#This Row],[expected_revenue]]</f>
        <v>0</v>
      </c>
      <c r="AA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" t="str">
        <f>IF(ReconciliationData[[#This Row],[severity_score]]=0,"LOW",
 IF(ReconciliationData[[#This Row],[severity_score]]&lt;=5,"MEDIUM","HIGH"))</f>
        <v>LOW</v>
      </c>
      <c r="AC26" t="str">
        <f>TEXT(ReconciliationData[[#This Row],[Order_Date]],"YYYY-MM")</f>
        <v>2023-08</v>
      </c>
    </row>
    <row r="27" spans="1:29">
      <c r="A27" t="s">
        <v>229</v>
      </c>
      <c r="B27" s="1">
        <v>45342</v>
      </c>
      <c r="C27" t="s">
        <v>230</v>
      </c>
      <c r="D27" t="s">
        <v>231</v>
      </c>
      <c r="E27">
        <v>115</v>
      </c>
      <c r="F27" t="s">
        <v>232</v>
      </c>
      <c r="G27">
        <v>115</v>
      </c>
      <c r="H27">
        <v>77.398200000000003</v>
      </c>
      <c r="N27">
        <v>77.398200000000003</v>
      </c>
      <c r="O27" s="1">
        <v>45032</v>
      </c>
      <c r="P27">
        <f>IF(ISBLANK(ReconciliationData[[#This Row],[Invoice_ID]]),1,0)</f>
        <v>0</v>
      </c>
      <c r="Q27">
        <f>IF(AND(NOT(ISBLANK(ReconciliationData[[#This Row],[Billed_Units]])),ReconciliationData[[#This Row],[ordered_units]]&lt;&gt;ReconciliationData[[#This Row],[Billed_Units]]),1,0)</f>
        <v>0</v>
      </c>
      <c r="R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">
        <f>IF(AND(NOT(ISBLANK(ReconciliationData[[#This Row],[Contract_Price]])),ReconciliationData[[#This Row],[Billed_Price]]&lt;&gt;ReconciliationData[[#This Row],[Contract_Price]]),1,0)</f>
        <v>0</v>
      </c>
      <c r="T27">
        <f>IF(AND(NOT(ISBLANK(ReconciliationData[[#This Row],[End_Date]])),ReconciliationData[[#This Row],[Order_Date]]&gt;ReconciliationData[[#This Row],[End_Date]]),1,0)</f>
        <v>0</v>
      </c>
      <c r="U27">
        <f>IF(AND(NOT(ISBLANK(ReconciliationData[[#This Row],[last_return_date]])),ReconciliationData[[#This Row],[last_return_date]]&gt;ReconciliationData[[#This Row],[Order_Date]]+60),1,0)</f>
        <v>0</v>
      </c>
      <c r="V27">
        <f>IF(ReconciliationData[[#This Row],[total_returned_units]]&gt;ReconciliationData[[#This Row],[ordered_units]],1,0)</f>
        <v>0</v>
      </c>
      <c r="W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">
        <f>ReconciliationData[[#This Row],[Billed_Units]]*ReconciliationData[[#This Row],[Billed_Price]]</f>
        <v>8900.7929999999997</v>
      </c>
      <c r="Y27">
        <f>ReconciliationData[[#This Row],[ordered_units]]*ReconciliationData[[#This Row],[List_Price]]</f>
        <v>8900.7929999999997</v>
      </c>
      <c r="Z27">
        <f>ReconciliationData[[#This Row],[billed_revenue]]-ReconciliationData[[#This Row],[expected_revenue]]</f>
        <v>0</v>
      </c>
      <c r="AA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" t="str">
        <f>IF(ReconciliationData[[#This Row],[severity_score]]=0,"LOW",
 IF(ReconciliationData[[#This Row],[severity_score]]&lt;=5,"MEDIUM","HIGH"))</f>
        <v>LOW</v>
      </c>
      <c r="AC27" t="str">
        <f>TEXT(ReconciliationData[[#This Row],[Order_Date]],"YYYY-MM")</f>
        <v>2024-02</v>
      </c>
    </row>
    <row r="28" spans="1:29">
      <c r="A28" t="s">
        <v>233</v>
      </c>
      <c r="B28" s="1">
        <v>44998</v>
      </c>
      <c r="C28" t="s">
        <v>234</v>
      </c>
      <c r="D28" t="s">
        <v>235</v>
      </c>
      <c r="E28">
        <v>136</v>
      </c>
      <c r="F28" t="s">
        <v>236</v>
      </c>
      <c r="G28">
        <v>136</v>
      </c>
      <c r="H28">
        <v>421.92750000000001</v>
      </c>
      <c r="N28">
        <v>421.92750000000001</v>
      </c>
      <c r="O28" s="1">
        <v>44969</v>
      </c>
      <c r="P28">
        <f>IF(ISBLANK(ReconciliationData[[#This Row],[Invoice_ID]]),1,0)</f>
        <v>0</v>
      </c>
      <c r="Q28">
        <f>IF(AND(NOT(ISBLANK(ReconciliationData[[#This Row],[Billed_Units]])),ReconciliationData[[#This Row],[ordered_units]]&lt;&gt;ReconciliationData[[#This Row],[Billed_Units]]),1,0)</f>
        <v>0</v>
      </c>
      <c r="R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">
        <f>IF(AND(NOT(ISBLANK(ReconciliationData[[#This Row],[Contract_Price]])),ReconciliationData[[#This Row],[Billed_Price]]&lt;&gt;ReconciliationData[[#This Row],[Contract_Price]]),1,0)</f>
        <v>0</v>
      </c>
      <c r="T28">
        <f>IF(AND(NOT(ISBLANK(ReconciliationData[[#This Row],[End_Date]])),ReconciliationData[[#This Row],[Order_Date]]&gt;ReconciliationData[[#This Row],[End_Date]]),1,0)</f>
        <v>0</v>
      </c>
      <c r="U28">
        <f>IF(AND(NOT(ISBLANK(ReconciliationData[[#This Row],[last_return_date]])),ReconciliationData[[#This Row],[last_return_date]]&gt;ReconciliationData[[#This Row],[Order_Date]]+60),1,0)</f>
        <v>0</v>
      </c>
      <c r="V28">
        <f>IF(ReconciliationData[[#This Row],[total_returned_units]]&gt;ReconciliationData[[#This Row],[ordered_units]],1,0)</f>
        <v>0</v>
      </c>
      <c r="W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">
        <f>ReconciliationData[[#This Row],[Billed_Units]]*ReconciliationData[[#This Row],[Billed_Price]]</f>
        <v>57382.14</v>
      </c>
      <c r="Y28">
        <f>ReconciliationData[[#This Row],[ordered_units]]*ReconciliationData[[#This Row],[List_Price]]</f>
        <v>57382.14</v>
      </c>
      <c r="Z28">
        <f>ReconciliationData[[#This Row],[billed_revenue]]-ReconciliationData[[#This Row],[expected_revenue]]</f>
        <v>0</v>
      </c>
      <c r="AA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" t="str">
        <f>IF(ReconciliationData[[#This Row],[severity_score]]=0,"LOW",
 IF(ReconciliationData[[#This Row],[severity_score]]&lt;=5,"MEDIUM","HIGH"))</f>
        <v>LOW</v>
      </c>
      <c r="AC28" t="str">
        <f>TEXT(ReconciliationData[[#This Row],[Order_Date]],"YYYY-MM")</f>
        <v>2023-03</v>
      </c>
    </row>
    <row r="29" spans="1:29">
      <c r="A29" t="s">
        <v>237</v>
      </c>
      <c r="B29" s="1">
        <v>45576</v>
      </c>
      <c r="C29" t="s">
        <v>238</v>
      </c>
      <c r="D29" t="s">
        <v>239</v>
      </c>
      <c r="E29">
        <v>80</v>
      </c>
      <c r="F29" t="s">
        <v>240</v>
      </c>
      <c r="G29">
        <v>80</v>
      </c>
      <c r="H29">
        <v>1218.568</v>
      </c>
      <c r="N29">
        <v>1218.568</v>
      </c>
      <c r="O29" s="1">
        <v>45061</v>
      </c>
      <c r="P29">
        <f>IF(ISBLANK(ReconciliationData[[#This Row],[Invoice_ID]]),1,0)</f>
        <v>0</v>
      </c>
      <c r="Q29">
        <f>IF(AND(NOT(ISBLANK(ReconciliationData[[#This Row],[Billed_Units]])),ReconciliationData[[#This Row],[ordered_units]]&lt;&gt;ReconciliationData[[#This Row],[Billed_Units]]),1,0)</f>
        <v>0</v>
      </c>
      <c r="R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">
        <f>IF(AND(NOT(ISBLANK(ReconciliationData[[#This Row],[Contract_Price]])),ReconciliationData[[#This Row],[Billed_Price]]&lt;&gt;ReconciliationData[[#This Row],[Contract_Price]]),1,0)</f>
        <v>0</v>
      </c>
      <c r="T29">
        <f>IF(AND(NOT(ISBLANK(ReconciliationData[[#This Row],[End_Date]])),ReconciliationData[[#This Row],[Order_Date]]&gt;ReconciliationData[[#This Row],[End_Date]]),1,0)</f>
        <v>0</v>
      </c>
      <c r="U29">
        <f>IF(AND(NOT(ISBLANK(ReconciliationData[[#This Row],[last_return_date]])),ReconciliationData[[#This Row],[last_return_date]]&gt;ReconciliationData[[#This Row],[Order_Date]]+60),1,0)</f>
        <v>0</v>
      </c>
      <c r="V29">
        <f>IF(ReconciliationData[[#This Row],[total_returned_units]]&gt;ReconciliationData[[#This Row],[ordered_units]],1,0)</f>
        <v>0</v>
      </c>
      <c r="W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">
        <f>ReconciliationData[[#This Row],[Billed_Units]]*ReconciliationData[[#This Row],[Billed_Price]]</f>
        <v>97485.440000000002</v>
      </c>
      <c r="Y29">
        <f>ReconciliationData[[#This Row],[ordered_units]]*ReconciliationData[[#This Row],[List_Price]]</f>
        <v>97485.440000000002</v>
      </c>
      <c r="Z29">
        <f>ReconciliationData[[#This Row],[billed_revenue]]-ReconciliationData[[#This Row],[expected_revenue]]</f>
        <v>0</v>
      </c>
      <c r="AA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" t="str">
        <f>IF(ReconciliationData[[#This Row],[severity_score]]=0,"LOW",
 IF(ReconciliationData[[#This Row],[severity_score]]&lt;=5,"MEDIUM","HIGH"))</f>
        <v>LOW</v>
      </c>
      <c r="AC29" t="str">
        <f>TEXT(ReconciliationData[[#This Row],[Order_Date]],"YYYY-MM")</f>
        <v>2024-10</v>
      </c>
    </row>
    <row r="30" spans="1:29">
      <c r="A30" t="s">
        <v>241</v>
      </c>
      <c r="B30" s="1">
        <v>45594</v>
      </c>
      <c r="C30" t="s">
        <v>242</v>
      </c>
      <c r="D30" t="s">
        <v>243</v>
      </c>
      <c r="E30">
        <v>63</v>
      </c>
      <c r="F30" t="s">
        <v>244</v>
      </c>
      <c r="G30">
        <v>63</v>
      </c>
      <c r="H30">
        <v>129.17519999999999</v>
      </c>
      <c r="N30">
        <v>129.17519999999999</v>
      </c>
      <c r="O30" s="1">
        <v>45184</v>
      </c>
      <c r="P30">
        <f>IF(ISBLANK(ReconciliationData[[#This Row],[Invoice_ID]]),1,0)</f>
        <v>0</v>
      </c>
      <c r="Q30">
        <f>IF(AND(NOT(ISBLANK(ReconciliationData[[#This Row],[Billed_Units]])),ReconciliationData[[#This Row],[ordered_units]]&lt;&gt;ReconciliationData[[#This Row],[Billed_Units]]),1,0)</f>
        <v>0</v>
      </c>
      <c r="R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">
        <f>IF(AND(NOT(ISBLANK(ReconciliationData[[#This Row],[Contract_Price]])),ReconciliationData[[#This Row],[Billed_Price]]&lt;&gt;ReconciliationData[[#This Row],[Contract_Price]]),1,0)</f>
        <v>0</v>
      </c>
      <c r="T30">
        <f>IF(AND(NOT(ISBLANK(ReconciliationData[[#This Row],[End_Date]])),ReconciliationData[[#This Row],[Order_Date]]&gt;ReconciliationData[[#This Row],[End_Date]]),1,0)</f>
        <v>0</v>
      </c>
      <c r="U30">
        <f>IF(AND(NOT(ISBLANK(ReconciliationData[[#This Row],[last_return_date]])),ReconciliationData[[#This Row],[last_return_date]]&gt;ReconciliationData[[#This Row],[Order_Date]]+60),1,0)</f>
        <v>0</v>
      </c>
      <c r="V30">
        <f>IF(ReconciliationData[[#This Row],[total_returned_units]]&gt;ReconciliationData[[#This Row],[ordered_units]],1,0)</f>
        <v>0</v>
      </c>
      <c r="W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">
        <f>ReconciliationData[[#This Row],[Billed_Units]]*ReconciliationData[[#This Row],[Billed_Price]]</f>
        <v>8138.0375999999997</v>
      </c>
      <c r="Y30">
        <f>ReconciliationData[[#This Row],[ordered_units]]*ReconciliationData[[#This Row],[List_Price]]</f>
        <v>8138.0375999999997</v>
      </c>
      <c r="Z30">
        <f>ReconciliationData[[#This Row],[billed_revenue]]-ReconciliationData[[#This Row],[expected_revenue]]</f>
        <v>0</v>
      </c>
      <c r="AA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" t="str">
        <f>IF(ReconciliationData[[#This Row],[severity_score]]=0,"LOW",
 IF(ReconciliationData[[#This Row],[severity_score]]&lt;=5,"MEDIUM","HIGH"))</f>
        <v>LOW</v>
      </c>
      <c r="AC30" t="str">
        <f>TEXT(ReconciliationData[[#This Row],[Order_Date]],"YYYY-MM")</f>
        <v>2024-10</v>
      </c>
    </row>
    <row r="31" spans="1:29">
      <c r="A31" t="s">
        <v>245</v>
      </c>
      <c r="B31" s="1">
        <v>45009</v>
      </c>
      <c r="C31" t="s">
        <v>246</v>
      </c>
      <c r="D31" t="s">
        <v>247</v>
      </c>
      <c r="E31">
        <v>14</v>
      </c>
      <c r="F31" t="s">
        <v>248</v>
      </c>
      <c r="G31">
        <v>14</v>
      </c>
      <c r="H31">
        <v>723.1</v>
      </c>
      <c r="N31">
        <v>723.1</v>
      </c>
      <c r="O31" s="1">
        <v>44970</v>
      </c>
      <c r="P31">
        <f>IF(ISBLANK(ReconciliationData[[#This Row],[Invoice_ID]]),1,0)</f>
        <v>0</v>
      </c>
      <c r="Q31">
        <f>IF(AND(NOT(ISBLANK(ReconciliationData[[#This Row],[Billed_Units]])),ReconciliationData[[#This Row],[ordered_units]]&lt;&gt;ReconciliationData[[#This Row],[Billed_Units]]),1,0)</f>
        <v>0</v>
      </c>
      <c r="R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">
        <f>IF(AND(NOT(ISBLANK(ReconciliationData[[#This Row],[Contract_Price]])),ReconciliationData[[#This Row],[Billed_Price]]&lt;&gt;ReconciliationData[[#This Row],[Contract_Price]]),1,0)</f>
        <v>0</v>
      </c>
      <c r="T31">
        <f>IF(AND(NOT(ISBLANK(ReconciliationData[[#This Row],[End_Date]])),ReconciliationData[[#This Row],[Order_Date]]&gt;ReconciliationData[[#This Row],[End_Date]]),1,0)</f>
        <v>0</v>
      </c>
      <c r="U31">
        <f>IF(AND(NOT(ISBLANK(ReconciliationData[[#This Row],[last_return_date]])),ReconciliationData[[#This Row],[last_return_date]]&gt;ReconciliationData[[#This Row],[Order_Date]]+60),1,0)</f>
        <v>0</v>
      </c>
      <c r="V31">
        <f>IF(ReconciliationData[[#This Row],[total_returned_units]]&gt;ReconciliationData[[#This Row],[ordered_units]],1,0)</f>
        <v>0</v>
      </c>
      <c r="W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">
        <f>ReconciliationData[[#This Row],[Billed_Units]]*ReconciliationData[[#This Row],[Billed_Price]]</f>
        <v>10123.4</v>
      </c>
      <c r="Y31">
        <f>ReconciliationData[[#This Row],[ordered_units]]*ReconciliationData[[#This Row],[List_Price]]</f>
        <v>10123.4</v>
      </c>
      <c r="Z31">
        <f>ReconciliationData[[#This Row],[billed_revenue]]-ReconciliationData[[#This Row],[expected_revenue]]</f>
        <v>0</v>
      </c>
      <c r="AA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" t="str">
        <f>IF(ReconciliationData[[#This Row],[severity_score]]=0,"LOW",
 IF(ReconciliationData[[#This Row],[severity_score]]&lt;=5,"MEDIUM","HIGH"))</f>
        <v>LOW</v>
      </c>
      <c r="AC31" t="str">
        <f>TEXT(ReconciliationData[[#This Row],[Order_Date]],"YYYY-MM")</f>
        <v>2023-03</v>
      </c>
    </row>
    <row r="32" spans="1:29">
      <c r="A32" t="s">
        <v>249</v>
      </c>
      <c r="B32" s="1">
        <v>45180</v>
      </c>
      <c r="C32" t="s">
        <v>250</v>
      </c>
      <c r="D32" t="s">
        <v>251</v>
      </c>
      <c r="E32">
        <v>3</v>
      </c>
      <c r="F32" t="s">
        <v>252</v>
      </c>
      <c r="G32">
        <v>3</v>
      </c>
      <c r="H32">
        <v>957.65700000000015</v>
      </c>
      <c r="I32">
        <v>8</v>
      </c>
      <c r="J32" s="1">
        <v>45713</v>
      </c>
      <c r="N32">
        <v>957.65700000000015</v>
      </c>
      <c r="O32" s="1">
        <v>45057</v>
      </c>
      <c r="P32">
        <f>IF(ISBLANK(ReconciliationData[[#This Row],[Invoice_ID]]),1,0)</f>
        <v>0</v>
      </c>
      <c r="Q32">
        <f>IF(AND(NOT(ISBLANK(ReconciliationData[[#This Row],[Billed_Units]])),ReconciliationData[[#This Row],[ordered_units]]&lt;&gt;ReconciliationData[[#This Row],[Billed_Units]]),1,0)</f>
        <v>0</v>
      </c>
      <c r="R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">
        <f>IF(AND(NOT(ISBLANK(ReconciliationData[[#This Row],[Contract_Price]])),ReconciliationData[[#This Row],[Billed_Price]]&lt;&gt;ReconciliationData[[#This Row],[Contract_Price]]),1,0)</f>
        <v>0</v>
      </c>
      <c r="T32">
        <f>IF(AND(NOT(ISBLANK(ReconciliationData[[#This Row],[End_Date]])),ReconciliationData[[#This Row],[Order_Date]]&gt;ReconciliationData[[#This Row],[End_Date]]),1,0)</f>
        <v>0</v>
      </c>
      <c r="U32">
        <f>IF(AND(NOT(ISBLANK(ReconciliationData[[#This Row],[last_return_date]])),ReconciliationData[[#This Row],[last_return_date]]&gt;ReconciliationData[[#This Row],[Order_Date]]+60),1,0)</f>
        <v>1</v>
      </c>
      <c r="V32">
        <f>IF(ReconciliationData[[#This Row],[total_returned_units]]&gt;ReconciliationData[[#This Row],[ordered_units]],1,0)</f>
        <v>1</v>
      </c>
      <c r="W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2">
        <f>ReconciliationData[[#This Row],[Billed_Units]]*ReconciliationData[[#This Row],[Billed_Price]]</f>
        <v>2872.9710000000005</v>
      </c>
      <c r="Y32">
        <f>ReconciliationData[[#This Row],[ordered_units]]*ReconciliationData[[#This Row],[List_Price]]</f>
        <v>2872.9710000000005</v>
      </c>
      <c r="Z32">
        <f>ReconciliationData[[#This Row],[billed_revenue]]-ReconciliationData[[#This Row],[expected_revenue]]</f>
        <v>0</v>
      </c>
      <c r="AA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5</v>
      </c>
      <c r="AB32" t="str">
        <f>IF(ReconciliationData[[#This Row],[severity_score]]=0,"LOW",
 IF(ReconciliationData[[#This Row],[severity_score]]&lt;=5,"MEDIUM","HIGH"))</f>
        <v>MEDIUM</v>
      </c>
      <c r="AC32" t="str">
        <f>TEXT(ReconciliationData[[#This Row],[Order_Date]],"YYYY-MM")</f>
        <v>2023-09</v>
      </c>
    </row>
    <row r="33" spans="1:29">
      <c r="A33" t="s">
        <v>253</v>
      </c>
      <c r="B33" s="1">
        <v>45047</v>
      </c>
      <c r="C33" t="s">
        <v>254</v>
      </c>
      <c r="D33" t="s">
        <v>255</v>
      </c>
      <c r="E33">
        <v>54</v>
      </c>
      <c r="F33" t="s">
        <v>256</v>
      </c>
      <c r="G33">
        <v>54</v>
      </c>
      <c r="H33">
        <v>1040.9124222603796</v>
      </c>
      <c r="N33">
        <v>1040.6099999999999</v>
      </c>
      <c r="O33" s="1">
        <v>44682</v>
      </c>
      <c r="P33">
        <f>IF(ISBLANK(ReconciliationData[[#This Row],[Invoice_ID]]),1,0)</f>
        <v>0</v>
      </c>
      <c r="Q33">
        <f>IF(AND(NOT(ISBLANK(ReconciliationData[[#This Row],[Billed_Units]])),ReconciliationData[[#This Row],[ordered_units]]&lt;&gt;ReconciliationData[[#This Row],[Billed_Units]]),1,0)</f>
        <v>0</v>
      </c>
      <c r="R3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3">
        <f>IF(AND(NOT(ISBLANK(ReconciliationData[[#This Row],[Contract_Price]])),ReconciliationData[[#This Row],[Billed_Price]]&lt;&gt;ReconciliationData[[#This Row],[Contract_Price]]),1,0)</f>
        <v>0</v>
      </c>
      <c r="T33">
        <f>IF(AND(NOT(ISBLANK(ReconciliationData[[#This Row],[End_Date]])),ReconciliationData[[#This Row],[Order_Date]]&gt;ReconciliationData[[#This Row],[End_Date]]),1,0)</f>
        <v>0</v>
      </c>
      <c r="U33">
        <f>IF(AND(NOT(ISBLANK(ReconciliationData[[#This Row],[last_return_date]])),ReconciliationData[[#This Row],[last_return_date]]&gt;ReconciliationData[[#This Row],[Order_Date]]+60),1,0)</f>
        <v>0</v>
      </c>
      <c r="V33">
        <f>IF(ReconciliationData[[#This Row],[total_returned_units]]&gt;ReconciliationData[[#This Row],[ordered_units]],1,0)</f>
        <v>0</v>
      </c>
      <c r="W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">
        <f>ReconciliationData[[#This Row],[Billed_Units]]*ReconciliationData[[#This Row],[Billed_Price]]</f>
        <v>56209.270802060499</v>
      </c>
      <c r="Y33">
        <f>ReconciliationData[[#This Row],[ordered_units]]*ReconciliationData[[#This Row],[List_Price]]</f>
        <v>56192.939999999995</v>
      </c>
      <c r="Z33">
        <f>ReconciliationData[[#This Row],[billed_revenue]]-ReconciliationData[[#This Row],[expected_revenue]]</f>
        <v>16.330802060503629</v>
      </c>
      <c r="AA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3" t="str">
        <f>IF(ReconciliationData[[#This Row],[severity_score]]=0,"LOW",
 IF(ReconciliationData[[#This Row],[severity_score]]&lt;=5,"MEDIUM","HIGH"))</f>
        <v>MEDIUM</v>
      </c>
      <c r="AC33" t="str">
        <f>TEXT(ReconciliationData[[#This Row],[Order_Date]],"YYYY-MM")</f>
        <v>2023-05</v>
      </c>
    </row>
    <row r="34" spans="1:29">
      <c r="A34" t="s">
        <v>257</v>
      </c>
      <c r="B34" s="1">
        <v>45224</v>
      </c>
      <c r="C34" t="s">
        <v>258</v>
      </c>
      <c r="D34" t="s">
        <v>259</v>
      </c>
      <c r="E34">
        <v>57</v>
      </c>
      <c r="F34" t="s">
        <v>260</v>
      </c>
      <c r="G34">
        <v>57</v>
      </c>
      <c r="H34">
        <v>360.68479999999994</v>
      </c>
      <c r="N34">
        <v>360.68479999999994</v>
      </c>
      <c r="O34" s="1">
        <v>45072</v>
      </c>
      <c r="P34">
        <f>IF(ISBLANK(ReconciliationData[[#This Row],[Invoice_ID]]),1,0)</f>
        <v>0</v>
      </c>
      <c r="Q34">
        <f>IF(AND(NOT(ISBLANK(ReconciliationData[[#This Row],[Billed_Units]])),ReconciliationData[[#This Row],[ordered_units]]&lt;&gt;ReconciliationData[[#This Row],[Billed_Units]]),1,0)</f>
        <v>0</v>
      </c>
      <c r="R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">
        <f>IF(AND(NOT(ISBLANK(ReconciliationData[[#This Row],[Contract_Price]])),ReconciliationData[[#This Row],[Billed_Price]]&lt;&gt;ReconciliationData[[#This Row],[Contract_Price]]),1,0)</f>
        <v>0</v>
      </c>
      <c r="T34">
        <f>IF(AND(NOT(ISBLANK(ReconciliationData[[#This Row],[End_Date]])),ReconciliationData[[#This Row],[Order_Date]]&gt;ReconciliationData[[#This Row],[End_Date]]),1,0)</f>
        <v>0</v>
      </c>
      <c r="U34">
        <f>IF(AND(NOT(ISBLANK(ReconciliationData[[#This Row],[last_return_date]])),ReconciliationData[[#This Row],[last_return_date]]&gt;ReconciliationData[[#This Row],[Order_Date]]+60),1,0)</f>
        <v>0</v>
      </c>
      <c r="V34">
        <f>IF(ReconciliationData[[#This Row],[total_returned_units]]&gt;ReconciliationData[[#This Row],[ordered_units]],1,0)</f>
        <v>0</v>
      </c>
      <c r="W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">
        <f>ReconciliationData[[#This Row],[Billed_Units]]*ReconciliationData[[#This Row],[Billed_Price]]</f>
        <v>20559.033599999995</v>
      </c>
      <c r="Y34">
        <f>ReconciliationData[[#This Row],[ordered_units]]*ReconciliationData[[#This Row],[List_Price]]</f>
        <v>20559.033599999995</v>
      </c>
      <c r="Z34">
        <f>ReconciliationData[[#This Row],[billed_revenue]]-ReconciliationData[[#This Row],[expected_revenue]]</f>
        <v>0</v>
      </c>
      <c r="AA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" t="str">
        <f>IF(ReconciliationData[[#This Row],[severity_score]]=0,"LOW",
 IF(ReconciliationData[[#This Row],[severity_score]]&lt;=5,"MEDIUM","HIGH"))</f>
        <v>LOW</v>
      </c>
      <c r="AC34" t="str">
        <f>TEXT(ReconciliationData[[#This Row],[Order_Date]],"YYYY-MM")</f>
        <v>2023-10</v>
      </c>
    </row>
    <row r="35" spans="1:29">
      <c r="A35" t="s">
        <v>261</v>
      </c>
      <c r="B35" s="1">
        <v>45287</v>
      </c>
      <c r="C35" t="s">
        <v>262</v>
      </c>
      <c r="D35" t="s">
        <v>263</v>
      </c>
      <c r="E35">
        <v>35</v>
      </c>
      <c r="F35" t="s">
        <v>264</v>
      </c>
      <c r="G35">
        <v>35</v>
      </c>
      <c r="H35">
        <v>1147.3289</v>
      </c>
      <c r="N35">
        <v>1147.3289</v>
      </c>
      <c r="O35" s="1">
        <v>44945</v>
      </c>
      <c r="P35">
        <f>IF(ISBLANK(ReconciliationData[[#This Row],[Invoice_ID]]),1,0)</f>
        <v>0</v>
      </c>
      <c r="Q35">
        <f>IF(AND(NOT(ISBLANK(ReconciliationData[[#This Row],[Billed_Units]])),ReconciliationData[[#This Row],[ordered_units]]&lt;&gt;ReconciliationData[[#This Row],[Billed_Units]]),1,0)</f>
        <v>0</v>
      </c>
      <c r="R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">
        <f>IF(AND(NOT(ISBLANK(ReconciliationData[[#This Row],[Contract_Price]])),ReconciliationData[[#This Row],[Billed_Price]]&lt;&gt;ReconciliationData[[#This Row],[Contract_Price]]),1,0)</f>
        <v>0</v>
      </c>
      <c r="T35">
        <f>IF(AND(NOT(ISBLANK(ReconciliationData[[#This Row],[End_Date]])),ReconciliationData[[#This Row],[Order_Date]]&gt;ReconciliationData[[#This Row],[End_Date]]),1,0)</f>
        <v>0</v>
      </c>
      <c r="U35">
        <f>IF(AND(NOT(ISBLANK(ReconciliationData[[#This Row],[last_return_date]])),ReconciliationData[[#This Row],[last_return_date]]&gt;ReconciliationData[[#This Row],[Order_Date]]+60),1,0)</f>
        <v>0</v>
      </c>
      <c r="V35">
        <f>IF(ReconciliationData[[#This Row],[total_returned_units]]&gt;ReconciliationData[[#This Row],[ordered_units]],1,0)</f>
        <v>0</v>
      </c>
      <c r="W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">
        <f>ReconciliationData[[#This Row],[Billed_Units]]*ReconciliationData[[#This Row],[Billed_Price]]</f>
        <v>40156.511500000001</v>
      </c>
      <c r="Y35">
        <f>ReconciliationData[[#This Row],[ordered_units]]*ReconciliationData[[#This Row],[List_Price]]</f>
        <v>40156.511500000001</v>
      </c>
      <c r="Z35">
        <f>ReconciliationData[[#This Row],[billed_revenue]]-ReconciliationData[[#This Row],[expected_revenue]]</f>
        <v>0</v>
      </c>
      <c r="AA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" t="str">
        <f>IF(ReconciliationData[[#This Row],[severity_score]]=0,"LOW",
 IF(ReconciliationData[[#This Row],[severity_score]]&lt;=5,"MEDIUM","HIGH"))</f>
        <v>LOW</v>
      </c>
      <c r="AC35" t="str">
        <f>TEXT(ReconciliationData[[#This Row],[Order_Date]],"YYYY-MM")</f>
        <v>2023-12</v>
      </c>
    </row>
    <row r="36" spans="1:29">
      <c r="A36" t="s">
        <v>265</v>
      </c>
      <c r="B36" s="1">
        <v>45216</v>
      </c>
      <c r="C36" t="s">
        <v>266</v>
      </c>
      <c r="D36" t="s">
        <v>267</v>
      </c>
      <c r="E36">
        <v>7</v>
      </c>
      <c r="F36" t="s">
        <v>268</v>
      </c>
      <c r="G36">
        <v>7</v>
      </c>
      <c r="H36">
        <v>973.43799999999999</v>
      </c>
      <c r="N36">
        <v>973.43799999999999</v>
      </c>
      <c r="O36" s="1">
        <v>45011</v>
      </c>
      <c r="P36">
        <f>IF(ISBLANK(ReconciliationData[[#This Row],[Invoice_ID]]),1,0)</f>
        <v>0</v>
      </c>
      <c r="Q36">
        <f>IF(AND(NOT(ISBLANK(ReconciliationData[[#This Row],[Billed_Units]])),ReconciliationData[[#This Row],[ordered_units]]&lt;&gt;ReconciliationData[[#This Row],[Billed_Units]]),1,0)</f>
        <v>0</v>
      </c>
      <c r="R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">
        <f>IF(AND(NOT(ISBLANK(ReconciliationData[[#This Row],[Contract_Price]])),ReconciliationData[[#This Row],[Billed_Price]]&lt;&gt;ReconciliationData[[#This Row],[Contract_Price]]),1,0)</f>
        <v>0</v>
      </c>
      <c r="T36">
        <f>IF(AND(NOT(ISBLANK(ReconciliationData[[#This Row],[End_Date]])),ReconciliationData[[#This Row],[Order_Date]]&gt;ReconciliationData[[#This Row],[End_Date]]),1,0)</f>
        <v>0</v>
      </c>
      <c r="U36">
        <f>IF(AND(NOT(ISBLANK(ReconciliationData[[#This Row],[last_return_date]])),ReconciliationData[[#This Row],[last_return_date]]&gt;ReconciliationData[[#This Row],[Order_Date]]+60),1,0)</f>
        <v>0</v>
      </c>
      <c r="V36">
        <f>IF(ReconciliationData[[#This Row],[total_returned_units]]&gt;ReconciliationData[[#This Row],[ordered_units]],1,0)</f>
        <v>0</v>
      </c>
      <c r="W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">
        <f>ReconciliationData[[#This Row],[Billed_Units]]*ReconciliationData[[#This Row],[Billed_Price]]</f>
        <v>6814.0659999999998</v>
      </c>
      <c r="Y36">
        <f>ReconciliationData[[#This Row],[ordered_units]]*ReconciliationData[[#This Row],[List_Price]]</f>
        <v>6814.0659999999998</v>
      </c>
      <c r="Z36">
        <f>ReconciliationData[[#This Row],[billed_revenue]]-ReconciliationData[[#This Row],[expected_revenue]]</f>
        <v>0</v>
      </c>
      <c r="AA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" t="str">
        <f>IF(ReconciliationData[[#This Row],[severity_score]]=0,"LOW",
 IF(ReconciliationData[[#This Row],[severity_score]]&lt;=5,"MEDIUM","HIGH"))</f>
        <v>LOW</v>
      </c>
      <c r="AC36" t="str">
        <f>TEXT(ReconciliationData[[#This Row],[Order_Date]],"YYYY-MM")</f>
        <v>2023-10</v>
      </c>
    </row>
    <row r="37" spans="1:29">
      <c r="A37" t="s">
        <v>269</v>
      </c>
      <c r="B37" s="1">
        <v>45138</v>
      </c>
      <c r="C37" t="s">
        <v>270</v>
      </c>
      <c r="D37" t="s">
        <v>271</v>
      </c>
      <c r="E37">
        <v>53</v>
      </c>
      <c r="F37" t="s">
        <v>272</v>
      </c>
      <c r="G37">
        <v>53</v>
      </c>
      <c r="H37">
        <v>54.580199999999998</v>
      </c>
      <c r="N37">
        <v>54.580199999999998</v>
      </c>
      <c r="O37" s="1">
        <v>44984</v>
      </c>
      <c r="P37">
        <f>IF(ISBLANK(ReconciliationData[[#This Row],[Invoice_ID]]),1,0)</f>
        <v>0</v>
      </c>
      <c r="Q37">
        <f>IF(AND(NOT(ISBLANK(ReconciliationData[[#This Row],[Billed_Units]])),ReconciliationData[[#This Row],[ordered_units]]&lt;&gt;ReconciliationData[[#This Row],[Billed_Units]]),1,0)</f>
        <v>0</v>
      </c>
      <c r="R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">
        <f>IF(AND(NOT(ISBLANK(ReconciliationData[[#This Row],[Contract_Price]])),ReconciliationData[[#This Row],[Billed_Price]]&lt;&gt;ReconciliationData[[#This Row],[Contract_Price]]),1,0)</f>
        <v>0</v>
      </c>
      <c r="T37">
        <f>IF(AND(NOT(ISBLANK(ReconciliationData[[#This Row],[End_Date]])),ReconciliationData[[#This Row],[Order_Date]]&gt;ReconciliationData[[#This Row],[End_Date]]),1,0)</f>
        <v>0</v>
      </c>
      <c r="U37">
        <f>IF(AND(NOT(ISBLANK(ReconciliationData[[#This Row],[last_return_date]])),ReconciliationData[[#This Row],[last_return_date]]&gt;ReconciliationData[[#This Row],[Order_Date]]+60),1,0)</f>
        <v>0</v>
      </c>
      <c r="V37">
        <f>IF(ReconciliationData[[#This Row],[total_returned_units]]&gt;ReconciliationData[[#This Row],[ordered_units]],1,0)</f>
        <v>0</v>
      </c>
      <c r="W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">
        <f>ReconciliationData[[#This Row],[Billed_Units]]*ReconciliationData[[#This Row],[Billed_Price]]</f>
        <v>2892.7505999999998</v>
      </c>
      <c r="Y37">
        <f>ReconciliationData[[#This Row],[ordered_units]]*ReconciliationData[[#This Row],[List_Price]]</f>
        <v>2892.7505999999998</v>
      </c>
      <c r="Z37">
        <f>ReconciliationData[[#This Row],[billed_revenue]]-ReconciliationData[[#This Row],[expected_revenue]]</f>
        <v>0</v>
      </c>
      <c r="AA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" t="str">
        <f>IF(ReconciliationData[[#This Row],[severity_score]]=0,"LOW",
 IF(ReconciliationData[[#This Row],[severity_score]]&lt;=5,"MEDIUM","HIGH"))</f>
        <v>LOW</v>
      </c>
      <c r="AC37" t="str">
        <f>TEXT(ReconciliationData[[#This Row],[Order_Date]],"YYYY-MM")</f>
        <v>2023-07</v>
      </c>
    </row>
    <row r="38" spans="1:29">
      <c r="A38" t="s">
        <v>273</v>
      </c>
      <c r="B38" s="1">
        <v>45326</v>
      </c>
      <c r="C38" t="s">
        <v>274</v>
      </c>
      <c r="D38" t="s">
        <v>275</v>
      </c>
      <c r="E38">
        <v>43</v>
      </c>
      <c r="F38" t="s">
        <v>276</v>
      </c>
      <c r="G38">
        <v>43</v>
      </c>
      <c r="H38">
        <v>397.19560000000001</v>
      </c>
      <c r="N38">
        <v>397.19560000000001</v>
      </c>
      <c r="O38" s="1">
        <v>44932</v>
      </c>
      <c r="P38">
        <f>IF(ISBLANK(ReconciliationData[[#This Row],[Invoice_ID]]),1,0)</f>
        <v>0</v>
      </c>
      <c r="Q38">
        <f>IF(AND(NOT(ISBLANK(ReconciliationData[[#This Row],[Billed_Units]])),ReconciliationData[[#This Row],[ordered_units]]&lt;&gt;ReconciliationData[[#This Row],[Billed_Units]]),1,0)</f>
        <v>0</v>
      </c>
      <c r="R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">
        <f>IF(AND(NOT(ISBLANK(ReconciliationData[[#This Row],[Contract_Price]])),ReconciliationData[[#This Row],[Billed_Price]]&lt;&gt;ReconciliationData[[#This Row],[Contract_Price]]),1,0)</f>
        <v>0</v>
      </c>
      <c r="T38">
        <f>IF(AND(NOT(ISBLANK(ReconciliationData[[#This Row],[End_Date]])),ReconciliationData[[#This Row],[Order_Date]]&gt;ReconciliationData[[#This Row],[End_Date]]),1,0)</f>
        <v>0</v>
      </c>
      <c r="U38">
        <f>IF(AND(NOT(ISBLANK(ReconciliationData[[#This Row],[last_return_date]])),ReconciliationData[[#This Row],[last_return_date]]&gt;ReconciliationData[[#This Row],[Order_Date]]+60),1,0)</f>
        <v>0</v>
      </c>
      <c r="V38">
        <f>IF(ReconciliationData[[#This Row],[total_returned_units]]&gt;ReconciliationData[[#This Row],[ordered_units]],1,0)</f>
        <v>0</v>
      </c>
      <c r="W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">
        <f>ReconciliationData[[#This Row],[Billed_Units]]*ReconciliationData[[#This Row],[Billed_Price]]</f>
        <v>17079.410800000001</v>
      </c>
      <c r="Y38">
        <f>ReconciliationData[[#This Row],[ordered_units]]*ReconciliationData[[#This Row],[List_Price]]</f>
        <v>17079.410800000001</v>
      </c>
      <c r="Z38">
        <f>ReconciliationData[[#This Row],[billed_revenue]]-ReconciliationData[[#This Row],[expected_revenue]]</f>
        <v>0</v>
      </c>
      <c r="AA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" t="str">
        <f>IF(ReconciliationData[[#This Row],[severity_score]]=0,"LOW",
 IF(ReconciliationData[[#This Row],[severity_score]]&lt;=5,"MEDIUM","HIGH"))</f>
        <v>LOW</v>
      </c>
      <c r="AC38" t="str">
        <f>TEXT(ReconciliationData[[#This Row],[Order_Date]],"YYYY-MM")</f>
        <v>2024-02</v>
      </c>
    </row>
    <row r="39" spans="1:29">
      <c r="A39" t="s">
        <v>277</v>
      </c>
      <c r="B39" s="1">
        <v>45475</v>
      </c>
      <c r="C39" t="s">
        <v>278</v>
      </c>
      <c r="D39" t="s">
        <v>279</v>
      </c>
      <c r="E39">
        <v>44</v>
      </c>
      <c r="F39" t="s">
        <v>280</v>
      </c>
      <c r="G39">
        <v>44</v>
      </c>
      <c r="H39">
        <v>1120.6556</v>
      </c>
      <c r="N39">
        <v>1120.6556</v>
      </c>
      <c r="O39" s="1">
        <v>45026</v>
      </c>
      <c r="P39">
        <f>IF(ISBLANK(ReconciliationData[[#This Row],[Invoice_ID]]),1,0)</f>
        <v>0</v>
      </c>
      <c r="Q39">
        <f>IF(AND(NOT(ISBLANK(ReconciliationData[[#This Row],[Billed_Units]])),ReconciliationData[[#This Row],[ordered_units]]&lt;&gt;ReconciliationData[[#This Row],[Billed_Units]]),1,0)</f>
        <v>0</v>
      </c>
      <c r="R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">
        <f>IF(AND(NOT(ISBLANK(ReconciliationData[[#This Row],[Contract_Price]])),ReconciliationData[[#This Row],[Billed_Price]]&lt;&gt;ReconciliationData[[#This Row],[Contract_Price]]),1,0)</f>
        <v>0</v>
      </c>
      <c r="T39">
        <f>IF(AND(NOT(ISBLANK(ReconciliationData[[#This Row],[End_Date]])),ReconciliationData[[#This Row],[Order_Date]]&gt;ReconciliationData[[#This Row],[End_Date]]),1,0)</f>
        <v>0</v>
      </c>
      <c r="U39">
        <f>IF(AND(NOT(ISBLANK(ReconciliationData[[#This Row],[last_return_date]])),ReconciliationData[[#This Row],[last_return_date]]&gt;ReconciliationData[[#This Row],[Order_Date]]+60),1,0)</f>
        <v>0</v>
      </c>
      <c r="V39">
        <f>IF(ReconciliationData[[#This Row],[total_returned_units]]&gt;ReconciliationData[[#This Row],[ordered_units]],1,0)</f>
        <v>0</v>
      </c>
      <c r="W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">
        <f>ReconciliationData[[#This Row],[Billed_Units]]*ReconciliationData[[#This Row],[Billed_Price]]</f>
        <v>49308.846400000002</v>
      </c>
      <c r="Y39">
        <f>ReconciliationData[[#This Row],[ordered_units]]*ReconciliationData[[#This Row],[List_Price]]</f>
        <v>49308.846400000002</v>
      </c>
      <c r="Z39">
        <f>ReconciliationData[[#This Row],[billed_revenue]]-ReconciliationData[[#This Row],[expected_revenue]]</f>
        <v>0</v>
      </c>
      <c r="AA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" t="str">
        <f>IF(ReconciliationData[[#This Row],[severity_score]]=0,"LOW",
 IF(ReconciliationData[[#This Row],[severity_score]]&lt;=5,"MEDIUM","HIGH"))</f>
        <v>LOW</v>
      </c>
      <c r="AC39" t="str">
        <f>TEXT(ReconciliationData[[#This Row],[Order_Date]],"YYYY-MM")</f>
        <v>2024-07</v>
      </c>
    </row>
    <row r="40" spans="1:29">
      <c r="A40" t="s">
        <v>281</v>
      </c>
      <c r="B40" s="1">
        <v>44981</v>
      </c>
      <c r="C40" t="s">
        <v>282</v>
      </c>
      <c r="D40" t="s">
        <v>283</v>
      </c>
      <c r="E40">
        <v>87</v>
      </c>
      <c r="F40" t="s">
        <v>284</v>
      </c>
      <c r="G40">
        <v>87</v>
      </c>
      <c r="H40">
        <v>399.24229999999994</v>
      </c>
      <c r="I40">
        <v>6</v>
      </c>
      <c r="J40" s="1">
        <v>45292</v>
      </c>
      <c r="N40">
        <v>399.24229999999994</v>
      </c>
      <c r="O40" s="1">
        <v>44874</v>
      </c>
      <c r="P40">
        <f>IF(ISBLANK(ReconciliationData[[#This Row],[Invoice_ID]]),1,0)</f>
        <v>0</v>
      </c>
      <c r="Q40">
        <f>IF(AND(NOT(ISBLANK(ReconciliationData[[#This Row],[Billed_Units]])),ReconciliationData[[#This Row],[ordered_units]]&lt;&gt;ReconciliationData[[#This Row],[Billed_Units]]),1,0)</f>
        <v>0</v>
      </c>
      <c r="R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">
        <f>IF(AND(NOT(ISBLANK(ReconciliationData[[#This Row],[Contract_Price]])),ReconciliationData[[#This Row],[Billed_Price]]&lt;&gt;ReconciliationData[[#This Row],[Contract_Price]]),1,0)</f>
        <v>0</v>
      </c>
      <c r="T40">
        <f>IF(AND(NOT(ISBLANK(ReconciliationData[[#This Row],[End_Date]])),ReconciliationData[[#This Row],[Order_Date]]&gt;ReconciliationData[[#This Row],[End_Date]]),1,0)</f>
        <v>0</v>
      </c>
      <c r="U40">
        <f>IF(AND(NOT(ISBLANK(ReconciliationData[[#This Row],[last_return_date]])),ReconciliationData[[#This Row],[last_return_date]]&gt;ReconciliationData[[#This Row],[Order_Date]]+60),1,0)</f>
        <v>1</v>
      </c>
      <c r="V40">
        <f>IF(ReconciliationData[[#This Row],[total_returned_units]]&gt;ReconciliationData[[#This Row],[ordered_units]],1,0)</f>
        <v>0</v>
      </c>
      <c r="W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0">
        <f>ReconciliationData[[#This Row],[Billed_Units]]*ReconciliationData[[#This Row],[Billed_Price]]</f>
        <v>34734.080099999992</v>
      </c>
      <c r="Y40">
        <f>ReconciliationData[[#This Row],[ordered_units]]*ReconciliationData[[#This Row],[List_Price]]</f>
        <v>34734.080099999992</v>
      </c>
      <c r="Z40">
        <f>ReconciliationData[[#This Row],[billed_revenue]]-ReconciliationData[[#This Row],[expected_revenue]]</f>
        <v>0</v>
      </c>
      <c r="AA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40" t="str">
        <f>IF(ReconciliationData[[#This Row],[severity_score]]=0,"LOW",
 IF(ReconciliationData[[#This Row],[severity_score]]&lt;=5,"MEDIUM","HIGH"))</f>
        <v>MEDIUM</v>
      </c>
      <c r="AC40" t="str">
        <f>TEXT(ReconciliationData[[#This Row],[Order_Date]],"YYYY-MM")</f>
        <v>2023-02</v>
      </c>
    </row>
    <row r="41" spans="1:29">
      <c r="A41" t="s">
        <v>285</v>
      </c>
      <c r="B41" s="1">
        <v>45619</v>
      </c>
      <c r="C41" t="s">
        <v>286</v>
      </c>
      <c r="D41" t="s">
        <v>287</v>
      </c>
      <c r="E41">
        <v>196</v>
      </c>
      <c r="F41" t="s">
        <v>288</v>
      </c>
      <c r="G41">
        <v>196</v>
      </c>
      <c r="H41">
        <v>637.18399999999997</v>
      </c>
      <c r="N41">
        <v>637.18399999999997</v>
      </c>
      <c r="O41" s="1">
        <v>45175</v>
      </c>
      <c r="P41">
        <f>IF(ISBLANK(ReconciliationData[[#This Row],[Invoice_ID]]),1,0)</f>
        <v>0</v>
      </c>
      <c r="Q41">
        <f>IF(AND(NOT(ISBLANK(ReconciliationData[[#This Row],[Billed_Units]])),ReconciliationData[[#This Row],[ordered_units]]&lt;&gt;ReconciliationData[[#This Row],[Billed_Units]]),1,0)</f>
        <v>0</v>
      </c>
      <c r="R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">
        <f>IF(AND(NOT(ISBLANK(ReconciliationData[[#This Row],[Contract_Price]])),ReconciliationData[[#This Row],[Billed_Price]]&lt;&gt;ReconciliationData[[#This Row],[Contract_Price]]),1,0)</f>
        <v>0</v>
      </c>
      <c r="T41">
        <f>IF(AND(NOT(ISBLANK(ReconciliationData[[#This Row],[End_Date]])),ReconciliationData[[#This Row],[Order_Date]]&gt;ReconciliationData[[#This Row],[End_Date]]),1,0)</f>
        <v>0</v>
      </c>
      <c r="U41">
        <f>IF(AND(NOT(ISBLANK(ReconciliationData[[#This Row],[last_return_date]])),ReconciliationData[[#This Row],[last_return_date]]&gt;ReconciliationData[[#This Row],[Order_Date]]+60),1,0)</f>
        <v>0</v>
      </c>
      <c r="V41">
        <f>IF(ReconciliationData[[#This Row],[total_returned_units]]&gt;ReconciliationData[[#This Row],[ordered_units]],1,0)</f>
        <v>0</v>
      </c>
      <c r="W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">
        <f>ReconciliationData[[#This Row],[Billed_Units]]*ReconciliationData[[#This Row],[Billed_Price]]</f>
        <v>124888.064</v>
      </c>
      <c r="Y41">
        <f>ReconciliationData[[#This Row],[ordered_units]]*ReconciliationData[[#This Row],[List_Price]]</f>
        <v>124888.064</v>
      </c>
      <c r="Z41">
        <f>ReconciliationData[[#This Row],[billed_revenue]]-ReconciliationData[[#This Row],[expected_revenue]]</f>
        <v>0</v>
      </c>
      <c r="AA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" t="str">
        <f>IF(ReconciliationData[[#This Row],[severity_score]]=0,"LOW",
 IF(ReconciliationData[[#This Row],[severity_score]]&lt;=5,"MEDIUM","HIGH"))</f>
        <v>LOW</v>
      </c>
      <c r="AC41" t="str">
        <f>TEXT(ReconciliationData[[#This Row],[Order_Date]],"YYYY-MM")</f>
        <v>2024-11</v>
      </c>
    </row>
    <row r="42" spans="1:29">
      <c r="A42" t="s">
        <v>289</v>
      </c>
      <c r="B42" s="1">
        <v>45489</v>
      </c>
      <c r="C42" t="s">
        <v>290</v>
      </c>
      <c r="D42" t="s">
        <v>291</v>
      </c>
      <c r="E42">
        <v>189</v>
      </c>
      <c r="F42" t="s">
        <v>292</v>
      </c>
      <c r="G42">
        <v>189</v>
      </c>
      <c r="H42">
        <v>454.98379999999997</v>
      </c>
      <c r="N42">
        <v>454.98379999999997</v>
      </c>
      <c r="O42" s="1">
        <v>45011</v>
      </c>
      <c r="P42">
        <f>IF(ISBLANK(ReconciliationData[[#This Row],[Invoice_ID]]),1,0)</f>
        <v>0</v>
      </c>
      <c r="Q42">
        <f>IF(AND(NOT(ISBLANK(ReconciliationData[[#This Row],[Billed_Units]])),ReconciliationData[[#This Row],[ordered_units]]&lt;&gt;ReconciliationData[[#This Row],[Billed_Units]]),1,0)</f>
        <v>0</v>
      </c>
      <c r="R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2">
        <f>IF(AND(NOT(ISBLANK(ReconciliationData[[#This Row],[Contract_Price]])),ReconciliationData[[#This Row],[Billed_Price]]&lt;&gt;ReconciliationData[[#This Row],[Contract_Price]]),1,0)</f>
        <v>0</v>
      </c>
      <c r="T42">
        <f>IF(AND(NOT(ISBLANK(ReconciliationData[[#This Row],[End_Date]])),ReconciliationData[[#This Row],[Order_Date]]&gt;ReconciliationData[[#This Row],[End_Date]]),1,0)</f>
        <v>0</v>
      </c>
      <c r="U42">
        <f>IF(AND(NOT(ISBLANK(ReconciliationData[[#This Row],[last_return_date]])),ReconciliationData[[#This Row],[last_return_date]]&gt;ReconciliationData[[#This Row],[Order_Date]]+60),1,0)</f>
        <v>0</v>
      </c>
      <c r="V42">
        <f>IF(ReconciliationData[[#This Row],[total_returned_units]]&gt;ReconciliationData[[#This Row],[ordered_units]],1,0)</f>
        <v>0</v>
      </c>
      <c r="W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2">
        <f>ReconciliationData[[#This Row],[Billed_Units]]*ReconciliationData[[#This Row],[Billed_Price]]</f>
        <v>85991.93819999999</v>
      </c>
      <c r="Y42">
        <f>ReconciliationData[[#This Row],[ordered_units]]*ReconciliationData[[#This Row],[List_Price]]</f>
        <v>85991.93819999999</v>
      </c>
      <c r="Z42">
        <f>ReconciliationData[[#This Row],[billed_revenue]]-ReconciliationData[[#This Row],[expected_revenue]]</f>
        <v>0</v>
      </c>
      <c r="AA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2" t="str">
        <f>IF(ReconciliationData[[#This Row],[severity_score]]=0,"LOW",
 IF(ReconciliationData[[#This Row],[severity_score]]&lt;=5,"MEDIUM","HIGH"))</f>
        <v>LOW</v>
      </c>
      <c r="AC42" t="str">
        <f>TEXT(ReconciliationData[[#This Row],[Order_Date]],"YYYY-MM")</f>
        <v>2024-07</v>
      </c>
    </row>
    <row r="43" spans="1:29">
      <c r="A43" t="s">
        <v>293</v>
      </c>
      <c r="B43" s="1">
        <v>45416</v>
      </c>
      <c r="C43" t="s">
        <v>294</v>
      </c>
      <c r="D43" t="s">
        <v>295</v>
      </c>
      <c r="E43">
        <v>128</v>
      </c>
      <c r="F43" t="s">
        <v>296</v>
      </c>
      <c r="G43">
        <v>128</v>
      </c>
      <c r="H43">
        <v>862.73640000000012</v>
      </c>
      <c r="N43">
        <v>862.73640000000012</v>
      </c>
      <c r="O43" s="1">
        <v>45223</v>
      </c>
      <c r="P43">
        <f>IF(ISBLANK(ReconciliationData[[#This Row],[Invoice_ID]]),1,0)</f>
        <v>0</v>
      </c>
      <c r="Q43">
        <f>IF(AND(NOT(ISBLANK(ReconciliationData[[#This Row],[Billed_Units]])),ReconciliationData[[#This Row],[ordered_units]]&lt;&gt;ReconciliationData[[#This Row],[Billed_Units]]),1,0)</f>
        <v>0</v>
      </c>
      <c r="R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">
        <f>IF(AND(NOT(ISBLANK(ReconciliationData[[#This Row],[Contract_Price]])),ReconciliationData[[#This Row],[Billed_Price]]&lt;&gt;ReconciliationData[[#This Row],[Contract_Price]]),1,0)</f>
        <v>0</v>
      </c>
      <c r="T43">
        <f>IF(AND(NOT(ISBLANK(ReconciliationData[[#This Row],[End_Date]])),ReconciliationData[[#This Row],[Order_Date]]&gt;ReconciliationData[[#This Row],[End_Date]]),1,0)</f>
        <v>0</v>
      </c>
      <c r="U43">
        <f>IF(AND(NOT(ISBLANK(ReconciliationData[[#This Row],[last_return_date]])),ReconciliationData[[#This Row],[last_return_date]]&gt;ReconciliationData[[#This Row],[Order_Date]]+60),1,0)</f>
        <v>0</v>
      </c>
      <c r="V43">
        <f>IF(ReconciliationData[[#This Row],[total_returned_units]]&gt;ReconciliationData[[#This Row],[ordered_units]],1,0)</f>
        <v>0</v>
      </c>
      <c r="W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3">
        <f>ReconciliationData[[#This Row],[Billed_Units]]*ReconciliationData[[#This Row],[Billed_Price]]</f>
        <v>110430.25920000001</v>
      </c>
      <c r="Y43">
        <f>ReconciliationData[[#This Row],[ordered_units]]*ReconciliationData[[#This Row],[List_Price]]</f>
        <v>110430.25920000001</v>
      </c>
      <c r="Z43">
        <f>ReconciliationData[[#This Row],[billed_revenue]]-ReconciliationData[[#This Row],[expected_revenue]]</f>
        <v>0</v>
      </c>
      <c r="AA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3" t="str">
        <f>IF(ReconciliationData[[#This Row],[severity_score]]=0,"LOW",
 IF(ReconciliationData[[#This Row],[severity_score]]&lt;=5,"MEDIUM","HIGH"))</f>
        <v>LOW</v>
      </c>
      <c r="AC43" t="str">
        <f>TEXT(ReconciliationData[[#This Row],[Order_Date]],"YYYY-MM")</f>
        <v>2024-05</v>
      </c>
    </row>
    <row r="44" spans="1:29">
      <c r="A44" t="s">
        <v>297</v>
      </c>
      <c r="B44" s="1">
        <v>45657</v>
      </c>
      <c r="C44" t="s">
        <v>298</v>
      </c>
      <c r="D44" t="s">
        <v>299</v>
      </c>
      <c r="E44">
        <v>4</v>
      </c>
      <c r="F44" t="s">
        <v>300</v>
      </c>
      <c r="G44">
        <v>4</v>
      </c>
      <c r="H44">
        <v>182.4273</v>
      </c>
      <c r="N44">
        <v>182.4273</v>
      </c>
      <c r="O44" s="1">
        <v>44989</v>
      </c>
      <c r="P44">
        <f>IF(ISBLANK(ReconciliationData[[#This Row],[Invoice_ID]]),1,0)</f>
        <v>0</v>
      </c>
      <c r="Q44">
        <f>IF(AND(NOT(ISBLANK(ReconciliationData[[#This Row],[Billed_Units]])),ReconciliationData[[#This Row],[ordered_units]]&lt;&gt;ReconciliationData[[#This Row],[Billed_Units]]),1,0)</f>
        <v>0</v>
      </c>
      <c r="R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">
        <f>IF(AND(NOT(ISBLANK(ReconciliationData[[#This Row],[Contract_Price]])),ReconciliationData[[#This Row],[Billed_Price]]&lt;&gt;ReconciliationData[[#This Row],[Contract_Price]]),1,0)</f>
        <v>0</v>
      </c>
      <c r="T44">
        <f>IF(AND(NOT(ISBLANK(ReconciliationData[[#This Row],[End_Date]])),ReconciliationData[[#This Row],[Order_Date]]&gt;ReconciliationData[[#This Row],[End_Date]]),1,0)</f>
        <v>0</v>
      </c>
      <c r="U44">
        <f>IF(AND(NOT(ISBLANK(ReconciliationData[[#This Row],[last_return_date]])),ReconciliationData[[#This Row],[last_return_date]]&gt;ReconciliationData[[#This Row],[Order_Date]]+60),1,0)</f>
        <v>0</v>
      </c>
      <c r="V44">
        <f>IF(ReconciliationData[[#This Row],[total_returned_units]]&gt;ReconciliationData[[#This Row],[ordered_units]],1,0)</f>
        <v>0</v>
      </c>
      <c r="W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4">
        <f>ReconciliationData[[#This Row],[Billed_Units]]*ReconciliationData[[#This Row],[Billed_Price]]</f>
        <v>729.70920000000001</v>
      </c>
      <c r="Y44">
        <f>ReconciliationData[[#This Row],[ordered_units]]*ReconciliationData[[#This Row],[List_Price]]</f>
        <v>729.70920000000001</v>
      </c>
      <c r="Z44">
        <f>ReconciliationData[[#This Row],[billed_revenue]]-ReconciliationData[[#This Row],[expected_revenue]]</f>
        <v>0</v>
      </c>
      <c r="AA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4" t="str">
        <f>IF(ReconciliationData[[#This Row],[severity_score]]=0,"LOW",
 IF(ReconciliationData[[#This Row],[severity_score]]&lt;=5,"MEDIUM","HIGH"))</f>
        <v>LOW</v>
      </c>
      <c r="AC44" t="str">
        <f>TEXT(ReconciliationData[[#This Row],[Order_Date]],"YYYY-MM")</f>
        <v>2024-12</v>
      </c>
    </row>
    <row r="45" spans="1:29">
      <c r="A45" t="s">
        <v>301</v>
      </c>
      <c r="B45" s="1">
        <v>45580</v>
      </c>
      <c r="C45" t="s">
        <v>302</v>
      </c>
      <c r="D45" t="s">
        <v>243</v>
      </c>
      <c r="E45">
        <v>114</v>
      </c>
      <c r="F45" t="s">
        <v>303</v>
      </c>
      <c r="G45">
        <v>114</v>
      </c>
      <c r="H45">
        <v>129.17519999999999</v>
      </c>
      <c r="N45">
        <v>129.17519999999999</v>
      </c>
      <c r="O45" s="1">
        <v>45184</v>
      </c>
      <c r="P45">
        <f>IF(ISBLANK(ReconciliationData[[#This Row],[Invoice_ID]]),1,0)</f>
        <v>0</v>
      </c>
      <c r="Q45">
        <f>IF(AND(NOT(ISBLANK(ReconciliationData[[#This Row],[Billed_Units]])),ReconciliationData[[#This Row],[ordered_units]]&lt;&gt;ReconciliationData[[#This Row],[Billed_Units]]),1,0)</f>
        <v>0</v>
      </c>
      <c r="R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">
        <f>IF(AND(NOT(ISBLANK(ReconciliationData[[#This Row],[Contract_Price]])),ReconciliationData[[#This Row],[Billed_Price]]&lt;&gt;ReconciliationData[[#This Row],[Contract_Price]]),1,0)</f>
        <v>0</v>
      </c>
      <c r="T45">
        <f>IF(AND(NOT(ISBLANK(ReconciliationData[[#This Row],[End_Date]])),ReconciliationData[[#This Row],[Order_Date]]&gt;ReconciliationData[[#This Row],[End_Date]]),1,0)</f>
        <v>0</v>
      </c>
      <c r="U45">
        <f>IF(AND(NOT(ISBLANK(ReconciliationData[[#This Row],[last_return_date]])),ReconciliationData[[#This Row],[last_return_date]]&gt;ReconciliationData[[#This Row],[Order_Date]]+60),1,0)</f>
        <v>0</v>
      </c>
      <c r="V45">
        <f>IF(ReconciliationData[[#This Row],[total_returned_units]]&gt;ReconciliationData[[#This Row],[ordered_units]],1,0)</f>
        <v>0</v>
      </c>
      <c r="W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">
        <f>ReconciliationData[[#This Row],[Billed_Units]]*ReconciliationData[[#This Row],[Billed_Price]]</f>
        <v>14725.9728</v>
      </c>
      <c r="Y45">
        <f>ReconciliationData[[#This Row],[ordered_units]]*ReconciliationData[[#This Row],[List_Price]]</f>
        <v>14725.9728</v>
      </c>
      <c r="Z45">
        <f>ReconciliationData[[#This Row],[billed_revenue]]-ReconciliationData[[#This Row],[expected_revenue]]</f>
        <v>0</v>
      </c>
      <c r="AA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" t="str">
        <f>IF(ReconciliationData[[#This Row],[severity_score]]=0,"LOW",
 IF(ReconciliationData[[#This Row],[severity_score]]&lt;=5,"MEDIUM","HIGH"))</f>
        <v>LOW</v>
      </c>
      <c r="AC45" t="str">
        <f>TEXT(ReconciliationData[[#This Row],[Order_Date]],"YYYY-MM")</f>
        <v>2024-10</v>
      </c>
    </row>
    <row r="46" spans="1:29">
      <c r="A46" t="s">
        <v>304</v>
      </c>
      <c r="B46" s="1">
        <v>45117</v>
      </c>
      <c r="C46" t="s">
        <v>305</v>
      </c>
      <c r="D46" t="s">
        <v>306</v>
      </c>
      <c r="E46">
        <v>162</v>
      </c>
      <c r="F46" t="s">
        <v>307</v>
      </c>
      <c r="G46">
        <v>162</v>
      </c>
      <c r="H46">
        <v>1065.9095</v>
      </c>
      <c r="N46">
        <v>1065.9095</v>
      </c>
      <c r="O46" s="1">
        <v>44963</v>
      </c>
      <c r="P46">
        <f>IF(ISBLANK(ReconciliationData[[#This Row],[Invoice_ID]]),1,0)</f>
        <v>0</v>
      </c>
      <c r="Q46">
        <f>IF(AND(NOT(ISBLANK(ReconciliationData[[#This Row],[Billed_Units]])),ReconciliationData[[#This Row],[ordered_units]]&lt;&gt;ReconciliationData[[#This Row],[Billed_Units]]),1,0)</f>
        <v>0</v>
      </c>
      <c r="R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6">
        <f>IF(AND(NOT(ISBLANK(ReconciliationData[[#This Row],[Contract_Price]])),ReconciliationData[[#This Row],[Billed_Price]]&lt;&gt;ReconciliationData[[#This Row],[Contract_Price]]),1,0)</f>
        <v>0</v>
      </c>
      <c r="T46">
        <f>IF(AND(NOT(ISBLANK(ReconciliationData[[#This Row],[End_Date]])),ReconciliationData[[#This Row],[Order_Date]]&gt;ReconciliationData[[#This Row],[End_Date]]),1,0)</f>
        <v>0</v>
      </c>
      <c r="U46">
        <f>IF(AND(NOT(ISBLANK(ReconciliationData[[#This Row],[last_return_date]])),ReconciliationData[[#This Row],[last_return_date]]&gt;ReconciliationData[[#This Row],[Order_Date]]+60),1,0)</f>
        <v>0</v>
      </c>
      <c r="V46">
        <f>IF(ReconciliationData[[#This Row],[total_returned_units]]&gt;ReconciliationData[[#This Row],[ordered_units]],1,0)</f>
        <v>0</v>
      </c>
      <c r="W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6">
        <f>ReconciliationData[[#This Row],[Billed_Units]]*ReconciliationData[[#This Row],[Billed_Price]]</f>
        <v>172677.33900000001</v>
      </c>
      <c r="Y46">
        <f>ReconciliationData[[#This Row],[ordered_units]]*ReconciliationData[[#This Row],[List_Price]]</f>
        <v>172677.33900000001</v>
      </c>
      <c r="Z46">
        <f>ReconciliationData[[#This Row],[billed_revenue]]-ReconciliationData[[#This Row],[expected_revenue]]</f>
        <v>0</v>
      </c>
      <c r="AA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6" t="str">
        <f>IF(ReconciliationData[[#This Row],[severity_score]]=0,"LOW",
 IF(ReconciliationData[[#This Row],[severity_score]]&lt;=5,"MEDIUM","HIGH"))</f>
        <v>LOW</v>
      </c>
      <c r="AC46" t="str">
        <f>TEXT(ReconciliationData[[#This Row],[Order_Date]],"YYYY-MM")</f>
        <v>2023-07</v>
      </c>
    </row>
    <row r="47" spans="1:29">
      <c r="A47" t="s">
        <v>308</v>
      </c>
      <c r="B47" s="1">
        <v>45218</v>
      </c>
      <c r="C47" t="s">
        <v>149</v>
      </c>
      <c r="D47" t="s">
        <v>309</v>
      </c>
      <c r="E47">
        <v>42</v>
      </c>
      <c r="F47" t="s">
        <v>310</v>
      </c>
      <c r="G47">
        <v>42</v>
      </c>
      <c r="H47">
        <v>946.74860000000001</v>
      </c>
      <c r="N47">
        <v>946.74860000000001</v>
      </c>
      <c r="O47" s="1">
        <v>45038</v>
      </c>
      <c r="P47">
        <f>IF(ISBLANK(ReconciliationData[[#This Row],[Invoice_ID]]),1,0)</f>
        <v>0</v>
      </c>
      <c r="Q47">
        <f>IF(AND(NOT(ISBLANK(ReconciliationData[[#This Row],[Billed_Units]])),ReconciliationData[[#This Row],[ordered_units]]&lt;&gt;ReconciliationData[[#This Row],[Billed_Units]]),1,0)</f>
        <v>0</v>
      </c>
      <c r="R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">
        <f>IF(AND(NOT(ISBLANK(ReconciliationData[[#This Row],[Contract_Price]])),ReconciliationData[[#This Row],[Billed_Price]]&lt;&gt;ReconciliationData[[#This Row],[Contract_Price]]),1,0)</f>
        <v>0</v>
      </c>
      <c r="T47">
        <f>IF(AND(NOT(ISBLANK(ReconciliationData[[#This Row],[End_Date]])),ReconciliationData[[#This Row],[Order_Date]]&gt;ReconciliationData[[#This Row],[End_Date]]),1,0)</f>
        <v>0</v>
      </c>
      <c r="U47">
        <f>IF(AND(NOT(ISBLANK(ReconciliationData[[#This Row],[last_return_date]])),ReconciliationData[[#This Row],[last_return_date]]&gt;ReconciliationData[[#This Row],[Order_Date]]+60),1,0)</f>
        <v>0</v>
      </c>
      <c r="V47">
        <f>IF(ReconciliationData[[#This Row],[total_returned_units]]&gt;ReconciliationData[[#This Row],[ordered_units]],1,0)</f>
        <v>0</v>
      </c>
      <c r="W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7">
        <f>ReconciliationData[[#This Row],[Billed_Units]]*ReconciliationData[[#This Row],[Billed_Price]]</f>
        <v>39763.441200000001</v>
      </c>
      <c r="Y47">
        <f>ReconciliationData[[#This Row],[ordered_units]]*ReconciliationData[[#This Row],[List_Price]]</f>
        <v>39763.441200000001</v>
      </c>
      <c r="Z47">
        <f>ReconciliationData[[#This Row],[billed_revenue]]-ReconciliationData[[#This Row],[expected_revenue]]</f>
        <v>0</v>
      </c>
      <c r="AA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7" t="str">
        <f>IF(ReconciliationData[[#This Row],[severity_score]]=0,"LOW",
 IF(ReconciliationData[[#This Row],[severity_score]]&lt;=5,"MEDIUM","HIGH"))</f>
        <v>LOW</v>
      </c>
      <c r="AC47" t="str">
        <f>TEXT(ReconciliationData[[#This Row],[Order_Date]],"YYYY-MM")</f>
        <v>2023-10</v>
      </c>
    </row>
    <row r="48" spans="1:29">
      <c r="A48" t="s">
        <v>311</v>
      </c>
      <c r="B48" s="1">
        <v>45520</v>
      </c>
      <c r="C48" t="s">
        <v>312</v>
      </c>
      <c r="D48" t="s">
        <v>313</v>
      </c>
      <c r="E48">
        <v>17</v>
      </c>
      <c r="F48" t="s">
        <v>314</v>
      </c>
      <c r="G48">
        <v>17</v>
      </c>
      <c r="H48">
        <v>1190.6054999999999</v>
      </c>
      <c r="N48">
        <v>1190.6054999999999</v>
      </c>
      <c r="O48" s="1">
        <v>44984</v>
      </c>
      <c r="P48">
        <f>IF(ISBLANK(ReconciliationData[[#This Row],[Invoice_ID]]),1,0)</f>
        <v>0</v>
      </c>
      <c r="Q48">
        <f>IF(AND(NOT(ISBLANK(ReconciliationData[[#This Row],[Billed_Units]])),ReconciliationData[[#This Row],[ordered_units]]&lt;&gt;ReconciliationData[[#This Row],[Billed_Units]]),1,0)</f>
        <v>0</v>
      </c>
      <c r="R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8">
        <f>IF(AND(NOT(ISBLANK(ReconciliationData[[#This Row],[Contract_Price]])),ReconciliationData[[#This Row],[Billed_Price]]&lt;&gt;ReconciliationData[[#This Row],[Contract_Price]]),1,0)</f>
        <v>0</v>
      </c>
      <c r="T48">
        <f>IF(AND(NOT(ISBLANK(ReconciliationData[[#This Row],[End_Date]])),ReconciliationData[[#This Row],[Order_Date]]&gt;ReconciliationData[[#This Row],[End_Date]]),1,0)</f>
        <v>0</v>
      </c>
      <c r="U48">
        <f>IF(AND(NOT(ISBLANK(ReconciliationData[[#This Row],[last_return_date]])),ReconciliationData[[#This Row],[last_return_date]]&gt;ReconciliationData[[#This Row],[Order_Date]]+60),1,0)</f>
        <v>0</v>
      </c>
      <c r="V48">
        <f>IF(ReconciliationData[[#This Row],[total_returned_units]]&gt;ReconciliationData[[#This Row],[ordered_units]],1,0)</f>
        <v>0</v>
      </c>
      <c r="W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8">
        <f>ReconciliationData[[#This Row],[Billed_Units]]*ReconciliationData[[#This Row],[Billed_Price]]</f>
        <v>20240.2935</v>
      </c>
      <c r="Y48">
        <f>ReconciliationData[[#This Row],[ordered_units]]*ReconciliationData[[#This Row],[List_Price]]</f>
        <v>20240.2935</v>
      </c>
      <c r="Z48">
        <f>ReconciliationData[[#This Row],[billed_revenue]]-ReconciliationData[[#This Row],[expected_revenue]]</f>
        <v>0</v>
      </c>
      <c r="AA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8" t="str">
        <f>IF(ReconciliationData[[#This Row],[severity_score]]=0,"LOW",
 IF(ReconciliationData[[#This Row],[severity_score]]&lt;=5,"MEDIUM","HIGH"))</f>
        <v>LOW</v>
      </c>
      <c r="AC48" t="str">
        <f>TEXT(ReconciliationData[[#This Row],[Order_Date]],"YYYY-MM")</f>
        <v>2024-08</v>
      </c>
    </row>
    <row r="49" spans="1:29">
      <c r="A49" t="s">
        <v>315</v>
      </c>
      <c r="B49" s="1">
        <v>45190</v>
      </c>
      <c r="C49" t="s">
        <v>316</v>
      </c>
      <c r="D49" t="s">
        <v>317</v>
      </c>
      <c r="E49">
        <v>191</v>
      </c>
      <c r="F49" t="s">
        <v>318</v>
      </c>
      <c r="G49">
        <v>191</v>
      </c>
      <c r="H49">
        <v>1119.3012000000001</v>
      </c>
      <c r="N49">
        <v>1119.3012000000001</v>
      </c>
      <c r="O49" s="1">
        <v>45091</v>
      </c>
      <c r="P49">
        <f>IF(ISBLANK(ReconciliationData[[#This Row],[Invoice_ID]]),1,0)</f>
        <v>0</v>
      </c>
      <c r="Q49">
        <f>IF(AND(NOT(ISBLANK(ReconciliationData[[#This Row],[Billed_Units]])),ReconciliationData[[#This Row],[ordered_units]]&lt;&gt;ReconciliationData[[#This Row],[Billed_Units]]),1,0)</f>
        <v>0</v>
      </c>
      <c r="R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">
        <f>IF(AND(NOT(ISBLANK(ReconciliationData[[#This Row],[Contract_Price]])),ReconciliationData[[#This Row],[Billed_Price]]&lt;&gt;ReconciliationData[[#This Row],[Contract_Price]]),1,0)</f>
        <v>0</v>
      </c>
      <c r="T49">
        <f>IF(AND(NOT(ISBLANK(ReconciliationData[[#This Row],[End_Date]])),ReconciliationData[[#This Row],[Order_Date]]&gt;ReconciliationData[[#This Row],[End_Date]]),1,0)</f>
        <v>0</v>
      </c>
      <c r="U49">
        <f>IF(AND(NOT(ISBLANK(ReconciliationData[[#This Row],[last_return_date]])),ReconciliationData[[#This Row],[last_return_date]]&gt;ReconciliationData[[#This Row],[Order_Date]]+60),1,0)</f>
        <v>0</v>
      </c>
      <c r="V49">
        <f>IF(ReconciliationData[[#This Row],[total_returned_units]]&gt;ReconciliationData[[#This Row],[ordered_units]],1,0)</f>
        <v>0</v>
      </c>
      <c r="W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9">
        <f>ReconciliationData[[#This Row],[Billed_Units]]*ReconciliationData[[#This Row],[Billed_Price]]</f>
        <v>213786.52920000002</v>
      </c>
      <c r="Y49">
        <f>ReconciliationData[[#This Row],[ordered_units]]*ReconciliationData[[#This Row],[List_Price]]</f>
        <v>213786.52920000002</v>
      </c>
      <c r="Z49">
        <f>ReconciliationData[[#This Row],[billed_revenue]]-ReconciliationData[[#This Row],[expected_revenue]]</f>
        <v>0</v>
      </c>
      <c r="AA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9" t="str">
        <f>IF(ReconciliationData[[#This Row],[severity_score]]=0,"LOW",
 IF(ReconciliationData[[#This Row],[severity_score]]&lt;=5,"MEDIUM","HIGH"))</f>
        <v>LOW</v>
      </c>
      <c r="AC49" t="str">
        <f>TEXT(ReconciliationData[[#This Row],[Order_Date]],"YYYY-MM")</f>
        <v>2023-09</v>
      </c>
    </row>
    <row r="50" spans="1:29">
      <c r="A50" t="s">
        <v>319</v>
      </c>
      <c r="B50" s="1">
        <v>45605</v>
      </c>
      <c r="C50" t="s">
        <v>320</v>
      </c>
      <c r="D50" t="s">
        <v>321</v>
      </c>
      <c r="E50">
        <v>118</v>
      </c>
      <c r="F50" t="s">
        <v>322</v>
      </c>
      <c r="G50">
        <v>118</v>
      </c>
      <c r="H50">
        <v>169.49265768404308</v>
      </c>
      <c r="N50">
        <v>169.22900000000001</v>
      </c>
      <c r="O50" s="1">
        <v>45039</v>
      </c>
      <c r="P50">
        <f>IF(ISBLANK(ReconciliationData[[#This Row],[Invoice_ID]]),1,0)</f>
        <v>0</v>
      </c>
      <c r="Q50">
        <f>IF(AND(NOT(ISBLANK(ReconciliationData[[#This Row],[Billed_Units]])),ReconciliationData[[#This Row],[ordered_units]]&lt;&gt;ReconciliationData[[#This Row],[Billed_Units]]),1,0)</f>
        <v>0</v>
      </c>
      <c r="R50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50">
        <f>IF(AND(NOT(ISBLANK(ReconciliationData[[#This Row],[Contract_Price]])),ReconciliationData[[#This Row],[Billed_Price]]&lt;&gt;ReconciliationData[[#This Row],[Contract_Price]]),1,0)</f>
        <v>0</v>
      </c>
      <c r="T50">
        <f>IF(AND(NOT(ISBLANK(ReconciliationData[[#This Row],[End_Date]])),ReconciliationData[[#This Row],[Order_Date]]&gt;ReconciliationData[[#This Row],[End_Date]]),1,0)</f>
        <v>0</v>
      </c>
      <c r="U50">
        <f>IF(AND(NOT(ISBLANK(ReconciliationData[[#This Row],[last_return_date]])),ReconciliationData[[#This Row],[last_return_date]]&gt;ReconciliationData[[#This Row],[Order_Date]]+60),1,0)</f>
        <v>0</v>
      </c>
      <c r="V50">
        <f>IF(ReconciliationData[[#This Row],[total_returned_units]]&gt;ReconciliationData[[#This Row],[ordered_units]],1,0)</f>
        <v>0</v>
      </c>
      <c r="W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50">
        <f>ReconciliationData[[#This Row],[Billed_Units]]*ReconciliationData[[#This Row],[Billed_Price]]</f>
        <v>20000.133606717085</v>
      </c>
      <c r="Y50">
        <f>ReconciliationData[[#This Row],[ordered_units]]*ReconciliationData[[#This Row],[List_Price]]</f>
        <v>19969.022000000001</v>
      </c>
      <c r="Z50">
        <f>ReconciliationData[[#This Row],[billed_revenue]]-ReconciliationData[[#This Row],[expected_revenue]]</f>
        <v>31.111606717084214</v>
      </c>
      <c r="AA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50" t="str">
        <f>IF(ReconciliationData[[#This Row],[severity_score]]=0,"LOW",
 IF(ReconciliationData[[#This Row],[severity_score]]&lt;=5,"MEDIUM","HIGH"))</f>
        <v>MEDIUM</v>
      </c>
      <c r="AC50" t="str">
        <f>TEXT(ReconciliationData[[#This Row],[Order_Date]],"YYYY-MM")</f>
        <v>2024-11</v>
      </c>
    </row>
    <row r="51" spans="1:29">
      <c r="A51" t="s">
        <v>323</v>
      </c>
      <c r="B51" s="1">
        <v>45086</v>
      </c>
      <c r="C51" t="s">
        <v>324</v>
      </c>
      <c r="D51" t="s">
        <v>325</v>
      </c>
      <c r="E51">
        <v>162</v>
      </c>
      <c r="F51" t="s">
        <v>326</v>
      </c>
      <c r="G51">
        <v>162</v>
      </c>
      <c r="H51">
        <v>499.27679999999998</v>
      </c>
      <c r="N51">
        <v>499.27679999999998</v>
      </c>
      <c r="O51" s="1">
        <v>44840</v>
      </c>
      <c r="P51">
        <f>IF(ISBLANK(ReconciliationData[[#This Row],[Invoice_ID]]),1,0)</f>
        <v>0</v>
      </c>
      <c r="Q51">
        <f>IF(AND(NOT(ISBLANK(ReconciliationData[[#This Row],[Billed_Units]])),ReconciliationData[[#This Row],[ordered_units]]&lt;&gt;ReconciliationData[[#This Row],[Billed_Units]]),1,0)</f>
        <v>0</v>
      </c>
      <c r="R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">
        <f>IF(AND(NOT(ISBLANK(ReconciliationData[[#This Row],[Contract_Price]])),ReconciliationData[[#This Row],[Billed_Price]]&lt;&gt;ReconciliationData[[#This Row],[Contract_Price]]),1,0)</f>
        <v>0</v>
      </c>
      <c r="T51">
        <f>IF(AND(NOT(ISBLANK(ReconciliationData[[#This Row],[End_Date]])),ReconciliationData[[#This Row],[Order_Date]]&gt;ReconciliationData[[#This Row],[End_Date]]),1,0)</f>
        <v>0</v>
      </c>
      <c r="U51">
        <f>IF(AND(NOT(ISBLANK(ReconciliationData[[#This Row],[last_return_date]])),ReconciliationData[[#This Row],[last_return_date]]&gt;ReconciliationData[[#This Row],[Order_Date]]+60),1,0)</f>
        <v>0</v>
      </c>
      <c r="V51">
        <f>IF(ReconciliationData[[#This Row],[total_returned_units]]&gt;ReconciliationData[[#This Row],[ordered_units]],1,0)</f>
        <v>0</v>
      </c>
      <c r="W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">
        <f>ReconciliationData[[#This Row],[Billed_Units]]*ReconciliationData[[#This Row],[Billed_Price]]</f>
        <v>80882.8416</v>
      </c>
      <c r="Y51">
        <f>ReconciliationData[[#This Row],[ordered_units]]*ReconciliationData[[#This Row],[List_Price]]</f>
        <v>80882.8416</v>
      </c>
      <c r="Z51">
        <f>ReconciliationData[[#This Row],[billed_revenue]]-ReconciliationData[[#This Row],[expected_revenue]]</f>
        <v>0</v>
      </c>
      <c r="AA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" t="str">
        <f>IF(ReconciliationData[[#This Row],[severity_score]]=0,"LOW",
 IF(ReconciliationData[[#This Row],[severity_score]]&lt;=5,"MEDIUM","HIGH"))</f>
        <v>LOW</v>
      </c>
      <c r="AC51" t="str">
        <f>TEXT(ReconciliationData[[#This Row],[Order_Date]],"YYYY-MM")</f>
        <v>2023-06</v>
      </c>
    </row>
    <row r="52" spans="1:29">
      <c r="A52" t="s">
        <v>327</v>
      </c>
      <c r="B52" s="1">
        <v>44930</v>
      </c>
      <c r="C52" t="s">
        <v>328</v>
      </c>
      <c r="D52" t="s">
        <v>329</v>
      </c>
      <c r="E52">
        <v>92</v>
      </c>
      <c r="F52" t="s">
        <v>330</v>
      </c>
      <c r="G52">
        <v>92</v>
      </c>
      <c r="H52">
        <v>412.95450000000005</v>
      </c>
      <c r="N52">
        <v>412.95450000000005</v>
      </c>
      <c r="O52" s="1">
        <v>44785</v>
      </c>
      <c r="P52">
        <f>IF(ISBLANK(ReconciliationData[[#This Row],[Invoice_ID]]),1,0)</f>
        <v>0</v>
      </c>
      <c r="Q52">
        <f>IF(AND(NOT(ISBLANK(ReconciliationData[[#This Row],[Billed_Units]])),ReconciliationData[[#This Row],[ordered_units]]&lt;&gt;ReconciliationData[[#This Row],[Billed_Units]]),1,0)</f>
        <v>0</v>
      </c>
      <c r="R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">
        <f>IF(AND(NOT(ISBLANK(ReconciliationData[[#This Row],[Contract_Price]])),ReconciliationData[[#This Row],[Billed_Price]]&lt;&gt;ReconciliationData[[#This Row],[Contract_Price]]),1,0)</f>
        <v>0</v>
      </c>
      <c r="T52">
        <f>IF(AND(NOT(ISBLANK(ReconciliationData[[#This Row],[End_Date]])),ReconciliationData[[#This Row],[Order_Date]]&gt;ReconciliationData[[#This Row],[End_Date]]),1,0)</f>
        <v>0</v>
      </c>
      <c r="U52">
        <f>IF(AND(NOT(ISBLANK(ReconciliationData[[#This Row],[last_return_date]])),ReconciliationData[[#This Row],[last_return_date]]&gt;ReconciliationData[[#This Row],[Order_Date]]+60),1,0)</f>
        <v>0</v>
      </c>
      <c r="V52">
        <f>IF(ReconciliationData[[#This Row],[total_returned_units]]&gt;ReconciliationData[[#This Row],[ordered_units]],1,0)</f>
        <v>0</v>
      </c>
      <c r="W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">
        <f>ReconciliationData[[#This Row],[Billed_Units]]*ReconciliationData[[#This Row],[Billed_Price]]</f>
        <v>37991.814000000006</v>
      </c>
      <c r="Y52">
        <f>ReconciliationData[[#This Row],[ordered_units]]*ReconciliationData[[#This Row],[List_Price]]</f>
        <v>37991.814000000006</v>
      </c>
      <c r="Z52">
        <f>ReconciliationData[[#This Row],[billed_revenue]]-ReconciliationData[[#This Row],[expected_revenue]]</f>
        <v>0</v>
      </c>
      <c r="AA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" t="str">
        <f>IF(ReconciliationData[[#This Row],[severity_score]]=0,"LOW",
 IF(ReconciliationData[[#This Row],[severity_score]]&lt;=5,"MEDIUM","HIGH"))</f>
        <v>LOW</v>
      </c>
      <c r="AC52" t="str">
        <f>TEXT(ReconciliationData[[#This Row],[Order_Date]],"YYYY-MM")</f>
        <v>2023-01</v>
      </c>
    </row>
    <row r="53" spans="1:29">
      <c r="A53" t="s">
        <v>331</v>
      </c>
      <c r="B53" s="1">
        <v>45020</v>
      </c>
      <c r="C53" t="s">
        <v>332</v>
      </c>
      <c r="D53" t="s">
        <v>333</v>
      </c>
      <c r="E53">
        <v>166</v>
      </c>
      <c r="F53" t="s">
        <v>334</v>
      </c>
      <c r="G53">
        <v>166</v>
      </c>
      <c r="H53">
        <v>1144.1684</v>
      </c>
      <c r="N53">
        <v>1144.1684</v>
      </c>
      <c r="O53" s="1">
        <v>44955</v>
      </c>
      <c r="P53">
        <f>IF(ISBLANK(ReconciliationData[[#This Row],[Invoice_ID]]),1,0)</f>
        <v>0</v>
      </c>
      <c r="Q53">
        <f>IF(AND(NOT(ISBLANK(ReconciliationData[[#This Row],[Billed_Units]])),ReconciliationData[[#This Row],[ordered_units]]&lt;&gt;ReconciliationData[[#This Row],[Billed_Units]]),1,0)</f>
        <v>0</v>
      </c>
      <c r="R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3">
        <f>IF(AND(NOT(ISBLANK(ReconciliationData[[#This Row],[Contract_Price]])),ReconciliationData[[#This Row],[Billed_Price]]&lt;&gt;ReconciliationData[[#This Row],[Contract_Price]]),1,0)</f>
        <v>0</v>
      </c>
      <c r="T53">
        <f>IF(AND(NOT(ISBLANK(ReconciliationData[[#This Row],[End_Date]])),ReconciliationData[[#This Row],[Order_Date]]&gt;ReconciliationData[[#This Row],[End_Date]]),1,0)</f>
        <v>0</v>
      </c>
      <c r="U53">
        <f>IF(AND(NOT(ISBLANK(ReconciliationData[[#This Row],[last_return_date]])),ReconciliationData[[#This Row],[last_return_date]]&gt;ReconciliationData[[#This Row],[Order_Date]]+60),1,0)</f>
        <v>0</v>
      </c>
      <c r="V53">
        <f>IF(ReconciliationData[[#This Row],[total_returned_units]]&gt;ReconciliationData[[#This Row],[ordered_units]],1,0)</f>
        <v>0</v>
      </c>
      <c r="W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3">
        <f>ReconciliationData[[#This Row],[Billed_Units]]*ReconciliationData[[#This Row],[Billed_Price]]</f>
        <v>189931.95440000002</v>
      </c>
      <c r="Y53">
        <f>ReconciliationData[[#This Row],[ordered_units]]*ReconciliationData[[#This Row],[List_Price]]</f>
        <v>189931.95440000002</v>
      </c>
      <c r="Z53">
        <f>ReconciliationData[[#This Row],[billed_revenue]]-ReconciliationData[[#This Row],[expected_revenue]]</f>
        <v>0</v>
      </c>
      <c r="AA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3" t="str">
        <f>IF(ReconciliationData[[#This Row],[severity_score]]=0,"LOW",
 IF(ReconciliationData[[#This Row],[severity_score]]&lt;=5,"MEDIUM","HIGH"))</f>
        <v>LOW</v>
      </c>
      <c r="AC53" t="str">
        <f>TEXT(ReconciliationData[[#This Row],[Order_Date]],"YYYY-MM")</f>
        <v>2023-04</v>
      </c>
    </row>
    <row r="54" spans="1:29">
      <c r="A54" t="s">
        <v>335</v>
      </c>
      <c r="B54" s="1">
        <v>45154</v>
      </c>
      <c r="C54" t="s">
        <v>336</v>
      </c>
      <c r="D54" t="s">
        <v>337</v>
      </c>
      <c r="E54">
        <v>110</v>
      </c>
      <c r="F54" t="s">
        <v>338</v>
      </c>
      <c r="G54">
        <v>110</v>
      </c>
      <c r="H54">
        <v>1040.9412</v>
      </c>
      <c r="N54">
        <v>1040.9412</v>
      </c>
      <c r="O54" s="1">
        <v>44983</v>
      </c>
      <c r="P54">
        <f>IF(ISBLANK(ReconciliationData[[#This Row],[Invoice_ID]]),1,0)</f>
        <v>0</v>
      </c>
      <c r="Q54">
        <f>IF(AND(NOT(ISBLANK(ReconciliationData[[#This Row],[Billed_Units]])),ReconciliationData[[#This Row],[ordered_units]]&lt;&gt;ReconciliationData[[#This Row],[Billed_Units]]),1,0)</f>
        <v>0</v>
      </c>
      <c r="R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">
        <f>IF(AND(NOT(ISBLANK(ReconciliationData[[#This Row],[Contract_Price]])),ReconciliationData[[#This Row],[Billed_Price]]&lt;&gt;ReconciliationData[[#This Row],[Contract_Price]]),1,0)</f>
        <v>0</v>
      </c>
      <c r="T54">
        <f>IF(AND(NOT(ISBLANK(ReconciliationData[[#This Row],[End_Date]])),ReconciliationData[[#This Row],[Order_Date]]&gt;ReconciliationData[[#This Row],[End_Date]]),1,0)</f>
        <v>0</v>
      </c>
      <c r="U54">
        <f>IF(AND(NOT(ISBLANK(ReconciliationData[[#This Row],[last_return_date]])),ReconciliationData[[#This Row],[last_return_date]]&gt;ReconciliationData[[#This Row],[Order_Date]]+60),1,0)</f>
        <v>0</v>
      </c>
      <c r="V54">
        <f>IF(ReconciliationData[[#This Row],[total_returned_units]]&gt;ReconciliationData[[#This Row],[ordered_units]],1,0)</f>
        <v>0</v>
      </c>
      <c r="W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4">
        <f>ReconciliationData[[#This Row],[Billed_Units]]*ReconciliationData[[#This Row],[Billed_Price]]</f>
        <v>114503.53199999999</v>
      </c>
      <c r="Y54">
        <f>ReconciliationData[[#This Row],[ordered_units]]*ReconciliationData[[#This Row],[List_Price]]</f>
        <v>114503.53199999999</v>
      </c>
      <c r="Z54">
        <f>ReconciliationData[[#This Row],[billed_revenue]]-ReconciliationData[[#This Row],[expected_revenue]]</f>
        <v>0</v>
      </c>
      <c r="AA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4" t="str">
        <f>IF(ReconciliationData[[#This Row],[severity_score]]=0,"LOW",
 IF(ReconciliationData[[#This Row],[severity_score]]&lt;=5,"MEDIUM","HIGH"))</f>
        <v>LOW</v>
      </c>
      <c r="AC54" t="str">
        <f>TEXT(ReconciliationData[[#This Row],[Order_Date]],"YYYY-MM")</f>
        <v>2023-08</v>
      </c>
    </row>
    <row r="55" spans="1:29">
      <c r="A55" t="s">
        <v>339</v>
      </c>
      <c r="B55" s="1">
        <v>44976</v>
      </c>
      <c r="C55" t="s">
        <v>340</v>
      </c>
      <c r="D55" t="s">
        <v>341</v>
      </c>
      <c r="E55">
        <v>180</v>
      </c>
      <c r="F55" t="s">
        <v>342</v>
      </c>
      <c r="G55">
        <v>180</v>
      </c>
      <c r="H55">
        <v>47.936999999999998</v>
      </c>
      <c r="N55">
        <v>47.936999999999998</v>
      </c>
      <c r="O55" s="1">
        <v>44934</v>
      </c>
      <c r="P55">
        <f>IF(ISBLANK(ReconciliationData[[#This Row],[Invoice_ID]]),1,0)</f>
        <v>0</v>
      </c>
      <c r="Q55">
        <f>IF(AND(NOT(ISBLANK(ReconciliationData[[#This Row],[Billed_Units]])),ReconciliationData[[#This Row],[ordered_units]]&lt;&gt;ReconciliationData[[#This Row],[Billed_Units]]),1,0)</f>
        <v>0</v>
      </c>
      <c r="R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">
        <f>IF(AND(NOT(ISBLANK(ReconciliationData[[#This Row],[Contract_Price]])),ReconciliationData[[#This Row],[Billed_Price]]&lt;&gt;ReconciliationData[[#This Row],[Contract_Price]]),1,0)</f>
        <v>0</v>
      </c>
      <c r="T55">
        <f>IF(AND(NOT(ISBLANK(ReconciliationData[[#This Row],[End_Date]])),ReconciliationData[[#This Row],[Order_Date]]&gt;ReconciliationData[[#This Row],[End_Date]]),1,0)</f>
        <v>0</v>
      </c>
      <c r="U55">
        <f>IF(AND(NOT(ISBLANK(ReconciliationData[[#This Row],[last_return_date]])),ReconciliationData[[#This Row],[last_return_date]]&gt;ReconciliationData[[#This Row],[Order_Date]]+60),1,0)</f>
        <v>0</v>
      </c>
      <c r="V55">
        <f>IF(ReconciliationData[[#This Row],[total_returned_units]]&gt;ReconciliationData[[#This Row],[ordered_units]],1,0)</f>
        <v>0</v>
      </c>
      <c r="W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5">
        <f>ReconciliationData[[#This Row],[Billed_Units]]*ReconciliationData[[#This Row],[Billed_Price]]</f>
        <v>8628.66</v>
      </c>
      <c r="Y55">
        <f>ReconciliationData[[#This Row],[ordered_units]]*ReconciliationData[[#This Row],[List_Price]]</f>
        <v>8628.66</v>
      </c>
      <c r="Z55">
        <f>ReconciliationData[[#This Row],[billed_revenue]]-ReconciliationData[[#This Row],[expected_revenue]]</f>
        <v>0</v>
      </c>
      <c r="AA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5" t="str">
        <f>IF(ReconciliationData[[#This Row],[severity_score]]=0,"LOW",
 IF(ReconciliationData[[#This Row],[severity_score]]&lt;=5,"MEDIUM","HIGH"))</f>
        <v>LOW</v>
      </c>
      <c r="AC55" t="str">
        <f>TEXT(ReconciliationData[[#This Row],[Order_Date]],"YYYY-MM")</f>
        <v>2023-02</v>
      </c>
    </row>
    <row r="56" spans="1:29">
      <c r="A56" t="s">
        <v>343</v>
      </c>
      <c r="B56" s="1">
        <v>45365</v>
      </c>
      <c r="C56" t="s">
        <v>344</v>
      </c>
      <c r="D56" t="s">
        <v>345</v>
      </c>
      <c r="E56">
        <v>64</v>
      </c>
      <c r="F56" t="s">
        <v>346</v>
      </c>
      <c r="G56">
        <v>62</v>
      </c>
      <c r="H56">
        <v>580.38720000000001</v>
      </c>
      <c r="N56">
        <v>580.38720000000001</v>
      </c>
      <c r="O56" s="1">
        <v>45180</v>
      </c>
      <c r="P56">
        <f>IF(ISBLANK(ReconciliationData[[#This Row],[Invoice_ID]]),1,0)</f>
        <v>0</v>
      </c>
      <c r="Q56">
        <f>IF(AND(NOT(ISBLANK(ReconciliationData[[#This Row],[Billed_Units]])),ReconciliationData[[#This Row],[ordered_units]]&lt;&gt;ReconciliationData[[#This Row],[Billed_Units]]),1,0)</f>
        <v>1</v>
      </c>
      <c r="R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">
        <f>IF(AND(NOT(ISBLANK(ReconciliationData[[#This Row],[Contract_Price]])),ReconciliationData[[#This Row],[Billed_Price]]&lt;&gt;ReconciliationData[[#This Row],[Contract_Price]]),1,0)</f>
        <v>0</v>
      </c>
      <c r="T56">
        <f>IF(AND(NOT(ISBLANK(ReconciliationData[[#This Row],[End_Date]])),ReconciliationData[[#This Row],[Order_Date]]&gt;ReconciliationData[[#This Row],[End_Date]]),1,0)</f>
        <v>0</v>
      </c>
      <c r="U56">
        <f>IF(AND(NOT(ISBLANK(ReconciliationData[[#This Row],[last_return_date]])),ReconciliationData[[#This Row],[last_return_date]]&gt;ReconciliationData[[#This Row],[Order_Date]]+60),1,0)</f>
        <v>0</v>
      </c>
      <c r="V56">
        <f>IF(ReconciliationData[[#This Row],[total_returned_units]]&gt;ReconciliationData[[#This Row],[ordered_units]],1,0)</f>
        <v>0</v>
      </c>
      <c r="W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56">
        <f>ReconciliationData[[#This Row],[Billed_Units]]*ReconciliationData[[#This Row],[Billed_Price]]</f>
        <v>35984.006399999998</v>
      </c>
      <c r="Y56">
        <f>ReconciliationData[[#This Row],[ordered_units]]*ReconciliationData[[#This Row],[List_Price]]</f>
        <v>37144.7808</v>
      </c>
      <c r="Z56">
        <f>ReconciliationData[[#This Row],[billed_revenue]]-ReconciliationData[[#This Row],[expected_revenue]]</f>
        <v>-1160.7744000000021</v>
      </c>
      <c r="AA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56" t="str">
        <f>IF(ReconciliationData[[#This Row],[severity_score]]=0,"LOW",
 IF(ReconciliationData[[#This Row],[severity_score]]&lt;=5,"MEDIUM","HIGH"))</f>
        <v>HIGH</v>
      </c>
      <c r="AC56" t="str">
        <f>TEXT(ReconciliationData[[#This Row],[Order_Date]],"YYYY-MM")</f>
        <v>2024-03</v>
      </c>
    </row>
    <row r="57" spans="1:29">
      <c r="A57" t="s">
        <v>347</v>
      </c>
      <c r="B57" s="1">
        <v>45512</v>
      </c>
      <c r="C57" t="s">
        <v>348</v>
      </c>
      <c r="D57" t="s">
        <v>349</v>
      </c>
      <c r="E57">
        <v>175</v>
      </c>
      <c r="F57" t="s">
        <v>350</v>
      </c>
      <c r="G57">
        <v>175</v>
      </c>
      <c r="H57">
        <v>61.845300000000002</v>
      </c>
      <c r="N57">
        <v>61.845300000000002</v>
      </c>
      <c r="O57" s="1">
        <v>45226</v>
      </c>
      <c r="P57">
        <f>IF(ISBLANK(ReconciliationData[[#This Row],[Invoice_ID]]),1,0)</f>
        <v>0</v>
      </c>
      <c r="Q57">
        <f>IF(AND(NOT(ISBLANK(ReconciliationData[[#This Row],[Billed_Units]])),ReconciliationData[[#This Row],[ordered_units]]&lt;&gt;ReconciliationData[[#This Row],[Billed_Units]]),1,0)</f>
        <v>0</v>
      </c>
      <c r="R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">
        <f>IF(AND(NOT(ISBLANK(ReconciliationData[[#This Row],[Contract_Price]])),ReconciliationData[[#This Row],[Billed_Price]]&lt;&gt;ReconciliationData[[#This Row],[Contract_Price]]),1,0)</f>
        <v>0</v>
      </c>
      <c r="T57">
        <f>IF(AND(NOT(ISBLANK(ReconciliationData[[#This Row],[End_Date]])),ReconciliationData[[#This Row],[Order_Date]]&gt;ReconciliationData[[#This Row],[End_Date]]),1,0)</f>
        <v>0</v>
      </c>
      <c r="U57">
        <f>IF(AND(NOT(ISBLANK(ReconciliationData[[#This Row],[last_return_date]])),ReconciliationData[[#This Row],[last_return_date]]&gt;ReconciliationData[[#This Row],[Order_Date]]+60),1,0)</f>
        <v>0</v>
      </c>
      <c r="V57">
        <f>IF(ReconciliationData[[#This Row],[total_returned_units]]&gt;ReconciliationData[[#This Row],[ordered_units]],1,0)</f>
        <v>0</v>
      </c>
      <c r="W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7">
        <f>ReconciliationData[[#This Row],[Billed_Units]]*ReconciliationData[[#This Row],[Billed_Price]]</f>
        <v>10822.9275</v>
      </c>
      <c r="Y57">
        <f>ReconciliationData[[#This Row],[ordered_units]]*ReconciliationData[[#This Row],[List_Price]]</f>
        <v>10822.9275</v>
      </c>
      <c r="Z57">
        <f>ReconciliationData[[#This Row],[billed_revenue]]-ReconciliationData[[#This Row],[expected_revenue]]</f>
        <v>0</v>
      </c>
      <c r="AA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7" t="str">
        <f>IF(ReconciliationData[[#This Row],[severity_score]]=0,"LOW",
 IF(ReconciliationData[[#This Row],[severity_score]]&lt;=5,"MEDIUM","HIGH"))</f>
        <v>LOW</v>
      </c>
      <c r="AC57" t="str">
        <f>TEXT(ReconciliationData[[#This Row],[Order_Date]],"YYYY-MM")</f>
        <v>2024-08</v>
      </c>
    </row>
    <row r="58" spans="1:29">
      <c r="A58" t="s">
        <v>351</v>
      </c>
      <c r="B58" s="1">
        <v>45096</v>
      </c>
      <c r="C58" t="s">
        <v>352</v>
      </c>
      <c r="D58" t="s">
        <v>337</v>
      </c>
      <c r="E58">
        <v>106</v>
      </c>
      <c r="F58" t="s">
        <v>353</v>
      </c>
      <c r="G58">
        <v>106</v>
      </c>
      <c r="H58">
        <v>1040.9412</v>
      </c>
      <c r="N58">
        <v>1040.9412</v>
      </c>
      <c r="O58" s="1">
        <v>44983</v>
      </c>
      <c r="P58">
        <f>IF(ISBLANK(ReconciliationData[[#This Row],[Invoice_ID]]),1,0)</f>
        <v>0</v>
      </c>
      <c r="Q58">
        <f>IF(AND(NOT(ISBLANK(ReconciliationData[[#This Row],[Billed_Units]])),ReconciliationData[[#This Row],[ordered_units]]&lt;&gt;ReconciliationData[[#This Row],[Billed_Units]]),1,0)</f>
        <v>0</v>
      </c>
      <c r="R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">
        <f>IF(AND(NOT(ISBLANK(ReconciliationData[[#This Row],[Contract_Price]])),ReconciliationData[[#This Row],[Billed_Price]]&lt;&gt;ReconciliationData[[#This Row],[Contract_Price]]),1,0)</f>
        <v>0</v>
      </c>
      <c r="T58">
        <f>IF(AND(NOT(ISBLANK(ReconciliationData[[#This Row],[End_Date]])),ReconciliationData[[#This Row],[Order_Date]]&gt;ReconciliationData[[#This Row],[End_Date]]),1,0)</f>
        <v>0</v>
      </c>
      <c r="U58">
        <f>IF(AND(NOT(ISBLANK(ReconciliationData[[#This Row],[last_return_date]])),ReconciliationData[[#This Row],[last_return_date]]&gt;ReconciliationData[[#This Row],[Order_Date]]+60),1,0)</f>
        <v>0</v>
      </c>
      <c r="V58">
        <f>IF(ReconciliationData[[#This Row],[total_returned_units]]&gt;ReconciliationData[[#This Row],[ordered_units]],1,0)</f>
        <v>0</v>
      </c>
      <c r="W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">
        <f>ReconciliationData[[#This Row],[Billed_Units]]*ReconciliationData[[#This Row],[Billed_Price]]</f>
        <v>110339.7672</v>
      </c>
      <c r="Y58">
        <f>ReconciliationData[[#This Row],[ordered_units]]*ReconciliationData[[#This Row],[List_Price]]</f>
        <v>110339.7672</v>
      </c>
      <c r="Z58">
        <f>ReconciliationData[[#This Row],[billed_revenue]]-ReconciliationData[[#This Row],[expected_revenue]]</f>
        <v>0</v>
      </c>
      <c r="AA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" t="str">
        <f>IF(ReconciliationData[[#This Row],[severity_score]]=0,"LOW",
 IF(ReconciliationData[[#This Row],[severity_score]]&lt;=5,"MEDIUM","HIGH"))</f>
        <v>LOW</v>
      </c>
      <c r="AC58" t="str">
        <f>TEXT(ReconciliationData[[#This Row],[Order_Date]],"YYYY-MM")</f>
        <v>2023-06</v>
      </c>
    </row>
    <row r="59" spans="1:29">
      <c r="A59" t="s">
        <v>354</v>
      </c>
      <c r="B59" s="1">
        <v>45516</v>
      </c>
      <c r="C59" t="s">
        <v>355</v>
      </c>
      <c r="D59" t="s">
        <v>356</v>
      </c>
      <c r="E59">
        <v>48</v>
      </c>
      <c r="F59" t="s">
        <v>357</v>
      </c>
      <c r="G59">
        <v>48</v>
      </c>
      <c r="H59">
        <v>393.40140000000002</v>
      </c>
      <c r="N59">
        <v>393.40140000000002</v>
      </c>
      <c r="O59" s="1">
        <v>45146</v>
      </c>
      <c r="P59">
        <f>IF(ISBLANK(ReconciliationData[[#This Row],[Invoice_ID]]),1,0)</f>
        <v>0</v>
      </c>
      <c r="Q59">
        <f>IF(AND(NOT(ISBLANK(ReconciliationData[[#This Row],[Billed_Units]])),ReconciliationData[[#This Row],[ordered_units]]&lt;&gt;ReconciliationData[[#This Row],[Billed_Units]]),1,0)</f>
        <v>0</v>
      </c>
      <c r="R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">
        <f>IF(AND(NOT(ISBLANK(ReconciliationData[[#This Row],[Contract_Price]])),ReconciliationData[[#This Row],[Billed_Price]]&lt;&gt;ReconciliationData[[#This Row],[Contract_Price]]),1,0)</f>
        <v>0</v>
      </c>
      <c r="T59">
        <f>IF(AND(NOT(ISBLANK(ReconciliationData[[#This Row],[End_Date]])),ReconciliationData[[#This Row],[Order_Date]]&gt;ReconciliationData[[#This Row],[End_Date]]),1,0)</f>
        <v>0</v>
      </c>
      <c r="U59">
        <f>IF(AND(NOT(ISBLANK(ReconciliationData[[#This Row],[last_return_date]])),ReconciliationData[[#This Row],[last_return_date]]&gt;ReconciliationData[[#This Row],[Order_Date]]+60),1,0)</f>
        <v>0</v>
      </c>
      <c r="V59">
        <f>IF(ReconciliationData[[#This Row],[total_returned_units]]&gt;ReconciliationData[[#This Row],[ordered_units]],1,0)</f>
        <v>0</v>
      </c>
      <c r="W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">
        <f>ReconciliationData[[#This Row],[Billed_Units]]*ReconciliationData[[#This Row],[Billed_Price]]</f>
        <v>18883.267200000002</v>
      </c>
      <c r="Y59">
        <f>ReconciliationData[[#This Row],[ordered_units]]*ReconciliationData[[#This Row],[List_Price]]</f>
        <v>18883.267200000002</v>
      </c>
      <c r="Z59">
        <f>ReconciliationData[[#This Row],[billed_revenue]]-ReconciliationData[[#This Row],[expected_revenue]]</f>
        <v>0</v>
      </c>
      <c r="AA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" t="str">
        <f>IF(ReconciliationData[[#This Row],[severity_score]]=0,"LOW",
 IF(ReconciliationData[[#This Row],[severity_score]]&lt;=5,"MEDIUM","HIGH"))</f>
        <v>LOW</v>
      </c>
      <c r="AC59" t="str">
        <f>TEXT(ReconciliationData[[#This Row],[Order_Date]],"YYYY-MM")</f>
        <v>2024-08</v>
      </c>
    </row>
    <row r="60" spans="1:29">
      <c r="A60" t="s">
        <v>358</v>
      </c>
      <c r="B60" s="1">
        <v>44952</v>
      </c>
      <c r="C60" t="s">
        <v>359</v>
      </c>
      <c r="D60" t="s">
        <v>360</v>
      </c>
      <c r="E60">
        <v>95</v>
      </c>
      <c r="F60" t="s">
        <v>361</v>
      </c>
      <c r="G60">
        <v>101</v>
      </c>
      <c r="H60">
        <v>456.09</v>
      </c>
      <c r="N60">
        <v>456.09</v>
      </c>
      <c r="O60" s="1">
        <v>44678</v>
      </c>
      <c r="P60">
        <f>IF(ISBLANK(ReconciliationData[[#This Row],[Invoice_ID]]),1,0)</f>
        <v>0</v>
      </c>
      <c r="Q60">
        <f>IF(AND(NOT(ISBLANK(ReconciliationData[[#This Row],[Billed_Units]])),ReconciliationData[[#This Row],[ordered_units]]&lt;&gt;ReconciliationData[[#This Row],[Billed_Units]]),1,0)</f>
        <v>1</v>
      </c>
      <c r="R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0">
        <f>IF(AND(NOT(ISBLANK(ReconciliationData[[#This Row],[Contract_Price]])),ReconciliationData[[#This Row],[Billed_Price]]&lt;&gt;ReconciliationData[[#This Row],[Contract_Price]]),1,0)</f>
        <v>0</v>
      </c>
      <c r="T60">
        <f>IF(AND(NOT(ISBLANK(ReconciliationData[[#This Row],[End_Date]])),ReconciliationData[[#This Row],[Order_Date]]&gt;ReconciliationData[[#This Row],[End_Date]]),1,0)</f>
        <v>0</v>
      </c>
      <c r="U60">
        <f>IF(AND(NOT(ISBLANK(ReconciliationData[[#This Row],[last_return_date]])),ReconciliationData[[#This Row],[last_return_date]]&gt;ReconciliationData[[#This Row],[Order_Date]]+60),1,0)</f>
        <v>0</v>
      </c>
      <c r="V60">
        <f>IF(ReconciliationData[[#This Row],[total_returned_units]]&gt;ReconciliationData[[#This Row],[ordered_units]],1,0)</f>
        <v>0</v>
      </c>
      <c r="W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0">
        <f>ReconciliationData[[#This Row],[Billed_Units]]*ReconciliationData[[#This Row],[Billed_Price]]</f>
        <v>46065.09</v>
      </c>
      <c r="Y60">
        <f>ReconciliationData[[#This Row],[ordered_units]]*ReconciliationData[[#This Row],[List_Price]]</f>
        <v>43328.549999999996</v>
      </c>
      <c r="Z60">
        <f>ReconciliationData[[#This Row],[billed_revenue]]-ReconciliationData[[#This Row],[expected_revenue]]</f>
        <v>2736.5400000000009</v>
      </c>
      <c r="AA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60" t="str">
        <f>IF(ReconciliationData[[#This Row],[severity_score]]=0,"LOW",
 IF(ReconciliationData[[#This Row],[severity_score]]&lt;=5,"MEDIUM","HIGH"))</f>
        <v>HIGH</v>
      </c>
      <c r="AC60" t="str">
        <f>TEXT(ReconciliationData[[#This Row],[Order_Date]],"YYYY-MM")</f>
        <v>2023-01</v>
      </c>
    </row>
    <row r="61" spans="1:29">
      <c r="A61" t="s">
        <v>362</v>
      </c>
      <c r="B61" s="1">
        <v>44934</v>
      </c>
      <c r="C61" t="s">
        <v>359</v>
      </c>
      <c r="D61" t="s">
        <v>223</v>
      </c>
      <c r="E61">
        <v>111</v>
      </c>
      <c r="F61" t="s">
        <v>363</v>
      </c>
      <c r="G61">
        <v>111</v>
      </c>
      <c r="H61">
        <v>524.67999999999995</v>
      </c>
      <c r="I61">
        <v>13</v>
      </c>
      <c r="J61" s="1">
        <v>45617</v>
      </c>
      <c r="N61">
        <v>524.67999999999995</v>
      </c>
      <c r="O61" s="1">
        <v>44615</v>
      </c>
      <c r="P61">
        <f>IF(ISBLANK(ReconciliationData[[#This Row],[Invoice_ID]]),1,0)</f>
        <v>0</v>
      </c>
      <c r="Q61">
        <f>IF(AND(NOT(ISBLANK(ReconciliationData[[#This Row],[Billed_Units]])),ReconciliationData[[#This Row],[ordered_units]]&lt;&gt;ReconciliationData[[#This Row],[Billed_Units]]),1,0)</f>
        <v>0</v>
      </c>
      <c r="R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1">
        <f>IF(AND(NOT(ISBLANK(ReconciliationData[[#This Row],[Contract_Price]])),ReconciliationData[[#This Row],[Billed_Price]]&lt;&gt;ReconciliationData[[#This Row],[Contract_Price]]),1,0)</f>
        <v>0</v>
      </c>
      <c r="T61">
        <f>IF(AND(NOT(ISBLANK(ReconciliationData[[#This Row],[End_Date]])),ReconciliationData[[#This Row],[Order_Date]]&gt;ReconciliationData[[#This Row],[End_Date]]),1,0)</f>
        <v>0</v>
      </c>
      <c r="U61">
        <f>IF(AND(NOT(ISBLANK(ReconciliationData[[#This Row],[last_return_date]])),ReconciliationData[[#This Row],[last_return_date]]&gt;ReconciliationData[[#This Row],[Order_Date]]+60),1,0)</f>
        <v>1</v>
      </c>
      <c r="V61">
        <f>IF(ReconciliationData[[#This Row],[total_returned_units]]&gt;ReconciliationData[[#This Row],[ordered_units]],1,0)</f>
        <v>0</v>
      </c>
      <c r="W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1">
        <f>ReconciliationData[[#This Row],[Billed_Units]]*ReconciliationData[[#This Row],[Billed_Price]]</f>
        <v>58239.479999999996</v>
      </c>
      <c r="Y61">
        <f>ReconciliationData[[#This Row],[ordered_units]]*ReconciliationData[[#This Row],[List_Price]]</f>
        <v>58239.479999999996</v>
      </c>
      <c r="Z61">
        <f>ReconciliationData[[#This Row],[billed_revenue]]-ReconciliationData[[#This Row],[expected_revenue]]</f>
        <v>0</v>
      </c>
      <c r="AA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61" t="str">
        <f>IF(ReconciliationData[[#This Row],[severity_score]]=0,"LOW",
 IF(ReconciliationData[[#This Row],[severity_score]]&lt;=5,"MEDIUM","HIGH"))</f>
        <v>MEDIUM</v>
      </c>
      <c r="AC61" t="str">
        <f>TEXT(ReconciliationData[[#This Row],[Order_Date]],"YYYY-MM")</f>
        <v>2023-01</v>
      </c>
    </row>
    <row r="62" spans="1:29">
      <c r="A62" t="s">
        <v>364</v>
      </c>
      <c r="B62" s="1">
        <v>44949</v>
      </c>
      <c r="C62" t="s">
        <v>365</v>
      </c>
      <c r="D62" t="s">
        <v>366</v>
      </c>
      <c r="E62">
        <v>94</v>
      </c>
      <c r="F62" t="s">
        <v>367</v>
      </c>
      <c r="G62">
        <v>94</v>
      </c>
      <c r="H62">
        <v>525.45000000000005</v>
      </c>
      <c r="N62">
        <v>525.45000000000005</v>
      </c>
      <c r="O62" s="1">
        <v>44623</v>
      </c>
      <c r="P62">
        <f>IF(ISBLANK(ReconciliationData[[#This Row],[Invoice_ID]]),1,0)</f>
        <v>0</v>
      </c>
      <c r="Q62">
        <f>IF(AND(NOT(ISBLANK(ReconciliationData[[#This Row],[Billed_Units]])),ReconciliationData[[#This Row],[ordered_units]]&lt;&gt;ReconciliationData[[#This Row],[Billed_Units]]),1,0)</f>
        <v>0</v>
      </c>
      <c r="R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">
        <f>IF(AND(NOT(ISBLANK(ReconciliationData[[#This Row],[Contract_Price]])),ReconciliationData[[#This Row],[Billed_Price]]&lt;&gt;ReconciliationData[[#This Row],[Contract_Price]]),1,0)</f>
        <v>0</v>
      </c>
      <c r="T62">
        <f>IF(AND(NOT(ISBLANK(ReconciliationData[[#This Row],[End_Date]])),ReconciliationData[[#This Row],[Order_Date]]&gt;ReconciliationData[[#This Row],[End_Date]]),1,0)</f>
        <v>0</v>
      </c>
      <c r="U62">
        <f>IF(AND(NOT(ISBLANK(ReconciliationData[[#This Row],[last_return_date]])),ReconciliationData[[#This Row],[last_return_date]]&gt;ReconciliationData[[#This Row],[Order_Date]]+60),1,0)</f>
        <v>0</v>
      </c>
      <c r="V62">
        <f>IF(ReconciliationData[[#This Row],[total_returned_units]]&gt;ReconciliationData[[#This Row],[ordered_units]],1,0)</f>
        <v>0</v>
      </c>
      <c r="W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">
        <f>ReconciliationData[[#This Row],[Billed_Units]]*ReconciliationData[[#This Row],[Billed_Price]]</f>
        <v>49392.3</v>
      </c>
      <c r="Y62">
        <f>ReconciliationData[[#This Row],[ordered_units]]*ReconciliationData[[#This Row],[List_Price]]</f>
        <v>49392.3</v>
      </c>
      <c r="Z62">
        <f>ReconciliationData[[#This Row],[billed_revenue]]-ReconciliationData[[#This Row],[expected_revenue]]</f>
        <v>0</v>
      </c>
      <c r="AA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" t="str">
        <f>IF(ReconciliationData[[#This Row],[severity_score]]=0,"LOW",
 IF(ReconciliationData[[#This Row],[severity_score]]&lt;=5,"MEDIUM","HIGH"))</f>
        <v>LOW</v>
      </c>
      <c r="AC62" t="str">
        <f>TEXT(ReconciliationData[[#This Row],[Order_Date]],"YYYY-MM")</f>
        <v>2023-01</v>
      </c>
    </row>
    <row r="63" spans="1:29">
      <c r="A63" t="s">
        <v>368</v>
      </c>
      <c r="B63" s="1">
        <v>45000</v>
      </c>
      <c r="C63" t="s">
        <v>369</v>
      </c>
      <c r="D63" t="s">
        <v>370</v>
      </c>
      <c r="E63">
        <v>64</v>
      </c>
      <c r="F63" t="s">
        <v>371</v>
      </c>
      <c r="G63">
        <v>64</v>
      </c>
      <c r="H63">
        <v>639.91840000000002</v>
      </c>
      <c r="N63">
        <v>639.91840000000002</v>
      </c>
      <c r="O63" s="1">
        <v>44930</v>
      </c>
      <c r="P63">
        <f>IF(ISBLANK(ReconciliationData[[#This Row],[Invoice_ID]]),1,0)</f>
        <v>0</v>
      </c>
      <c r="Q63">
        <f>IF(AND(NOT(ISBLANK(ReconciliationData[[#This Row],[Billed_Units]])),ReconciliationData[[#This Row],[ordered_units]]&lt;&gt;ReconciliationData[[#This Row],[Billed_Units]]),1,0)</f>
        <v>0</v>
      </c>
      <c r="R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">
        <f>IF(AND(NOT(ISBLANK(ReconciliationData[[#This Row],[Contract_Price]])),ReconciliationData[[#This Row],[Billed_Price]]&lt;&gt;ReconciliationData[[#This Row],[Contract_Price]]),1,0)</f>
        <v>0</v>
      </c>
      <c r="T63">
        <f>IF(AND(NOT(ISBLANK(ReconciliationData[[#This Row],[End_Date]])),ReconciliationData[[#This Row],[Order_Date]]&gt;ReconciliationData[[#This Row],[End_Date]]),1,0)</f>
        <v>0</v>
      </c>
      <c r="U63">
        <f>IF(AND(NOT(ISBLANK(ReconciliationData[[#This Row],[last_return_date]])),ReconciliationData[[#This Row],[last_return_date]]&gt;ReconciliationData[[#This Row],[Order_Date]]+60),1,0)</f>
        <v>0</v>
      </c>
      <c r="V63">
        <f>IF(ReconciliationData[[#This Row],[total_returned_units]]&gt;ReconciliationData[[#This Row],[ordered_units]],1,0)</f>
        <v>0</v>
      </c>
      <c r="W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">
        <f>ReconciliationData[[#This Row],[Billed_Units]]*ReconciliationData[[#This Row],[Billed_Price]]</f>
        <v>40954.777600000001</v>
      </c>
      <c r="Y63">
        <f>ReconciliationData[[#This Row],[ordered_units]]*ReconciliationData[[#This Row],[List_Price]]</f>
        <v>40954.777600000001</v>
      </c>
      <c r="Z63">
        <f>ReconciliationData[[#This Row],[billed_revenue]]-ReconciliationData[[#This Row],[expected_revenue]]</f>
        <v>0</v>
      </c>
      <c r="AA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" t="str">
        <f>IF(ReconciliationData[[#This Row],[severity_score]]=0,"LOW",
 IF(ReconciliationData[[#This Row],[severity_score]]&lt;=5,"MEDIUM","HIGH"))</f>
        <v>LOW</v>
      </c>
      <c r="AC63" t="str">
        <f>TEXT(ReconciliationData[[#This Row],[Order_Date]],"YYYY-MM")</f>
        <v>2023-03</v>
      </c>
    </row>
    <row r="64" spans="1:29">
      <c r="A64" t="s">
        <v>372</v>
      </c>
      <c r="B64" s="1">
        <v>45212</v>
      </c>
      <c r="C64" t="s">
        <v>373</v>
      </c>
      <c r="D64" t="s">
        <v>374</v>
      </c>
      <c r="E64">
        <v>33</v>
      </c>
      <c r="F64" t="s">
        <v>375</v>
      </c>
      <c r="G64">
        <v>33</v>
      </c>
      <c r="H64">
        <v>517.39100000000008</v>
      </c>
      <c r="N64">
        <v>517.39100000000008</v>
      </c>
      <c r="O64" s="1">
        <v>45045</v>
      </c>
      <c r="P64">
        <f>IF(ISBLANK(ReconciliationData[[#This Row],[Invoice_ID]]),1,0)</f>
        <v>0</v>
      </c>
      <c r="Q64">
        <f>IF(AND(NOT(ISBLANK(ReconciliationData[[#This Row],[Billed_Units]])),ReconciliationData[[#This Row],[ordered_units]]&lt;&gt;ReconciliationData[[#This Row],[Billed_Units]]),1,0)</f>
        <v>0</v>
      </c>
      <c r="R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">
        <f>IF(AND(NOT(ISBLANK(ReconciliationData[[#This Row],[Contract_Price]])),ReconciliationData[[#This Row],[Billed_Price]]&lt;&gt;ReconciliationData[[#This Row],[Contract_Price]]),1,0)</f>
        <v>0</v>
      </c>
      <c r="T64">
        <f>IF(AND(NOT(ISBLANK(ReconciliationData[[#This Row],[End_Date]])),ReconciliationData[[#This Row],[Order_Date]]&gt;ReconciliationData[[#This Row],[End_Date]]),1,0)</f>
        <v>0</v>
      </c>
      <c r="U64">
        <f>IF(AND(NOT(ISBLANK(ReconciliationData[[#This Row],[last_return_date]])),ReconciliationData[[#This Row],[last_return_date]]&gt;ReconciliationData[[#This Row],[Order_Date]]+60),1,0)</f>
        <v>0</v>
      </c>
      <c r="V64">
        <f>IF(ReconciliationData[[#This Row],[total_returned_units]]&gt;ReconciliationData[[#This Row],[ordered_units]],1,0)</f>
        <v>0</v>
      </c>
      <c r="W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">
        <f>ReconciliationData[[#This Row],[Billed_Units]]*ReconciliationData[[#This Row],[Billed_Price]]</f>
        <v>17073.903000000002</v>
      </c>
      <c r="Y64">
        <f>ReconciliationData[[#This Row],[ordered_units]]*ReconciliationData[[#This Row],[List_Price]]</f>
        <v>17073.903000000002</v>
      </c>
      <c r="Z64">
        <f>ReconciliationData[[#This Row],[billed_revenue]]-ReconciliationData[[#This Row],[expected_revenue]]</f>
        <v>0</v>
      </c>
      <c r="AA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" t="str">
        <f>IF(ReconciliationData[[#This Row],[severity_score]]=0,"LOW",
 IF(ReconciliationData[[#This Row],[severity_score]]&lt;=5,"MEDIUM","HIGH"))</f>
        <v>LOW</v>
      </c>
      <c r="AC64" t="str">
        <f>TEXT(ReconciliationData[[#This Row],[Order_Date]],"YYYY-MM")</f>
        <v>2023-10</v>
      </c>
    </row>
    <row r="65" spans="1:29">
      <c r="A65" t="s">
        <v>376</v>
      </c>
      <c r="B65" s="1">
        <v>45214</v>
      </c>
      <c r="C65" t="s">
        <v>377</v>
      </c>
      <c r="D65" t="s">
        <v>378</v>
      </c>
      <c r="E65">
        <v>111</v>
      </c>
      <c r="F65" t="s">
        <v>379</v>
      </c>
      <c r="G65">
        <v>111</v>
      </c>
      <c r="H65">
        <v>601.32929999999999</v>
      </c>
      <c r="N65">
        <v>601.32929999999999</v>
      </c>
      <c r="O65" s="1">
        <v>44962</v>
      </c>
      <c r="P65">
        <f>IF(ISBLANK(ReconciliationData[[#This Row],[Invoice_ID]]),1,0)</f>
        <v>0</v>
      </c>
      <c r="Q65">
        <f>IF(AND(NOT(ISBLANK(ReconciliationData[[#This Row],[Billed_Units]])),ReconciliationData[[#This Row],[ordered_units]]&lt;&gt;ReconciliationData[[#This Row],[Billed_Units]]),1,0)</f>
        <v>0</v>
      </c>
      <c r="R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">
        <f>IF(AND(NOT(ISBLANK(ReconciliationData[[#This Row],[Contract_Price]])),ReconciliationData[[#This Row],[Billed_Price]]&lt;&gt;ReconciliationData[[#This Row],[Contract_Price]]),1,0)</f>
        <v>0</v>
      </c>
      <c r="T65">
        <f>IF(AND(NOT(ISBLANK(ReconciliationData[[#This Row],[End_Date]])),ReconciliationData[[#This Row],[Order_Date]]&gt;ReconciliationData[[#This Row],[End_Date]]),1,0)</f>
        <v>0</v>
      </c>
      <c r="U65">
        <f>IF(AND(NOT(ISBLANK(ReconciliationData[[#This Row],[last_return_date]])),ReconciliationData[[#This Row],[last_return_date]]&gt;ReconciliationData[[#This Row],[Order_Date]]+60),1,0)</f>
        <v>0</v>
      </c>
      <c r="V65">
        <f>IF(ReconciliationData[[#This Row],[total_returned_units]]&gt;ReconciliationData[[#This Row],[ordered_units]],1,0)</f>
        <v>0</v>
      </c>
      <c r="W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">
        <f>ReconciliationData[[#This Row],[Billed_Units]]*ReconciliationData[[#This Row],[Billed_Price]]</f>
        <v>66747.552299999996</v>
      </c>
      <c r="Y65">
        <f>ReconciliationData[[#This Row],[ordered_units]]*ReconciliationData[[#This Row],[List_Price]]</f>
        <v>66747.552299999996</v>
      </c>
      <c r="Z65">
        <f>ReconciliationData[[#This Row],[billed_revenue]]-ReconciliationData[[#This Row],[expected_revenue]]</f>
        <v>0</v>
      </c>
      <c r="AA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" t="str">
        <f>IF(ReconciliationData[[#This Row],[severity_score]]=0,"LOW",
 IF(ReconciliationData[[#This Row],[severity_score]]&lt;=5,"MEDIUM","HIGH"))</f>
        <v>LOW</v>
      </c>
      <c r="AC65" t="str">
        <f>TEXT(ReconciliationData[[#This Row],[Order_Date]],"YYYY-MM")</f>
        <v>2023-10</v>
      </c>
    </row>
    <row r="66" spans="1:29">
      <c r="A66" t="s">
        <v>380</v>
      </c>
      <c r="B66" s="1">
        <v>45090</v>
      </c>
      <c r="C66" t="s">
        <v>173</v>
      </c>
      <c r="D66" t="s">
        <v>381</v>
      </c>
      <c r="E66">
        <v>193</v>
      </c>
      <c r="F66" t="s">
        <v>382</v>
      </c>
      <c r="G66">
        <v>193</v>
      </c>
      <c r="H66">
        <v>942.54840000000013</v>
      </c>
      <c r="N66">
        <v>942.54840000000013</v>
      </c>
      <c r="O66" s="1">
        <v>45086</v>
      </c>
      <c r="P66">
        <f>IF(ISBLANK(ReconciliationData[[#This Row],[Invoice_ID]]),1,0)</f>
        <v>0</v>
      </c>
      <c r="Q66">
        <f>IF(AND(NOT(ISBLANK(ReconciliationData[[#This Row],[Billed_Units]])),ReconciliationData[[#This Row],[ordered_units]]&lt;&gt;ReconciliationData[[#This Row],[Billed_Units]]),1,0)</f>
        <v>0</v>
      </c>
      <c r="R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6">
        <f>IF(AND(NOT(ISBLANK(ReconciliationData[[#This Row],[Contract_Price]])),ReconciliationData[[#This Row],[Billed_Price]]&lt;&gt;ReconciliationData[[#This Row],[Contract_Price]]),1,0)</f>
        <v>0</v>
      </c>
      <c r="T66">
        <f>IF(AND(NOT(ISBLANK(ReconciliationData[[#This Row],[End_Date]])),ReconciliationData[[#This Row],[Order_Date]]&gt;ReconciliationData[[#This Row],[End_Date]]),1,0)</f>
        <v>0</v>
      </c>
      <c r="U66">
        <f>IF(AND(NOT(ISBLANK(ReconciliationData[[#This Row],[last_return_date]])),ReconciliationData[[#This Row],[last_return_date]]&gt;ReconciliationData[[#This Row],[Order_Date]]+60),1,0)</f>
        <v>0</v>
      </c>
      <c r="V66">
        <f>IF(ReconciliationData[[#This Row],[total_returned_units]]&gt;ReconciliationData[[#This Row],[ordered_units]],1,0)</f>
        <v>0</v>
      </c>
      <c r="W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6">
        <f>ReconciliationData[[#This Row],[Billed_Units]]*ReconciliationData[[#This Row],[Billed_Price]]</f>
        <v>181911.84120000002</v>
      </c>
      <c r="Y66">
        <f>ReconciliationData[[#This Row],[ordered_units]]*ReconciliationData[[#This Row],[List_Price]]</f>
        <v>181911.84120000002</v>
      </c>
      <c r="Z66">
        <f>ReconciliationData[[#This Row],[billed_revenue]]-ReconciliationData[[#This Row],[expected_revenue]]</f>
        <v>0</v>
      </c>
      <c r="AA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6" t="str">
        <f>IF(ReconciliationData[[#This Row],[severity_score]]=0,"LOW",
 IF(ReconciliationData[[#This Row],[severity_score]]&lt;=5,"MEDIUM","HIGH"))</f>
        <v>LOW</v>
      </c>
      <c r="AC66" t="str">
        <f>TEXT(ReconciliationData[[#This Row],[Order_Date]],"YYYY-MM")</f>
        <v>2023-06</v>
      </c>
    </row>
    <row r="67" spans="1:29">
      <c r="A67" t="s">
        <v>383</v>
      </c>
      <c r="B67" s="1">
        <v>45040</v>
      </c>
      <c r="C67" t="s">
        <v>384</v>
      </c>
      <c r="D67" t="s">
        <v>385</v>
      </c>
      <c r="E67">
        <v>89</v>
      </c>
      <c r="F67" t="s">
        <v>386</v>
      </c>
      <c r="G67">
        <v>89</v>
      </c>
      <c r="H67">
        <v>1087.8191999999999</v>
      </c>
      <c r="N67">
        <v>1087.8191999999999</v>
      </c>
      <c r="O67" s="1">
        <v>44844</v>
      </c>
      <c r="P67">
        <f>IF(ISBLANK(ReconciliationData[[#This Row],[Invoice_ID]]),1,0)</f>
        <v>0</v>
      </c>
      <c r="Q67">
        <f>IF(AND(NOT(ISBLANK(ReconciliationData[[#This Row],[Billed_Units]])),ReconciliationData[[#This Row],[ordered_units]]&lt;&gt;ReconciliationData[[#This Row],[Billed_Units]]),1,0)</f>
        <v>0</v>
      </c>
      <c r="R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">
        <f>IF(AND(NOT(ISBLANK(ReconciliationData[[#This Row],[Contract_Price]])),ReconciliationData[[#This Row],[Billed_Price]]&lt;&gt;ReconciliationData[[#This Row],[Contract_Price]]),1,0)</f>
        <v>0</v>
      </c>
      <c r="T67">
        <f>IF(AND(NOT(ISBLANK(ReconciliationData[[#This Row],[End_Date]])),ReconciliationData[[#This Row],[Order_Date]]&gt;ReconciliationData[[#This Row],[End_Date]]),1,0)</f>
        <v>0</v>
      </c>
      <c r="U67">
        <f>IF(AND(NOT(ISBLANK(ReconciliationData[[#This Row],[last_return_date]])),ReconciliationData[[#This Row],[last_return_date]]&gt;ReconciliationData[[#This Row],[Order_Date]]+60),1,0)</f>
        <v>0</v>
      </c>
      <c r="V67">
        <f>IF(ReconciliationData[[#This Row],[total_returned_units]]&gt;ReconciliationData[[#This Row],[ordered_units]],1,0)</f>
        <v>0</v>
      </c>
      <c r="W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7">
        <f>ReconciliationData[[#This Row],[Billed_Units]]*ReconciliationData[[#This Row],[Billed_Price]]</f>
        <v>96815.90879999999</v>
      </c>
      <c r="Y67">
        <f>ReconciliationData[[#This Row],[ordered_units]]*ReconciliationData[[#This Row],[List_Price]]</f>
        <v>96815.90879999999</v>
      </c>
      <c r="Z67">
        <f>ReconciliationData[[#This Row],[billed_revenue]]-ReconciliationData[[#This Row],[expected_revenue]]</f>
        <v>0</v>
      </c>
      <c r="AA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7" t="str">
        <f>IF(ReconciliationData[[#This Row],[severity_score]]=0,"LOW",
 IF(ReconciliationData[[#This Row],[severity_score]]&lt;=5,"MEDIUM","HIGH"))</f>
        <v>LOW</v>
      </c>
      <c r="AC67" t="str">
        <f>TEXT(ReconciliationData[[#This Row],[Order_Date]],"YYYY-MM")</f>
        <v>2023-04</v>
      </c>
    </row>
    <row r="68" spans="1:29">
      <c r="A68" t="s">
        <v>387</v>
      </c>
      <c r="B68" s="1">
        <v>45521</v>
      </c>
      <c r="C68" t="s">
        <v>388</v>
      </c>
      <c r="D68" t="s">
        <v>389</v>
      </c>
      <c r="E68">
        <v>174</v>
      </c>
      <c r="F68" t="s">
        <v>390</v>
      </c>
      <c r="G68">
        <v>174</v>
      </c>
      <c r="H68">
        <v>759.48969999999997</v>
      </c>
      <c r="N68">
        <v>759.48969999999997</v>
      </c>
      <c r="O68" s="1">
        <v>45138</v>
      </c>
      <c r="P68">
        <f>IF(ISBLANK(ReconciliationData[[#This Row],[Invoice_ID]]),1,0)</f>
        <v>0</v>
      </c>
      <c r="Q68">
        <f>IF(AND(NOT(ISBLANK(ReconciliationData[[#This Row],[Billed_Units]])),ReconciliationData[[#This Row],[ordered_units]]&lt;&gt;ReconciliationData[[#This Row],[Billed_Units]]),1,0)</f>
        <v>0</v>
      </c>
      <c r="R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">
        <f>IF(AND(NOT(ISBLANK(ReconciliationData[[#This Row],[Contract_Price]])),ReconciliationData[[#This Row],[Billed_Price]]&lt;&gt;ReconciliationData[[#This Row],[Contract_Price]]),1,0)</f>
        <v>0</v>
      </c>
      <c r="T68">
        <f>IF(AND(NOT(ISBLANK(ReconciliationData[[#This Row],[End_Date]])),ReconciliationData[[#This Row],[Order_Date]]&gt;ReconciliationData[[#This Row],[End_Date]]),1,0)</f>
        <v>0</v>
      </c>
      <c r="U68">
        <f>IF(AND(NOT(ISBLANK(ReconciliationData[[#This Row],[last_return_date]])),ReconciliationData[[#This Row],[last_return_date]]&gt;ReconciliationData[[#This Row],[Order_Date]]+60),1,0)</f>
        <v>0</v>
      </c>
      <c r="V68">
        <f>IF(ReconciliationData[[#This Row],[total_returned_units]]&gt;ReconciliationData[[#This Row],[ordered_units]],1,0)</f>
        <v>0</v>
      </c>
      <c r="W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">
        <f>ReconciliationData[[#This Row],[Billed_Units]]*ReconciliationData[[#This Row],[Billed_Price]]</f>
        <v>132151.2078</v>
      </c>
      <c r="Y68">
        <f>ReconciliationData[[#This Row],[ordered_units]]*ReconciliationData[[#This Row],[List_Price]]</f>
        <v>132151.2078</v>
      </c>
      <c r="Z68">
        <f>ReconciliationData[[#This Row],[billed_revenue]]-ReconciliationData[[#This Row],[expected_revenue]]</f>
        <v>0</v>
      </c>
      <c r="AA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" t="str">
        <f>IF(ReconciliationData[[#This Row],[severity_score]]=0,"LOW",
 IF(ReconciliationData[[#This Row],[severity_score]]&lt;=5,"MEDIUM","HIGH"))</f>
        <v>LOW</v>
      </c>
      <c r="AC68" t="str">
        <f>TEXT(ReconciliationData[[#This Row],[Order_Date]],"YYYY-MM")</f>
        <v>2024-08</v>
      </c>
    </row>
    <row r="69" spans="1:29">
      <c r="A69" t="s">
        <v>391</v>
      </c>
      <c r="B69" s="1">
        <v>45236</v>
      </c>
      <c r="C69" t="s">
        <v>392</v>
      </c>
      <c r="D69" t="s">
        <v>393</v>
      </c>
      <c r="E69">
        <v>4</v>
      </c>
      <c r="F69" t="s">
        <v>394</v>
      </c>
      <c r="G69">
        <v>4</v>
      </c>
      <c r="H69">
        <v>1080.0740000000001</v>
      </c>
      <c r="N69">
        <v>1080.0740000000001</v>
      </c>
      <c r="O69" s="1">
        <v>45058</v>
      </c>
      <c r="P69">
        <f>IF(ISBLANK(ReconciliationData[[#This Row],[Invoice_ID]]),1,0)</f>
        <v>0</v>
      </c>
      <c r="Q69">
        <f>IF(AND(NOT(ISBLANK(ReconciliationData[[#This Row],[Billed_Units]])),ReconciliationData[[#This Row],[ordered_units]]&lt;&gt;ReconciliationData[[#This Row],[Billed_Units]]),1,0)</f>
        <v>0</v>
      </c>
      <c r="R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">
        <f>IF(AND(NOT(ISBLANK(ReconciliationData[[#This Row],[Contract_Price]])),ReconciliationData[[#This Row],[Billed_Price]]&lt;&gt;ReconciliationData[[#This Row],[Contract_Price]]),1,0)</f>
        <v>0</v>
      </c>
      <c r="T69">
        <f>IF(AND(NOT(ISBLANK(ReconciliationData[[#This Row],[End_Date]])),ReconciliationData[[#This Row],[Order_Date]]&gt;ReconciliationData[[#This Row],[End_Date]]),1,0)</f>
        <v>0</v>
      </c>
      <c r="U69">
        <f>IF(AND(NOT(ISBLANK(ReconciliationData[[#This Row],[last_return_date]])),ReconciliationData[[#This Row],[last_return_date]]&gt;ReconciliationData[[#This Row],[Order_Date]]+60),1,0)</f>
        <v>0</v>
      </c>
      <c r="V69">
        <f>IF(ReconciliationData[[#This Row],[total_returned_units]]&gt;ReconciliationData[[#This Row],[ordered_units]],1,0)</f>
        <v>0</v>
      </c>
      <c r="W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">
        <f>ReconciliationData[[#This Row],[Billed_Units]]*ReconciliationData[[#This Row],[Billed_Price]]</f>
        <v>4320.2960000000003</v>
      </c>
      <c r="Y69">
        <f>ReconciliationData[[#This Row],[ordered_units]]*ReconciliationData[[#This Row],[List_Price]]</f>
        <v>4320.2960000000003</v>
      </c>
      <c r="Z69">
        <f>ReconciliationData[[#This Row],[billed_revenue]]-ReconciliationData[[#This Row],[expected_revenue]]</f>
        <v>0</v>
      </c>
      <c r="AA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" t="str">
        <f>IF(ReconciliationData[[#This Row],[severity_score]]=0,"LOW",
 IF(ReconciliationData[[#This Row],[severity_score]]&lt;=5,"MEDIUM","HIGH"))</f>
        <v>LOW</v>
      </c>
      <c r="AC69" t="str">
        <f>TEXT(ReconciliationData[[#This Row],[Order_Date]],"YYYY-MM")</f>
        <v>2023-11</v>
      </c>
    </row>
    <row r="70" spans="1:29">
      <c r="A70" t="s">
        <v>395</v>
      </c>
      <c r="B70" s="1">
        <v>45203</v>
      </c>
      <c r="C70" t="s">
        <v>396</v>
      </c>
      <c r="D70" t="s">
        <v>397</v>
      </c>
      <c r="E70">
        <v>71</v>
      </c>
      <c r="F70" t="s">
        <v>398</v>
      </c>
      <c r="G70">
        <v>71</v>
      </c>
      <c r="H70">
        <v>96.6</v>
      </c>
      <c r="N70">
        <v>96.6</v>
      </c>
      <c r="O70" s="1">
        <v>45105</v>
      </c>
      <c r="P70">
        <f>IF(ISBLANK(ReconciliationData[[#This Row],[Invoice_ID]]),1,0)</f>
        <v>0</v>
      </c>
      <c r="Q70">
        <f>IF(AND(NOT(ISBLANK(ReconciliationData[[#This Row],[Billed_Units]])),ReconciliationData[[#This Row],[ordered_units]]&lt;&gt;ReconciliationData[[#This Row],[Billed_Units]]),1,0)</f>
        <v>0</v>
      </c>
      <c r="R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">
        <f>IF(AND(NOT(ISBLANK(ReconciliationData[[#This Row],[Contract_Price]])),ReconciliationData[[#This Row],[Billed_Price]]&lt;&gt;ReconciliationData[[#This Row],[Contract_Price]]),1,0)</f>
        <v>0</v>
      </c>
      <c r="T70">
        <f>IF(AND(NOT(ISBLANK(ReconciliationData[[#This Row],[End_Date]])),ReconciliationData[[#This Row],[Order_Date]]&gt;ReconciliationData[[#This Row],[End_Date]]),1,0)</f>
        <v>0</v>
      </c>
      <c r="U70">
        <f>IF(AND(NOT(ISBLANK(ReconciliationData[[#This Row],[last_return_date]])),ReconciliationData[[#This Row],[last_return_date]]&gt;ReconciliationData[[#This Row],[Order_Date]]+60),1,0)</f>
        <v>0</v>
      </c>
      <c r="V70">
        <f>IF(ReconciliationData[[#This Row],[total_returned_units]]&gt;ReconciliationData[[#This Row],[ordered_units]],1,0)</f>
        <v>0</v>
      </c>
      <c r="W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0">
        <f>ReconciliationData[[#This Row],[Billed_Units]]*ReconciliationData[[#This Row],[Billed_Price]]</f>
        <v>6858.5999999999995</v>
      </c>
      <c r="Y70">
        <f>ReconciliationData[[#This Row],[ordered_units]]*ReconciliationData[[#This Row],[List_Price]]</f>
        <v>6858.5999999999995</v>
      </c>
      <c r="Z70">
        <f>ReconciliationData[[#This Row],[billed_revenue]]-ReconciliationData[[#This Row],[expected_revenue]]</f>
        <v>0</v>
      </c>
      <c r="AA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0" t="str">
        <f>IF(ReconciliationData[[#This Row],[severity_score]]=0,"LOW",
 IF(ReconciliationData[[#This Row],[severity_score]]&lt;=5,"MEDIUM","HIGH"))</f>
        <v>LOW</v>
      </c>
      <c r="AC70" t="str">
        <f>TEXT(ReconciliationData[[#This Row],[Order_Date]],"YYYY-MM")</f>
        <v>2023-10</v>
      </c>
    </row>
    <row r="71" spans="1:29">
      <c r="A71" t="s">
        <v>399</v>
      </c>
      <c r="B71" s="1">
        <v>45075</v>
      </c>
      <c r="C71" t="s">
        <v>400</v>
      </c>
      <c r="D71" t="s">
        <v>186</v>
      </c>
      <c r="E71">
        <v>6</v>
      </c>
      <c r="F71" t="s">
        <v>401</v>
      </c>
      <c r="G71">
        <v>6</v>
      </c>
      <c r="H71">
        <v>248.24449999999999</v>
      </c>
      <c r="N71">
        <v>248.24449999999999</v>
      </c>
      <c r="O71" s="1">
        <v>44933</v>
      </c>
      <c r="P71">
        <f>IF(ISBLANK(ReconciliationData[[#This Row],[Invoice_ID]]),1,0)</f>
        <v>0</v>
      </c>
      <c r="Q71">
        <f>IF(AND(NOT(ISBLANK(ReconciliationData[[#This Row],[Billed_Units]])),ReconciliationData[[#This Row],[ordered_units]]&lt;&gt;ReconciliationData[[#This Row],[Billed_Units]]),1,0)</f>
        <v>0</v>
      </c>
      <c r="R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">
        <f>IF(AND(NOT(ISBLANK(ReconciliationData[[#This Row],[Contract_Price]])),ReconciliationData[[#This Row],[Billed_Price]]&lt;&gt;ReconciliationData[[#This Row],[Contract_Price]]),1,0)</f>
        <v>0</v>
      </c>
      <c r="T71">
        <f>IF(AND(NOT(ISBLANK(ReconciliationData[[#This Row],[End_Date]])),ReconciliationData[[#This Row],[Order_Date]]&gt;ReconciliationData[[#This Row],[End_Date]]),1,0)</f>
        <v>0</v>
      </c>
      <c r="U71">
        <f>IF(AND(NOT(ISBLANK(ReconciliationData[[#This Row],[last_return_date]])),ReconciliationData[[#This Row],[last_return_date]]&gt;ReconciliationData[[#This Row],[Order_Date]]+60),1,0)</f>
        <v>0</v>
      </c>
      <c r="V71">
        <f>IF(ReconciliationData[[#This Row],[total_returned_units]]&gt;ReconciliationData[[#This Row],[ordered_units]],1,0)</f>
        <v>0</v>
      </c>
      <c r="W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">
        <f>ReconciliationData[[#This Row],[Billed_Units]]*ReconciliationData[[#This Row],[Billed_Price]]</f>
        <v>1489.4669999999999</v>
      </c>
      <c r="Y71">
        <f>ReconciliationData[[#This Row],[ordered_units]]*ReconciliationData[[#This Row],[List_Price]]</f>
        <v>1489.4669999999999</v>
      </c>
      <c r="Z71">
        <f>ReconciliationData[[#This Row],[billed_revenue]]-ReconciliationData[[#This Row],[expected_revenue]]</f>
        <v>0</v>
      </c>
      <c r="AA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" t="str">
        <f>IF(ReconciliationData[[#This Row],[severity_score]]=0,"LOW",
 IF(ReconciliationData[[#This Row],[severity_score]]&lt;=5,"MEDIUM","HIGH"))</f>
        <v>LOW</v>
      </c>
      <c r="AC71" t="str">
        <f>TEXT(ReconciliationData[[#This Row],[Order_Date]],"YYYY-MM")</f>
        <v>2023-05</v>
      </c>
    </row>
    <row r="72" spans="1:29">
      <c r="A72" t="s">
        <v>402</v>
      </c>
      <c r="B72" s="1">
        <v>45452</v>
      </c>
      <c r="C72" t="s">
        <v>403</v>
      </c>
      <c r="D72" t="s">
        <v>404</v>
      </c>
      <c r="E72">
        <v>194</v>
      </c>
      <c r="F72" t="s">
        <v>405</v>
      </c>
      <c r="G72">
        <v>194</v>
      </c>
      <c r="H72">
        <v>1129.6166000000001</v>
      </c>
      <c r="N72">
        <v>1129.6166000000001</v>
      </c>
      <c r="O72" s="1">
        <v>44960</v>
      </c>
      <c r="P72">
        <f>IF(ISBLANK(ReconciliationData[[#This Row],[Invoice_ID]]),1,0)</f>
        <v>0</v>
      </c>
      <c r="Q72">
        <f>IF(AND(NOT(ISBLANK(ReconciliationData[[#This Row],[Billed_Units]])),ReconciliationData[[#This Row],[ordered_units]]&lt;&gt;ReconciliationData[[#This Row],[Billed_Units]]),1,0)</f>
        <v>0</v>
      </c>
      <c r="R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">
        <f>IF(AND(NOT(ISBLANK(ReconciliationData[[#This Row],[Contract_Price]])),ReconciliationData[[#This Row],[Billed_Price]]&lt;&gt;ReconciliationData[[#This Row],[Contract_Price]]),1,0)</f>
        <v>0</v>
      </c>
      <c r="T72">
        <f>IF(AND(NOT(ISBLANK(ReconciliationData[[#This Row],[End_Date]])),ReconciliationData[[#This Row],[Order_Date]]&gt;ReconciliationData[[#This Row],[End_Date]]),1,0)</f>
        <v>0</v>
      </c>
      <c r="U72">
        <f>IF(AND(NOT(ISBLANK(ReconciliationData[[#This Row],[last_return_date]])),ReconciliationData[[#This Row],[last_return_date]]&gt;ReconciliationData[[#This Row],[Order_Date]]+60),1,0)</f>
        <v>0</v>
      </c>
      <c r="V72">
        <f>IF(ReconciliationData[[#This Row],[total_returned_units]]&gt;ReconciliationData[[#This Row],[ordered_units]],1,0)</f>
        <v>0</v>
      </c>
      <c r="W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2">
        <f>ReconciliationData[[#This Row],[Billed_Units]]*ReconciliationData[[#This Row],[Billed_Price]]</f>
        <v>219145.62040000001</v>
      </c>
      <c r="Y72">
        <f>ReconciliationData[[#This Row],[ordered_units]]*ReconciliationData[[#This Row],[List_Price]]</f>
        <v>219145.62040000001</v>
      </c>
      <c r="Z72">
        <f>ReconciliationData[[#This Row],[billed_revenue]]-ReconciliationData[[#This Row],[expected_revenue]]</f>
        <v>0</v>
      </c>
      <c r="AA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2" t="str">
        <f>IF(ReconciliationData[[#This Row],[severity_score]]=0,"LOW",
 IF(ReconciliationData[[#This Row],[severity_score]]&lt;=5,"MEDIUM","HIGH"))</f>
        <v>LOW</v>
      </c>
      <c r="AC72" t="str">
        <f>TEXT(ReconciliationData[[#This Row],[Order_Date]],"YYYY-MM")</f>
        <v>2024-06</v>
      </c>
    </row>
    <row r="73" spans="1:29">
      <c r="A73" t="s">
        <v>406</v>
      </c>
      <c r="B73" s="1">
        <v>45487</v>
      </c>
      <c r="C73" t="s">
        <v>407</v>
      </c>
      <c r="D73" t="s">
        <v>408</v>
      </c>
      <c r="E73">
        <v>167</v>
      </c>
      <c r="F73" t="s">
        <v>409</v>
      </c>
      <c r="G73">
        <v>167</v>
      </c>
      <c r="H73">
        <v>660.96040000000005</v>
      </c>
      <c r="N73">
        <v>660.96040000000005</v>
      </c>
      <c r="O73" s="1">
        <v>44947</v>
      </c>
      <c r="P73">
        <f>IF(ISBLANK(ReconciliationData[[#This Row],[Invoice_ID]]),1,0)</f>
        <v>0</v>
      </c>
      <c r="Q73">
        <f>IF(AND(NOT(ISBLANK(ReconciliationData[[#This Row],[Billed_Units]])),ReconciliationData[[#This Row],[ordered_units]]&lt;&gt;ReconciliationData[[#This Row],[Billed_Units]]),1,0)</f>
        <v>0</v>
      </c>
      <c r="R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">
        <f>IF(AND(NOT(ISBLANK(ReconciliationData[[#This Row],[Contract_Price]])),ReconciliationData[[#This Row],[Billed_Price]]&lt;&gt;ReconciliationData[[#This Row],[Contract_Price]]),1,0)</f>
        <v>0</v>
      </c>
      <c r="T73">
        <f>IF(AND(NOT(ISBLANK(ReconciliationData[[#This Row],[End_Date]])),ReconciliationData[[#This Row],[Order_Date]]&gt;ReconciliationData[[#This Row],[End_Date]]),1,0)</f>
        <v>0</v>
      </c>
      <c r="U73">
        <f>IF(AND(NOT(ISBLANK(ReconciliationData[[#This Row],[last_return_date]])),ReconciliationData[[#This Row],[last_return_date]]&gt;ReconciliationData[[#This Row],[Order_Date]]+60),1,0)</f>
        <v>0</v>
      </c>
      <c r="V73">
        <f>IF(ReconciliationData[[#This Row],[total_returned_units]]&gt;ReconciliationData[[#This Row],[ordered_units]],1,0)</f>
        <v>0</v>
      </c>
      <c r="W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">
        <f>ReconciliationData[[#This Row],[Billed_Units]]*ReconciliationData[[#This Row],[Billed_Price]]</f>
        <v>110380.38680000001</v>
      </c>
      <c r="Y73">
        <f>ReconciliationData[[#This Row],[ordered_units]]*ReconciliationData[[#This Row],[List_Price]]</f>
        <v>110380.38680000001</v>
      </c>
      <c r="Z73">
        <f>ReconciliationData[[#This Row],[billed_revenue]]-ReconciliationData[[#This Row],[expected_revenue]]</f>
        <v>0</v>
      </c>
      <c r="AA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" t="str">
        <f>IF(ReconciliationData[[#This Row],[severity_score]]=0,"LOW",
 IF(ReconciliationData[[#This Row],[severity_score]]&lt;=5,"MEDIUM","HIGH"))</f>
        <v>LOW</v>
      </c>
      <c r="AC73" t="str">
        <f>TEXT(ReconciliationData[[#This Row],[Order_Date]],"YYYY-MM")</f>
        <v>2024-07</v>
      </c>
    </row>
    <row r="74" spans="1:29">
      <c r="A74" t="s">
        <v>410</v>
      </c>
      <c r="B74" s="1">
        <v>45377</v>
      </c>
      <c r="C74" t="s">
        <v>411</v>
      </c>
      <c r="D74" t="s">
        <v>412</v>
      </c>
      <c r="E74">
        <v>84</v>
      </c>
      <c r="F74" t="s">
        <v>413</v>
      </c>
      <c r="G74">
        <v>84</v>
      </c>
      <c r="H74">
        <v>1160.5650000000001</v>
      </c>
      <c r="N74">
        <v>1160.5650000000001</v>
      </c>
      <c r="O74" s="1">
        <v>45055</v>
      </c>
      <c r="P74">
        <f>IF(ISBLANK(ReconciliationData[[#This Row],[Invoice_ID]]),1,0)</f>
        <v>0</v>
      </c>
      <c r="Q74">
        <f>IF(AND(NOT(ISBLANK(ReconciliationData[[#This Row],[Billed_Units]])),ReconciliationData[[#This Row],[ordered_units]]&lt;&gt;ReconciliationData[[#This Row],[Billed_Units]]),1,0)</f>
        <v>0</v>
      </c>
      <c r="R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4">
        <f>IF(AND(NOT(ISBLANK(ReconciliationData[[#This Row],[Contract_Price]])),ReconciliationData[[#This Row],[Billed_Price]]&lt;&gt;ReconciliationData[[#This Row],[Contract_Price]]),1,0)</f>
        <v>0</v>
      </c>
      <c r="T74">
        <f>IF(AND(NOT(ISBLANK(ReconciliationData[[#This Row],[End_Date]])),ReconciliationData[[#This Row],[Order_Date]]&gt;ReconciliationData[[#This Row],[End_Date]]),1,0)</f>
        <v>0</v>
      </c>
      <c r="U74">
        <f>IF(AND(NOT(ISBLANK(ReconciliationData[[#This Row],[last_return_date]])),ReconciliationData[[#This Row],[last_return_date]]&gt;ReconciliationData[[#This Row],[Order_Date]]+60),1,0)</f>
        <v>0</v>
      </c>
      <c r="V74">
        <f>IF(ReconciliationData[[#This Row],[total_returned_units]]&gt;ReconciliationData[[#This Row],[ordered_units]],1,0)</f>
        <v>0</v>
      </c>
      <c r="W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4">
        <f>ReconciliationData[[#This Row],[Billed_Units]]*ReconciliationData[[#This Row],[Billed_Price]]</f>
        <v>97487.46</v>
      </c>
      <c r="Y74">
        <f>ReconciliationData[[#This Row],[ordered_units]]*ReconciliationData[[#This Row],[List_Price]]</f>
        <v>97487.46</v>
      </c>
      <c r="Z74">
        <f>ReconciliationData[[#This Row],[billed_revenue]]-ReconciliationData[[#This Row],[expected_revenue]]</f>
        <v>0</v>
      </c>
      <c r="AA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4" t="str">
        <f>IF(ReconciliationData[[#This Row],[severity_score]]=0,"LOW",
 IF(ReconciliationData[[#This Row],[severity_score]]&lt;=5,"MEDIUM","HIGH"))</f>
        <v>LOW</v>
      </c>
      <c r="AC74" t="str">
        <f>TEXT(ReconciliationData[[#This Row],[Order_Date]],"YYYY-MM")</f>
        <v>2024-03</v>
      </c>
    </row>
    <row r="75" spans="1:29">
      <c r="A75" t="s">
        <v>414</v>
      </c>
      <c r="B75" s="1">
        <v>45535</v>
      </c>
      <c r="C75" t="s">
        <v>415</v>
      </c>
      <c r="D75" t="s">
        <v>231</v>
      </c>
      <c r="E75">
        <v>75</v>
      </c>
      <c r="F75" t="s">
        <v>416</v>
      </c>
      <c r="G75">
        <v>75</v>
      </c>
      <c r="H75">
        <v>77.398200000000003</v>
      </c>
      <c r="N75">
        <v>77.398200000000003</v>
      </c>
      <c r="O75" s="1">
        <v>45032</v>
      </c>
      <c r="P75">
        <f>IF(ISBLANK(ReconciliationData[[#This Row],[Invoice_ID]]),1,0)</f>
        <v>0</v>
      </c>
      <c r="Q75">
        <f>IF(AND(NOT(ISBLANK(ReconciliationData[[#This Row],[Billed_Units]])),ReconciliationData[[#This Row],[ordered_units]]&lt;&gt;ReconciliationData[[#This Row],[Billed_Units]]),1,0)</f>
        <v>0</v>
      </c>
      <c r="R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">
        <f>IF(AND(NOT(ISBLANK(ReconciliationData[[#This Row],[Contract_Price]])),ReconciliationData[[#This Row],[Billed_Price]]&lt;&gt;ReconciliationData[[#This Row],[Contract_Price]]),1,0)</f>
        <v>0</v>
      </c>
      <c r="T75">
        <f>IF(AND(NOT(ISBLANK(ReconciliationData[[#This Row],[End_Date]])),ReconciliationData[[#This Row],[Order_Date]]&gt;ReconciliationData[[#This Row],[End_Date]]),1,0)</f>
        <v>0</v>
      </c>
      <c r="U75">
        <f>IF(AND(NOT(ISBLANK(ReconciliationData[[#This Row],[last_return_date]])),ReconciliationData[[#This Row],[last_return_date]]&gt;ReconciliationData[[#This Row],[Order_Date]]+60),1,0)</f>
        <v>0</v>
      </c>
      <c r="V75">
        <f>IF(ReconciliationData[[#This Row],[total_returned_units]]&gt;ReconciliationData[[#This Row],[ordered_units]],1,0)</f>
        <v>0</v>
      </c>
      <c r="W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5">
        <f>ReconciliationData[[#This Row],[Billed_Units]]*ReconciliationData[[#This Row],[Billed_Price]]</f>
        <v>5804.8649999999998</v>
      </c>
      <c r="Y75">
        <f>ReconciliationData[[#This Row],[ordered_units]]*ReconciliationData[[#This Row],[List_Price]]</f>
        <v>5804.8649999999998</v>
      </c>
      <c r="Z75">
        <f>ReconciliationData[[#This Row],[billed_revenue]]-ReconciliationData[[#This Row],[expected_revenue]]</f>
        <v>0</v>
      </c>
      <c r="AA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5" t="str">
        <f>IF(ReconciliationData[[#This Row],[severity_score]]=0,"LOW",
 IF(ReconciliationData[[#This Row],[severity_score]]&lt;=5,"MEDIUM","HIGH"))</f>
        <v>LOW</v>
      </c>
      <c r="AC75" t="str">
        <f>TEXT(ReconciliationData[[#This Row],[Order_Date]],"YYYY-MM")</f>
        <v>2024-08</v>
      </c>
    </row>
    <row r="76" spans="1:29">
      <c r="A76" t="s">
        <v>417</v>
      </c>
      <c r="B76" s="1">
        <v>44950</v>
      </c>
      <c r="C76" t="s">
        <v>418</v>
      </c>
      <c r="D76" t="s">
        <v>419</v>
      </c>
      <c r="E76">
        <v>96</v>
      </c>
      <c r="F76" t="s">
        <v>420</v>
      </c>
      <c r="G76">
        <v>96</v>
      </c>
      <c r="H76">
        <v>977.87</v>
      </c>
      <c r="N76">
        <v>977.87</v>
      </c>
      <c r="O76" s="1">
        <v>44668</v>
      </c>
      <c r="P76">
        <f>IF(ISBLANK(ReconciliationData[[#This Row],[Invoice_ID]]),1,0)</f>
        <v>0</v>
      </c>
      <c r="Q76">
        <f>IF(AND(NOT(ISBLANK(ReconciliationData[[#This Row],[Billed_Units]])),ReconciliationData[[#This Row],[ordered_units]]&lt;&gt;ReconciliationData[[#This Row],[Billed_Units]]),1,0)</f>
        <v>0</v>
      </c>
      <c r="R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">
        <f>IF(AND(NOT(ISBLANK(ReconciliationData[[#This Row],[Contract_Price]])),ReconciliationData[[#This Row],[Billed_Price]]&lt;&gt;ReconciliationData[[#This Row],[Contract_Price]]),1,0)</f>
        <v>0</v>
      </c>
      <c r="T76">
        <f>IF(AND(NOT(ISBLANK(ReconciliationData[[#This Row],[End_Date]])),ReconciliationData[[#This Row],[Order_Date]]&gt;ReconciliationData[[#This Row],[End_Date]]),1,0)</f>
        <v>0</v>
      </c>
      <c r="U76">
        <f>IF(AND(NOT(ISBLANK(ReconciliationData[[#This Row],[last_return_date]])),ReconciliationData[[#This Row],[last_return_date]]&gt;ReconciliationData[[#This Row],[Order_Date]]+60),1,0)</f>
        <v>0</v>
      </c>
      <c r="V76">
        <f>IF(ReconciliationData[[#This Row],[total_returned_units]]&gt;ReconciliationData[[#This Row],[ordered_units]],1,0)</f>
        <v>0</v>
      </c>
      <c r="W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">
        <f>ReconciliationData[[#This Row],[Billed_Units]]*ReconciliationData[[#This Row],[Billed_Price]]</f>
        <v>93875.520000000004</v>
      </c>
      <c r="Y76">
        <f>ReconciliationData[[#This Row],[ordered_units]]*ReconciliationData[[#This Row],[List_Price]]</f>
        <v>93875.520000000004</v>
      </c>
      <c r="Z76">
        <f>ReconciliationData[[#This Row],[billed_revenue]]-ReconciliationData[[#This Row],[expected_revenue]]</f>
        <v>0</v>
      </c>
      <c r="AA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" t="str">
        <f>IF(ReconciliationData[[#This Row],[severity_score]]=0,"LOW",
 IF(ReconciliationData[[#This Row],[severity_score]]&lt;=5,"MEDIUM","HIGH"))</f>
        <v>LOW</v>
      </c>
      <c r="AC76" t="str">
        <f>TEXT(ReconciliationData[[#This Row],[Order_Date]],"YYYY-MM")</f>
        <v>2023-01</v>
      </c>
    </row>
    <row r="77" spans="1:29">
      <c r="A77" t="s">
        <v>421</v>
      </c>
      <c r="B77" s="1">
        <v>45654</v>
      </c>
      <c r="C77" t="s">
        <v>422</v>
      </c>
      <c r="D77" t="s">
        <v>423</v>
      </c>
      <c r="E77">
        <v>13</v>
      </c>
      <c r="F77" t="s">
        <v>424</v>
      </c>
      <c r="G77">
        <v>13</v>
      </c>
      <c r="H77">
        <v>168.12909999999999</v>
      </c>
      <c r="N77">
        <v>168.12909999999999</v>
      </c>
      <c r="O77" s="1">
        <v>45013</v>
      </c>
      <c r="P77">
        <f>IF(ISBLANK(ReconciliationData[[#This Row],[Invoice_ID]]),1,0)</f>
        <v>0</v>
      </c>
      <c r="Q77">
        <f>IF(AND(NOT(ISBLANK(ReconciliationData[[#This Row],[Billed_Units]])),ReconciliationData[[#This Row],[ordered_units]]&lt;&gt;ReconciliationData[[#This Row],[Billed_Units]]),1,0)</f>
        <v>0</v>
      </c>
      <c r="R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7">
        <f>IF(AND(NOT(ISBLANK(ReconciliationData[[#This Row],[Contract_Price]])),ReconciliationData[[#This Row],[Billed_Price]]&lt;&gt;ReconciliationData[[#This Row],[Contract_Price]]),1,0)</f>
        <v>0</v>
      </c>
      <c r="T77">
        <f>IF(AND(NOT(ISBLANK(ReconciliationData[[#This Row],[End_Date]])),ReconciliationData[[#This Row],[Order_Date]]&gt;ReconciliationData[[#This Row],[End_Date]]),1,0)</f>
        <v>0</v>
      </c>
      <c r="U77">
        <f>IF(AND(NOT(ISBLANK(ReconciliationData[[#This Row],[last_return_date]])),ReconciliationData[[#This Row],[last_return_date]]&gt;ReconciliationData[[#This Row],[Order_Date]]+60),1,0)</f>
        <v>0</v>
      </c>
      <c r="V77">
        <f>IF(ReconciliationData[[#This Row],[total_returned_units]]&gt;ReconciliationData[[#This Row],[ordered_units]],1,0)</f>
        <v>0</v>
      </c>
      <c r="W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7">
        <f>ReconciliationData[[#This Row],[Billed_Units]]*ReconciliationData[[#This Row],[Billed_Price]]</f>
        <v>2185.6783</v>
      </c>
      <c r="Y77">
        <f>ReconciliationData[[#This Row],[ordered_units]]*ReconciliationData[[#This Row],[List_Price]]</f>
        <v>2185.6783</v>
      </c>
      <c r="Z77">
        <f>ReconciliationData[[#This Row],[billed_revenue]]-ReconciliationData[[#This Row],[expected_revenue]]</f>
        <v>0</v>
      </c>
      <c r="AA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7" t="str">
        <f>IF(ReconciliationData[[#This Row],[severity_score]]=0,"LOW",
 IF(ReconciliationData[[#This Row],[severity_score]]&lt;=5,"MEDIUM","HIGH"))</f>
        <v>LOW</v>
      </c>
      <c r="AC77" t="str">
        <f>TEXT(ReconciliationData[[#This Row],[Order_Date]],"YYYY-MM")</f>
        <v>2024-12</v>
      </c>
    </row>
    <row r="78" spans="1:29">
      <c r="A78" t="s">
        <v>425</v>
      </c>
      <c r="B78" s="1">
        <v>45630</v>
      </c>
      <c r="C78" t="s">
        <v>426</v>
      </c>
      <c r="D78" t="s">
        <v>275</v>
      </c>
      <c r="E78">
        <v>26</v>
      </c>
      <c r="F78" t="s">
        <v>427</v>
      </c>
      <c r="G78">
        <v>26</v>
      </c>
      <c r="H78">
        <v>397.19560000000001</v>
      </c>
      <c r="N78">
        <v>397.19560000000001</v>
      </c>
      <c r="O78" s="1">
        <v>44932</v>
      </c>
      <c r="P78">
        <f>IF(ISBLANK(ReconciliationData[[#This Row],[Invoice_ID]]),1,0)</f>
        <v>0</v>
      </c>
      <c r="Q78">
        <f>IF(AND(NOT(ISBLANK(ReconciliationData[[#This Row],[Billed_Units]])),ReconciliationData[[#This Row],[ordered_units]]&lt;&gt;ReconciliationData[[#This Row],[Billed_Units]]),1,0)</f>
        <v>0</v>
      </c>
      <c r="R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">
        <f>IF(AND(NOT(ISBLANK(ReconciliationData[[#This Row],[Contract_Price]])),ReconciliationData[[#This Row],[Billed_Price]]&lt;&gt;ReconciliationData[[#This Row],[Contract_Price]]),1,0)</f>
        <v>0</v>
      </c>
      <c r="T78">
        <f>IF(AND(NOT(ISBLANK(ReconciliationData[[#This Row],[End_Date]])),ReconciliationData[[#This Row],[Order_Date]]&gt;ReconciliationData[[#This Row],[End_Date]]),1,0)</f>
        <v>0</v>
      </c>
      <c r="U78">
        <f>IF(AND(NOT(ISBLANK(ReconciliationData[[#This Row],[last_return_date]])),ReconciliationData[[#This Row],[last_return_date]]&gt;ReconciliationData[[#This Row],[Order_Date]]+60),1,0)</f>
        <v>0</v>
      </c>
      <c r="V78">
        <f>IF(ReconciliationData[[#This Row],[total_returned_units]]&gt;ReconciliationData[[#This Row],[ordered_units]],1,0)</f>
        <v>0</v>
      </c>
      <c r="W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">
        <f>ReconciliationData[[#This Row],[Billed_Units]]*ReconciliationData[[#This Row],[Billed_Price]]</f>
        <v>10327.0856</v>
      </c>
      <c r="Y78">
        <f>ReconciliationData[[#This Row],[ordered_units]]*ReconciliationData[[#This Row],[List_Price]]</f>
        <v>10327.0856</v>
      </c>
      <c r="Z78">
        <f>ReconciliationData[[#This Row],[billed_revenue]]-ReconciliationData[[#This Row],[expected_revenue]]</f>
        <v>0</v>
      </c>
      <c r="AA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" t="str">
        <f>IF(ReconciliationData[[#This Row],[severity_score]]=0,"LOW",
 IF(ReconciliationData[[#This Row],[severity_score]]&lt;=5,"MEDIUM","HIGH"))</f>
        <v>LOW</v>
      </c>
      <c r="AC78" t="str">
        <f>TEXT(ReconciliationData[[#This Row],[Order_Date]],"YYYY-MM")</f>
        <v>2024-12</v>
      </c>
    </row>
    <row r="79" spans="1:29">
      <c r="A79" t="s">
        <v>428</v>
      </c>
      <c r="B79" s="1">
        <v>44928</v>
      </c>
      <c r="C79" t="s">
        <v>429</v>
      </c>
      <c r="D79" t="s">
        <v>430</v>
      </c>
      <c r="E79">
        <v>139</v>
      </c>
      <c r="F79" t="s">
        <v>431</v>
      </c>
      <c r="G79">
        <v>139</v>
      </c>
      <c r="H79">
        <v>904.00099999999998</v>
      </c>
      <c r="N79">
        <v>904.00099999999998</v>
      </c>
      <c r="O79" s="1">
        <v>44831</v>
      </c>
      <c r="P79">
        <f>IF(ISBLANK(ReconciliationData[[#This Row],[Invoice_ID]]),1,0)</f>
        <v>0</v>
      </c>
      <c r="Q79">
        <f>IF(AND(NOT(ISBLANK(ReconciliationData[[#This Row],[Billed_Units]])),ReconciliationData[[#This Row],[ordered_units]]&lt;&gt;ReconciliationData[[#This Row],[Billed_Units]]),1,0)</f>
        <v>0</v>
      </c>
      <c r="R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">
        <f>IF(AND(NOT(ISBLANK(ReconciliationData[[#This Row],[Contract_Price]])),ReconciliationData[[#This Row],[Billed_Price]]&lt;&gt;ReconciliationData[[#This Row],[Contract_Price]]),1,0)</f>
        <v>0</v>
      </c>
      <c r="T79">
        <f>IF(AND(NOT(ISBLANK(ReconciliationData[[#This Row],[End_Date]])),ReconciliationData[[#This Row],[Order_Date]]&gt;ReconciliationData[[#This Row],[End_Date]]),1,0)</f>
        <v>0</v>
      </c>
      <c r="U79">
        <f>IF(AND(NOT(ISBLANK(ReconciliationData[[#This Row],[last_return_date]])),ReconciliationData[[#This Row],[last_return_date]]&gt;ReconciliationData[[#This Row],[Order_Date]]+60),1,0)</f>
        <v>0</v>
      </c>
      <c r="V79">
        <f>IF(ReconciliationData[[#This Row],[total_returned_units]]&gt;ReconciliationData[[#This Row],[ordered_units]],1,0)</f>
        <v>0</v>
      </c>
      <c r="W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9">
        <f>ReconciliationData[[#This Row],[Billed_Units]]*ReconciliationData[[#This Row],[Billed_Price]]</f>
        <v>125656.139</v>
      </c>
      <c r="Y79">
        <f>ReconciliationData[[#This Row],[ordered_units]]*ReconciliationData[[#This Row],[List_Price]]</f>
        <v>125656.139</v>
      </c>
      <c r="Z79">
        <f>ReconciliationData[[#This Row],[billed_revenue]]-ReconciliationData[[#This Row],[expected_revenue]]</f>
        <v>0</v>
      </c>
      <c r="AA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9" t="str">
        <f>IF(ReconciliationData[[#This Row],[severity_score]]=0,"LOW",
 IF(ReconciliationData[[#This Row],[severity_score]]&lt;=5,"MEDIUM","HIGH"))</f>
        <v>LOW</v>
      </c>
      <c r="AC79" t="str">
        <f>TEXT(ReconciliationData[[#This Row],[Order_Date]],"YYYY-MM")</f>
        <v>2023-01</v>
      </c>
    </row>
    <row r="80" spans="1:29">
      <c r="A80" t="s">
        <v>432</v>
      </c>
      <c r="B80" s="1">
        <v>45006</v>
      </c>
      <c r="C80" t="s">
        <v>433</v>
      </c>
      <c r="D80" t="s">
        <v>434</v>
      </c>
      <c r="E80">
        <v>55</v>
      </c>
      <c r="F80" t="s">
        <v>435</v>
      </c>
      <c r="G80">
        <v>55</v>
      </c>
      <c r="H80">
        <v>72.858600000000024</v>
      </c>
      <c r="N80">
        <v>72.858600000000024</v>
      </c>
      <c r="O80" s="1">
        <v>44882</v>
      </c>
      <c r="P80">
        <f>IF(ISBLANK(ReconciliationData[[#This Row],[Invoice_ID]]),1,0)</f>
        <v>0</v>
      </c>
      <c r="Q80">
        <f>IF(AND(NOT(ISBLANK(ReconciliationData[[#This Row],[Billed_Units]])),ReconciliationData[[#This Row],[ordered_units]]&lt;&gt;ReconciliationData[[#This Row],[Billed_Units]]),1,0)</f>
        <v>0</v>
      </c>
      <c r="R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">
        <f>IF(AND(NOT(ISBLANK(ReconciliationData[[#This Row],[Contract_Price]])),ReconciliationData[[#This Row],[Billed_Price]]&lt;&gt;ReconciliationData[[#This Row],[Contract_Price]]),1,0)</f>
        <v>0</v>
      </c>
      <c r="T80">
        <f>IF(AND(NOT(ISBLANK(ReconciliationData[[#This Row],[End_Date]])),ReconciliationData[[#This Row],[Order_Date]]&gt;ReconciliationData[[#This Row],[End_Date]]),1,0)</f>
        <v>0</v>
      </c>
      <c r="U80">
        <f>IF(AND(NOT(ISBLANK(ReconciliationData[[#This Row],[last_return_date]])),ReconciliationData[[#This Row],[last_return_date]]&gt;ReconciliationData[[#This Row],[Order_Date]]+60),1,0)</f>
        <v>0</v>
      </c>
      <c r="V80">
        <f>IF(ReconciliationData[[#This Row],[total_returned_units]]&gt;ReconciliationData[[#This Row],[ordered_units]],1,0)</f>
        <v>0</v>
      </c>
      <c r="W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0">
        <f>ReconciliationData[[#This Row],[Billed_Units]]*ReconciliationData[[#This Row],[Billed_Price]]</f>
        <v>4007.2230000000013</v>
      </c>
      <c r="Y80">
        <f>ReconciliationData[[#This Row],[ordered_units]]*ReconciliationData[[#This Row],[List_Price]]</f>
        <v>4007.2230000000013</v>
      </c>
      <c r="Z80">
        <f>ReconciliationData[[#This Row],[billed_revenue]]-ReconciliationData[[#This Row],[expected_revenue]]</f>
        <v>0</v>
      </c>
      <c r="AA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0" t="str">
        <f>IF(ReconciliationData[[#This Row],[severity_score]]=0,"LOW",
 IF(ReconciliationData[[#This Row],[severity_score]]&lt;=5,"MEDIUM","HIGH"))</f>
        <v>LOW</v>
      </c>
      <c r="AC80" t="str">
        <f>TEXT(ReconciliationData[[#This Row],[Order_Date]],"YYYY-MM")</f>
        <v>2023-03</v>
      </c>
    </row>
    <row r="81" spans="1:29">
      <c r="A81" t="s">
        <v>436</v>
      </c>
      <c r="B81" s="1">
        <v>45237</v>
      </c>
      <c r="C81" t="s">
        <v>437</v>
      </c>
      <c r="D81" t="s">
        <v>178</v>
      </c>
      <c r="E81">
        <v>156</v>
      </c>
      <c r="F81" t="s">
        <v>438</v>
      </c>
      <c r="G81">
        <v>156</v>
      </c>
      <c r="H81">
        <v>687.65840000000003</v>
      </c>
      <c r="N81">
        <v>687.65840000000003</v>
      </c>
      <c r="O81" s="1">
        <v>45139</v>
      </c>
      <c r="P81">
        <f>IF(ISBLANK(ReconciliationData[[#This Row],[Invoice_ID]]),1,0)</f>
        <v>0</v>
      </c>
      <c r="Q81">
        <f>IF(AND(NOT(ISBLANK(ReconciliationData[[#This Row],[Billed_Units]])),ReconciliationData[[#This Row],[ordered_units]]&lt;&gt;ReconciliationData[[#This Row],[Billed_Units]]),1,0)</f>
        <v>0</v>
      </c>
      <c r="R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1">
        <f>IF(AND(NOT(ISBLANK(ReconciliationData[[#This Row],[Contract_Price]])),ReconciliationData[[#This Row],[Billed_Price]]&lt;&gt;ReconciliationData[[#This Row],[Contract_Price]]),1,0)</f>
        <v>0</v>
      </c>
      <c r="T81">
        <f>IF(AND(NOT(ISBLANK(ReconciliationData[[#This Row],[End_Date]])),ReconciliationData[[#This Row],[Order_Date]]&gt;ReconciliationData[[#This Row],[End_Date]]),1,0)</f>
        <v>0</v>
      </c>
      <c r="U81">
        <f>IF(AND(NOT(ISBLANK(ReconciliationData[[#This Row],[last_return_date]])),ReconciliationData[[#This Row],[last_return_date]]&gt;ReconciliationData[[#This Row],[Order_Date]]+60),1,0)</f>
        <v>0</v>
      </c>
      <c r="V81">
        <f>IF(ReconciliationData[[#This Row],[total_returned_units]]&gt;ReconciliationData[[#This Row],[ordered_units]],1,0)</f>
        <v>0</v>
      </c>
      <c r="W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1">
        <f>ReconciliationData[[#This Row],[Billed_Units]]*ReconciliationData[[#This Row],[Billed_Price]]</f>
        <v>107274.71040000001</v>
      </c>
      <c r="Y81">
        <f>ReconciliationData[[#This Row],[ordered_units]]*ReconciliationData[[#This Row],[List_Price]]</f>
        <v>107274.71040000001</v>
      </c>
      <c r="Z81">
        <f>ReconciliationData[[#This Row],[billed_revenue]]-ReconciliationData[[#This Row],[expected_revenue]]</f>
        <v>0</v>
      </c>
      <c r="AA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1" t="str">
        <f>IF(ReconciliationData[[#This Row],[severity_score]]=0,"LOW",
 IF(ReconciliationData[[#This Row],[severity_score]]&lt;=5,"MEDIUM","HIGH"))</f>
        <v>LOW</v>
      </c>
      <c r="AC81" t="str">
        <f>TEXT(ReconciliationData[[#This Row],[Order_Date]],"YYYY-MM")</f>
        <v>2023-11</v>
      </c>
    </row>
    <row r="82" spans="1:29">
      <c r="A82" t="s">
        <v>439</v>
      </c>
      <c r="B82" s="1">
        <v>45111</v>
      </c>
      <c r="C82" t="s">
        <v>440</v>
      </c>
      <c r="D82" t="s">
        <v>441</v>
      </c>
      <c r="E82">
        <v>139</v>
      </c>
      <c r="F82" t="s">
        <v>442</v>
      </c>
      <c r="G82">
        <v>139</v>
      </c>
      <c r="H82">
        <v>238.7328</v>
      </c>
      <c r="N82">
        <v>238.7328</v>
      </c>
      <c r="O82" s="1">
        <v>44987</v>
      </c>
      <c r="P82">
        <f>IF(ISBLANK(ReconciliationData[[#This Row],[Invoice_ID]]),1,0)</f>
        <v>0</v>
      </c>
      <c r="Q82">
        <f>IF(AND(NOT(ISBLANK(ReconciliationData[[#This Row],[Billed_Units]])),ReconciliationData[[#This Row],[ordered_units]]&lt;&gt;ReconciliationData[[#This Row],[Billed_Units]]),1,0)</f>
        <v>0</v>
      </c>
      <c r="R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">
        <f>IF(AND(NOT(ISBLANK(ReconciliationData[[#This Row],[Contract_Price]])),ReconciliationData[[#This Row],[Billed_Price]]&lt;&gt;ReconciliationData[[#This Row],[Contract_Price]]),1,0)</f>
        <v>0</v>
      </c>
      <c r="T82">
        <f>IF(AND(NOT(ISBLANK(ReconciliationData[[#This Row],[End_Date]])),ReconciliationData[[#This Row],[Order_Date]]&gt;ReconciliationData[[#This Row],[End_Date]]),1,0)</f>
        <v>0</v>
      </c>
      <c r="U82">
        <f>IF(AND(NOT(ISBLANK(ReconciliationData[[#This Row],[last_return_date]])),ReconciliationData[[#This Row],[last_return_date]]&gt;ReconciliationData[[#This Row],[Order_Date]]+60),1,0)</f>
        <v>0</v>
      </c>
      <c r="V82">
        <f>IF(ReconciliationData[[#This Row],[total_returned_units]]&gt;ReconciliationData[[#This Row],[ordered_units]],1,0)</f>
        <v>0</v>
      </c>
      <c r="W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">
        <f>ReconciliationData[[#This Row],[Billed_Units]]*ReconciliationData[[#This Row],[Billed_Price]]</f>
        <v>33183.859199999999</v>
      </c>
      <c r="Y82">
        <f>ReconciliationData[[#This Row],[ordered_units]]*ReconciliationData[[#This Row],[List_Price]]</f>
        <v>33183.859199999999</v>
      </c>
      <c r="Z82">
        <f>ReconciliationData[[#This Row],[billed_revenue]]-ReconciliationData[[#This Row],[expected_revenue]]</f>
        <v>0</v>
      </c>
      <c r="AA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" t="str">
        <f>IF(ReconciliationData[[#This Row],[severity_score]]=0,"LOW",
 IF(ReconciliationData[[#This Row],[severity_score]]&lt;=5,"MEDIUM","HIGH"))</f>
        <v>LOW</v>
      </c>
      <c r="AC82" t="str">
        <f>TEXT(ReconciliationData[[#This Row],[Order_Date]],"YYYY-MM")</f>
        <v>2023-07</v>
      </c>
    </row>
    <row r="83" spans="1:29">
      <c r="A83" t="s">
        <v>443</v>
      </c>
      <c r="B83" s="1">
        <v>45226</v>
      </c>
      <c r="C83" t="s">
        <v>444</v>
      </c>
      <c r="D83" t="s">
        <v>445</v>
      </c>
      <c r="E83">
        <v>89</v>
      </c>
      <c r="F83" t="s">
        <v>446</v>
      </c>
      <c r="G83">
        <v>89</v>
      </c>
      <c r="H83">
        <v>791.35360000000003</v>
      </c>
      <c r="N83">
        <v>791.35360000000003</v>
      </c>
      <c r="O83" s="1">
        <v>45097</v>
      </c>
      <c r="P83">
        <f>IF(ISBLANK(ReconciliationData[[#This Row],[Invoice_ID]]),1,0)</f>
        <v>0</v>
      </c>
      <c r="Q83">
        <f>IF(AND(NOT(ISBLANK(ReconciliationData[[#This Row],[Billed_Units]])),ReconciliationData[[#This Row],[ordered_units]]&lt;&gt;ReconciliationData[[#This Row],[Billed_Units]]),1,0)</f>
        <v>0</v>
      </c>
      <c r="R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">
        <f>IF(AND(NOT(ISBLANK(ReconciliationData[[#This Row],[Contract_Price]])),ReconciliationData[[#This Row],[Billed_Price]]&lt;&gt;ReconciliationData[[#This Row],[Contract_Price]]),1,0)</f>
        <v>0</v>
      </c>
      <c r="T83">
        <f>IF(AND(NOT(ISBLANK(ReconciliationData[[#This Row],[End_Date]])),ReconciliationData[[#This Row],[Order_Date]]&gt;ReconciliationData[[#This Row],[End_Date]]),1,0)</f>
        <v>0</v>
      </c>
      <c r="U83">
        <f>IF(AND(NOT(ISBLANK(ReconciliationData[[#This Row],[last_return_date]])),ReconciliationData[[#This Row],[last_return_date]]&gt;ReconciliationData[[#This Row],[Order_Date]]+60),1,0)</f>
        <v>0</v>
      </c>
      <c r="V83">
        <f>IF(ReconciliationData[[#This Row],[total_returned_units]]&gt;ReconciliationData[[#This Row],[ordered_units]],1,0)</f>
        <v>0</v>
      </c>
      <c r="W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3">
        <f>ReconciliationData[[#This Row],[Billed_Units]]*ReconciliationData[[#This Row],[Billed_Price]]</f>
        <v>70430.470400000006</v>
      </c>
      <c r="Y83">
        <f>ReconciliationData[[#This Row],[ordered_units]]*ReconciliationData[[#This Row],[List_Price]]</f>
        <v>70430.470400000006</v>
      </c>
      <c r="Z83">
        <f>ReconciliationData[[#This Row],[billed_revenue]]-ReconciliationData[[#This Row],[expected_revenue]]</f>
        <v>0</v>
      </c>
      <c r="AA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3" t="str">
        <f>IF(ReconciliationData[[#This Row],[severity_score]]=0,"LOW",
 IF(ReconciliationData[[#This Row],[severity_score]]&lt;=5,"MEDIUM","HIGH"))</f>
        <v>LOW</v>
      </c>
      <c r="AC83" t="str">
        <f>TEXT(ReconciliationData[[#This Row],[Order_Date]],"YYYY-MM")</f>
        <v>2023-10</v>
      </c>
    </row>
    <row r="84" spans="1:29">
      <c r="A84" t="s">
        <v>447</v>
      </c>
      <c r="B84" s="1">
        <v>45137</v>
      </c>
      <c r="C84" t="s">
        <v>448</v>
      </c>
      <c r="D84" t="s">
        <v>449</v>
      </c>
      <c r="E84">
        <v>53</v>
      </c>
      <c r="F84" t="s">
        <v>450</v>
      </c>
      <c r="G84">
        <v>53</v>
      </c>
      <c r="H84">
        <v>1006.5033</v>
      </c>
      <c r="I84">
        <v>2</v>
      </c>
      <c r="J84" s="1">
        <v>45653</v>
      </c>
      <c r="N84">
        <v>1006.5033</v>
      </c>
      <c r="O84" s="1">
        <v>45123</v>
      </c>
      <c r="P84">
        <f>IF(ISBLANK(ReconciliationData[[#This Row],[Invoice_ID]]),1,0)</f>
        <v>0</v>
      </c>
      <c r="Q84">
        <f>IF(AND(NOT(ISBLANK(ReconciliationData[[#This Row],[Billed_Units]])),ReconciliationData[[#This Row],[ordered_units]]&lt;&gt;ReconciliationData[[#This Row],[Billed_Units]]),1,0)</f>
        <v>0</v>
      </c>
      <c r="R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4">
        <f>IF(AND(NOT(ISBLANK(ReconciliationData[[#This Row],[Contract_Price]])),ReconciliationData[[#This Row],[Billed_Price]]&lt;&gt;ReconciliationData[[#This Row],[Contract_Price]]),1,0)</f>
        <v>0</v>
      </c>
      <c r="T84">
        <f>IF(AND(NOT(ISBLANK(ReconciliationData[[#This Row],[End_Date]])),ReconciliationData[[#This Row],[Order_Date]]&gt;ReconciliationData[[#This Row],[End_Date]]),1,0)</f>
        <v>0</v>
      </c>
      <c r="U84">
        <f>IF(AND(NOT(ISBLANK(ReconciliationData[[#This Row],[last_return_date]])),ReconciliationData[[#This Row],[last_return_date]]&gt;ReconciliationData[[#This Row],[Order_Date]]+60),1,0)</f>
        <v>1</v>
      </c>
      <c r="V84">
        <f>IF(ReconciliationData[[#This Row],[total_returned_units]]&gt;ReconciliationData[[#This Row],[ordered_units]],1,0)</f>
        <v>0</v>
      </c>
      <c r="W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4">
        <f>ReconciliationData[[#This Row],[Billed_Units]]*ReconciliationData[[#This Row],[Billed_Price]]</f>
        <v>53344.674899999998</v>
      </c>
      <c r="Y84">
        <f>ReconciliationData[[#This Row],[ordered_units]]*ReconciliationData[[#This Row],[List_Price]]</f>
        <v>53344.674899999998</v>
      </c>
      <c r="Z84">
        <f>ReconciliationData[[#This Row],[billed_revenue]]-ReconciliationData[[#This Row],[expected_revenue]]</f>
        <v>0</v>
      </c>
      <c r="AA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84" t="str">
        <f>IF(ReconciliationData[[#This Row],[severity_score]]=0,"LOW",
 IF(ReconciliationData[[#This Row],[severity_score]]&lt;=5,"MEDIUM","HIGH"))</f>
        <v>MEDIUM</v>
      </c>
      <c r="AC84" t="str">
        <f>TEXT(ReconciliationData[[#This Row],[Order_Date]],"YYYY-MM")</f>
        <v>2023-07</v>
      </c>
    </row>
    <row r="85" spans="1:29">
      <c r="A85" t="s">
        <v>451</v>
      </c>
      <c r="B85" s="1">
        <v>45008</v>
      </c>
      <c r="C85" t="s">
        <v>452</v>
      </c>
      <c r="D85" t="s">
        <v>453</v>
      </c>
      <c r="E85">
        <v>35</v>
      </c>
      <c r="F85" t="s">
        <v>454</v>
      </c>
      <c r="G85">
        <v>35</v>
      </c>
      <c r="H85">
        <v>1138.4856</v>
      </c>
      <c r="N85">
        <v>1138.4856</v>
      </c>
      <c r="O85" s="1">
        <v>44865</v>
      </c>
      <c r="P85">
        <f>IF(ISBLANK(ReconciliationData[[#This Row],[Invoice_ID]]),1,0)</f>
        <v>0</v>
      </c>
      <c r="Q85">
        <f>IF(AND(NOT(ISBLANK(ReconciliationData[[#This Row],[Billed_Units]])),ReconciliationData[[#This Row],[ordered_units]]&lt;&gt;ReconciliationData[[#This Row],[Billed_Units]]),1,0)</f>
        <v>0</v>
      </c>
      <c r="R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">
        <f>IF(AND(NOT(ISBLANK(ReconciliationData[[#This Row],[Contract_Price]])),ReconciliationData[[#This Row],[Billed_Price]]&lt;&gt;ReconciliationData[[#This Row],[Contract_Price]]),1,0)</f>
        <v>0</v>
      </c>
      <c r="T85">
        <f>IF(AND(NOT(ISBLANK(ReconciliationData[[#This Row],[End_Date]])),ReconciliationData[[#This Row],[Order_Date]]&gt;ReconciliationData[[#This Row],[End_Date]]),1,0)</f>
        <v>0</v>
      </c>
      <c r="U85">
        <f>IF(AND(NOT(ISBLANK(ReconciliationData[[#This Row],[last_return_date]])),ReconciliationData[[#This Row],[last_return_date]]&gt;ReconciliationData[[#This Row],[Order_Date]]+60),1,0)</f>
        <v>0</v>
      </c>
      <c r="V85">
        <f>IF(ReconciliationData[[#This Row],[total_returned_units]]&gt;ReconciliationData[[#This Row],[ordered_units]],1,0)</f>
        <v>0</v>
      </c>
      <c r="W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5">
        <f>ReconciliationData[[#This Row],[Billed_Units]]*ReconciliationData[[#This Row],[Billed_Price]]</f>
        <v>39846.995999999999</v>
      </c>
      <c r="Y85">
        <f>ReconciliationData[[#This Row],[ordered_units]]*ReconciliationData[[#This Row],[List_Price]]</f>
        <v>39846.995999999999</v>
      </c>
      <c r="Z85">
        <f>ReconciliationData[[#This Row],[billed_revenue]]-ReconciliationData[[#This Row],[expected_revenue]]</f>
        <v>0</v>
      </c>
      <c r="AA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5" t="str">
        <f>IF(ReconciliationData[[#This Row],[severity_score]]=0,"LOW",
 IF(ReconciliationData[[#This Row],[severity_score]]&lt;=5,"MEDIUM","HIGH"))</f>
        <v>LOW</v>
      </c>
      <c r="AC85" t="str">
        <f>TEXT(ReconciliationData[[#This Row],[Order_Date]],"YYYY-MM")</f>
        <v>2023-03</v>
      </c>
    </row>
    <row r="86" spans="1:29">
      <c r="A86" t="s">
        <v>455</v>
      </c>
      <c r="B86" s="1">
        <v>45465</v>
      </c>
      <c r="C86" t="s">
        <v>456</v>
      </c>
      <c r="D86" t="s">
        <v>457</v>
      </c>
      <c r="E86">
        <v>86</v>
      </c>
      <c r="F86" t="s">
        <v>458</v>
      </c>
      <c r="G86">
        <v>86</v>
      </c>
      <c r="H86">
        <v>492.38400000000001</v>
      </c>
      <c r="I86">
        <v>10</v>
      </c>
      <c r="J86" s="1">
        <v>45096</v>
      </c>
      <c r="N86">
        <v>492.38400000000001</v>
      </c>
      <c r="O86" s="1">
        <v>44966</v>
      </c>
      <c r="P86">
        <f>IF(ISBLANK(ReconciliationData[[#This Row],[Invoice_ID]]),1,0)</f>
        <v>0</v>
      </c>
      <c r="Q86">
        <f>IF(AND(NOT(ISBLANK(ReconciliationData[[#This Row],[Billed_Units]])),ReconciliationData[[#This Row],[ordered_units]]&lt;&gt;ReconciliationData[[#This Row],[Billed_Units]]),1,0)</f>
        <v>0</v>
      </c>
      <c r="R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">
        <f>IF(AND(NOT(ISBLANK(ReconciliationData[[#This Row],[Contract_Price]])),ReconciliationData[[#This Row],[Billed_Price]]&lt;&gt;ReconciliationData[[#This Row],[Contract_Price]]),1,0)</f>
        <v>0</v>
      </c>
      <c r="T86">
        <f>IF(AND(NOT(ISBLANK(ReconciliationData[[#This Row],[End_Date]])),ReconciliationData[[#This Row],[Order_Date]]&gt;ReconciliationData[[#This Row],[End_Date]]),1,0)</f>
        <v>0</v>
      </c>
      <c r="U86">
        <f>IF(AND(NOT(ISBLANK(ReconciliationData[[#This Row],[last_return_date]])),ReconciliationData[[#This Row],[last_return_date]]&gt;ReconciliationData[[#This Row],[Order_Date]]+60),1,0)</f>
        <v>0</v>
      </c>
      <c r="V86">
        <f>IF(ReconciliationData[[#This Row],[total_returned_units]]&gt;ReconciliationData[[#This Row],[ordered_units]],1,0)</f>
        <v>0</v>
      </c>
      <c r="W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">
        <f>ReconciliationData[[#This Row],[Billed_Units]]*ReconciliationData[[#This Row],[Billed_Price]]</f>
        <v>42345.024000000005</v>
      </c>
      <c r="Y86">
        <f>ReconciliationData[[#This Row],[ordered_units]]*ReconciliationData[[#This Row],[List_Price]]</f>
        <v>42345.024000000005</v>
      </c>
      <c r="Z86">
        <f>ReconciliationData[[#This Row],[billed_revenue]]-ReconciliationData[[#This Row],[expected_revenue]]</f>
        <v>0</v>
      </c>
      <c r="AA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" t="str">
        <f>IF(ReconciliationData[[#This Row],[severity_score]]=0,"LOW",
 IF(ReconciliationData[[#This Row],[severity_score]]&lt;=5,"MEDIUM","HIGH"))</f>
        <v>LOW</v>
      </c>
      <c r="AC86" t="str">
        <f>TEXT(ReconciliationData[[#This Row],[Order_Date]],"YYYY-MM")</f>
        <v>2024-06</v>
      </c>
    </row>
    <row r="87" spans="1:29">
      <c r="A87" t="s">
        <v>459</v>
      </c>
      <c r="B87" s="1">
        <v>44956</v>
      </c>
      <c r="C87" t="s">
        <v>460</v>
      </c>
      <c r="D87" t="s">
        <v>461</v>
      </c>
      <c r="E87">
        <v>66</v>
      </c>
      <c r="F87" t="s">
        <v>462</v>
      </c>
      <c r="G87">
        <v>66</v>
      </c>
      <c r="H87">
        <v>1218.6930000000002</v>
      </c>
      <c r="N87">
        <v>1218.6930000000002</v>
      </c>
      <c r="O87" s="1">
        <v>44926</v>
      </c>
      <c r="P87">
        <f>IF(ISBLANK(ReconciliationData[[#This Row],[Invoice_ID]]),1,0)</f>
        <v>0</v>
      </c>
      <c r="Q87">
        <f>IF(AND(NOT(ISBLANK(ReconciliationData[[#This Row],[Billed_Units]])),ReconciliationData[[#This Row],[ordered_units]]&lt;&gt;ReconciliationData[[#This Row],[Billed_Units]]),1,0)</f>
        <v>0</v>
      </c>
      <c r="R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">
        <f>IF(AND(NOT(ISBLANK(ReconciliationData[[#This Row],[Contract_Price]])),ReconciliationData[[#This Row],[Billed_Price]]&lt;&gt;ReconciliationData[[#This Row],[Contract_Price]]),1,0)</f>
        <v>0</v>
      </c>
      <c r="T87">
        <f>IF(AND(NOT(ISBLANK(ReconciliationData[[#This Row],[End_Date]])),ReconciliationData[[#This Row],[Order_Date]]&gt;ReconciliationData[[#This Row],[End_Date]]),1,0)</f>
        <v>0</v>
      </c>
      <c r="U87">
        <f>IF(AND(NOT(ISBLANK(ReconciliationData[[#This Row],[last_return_date]])),ReconciliationData[[#This Row],[last_return_date]]&gt;ReconciliationData[[#This Row],[Order_Date]]+60),1,0)</f>
        <v>0</v>
      </c>
      <c r="V87">
        <f>IF(ReconciliationData[[#This Row],[total_returned_units]]&gt;ReconciliationData[[#This Row],[ordered_units]],1,0)</f>
        <v>0</v>
      </c>
      <c r="W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">
        <f>ReconciliationData[[#This Row],[Billed_Units]]*ReconciliationData[[#This Row],[Billed_Price]]</f>
        <v>80433.738000000012</v>
      </c>
      <c r="Y87">
        <f>ReconciliationData[[#This Row],[ordered_units]]*ReconciliationData[[#This Row],[List_Price]]</f>
        <v>80433.738000000012</v>
      </c>
      <c r="Z87">
        <f>ReconciliationData[[#This Row],[billed_revenue]]-ReconciliationData[[#This Row],[expected_revenue]]</f>
        <v>0</v>
      </c>
      <c r="AA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" t="str">
        <f>IF(ReconciliationData[[#This Row],[severity_score]]=0,"LOW",
 IF(ReconciliationData[[#This Row],[severity_score]]&lt;=5,"MEDIUM","HIGH"))</f>
        <v>LOW</v>
      </c>
      <c r="AC87" t="str">
        <f>TEXT(ReconciliationData[[#This Row],[Order_Date]],"YYYY-MM")</f>
        <v>2023-01</v>
      </c>
    </row>
    <row r="88" spans="1:29">
      <c r="A88" t="s">
        <v>463</v>
      </c>
      <c r="B88" s="1">
        <v>45455</v>
      </c>
      <c r="C88" t="s">
        <v>312</v>
      </c>
      <c r="D88" t="s">
        <v>464</v>
      </c>
      <c r="E88">
        <v>173</v>
      </c>
      <c r="F88" t="s">
        <v>465</v>
      </c>
      <c r="G88">
        <v>173</v>
      </c>
      <c r="H88">
        <v>798.14160000000004</v>
      </c>
      <c r="N88">
        <v>798.14160000000004</v>
      </c>
      <c r="O88" s="1">
        <v>45149</v>
      </c>
      <c r="P88">
        <f>IF(ISBLANK(ReconciliationData[[#This Row],[Invoice_ID]]),1,0)</f>
        <v>0</v>
      </c>
      <c r="Q88">
        <f>IF(AND(NOT(ISBLANK(ReconciliationData[[#This Row],[Billed_Units]])),ReconciliationData[[#This Row],[ordered_units]]&lt;&gt;ReconciliationData[[#This Row],[Billed_Units]]),1,0)</f>
        <v>0</v>
      </c>
      <c r="R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8">
        <f>IF(AND(NOT(ISBLANK(ReconciliationData[[#This Row],[Contract_Price]])),ReconciliationData[[#This Row],[Billed_Price]]&lt;&gt;ReconciliationData[[#This Row],[Contract_Price]]),1,0)</f>
        <v>0</v>
      </c>
      <c r="T88">
        <f>IF(AND(NOT(ISBLANK(ReconciliationData[[#This Row],[End_Date]])),ReconciliationData[[#This Row],[Order_Date]]&gt;ReconciliationData[[#This Row],[End_Date]]),1,0)</f>
        <v>0</v>
      </c>
      <c r="U88">
        <f>IF(AND(NOT(ISBLANK(ReconciliationData[[#This Row],[last_return_date]])),ReconciliationData[[#This Row],[last_return_date]]&gt;ReconciliationData[[#This Row],[Order_Date]]+60),1,0)</f>
        <v>0</v>
      </c>
      <c r="V88">
        <f>IF(ReconciliationData[[#This Row],[total_returned_units]]&gt;ReconciliationData[[#This Row],[ordered_units]],1,0)</f>
        <v>0</v>
      </c>
      <c r="W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8">
        <f>ReconciliationData[[#This Row],[Billed_Units]]*ReconciliationData[[#This Row],[Billed_Price]]</f>
        <v>138078.49679999999</v>
      </c>
      <c r="Y88">
        <f>ReconciliationData[[#This Row],[ordered_units]]*ReconciliationData[[#This Row],[List_Price]]</f>
        <v>138078.49679999999</v>
      </c>
      <c r="Z88">
        <f>ReconciliationData[[#This Row],[billed_revenue]]-ReconciliationData[[#This Row],[expected_revenue]]</f>
        <v>0</v>
      </c>
      <c r="AA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8" t="str">
        <f>IF(ReconciliationData[[#This Row],[severity_score]]=0,"LOW",
 IF(ReconciliationData[[#This Row],[severity_score]]&lt;=5,"MEDIUM","HIGH"))</f>
        <v>LOW</v>
      </c>
      <c r="AC88" t="str">
        <f>TEXT(ReconciliationData[[#This Row],[Order_Date]],"YYYY-MM")</f>
        <v>2024-06</v>
      </c>
    </row>
    <row r="89" spans="1:29">
      <c r="A89" t="s">
        <v>466</v>
      </c>
      <c r="B89" s="1">
        <v>45285</v>
      </c>
      <c r="C89" t="s">
        <v>467</v>
      </c>
      <c r="D89" t="s">
        <v>468</v>
      </c>
      <c r="E89">
        <v>197</v>
      </c>
      <c r="F89" t="s">
        <v>469</v>
      </c>
      <c r="G89">
        <v>203</v>
      </c>
      <c r="H89">
        <v>372.85379999999998</v>
      </c>
      <c r="N89">
        <v>372.85379999999998</v>
      </c>
      <c r="O89" s="1">
        <v>45175</v>
      </c>
      <c r="P89">
        <f>IF(ISBLANK(ReconciliationData[[#This Row],[Invoice_ID]]),1,0)</f>
        <v>0</v>
      </c>
      <c r="Q89">
        <f>IF(AND(NOT(ISBLANK(ReconciliationData[[#This Row],[Billed_Units]])),ReconciliationData[[#This Row],[ordered_units]]&lt;&gt;ReconciliationData[[#This Row],[Billed_Units]]),1,0)</f>
        <v>1</v>
      </c>
      <c r="R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9">
        <f>IF(AND(NOT(ISBLANK(ReconciliationData[[#This Row],[Contract_Price]])),ReconciliationData[[#This Row],[Billed_Price]]&lt;&gt;ReconciliationData[[#This Row],[Contract_Price]]),1,0)</f>
        <v>0</v>
      </c>
      <c r="T89">
        <f>IF(AND(NOT(ISBLANK(ReconciliationData[[#This Row],[End_Date]])),ReconciliationData[[#This Row],[Order_Date]]&gt;ReconciliationData[[#This Row],[End_Date]]),1,0)</f>
        <v>0</v>
      </c>
      <c r="U89">
        <f>IF(AND(NOT(ISBLANK(ReconciliationData[[#This Row],[last_return_date]])),ReconciliationData[[#This Row],[last_return_date]]&gt;ReconciliationData[[#This Row],[Order_Date]]+60),1,0)</f>
        <v>0</v>
      </c>
      <c r="V89">
        <f>IF(ReconciliationData[[#This Row],[total_returned_units]]&gt;ReconciliationData[[#This Row],[ordered_units]],1,0)</f>
        <v>0</v>
      </c>
      <c r="W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9">
        <f>ReconciliationData[[#This Row],[Billed_Units]]*ReconciliationData[[#This Row],[Billed_Price]]</f>
        <v>75689.321400000001</v>
      </c>
      <c r="Y89">
        <f>ReconciliationData[[#This Row],[ordered_units]]*ReconciliationData[[#This Row],[List_Price]]</f>
        <v>73452.198599999989</v>
      </c>
      <c r="Z89">
        <f>ReconciliationData[[#This Row],[billed_revenue]]-ReconciliationData[[#This Row],[expected_revenue]]</f>
        <v>2237.1228000000119</v>
      </c>
      <c r="AA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89" t="str">
        <f>IF(ReconciliationData[[#This Row],[severity_score]]=0,"LOW",
 IF(ReconciliationData[[#This Row],[severity_score]]&lt;=5,"MEDIUM","HIGH"))</f>
        <v>HIGH</v>
      </c>
      <c r="AC89" t="str">
        <f>TEXT(ReconciliationData[[#This Row],[Order_Date]],"YYYY-MM")</f>
        <v>2023-12</v>
      </c>
    </row>
    <row r="90" spans="1:29">
      <c r="A90" t="s">
        <v>470</v>
      </c>
      <c r="B90" s="1">
        <v>44965</v>
      </c>
      <c r="C90" t="s">
        <v>471</v>
      </c>
      <c r="D90" t="s">
        <v>472</v>
      </c>
      <c r="E90">
        <v>58</v>
      </c>
      <c r="F90" t="s">
        <v>473</v>
      </c>
      <c r="G90">
        <v>58</v>
      </c>
      <c r="H90">
        <v>682.98</v>
      </c>
      <c r="N90">
        <v>682.98</v>
      </c>
      <c r="O90" s="1">
        <v>44629</v>
      </c>
      <c r="P90">
        <f>IF(ISBLANK(ReconciliationData[[#This Row],[Invoice_ID]]),1,0)</f>
        <v>0</v>
      </c>
      <c r="Q90">
        <f>IF(AND(NOT(ISBLANK(ReconciliationData[[#This Row],[Billed_Units]])),ReconciliationData[[#This Row],[ordered_units]]&lt;&gt;ReconciliationData[[#This Row],[Billed_Units]]),1,0)</f>
        <v>0</v>
      </c>
      <c r="R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">
        <f>IF(AND(NOT(ISBLANK(ReconciliationData[[#This Row],[Contract_Price]])),ReconciliationData[[#This Row],[Billed_Price]]&lt;&gt;ReconciliationData[[#This Row],[Contract_Price]]),1,0)</f>
        <v>0</v>
      </c>
      <c r="T90">
        <f>IF(AND(NOT(ISBLANK(ReconciliationData[[#This Row],[End_Date]])),ReconciliationData[[#This Row],[Order_Date]]&gt;ReconciliationData[[#This Row],[End_Date]]),1,0)</f>
        <v>0</v>
      </c>
      <c r="U90">
        <f>IF(AND(NOT(ISBLANK(ReconciliationData[[#This Row],[last_return_date]])),ReconciliationData[[#This Row],[last_return_date]]&gt;ReconciliationData[[#This Row],[Order_Date]]+60),1,0)</f>
        <v>0</v>
      </c>
      <c r="V90">
        <f>IF(ReconciliationData[[#This Row],[total_returned_units]]&gt;ReconciliationData[[#This Row],[ordered_units]],1,0)</f>
        <v>0</v>
      </c>
      <c r="W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0">
        <f>ReconciliationData[[#This Row],[Billed_Units]]*ReconciliationData[[#This Row],[Billed_Price]]</f>
        <v>39612.840000000004</v>
      </c>
      <c r="Y90">
        <f>ReconciliationData[[#This Row],[ordered_units]]*ReconciliationData[[#This Row],[List_Price]]</f>
        <v>39612.840000000004</v>
      </c>
      <c r="Z90">
        <f>ReconciliationData[[#This Row],[billed_revenue]]-ReconciliationData[[#This Row],[expected_revenue]]</f>
        <v>0</v>
      </c>
      <c r="AA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0" t="str">
        <f>IF(ReconciliationData[[#This Row],[severity_score]]=0,"LOW",
 IF(ReconciliationData[[#This Row],[severity_score]]&lt;=5,"MEDIUM","HIGH"))</f>
        <v>LOW</v>
      </c>
      <c r="AC90" t="str">
        <f>TEXT(ReconciliationData[[#This Row],[Order_Date]],"YYYY-MM")</f>
        <v>2023-02</v>
      </c>
    </row>
    <row r="91" spans="1:29">
      <c r="A91" t="s">
        <v>474</v>
      </c>
      <c r="B91" s="1">
        <v>45083</v>
      </c>
      <c r="C91" t="s">
        <v>475</v>
      </c>
      <c r="D91" t="s">
        <v>378</v>
      </c>
      <c r="E91">
        <v>69</v>
      </c>
      <c r="F91" t="s">
        <v>476</v>
      </c>
      <c r="G91">
        <v>69</v>
      </c>
      <c r="H91">
        <v>601.32929999999999</v>
      </c>
      <c r="N91">
        <v>601.32929999999999</v>
      </c>
      <c r="O91" s="1">
        <v>44962</v>
      </c>
      <c r="P91">
        <f>IF(ISBLANK(ReconciliationData[[#This Row],[Invoice_ID]]),1,0)</f>
        <v>0</v>
      </c>
      <c r="Q91">
        <f>IF(AND(NOT(ISBLANK(ReconciliationData[[#This Row],[Billed_Units]])),ReconciliationData[[#This Row],[ordered_units]]&lt;&gt;ReconciliationData[[#This Row],[Billed_Units]]),1,0)</f>
        <v>0</v>
      </c>
      <c r="R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1">
        <f>IF(AND(NOT(ISBLANK(ReconciliationData[[#This Row],[Contract_Price]])),ReconciliationData[[#This Row],[Billed_Price]]&lt;&gt;ReconciliationData[[#This Row],[Contract_Price]]),1,0)</f>
        <v>0</v>
      </c>
      <c r="T91">
        <f>IF(AND(NOT(ISBLANK(ReconciliationData[[#This Row],[End_Date]])),ReconciliationData[[#This Row],[Order_Date]]&gt;ReconciliationData[[#This Row],[End_Date]]),1,0)</f>
        <v>0</v>
      </c>
      <c r="U91">
        <f>IF(AND(NOT(ISBLANK(ReconciliationData[[#This Row],[last_return_date]])),ReconciliationData[[#This Row],[last_return_date]]&gt;ReconciliationData[[#This Row],[Order_Date]]+60),1,0)</f>
        <v>0</v>
      </c>
      <c r="V91">
        <f>IF(ReconciliationData[[#This Row],[total_returned_units]]&gt;ReconciliationData[[#This Row],[ordered_units]],1,0)</f>
        <v>0</v>
      </c>
      <c r="W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1">
        <f>ReconciliationData[[#This Row],[Billed_Units]]*ReconciliationData[[#This Row],[Billed_Price]]</f>
        <v>41491.721700000002</v>
      </c>
      <c r="Y91">
        <f>ReconciliationData[[#This Row],[ordered_units]]*ReconciliationData[[#This Row],[List_Price]]</f>
        <v>41491.721700000002</v>
      </c>
      <c r="Z91">
        <f>ReconciliationData[[#This Row],[billed_revenue]]-ReconciliationData[[#This Row],[expected_revenue]]</f>
        <v>0</v>
      </c>
      <c r="AA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1" t="str">
        <f>IF(ReconciliationData[[#This Row],[severity_score]]=0,"LOW",
 IF(ReconciliationData[[#This Row],[severity_score]]&lt;=5,"MEDIUM","HIGH"))</f>
        <v>LOW</v>
      </c>
      <c r="AC91" t="str">
        <f>TEXT(ReconciliationData[[#This Row],[Order_Date]],"YYYY-MM")</f>
        <v>2023-06</v>
      </c>
    </row>
    <row r="92" spans="1:29">
      <c r="A92" t="s">
        <v>477</v>
      </c>
      <c r="B92" s="1">
        <v>45621</v>
      </c>
      <c r="C92" t="s">
        <v>478</v>
      </c>
      <c r="D92" t="s">
        <v>479</v>
      </c>
      <c r="E92">
        <v>50</v>
      </c>
      <c r="F92" t="s">
        <v>480</v>
      </c>
      <c r="G92">
        <v>50</v>
      </c>
      <c r="H92">
        <v>1014.5718000000001</v>
      </c>
      <c r="N92">
        <v>1014.5718000000001</v>
      </c>
      <c r="O92" s="1">
        <v>45035</v>
      </c>
      <c r="P92">
        <f>IF(ISBLANK(ReconciliationData[[#This Row],[Invoice_ID]]),1,0)</f>
        <v>0</v>
      </c>
      <c r="Q92">
        <f>IF(AND(NOT(ISBLANK(ReconciliationData[[#This Row],[Billed_Units]])),ReconciliationData[[#This Row],[ordered_units]]&lt;&gt;ReconciliationData[[#This Row],[Billed_Units]]),1,0)</f>
        <v>0</v>
      </c>
      <c r="R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">
        <f>IF(AND(NOT(ISBLANK(ReconciliationData[[#This Row],[Contract_Price]])),ReconciliationData[[#This Row],[Billed_Price]]&lt;&gt;ReconciliationData[[#This Row],[Contract_Price]]),1,0)</f>
        <v>0</v>
      </c>
      <c r="T92">
        <f>IF(AND(NOT(ISBLANK(ReconciliationData[[#This Row],[End_Date]])),ReconciliationData[[#This Row],[Order_Date]]&gt;ReconciliationData[[#This Row],[End_Date]]),1,0)</f>
        <v>0</v>
      </c>
      <c r="U92">
        <f>IF(AND(NOT(ISBLANK(ReconciliationData[[#This Row],[last_return_date]])),ReconciliationData[[#This Row],[last_return_date]]&gt;ReconciliationData[[#This Row],[Order_Date]]+60),1,0)</f>
        <v>0</v>
      </c>
      <c r="V92">
        <f>IF(ReconciliationData[[#This Row],[total_returned_units]]&gt;ReconciliationData[[#This Row],[ordered_units]],1,0)</f>
        <v>0</v>
      </c>
      <c r="W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2">
        <f>ReconciliationData[[#This Row],[Billed_Units]]*ReconciliationData[[#This Row],[Billed_Price]]</f>
        <v>50728.590000000004</v>
      </c>
      <c r="Y92">
        <f>ReconciliationData[[#This Row],[ordered_units]]*ReconciliationData[[#This Row],[List_Price]]</f>
        <v>50728.590000000004</v>
      </c>
      <c r="Z92">
        <f>ReconciliationData[[#This Row],[billed_revenue]]-ReconciliationData[[#This Row],[expected_revenue]]</f>
        <v>0</v>
      </c>
      <c r="AA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2" t="str">
        <f>IF(ReconciliationData[[#This Row],[severity_score]]=0,"LOW",
 IF(ReconciliationData[[#This Row],[severity_score]]&lt;=5,"MEDIUM","HIGH"))</f>
        <v>LOW</v>
      </c>
      <c r="AC92" t="str">
        <f>TEXT(ReconciliationData[[#This Row],[Order_Date]],"YYYY-MM")</f>
        <v>2024-11</v>
      </c>
    </row>
    <row r="93" spans="1:29">
      <c r="A93" t="s">
        <v>481</v>
      </c>
      <c r="B93" s="1">
        <v>44986</v>
      </c>
      <c r="C93" t="s">
        <v>482</v>
      </c>
      <c r="D93" t="s">
        <v>483</v>
      </c>
      <c r="E93">
        <v>85</v>
      </c>
      <c r="F93" t="s">
        <v>484</v>
      </c>
      <c r="G93">
        <v>85</v>
      </c>
      <c r="H93">
        <v>263.89999999999998</v>
      </c>
      <c r="N93">
        <v>263.89999999999998</v>
      </c>
      <c r="O93" s="1">
        <v>44855</v>
      </c>
      <c r="P93">
        <f>IF(ISBLANK(ReconciliationData[[#This Row],[Invoice_ID]]),1,0)</f>
        <v>0</v>
      </c>
      <c r="Q93">
        <f>IF(AND(NOT(ISBLANK(ReconciliationData[[#This Row],[Billed_Units]])),ReconciliationData[[#This Row],[ordered_units]]&lt;&gt;ReconciliationData[[#This Row],[Billed_Units]]),1,0)</f>
        <v>0</v>
      </c>
      <c r="R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3">
        <f>IF(AND(NOT(ISBLANK(ReconciliationData[[#This Row],[Contract_Price]])),ReconciliationData[[#This Row],[Billed_Price]]&lt;&gt;ReconciliationData[[#This Row],[Contract_Price]]),1,0)</f>
        <v>0</v>
      </c>
      <c r="T93">
        <f>IF(AND(NOT(ISBLANK(ReconciliationData[[#This Row],[End_Date]])),ReconciliationData[[#This Row],[Order_Date]]&gt;ReconciliationData[[#This Row],[End_Date]]),1,0)</f>
        <v>0</v>
      </c>
      <c r="U93">
        <f>IF(AND(NOT(ISBLANK(ReconciliationData[[#This Row],[last_return_date]])),ReconciliationData[[#This Row],[last_return_date]]&gt;ReconciliationData[[#This Row],[Order_Date]]+60),1,0)</f>
        <v>0</v>
      </c>
      <c r="V93">
        <f>IF(ReconciliationData[[#This Row],[total_returned_units]]&gt;ReconciliationData[[#This Row],[ordered_units]],1,0)</f>
        <v>0</v>
      </c>
      <c r="W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3">
        <f>ReconciliationData[[#This Row],[Billed_Units]]*ReconciliationData[[#This Row],[Billed_Price]]</f>
        <v>22431.499999999996</v>
      </c>
      <c r="Y93">
        <f>ReconciliationData[[#This Row],[ordered_units]]*ReconciliationData[[#This Row],[List_Price]]</f>
        <v>22431.499999999996</v>
      </c>
      <c r="Z93">
        <f>ReconciliationData[[#This Row],[billed_revenue]]-ReconciliationData[[#This Row],[expected_revenue]]</f>
        <v>0</v>
      </c>
      <c r="AA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3" t="str">
        <f>IF(ReconciliationData[[#This Row],[severity_score]]=0,"LOW",
 IF(ReconciliationData[[#This Row],[severity_score]]&lt;=5,"MEDIUM","HIGH"))</f>
        <v>LOW</v>
      </c>
      <c r="AC93" t="str">
        <f>TEXT(ReconciliationData[[#This Row],[Order_Date]],"YYYY-MM")</f>
        <v>2023-03</v>
      </c>
    </row>
    <row r="94" spans="1:29">
      <c r="A94" t="s">
        <v>485</v>
      </c>
      <c r="B94" s="1">
        <v>45585</v>
      </c>
      <c r="C94" t="s">
        <v>486</v>
      </c>
      <c r="D94" t="s">
        <v>487</v>
      </c>
      <c r="E94">
        <v>152</v>
      </c>
      <c r="F94" t="s">
        <v>488</v>
      </c>
      <c r="G94">
        <v>152</v>
      </c>
      <c r="H94">
        <v>280.03500000000003</v>
      </c>
      <c r="N94">
        <v>280.03500000000003</v>
      </c>
      <c r="O94" s="1">
        <v>45146</v>
      </c>
      <c r="P94">
        <f>IF(ISBLANK(ReconciliationData[[#This Row],[Invoice_ID]]),1,0)</f>
        <v>0</v>
      </c>
      <c r="Q94">
        <f>IF(AND(NOT(ISBLANK(ReconciliationData[[#This Row],[Billed_Units]])),ReconciliationData[[#This Row],[ordered_units]]&lt;&gt;ReconciliationData[[#This Row],[Billed_Units]]),1,0)</f>
        <v>0</v>
      </c>
      <c r="R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">
        <f>IF(AND(NOT(ISBLANK(ReconciliationData[[#This Row],[Contract_Price]])),ReconciliationData[[#This Row],[Billed_Price]]&lt;&gt;ReconciliationData[[#This Row],[Contract_Price]]),1,0)</f>
        <v>0</v>
      </c>
      <c r="T94">
        <f>IF(AND(NOT(ISBLANK(ReconciliationData[[#This Row],[End_Date]])),ReconciliationData[[#This Row],[Order_Date]]&gt;ReconciliationData[[#This Row],[End_Date]]),1,0)</f>
        <v>0</v>
      </c>
      <c r="U94">
        <f>IF(AND(NOT(ISBLANK(ReconciliationData[[#This Row],[last_return_date]])),ReconciliationData[[#This Row],[last_return_date]]&gt;ReconciliationData[[#This Row],[Order_Date]]+60),1,0)</f>
        <v>0</v>
      </c>
      <c r="V94">
        <f>IF(ReconciliationData[[#This Row],[total_returned_units]]&gt;ReconciliationData[[#This Row],[ordered_units]],1,0)</f>
        <v>0</v>
      </c>
      <c r="W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">
        <f>ReconciliationData[[#This Row],[Billed_Units]]*ReconciliationData[[#This Row],[Billed_Price]]</f>
        <v>42565.320000000007</v>
      </c>
      <c r="Y94">
        <f>ReconciliationData[[#This Row],[ordered_units]]*ReconciliationData[[#This Row],[List_Price]]</f>
        <v>42565.320000000007</v>
      </c>
      <c r="Z94">
        <f>ReconciliationData[[#This Row],[billed_revenue]]-ReconciliationData[[#This Row],[expected_revenue]]</f>
        <v>0</v>
      </c>
      <c r="AA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" t="str">
        <f>IF(ReconciliationData[[#This Row],[severity_score]]=0,"LOW",
 IF(ReconciliationData[[#This Row],[severity_score]]&lt;=5,"MEDIUM","HIGH"))</f>
        <v>LOW</v>
      </c>
      <c r="AC94" t="str">
        <f>TEXT(ReconciliationData[[#This Row],[Order_Date]],"YYYY-MM")</f>
        <v>2024-10</v>
      </c>
    </row>
    <row r="95" spans="1:29">
      <c r="A95" t="s">
        <v>489</v>
      </c>
      <c r="B95" s="1">
        <v>45442</v>
      </c>
      <c r="C95" t="s">
        <v>448</v>
      </c>
      <c r="D95" t="s">
        <v>490</v>
      </c>
      <c r="E95">
        <v>198</v>
      </c>
      <c r="F95" t="s">
        <v>491</v>
      </c>
      <c r="G95">
        <v>198</v>
      </c>
      <c r="H95">
        <v>1157.6343999999999</v>
      </c>
      <c r="N95">
        <v>1157.6343999999999</v>
      </c>
      <c r="O95" s="1">
        <v>44959</v>
      </c>
      <c r="P95">
        <f>IF(ISBLANK(ReconciliationData[[#This Row],[Invoice_ID]]),1,0)</f>
        <v>0</v>
      </c>
      <c r="Q95">
        <f>IF(AND(NOT(ISBLANK(ReconciliationData[[#This Row],[Billed_Units]])),ReconciliationData[[#This Row],[ordered_units]]&lt;&gt;ReconciliationData[[#This Row],[Billed_Units]]),1,0)</f>
        <v>0</v>
      </c>
      <c r="R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">
        <f>IF(AND(NOT(ISBLANK(ReconciliationData[[#This Row],[Contract_Price]])),ReconciliationData[[#This Row],[Billed_Price]]&lt;&gt;ReconciliationData[[#This Row],[Contract_Price]]),1,0)</f>
        <v>0</v>
      </c>
      <c r="T95">
        <f>IF(AND(NOT(ISBLANK(ReconciliationData[[#This Row],[End_Date]])),ReconciliationData[[#This Row],[Order_Date]]&gt;ReconciliationData[[#This Row],[End_Date]]),1,0)</f>
        <v>0</v>
      </c>
      <c r="U95">
        <f>IF(AND(NOT(ISBLANK(ReconciliationData[[#This Row],[last_return_date]])),ReconciliationData[[#This Row],[last_return_date]]&gt;ReconciliationData[[#This Row],[Order_Date]]+60),1,0)</f>
        <v>0</v>
      </c>
      <c r="V95">
        <f>IF(ReconciliationData[[#This Row],[total_returned_units]]&gt;ReconciliationData[[#This Row],[ordered_units]],1,0)</f>
        <v>0</v>
      </c>
      <c r="W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5">
        <f>ReconciliationData[[#This Row],[Billed_Units]]*ReconciliationData[[#This Row],[Billed_Price]]</f>
        <v>229211.61119999998</v>
      </c>
      <c r="Y95">
        <f>ReconciliationData[[#This Row],[ordered_units]]*ReconciliationData[[#This Row],[List_Price]]</f>
        <v>229211.61119999998</v>
      </c>
      <c r="Z95">
        <f>ReconciliationData[[#This Row],[billed_revenue]]-ReconciliationData[[#This Row],[expected_revenue]]</f>
        <v>0</v>
      </c>
      <c r="AA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5" t="str">
        <f>IF(ReconciliationData[[#This Row],[severity_score]]=0,"LOW",
 IF(ReconciliationData[[#This Row],[severity_score]]&lt;=5,"MEDIUM","HIGH"))</f>
        <v>LOW</v>
      </c>
      <c r="AC95" t="str">
        <f>TEXT(ReconciliationData[[#This Row],[Order_Date]],"YYYY-MM")</f>
        <v>2024-05</v>
      </c>
    </row>
    <row r="96" spans="1:29">
      <c r="A96" t="s">
        <v>492</v>
      </c>
      <c r="B96" s="1">
        <v>45374</v>
      </c>
      <c r="C96" t="s">
        <v>493</v>
      </c>
      <c r="D96" t="s">
        <v>494</v>
      </c>
      <c r="E96">
        <v>181</v>
      </c>
      <c r="F96" t="s">
        <v>495</v>
      </c>
      <c r="G96">
        <v>181</v>
      </c>
      <c r="H96">
        <v>262.37120000000004</v>
      </c>
      <c r="N96">
        <v>262.37120000000004</v>
      </c>
      <c r="O96" s="1">
        <v>45105</v>
      </c>
      <c r="P96">
        <f>IF(ISBLANK(ReconciliationData[[#This Row],[Invoice_ID]]),1,0)</f>
        <v>0</v>
      </c>
      <c r="Q96">
        <f>IF(AND(NOT(ISBLANK(ReconciliationData[[#This Row],[Billed_Units]])),ReconciliationData[[#This Row],[ordered_units]]&lt;&gt;ReconciliationData[[#This Row],[Billed_Units]]),1,0)</f>
        <v>0</v>
      </c>
      <c r="R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6">
        <f>IF(AND(NOT(ISBLANK(ReconciliationData[[#This Row],[Contract_Price]])),ReconciliationData[[#This Row],[Billed_Price]]&lt;&gt;ReconciliationData[[#This Row],[Contract_Price]]),1,0)</f>
        <v>0</v>
      </c>
      <c r="T96">
        <f>IF(AND(NOT(ISBLANK(ReconciliationData[[#This Row],[End_Date]])),ReconciliationData[[#This Row],[Order_Date]]&gt;ReconciliationData[[#This Row],[End_Date]]),1,0)</f>
        <v>0</v>
      </c>
      <c r="U96">
        <f>IF(AND(NOT(ISBLANK(ReconciliationData[[#This Row],[last_return_date]])),ReconciliationData[[#This Row],[last_return_date]]&gt;ReconciliationData[[#This Row],[Order_Date]]+60),1,0)</f>
        <v>0</v>
      </c>
      <c r="V96">
        <f>IF(ReconciliationData[[#This Row],[total_returned_units]]&gt;ReconciliationData[[#This Row],[ordered_units]],1,0)</f>
        <v>0</v>
      </c>
      <c r="W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6">
        <f>ReconciliationData[[#This Row],[Billed_Units]]*ReconciliationData[[#This Row],[Billed_Price]]</f>
        <v>47489.187200000008</v>
      </c>
      <c r="Y96">
        <f>ReconciliationData[[#This Row],[ordered_units]]*ReconciliationData[[#This Row],[List_Price]]</f>
        <v>47489.187200000008</v>
      </c>
      <c r="Z96">
        <f>ReconciliationData[[#This Row],[billed_revenue]]-ReconciliationData[[#This Row],[expected_revenue]]</f>
        <v>0</v>
      </c>
      <c r="AA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6" t="str">
        <f>IF(ReconciliationData[[#This Row],[severity_score]]=0,"LOW",
 IF(ReconciliationData[[#This Row],[severity_score]]&lt;=5,"MEDIUM","HIGH"))</f>
        <v>LOW</v>
      </c>
      <c r="AC96" t="str">
        <f>TEXT(ReconciliationData[[#This Row],[Order_Date]],"YYYY-MM")</f>
        <v>2024-03</v>
      </c>
    </row>
    <row r="97" spans="1:29">
      <c r="A97" t="s">
        <v>496</v>
      </c>
      <c r="B97" s="1">
        <v>45171</v>
      </c>
      <c r="C97" t="s">
        <v>411</v>
      </c>
      <c r="D97" t="s">
        <v>239</v>
      </c>
      <c r="E97">
        <v>94</v>
      </c>
      <c r="F97" t="s">
        <v>497</v>
      </c>
      <c r="G97">
        <v>94</v>
      </c>
      <c r="H97">
        <v>1218.568</v>
      </c>
      <c r="I97">
        <v>6</v>
      </c>
      <c r="J97" s="1">
        <v>45598</v>
      </c>
      <c r="N97">
        <v>1218.568</v>
      </c>
      <c r="O97" s="1">
        <v>45061</v>
      </c>
      <c r="P97">
        <f>IF(ISBLANK(ReconciliationData[[#This Row],[Invoice_ID]]),1,0)</f>
        <v>0</v>
      </c>
      <c r="Q97">
        <f>IF(AND(NOT(ISBLANK(ReconciliationData[[#This Row],[Billed_Units]])),ReconciliationData[[#This Row],[ordered_units]]&lt;&gt;ReconciliationData[[#This Row],[Billed_Units]]),1,0)</f>
        <v>0</v>
      </c>
      <c r="R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7">
        <f>IF(AND(NOT(ISBLANK(ReconciliationData[[#This Row],[Contract_Price]])),ReconciliationData[[#This Row],[Billed_Price]]&lt;&gt;ReconciliationData[[#This Row],[Contract_Price]]),1,0)</f>
        <v>0</v>
      </c>
      <c r="T97">
        <f>IF(AND(NOT(ISBLANK(ReconciliationData[[#This Row],[End_Date]])),ReconciliationData[[#This Row],[Order_Date]]&gt;ReconciliationData[[#This Row],[End_Date]]),1,0)</f>
        <v>0</v>
      </c>
      <c r="U97">
        <f>IF(AND(NOT(ISBLANK(ReconciliationData[[#This Row],[last_return_date]])),ReconciliationData[[#This Row],[last_return_date]]&gt;ReconciliationData[[#This Row],[Order_Date]]+60),1,0)</f>
        <v>1</v>
      </c>
      <c r="V97">
        <f>IF(ReconciliationData[[#This Row],[total_returned_units]]&gt;ReconciliationData[[#This Row],[ordered_units]],1,0)</f>
        <v>0</v>
      </c>
      <c r="W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7">
        <f>ReconciliationData[[#This Row],[Billed_Units]]*ReconciliationData[[#This Row],[Billed_Price]]</f>
        <v>114545.39199999999</v>
      </c>
      <c r="Y97">
        <f>ReconciliationData[[#This Row],[ordered_units]]*ReconciliationData[[#This Row],[List_Price]]</f>
        <v>114545.39199999999</v>
      </c>
      <c r="Z97">
        <f>ReconciliationData[[#This Row],[billed_revenue]]-ReconciliationData[[#This Row],[expected_revenue]]</f>
        <v>0</v>
      </c>
      <c r="AA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97" t="str">
        <f>IF(ReconciliationData[[#This Row],[severity_score]]=0,"LOW",
 IF(ReconciliationData[[#This Row],[severity_score]]&lt;=5,"MEDIUM","HIGH"))</f>
        <v>MEDIUM</v>
      </c>
      <c r="AC97" t="str">
        <f>TEXT(ReconciliationData[[#This Row],[Order_Date]],"YYYY-MM")</f>
        <v>2023-09</v>
      </c>
    </row>
    <row r="98" spans="1:29">
      <c r="A98" t="s">
        <v>498</v>
      </c>
      <c r="B98" s="1">
        <v>45367</v>
      </c>
      <c r="C98" t="s">
        <v>499</v>
      </c>
      <c r="D98" t="s">
        <v>500</v>
      </c>
      <c r="E98">
        <v>89</v>
      </c>
      <c r="F98" t="s">
        <v>501</v>
      </c>
      <c r="G98">
        <v>89</v>
      </c>
      <c r="H98">
        <v>1086.3648000000001</v>
      </c>
      <c r="N98">
        <v>1086.3648000000001</v>
      </c>
      <c r="O98" s="1">
        <v>44940</v>
      </c>
      <c r="P98">
        <f>IF(ISBLANK(ReconciliationData[[#This Row],[Invoice_ID]]),1,0)</f>
        <v>0</v>
      </c>
      <c r="Q98">
        <f>IF(AND(NOT(ISBLANK(ReconciliationData[[#This Row],[Billed_Units]])),ReconciliationData[[#This Row],[ordered_units]]&lt;&gt;ReconciliationData[[#This Row],[Billed_Units]]),1,0)</f>
        <v>0</v>
      </c>
      <c r="R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">
        <f>IF(AND(NOT(ISBLANK(ReconciliationData[[#This Row],[Contract_Price]])),ReconciliationData[[#This Row],[Billed_Price]]&lt;&gt;ReconciliationData[[#This Row],[Contract_Price]]),1,0)</f>
        <v>0</v>
      </c>
      <c r="T98">
        <f>IF(AND(NOT(ISBLANK(ReconciliationData[[#This Row],[End_Date]])),ReconciliationData[[#This Row],[Order_Date]]&gt;ReconciliationData[[#This Row],[End_Date]]),1,0)</f>
        <v>0</v>
      </c>
      <c r="U98">
        <f>IF(AND(NOT(ISBLANK(ReconciliationData[[#This Row],[last_return_date]])),ReconciliationData[[#This Row],[last_return_date]]&gt;ReconciliationData[[#This Row],[Order_Date]]+60),1,0)</f>
        <v>0</v>
      </c>
      <c r="V98">
        <f>IF(ReconciliationData[[#This Row],[total_returned_units]]&gt;ReconciliationData[[#This Row],[ordered_units]],1,0)</f>
        <v>0</v>
      </c>
      <c r="W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8">
        <f>ReconciliationData[[#This Row],[Billed_Units]]*ReconciliationData[[#This Row],[Billed_Price]]</f>
        <v>96686.467199999999</v>
      </c>
      <c r="Y98">
        <f>ReconciliationData[[#This Row],[ordered_units]]*ReconciliationData[[#This Row],[List_Price]]</f>
        <v>96686.467199999999</v>
      </c>
      <c r="Z98">
        <f>ReconciliationData[[#This Row],[billed_revenue]]-ReconciliationData[[#This Row],[expected_revenue]]</f>
        <v>0</v>
      </c>
      <c r="AA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8" t="str">
        <f>IF(ReconciliationData[[#This Row],[severity_score]]=0,"LOW",
 IF(ReconciliationData[[#This Row],[severity_score]]&lt;=5,"MEDIUM","HIGH"))</f>
        <v>LOW</v>
      </c>
      <c r="AC98" t="str">
        <f>TEXT(ReconciliationData[[#This Row],[Order_Date]],"YYYY-MM")</f>
        <v>2024-03</v>
      </c>
    </row>
    <row r="99" spans="1:29">
      <c r="A99" t="s">
        <v>502</v>
      </c>
      <c r="B99" s="1">
        <v>45083</v>
      </c>
      <c r="C99" t="s">
        <v>503</v>
      </c>
      <c r="D99" t="s">
        <v>504</v>
      </c>
      <c r="E99">
        <v>86</v>
      </c>
      <c r="F99" t="s">
        <v>505</v>
      </c>
      <c r="G99">
        <v>86</v>
      </c>
      <c r="H99">
        <v>245.8853</v>
      </c>
      <c r="N99">
        <v>245.8853</v>
      </c>
      <c r="O99" s="1">
        <v>45025</v>
      </c>
      <c r="P99">
        <f>IF(ISBLANK(ReconciliationData[[#This Row],[Invoice_ID]]),1,0)</f>
        <v>0</v>
      </c>
      <c r="Q99">
        <f>IF(AND(NOT(ISBLANK(ReconciliationData[[#This Row],[Billed_Units]])),ReconciliationData[[#This Row],[ordered_units]]&lt;&gt;ReconciliationData[[#This Row],[Billed_Units]]),1,0)</f>
        <v>0</v>
      </c>
      <c r="R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">
        <f>IF(AND(NOT(ISBLANK(ReconciliationData[[#This Row],[Contract_Price]])),ReconciliationData[[#This Row],[Billed_Price]]&lt;&gt;ReconciliationData[[#This Row],[Contract_Price]]),1,0)</f>
        <v>0</v>
      </c>
      <c r="T99">
        <f>IF(AND(NOT(ISBLANK(ReconciliationData[[#This Row],[End_Date]])),ReconciliationData[[#This Row],[Order_Date]]&gt;ReconciliationData[[#This Row],[End_Date]]),1,0)</f>
        <v>0</v>
      </c>
      <c r="U99">
        <f>IF(AND(NOT(ISBLANK(ReconciliationData[[#This Row],[last_return_date]])),ReconciliationData[[#This Row],[last_return_date]]&gt;ReconciliationData[[#This Row],[Order_Date]]+60),1,0)</f>
        <v>0</v>
      </c>
      <c r="V99">
        <f>IF(ReconciliationData[[#This Row],[total_returned_units]]&gt;ReconciliationData[[#This Row],[ordered_units]],1,0)</f>
        <v>0</v>
      </c>
      <c r="W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9">
        <f>ReconciliationData[[#This Row],[Billed_Units]]*ReconciliationData[[#This Row],[Billed_Price]]</f>
        <v>21146.1358</v>
      </c>
      <c r="Y99">
        <f>ReconciliationData[[#This Row],[ordered_units]]*ReconciliationData[[#This Row],[List_Price]]</f>
        <v>21146.1358</v>
      </c>
      <c r="Z99">
        <f>ReconciliationData[[#This Row],[billed_revenue]]-ReconciliationData[[#This Row],[expected_revenue]]</f>
        <v>0</v>
      </c>
      <c r="AA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9" t="str">
        <f>IF(ReconciliationData[[#This Row],[severity_score]]=0,"LOW",
 IF(ReconciliationData[[#This Row],[severity_score]]&lt;=5,"MEDIUM","HIGH"))</f>
        <v>LOW</v>
      </c>
      <c r="AC99" t="str">
        <f>TEXT(ReconciliationData[[#This Row],[Order_Date]],"YYYY-MM")</f>
        <v>2023-06</v>
      </c>
    </row>
    <row r="100" spans="1:29">
      <c r="A100" t="s">
        <v>506</v>
      </c>
      <c r="B100" s="1">
        <v>45471</v>
      </c>
      <c r="C100" t="s">
        <v>507</v>
      </c>
      <c r="D100" t="s">
        <v>508</v>
      </c>
      <c r="E100">
        <v>118</v>
      </c>
      <c r="F100" t="s">
        <v>509</v>
      </c>
      <c r="G100">
        <v>118</v>
      </c>
      <c r="H100">
        <v>443.27359999999999</v>
      </c>
      <c r="N100">
        <v>443.27359999999999</v>
      </c>
      <c r="O100" s="1">
        <v>44972</v>
      </c>
      <c r="P100">
        <f>IF(ISBLANK(ReconciliationData[[#This Row],[Invoice_ID]]),1,0)</f>
        <v>0</v>
      </c>
      <c r="Q100">
        <f>IF(AND(NOT(ISBLANK(ReconciliationData[[#This Row],[Billed_Units]])),ReconciliationData[[#This Row],[ordered_units]]&lt;&gt;ReconciliationData[[#This Row],[Billed_Units]]),1,0)</f>
        <v>0</v>
      </c>
      <c r="R1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">
        <f>IF(AND(NOT(ISBLANK(ReconciliationData[[#This Row],[Contract_Price]])),ReconciliationData[[#This Row],[Billed_Price]]&lt;&gt;ReconciliationData[[#This Row],[Contract_Price]]),1,0)</f>
        <v>0</v>
      </c>
      <c r="T100">
        <f>IF(AND(NOT(ISBLANK(ReconciliationData[[#This Row],[End_Date]])),ReconciliationData[[#This Row],[Order_Date]]&gt;ReconciliationData[[#This Row],[End_Date]]),1,0)</f>
        <v>0</v>
      </c>
      <c r="U100">
        <f>IF(AND(NOT(ISBLANK(ReconciliationData[[#This Row],[last_return_date]])),ReconciliationData[[#This Row],[last_return_date]]&gt;ReconciliationData[[#This Row],[Order_Date]]+60),1,0)</f>
        <v>0</v>
      </c>
      <c r="V100">
        <f>IF(ReconciliationData[[#This Row],[total_returned_units]]&gt;ReconciliationData[[#This Row],[ordered_units]],1,0)</f>
        <v>0</v>
      </c>
      <c r="W1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0">
        <f>ReconciliationData[[#This Row],[Billed_Units]]*ReconciliationData[[#This Row],[Billed_Price]]</f>
        <v>52306.284800000001</v>
      </c>
      <c r="Y100">
        <f>ReconciliationData[[#This Row],[ordered_units]]*ReconciliationData[[#This Row],[List_Price]]</f>
        <v>52306.284800000001</v>
      </c>
      <c r="Z100">
        <f>ReconciliationData[[#This Row],[billed_revenue]]-ReconciliationData[[#This Row],[expected_revenue]]</f>
        <v>0</v>
      </c>
      <c r="AA1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0" t="str">
        <f>IF(ReconciliationData[[#This Row],[severity_score]]=0,"LOW",
 IF(ReconciliationData[[#This Row],[severity_score]]&lt;=5,"MEDIUM","HIGH"))</f>
        <v>LOW</v>
      </c>
      <c r="AC100" t="str">
        <f>TEXT(ReconciliationData[[#This Row],[Order_Date]],"YYYY-MM")</f>
        <v>2024-06</v>
      </c>
    </row>
    <row r="101" spans="1:29">
      <c r="A101" t="s">
        <v>510</v>
      </c>
      <c r="B101" s="1">
        <v>45118</v>
      </c>
      <c r="C101" t="s">
        <v>511</v>
      </c>
      <c r="D101" t="s">
        <v>512</v>
      </c>
      <c r="E101">
        <v>105</v>
      </c>
      <c r="F101" t="s">
        <v>513</v>
      </c>
      <c r="G101">
        <v>105</v>
      </c>
      <c r="H101">
        <v>209.48449999999997</v>
      </c>
      <c r="N101">
        <v>209.48449999999997</v>
      </c>
      <c r="O101" s="1">
        <v>44956</v>
      </c>
      <c r="P101">
        <f>IF(ISBLANK(ReconciliationData[[#This Row],[Invoice_ID]]),1,0)</f>
        <v>0</v>
      </c>
      <c r="Q101">
        <f>IF(AND(NOT(ISBLANK(ReconciliationData[[#This Row],[Billed_Units]])),ReconciliationData[[#This Row],[ordered_units]]&lt;&gt;ReconciliationData[[#This Row],[Billed_Units]]),1,0)</f>
        <v>0</v>
      </c>
      <c r="R1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">
        <f>IF(AND(NOT(ISBLANK(ReconciliationData[[#This Row],[Contract_Price]])),ReconciliationData[[#This Row],[Billed_Price]]&lt;&gt;ReconciliationData[[#This Row],[Contract_Price]]),1,0)</f>
        <v>0</v>
      </c>
      <c r="T101">
        <f>IF(AND(NOT(ISBLANK(ReconciliationData[[#This Row],[End_Date]])),ReconciliationData[[#This Row],[Order_Date]]&gt;ReconciliationData[[#This Row],[End_Date]]),1,0)</f>
        <v>0</v>
      </c>
      <c r="U101">
        <f>IF(AND(NOT(ISBLANK(ReconciliationData[[#This Row],[last_return_date]])),ReconciliationData[[#This Row],[last_return_date]]&gt;ReconciliationData[[#This Row],[Order_Date]]+60),1,0)</f>
        <v>0</v>
      </c>
      <c r="V101">
        <f>IF(ReconciliationData[[#This Row],[total_returned_units]]&gt;ReconciliationData[[#This Row],[ordered_units]],1,0)</f>
        <v>0</v>
      </c>
      <c r="W1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">
        <f>ReconciliationData[[#This Row],[Billed_Units]]*ReconciliationData[[#This Row],[Billed_Price]]</f>
        <v>21995.872499999998</v>
      </c>
      <c r="Y101">
        <f>ReconciliationData[[#This Row],[ordered_units]]*ReconciliationData[[#This Row],[List_Price]]</f>
        <v>21995.872499999998</v>
      </c>
      <c r="Z101">
        <f>ReconciliationData[[#This Row],[billed_revenue]]-ReconciliationData[[#This Row],[expected_revenue]]</f>
        <v>0</v>
      </c>
      <c r="AA1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" t="str">
        <f>IF(ReconciliationData[[#This Row],[severity_score]]=0,"LOW",
 IF(ReconciliationData[[#This Row],[severity_score]]&lt;=5,"MEDIUM","HIGH"))</f>
        <v>LOW</v>
      </c>
      <c r="AC101" t="str">
        <f>TEXT(ReconciliationData[[#This Row],[Order_Date]],"YYYY-MM")</f>
        <v>2023-07</v>
      </c>
    </row>
    <row r="102" spans="1:29">
      <c r="A102" t="s">
        <v>514</v>
      </c>
      <c r="B102" s="1">
        <v>45292</v>
      </c>
      <c r="C102" t="s">
        <v>515</v>
      </c>
      <c r="D102" t="s">
        <v>321</v>
      </c>
      <c r="E102">
        <v>191</v>
      </c>
      <c r="F102" t="s">
        <v>516</v>
      </c>
      <c r="G102">
        <v>191</v>
      </c>
      <c r="H102">
        <v>169.22900000000001</v>
      </c>
      <c r="N102">
        <v>169.22900000000001</v>
      </c>
      <c r="O102" s="1">
        <v>45039</v>
      </c>
      <c r="P102">
        <f>IF(ISBLANK(ReconciliationData[[#This Row],[Invoice_ID]]),1,0)</f>
        <v>0</v>
      </c>
      <c r="Q102">
        <f>IF(AND(NOT(ISBLANK(ReconciliationData[[#This Row],[Billed_Units]])),ReconciliationData[[#This Row],[ordered_units]]&lt;&gt;ReconciliationData[[#This Row],[Billed_Units]]),1,0)</f>
        <v>0</v>
      </c>
      <c r="R1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">
        <f>IF(AND(NOT(ISBLANK(ReconciliationData[[#This Row],[Contract_Price]])),ReconciliationData[[#This Row],[Billed_Price]]&lt;&gt;ReconciliationData[[#This Row],[Contract_Price]]),1,0)</f>
        <v>0</v>
      </c>
      <c r="T102">
        <f>IF(AND(NOT(ISBLANK(ReconciliationData[[#This Row],[End_Date]])),ReconciliationData[[#This Row],[Order_Date]]&gt;ReconciliationData[[#This Row],[End_Date]]),1,0)</f>
        <v>0</v>
      </c>
      <c r="U102">
        <f>IF(AND(NOT(ISBLANK(ReconciliationData[[#This Row],[last_return_date]])),ReconciliationData[[#This Row],[last_return_date]]&gt;ReconciliationData[[#This Row],[Order_Date]]+60),1,0)</f>
        <v>0</v>
      </c>
      <c r="V102">
        <f>IF(ReconciliationData[[#This Row],[total_returned_units]]&gt;ReconciliationData[[#This Row],[ordered_units]],1,0)</f>
        <v>0</v>
      </c>
      <c r="W1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2">
        <f>ReconciliationData[[#This Row],[Billed_Units]]*ReconciliationData[[#This Row],[Billed_Price]]</f>
        <v>32322.739000000001</v>
      </c>
      <c r="Y102">
        <f>ReconciliationData[[#This Row],[ordered_units]]*ReconciliationData[[#This Row],[List_Price]]</f>
        <v>32322.739000000001</v>
      </c>
      <c r="Z102">
        <f>ReconciliationData[[#This Row],[billed_revenue]]-ReconciliationData[[#This Row],[expected_revenue]]</f>
        <v>0</v>
      </c>
      <c r="AA1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2" t="str">
        <f>IF(ReconciliationData[[#This Row],[severity_score]]=0,"LOW",
 IF(ReconciliationData[[#This Row],[severity_score]]&lt;=5,"MEDIUM","HIGH"))</f>
        <v>LOW</v>
      </c>
      <c r="AC102" t="str">
        <f>TEXT(ReconciliationData[[#This Row],[Order_Date]],"YYYY-MM")</f>
        <v>2024-01</v>
      </c>
    </row>
    <row r="103" spans="1:29">
      <c r="A103" t="s">
        <v>517</v>
      </c>
      <c r="B103" s="1">
        <v>44941</v>
      </c>
      <c r="C103" t="s">
        <v>518</v>
      </c>
      <c r="D103" t="s">
        <v>494</v>
      </c>
      <c r="E103">
        <v>72</v>
      </c>
      <c r="F103" t="s">
        <v>519</v>
      </c>
      <c r="G103">
        <v>72</v>
      </c>
      <c r="H103">
        <v>264.84640000000002</v>
      </c>
      <c r="N103">
        <v>264.84640000000002</v>
      </c>
      <c r="O103" s="1">
        <v>44870</v>
      </c>
      <c r="P103">
        <f>IF(ISBLANK(ReconciliationData[[#This Row],[Invoice_ID]]),1,0)</f>
        <v>0</v>
      </c>
      <c r="Q103">
        <f>IF(AND(NOT(ISBLANK(ReconciliationData[[#This Row],[Billed_Units]])),ReconciliationData[[#This Row],[ordered_units]]&lt;&gt;ReconciliationData[[#This Row],[Billed_Units]]),1,0)</f>
        <v>0</v>
      </c>
      <c r="R1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">
        <f>IF(AND(NOT(ISBLANK(ReconciliationData[[#This Row],[Contract_Price]])),ReconciliationData[[#This Row],[Billed_Price]]&lt;&gt;ReconciliationData[[#This Row],[Contract_Price]]),1,0)</f>
        <v>0</v>
      </c>
      <c r="T103">
        <f>IF(AND(NOT(ISBLANK(ReconciliationData[[#This Row],[End_Date]])),ReconciliationData[[#This Row],[Order_Date]]&gt;ReconciliationData[[#This Row],[End_Date]]),1,0)</f>
        <v>0</v>
      </c>
      <c r="U103">
        <f>IF(AND(NOT(ISBLANK(ReconciliationData[[#This Row],[last_return_date]])),ReconciliationData[[#This Row],[last_return_date]]&gt;ReconciliationData[[#This Row],[Order_Date]]+60),1,0)</f>
        <v>0</v>
      </c>
      <c r="V103">
        <f>IF(ReconciliationData[[#This Row],[total_returned_units]]&gt;ReconciliationData[[#This Row],[ordered_units]],1,0)</f>
        <v>0</v>
      </c>
      <c r="W1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3">
        <f>ReconciliationData[[#This Row],[Billed_Units]]*ReconciliationData[[#This Row],[Billed_Price]]</f>
        <v>19068.9408</v>
      </c>
      <c r="Y103">
        <f>ReconciliationData[[#This Row],[ordered_units]]*ReconciliationData[[#This Row],[List_Price]]</f>
        <v>19068.9408</v>
      </c>
      <c r="Z103">
        <f>ReconciliationData[[#This Row],[billed_revenue]]-ReconciliationData[[#This Row],[expected_revenue]]</f>
        <v>0</v>
      </c>
      <c r="AA1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3" t="str">
        <f>IF(ReconciliationData[[#This Row],[severity_score]]=0,"LOW",
 IF(ReconciliationData[[#This Row],[severity_score]]&lt;=5,"MEDIUM","HIGH"))</f>
        <v>LOW</v>
      </c>
      <c r="AC103" t="str">
        <f>TEXT(ReconciliationData[[#This Row],[Order_Date]],"YYYY-MM")</f>
        <v>2023-01</v>
      </c>
    </row>
    <row r="104" spans="1:29">
      <c r="A104" t="s">
        <v>520</v>
      </c>
      <c r="B104" s="1">
        <v>45170</v>
      </c>
      <c r="C104" t="s">
        <v>521</v>
      </c>
      <c r="D104" t="s">
        <v>522</v>
      </c>
      <c r="E104">
        <v>8</v>
      </c>
      <c r="F104" t="s">
        <v>523</v>
      </c>
      <c r="G104">
        <v>8</v>
      </c>
      <c r="H104">
        <v>826.46400000000006</v>
      </c>
      <c r="N104">
        <v>826.46400000000006</v>
      </c>
      <c r="O104" s="1">
        <v>45128</v>
      </c>
      <c r="P104">
        <f>IF(ISBLANK(ReconciliationData[[#This Row],[Invoice_ID]]),1,0)</f>
        <v>0</v>
      </c>
      <c r="Q104">
        <f>IF(AND(NOT(ISBLANK(ReconciliationData[[#This Row],[Billed_Units]])),ReconciliationData[[#This Row],[ordered_units]]&lt;&gt;ReconciliationData[[#This Row],[Billed_Units]]),1,0)</f>
        <v>0</v>
      </c>
      <c r="R1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">
        <f>IF(AND(NOT(ISBLANK(ReconciliationData[[#This Row],[Contract_Price]])),ReconciliationData[[#This Row],[Billed_Price]]&lt;&gt;ReconciliationData[[#This Row],[Contract_Price]]),1,0)</f>
        <v>0</v>
      </c>
      <c r="T104">
        <f>IF(AND(NOT(ISBLANK(ReconciliationData[[#This Row],[End_Date]])),ReconciliationData[[#This Row],[Order_Date]]&gt;ReconciliationData[[#This Row],[End_Date]]),1,0)</f>
        <v>0</v>
      </c>
      <c r="U104">
        <f>IF(AND(NOT(ISBLANK(ReconciliationData[[#This Row],[last_return_date]])),ReconciliationData[[#This Row],[last_return_date]]&gt;ReconciliationData[[#This Row],[Order_Date]]+60),1,0)</f>
        <v>0</v>
      </c>
      <c r="V104">
        <f>IF(ReconciliationData[[#This Row],[total_returned_units]]&gt;ReconciliationData[[#This Row],[ordered_units]],1,0)</f>
        <v>0</v>
      </c>
      <c r="W1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4">
        <f>ReconciliationData[[#This Row],[Billed_Units]]*ReconciliationData[[#This Row],[Billed_Price]]</f>
        <v>6611.7120000000004</v>
      </c>
      <c r="Y104">
        <f>ReconciliationData[[#This Row],[ordered_units]]*ReconciliationData[[#This Row],[List_Price]]</f>
        <v>6611.7120000000004</v>
      </c>
      <c r="Z104">
        <f>ReconciliationData[[#This Row],[billed_revenue]]-ReconciliationData[[#This Row],[expected_revenue]]</f>
        <v>0</v>
      </c>
      <c r="AA1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4" t="str">
        <f>IF(ReconciliationData[[#This Row],[severity_score]]=0,"LOW",
 IF(ReconciliationData[[#This Row],[severity_score]]&lt;=5,"MEDIUM","HIGH"))</f>
        <v>LOW</v>
      </c>
      <c r="AC104" t="str">
        <f>TEXT(ReconciliationData[[#This Row],[Order_Date]],"YYYY-MM")</f>
        <v>2023-09</v>
      </c>
    </row>
    <row r="105" spans="1:29">
      <c r="A105" t="s">
        <v>524</v>
      </c>
      <c r="B105" s="1">
        <v>45148</v>
      </c>
      <c r="C105" t="s">
        <v>460</v>
      </c>
      <c r="D105" t="s">
        <v>525</v>
      </c>
      <c r="E105">
        <v>3</v>
      </c>
      <c r="F105" t="s">
        <v>526</v>
      </c>
      <c r="G105">
        <v>3</v>
      </c>
      <c r="H105">
        <v>249.1748</v>
      </c>
      <c r="N105">
        <v>249.1748</v>
      </c>
      <c r="O105" s="1">
        <v>45141</v>
      </c>
      <c r="P105">
        <f>IF(ISBLANK(ReconciliationData[[#This Row],[Invoice_ID]]),1,0)</f>
        <v>0</v>
      </c>
      <c r="Q105">
        <f>IF(AND(NOT(ISBLANK(ReconciliationData[[#This Row],[Billed_Units]])),ReconciliationData[[#This Row],[ordered_units]]&lt;&gt;ReconciliationData[[#This Row],[Billed_Units]]),1,0)</f>
        <v>0</v>
      </c>
      <c r="R1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">
        <f>IF(AND(NOT(ISBLANK(ReconciliationData[[#This Row],[Contract_Price]])),ReconciliationData[[#This Row],[Billed_Price]]&lt;&gt;ReconciliationData[[#This Row],[Contract_Price]]),1,0)</f>
        <v>0</v>
      </c>
      <c r="T105">
        <f>IF(AND(NOT(ISBLANK(ReconciliationData[[#This Row],[End_Date]])),ReconciliationData[[#This Row],[Order_Date]]&gt;ReconciliationData[[#This Row],[End_Date]]),1,0)</f>
        <v>0</v>
      </c>
      <c r="U105">
        <f>IF(AND(NOT(ISBLANK(ReconciliationData[[#This Row],[last_return_date]])),ReconciliationData[[#This Row],[last_return_date]]&gt;ReconciliationData[[#This Row],[Order_Date]]+60),1,0)</f>
        <v>0</v>
      </c>
      <c r="V105">
        <f>IF(ReconciliationData[[#This Row],[total_returned_units]]&gt;ReconciliationData[[#This Row],[ordered_units]],1,0)</f>
        <v>0</v>
      </c>
      <c r="W1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5">
        <f>ReconciliationData[[#This Row],[Billed_Units]]*ReconciliationData[[#This Row],[Billed_Price]]</f>
        <v>747.52440000000001</v>
      </c>
      <c r="Y105">
        <f>ReconciliationData[[#This Row],[ordered_units]]*ReconciliationData[[#This Row],[List_Price]]</f>
        <v>747.52440000000001</v>
      </c>
      <c r="Z105">
        <f>ReconciliationData[[#This Row],[billed_revenue]]-ReconciliationData[[#This Row],[expected_revenue]]</f>
        <v>0</v>
      </c>
      <c r="AA1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5" t="str">
        <f>IF(ReconciliationData[[#This Row],[severity_score]]=0,"LOW",
 IF(ReconciliationData[[#This Row],[severity_score]]&lt;=5,"MEDIUM","HIGH"))</f>
        <v>LOW</v>
      </c>
      <c r="AC105" t="str">
        <f>TEXT(ReconciliationData[[#This Row],[Order_Date]],"YYYY-MM")</f>
        <v>2023-08</v>
      </c>
    </row>
    <row r="106" spans="1:29">
      <c r="A106" t="s">
        <v>527</v>
      </c>
      <c r="B106" s="1">
        <v>45177</v>
      </c>
      <c r="C106" t="s">
        <v>528</v>
      </c>
      <c r="D106" t="s">
        <v>529</v>
      </c>
      <c r="E106">
        <v>135</v>
      </c>
      <c r="F106" t="s">
        <v>530</v>
      </c>
      <c r="G106">
        <v>135</v>
      </c>
      <c r="H106">
        <v>560.37830000000008</v>
      </c>
      <c r="N106">
        <v>560.37830000000008</v>
      </c>
      <c r="O106" s="1">
        <v>45089</v>
      </c>
      <c r="P106">
        <f>IF(ISBLANK(ReconciliationData[[#This Row],[Invoice_ID]]),1,0)</f>
        <v>0</v>
      </c>
      <c r="Q106">
        <f>IF(AND(NOT(ISBLANK(ReconciliationData[[#This Row],[Billed_Units]])),ReconciliationData[[#This Row],[ordered_units]]&lt;&gt;ReconciliationData[[#This Row],[Billed_Units]]),1,0)</f>
        <v>0</v>
      </c>
      <c r="R1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">
        <f>IF(AND(NOT(ISBLANK(ReconciliationData[[#This Row],[Contract_Price]])),ReconciliationData[[#This Row],[Billed_Price]]&lt;&gt;ReconciliationData[[#This Row],[Contract_Price]]),1,0)</f>
        <v>0</v>
      </c>
      <c r="T106">
        <f>IF(AND(NOT(ISBLANK(ReconciliationData[[#This Row],[End_Date]])),ReconciliationData[[#This Row],[Order_Date]]&gt;ReconciliationData[[#This Row],[End_Date]]),1,0)</f>
        <v>0</v>
      </c>
      <c r="U106">
        <f>IF(AND(NOT(ISBLANK(ReconciliationData[[#This Row],[last_return_date]])),ReconciliationData[[#This Row],[last_return_date]]&gt;ReconciliationData[[#This Row],[Order_Date]]+60),1,0)</f>
        <v>0</v>
      </c>
      <c r="V106">
        <f>IF(ReconciliationData[[#This Row],[total_returned_units]]&gt;ReconciliationData[[#This Row],[ordered_units]],1,0)</f>
        <v>0</v>
      </c>
      <c r="W1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6">
        <f>ReconciliationData[[#This Row],[Billed_Units]]*ReconciliationData[[#This Row],[Billed_Price]]</f>
        <v>75651.070500000016</v>
      </c>
      <c r="Y106">
        <f>ReconciliationData[[#This Row],[ordered_units]]*ReconciliationData[[#This Row],[List_Price]]</f>
        <v>75651.070500000016</v>
      </c>
      <c r="Z106">
        <f>ReconciliationData[[#This Row],[billed_revenue]]-ReconciliationData[[#This Row],[expected_revenue]]</f>
        <v>0</v>
      </c>
      <c r="AA1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6" t="str">
        <f>IF(ReconciliationData[[#This Row],[severity_score]]=0,"LOW",
 IF(ReconciliationData[[#This Row],[severity_score]]&lt;=5,"MEDIUM","HIGH"))</f>
        <v>LOW</v>
      </c>
      <c r="AC106" t="str">
        <f>TEXT(ReconciliationData[[#This Row],[Order_Date]],"YYYY-MM")</f>
        <v>2023-09</v>
      </c>
    </row>
    <row r="107" spans="1:29">
      <c r="A107" t="s">
        <v>531</v>
      </c>
      <c r="B107" s="1">
        <v>45147</v>
      </c>
      <c r="C107" t="s">
        <v>532</v>
      </c>
      <c r="D107" t="s">
        <v>533</v>
      </c>
      <c r="E107">
        <v>115</v>
      </c>
      <c r="F107" t="s">
        <v>534</v>
      </c>
      <c r="G107">
        <v>115</v>
      </c>
      <c r="H107">
        <v>859.25750000000005</v>
      </c>
      <c r="N107">
        <v>859.25750000000005</v>
      </c>
      <c r="O107" s="1">
        <v>44782</v>
      </c>
      <c r="P107">
        <f>IF(ISBLANK(ReconciliationData[[#This Row],[Invoice_ID]]),1,0)</f>
        <v>0</v>
      </c>
      <c r="Q107">
        <f>IF(AND(NOT(ISBLANK(ReconciliationData[[#This Row],[Billed_Units]])),ReconciliationData[[#This Row],[ordered_units]]&lt;&gt;ReconciliationData[[#This Row],[Billed_Units]]),1,0)</f>
        <v>0</v>
      </c>
      <c r="R1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">
        <f>IF(AND(NOT(ISBLANK(ReconciliationData[[#This Row],[Contract_Price]])),ReconciliationData[[#This Row],[Billed_Price]]&lt;&gt;ReconciliationData[[#This Row],[Contract_Price]]),1,0)</f>
        <v>0</v>
      </c>
      <c r="T107">
        <f>IF(AND(NOT(ISBLANK(ReconciliationData[[#This Row],[End_Date]])),ReconciliationData[[#This Row],[Order_Date]]&gt;ReconciliationData[[#This Row],[End_Date]]),1,0)</f>
        <v>0</v>
      </c>
      <c r="U107">
        <f>IF(AND(NOT(ISBLANK(ReconciliationData[[#This Row],[last_return_date]])),ReconciliationData[[#This Row],[last_return_date]]&gt;ReconciliationData[[#This Row],[Order_Date]]+60),1,0)</f>
        <v>0</v>
      </c>
      <c r="V107">
        <f>IF(ReconciliationData[[#This Row],[total_returned_units]]&gt;ReconciliationData[[#This Row],[ordered_units]],1,0)</f>
        <v>0</v>
      </c>
      <c r="W1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">
        <f>ReconciliationData[[#This Row],[Billed_Units]]*ReconciliationData[[#This Row],[Billed_Price]]</f>
        <v>98814.612500000003</v>
      </c>
      <c r="Y107">
        <f>ReconciliationData[[#This Row],[ordered_units]]*ReconciliationData[[#This Row],[List_Price]]</f>
        <v>98814.612500000003</v>
      </c>
      <c r="Z107">
        <f>ReconciliationData[[#This Row],[billed_revenue]]-ReconciliationData[[#This Row],[expected_revenue]]</f>
        <v>0</v>
      </c>
      <c r="AA1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" t="str">
        <f>IF(ReconciliationData[[#This Row],[severity_score]]=0,"LOW",
 IF(ReconciliationData[[#This Row],[severity_score]]&lt;=5,"MEDIUM","HIGH"))</f>
        <v>LOW</v>
      </c>
      <c r="AC107" t="str">
        <f>TEXT(ReconciliationData[[#This Row],[Order_Date]],"YYYY-MM")</f>
        <v>2023-08</v>
      </c>
    </row>
    <row r="108" spans="1:29">
      <c r="A108" t="s">
        <v>535</v>
      </c>
      <c r="B108" s="1">
        <v>44979</v>
      </c>
      <c r="C108" t="s">
        <v>536</v>
      </c>
      <c r="D108" t="s">
        <v>537</v>
      </c>
      <c r="E108">
        <v>146</v>
      </c>
      <c r="F108" t="s">
        <v>538</v>
      </c>
      <c r="G108">
        <v>146</v>
      </c>
      <c r="H108">
        <v>437.39519999999999</v>
      </c>
      <c r="N108">
        <v>437.39519999999999</v>
      </c>
      <c r="O108" s="1">
        <v>44935</v>
      </c>
      <c r="P108">
        <f>IF(ISBLANK(ReconciliationData[[#This Row],[Invoice_ID]]),1,0)</f>
        <v>0</v>
      </c>
      <c r="Q108">
        <f>IF(AND(NOT(ISBLANK(ReconciliationData[[#This Row],[Billed_Units]])),ReconciliationData[[#This Row],[ordered_units]]&lt;&gt;ReconciliationData[[#This Row],[Billed_Units]]),1,0)</f>
        <v>0</v>
      </c>
      <c r="R1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">
        <f>IF(AND(NOT(ISBLANK(ReconciliationData[[#This Row],[Contract_Price]])),ReconciliationData[[#This Row],[Billed_Price]]&lt;&gt;ReconciliationData[[#This Row],[Contract_Price]]),1,0)</f>
        <v>0</v>
      </c>
      <c r="T108">
        <f>IF(AND(NOT(ISBLANK(ReconciliationData[[#This Row],[End_Date]])),ReconciliationData[[#This Row],[Order_Date]]&gt;ReconciliationData[[#This Row],[End_Date]]),1,0)</f>
        <v>0</v>
      </c>
      <c r="U108">
        <f>IF(AND(NOT(ISBLANK(ReconciliationData[[#This Row],[last_return_date]])),ReconciliationData[[#This Row],[last_return_date]]&gt;ReconciliationData[[#This Row],[Order_Date]]+60),1,0)</f>
        <v>0</v>
      </c>
      <c r="V108">
        <f>IF(ReconciliationData[[#This Row],[total_returned_units]]&gt;ReconciliationData[[#This Row],[ordered_units]],1,0)</f>
        <v>0</v>
      </c>
      <c r="W1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8">
        <f>ReconciliationData[[#This Row],[Billed_Units]]*ReconciliationData[[#This Row],[Billed_Price]]</f>
        <v>63859.699199999995</v>
      </c>
      <c r="Y108">
        <f>ReconciliationData[[#This Row],[ordered_units]]*ReconciliationData[[#This Row],[List_Price]]</f>
        <v>63859.699199999995</v>
      </c>
      <c r="Z108">
        <f>ReconciliationData[[#This Row],[billed_revenue]]-ReconciliationData[[#This Row],[expected_revenue]]</f>
        <v>0</v>
      </c>
      <c r="AA1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8" t="str">
        <f>IF(ReconciliationData[[#This Row],[severity_score]]=0,"LOW",
 IF(ReconciliationData[[#This Row],[severity_score]]&lt;=5,"MEDIUM","HIGH"))</f>
        <v>LOW</v>
      </c>
      <c r="AC108" t="str">
        <f>TEXT(ReconciliationData[[#This Row],[Order_Date]],"YYYY-MM")</f>
        <v>2023-02</v>
      </c>
    </row>
    <row r="109" spans="1:29">
      <c r="A109" t="s">
        <v>539</v>
      </c>
      <c r="B109" s="1">
        <v>45473</v>
      </c>
      <c r="C109" t="s">
        <v>540</v>
      </c>
      <c r="D109" t="s">
        <v>190</v>
      </c>
      <c r="E109">
        <v>14</v>
      </c>
      <c r="F109" t="s">
        <v>541</v>
      </c>
      <c r="G109">
        <v>9</v>
      </c>
      <c r="H109">
        <v>265.44960000000003</v>
      </c>
      <c r="N109">
        <v>265.44960000000003</v>
      </c>
      <c r="O109" s="1">
        <v>44999</v>
      </c>
      <c r="P109">
        <f>IF(ISBLANK(ReconciliationData[[#This Row],[Invoice_ID]]),1,0)</f>
        <v>0</v>
      </c>
      <c r="Q109">
        <f>IF(AND(NOT(ISBLANK(ReconciliationData[[#This Row],[Billed_Units]])),ReconciliationData[[#This Row],[ordered_units]]&lt;&gt;ReconciliationData[[#This Row],[Billed_Units]]),1,0)</f>
        <v>1</v>
      </c>
      <c r="R1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">
        <f>IF(AND(NOT(ISBLANK(ReconciliationData[[#This Row],[Contract_Price]])),ReconciliationData[[#This Row],[Billed_Price]]&lt;&gt;ReconciliationData[[#This Row],[Contract_Price]]),1,0)</f>
        <v>0</v>
      </c>
      <c r="T109">
        <f>IF(AND(NOT(ISBLANK(ReconciliationData[[#This Row],[End_Date]])),ReconciliationData[[#This Row],[Order_Date]]&gt;ReconciliationData[[#This Row],[End_Date]]),1,0)</f>
        <v>0</v>
      </c>
      <c r="U109">
        <f>IF(AND(NOT(ISBLANK(ReconciliationData[[#This Row],[last_return_date]])),ReconciliationData[[#This Row],[last_return_date]]&gt;ReconciliationData[[#This Row],[Order_Date]]+60),1,0)</f>
        <v>0</v>
      </c>
      <c r="V109">
        <f>IF(ReconciliationData[[#This Row],[total_returned_units]]&gt;ReconciliationData[[#This Row],[ordered_units]],1,0)</f>
        <v>0</v>
      </c>
      <c r="W1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9">
        <f>ReconciliationData[[#This Row],[Billed_Units]]*ReconciliationData[[#This Row],[Billed_Price]]</f>
        <v>2389.0464000000002</v>
      </c>
      <c r="Y109">
        <f>ReconciliationData[[#This Row],[ordered_units]]*ReconciliationData[[#This Row],[List_Price]]</f>
        <v>3716.2944000000007</v>
      </c>
      <c r="Z109">
        <f>ReconciliationData[[#This Row],[billed_revenue]]-ReconciliationData[[#This Row],[expected_revenue]]</f>
        <v>-1327.2480000000005</v>
      </c>
      <c r="AA1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09" t="str">
        <f>IF(ReconciliationData[[#This Row],[severity_score]]=0,"LOW",
 IF(ReconciliationData[[#This Row],[severity_score]]&lt;=5,"MEDIUM","HIGH"))</f>
        <v>HIGH</v>
      </c>
      <c r="AC109" t="str">
        <f>TEXT(ReconciliationData[[#This Row],[Order_Date]],"YYYY-MM")</f>
        <v>2024-06</v>
      </c>
    </row>
    <row r="110" spans="1:29">
      <c r="A110" t="s">
        <v>542</v>
      </c>
      <c r="B110" s="1">
        <v>45345</v>
      </c>
      <c r="C110" t="s">
        <v>543</v>
      </c>
      <c r="D110" t="s">
        <v>544</v>
      </c>
      <c r="E110">
        <v>106</v>
      </c>
      <c r="F110" t="s">
        <v>545</v>
      </c>
      <c r="G110">
        <v>106</v>
      </c>
      <c r="H110">
        <v>765.52319999999997</v>
      </c>
      <c r="N110">
        <v>765.52319999999997</v>
      </c>
      <c r="O110" s="1">
        <v>45174</v>
      </c>
      <c r="P110">
        <f>IF(ISBLANK(ReconciliationData[[#This Row],[Invoice_ID]]),1,0)</f>
        <v>0</v>
      </c>
      <c r="Q110">
        <f>IF(AND(NOT(ISBLANK(ReconciliationData[[#This Row],[Billed_Units]])),ReconciliationData[[#This Row],[ordered_units]]&lt;&gt;ReconciliationData[[#This Row],[Billed_Units]]),1,0)</f>
        <v>0</v>
      </c>
      <c r="R1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">
        <f>IF(AND(NOT(ISBLANK(ReconciliationData[[#This Row],[Contract_Price]])),ReconciliationData[[#This Row],[Billed_Price]]&lt;&gt;ReconciliationData[[#This Row],[Contract_Price]]),1,0)</f>
        <v>0</v>
      </c>
      <c r="T110">
        <f>IF(AND(NOT(ISBLANK(ReconciliationData[[#This Row],[End_Date]])),ReconciliationData[[#This Row],[Order_Date]]&gt;ReconciliationData[[#This Row],[End_Date]]),1,0)</f>
        <v>0</v>
      </c>
      <c r="U110">
        <f>IF(AND(NOT(ISBLANK(ReconciliationData[[#This Row],[last_return_date]])),ReconciliationData[[#This Row],[last_return_date]]&gt;ReconciliationData[[#This Row],[Order_Date]]+60),1,0)</f>
        <v>0</v>
      </c>
      <c r="V110">
        <f>IF(ReconciliationData[[#This Row],[total_returned_units]]&gt;ReconciliationData[[#This Row],[ordered_units]],1,0)</f>
        <v>0</v>
      </c>
      <c r="W1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0">
        <f>ReconciliationData[[#This Row],[Billed_Units]]*ReconciliationData[[#This Row],[Billed_Price]]</f>
        <v>81145.459199999998</v>
      </c>
      <c r="Y110">
        <f>ReconciliationData[[#This Row],[ordered_units]]*ReconciliationData[[#This Row],[List_Price]]</f>
        <v>81145.459199999998</v>
      </c>
      <c r="Z110">
        <f>ReconciliationData[[#This Row],[billed_revenue]]-ReconciliationData[[#This Row],[expected_revenue]]</f>
        <v>0</v>
      </c>
      <c r="AA1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0" t="str">
        <f>IF(ReconciliationData[[#This Row],[severity_score]]=0,"LOW",
 IF(ReconciliationData[[#This Row],[severity_score]]&lt;=5,"MEDIUM","HIGH"))</f>
        <v>LOW</v>
      </c>
      <c r="AC110" t="str">
        <f>TEXT(ReconciliationData[[#This Row],[Order_Date]],"YYYY-MM")</f>
        <v>2024-02</v>
      </c>
    </row>
    <row r="111" spans="1:29">
      <c r="A111" t="s">
        <v>546</v>
      </c>
      <c r="B111" s="1">
        <v>45237</v>
      </c>
      <c r="C111" t="s">
        <v>547</v>
      </c>
      <c r="D111" t="s">
        <v>548</v>
      </c>
      <c r="E111">
        <v>137</v>
      </c>
      <c r="F111" t="s">
        <v>549</v>
      </c>
      <c r="G111">
        <v>137</v>
      </c>
      <c r="H111">
        <v>1072.1079000000002</v>
      </c>
      <c r="I111">
        <v>1</v>
      </c>
      <c r="J111" s="1">
        <v>45685</v>
      </c>
      <c r="N111">
        <v>1072.1079000000002</v>
      </c>
      <c r="O111" s="1">
        <v>45035</v>
      </c>
      <c r="P111">
        <f>IF(ISBLANK(ReconciliationData[[#This Row],[Invoice_ID]]),1,0)</f>
        <v>0</v>
      </c>
      <c r="Q111">
        <f>IF(AND(NOT(ISBLANK(ReconciliationData[[#This Row],[Billed_Units]])),ReconciliationData[[#This Row],[ordered_units]]&lt;&gt;ReconciliationData[[#This Row],[Billed_Units]]),1,0)</f>
        <v>0</v>
      </c>
      <c r="R1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">
        <f>IF(AND(NOT(ISBLANK(ReconciliationData[[#This Row],[Contract_Price]])),ReconciliationData[[#This Row],[Billed_Price]]&lt;&gt;ReconciliationData[[#This Row],[Contract_Price]]),1,0)</f>
        <v>0</v>
      </c>
      <c r="T111">
        <f>IF(AND(NOT(ISBLANK(ReconciliationData[[#This Row],[End_Date]])),ReconciliationData[[#This Row],[Order_Date]]&gt;ReconciliationData[[#This Row],[End_Date]]),1,0)</f>
        <v>0</v>
      </c>
      <c r="U111">
        <f>IF(AND(NOT(ISBLANK(ReconciliationData[[#This Row],[last_return_date]])),ReconciliationData[[#This Row],[last_return_date]]&gt;ReconciliationData[[#This Row],[Order_Date]]+60),1,0)</f>
        <v>1</v>
      </c>
      <c r="V111">
        <f>IF(ReconciliationData[[#This Row],[total_returned_units]]&gt;ReconciliationData[[#This Row],[ordered_units]],1,0)</f>
        <v>0</v>
      </c>
      <c r="W1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1">
        <f>ReconciliationData[[#This Row],[Billed_Units]]*ReconciliationData[[#This Row],[Billed_Price]]</f>
        <v>146878.78230000002</v>
      </c>
      <c r="Y111">
        <f>ReconciliationData[[#This Row],[ordered_units]]*ReconciliationData[[#This Row],[List_Price]]</f>
        <v>146878.78230000002</v>
      </c>
      <c r="Z111">
        <f>ReconciliationData[[#This Row],[billed_revenue]]-ReconciliationData[[#This Row],[expected_revenue]]</f>
        <v>0</v>
      </c>
      <c r="AA1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1" t="str">
        <f>IF(ReconciliationData[[#This Row],[severity_score]]=0,"LOW",
 IF(ReconciliationData[[#This Row],[severity_score]]&lt;=5,"MEDIUM","HIGH"))</f>
        <v>MEDIUM</v>
      </c>
      <c r="AC111" t="str">
        <f>TEXT(ReconciliationData[[#This Row],[Order_Date]],"YYYY-MM")</f>
        <v>2023-11</v>
      </c>
    </row>
    <row r="112" spans="1:29">
      <c r="A112" t="s">
        <v>550</v>
      </c>
      <c r="B112" s="1">
        <v>45352</v>
      </c>
      <c r="C112" t="s">
        <v>551</v>
      </c>
      <c r="D112" t="s">
        <v>552</v>
      </c>
      <c r="E112">
        <v>155</v>
      </c>
      <c r="F112" t="s">
        <v>553</v>
      </c>
      <c r="G112">
        <v>155</v>
      </c>
      <c r="H112">
        <v>497.4264</v>
      </c>
      <c r="N112">
        <v>497.4264</v>
      </c>
      <c r="O112" s="1">
        <v>45212</v>
      </c>
      <c r="P112">
        <f>IF(ISBLANK(ReconciliationData[[#This Row],[Invoice_ID]]),1,0)</f>
        <v>0</v>
      </c>
      <c r="Q112">
        <f>IF(AND(NOT(ISBLANK(ReconciliationData[[#This Row],[Billed_Units]])),ReconciliationData[[#This Row],[ordered_units]]&lt;&gt;ReconciliationData[[#This Row],[Billed_Units]]),1,0)</f>
        <v>0</v>
      </c>
      <c r="R1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">
        <f>IF(AND(NOT(ISBLANK(ReconciliationData[[#This Row],[Contract_Price]])),ReconciliationData[[#This Row],[Billed_Price]]&lt;&gt;ReconciliationData[[#This Row],[Contract_Price]]),1,0)</f>
        <v>0</v>
      </c>
      <c r="T112">
        <f>IF(AND(NOT(ISBLANK(ReconciliationData[[#This Row],[End_Date]])),ReconciliationData[[#This Row],[Order_Date]]&gt;ReconciliationData[[#This Row],[End_Date]]),1,0)</f>
        <v>0</v>
      </c>
      <c r="U112">
        <f>IF(AND(NOT(ISBLANK(ReconciliationData[[#This Row],[last_return_date]])),ReconciliationData[[#This Row],[last_return_date]]&gt;ReconciliationData[[#This Row],[Order_Date]]+60),1,0)</f>
        <v>0</v>
      </c>
      <c r="V112">
        <f>IF(ReconciliationData[[#This Row],[total_returned_units]]&gt;ReconciliationData[[#This Row],[ordered_units]],1,0)</f>
        <v>0</v>
      </c>
      <c r="W1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2">
        <f>ReconciliationData[[#This Row],[Billed_Units]]*ReconciliationData[[#This Row],[Billed_Price]]</f>
        <v>77101.092000000004</v>
      </c>
      <c r="Y112">
        <f>ReconciliationData[[#This Row],[ordered_units]]*ReconciliationData[[#This Row],[List_Price]]</f>
        <v>77101.092000000004</v>
      </c>
      <c r="Z112">
        <f>ReconciliationData[[#This Row],[billed_revenue]]-ReconciliationData[[#This Row],[expected_revenue]]</f>
        <v>0</v>
      </c>
      <c r="AA1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2" t="str">
        <f>IF(ReconciliationData[[#This Row],[severity_score]]=0,"LOW",
 IF(ReconciliationData[[#This Row],[severity_score]]&lt;=5,"MEDIUM","HIGH"))</f>
        <v>LOW</v>
      </c>
      <c r="AC112" t="str">
        <f>TEXT(ReconciliationData[[#This Row],[Order_Date]],"YYYY-MM")</f>
        <v>2024-03</v>
      </c>
    </row>
    <row r="113" spans="1:29">
      <c r="A113" t="s">
        <v>554</v>
      </c>
      <c r="B113" s="1">
        <v>45565</v>
      </c>
      <c r="C113" t="s">
        <v>555</v>
      </c>
      <c r="D113" t="s">
        <v>556</v>
      </c>
      <c r="E113">
        <v>70</v>
      </c>
      <c r="F113" t="s">
        <v>557</v>
      </c>
      <c r="G113">
        <v>70</v>
      </c>
      <c r="H113">
        <v>664.57040000000006</v>
      </c>
      <c r="N113">
        <v>664.57040000000006</v>
      </c>
      <c r="O113" s="1">
        <v>45066</v>
      </c>
      <c r="P113">
        <f>IF(ISBLANK(ReconciliationData[[#This Row],[Invoice_ID]]),1,0)</f>
        <v>0</v>
      </c>
      <c r="Q113">
        <f>IF(AND(NOT(ISBLANK(ReconciliationData[[#This Row],[Billed_Units]])),ReconciliationData[[#This Row],[ordered_units]]&lt;&gt;ReconciliationData[[#This Row],[Billed_Units]]),1,0)</f>
        <v>0</v>
      </c>
      <c r="R1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">
        <f>IF(AND(NOT(ISBLANK(ReconciliationData[[#This Row],[Contract_Price]])),ReconciliationData[[#This Row],[Billed_Price]]&lt;&gt;ReconciliationData[[#This Row],[Contract_Price]]),1,0)</f>
        <v>0</v>
      </c>
      <c r="T113">
        <f>IF(AND(NOT(ISBLANK(ReconciliationData[[#This Row],[End_Date]])),ReconciliationData[[#This Row],[Order_Date]]&gt;ReconciliationData[[#This Row],[End_Date]]),1,0)</f>
        <v>0</v>
      </c>
      <c r="U113">
        <f>IF(AND(NOT(ISBLANK(ReconciliationData[[#This Row],[last_return_date]])),ReconciliationData[[#This Row],[last_return_date]]&gt;ReconciliationData[[#This Row],[Order_Date]]+60),1,0)</f>
        <v>0</v>
      </c>
      <c r="V113">
        <f>IF(ReconciliationData[[#This Row],[total_returned_units]]&gt;ReconciliationData[[#This Row],[ordered_units]],1,0)</f>
        <v>0</v>
      </c>
      <c r="W1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3">
        <f>ReconciliationData[[#This Row],[Billed_Units]]*ReconciliationData[[#This Row],[Billed_Price]]</f>
        <v>46519.928000000007</v>
      </c>
      <c r="Y113">
        <f>ReconciliationData[[#This Row],[ordered_units]]*ReconciliationData[[#This Row],[List_Price]]</f>
        <v>46519.928000000007</v>
      </c>
      <c r="Z113">
        <f>ReconciliationData[[#This Row],[billed_revenue]]-ReconciliationData[[#This Row],[expected_revenue]]</f>
        <v>0</v>
      </c>
      <c r="AA1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3" t="str">
        <f>IF(ReconciliationData[[#This Row],[severity_score]]=0,"LOW",
 IF(ReconciliationData[[#This Row],[severity_score]]&lt;=5,"MEDIUM","HIGH"))</f>
        <v>LOW</v>
      </c>
      <c r="AC113" t="str">
        <f>TEXT(ReconciliationData[[#This Row],[Order_Date]],"YYYY-MM")</f>
        <v>2024-09</v>
      </c>
    </row>
    <row r="114" spans="1:29">
      <c r="A114" t="s">
        <v>558</v>
      </c>
      <c r="B114" s="1">
        <v>45182</v>
      </c>
      <c r="C114" t="s">
        <v>559</v>
      </c>
      <c r="D114" t="s">
        <v>560</v>
      </c>
      <c r="E114">
        <v>50</v>
      </c>
      <c r="F114" t="s">
        <v>561</v>
      </c>
      <c r="G114">
        <v>50</v>
      </c>
      <c r="H114">
        <v>1119.6587000000002</v>
      </c>
      <c r="N114">
        <v>1119.6587000000002</v>
      </c>
      <c r="O114" s="1">
        <v>45147</v>
      </c>
      <c r="P114">
        <f>IF(ISBLANK(ReconciliationData[[#This Row],[Invoice_ID]]),1,0)</f>
        <v>0</v>
      </c>
      <c r="Q114">
        <f>IF(AND(NOT(ISBLANK(ReconciliationData[[#This Row],[Billed_Units]])),ReconciliationData[[#This Row],[ordered_units]]&lt;&gt;ReconciliationData[[#This Row],[Billed_Units]]),1,0)</f>
        <v>0</v>
      </c>
      <c r="R1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">
        <f>IF(AND(NOT(ISBLANK(ReconciliationData[[#This Row],[Contract_Price]])),ReconciliationData[[#This Row],[Billed_Price]]&lt;&gt;ReconciliationData[[#This Row],[Contract_Price]]),1,0)</f>
        <v>0</v>
      </c>
      <c r="T114">
        <f>IF(AND(NOT(ISBLANK(ReconciliationData[[#This Row],[End_Date]])),ReconciliationData[[#This Row],[Order_Date]]&gt;ReconciliationData[[#This Row],[End_Date]]),1,0)</f>
        <v>0</v>
      </c>
      <c r="U114">
        <f>IF(AND(NOT(ISBLANK(ReconciliationData[[#This Row],[last_return_date]])),ReconciliationData[[#This Row],[last_return_date]]&gt;ReconciliationData[[#This Row],[Order_Date]]+60),1,0)</f>
        <v>0</v>
      </c>
      <c r="V114">
        <f>IF(ReconciliationData[[#This Row],[total_returned_units]]&gt;ReconciliationData[[#This Row],[ordered_units]],1,0)</f>
        <v>0</v>
      </c>
      <c r="W1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4">
        <f>ReconciliationData[[#This Row],[Billed_Units]]*ReconciliationData[[#This Row],[Billed_Price]]</f>
        <v>55982.935000000012</v>
      </c>
      <c r="Y114">
        <f>ReconciliationData[[#This Row],[ordered_units]]*ReconciliationData[[#This Row],[List_Price]]</f>
        <v>55982.935000000012</v>
      </c>
      <c r="Z114">
        <f>ReconciliationData[[#This Row],[billed_revenue]]-ReconciliationData[[#This Row],[expected_revenue]]</f>
        <v>0</v>
      </c>
      <c r="AA1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4" t="str">
        <f>IF(ReconciliationData[[#This Row],[severity_score]]=0,"LOW",
 IF(ReconciliationData[[#This Row],[severity_score]]&lt;=5,"MEDIUM","HIGH"))</f>
        <v>LOW</v>
      </c>
      <c r="AC114" t="str">
        <f>TEXT(ReconciliationData[[#This Row],[Order_Date]],"YYYY-MM")</f>
        <v>2023-09</v>
      </c>
    </row>
    <row r="115" spans="1:29">
      <c r="A115" t="s">
        <v>562</v>
      </c>
      <c r="B115" s="1">
        <v>45498</v>
      </c>
      <c r="C115" t="s">
        <v>563</v>
      </c>
      <c r="D115" t="s">
        <v>564</v>
      </c>
      <c r="E115">
        <v>139</v>
      </c>
      <c r="F115" t="s">
        <v>565</v>
      </c>
      <c r="G115">
        <v>139</v>
      </c>
      <c r="H115">
        <v>1171.7046</v>
      </c>
      <c r="N115">
        <v>1171.7046</v>
      </c>
      <c r="O115" s="1">
        <v>45077</v>
      </c>
      <c r="P115">
        <f>IF(ISBLANK(ReconciliationData[[#This Row],[Invoice_ID]]),1,0)</f>
        <v>0</v>
      </c>
      <c r="Q115">
        <f>IF(AND(NOT(ISBLANK(ReconciliationData[[#This Row],[Billed_Units]])),ReconciliationData[[#This Row],[ordered_units]]&lt;&gt;ReconciliationData[[#This Row],[Billed_Units]]),1,0)</f>
        <v>0</v>
      </c>
      <c r="R1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">
        <f>IF(AND(NOT(ISBLANK(ReconciliationData[[#This Row],[Contract_Price]])),ReconciliationData[[#This Row],[Billed_Price]]&lt;&gt;ReconciliationData[[#This Row],[Contract_Price]]),1,0)</f>
        <v>0</v>
      </c>
      <c r="T115">
        <f>IF(AND(NOT(ISBLANK(ReconciliationData[[#This Row],[End_Date]])),ReconciliationData[[#This Row],[Order_Date]]&gt;ReconciliationData[[#This Row],[End_Date]]),1,0)</f>
        <v>0</v>
      </c>
      <c r="U115">
        <f>IF(AND(NOT(ISBLANK(ReconciliationData[[#This Row],[last_return_date]])),ReconciliationData[[#This Row],[last_return_date]]&gt;ReconciliationData[[#This Row],[Order_Date]]+60),1,0)</f>
        <v>0</v>
      </c>
      <c r="V115">
        <f>IF(ReconciliationData[[#This Row],[total_returned_units]]&gt;ReconciliationData[[#This Row],[ordered_units]],1,0)</f>
        <v>0</v>
      </c>
      <c r="W1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5">
        <f>ReconciliationData[[#This Row],[Billed_Units]]*ReconciliationData[[#This Row],[Billed_Price]]</f>
        <v>162866.9394</v>
      </c>
      <c r="Y115">
        <f>ReconciliationData[[#This Row],[ordered_units]]*ReconciliationData[[#This Row],[List_Price]]</f>
        <v>162866.9394</v>
      </c>
      <c r="Z115">
        <f>ReconciliationData[[#This Row],[billed_revenue]]-ReconciliationData[[#This Row],[expected_revenue]]</f>
        <v>0</v>
      </c>
      <c r="AA1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5" t="str">
        <f>IF(ReconciliationData[[#This Row],[severity_score]]=0,"LOW",
 IF(ReconciliationData[[#This Row],[severity_score]]&lt;=5,"MEDIUM","HIGH"))</f>
        <v>LOW</v>
      </c>
      <c r="AC115" t="str">
        <f>TEXT(ReconciliationData[[#This Row],[Order_Date]],"YYYY-MM")</f>
        <v>2024-07</v>
      </c>
    </row>
    <row r="116" spans="1:29">
      <c r="A116" t="s">
        <v>566</v>
      </c>
      <c r="B116" s="1">
        <v>45309</v>
      </c>
      <c r="C116" t="s">
        <v>340</v>
      </c>
      <c r="D116" t="s">
        <v>198</v>
      </c>
      <c r="E116">
        <v>70</v>
      </c>
      <c r="F116" t="s">
        <v>567</v>
      </c>
      <c r="G116">
        <v>70</v>
      </c>
      <c r="H116">
        <v>78.696099999999987</v>
      </c>
      <c r="I116">
        <v>6</v>
      </c>
      <c r="J116" s="1">
        <v>45642</v>
      </c>
      <c r="N116">
        <v>78.696099999999987</v>
      </c>
      <c r="O116" s="1">
        <v>45083</v>
      </c>
      <c r="P116">
        <f>IF(ISBLANK(ReconciliationData[[#This Row],[Invoice_ID]]),1,0)</f>
        <v>0</v>
      </c>
      <c r="Q116">
        <f>IF(AND(NOT(ISBLANK(ReconciliationData[[#This Row],[Billed_Units]])),ReconciliationData[[#This Row],[ordered_units]]&lt;&gt;ReconciliationData[[#This Row],[Billed_Units]]),1,0)</f>
        <v>0</v>
      </c>
      <c r="R1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">
        <f>IF(AND(NOT(ISBLANK(ReconciliationData[[#This Row],[Contract_Price]])),ReconciliationData[[#This Row],[Billed_Price]]&lt;&gt;ReconciliationData[[#This Row],[Contract_Price]]),1,0)</f>
        <v>0</v>
      </c>
      <c r="T116">
        <f>IF(AND(NOT(ISBLANK(ReconciliationData[[#This Row],[End_Date]])),ReconciliationData[[#This Row],[Order_Date]]&gt;ReconciliationData[[#This Row],[End_Date]]),1,0)</f>
        <v>0</v>
      </c>
      <c r="U116">
        <f>IF(AND(NOT(ISBLANK(ReconciliationData[[#This Row],[last_return_date]])),ReconciliationData[[#This Row],[last_return_date]]&gt;ReconciliationData[[#This Row],[Order_Date]]+60),1,0)</f>
        <v>1</v>
      </c>
      <c r="V116">
        <f>IF(ReconciliationData[[#This Row],[total_returned_units]]&gt;ReconciliationData[[#This Row],[ordered_units]],1,0)</f>
        <v>0</v>
      </c>
      <c r="W1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6">
        <f>ReconciliationData[[#This Row],[Billed_Units]]*ReconciliationData[[#This Row],[Billed_Price]]</f>
        <v>5508.726999999999</v>
      </c>
      <c r="Y116">
        <f>ReconciliationData[[#This Row],[ordered_units]]*ReconciliationData[[#This Row],[List_Price]]</f>
        <v>5508.726999999999</v>
      </c>
      <c r="Z116">
        <f>ReconciliationData[[#This Row],[billed_revenue]]-ReconciliationData[[#This Row],[expected_revenue]]</f>
        <v>0</v>
      </c>
      <c r="AA1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6" t="str">
        <f>IF(ReconciliationData[[#This Row],[severity_score]]=0,"LOW",
 IF(ReconciliationData[[#This Row],[severity_score]]&lt;=5,"MEDIUM","HIGH"))</f>
        <v>MEDIUM</v>
      </c>
      <c r="AC116" t="str">
        <f>TEXT(ReconciliationData[[#This Row],[Order_Date]],"YYYY-MM")</f>
        <v>2024-01</v>
      </c>
    </row>
    <row r="117" spans="1:29">
      <c r="A117" t="s">
        <v>568</v>
      </c>
      <c r="B117" s="1">
        <v>45293</v>
      </c>
      <c r="C117" t="s">
        <v>193</v>
      </c>
      <c r="D117" t="s">
        <v>569</v>
      </c>
      <c r="E117">
        <v>136</v>
      </c>
      <c r="F117" t="s">
        <v>570</v>
      </c>
      <c r="G117">
        <v>136</v>
      </c>
      <c r="H117">
        <v>1232.1033839987899</v>
      </c>
      <c r="N117">
        <v>1231.9933000000001</v>
      </c>
      <c r="O117" s="1">
        <v>44934</v>
      </c>
      <c r="P117">
        <f>IF(ISBLANK(ReconciliationData[[#This Row],[Invoice_ID]]),1,0)</f>
        <v>0</v>
      </c>
      <c r="Q117">
        <f>IF(AND(NOT(ISBLANK(ReconciliationData[[#This Row],[Billed_Units]])),ReconciliationData[[#This Row],[ordered_units]]&lt;&gt;ReconciliationData[[#This Row],[Billed_Units]]),1,0)</f>
        <v>0</v>
      </c>
      <c r="R11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17">
        <f>IF(AND(NOT(ISBLANK(ReconciliationData[[#This Row],[Contract_Price]])),ReconciliationData[[#This Row],[Billed_Price]]&lt;&gt;ReconciliationData[[#This Row],[Contract_Price]]),1,0)</f>
        <v>0</v>
      </c>
      <c r="T117">
        <f>IF(AND(NOT(ISBLANK(ReconciliationData[[#This Row],[End_Date]])),ReconciliationData[[#This Row],[Order_Date]]&gt;ReconciliationData[[#This Row],[End_Date]]),1,0)</f>
        <v>0</v>
      </c>
      <c r="U117">
        <f>IF(AND(NOT(ISBLANK(ReconciliationData[[#This Row],[last_return_date]])),ReconciliationData[[#This Row],[last_return_date]]&gt;ReconciliationData[[#This Row],[Order_Date]]+60),1,0)</f>
        <v>0</v>
      </c>
      <c r="V117">
        <f>IF(ReconciliationData[[#This Row],[total_returned_units]]&gt;ReconciliationData[[#This Row],[ordered_units]],1,0)</f>
        <v>0</v>
      </c>
      <c r="W1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7">
        <f>ReconciliationData[[#This Row],[Billed_Units]]*ReconciliationData[[#This Row],[Billed_Price]]</f>
        <v>167566.06022383543</v>
      </c>
      <c r="Y117">
        <f>ReconciliationData[[#This Row],[ordered_units]]*ReconciliationData[[#This Row],[List_Price]]</f>
        <v>167551.08880000003</v>
      </c>
      <c r="Z117">
        <f>ReconciliationData[[#This Row],[billed_revenue]]-ReconciliationData[[#This Row],[expected_revenue]]</f>
        <v>14.971423835406313</v>
      </c>
      <c r="AA1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17" t="str">
        <f>IF(ReconciliationData[[#This Row],[severity_score]]=0,"LOW",
 IF(ReconciliationData[[#This Row],[severity_score]]&lt;=5,"MEDIUM","HIGH"))</f>
        <v>MEDIUM</v>
      </c>
      <c r="AC117" t="str">
        <f>TEXT(ReconciliationData[[#This Row],[Order_Date]],"YYYY-MM")</f>
        <v>2024-01</v>
      </c>
    </row>
    <row r="118" spans="1:29">
      <c r="A118" t="s">
        <v>571</v>
      </c>
      <c r="B118" s="1">
        <v>45505</v>
      </c>
      <c r="C118" t="s">
        <v>572</v>
      </c>
      <c r="D118" t="s">
        <v>573</v>
      </c>
      <c r="E118">
        <v>84</v>
      </c>
      <c r="F118" t="s">
        <v>574</v>
      </c>
      <c r="G118">
        <v>84</v>
      </c>
      <c r="H118">
        <v>1223.9694</v>
      </c>
      <c r="N118">
        <v>1223.9694</v>
      </c>
      <c r="O118" s="1">
        <v>45154</v>
      </c>
      <c r="P118">
        <f>IF(ISBLANK(ReconciliationData[[#This Row],[Invoice_ID]]),1,0)</f>
        <v>0</v>
      </c>
      <c r="Q118">
        <f>IF(AND(NOT(ISBLANK(ReconciliationData[[#This Row],[Billed_Units]])),ReconciliationData[[#This Row],[ordered_units]]&lt;&gt;ReconciliationData[[#This Row],[Billed_Units]]),1,0)</f>
        <v>0</v>
      </c>
      <c r="R1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8">
        <f>IF(AND(NOT(ISBLANK(ReconciliationData[[#This Row],[Contract_Price]])),ReconciliationData[[#This Row],[Billed_Price]]&lt;&gt;ReconciliationData[[#This Row],[Contract_Price]]),1,0)</f>
        <v>0</v>
      </c>
      <c r="T118">
        <f>IF(AND(NOT(ISBLANK(ReconciliationData[[#This Row],[End_Date]])),ReconciliationData[[#This Row],[Order_Date]]&gt;ReconciliationData[[#This Row],[End_Date]]),1,0)</f>
        <v>0</v>
      </c>
      <c r="U118">
        <f>IF(AND(NOT(ISBLANK(ReconciliationData[[#This Row],[last_return_date]])),ReconciliationData[[#This Row],[last_return_date]]&gt;ReconciliationData[[#This Row],[Order_Date]]+60),1,0)</f>
        <v>0</v>
      </c>
      <c r="V118">
        <f>IF(ReconciliationData[[#This Row],[total_returned_units]]&gt;ReconciliationData[[#This Row],[ordered_units]],1,0)</f>
        <v>0</v>
      </c>
      <c r="W1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8">
        <f>ReconciliationData[[#This Row],[Billed_Units]]*ReconciliationData[[#This Row],[Billed_Price]]</f>
        <v>102813.4296</v>
      </c>
      <c r="Y118">
        <f>ReconciliationData[[#This Row],[ordered_units]]*ReconciliationData[[#This Row],[List_Price]]</f>
        <v>102813.4296</v>
      </c>
      <c r="Z118">
        <f>ReconciliationData[[#This Row],[billed_revenue]]-ReconciliationData[[#This Row],[expected_revenue]]</f>
        <v>0</v>
      </c>
      <c r="AA1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8" t="str">
        <f>IF(ReconciliationData[[#This Row],[severity_score]]=0,"LOW",
 IF(ReconciliationData[[#This Row],[severity_score]]&lt;=5,"MEDIUM","HIGH"))</f>
        <v>LOW</v>
      </c>
      <c r="AC118" t="str">
        <f>TEXT(ReconciliationData[[#This Row],[Order_Date]],"YYYY-MM")</f>
        <v>2024-08</v>
      </c>
    </row>
    <row r="119" spans="1:29">
      <c r="A119" t="s">
        <v>575</v>
      </c>
      <c r="B119" s="1">
        <v>45072</v>
      </c>
      <c r="C119" t="s">
        <v>576</v>
      </c>
      <c r="D119" t="s">
        <v>577</v>
      </c>
      <c r="E119">
        <v>70</v>
      </c>
      <c r="F119" t="s">
        <v>578</v>
      </c>
      <c r="G119">
        <v>70</v>
      </c>
      <c r="H119">
        <v>1093.1199999999999</v>
      </c>
      <c r="N119">
        <v>1093.1199999999999</v>
      </c>
      <c r="O119" s="1">
        <v>45035</v>
      </c>
      <c r="P119">
        <f>IF(ISBLANK(ReconciliationData[[#This Row],[Invoice_ID]]),1,0)</f>
        <v>0</v>
      </c>
      <c r="Q119">
        <f>IF(AND(NOT(ISBLANK(ReconciliationData[[#This Row],[Billed_Units]])),ReconciliationData[[#This Row],[ordered_units]]&lt;&gt;ReconciliationData[[#This Row],[Billed_Units]]),1,0)</f>
        <v>0</v>
      </c>
      <c r="R1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9">
        <f>IF(AND(NOT(ISBLANK(ReconciliationData[[#This Row],[Contract_Price]])),ReconciliationData[[#This Row],[Billed_Price]]&lt;&gt;ReconciliationData[[#This Row],[Contract_Price]]),1,0)</f>
        <v>0</v>
      </c>
      <c r="T119">
        <f>IF(AND(NOT(ISBLANK(ReconciliationData[[#This Row],[End_Date]])),ReconciliationData[[#This Row],[Order_Date]]&gt;ReconciliationData[[#This Row],[End_Date]]),1,0)</f>
        <v>0</v>
      </c>
      <c r="U119">
        <f>IF(AND(NOT(ISBLANK(ReconciliationData[[#This Row],[last_return_date]])),ReconciliationData[[#This Row],[last_return_date]]&gt;ReconciliationData[[#This Row],[Order_Date]]+60),1,0)</f>
        <v>0</v>
      </c>
      <c r="V119">
        <f>IF(ReconciliationData[[#This Row],[total_returned_units]]&gt;ReconciliationData[[#This Row],[ordered_units]],1,0)</f>
        <v>0</v>
      </c>
      <c r="W1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9">
        <f>ReconciliationData[[#This Row],[Billed_Units]]*ReconciliationData[[#This Row],[Billed_Price]]</f>
        <v>76518.399999999994</v>
      </c>
      <c r="Y119">
        <f>ReconciliationData[[#This Row],[ordered_units]]*ReconciliationData[[#This Row],[List_Price]]</f>
        <v>76518.399999999994</v>
      </c>
      <c r="Z119">
        <f>ReconciliationData[[#This Row],[billed_revenue]]-ReconciliationData[[#This Row],[expected_revenue]]</f>
        <v>0</v>
      </c>
      <c r="AA1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9" t="str">
        <f>IF(ReconciliationData[[#This Row],[severity_score]]=0,"LOW",
 IF(ReconciliationData[[#This Row],[severity_score]]&lt;=5,"MEDIUM","HIGH"))</f>
        <v>LOW</v>
      </c>
      <c r="AC119" t="str">
        <f>TEXT(ReconciliationData[[#This Row],[Order_Date]],"YYYY-MM")</f>
        <v>2023-05</v>
      </c>
    </row>
    <row r="120" spans="1:29">
      <c r="A120" t="s">
        <v>579</v>
      </c>
      <c r="B120" s="1">
        <v>45526</v>
      </c>
      <c r="C120" t="s">
        <v>580</v>
      </c>
      <c r="D120" t="s">
        <v>581</v>
      </c>
      <c r="E120">
        <v>182</v>
      </c>
      <c r="F120" t="s">
        <v>582</v>
      </c>
      <c r="G120">
        <v>182</v>
      </c>
      <c r="H120">
        <v>697.85279999999989</v>
      </c>
      <c r="N120">
        <v>697.85279999999989</v>
      </c>
      <c r="O120" s="1">
        <v>45169</v>
      </c>
      <c r="P120">
        <f>IF(ISBLANK(ReconciliationData[[#This Row],[Invoice_ID]]),1,0)</f>
        <v>0</v>
      </c>
      <c r="Q120">
        <f>IF(AND(NOT(ISBLANK(ReconciliationData[[#This Row],[Billed_Units]])),ReconciliationData[[#This Row],[ordered_units]]&lt;&gt;ReconciliationData[[#This Row],[Billed_Units]]),1,0)</f>
        <v>0</v>
      </c>
      <c r="R1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">
        <f>IF(AND(NOT(ISBLANK(ReconciliationData[[#This Row],[Contract_Price]])),ReconciliationData[[#This Row],[Billed_Price]]&lt;&gt;ReconciliationData[[#This Row],[Contract_Price]]),1,0)</f>
        <v>0</v>
      </c>
      <c r="T120">
        <f>IF(AND(NOT(ISBLANK(ReconciliationData[[#This Row],[End_Date]])),ReconciliationData[[#This Row],[Order_Date]]&gt;ReconciliationData[[#This Row],[End_Date]]),1,0)</f>
        <v>0</v>
      </c>
      <c r="U120">
        <f>IF(AND(NOT(ISBLANK(ReconciliationData[[#This Row],[last_return_date]])),ReconciliationData[[#This Row],[last_return_date]]&gt;ReconciliationData[[#This Row],[Order_Date]]+60),1,0)</f>
        <v>0</v>
      </c>
      <c r="V120">
        <f>IF(ReconciliationData[[#This Row],[total_returned_units]]&gt;ReconciliationData[[#This Row],[ordered_units]],1,0)</f>
        <v>0</v>
      </c>
      <c r="W1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0">
        <f>ReconciliationData[[#This Row],[Billed_Units]]*ReconciliationData[[#This Row],[Billed_Price]]</f>
        <v>127009.20959999997</v>
      </c>
      <c r="Y120">
        <f>ReconciliationData[[#This Row],[ordered_units]]*ReconciliationData[[#This Row],[List_Price]]</f>
        <v>127009.20959999997</v>
      </c>
      <c r="Z120">
        <f>ReconciliationData[[#This Row],[billed_revenue]]-ReconciliationData[[#This Row],[expected_revenue]]</f>
        <v>0</v>
      </c>
      <c r="AA1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0" t="str">
        <f>IF(ReconciliationData[[#This Row],[severity_score]]=0,"LOW",
 IF(ReconciliationData[[#This Row],[severity_score]]&lt;=5,"MEDIUM","HIGH"))</f>
        <v>LOW</v>
      </c>
      <c r="AC120" t="str">
        <f>TEXT(ReconciliationData[[#This Row],[Order_Date]],"YYYY-MM")</f>
        <v>2024-08</v>
      </c>
    </row>
    <row r="121" spans="1:29">
      <c r="A121" t="s">
        <v>583</v>
      </c>
      <c r="B121" s="1">
        <v>44957</v>
      </c>
      <c r="C121" t="s">
        <v>584</v>
      </c>
      <c r="D121" t="s">
        <v>585</v>
      </c>
      <c r="E121">
        <v>182</v>
      </c>
      <c r="F121" t="s">
        <v>586</v>
      </c>
      <c r="G121">
        <v>182</v>
      </c>
      <c r="H121">
        <v>916.35</v>
      </c>
      <c r="N121">
        <v>916.35</v>
      </c>
      <c r="O121" s="1">
        <v>44616</v>
      </c>
      <c r="P121">
        <f>IF(ISBLANK(ReconciliationData[[#This Row],[Invoice_ID]]),1,0)</f>
        <v>0</v>
      </c>
      <c r="Q121">
        <f>IF(AND(NOT(ISBLANK(ReconciliationData[[#This Row],[Billed_Units]])),ReconciliationData[[#This Row],[ordered_units]]&lt;&gt;ReconciliationData[[#This Row],[Billed_Units]]),1,0)</f>
        <v>0</v>
      </c>
      <c r="R1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">
        <f>IF(AND(NOT(ISBLANK(ReconciliationData[[#This Row],[Contract_Price]])),ReconciliationData[[#This Row],[Billed_Price]]&lt;&gt;ReconciliationData[[#This Row],[Contract_Price]]),1,0)</f>
        <v>0</v>
      </c>
      <c r="T121">
        <f>IF(AND(NOT(ISBLANK(ReconciliationData[[#This Row],[End_Date]])),ReconciliationData[[#This Row],[Order_Date]]&gt;ReconciliationData[[#This Row],[End_Date]]),1,0)</f>
        <v>0</v>
      </c>
      <c r="U121">
        <f>IF(AND(NOT(ISBLANK(ReconciliationData[[#This Row],[last_return_date]])),ReconciliationData[[#This Row],[last_return_date]]&gt;ReconciliationData[[#This Row],[Order_Date]]+60),1,0)</f>
        <v>0</v>
      </c>
      <c r="V121">
        <f>IF(ReconciliationData[[#This Row],[total_returned_units]]&gt;ReconciliationData[[#This Row],[ordered_units]],1,0)</f>
        <v>0</v>
      </c>
      <c r="W1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1">
        <f>ReconciliationData[[#This Row],[Billed_Units]]*ReconciliationData[[#This Row],[Billed_Price]]</f>
        <v>166775.70000000001</v>
      </c>
      <c r="Y121">
        <f>ReconciliationData[[#This Row],[ordered_units]]*ReconciliationData[[#This Row],[List_Price]]</f>
        <v>166775.70000000001</v>
      </c>
      <c r="Z121">
        <f>ReconciliationData[[#This Row],[billed_revenue]]-ReconciliationData[[#This Row],[expected_revenue]]</f>
        <v>0</v>
      </c>
      <c r="AA1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1" t="str">
        <f>IF(ReconciliationData[[#This Row],[severity_score]]=0,"LOW",
 IF(ReconciliationData[[#This Row],[severity_score]]&lt;=5,"MEDIUM","HIGH"))</f>
        <v>LOW</v>
      </c>
      <c r="AC121" t="str">
        <f>TEXT(ReconciliationData[[#This Row],[Order_Date]],"YYYY-MM")</f>
        <v>2023-01</v>
      </c>
    </row>
    <row r="122" spans="1:29">
      <c r="A122" t="s">
        <v>587</v>
      </c>
      <c r="B122" s="1">
        <v>45493</v>
      </c>
      <c r="C122" t="s">
        <v>588</v>
      </c>
      <c r="D122" t="s">
        <v>589</v>
      </c>
      <c r="E122">
        <v>58</v>
      </c>
      <c r="F122" t="s">
        <v>590</v>
      </c>
      <c r="G122">
        <v>58</v>
      </c>
      <c r="H122">
        <v>1085.8974999999998</v>
      </c>
      <c r="N122">
        <v>1085.8974999999998</v>
      </c>
      <c r="O122" s="1">
        <v>45147</v>
      </c>
      <c r="P122">
        <f>IF(ISBLANK(ReconciliationData[[#This Row],[Invoice_ID]]),1,0)</f>
        <v>0</v>
      </c>
      <c r="Q122">
        <f>IF(AND(NOT(ISBLANK(ReconciliationData[[#This Row],[Billed_Units]])),ReconciliationData[[#This Row],[ordered_units]]&lt;&gt;ReconciliationData[[#This Row],[Billed_Units]]),1,0)</f>
        <v>0</v>
      </c>
      <c r="R1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">
        <f>IF(AND(NOT(ISBLANK(ReconciliationData[[#This Row],[Contract_Price]])),ReconciliationData[[#This Row],[Billed_Price]]&lt;&gt;ReconciliationData[[#This Row],[Contract_Price]]),1,0)</f>
        <v>0</v>
      </c>
      <c r="T122">
        <f>IF(AND(NOT(ISBLANK(ReconciliationData[[#This Row],[End_Date]])),ReconciliationData[[#This Row],[Order_Date]]&gt;ReconciliationData[[#This Row],[End_Date]]),1,0)</f>
        <v>0</v>
      </c>
      <c r="U122">
        <f>IF(AND(NOT(ISBLANK(ReconciliationData[[#This Row],[last_return_date]])),ReconciliationData[[#This Row],[last_return_date]]&gt;ReconciliationData[[#This Row],[Order_Date]]+60),1,0)</f>
        <v>0</v>
      </c>
      <c r="V122">
        <f>IF(ReconciliationData[[#This Row],[total_returned_units]]&gt;ReconciliationData[[#This Row],[ordered_units]],1,0)</f>
        <v>0</v>
      </c>
      <c r="W1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2">
        <f>ReconciliationData[[#This Row],[Billed_Units]]*ReconciliationData[[#This Row],[Billed_Price]]</f>
        <v>62982.054999999986</v>
      </c>
      <c r="Y122">
        <f>ReconciliationData[[#This Row],[ordered_units]]*ReconciliationData[[#This Row],[List_Price]]</f>
        <v>62982.054999999986</v>
      </c>
      <c r="Z122">
        <f>ReconciliationData[[#This Row],[billed_revenue]]-ReconciliationData[[#This Row],[expected_revenue]]</f>
        <v>0</v>
      </c>
      <c r="AA1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2" t="str">
        <f>IF(ReconciliationData[[#This Row],[severity_score]]=0,"LOW",
 IF(ReconciliationData[[#This Row],[severity_score]]&lt;=5,"MEDIUM","HIGH"))</f>
        <v>LOW</v>
      </c>
      <c r="AC122" t="str">
        <f>TEXT(ReconciliationData[[#This Row],[Order_Date]],"YYYY-MM")</f>
        <v>2024-07</v>
      </c>
    </row>
    <row r="123" spans="1:29">
      <c r="A123" t="s">
        <v>591</v>
      </c>
      <c r="B123" s="1">
        <v>45657</v>
      </c>
      <c r="C123" t="s">
        <v>592</v>
      </c>
      <c r="D123" t="s">
        <v>341</v>
      </c>
      <c r="E123">
        <v>189</v>
      </c>
      <c r="F123" t="s">
        <v>593</v>
      </c>
      <c r="G123">
        <v>189</v>
      </c>
      <c r="H123">
        <v>49.450800000000001</v>
      </c>
      <c r="N123">
        <v>49.450800000000001</v>
      </c>
      <c r="O123" s="1">
        <v>45168</v>
      </c>
      <c r="P123">
        <f>IF(ISBLANK(ReconciliationData[[#This Row],[Invoice_ID]]),1,0)</f>
        <v>0</v>
      </c>
      <c r="Q123">
        <f>IF(AND(NOT(ISBLANK(ReconciliationData[[#This Row],[Billed_Units]])),ReconciliationData[[#This Row],[ordered_units]]&lt;&gt;ReconciliationData[[#This Row],[Billed_Units]]),1,0)</f>
        <v>0</v>
      </c>
      <c r="R1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">
        <f>IF(AND(NOT(ISBLANK(ReconciliationData[[#This Row],[Contract_Price]])),ReconciliationData[[#This Row],[Billed_Price]]&lt;&gt;ReconciliationData[[#This Row],[Contract_Price]]),1,0)</f>
        <v>0</v>
      </c>
      <c r="T123">
        <f>IF(AND(NOT(ISBLANK(ReconciliationData[[#This Row],[End_Date]])),ReconciliationData[[#This Row],[Order_Date]]&gt;ReconciliationData[[#This Row],[End_Date]]),1,0)</f>
        <v>0</v>
      </c>
      <c r="U123">
        <f>IF(AND(NOT(ISBLANK(ReconciliationData[[#This Row],[last_return_date]])),ReconciliationData[[#This Row],[last_return_date]]&gt;ReconciliationData[[#This Row],[Order_Date]]+60),1,0)</f>
        <v>0</v>
      </c>
      <c r="V123">
        <f>IF(ReconciliationData[[#This Row],[total_returned_units]]&gt;ReconciliationData[[#This Row],[ordered_units]],1,0)</f>
        <v>0</v>
      </c>
      <c r="W1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3">
        <f>ReconciliationData[[#This Row],[Billed_Units]]*ReconciliationData[[#This Row],[Billed_Price]]</f>
        <v>9346.2011999999995</v>
      </c>
      <c r="Y123">
        <f>ReconciliationData[[#This Row],[ordered_units]]*ReconciliationData[[#This Row],[List_Price]]</f>
        <v>9346.2011999999995</v>
      </c>
      <c r="Z123">
        <f>ReconciliationData[[#This Row],[billed_revenue]]-ReconciliationData[[#This Row],[expected_revenue]]</f>
        <v>0</v>
      </c>
      <c r="AA1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3" t="str">
        <f>IF(ReconciliationData[[#This Row],[severity_score]]=0,"LOW",
 IF(ReconciliationData[[#This Row],[severity_score]]&lt;=5,"MEDIUM","HIGH"))</f>
        <v>LOW</v>
      </c>
      <c r="AC123" t="str">
        <f>TEXT(ReconciliationData[[#This Row],[Order_Date]],"YYYY-MM")</f>
        <v>2024-12</v>
      </c>
    </row>
    <row r="124" spans="1:29">
      <c r="A124" t="s">
        <v>594</v>
      </c>
      <c r="B124" s="1">
        <v>45415</v>
      </c>
      <c r="C124" t="s">
        <v>595</v>
      </c>
      <c r="D124" t="s">
        <v>596</v>
      </c>
      <c r="E124">
        <v>148</v>
      </c>
      <c r="F124" t="s">
        <v>597</v>
      </c>
      <c r="G124">
        <v>147</v>
      </c>
      <c r="H124">
        <v>652.1472</v>
      </c>
      <c r="N124">
        <v>652.1472</v>
      </c>
      <c r="O124" s="1">
        <v>44959</v>
      </c>
      <c r="P124">
        <f>IF(ISBLANK(ReconciliationData[[#This Row],[Invoice_ID]]),1,0)</f>
        <v>0</v>
      </c>
      <c r="Q124">
        <f>IF(AND(NOT(ISBLANK(ReconciliationData[[#This Row],[Billed_Units]])),ReconciliationData[[#This Row],[ordered_units]]&lt;&gt;ReconciliationData[[#This Row],[Billed_Units]]),1,0)</f>
        <v>1</v>
      </c>
      <c r="R1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">
        <f>IF(AND(NOT(ISBLANK(ReconciliationData[[#This Row],[Contract_Price]])),ReconciliationData[[#This Row],[Billed_Price]]&lt;&gt;ReconciliationData[[#This Row],[Contract_Price]]),1,0)</f>
        <v>0</v>
      </c>
      <c r="T124">
        <f>IF(AND(NOT(ISBLANK(ReconciliationData[[#This Row],[End_Date]])),ReconciliationData[[#This Row],[Order_Date]]&gt;ReconciliationData[[#This Row],[End_Date]]),1,0)</f>
        <v>0</v>
      </c>
      <c r="U124">
        <f>IF(AND(NOT(ISBLANK(ReconciliationData[[#This Row],[last_return_date]])),ReconciliationData[[#This Row],[last_return_date]]&gt;ReconciliationData[[#This Row],[Order_Date]]+60),1,0)</f>
        <v>0</v>
      </c>
      <c r="V124">
        <f>IF(ReconciliationData[[#This Row],[total_returned_units]]&gt;ReconciliationData[[#This Row],[ordered_units]],1,0)</f>
        <v>0</v>
      </c>
      <c r="W1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4">
        <f>ReconciliationData[[#This Row],[Billed_Units]]*ReconciliationData[[#This Row],[Billed_Price]]</f>
        <v>95865.638399999996</v>
      </c>
      <c r="Y124">
        <f>ReconciliationData[[#This Row],[ordered_units]]*ReconciliationData[[#This Row],[List_Price]]</f>
        <v>96517.785600000003</v>
      </c>
      <c r="Z124">
        <f>ReconciliationData[[#This Row],[billed_revenue]]-ReconciliationData[[#This Row],[expected_revenue]]</f>
        <v>-652.14720000000671</v>
      </c>
      <c r="AA1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24" t="str">
        <f>IF(ReconciliationData[[#This Row],[severity_score]]=0,"LOW",
 IF(ReconciliationData[[#This Row],[severity_score]]&lt;=5,"MEDIUM","HIGH"))</f>
        <v>HIGH</v>
      </c>
      <c r="AC124" t="str">
        <f>TEXT(ReconciliationData[[#This Row],[Order_Date]],"YYYY-MM")</f>
        <v>2024-05</v>
      </c>
    </row>
    <row r="125" spans="1:29">
      <c r="A125" t="s">
        <v>598</v>
      </c>
      <c r="B125" s="1">
        <v>45052</v>
      </c>
      <c r="C125" t="s">
        <v>599</v>
      </c>
      <c r="D125" t="s">
        <v>600</v>
      </c>
      <c r="E125">
        <v>102</v>
      </c>
      <c r="F125" t="s">
        <v>601</v>
      </c>
      <c r="G125">
        <v>102</v>
      </c>
      <c r="H125">
        <v>52.185000000000002</v>
      </c>
      <c r="N125">
        <v>52.185000000000002</v>
      </c>
      <c r="O125" s="1">
        <v>44998</v>
      </c>
      <c r="P125">
        <f>IF(ISBLANK(ReconciliationData[[#This Row],[Invoice_ID]]),1,0)</f>
        <v>0</v>
      </c>
      <c r="Q125">
        <f>IF(AND(NOT(ISBLANK(ReconciliationData[[#This Row],[Billed_Units]])),ReconciliationData[[#This Row],[ordered_units]]&lt;&gt;ReconciliationData[[#This Row],[Billed_Units]]),1,0)</f>
        <v>0</v>
      </c>
      <c r="R1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5">
        <f>IF(AND(NOT(ISBLANK(ReconciliationData[[#This Row],[Contract_Price]])),ReconciliationData[[#This Row],[Billed_Price]]&lt;&gt;ReconciliationData[[#This Row],[Contract_Price]]),1,0)</f>
        <v>0</v>
      </c>
      <c r="T125">
        <f>IF(AND(NOT(ISBLANK(ReconciliationData[[#This Row],[End_Date]])),ReconciliationData[[#This Row],[Order_Date]]&gt;ReconciliationData[[#This Row],[End_Date]]),1,0)</f>
        <v>0</v>
      </c>
      <c r="U125">
        <f>IF(AND(NOT(ISBLANK(ReconciliationData[[#This Row],[last_return_date]])),ReconciliationData[[#This Row],[last_return_date]]&gt;ReconciliationData[[#This Row],[Order_Date]]+60),1,0)</f>
        <v>0</v>
      </c>
      <c r="V125">
        <f>IF(ReconciliationData[[#This Row],[total_returned_units]]&gt;ReconciliationData[[#This Row],[ordered_units]],1,0)</f>
        <v>0</v>
      </c>
      <c r="W1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5">
        <f>ReconciliationData[[#This Row],[Billed_Units]]*ReconciliationData[[#This Row],[Billed_Price]]</f>
        <v>5322.87</v>
      </c>
      <c r="Y125">
        <f>ReconciliationData[[#This Row],[ordered_units]]*ReconciliationData[[#This Row],[List_Price]]</f>
        <v>5322.87</v>
      </c>
      <c r="Z125">
        <f>ReconciliationData[[#This Row],[billed_revenue]]-ReconciliationData[[#This Row],[expected_revenue]]</f>
        <v>0</v>
      </c>
      <c r="AA1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5" t="str">
        <f>IF(ReconciliationData[[#This Row],[severity_score]]=0,"LOW",
 IF(ReconciliationData[[#This Row],[severity_score]]&lt;=5,"MEDIUM","HIGH"))</f>
        <v>LOW</v>
      </c>
      <c r="AC125" t="str">
        <f>TEXT(ReconciliationData[[#This Row],[Order_Date]],"YYYY-MM")</f>
        <v>2023-05</v>
      </c>
    </row>
    <row r="126" spans="1:29">
      <c r="A126" t="s">
        <v>602</v>
      </c>
      <c r="B126" s="1">
        <v>45329</v>
      </c>
      <c r="C126" t="s">
        <v>603</v>
      </c>
      <c r="D126" t="s">
        <v>604</v>
      </c>
      <c r="E126">
        <v>124</v>
      </c>
      <c r="F126" t="s">
        <v>605</v>
      </c>
      <c r="G126">
        <v>124</v>
      </c>
      <c r="H126">
        <v>1072.5387000000001</v>
      </c>
      <c r="N126">
        <v>1072.5387000000001</v>
      </c>
      <c r="O126" s="1">
        <v>45023</v>
      </c>
      <c r="P126">
        <f>IF(ISBLANK(ReconciliationData[[#This Row],[Invoice_ID]]),1,0)</f>
        <v>0</v>
      </c>
      <c r="Q126">
        <f>IF(AND(NOT(ISBLANK(ReconciliationData[[#This Row],[Billed_Units]])),ReconciliationData[[#This Row],[ordered_units]]&lt;&gt;ReconciliationData[[#This Row],[Billed_Units]]),1,0)</f>
        <v>0</v>
      </c>
      <c r="R1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">
        <f>IF(AND(NOT(ISBLANK(ReconciliationData[[#This Row],[Contract_Price]])),ReconciliationData[[#This Row],[Billed_Price]]&lt;&gt;ReconciliationData[[#This Row],[Contract_Price]]),1,0)</f>
        <v>0</v>
      </c>
      <c r="T126">
        <f>IF(AND(NOT(ISBLANK(ReconciliationData[[#This Row],[End_Date]])),ReconciliationData[[#This Row],[Order_Date]]&gt;ReconciliationData[[#This Row],[End_Date]]),1,0)</f>
        <v>0</v>
      </c>
      <c r="U126">
        <f>IF(AND(NOT(ISBLANK(ReconciliationData[[#This Row],[last_return_date]])),ReconciliationData[[#This Row],[last_return_date]]&gt;ReconciliationData[[#This Row],[Order_Date]]+60),1,0)</f>
        <v>0</v>
      </c>
      <c r="V126">
        <f>IF(ReconciliationData[[#This Row],[total_returned_units]]&gt;ReconciliationData[[#This Row],[ordered_units]],1,0)</f>
        <v>0</v>
      </c>
      <c r="W1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6">
        <f>ReconciliationData[[#This Row],[Billed_Units]]*ReconciliationData[[#This Row],[Billed_Price]]</f>
        <v>132994.79880000002</v>
      </c>
      <c r="Y126">
        <f>ReconciliationData[[#This Row],[ordered_units]]*ReconciliationData[[#This Row],[List_Price]]</f>
        <v>132994.79880000002</v>
      </c>
      <c r="Z126">
        <f>ReconciliationData[[#This Row],[billed_revenue]]-ReconciliationData[[#This Row],[expected_revenue]]</f>
        <v>0</v>
      </c>
      <c r="AA1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6" t="str">
        <f>IF(ReconciliationData[[#This Row],[severity_score]]=0,"LOW",
 IF(ReconciliationData[[#This Row],[severity_score]]&lt;=5,"MEDIUM","HIGH"))</f>
        <v>LOW</v>
      </c>
      <c r="AC126" t="str">
        <f>TEXT(ReconciliationData[[#This Row],[Order_Date]],"YYYY-MM")</f>
        <v>2024-02</v>
      </c>
    </row>
    <row r="127" spans="1:29">
      <c r="A127" t="s">
        <v>606</v>
      </c>
      <c r="B127" s="1">
        <v>45273</v>
      </c>
      <c r="C127" t="s">
        <v>294</v>
      </c>
      <c r="D127" t="s">
        <v>134</v>
      </c>
      <c r="E127">
        <v>2</v>
      </c>
      <c r="F127" t="s">
        <v>607</v>
      </c>
      <c r="G127">
        <v>2</v>
      </c>
      <c r="H127">
        <v>446.4905</v>
      </c>
      <c r="N127">
        <v>446.4905</v>
      </c>
      <c r="O127" s="1">
        <v>45161</v>
      </c>
      <c r="P127">
        <f>IF(ISBLANK(ReconciliationData[[#This Row],[Invoice_ID]]),1,0)</f>
        <v>0</v>
      </c>
      <c r="Q127">
        <f>IF(AND(NOT(ISBLANK(ReconciliationData[[#This Row],[Billed_Units]])),ReconciliationData[[#This Row],[ordered_units]]&lt;&gt;ReconciliationData[[#This Row],[Billed_Units]]),1,0)</f>
        <v>0</v>
      </c>
      <c r="R1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7">
        <f>IF(AND(NOT(ISBLANK(ReconciliationData[[#This Row],[Contract_Price]])),ReconciliationData[[#This Row],[Billed_Price]]&lt;&gt;ReconciliationData[[#This Row],[Contract_Price]]),1,0)</f>
        <v>0</v>
      </c>
      <c r="T127">
        <f>IF(AND(NOT(ISBLANK(ReconciliationData[[#This Row],[End_Date]])),ReconciliationData[[#This Row],[Order_Date]]&gt;ReconciliationData[[#This Row],[End_Date]]),1,0)</f>
        <v>0</v>
      </c>
      <c r="U127">
        <f>IF(AND(NOT(ISBLANK(ReconciliationData[[#This Row],[last_return_date]])),ReconciliationData[[#This Row],[last_return_date]]&gt;ReconciliationData[[#This Row],[Order_Date]]+60),1,0)</f>
        <v>0</v>
      </c>
      <c r="V127">
        <f>IF(ReconciliationData[[#This Row],[total_returned_units]]&gt;ReconciliationData[[#This Row],[ordered_units]],1,0)</f>
        <v>0</v>
      </c>
      <c r="W1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7">
        <f>ReconciliationData[[#This Row],[Billed_Units]]*ReconciliationData[[#This Row],[Billed_Price]]</f>
        <v>892.98099999999999</v>
      </c>
      <c r="Y127">
        <f>ReconciliationData[[#This Row],[ordered_units]]*ReconciliationData[[#This Row],[List_Price]]</f>
        <v>892.98099999999999</v>
      </c>
      <c r="Z127">
        <f>ReconciliationData[[#This Row],[billed_revenue]]-ReconciliationData[[#This Row],[expected_revenue]]</f>
        <v>0</v>
      </c>
      <c r="AA1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7" t="str">
        <f>IF(ReconciliationData[[#This Row],[severity_score]]=0,"LOW",
 IF(ReconciliationData[[#This Row],[severity_score]]&lt;=5,"MEDIUM","HIGH"))</f>
        <v>LOW</v>
      </c>
      <c r="AC127" t="str">
        <f>TEXT(ReconciliationData[[#This Row],[Order_Date]],"YYYY-MM")</f>
        <v>2023-12</v>
      </c>
    </row>
    <row r="128" spans="1:29">
      <c r="A128" t="s">
        <v>608</v>
      </c>
      <c r="B128" s="1">
        <v>45157</v>
      </c>
      <c r="C128" t="s">
        <v>609</v>
      </c>
      <c r="D128" t="s">
        <v>610</v>
      </c>
      <c r="E128">
        <v>153</v>
      </c>
      <c r="F128" t="s">
        <v>611</v>
      </c>
      <c r="G128">
        <v>153</v>
      </c>
      <c r="H128">
        <v>457.65019999999998</v>
      </c>
      <c r="N128">
        <v>457.65019999999998</v>
      </c>
      <c r="O128" s="1">
        <v>44950</v>
      </c>
      <c r="P128">
        <f>IF(ISBLANK(ReconciliationData[[#This Row],[Invoice_ID]]),1,0)</f>
        <v>0</v>
      </c>
      <c r="Q128">
        <f>IF(AND(NOT(ISBLANK(ReconciliationData[[#This Row],[Billed_Units]])),ReconciliationData[[#This Row],[ordered_units]]&lt;&gt;ReconciliationData[[#This Row],[Billed_Units]]),1,0)</f>
        <v>0</v>
      </c>
      <c r="R1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8">
        <f>IF(AND(NOT(ISBLANK(ReconciliationData[[#This Row],[Contract_Price]])),ReconciliationData[[#This Row],[Billed_Price]]&lt;&gt;ReconciliationData[[#This Row],[Contract_Price]]),1,0)</f>
        <v>0</v>
      </c>
      <c r="T128">
        <f>IF(AND(NOT(ISBLANK(ReconciliationData[[#This Row],[End_Date]])),ReconciliationData[[#This Row],[Order_Date]]&gt;ReconciliationData[[#This Row],[End_Date]]),1,0)</f>
        <v>0</v>
      </c>
      <c r="U128">
        <f>IF(AND(NOT(ISBLANK(ReconciliationData[[#This Row],[last_return_date]])),ReconciliationData[[#This Row],[last_return_date]]&gt;ReconciliationData[[#This Row],[Order_Date]]+60),1,0)</f>
        <v>0</v>
      </c>
      <c r="V128">
        <f>IF(ReconciliationData[[#This Row],[total_returned_units]]&gt;ReconciliationData[[#This Row],[ordered_units]],1,0)</f>
        <v>0</v>
      </c>
      <c r="W1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8">
        <f>ReconciliationData[[#This Row],[Billed_Units]]*ReconciliationData[[#This Row],[Billed_Price]]</f>
        <v>70020.480599999995</v>
      </c>
      <c r="Y128">
        <f>ReconciliationData[[#This Row],[ordered_units]]*ReconciliationData[[#This Row],[List_Price]]</f>
        <v>70020.480599999995</v>
      </c>
      <c r="Z128">
        <f>ReconciliationData[[#This Row],[billed_revenue]]-ReconciliationData[[#This Row],[expected_revenue]]</f>
        <v>0</v>
      </c>
      <c r="AA1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8" t="str">
        <f>IF(ReconciliationData[[#This Row],[severity_score]]=0,"LOW",
 IF(ReconciliationData[[#This Row],[severity_score]]&lt;=5,"MEDIUM","HIGH"))</f>
        <v>LOW</v>
      </c>
      <c r="AC128" t="str">
        <f>TEXT(ReconciliationData[[#This Row],[Order_Date]],"YYYY-MM")</f>
        <v>2023-08</v>
      </c>
    </row>
    <row r="129" spans="1:29">
      <c r="A129" t="s">
        <v>612</v>
      </c>
      <c r="B129" s="1">
        <v>45073</v>
      </c>
      <c r="C129" t="s">
        <v>613</v>
      </c>
      <c r="D129" t="s">
        <v>614</v>
      </c>
      <c r="E129">
        <v>111</v>
      </c>
      <c r="F129" t="s">
        <v>615</v>
      </c>
      <c r="G129">
        <v>111</v>
      </c>
      <c r="H129">
        <v>1021.8869999999999</v>
      </c>
      <c r="I129">
        <v>9</v>
      </c>
      <c r="J129" s="1">
        <v>45286</v>
      </c>
      <c r="N129">
        <v>1021.8869999999999</v>
      </c>
      <c r="O129" s="1">
        <v>45020</v>
      </c>
      <c r="P129">
        <f>IF(ISBLANK(ReconciliationData[[#This Row],[Invoice_ID]]),1,0)</f>
        <v>0</v>
      </c>
      <c r="Q129">
        <f>IF(AND(NOT(ISBLANK(ReconciliationData[[#This Row],[Billed_Units]])),ReconciliationData[[#This Row],[ordered_units]]&lt;&gt;ReconciliationData[[#This Row],[Billed_Units]]),1,0)</f>
        <v>0</v>
      </c>
      <c r="R1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">
        <f>IF(AND(NOT(ISBLANK(ReconciliationData[[#This Row],[Contract_Price]])),ReconciliationData[[#This Row],[Billed_Price]]&lt;&gt;ReconciliationData[[#This Row],[Contract_Price]]),1,0)</f>
        <v>0</v>
      </c>
      <c r="T129">
        <f>IF(AND(NOT(ISBLANK(ReconciliationData[[#This Row],[End_Date]])),ReconciliationData[[#This Row],[Order_Date]]&gt;ReconciliationData[[#This Row],[End_Date]]),1,0)</f>
        <v>0</v>
      </c>
      <c r="U129">
        <f>IF(AND(NOT(ISBLANK(ReconciliationData[[#This Row],[last_return_date]])),ReconciliationData[[#This Row],[last_return_date]]&gt;ReconciliationData[[#This Row],[Order_Date]]+60),1,0)</f>
        <v>1</v>
      </c>
      <c r="V129">
        <f>IF(ReconciliationData[[#This Row],[total_returned_units]]&gt;ReconciliationData[[#This Row],[ordered_units]],1,0)</f>
        <v>0</v>
      </c>
      <c r="W1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9">
        <f>ReconciliationData[[#This Row],[Billed_Units]]*ReconciliationData[[#This Row],[Billed_Price]]</f>
        <v>113429.45699999999</v>
      </c>
      <c r="Y129">
        <f>ReconciliationData[[#This Row],[ordered_units]]*ReconciliationData[[#This Row],[List_Price]]</f>
        <v>113429.45699999999</v>
      </c>
      <c r="Z129">
        <f>ReconciliationData[[#This Row],[billed_revenue]]-ReconciliationData[[#This Row],[expected_revenue]]</f>
        <v>0</v>
      </c>
      <c r="AA1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29" t="str">
        <f>IF(ReconciliationData[[#This Row],[severity_score]]=0,"LOW",
 IF(ReconciliationData[[#This Row],[severity_score]]&lt;=5,"MEDIUM","HIGH"))</f>
        <v>MEDIUM</v>
      </c>
      <c r="AC129" t="str">
        <f>TEXT(ReconciliationData[[#This Row],[Order_Date]],"YYYY-MM")</f>
        <v>2023-05</v>
      </c>
    </row>
    <row r="130" spans="1:29">
      <c r="A130" t="s">
        <v>616</v>
      </c>
      <c r="B130" s="1">
        <v>45180</v>
      </c>
      <c r="C130" t="s">
        <v>617</v>
      </c>
      <c r="D130" t="s">
        <v>544</v>
      </c>
      <c r="E130">
        <v>49</v>
      </c>
      <c r="F130" t="s">
        <v>618</v>
      </c>
      <c r="G130">
        <v>49</v>
      </c>
      <c r="H130">
        <v>765.52319999999997</v>
      </c>
      <c r="N130">
        <v>765.52319999999997</v>
      </c>
      <c r="O130" s="1">
        <v>45174</v>
      </c>
      <c r="P130">
        <f>IF(ISBLANK(ReconciliationData[[#This Row],[Invoice_ID]]),1,0)</f>
        <v>0</v>
      </c>
      <c r="Q130">
        <f>IF(AND(NOT(ISBLANK(ReconciliationData[[#This Row],[Billed_Units]])),ReconciliationData[[#This Row],[ordered_units]]&lt;&gt;ReconciliationData[[#This Row],[Billed_Units]]),1,0)</f>
        <v>0</v>
      </c>
      <c r="R1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0">
        <f>IF(AND(NOT(ISBLANK(ReconciliationData[[#This Row],[Contract_Price]])),ReconciliationData[[#This Row],[Billed_Price]]&lt;&gt;ReconciliationData[[#This Row],[Contract_Price]]),1,0)</f>
        <v>0</v>
      </c>
      <c r="T130">
        <f>IF(AND(NOT(ISBLANK(ReconciliationData[[#This Row],[End_Date]])),ReconciliationData[[#This Row],[Order_Date]]&gt;ReconciliationData[[#This Row],[End_Date]]),1,0)</f>
        <v>0</v>
      </c>
      <c r="U130">
        <f>IF(AND(NOT(ISBLANK(ReconciliationData[[#This Row],[last_return_date]])),ReconciliationData[[#This Row],[last_return_date]]&gt;ReconciliationData[[#This Row],[Order_Date]]+60),1,0)</f>
        <v>0</v>
      </c>
      <c r="V130">
        <f>IF(ReconciliationData[[#This Row],[total_returned_units]]&gt;ReconciliationData[[#This Row],[ordered_units]],1,0)</f>
        <v>0</v>
      </c>
      <c r="W1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0">
        <f>ReconciliationData[[#This Row],[Billed_Units]]*ReconciliationData[[#This Row],[Billed_Price]]</f>
        <v>37510.6368</v>
      </c>
      <c r="Y130">
        <f>ReconciliationData[[#This Row],[ordered_units]]*ReconciliationData[[#This Row],[List_Price]]</f>
        <v>37510.6368</v>
      </c>
      <c r="Z130">
        <f>ReconciliationData[[#This Row],[billed_revenue]]-ReconciliationData[[#This Row],[expected_revenue]]</f>
        <v>0</v>
      </c>
      <c r="AA1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0" t="str">
        <f>IF(ReconciliationData[[#This Row],[severity_score]]=0,"LOW",
 IF(ReconciliationData[[#This Row],[severity_score]]&lt;=5,"MEDIUM","HIGH"))</f>
        <v>LOW</v>
      </c>
      <c r="AC130" t="str">
        <f>TEXT(ReconciliationData[[#This Row],[Order_Date]],"YYYY-MM")</f>
        <v>2023-09</v>
      </c>
    </row>
    <row r="131" spans="1:29">
      <c r="A131" t="s">
        <v>619</v>
      </c>
      <c r="B131" s="1">
        <v>45035</v>
      </c>
      <c r="C131" t="s">
        <v>620</v>
      </c>
      <c r="D131" t="s">
        <v>251</v>
      </c>
      <c r="E131">
        <v>41</v>
      </c>
      <c r="F131" t="s">
        <v>621</v>
      </c>
      <c r="G131">
        <v>41</v>
      </c>
      <c r="H131">
        <v>975.72600000000011</v>
      </c>
      <c r="N131">
        <v>975.72600000000011</v>
      </c>
      <c r="O131" s="1">
        <v>44864</v>
      </c>
      <c r="P131">
        <f>IF(ISBLANK(ReconciliationData[[#This Row],[Invoice_ID]]),1,0)</f>
        <v>0</v>
      </c>
      <c r="Q131">
        <f>IF(AND(NOT(ISBLANK(ReconciliationData[[#This Row],[Billed_Units]])),ReconciliationData[[#This Row],[ordered_units]]&lt;&gt;ReconciliationData[[#This Row],[Billed_Units]]),1,0)</f>
        <v>0</v>
      </c>
      <c r="R1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">
        <f>IF(AND(NOT(ISBLANK(ReconciliationData[[#This Row],[Contract_Price]])),ReconciliationData[[#This Row],[Billed_Price]]&lt;&gt;ReconciliationData[[#This Row],[Contract_Price]]),1,0)</f>
        <v>0</v>
      </c>
      <c r="T131">
        <f>IF(AND(NOT(ISBLANK(ReconciliationData[[#This Row],[End_Date]])),ReconciliationData[[#This Row],[Order_Date]]&gt;ReconciliationData[[#This Row],[End_Date]]),1,0)</f>
        <v>0</v>
      </c>
      <c r="U131">
        <f>IF(AND(NOT(ISBLANK(ReconciliationData[[#This Row],[last_return_date]])),ReconciliationData[[#This Row],[last_return_date]]&gt;ReconciliationData[[#This Row],[Order_Date]]+60),1,0)</f>
        <v>0</v>
      </c>
      <c r="V131">
        <f>IF(ReconciliationData[[#This Row],[total_returned_units]]&gt;ReconciliationData[[#This Row],[ordered_units]],1,0)</f>
        <v>0</v>
      </c>
      <c r="W1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1">
        <f>ReconciliationData[[#This Row],[Billed_Units]]*ReconciliationData[[#This Row],[Billed_Price]]</f>
        <v>40004.766000000003</v>
      </c>
      <c r="Y131">
        <f>ReconciliationData[[#This Row],[ordered_units]]*ReconciliationData[[#This Row],[List_Price]]</f>
        <v>40004.766000000003</v>
      </c>
      <c r="Z131">
        <f>ReconciliationData[[#This Row],[billed_revenue]]-ReconciliationData[[#This Row],[expected_revenue]]</f>
        <v>0</v>
      </c>
      <c r="AA1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1" t="str">
        <f>IF(ReconciliationData[[#This Row],[severity_score]]=0,"LOW",
 IF(ReconciliationData[[#This Row],[severity_score]]&lt;=5,"MEDIUM","HIGH"))</f>
        <v>LOW</v>
      </c>
      <c r="AC131" t="str">
        <f>TEXT(ReconciliationData[[#This Row],[Order_Date]],"YYYY-MM")</f>
        <v>2023-04</v>
      </c>
    </row>
    <row r="132" spans="1:29">
      <c r="A132" t="s">
        <v>622</v>
      </c>
      <c r="B132" s="1">
        <v>45359</v>
      </c>
      <c r="C132" t="s">
        <v>623</v>
      </c>
      <c r="D132" t="s">
        <v>624</v>
      </c>
      <c r="E132">
        <v>75</v>
      </c>
      <c r="F132" t="s">
        <v>625</v>
      </c>
      <c r="G132">
        <v>75</v>
      </c>
      <c r="H132">
        <v>147.17669999999998</v>
      </c>
      <c r="N132">
        <v>147.17669999999998</v>
      </c>
      <c r="O132" s="1">
        <v>45039</v>
      </c>
      <c r="P132">
        <f>IF(ISBLANK(ReconciliationData[[#This Row],[Invoice_ID]]),1,0)</f>
        <v>0</v>
      </c>
      <c r="Q132">
        <f>IF(AND(NOT(ISBLANK(ReconciliationData[[#This Row],[Billed_Units]])),ReconciliationData[[#This Row],[ordered_units]]&lt;&gt;ReconciliationData[[#This Row],[Billed_Units]]),1,0)</f>
        <v>0</v>
      </c>
      <c r="R1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2">
        <f>IF(AND(NOT(ISBLANK(ReconciliationData[[#This Row],[Contract_Price]])),ReconciliationData[[#This Row],[Billed_Price]]&lt;&gt;ReconciliationData[[#This Row],[Contract_Price]]),1,0)</f>
        <v>0</v>
      </c>
      <c r="T132">
        <f>IF(AND(NOT(ISBLANK(ReconciliationData[[#This Row],[End_Date]])),ReconciliationData[[#This Row],[Order_Date]]&gt;ReconciliationData[[#This Row],[End_Date]]),1,0)</f>
        <v>0</v>
      </c>
      <c r="U132">
        <f>IF(AND(NOT(ISBLANK(ReconciliationData[[#This Row],[last_return_date]])),ReconciliationData[[#This Row],[last_return_date]]&gt;ReconciliationData[[#This Row],[Order_Date]]+60),1,0)</f>
        <v>0</v>
      </c>
      <c r="V132">
        <f>IF(ReconciliationData[[#This Row],[total_returned_units]]&gt;ReconciliationData[[#This Row],[ordered_units]],1,0)</f>
        <v>0</v>
      </c>
      <c r="W1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2">
        <f>ReconciliationData[[#This Row],[Billed_Units]]*ReconciliationData[[#This Row],[Billed_Price]]</f>
        <v>11038.252499999999</v>
      </c>
      <c r="Y132">
        <f>ReconciliationData[[#This Row],[ordered_units]]*ReconciliationData[[#This Row],[List_Price]]</f>
        <v>11038.252499999999</v>
      </c>
      <c r="Z132">
        <f>ReconciliationData[[#This Row],[billed_revenue]]-ReconciliationData[[#This Row],[expected_revenue]]</f>
        <v>0</v>
      </c>
      <c r="AA1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2" t="str">
        <f>IF(ReconciliationData[[#This Row],[severity_score]]=0,"LOW",
 IF(ReconciliationData[[#This Row],[severity_score]]&lt;=5,"MEDIUM","HIGH"))</f>
        <v>LOW</v>
      </c>
      <c r="AC132" t="str">
        <f>TEXT(ReconciliationData[[#This Row],[Order_Date]],"YYYY-MM")</f>
        <v>2024-03</v>
      </c>
    </row>
    <row r="133" spans="1:29">
      <c r="A133" t="s">
        <v>626</v>
      </c>
      <c r="B133" s="1">
        <v>45506</v>
      </c>
      <c r="C133" t="s">
        <v>627</v>
      </c>
      <c r="D133" t="s">
        <v>628</v>
      </c>
      <c r="E133">
        <v>120</v>
      </c>
      <c r="F133" t="s">
        <v>629</v>
      </c>
      <c r="G133">
        <v>120</v>
      </c>
      <c r="H133">
        <v>322.71780000000001</v>
      </c>
      <c r="N133">
        <v>322.71780000000001</v>
      </c>
      <c r="O133" s="1">
        <v>45169</v>
      </c>
      <c r="P133">
        <f>IF(ISBLANK(ReconciliationData[[#This Row],[Invoice_ID]]),1,0)</f>
        <v>0</v>
      </c>
      <c r="Q133">
        <f>IF(AND(NOT(ISBLANK(ReconciliationData[[#This Row],[Billed_Units]])),ReconciliationData[[#This Row],[ordered_units]]&lt;&gt;ReconciliationData[[#This Row],[Billed_Units]]),1,0)</f>
        <v>0</v>
      </c>
      <c r="R1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">
        <f>IF(AND(NOT(ISBLANK(ReconciliationData[[#This Row],[Contract_Price]])),ReconciliationData[[#This Row],[Billed_Price]]&lt;&gt;ReconciliationData[[#This Row],[Contract_Price]]),1,0)</f>
        <v>0</v>
      </c>
      <c r="T133">
        <f>IF(AND(NOT(ISBLANK(ReconciliationData[[#This Row],[End_Date]])),ReconciliationData[[#This Row],[Order_Date]]&gt;ReconciliationData[[#This Row],[End_Date]]),1,0)</f>
        <v>0</v>
      </c>
      <c r="U133">
        <f>IF(AND(NOT(ISBLANK(ReconciliationData[[#This Row],[last_return_date]])),ReconciliationData[[#This Row],[last_return_date]]&gt;ReconciliationData[[#This Row],[Order_Date]]+60),1,0)</f>
        <v>0</v>
      </c>
      <c r="V133">
        <f>IF(ReconciliationData[[#This Row],[total_returned_units]]&gt;ReconciliationData[[#This Row],[ordered_units]],1,0)</f>
        <v>0</v>
      </c>
      <c r="W1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3">
        <f>ReconciliationData[[#This Row],[Billed_Units]]*ReconciliationData[[#This Row],[Billed_Price]]</f>
        <v>38726.135999999999</v>
      </c>
      <c r="Y133">
        <f>ReconciliationData[[#This Row],[ordered_units]]*ReconciliationData[[#This Row],[List_Price]]</f>
        <v>38726.135999999999</v>
      </c>
      <c r="Z133">
        <f>ReconciliationData[[#This Row],[billed_revenue]]-ReconciliationData[[#This Row],[expected_revenue]]</f>
        <v>0</v>
      </c>
      <c r="AA1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3" t="str">
        <f>IF(ReconciliationData[[#This Row],[severity_score]]=0,"LOW",
 IF(ReconciliationData[[#This Row],[severity_score]]&lt;=5,"MEDIUM","HIGH"))</f>
        <v>LOW</v>
      </c>
      <c r="AC133" t="str">
        <f>TEXT(ReconciliationData[[#This Row],[Order_Date]],"YYYY-MM")</f>
        <v>2024-08</v>
      </c>
    </row>
    <row r="134" spans="1:29">
      <c r="A134" t="s">
        <v>630</v>
      </c>
      <c r="B134" s="1">
        <v>45572</v>
      </c>
      <c r="C134" t="s">
        <v>631</v>
      </c>
      <c r="D134" t="s">
        <v>341</v>
      </c>
      <c r="E134">
        <v>89</v>
      </c>
      <c r="F134" t="s">
        <v>632</v>
      </c>
      <c r="G134">
        <v>89</v>
      </c>
      <c r="H134">
        <v>49.450800000000001</v>
      </c>
      <c r="N134">
        <v>49.450800000000001</v>
      </c>
      <c r="O134" s="1">
        <v>45168</v>
      </c>
      <c r="P134">
        <f>IF(ISBLANK(ReconciliationData[[#This Row],[Invoice_ID]]),1,0)</f>
        <v>0</v>
      </c>
      <c r="Q134">
        <f>IF(AND(NOT(ISBLANK(ReconciliationData[[#This Row],[Billed_Units]])),ReconciliationData[[#This Row],[ordered_units]]&lt;&gt;ReconciliationData[[#This Row],[Billed_Units]]),1,0)</f>
        <v>0</v>
      </c>
      <c r="R1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">
        <f>IF(AND(NOT(ISBLANK(ReconciliationData[[#This Row],[Contract_Price]])),ReconciliationData[[#This Row],[Billed_Price]]&lt;&gt;ReconciliationData[[#This Row],[Contract_Price]]),1,0)</f>
        <v>0</v>
      </c>
      <c r="T134">
        <f>IF(AND(NOT(ISBLANK(ReconciliationData[[#This Row],[End_Date]])),ReconciliationData[[#This Row],[Order_Date]]&gt;ReconciliationData[[#This Row],[End_Date]]),1,0)</f>
        <v>0</v>
      </c>
      <c r="U134">
        <f>IF(AND(NOT(ISBLANK(ReconciliationData[[#This Row],[last_return_date]])),ReconciliationData[[#This Row],[last_return_date]]&gt;ReconciliationData[[#This Row],[Order_Date]]+60),1,0)</f>
        <v>0</v>
      </c>
      <c r="V134">
        <f>IF(ReconciliationData[[#This Row],[total_returned_units]]&gt;ReconciliationData[[#This Row],[ordered_units]],1,0)</f>
        <v>0</v>
      </c>
      <c r="W1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4">
        <f>ReconciliationData[[#This Row],[Billed_Units]]*ReconciliationData[[#This Row],[Billed_Price]]</f>
        <v>4401.1212000000005</v>
      </c>
      <c r="Y134">
        <f>ReconciliationData[[#This Row],[ordered_units]]*ReconciliationData[[#This Row],[List_Price]]</f>
        <v>4401.1212000000005</v>
      </c>
      <c r="Z134">
        <f>ReconciliationData[[#This Row],[billed_revenue]]-ReconciliationData[[#This Row],[expected_revenue]]</f>
        <v>0</v>
      </c>
      <c r="AA1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4" t="str">
        <f>IF(ReconciliationData[[#This Row],[severity_score]]=0,"LOW",
 IF(ReconciliationData[[#This Row],[severity_score]]&lt;=5,"MEDIUM","HIGH"))</f>
        <v>LOW</v>
      </c>
      <c r="AC134" t="str">
        <f>TEXT(ReconciliationData[[#This Row],[Order_Date]],"YYYY-MM")</f>
        <v>2024-10</v>
      </c>
    </row>
    <row r="135" spans="1:29">
      <c r="A135" t="s">
        <v>633</v>
      </c>
      <c r="B135" s="1">
        <v>45615</v>
      </c>
      <c r="C135" t="s">
        <v>634</v>
      </c>
      <c r="D135" t="s">
        <v>635</v>
      </c>
      <c r="E135">
        <v>87</v>
      </c>
      <c r="F135" t="s">
        <v>636</v>
      </c>
      <c r="G135">
        <v>87</v>
      </c>
      <c r="H135">
        <v>951.54780000000005</v>
      </c>
      <c r="N135">
        <v>951.54780000000005</v>
      </c>
      <c r="O135" s="1">
        <v>44964</v>
      </c>
      <c r="P135">
        <f>IF(ISBLANK(ReconciliationData[[#This Row],[Invoice_ID]]),1,0)</f>
        <v>0</v>
      </c>
      <c r="Q135">
        <f>IF(AND(NOT(ISBLANK(ReconciliationData[[#This Row],[Billed_Units]])),ReconciliationData[[#This Row],[ordered_units]]&lt;&gt;ReconciliationData[[#This Row],[Billed_Units]]),1,0)</f>
        <v>0</v>
      </c>
      <c r="R1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">
        <f>IF(AND(NOT(ISBLANK(ReconciliationData[[#This Row],[Contract_Price]])),ReconciliationData[[#This Row],[Billed_Price]]&lt;&gt;ReconciliationData[[#This Row],[Contract_Price]]),1,0)</f>
        <v>0</v>
      </c>
      <c r="T135">
        <f>IF(AND(NOT(ISBLANK(ReconciliationData[[#This Row],[End_Date]])),ReconciliationData[[#This Row],[Order_Date]]&gt;ReconciliationData[[#This Row],[End_Date]]),1,0)</f>
        <v>0</v>
      </c>
      <c r="U135">
        <f>IF(AND(NOT(ISBLANK(ReconciliationData[[#This Row],[last_return_date]])),ReconciliationData[[#This Row],[last_return_date]]&gt;ReconciliationData[[#This Row],[Order_Date]]+60),1,0)</f>
        <v>0</v>
      </c>
      <c r="V135">
        <f>IF(ReconciliationData[[#This Row],[total_returned_units]]&gt;ReconciliationData[[#This Row],[ordered_units]],1,0)</f>
        <v>0</v>
      </c>
      <c r="W1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">
        <f>ReconciliationData[[#This Row],[Billed_Units]]*ReconciliationData[[#This Row],[Billed_Price]]</f>
        <v>82784.65860000001</v>
      </c>
      <c r="Y135">
        <f>ReconciliationData[[#This Row],[ordered_units]]*ReconciliationData[[#This Row],[List_Price]]</f>
        <v>82784.65860000001</v>
      </c>
      <c r="Z135">
        <f>ReconciliationData[[#This Row],[billed_revenue]]-ReconciliationData[[#This Row],[expected_revenue]]</f>
        <v>0</v>
      </c>
      <c r="AA1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" t="str">
        <f>IF(ReconciliationData[[#This Row],[severity_score]]=0,"LOW",
 IF(ReconciliationData[[#This Row],[severity_score]]&lt;=5,"MEDIUM","HIGH"))</f>
        <v>LOW</v>
      </c>
      <c r="AC135" t="str">
        <f>TEXT(ReconciliationData[[#This Row],[Order_Date]],"YYYY-MM")</f>
        <v>2024-11</v>
      </c>
    </row>
    <row r="136" spans="1:29">
      <c r="A136" t="s">
        <v>637</v>
      </c>
      <c r="B136" s="1">
        <v>45141</v>
      </c>
      <c r="C136" t="s">
        <v>638</v>
      </c>
      <c r="D136" t="s">
        <v>639</v>
      </c>
      <c r="E136">
        <v>135</v>
      </c>
      <c r="F136" t="s">
        <v>640</v>
      </c>
      <c r="G136">
        <v>135</v>
      </c>
      <c r="H136">
        <v>945.38850000000002</v>
      </c>
      <c r="N136">
        <v>945.38850000000002</v>
      </c>
      <c r="O136" s="1">
        <v>45047</v>
      </c>
      <c r="P136">
        <f>IF(ISBLANK(ReconciliationData[[#This Row],[Invoice_ID]]),1,0)</f>
        <v>0</v>
      </c>
      <c r="Q136">
        <f>IF(AND(NOT(ISBLANK(ReconciliationData[[#This Row],[Billed_Units]])),ReconciliationData[[#This Row],[ordered_units]]&lt;&gt;ReconciliationData[[#This Row],[Billed_Units]]),1,0)</f>
        <v>0</v>
      </c>
      <c r="R1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">
        <f>IF(AND(NOT(ISBLANK(ReconciliationData[[#This Row],[Contract_Price]])),ReconciliationData[[#This Row],[Billed_Price]]&lt;&gt;ReconciliationData[[#This Row],[Contract_Price]]),1,0)</f>
        <v>0</v>
      </c>
      <c r="T136">
        <f>IF(AND(NOT(ISBLANK(ReconciliationData[[#This Row],[End_Date]])),ReconciliationData[[#This Row],[Order_Date]]&gt;ReconciliationData[[#This Row],[End_Date]]),1,0)</f>
        <v>0</v>
      </c>
      <c r="U136">
        <f>IF(AND(NOT(ISBLANK(ReconciliationData[[#This Row],[last_return_date]])),ReconciliationData[[#This Row],[last_return_date]]&gt;ReconciliationData[[#This Row],[Order_Date]]+60),1,0)</f>
        <v>0</v>
      </c>
      <c r="V136">
        <f>IF(ReconciliationData[[#This Row],[total_returned_units]]&gt;ReconciliationData[[#This Row],[ordered_units]],1,0)</f>
        <v>0</v>
      </c>
      <c r="W1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">
        <f>ReconciliationData[[#This Row],[Billed_Units]]*ReconciliationData[[#This Row],[Billed_Price]]</f>
        <v>127627.44750000001</v>
      </c>
      <c r="Y136">
        <f>ReconciliationData[[#This Row],[ordered_units]]*ReconciliationData[[#This Row],[List_Price]]</f>
        <v>127627.44750000001</v>
      </c>
      <c r="Z136">
        <f>ReconciliationData[[#This Row],[billed_revenue]]-ReconciliationData[[#This Row],[expected_revenue]]</f>
        <v>0</v>
      </c>
      <c r="AA1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" t="str">
        <f>IF(ReconciliationData[[#This Row],[severity_score]]=0,"LOW",
 IF(ReconciliationData[[#This Row],[severity_score]]&lt;=5,"MEDIUM","HIGH"))</f>
        <v>LOW</v>
      </c>
      <c r="AC136" t="str">
        <f>TEXT(ReconciliationData[[#This Row],[Order_Date]],"YYYY-MM")</f>
        <v>2023-08</v>
      </c>
    </row>
    <row r="137" spans="1:29">
      <c r="A137" t="s">
        <v>641</v>
      </c>
      <c r="B137" s="1">
        <v>45282</v>
      </c>
      <c r="C137" t="s">
        <v>642</v>
      </c>
      <c r="D137" t="s">
        <v>643</v>
      </c>
      <c r="E137">
        <v>166</v>
      </c>
      <c r="F137" t="s">
        <v>644</v>
      </c>
      <c r="G137">
        <v>166</v>
      </c>
      <c r="H137">
        <v>208.65799999999999</v>
      </c>
      <c r="N137">
        <v>208.65799999999999</v>
      </c>
      <c r="O137" s="1">
        <v>44971</v>
      </c>
      <c r="P137">
        <f>IF(ISBLANK(ReconciliationData[[#This Row],[Invoice_ID]]),1,0)</f>
        <v>0</v>
      </c>
      <c r="Q137">
        <f>IF(AND(NOT(ISBLANK(ReconciliationData[[#This Row],[Billed_Units]])),ReconciliationData[[#This Row],[ordered_units]]&lt;&gt;ReconciliationData[[#This Row],[Billed_Units]]),1,0)</f>
        <v>0</v>
      </c>
      <c r="R1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">
        <f>IF(AND(NOT(ISBLANK(ReconciliationData[[#This Row],[Contract_Price]])),ReconciliationData[[#This Row],[Billed_Price]]&lt;&gt;ReconciliationData[[#This Row],[Contract_Price]]),1,0)</f>
        <v>0</v>
      </c>
      <c r="T137">
        <f>IF(AND(NOT(ISBLANK(ReconciliationData[[#This Row],[End_Date]])),ReconciliationData[[#This Row],[Order_Date]]&gt;ReconciliationData[[#This Row],[End_Date]]),1,0)</f>
        <v>0</v>
      </c>
      <c r="U137">
        <f>IF(AND(NOT(ISBLANK(ReconciliationData[[#This Row],[last_return_date]])),ReconciliationData[[#This Row],[last_return_date]]&gt;ReconciliationData[[#This Row],[Order_Date]]+60),1,0)</f>
        <v>0</v>
      </c>
      <c r="V137">
        <f>IF(ReconciliationData[[#This Row],[total_returned_units]]&gt;ReconciliationData[[#This Row],[ordered_units]],1,0)</f>
        <v>0</v>
      </c>
      <c r="W1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">
        <f>ReconciliationData[[#This Row],[Billed_Units]]*ReconciliationData[[#This Row],[Billed_Price]]</f>
        <v>34637.227999999996</v>
      </c>
      <c r="Y137">
        <f>ReconciliationData[[#This Row],[ordered_units]]*ReconciliationData[[#This Row],[List_Price]]</f>
        <v>34637.227999999996</v>
      </c>
      <c r="Z137">
        <f>ReconciliationData[[#This Row],[billed_revenue]]-ReconciliationData[[#This Row],[expected_revenue]]</f>
        <v>0</v>
      </c>
      <c r="AA1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" t="str">
        <f>IF(ReconciliationData[[#This Row],[severity_score]]=0,"LOW",
 IF(ReconciliationData[[#This Row],[severity_score]]&lt;=5,"MEDIUM","HIGH"))</f>
        <v>LOW</v>
      </c>
      <c r="AC137" t="str">
        <f>TEXT(ReconciliationData[[#This Row],[Order_Date]],"YYYY-MM")</f>
        <v>2023-12</v>
      </c>
    </row>
    <row r="138" spans="1:29">
      <c r="A138" t="s">
        <v>645</v>
      </c>
      <c r="B138" s="1">
        <v>45414</v>
      </c>
      <c r="C138" t="s">
        <v>646</v>
      </c>
      <c r="D138" t="s">
        <v>647</v>
      </c>
      <c r="E138">
        <v>124</v>
      </c>
      <c r="F138" t="s">
        <v>648</v>
      </c>
      <c r="G138">
        <v>124</v>
      </c>
      <c r="H138">
        <v>279.42789999999997</v>
      </c>
      <c r="N138">
        <v>279.42789999999997</v>
      </c>
      <c r="O138" s="1">
        <v>45103</v>
      </c>
      <c r="P138">
        <f>IF(ISBLANK(ReconciliationData[[#This Row],[Invoice_ID]]),1,0)</f>
        <v>0</v>
      </c>
      <c r="Q138">
        <f>IF(AND(NOT(ISBLANK(ReconciliationData[[#This Row],[Billed_Units]])),ReconciliationData[[#This Row],[ordered_units]]&lt;&gt;ReconciliationData[[#This Row],[Billed_Units]]),1,0)</f>
        <v>0</v>
      </c>
      <c r="R1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">
        <f>IF(AND(NOT(ISBLANK(ReconciliationData[[#This Row],[Contract_Price]])),ReconciliationData[[#This Row],[Billed_Price]]&lt;&gt;ReconciliationData[[#This Row],[Contract_Price]]),1,0)</f>
        <v>0</v>
      </c>
      <c r="T138">
        <f>IF(AND(NOT(ISBLANK(ReconciliationData[[#This Row],[End_Date]])),ReconciliationData[[#This Row],[Order_Date]]&gt;ReconciliationData[[#This Row],[End_Date]]),1,0)</f>
        <v>0</v>
      </c>
      <c r="U138">
        <f>IF(AND(NOT(ISBLANK(ReconciliationData[[#This Row],[last_return_date]])),ReconciliationData[[#This Row],[last_return_date]]&gt;ReconciliationData[[#This Row],[Order_Date]]+60),1,0)</f>
        <v>0</v>
      </c>
      <c r="V138">
        <f>IF(ReconciliationData[[#This Row],[total_returned_units]]&gt;ReconciliationData[[#This Row],[ordered_units]],1,0)</f>
        <v>0</v>
      </c>
      <c r="W1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8">
        <f>ReconciliationData[[#This Row],[Billed_Units]]*ReconciliationData[[#This Row],[Billed_Price]]</f>
        <v>34649.059599999993</v>
      </c>
      <c r="Y138">
        <f>ReconciliationData[[#This Row],[ordered_units]]*ReconciliationData[[#This Row],[List_Price]]</f>
        <v>34649.059599999993</v>
      </c>
      <c r="Z138">
        <f>ReconciliationData[[#This Row],[billed_revenue]]-ReconciliationData[[#This Row],[expected_revenue]]</f>
        <v>0</v>
      </c>
      <c r="AA1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8" t="str">
        <f>IF(ReconciliationData[[#This Row],[severity_score]]=0,"LOW",
 IF(ReconciliationData[[#This Row],[severity_score]]&lt;=5,"MEDIUM","HIGH"))</f>
        <v>LOW</v>
      </c>
      <c r="AC138" t="str">
        <f>TEXT(ReconciliationData[[#This Row],[Order_Date]],"YYYY-MM")</f>
        <v>2024-05</v>
      </c>
    </row>
    <row r="139" spans="1:29">
      <c r="A139" t="s">
        <v>649</v>
      </c>
      <c r="B139" s="1">
        <v>45053</v>
      </c>
      <c r="C139" t="s">
        <v>650</v>
      </c>
      <c r="D139" t="s">
        <v>651</v>
      </c>
      <c r="E139">
        <v>141</v>
      </c>
      <c r="F139" t="s">
        <v>652</v>
      </c>
      <c r="G139">
        <v>141</v>
      </c>
      <c r="H139">
        <v>199.8895</v>
      </c>
      <c r="N139">
        <v>199.8895</v>
      </c>
      <c r="O139" s="1">
        <v>44807</v>
      </c>
      <c r="P139">
        <f>IF(ISBLANK(ReconciliationData[[#This Row],[Invoice_ID]]),1,0)</f>
        <v>0</v>
      </c>
      <c r="Q139">
        <f>IF(AND(NOT(ISBLANK(ReconciliationData[[#This Row],[Billed_Units]])),ReconciliationData[[#This Row],[ordered_units]]&lt;&gt;ReconciliationData[[#This Row],[Billed_Units]]),1,0)</f>
        <v>0</v>
      </c>
      <c r="R1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9">
        <f>IF(AND(NOT(ISBLANK(ReconciliationData[[#This Row],[Contract_Price]])),ReconciliationData[[#This Row],[Billed_Price]]&lt;&gt;ReconciliationData[[#This Row],[Contract_Price]]),1,0)</f>
        <v>0</v>
      </c>
      <c r="T139">
        <f>IF(AND(NOT(ISBLANK(ReconciliationData[[#This Row],[End_Date]])),ReconciliationData[[#This Row],[Order_Date]]&gt;ReconciliationData[[#This Row],[End_Date]]),1,0)</f>
        <v>0</v>
      </c>
      <c r="U139">
        <f>IF(AND(NOT(ISBLANK(ReconciliationData[[#This Row],[last_return_date]])),ReconciliationData[[#This Row],[last_return_date]]&gt;ReconciliationData[[#This Row],[Order_Date]]+60),1,0)</f>
        <v>0</v>
      </c>
      <c r="V139">
        <f>IF(ReconciliationData[[#This Row],[total_returned_units]]&gt;ReconciliationData[[#This Row],[ordered_units]],1,0)</f>
        <v>0</v>
      </c>
      <c r="W1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9">
        <f>ReconciliationData[[#This Row],[Billed_Units]]*ReconciliationData[[#This Row],[Billed_Price]]</f>
        <v>28184.4195</v>
      </c>
      <c r="Y139">
        <f>ReconciliationData[[#This Row],[ordered_units]]*ReconciliationData[[#This Row],[List_Price]]</f>
        <v>28184.4195</v>
      </c>
      <c r="Z139">
        <f>ReconciliationData[[#This Row],[billed_revenue]]-ReconciliationData[[#This Row],[expected_revenue]]</f>
        <v>0</v>
      </c>
      <c r="AA1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9" t="str">
        <f>IF(ReconciliationData[[#This Row],[severity_score]]=0,"LOW",
 IF(ReconciliationData[[#This Row],[severity_score]]&lt;=5,"MEDIUM","HIGH"))</f>
        <v>LOW</v>
      </c>
      <c r="AC139" t="str">
        <f>TEXT(ReconciliationData[[#This Row],[Order_Date]],"YYYY-MM")</f>
        <v>2023-05</v>
      </c>
    </row>
    <row r="140" spans="1:29">
      <c r="A140" t="s">
        <v>653</v>
      </c>
      <c r="B140" s="1">
        <v>45191</v>
      </c>
      <c r="C140" t="s">
        <v>654</v>
      </c>
      <c r="D140" t="s">
        <v>655</v>
      </c>
      <c r="E140">
        <v>108</v>
      </c>
      <c r="F140" t="s">
        <v>656</v>
      </c>
      <c r="G140">
        <v>108</v>
      </c>
      <c r="H140">
        <v>130.87360000000001</v>
      </c>
      <c r="N140">
        <v>130.87360000000001</v>
      </c>
      <c r="O140" s="1">
        <v>45074</v>
      </c>
      <c r="P140">
        <f>IF(ISBLANK(ReconciliationData[[#This Row],[Invoice_ID]]),1,0)</f>
        <v>0</v>
      </c>
      <c r="Q140">
        <f>IF(AND(NOT(ISBLANK(ReconciliationData[[#This Row],[Billed_Units]])),ReconciliationData[[#This Row],[ordered_units]]&lt;&gt;ReconciliationData[[#This Row],[Billed_Units]]),1,0)</f>
        <v>0</v>
      </c>
      <c r="R1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">
        <f>IF(AND(NOT(ISBLANK(ReconciliationData[[#This Row],[Contract_Price]])),ReconciliationData[[#This Row],[Billed_Price]]&lt;&gt;ReconciliationData[[#This Row],[Contract_Price]]),1,0)</f>
        <v>0</v>
      </c>
      <c r="T140">
        <f>IF(AND(NOT(ISBLANK(ReconciliationData[[#This Row],[End_Date]])),ReconciliationData[[#This Row],[Order_Date]]&gt;ReconciliationData[[#This Row],[End_Date]]),1,0)</f>
        <v>0</v>
      </c>
      <c r="U140">
        <f>IF(AND(NOT(ISBLANK(ReconciliationData[[#This Row],[last_return_date]])),ReconciliationData[[#This Row],[last_return_date]]&gt;ReconciliationData[[#This Row],[Order_Date]]+60),1,0)</f>
        <v>0</v>
      </c>
      <c r="V140">
        <f>IF(ReconciliationData[[#This Row],[total_returned_units]]&gt;ReconciliationData[[#This Row],[ordered_units]],1,0)</f>
        <v>0</v>
      </c>
      <c r="W1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0">
        <f>ReconciliationData[[#This Row],[Billed_Units]]*ReconciliationData[[#This Row],[Billed_Price]]</f>
        <v>14134.348800000002</v>
      </c>
      <c r="Y140">
        <f>ReconciliationData[[#This Row],[ordered_units]]*ReconciliationData[[#This Row],[List_Price]]</f>
        <v>14134.348800000002</v>
      </c>
      <c r="Z140">
        <f>ReconciliationData[[#This Row],[billed_revenue]]-ReconciliationData[[#This Row],[expected_revenue]]</f>
        <v>0</v>
      </c>
      <c r="AA1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0" t="str">
        <f>IF(ReconciliationData[[#This Row],[severity_score]]=0,"LOW",
 IF(ReconciliationData[[#This Row],[severity_score]]&lt;=5,"MEDIUM","HIGH"))</f>
        <v>LOW</v>
      </c>
      <c r="AC140" t="str">
        <f>TEXT(ReconciliationData[[#This Row],[Order_Date]],"YYYY-MM")</f>
        <v>2023-09</v>
      </c>
    </row>
    <row r="141" spans="1:29">
      <c r="A141" t="s">
        <v>657</v>
      </c>
      <c r="B141" s="1">
        <v>44957</v>
      </c>
      <c r="C141" t="s">
        <v>440</v>
      </c>
      <c r="D141" t="s">
        <v>658</v>
      </c>
      <c r="E141">
        <v>12</v>
      </c>
      <c r="F141" t="s">
        <v>659</v>
      </c>
      <c r="G141">
        <v>12</v>
      </c>
      <c r="H141">
        <v>80.141999999999996</v>
      </c>
      <c r="N141">
        <v>80.141999999999996</v>
      </c>
      <c r="O141" s="1">
        <v>44870</v>
      </c>
      <c r="P141">
        <f>IF(ISBLANK(ReconciliationData[[#This Row],[Invoice_ID]]),1,0)</f>
        <v>0</v>
      </c>
      <c r="Q141">
        <f>IF(AND(NOT(ISBLANK(ReconciliationData[[#This Row],[Billed_Units]])),ReconciliationData[[#This Row],[ordered_units]]&lt;&gt;ReconciliationData[[#This Row],[Billed_Units]]),1,0)</f>
        <v>0</v>
      </c>
      <c r="R1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">
        <f>IF(AND(NOT(ISBLANK(ReconciliationData[[#This Row],[Contract_Price]])),ReconciliationData[[#This Row],[Billed_Price]]&lt;&gt;ReconciliationData[[#This Row],[Contract_Price]]),1,0)</f>
        <v>0</v>
      </c>
      <c r="T141">
        <f>IF(AND(NOT(ISBLANK(ReconciliationData[[#This Row],[End_Date]])),ReconciliationData[[#This Row],[Order_Date]]&gt;ReconciliationData[[#This Row],[End_Date]]),1,0)</f>
        <v>0</v>
      </c>
      <c r="U141">
        <f>IF(AND(NOT(ISBLANK(ReconciliationData[[#This Row],[last_return_date]])),ReconciliationData[[#This Row],[last_return_date]]&gt;ReconciliationData[[#This Row],[Order_Date]]+60),1,0)</f>
        <v>0</v>
      </c>
      <c r="V141">
        <f>IF(ReconciliationData[[#This Row],[total_returned_units]]&gt;ReconciliationData[[#This Row],[ordered_units]],1,0)</f>
        <v>0</v>
      </c>
      <c r="W1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1">
        <f>ReconciliationData[[#This Row],[Billed_Units]]*ReconciliationData[[#This Row],[Billed_Price]]</f>
        <v>961.70399999999995</v>
      </c>
      <c r="Y141">
        <f>ReconciliationData[[#This Row],[ordered_units]]*ReconciliationData[[#This Row],[List_Price]]</f>
        <v>961.70399999999995</v>
      </c>
      <c r="Z141">
        <f>ReconciliationData[[#This Row],[billed_revenue]]-ReconciliationData[[#This Row],[expected_revenue]]</f>
        <v>0</v>
      </c>
      <c r="AA1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1" t="str">
        <f>IF(ReconciliationData[[#This Row],[severity_score]]=0,"LOW",
 IF(ReconciliationData[[#This Row],[severity_score]]&lt;=5,"MEDIUM","HIGH"))</f>
        <v>LOW</v>
      </c>
      <c r="AC141" t="str">
        <f>TEXT(ReconciliationData[[#This Row],[Order_Date]],"YYYY-MM")</f>
        <v>2023-01</v>
      </c>
    </row>
    <row r="142" spans="1:29">
      <c r="A142" t="s">
        <v>660</v>
      </c>
      <c r="B142" s="1">
        <v>45584</v>
      </c>
      <c r="C142" t="s">
        <v>661</v>
      </c>
      <c r="D142" t="s">
        <v>453</v>
      </c>
      <c r="E142">
        <v>189</v>
      </c>
      <c r="F142" t="s">
        <v>662</v>
      </c>
      <c r="G142">
        <v>189</v>
      </c>
      <c r="H142">
        <v>1184.9544000000001</v>
      </c>
      <c r="N142">
        <v>1184.9544000000001</v>
      </c>
      <c r="O142" s="1">
        <v>45171</v>
      </c>
      <c r="P142">
        <f>IF(ISBLANK(ReconciliationData[[#This Row],[Invoice_ID]]),1,0)</f>
        <v>0</v>
      </c>
      <c r="Q142">
        <f>IF(AND(NOT(ISBLANK(ReconciliationData[[#This Row],[Billed_Units]])),ReconciliationData[[#This Row],[ordered_units]]&lt;&gt;ReconciliationData[[#This Row],[Billed_Units]]),1,0)</f>
        <v>0</v>
      </c>
      <c r="R1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2">
        <f>IF(AND(NOT(ISBLANK(ReconciliationData[[#This Row],[Contract_Price]])),ReconciliationData[[#This Row],[Billed_Price]]&lt;&gt;ReconciliationData[[#This Row],[Contract_Price]]),1,0)</f>
        <v>0</v>
      </c>
      <c r="T142">
        <f>IF(AND(NOT(ISBLANK(ReconciliationData[[#This Row],[End_Date]])),ReconciliationData[[#This Row],[Order_Date]]&gt;ReconciliationData[[#This Row],[End_Date]]),1,0)</f>
        <v>0</v>
      </c>
      <c r="U142">
        <f>IF(AND(NOT(ISBLANK(ReconciliationData[[#This Row],[last_return_date]])),ReconciliationData[[#This Row],[last_return_date]]&gt;ReconciliationData[[#This Row],[Order_Date]]+60),1,0)</f>
        <v>0</v>
      </c>
      <c r="V142">
        <f>IF(ReconciliationData[[#This Row],[total_returned_units]]&gt;ReconciliationData[[#This Row],[ordered_units]],1,0)</f>
        <v>0</v>
      </c>
      <c r="W1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2">
        <f>ReconciliationData[[#This Row],[Billed_Units]]*ReconciliationData[[#This Row],[Billed_Price]]</f>
        <v>223956.38160000002</v>
      </c>
      <c r="Y142">
        <f>ReconciliationData[[#This Row],[ordered_units]]*ReconciliationData[[#This Row],[List_Price]]</f>
        <v>223956.38160000002</v>
      </c>
      <c r="Z142">
        <f>ReconciliationData[[#This Row],[billed_revenue]]-ReconciliationData[[#This Row],[expected_revenue]]</f>
        <v>0</v>
      </c>
      <c r="AA1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2" t="str">
        <f>IF(ReconciliationData[[#This Row],[severity_score]]=0,"LOW",
 IF(ReconciliationData[[#This Row],[severity_score]]&lt;=5,"MEDIUM","HIGH"))</f>
        <v>LOW</v>
      </c>
      <c r="AC142" t="str">
        <f>TEXT(ReconciliationData[[#This Row],[Order_Date]],"YYYY-MM")</f>
        <v>2024-10</v>
      </c>
    </row>
    <row r="143" spans="1:29">
      <c r="A143" t="s">
        <v>663</v>
      </c>
      <c r="B143" s="1">
        <v>45316</v>
      </c>
      <c r="C143" t="s">
        <v>266</v>
      </c>
      <c r="D143" t="s">
        <v>585</v>
      </c>
      <c r="E143">
        <v>156</v>
      </c>
      <c r="F143" t="s">
        <v>664</v>
      </c>
      <c r="G143">
        <v>156</v>
      </c>
      <c r="H143">
        <v>898.02300000000002</v>
      </c>
      <c r="N143">
        <v>898.02300000000002</v>
      </c>
      <c r="O143" s="1">
        <v>45026</v>
      </c>
      <c r="P143">
        <f>IF(ISBLANK(ReconciliationData[[#This Row],[Invoice_ID]]),1,0)</f>
        <v>0</v>
      </c>
      <c r="Q143">
        <f>IF(AND(NOT(ISBLANK(ReconciliationData[[#This Row],[Billed_Units]])),ReconciliationData[[#This Row],[ordered_units]]&lt;&gt;ReconciliationData[[#This Row],[Billed_Units]]),1,0)</f>
        <v>0</v>
      </c>
      <c r="R1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">
        <f>IF(AND(NOT(ISBLANK(ReconciliationData[[#This Row],[Contract_Price]])),ReconciliationData[[#This Row],[Billed_Price]]&lt;&gt;ReconciliationData[[#This Row],[Contract_Price]]),1,0)</f>
        <v>0</v>
      </c>
      <c r="T143">
        <f>IF(AND(NOT(ISBLANK(ReconciliationData[[#This Row],[End_Date]])),ReconciliationData[[#This Row],[Order_Date]]&gt;ReconciliationData[[#This Row],[End_Date]]),1,0)</f>
        <v>0</v>
      </c>
      <c r="U143">
        <f>IF(AND(NOT(ISBLANK(ReconciliationData[[#This Row],[last_return_date]])),ReconciliationData[[#This Row],[last_return_date]]&gt;ReconciliationData[[#This Row],[Order_Date]]+60),1,0)</f>
        <v>0</v>
      </c>
      <c r="V143">
        <f>IF(ReconciliationData[[#This Row],[total_returned_units]]&gt;ReconciliationData[[#This Row],[ordered_units]],1,0)</f>
        <v>0</v>
      </c>
      <c r="W1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">
        <f>ReconciliationData[[#This Row],[Billed_Units]]*ReconciliationData[[#This Row],[Billed_Price]]</f>
        <v>140091.58800000002</v>
      </c>
      <c r="Y143">
        <f>ReconciliationData[[#This Row],[ordered_units]]*ReconciliationData[[#This Row],[List_Price]]</f>
        <v>140091.58800000002</v>
      </c>
      <c r="Z143">
        <f>ReconciliationData[[#This Row],[billed_revenue]]-ReconciliationData[[#This Row],[expected_revenue]]</f>
        <v>0</v>
      </c>
      <c r="AA1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" t="str">
        <f>IF(ReconciliationData[[#This Row],[severity_score]]=0,"LOW",
 IF(ReconciliationData[[#This Row],[severity_score]]&lt;=5,"MEDIUM","HIGH"))</f>
        <v>LOW</v>
      </c>
      <c r="AC143" t="str">
        <f>TEXT(ReconciliationData[[#This Row],[Order_Date]],"YYYY-MM")</f>
        <v>2024-01</v>
      </c>
    </row>
    <row r="144" spans="1:29">
      <c r="A144" t="s">
        <v>665</v>
      </c>
      <c r="B144" s="1">
        <v>45213</v>
      </c>
      <c r="C144" t="s">
        <v>666</v>
      </c>
      <c r="D144" t="s">
        <v>667</v>
      </c>
      <c r="E144">
        <v>142</v>
      </c>
      <c r="F144" t="s">
        <v>668</v>
      </c>
      <c r="G144">
        <v>142</v>
      </c>
      <c r="H144">
        <v>989.96579999999994</v>
      </c>
      <c r="N144">
        <v>989.96579999999994</v>
      </c>
      <c r="O144" s="1">
        <v>44975</v>
      </c>
      <c r="P144">
        <f>IF(ISBLANK(ReconciliationData[[#This Row],[Invoice_ID]]),1,0)</f>
        <v>0</v>
      </c>
      <c r="Q144">
        <f>IF(AND(NOT(ISBLANK(ReconciliationData[[#This Row],[Billed_Units]])),ReconciliationData[[#This Row],[ordered_units]]&lt;&gt;ReconciliationData[[#This Row],[Billed_Units]]),1,0)</f>
        <v>0</v>
      </c>
      <c r="R1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">
        <f>IF(AND(NOT(ISBLANK(ReconciliationData[[#This Row],[Contract_Price]])),ReconciliationData[[#This Row],[Billed_Price]]&lt;&gt;ReconciliationData[[#This Row],[Contract_Price]]),1,0)</f>
        <v>0</v>
      </c>
      <c r="T144">
        <f>IF(AND(NOT(ISBLANK(ReconciliationData[[#This Row],[End_Date]])),ReconciliationData[[#This Row],[Order_Date]]&gt;ReconciliationData[[#This Row],[End_Date]]),1,0)</f>
        <v>0</v>
      </c>
      <c r="U144">
        <f>IF(AND(NOT(ISBLANK(ReconciliationData[[#This Row],[last_return_date]])),ReconciliationData[[#This Row],[last_return_date]]&gt;ReconciliationData[[#This Row],[Order_Date]]+60),1,0)</f>
        <v>0</v>
      </c>
      <c r="V144">
        <f>IF(ReconciliationData[[#This Row],[total_returned_units]]&gt;ReconciliationData[[#This Row],[ordered_units]],1,0)</f>
        <v>0</v>
      </c>
      <c r="W1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4">
        <f>ReconciliationData[[#This Row],[Billed_Units]]*ReconciliationData[[#This Row],[Billed_Price]]</f>
        <v>140575.14359999998</v>
      </c>
      <c r="Y144">
        <f>ReconciliationData[[#This Row],[ordered_units]]*ReconciliationData[[#This Row],[List_Price]]</f>
        <v>140575.14359999998</v>
      </c>
      <c r="Z144">
        <f>ReconciliationData[[#This Row],[billed_revenue]]-ReconciliationData[[#This Row],[expected_revenue]]</f>
        <v>0</v>
      </c>
      <c r="AA1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4" t="str">
        <f>IF(ReconciliationData[[#This Row],[severity_score]]=0,"LOW",
 IF(ReconciliationData[[#This Row],[severity_score]]&lt;=5,"MEDIUM","HIGH"))</f>
        <v>LOW</v>
      </c>
      <c r="AC144" t="str">
        <f>TEXT(ReconciliationData[[#This Row],[Order_Date]],"YYYY-MM")</f>
        <v>2023-10</v>
      </c>
    </row>
    <row r="145" spans="1:29">
      <c r="A145" t="s">
        <v>669</v>
      </c>
      <c r="B145" s="1">
        <v>44969</v>
      </c>
      <c r="C145" t="s">
        <v>670</v>
      </c>
      <c r="D145" t="s">
        <v>560</v>
      </c>
      <c r="E145">
        <v>184</v>
      </c>
      <c r="F145" t="s">
        <v>671</v>
      </c>
      <c r="G145">
        <v>184</v>
      </c>
      <c r="H145">
        <v>1088.2664000000002</v>
      </c>
      <c r="N145">
        <v>1088.2664000000002</v>
      </c>
      <c r="O145" s="1">
        <v>44918</v>
      </c>
      <c r="P145">
        <f>IF(ISBLANK(ReconciliationData[[#This Row],[Invoice_ID]]),1,0)</f>
        <v>0</v>
      </c>
      <c r="Q145">
        <f>IF(AND(NOT(ISBLANK(ReconciliationData[[#This Row],[Billed_Units]])),ReconciliationData[[#This Row],[ordered_units]]&lt;&gt;ReconciliationData[[#This Row],[Billed_Units]]),1,0)</f>
        <v>0</v>
      </c>
      <c r="R1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">
        <f>IF(AND(NOT(ISBLANK(ReconciliationData[[#This Row],[Contract_Price]])),ReconciliationData[[#This Row],[Billed_Price]]&lt;&gt;ReconciliationData[[#This Row],[Contract_Price]]),1,0)</f>
        <v>0</v>
      </c>
      <c r="T145">
        <f>IF(AND(NOT(ISBLANK(ReconciliationData[[#This Row],[End_Date]])),ReconciliationData[[#This Row],[Order_Date]]&gt;ReconciliationData[[#This Row],[End_Date]]),1,0)</f>
        <v>0</v>
      </c>
      <c r="U145">
        <f>IF(AND(NOT(ISBLANK(ReconciliationData[[#This Row],[last_return_date]])),ReconciliationData[[#This Row],[last_return_date]]&gt;ReconciliationData[[#This Row],[Order_Date]]+60),1,0)</f>
        <v>0</v>
      </c>
      <c r="V145">
        <f>IF(ReconciliationData[[#This Row],[total_returned_units]]&gt;ReconciliationData[[#This Row],[ordered_units]],1,0)</f>
        <v>0</v>
      </c>
      <c r="W1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5">
        <f>ReconciliationData[[#This Row],[Billed_Units]]*ReconciliationData[[#This Row],[Billed_Price]]</f>
        <v>200241.01760000005</v>
      </c>
      <c r="Y145">
        <f>ReconciliationData[[#This Row],[ordered_units]]*ReconciliationData[[#This Row],[List_Price]]</f>
        <v>200241.01760000005</v>
      </c>
      <c r="Z145">
        <f>ReconciliationData[[#This Row],[billed_revenue]]-ReconciliationData[[#This Row],[expected_revenue]]</f>
        <v>0</v>
      </c>
      <c r="AA1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5" t="str">
        <f>IF(ReconciliationData[[#This Row],[severity_score]]=0,"LOW",
 IF(ReconciliationData[[#This Row],[severity_score]]&lt;=5,"MEDIUM","HIGH"))</f>
        <v>LOW</v>
      </c>
      <c r="AC145" t="str">
        <f>TEXT(ReconciliationData[[#This Row],[Order_Date]],"YYYY-MM")</f>
        <v>2023-02</v>
      </c>
    </row>
    <row r="146" spans="1:29">
      <c r="A146" t="s">
        <v>672</v>
      </c>
      <c r="B146" s="1">
        <v>45400</v>
      </c>
      <c r="C146" t="s">
        <v>673</v>
      </c>
      <c r="D146" t="s">
        <v>674</v>
      </c>
      <c r="E146">
        <v>14</v>
      </c>
      <c r="F146" t="s">
        <v>675</v>
      </c>
      <c r="G146">
        <v>14</v>
      </c>
      <c r="H146">
        <v>1061.8169845306111</v>
      </c>
      <c r="N146">
        <v>1061.7264</v>
      </c>
      <c r="O146" s="1">
        <v>45180</v>
      </c>
      <c r="P146">
        <f>IF(ISBLANK(ReconciliationData[[#This Row],[Invoice_ID]]),1,0)</f>
        <v>0</v>
      </c>
      <c r="Q146">
        <f>IF(AND(NOT(ISBLANK(ReconciliationData[[#This Row],[Billed_Units]])),ReconciliationData[[#This Row],[ordered_units]]&lt;&gt;ReconciliationData[[#This Row],[Billed_Units]]),1,0)</f>
        <v>0</v>
      </c>
      <c r="R14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46">
        <f>IF(AND(NOT(ISBLANK(ReconciliationData[[#This Row],[Contract_Price]])),ReconciliationData[[#This Row],[Billed_Price]]&lt;&gt;ReconciliationData[[#This Row],[Contract_Price]]),1,0)</f>
        <v>0</v>
      </c>
      <c r="T146">
        <f>IF(AND(NOT(ISBLANK(ReconciliationData[[#This Row],[End_Date]])),ReconciliationData[[#This Row],[Order_Date]]&gt;ReconciliationData[[#This Row],[End_Date]]),1,0)</f>
        <v>0</v>
      </c>
      <c r="U146">
        <f>IF(AND(NOT(ISBLANK(ReconciliationData[[#This Row],[last_return_date]])),ReconciliationData[[#This Row],[last_return_date]]&gt;ReconciliationData[[#This Row],[Order_Date]]+60),1,0)</f>
        <v>0</v>
      </c>
      <c r="V146">
        <f>IF(ReconciliationData[[#This Row],[total_returned_units]]&gt;ReconciliationData[[#This Row],[ordered_units]],1,0)</f>
        <v>0</v>
      </c>
      <c r="W1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6">
        <f>ReconciliationData[[#This Row],[Billed_Units]]*ReconciliationData[[#This Row],[Billed_Price]]</f>
        <v>14865.437783428555</v>
      </c>
      <c r="Y146">
        <f>ReconciliationData[[#This Row],[ordered_units]]*ReconciliationData[[#This Row],[List_Price]]</f>
        <v>14864.169600000001</v>
      </c>
      <c r="Z146">
        <f>ReconciliationData[[#This Row],[billed_revenue]]-ReconciliationData[[#This Row],[expected_revenue]]</f>
        <v>1.268183428554039</v>
      </c>
      <c r="AA1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46" t="str">
        <f>IF(ReconciliationData[[#This Row],[severity_score]]=0,"LOW",
 IF(ReconciliationData[[#This Row],[severity_score]]&lt;=5,"MEDIUM","HIGH"))</f>
        <v>MEDIUM</v>
      </c>
      <c r="AC146" t="str">
        <f>TEXT(ReconciliationData[[#This Row],[Order_Date]],"YYYY-MM")</f>
        <v>2024-04</v>
      </c>
    </row>
    <row r="147" spans="1:29">
      <c r="A147" t="s">
        <v>676</v>
      </c>
      <c r="B147" s="1">
        <v>45403</v>
      </c>
      <c r="C147" t="s">
        <v>677</v>
      </c>
      <c r="D147" t="s">
        <v>651</v>
      </c>
      <c r="E147">
        <v>42</v>
      </c>
      <c r="F147" t="s">
        <v>678</v>
      </c>
      <c r="G147">
        <v>42</v>
      </c>
      <c r="H147">
        <v>214.6182</v>
      </c>
      <c r="N147">
        <v>214.6182</v>
      </c>
      <c r="O147" s="1">
        <v>45116</v>
      </c>
      <c r="P147">
        <f>IF(ISBLANK(ReconciliationData[[#This Row],[Invoice_ID]]),1,0)</f>
        <v>0</v>
      </c>
      <c r="Q147">
        <f>IF(AND(NOT(ISBLANK(ReconciliationData[[#This Row],[Billed_Units]])),ReconciliationData[[#This Row],[ordered_units]]&lt;&gt;ReconciliationData[[#This Row],[Billed_Units]]),1,0)</f>
        <v>0</v>
      </c>
      <c r="R1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">
        <f>IF(AND(NOT(ISBLANK(ReconciliationData[[#This Row],[Contract_Price]])),ReconciliationData[[#This Row],[Billed_Price]]&lt;&gt;ReconciliationData[[#This Row],[Contract_Price]]),1,0)</f>
        <v>0</v>
      </c>
      <c r="T147">
        <f>IF(AND(NOT(ISBLANK(ReconciliationData[[#This Row],[End_Date]])),ReconciliationData[[#This Row],[Order_Date]]&gt;ReconciliationData[[#This Row],[End_Date]]),1,0)</f>
        <v>0</v>
      </c>
      <c r="U147">
        <f>IF(AND(NOT(ISBLANK(ReconciliationData[[#This Row],[last_return_date]])),ReconciliationData[[#This Row],[last_return_date]]&gt;ReconciliationData[[#This Row],[Order_Date]]+60),1,0)</f>
        <v>0</v>
      </c>
      <c r="V147">
        <f>IF(ReconciliationData[[#This Row],[total_returned_units]]&gt;ReconciliationData[[#This Row],[ordered_units]],1,0)</f>
        <v>0</v>
      </c>
      <c r="W1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">
        <f>ReconciliationData[[#This Row],[Billed_Units]]*ReconciliationData[[#This Row],[Billed_Price]]</f>
        <v>9013.9644000000008</v>
      </c>
      <c r="Y147">
        <f>ReconciliationData[[#This Row],[ordered_units]]*ReconciliationData[[#This Row],[List_Price]]</f>
        <v>9013.9644000000008</v>
      </c>
      <c r="Z147">
        <f>ReconciliationData[[#This Row],[billed_revenue]]-ReconciliationData[[#This Row],[expected_revenue]]</f>
        <v>0</v>
      </c>
      <c r="AA1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" t="str">
        <f>IF(ReconciliationData[[#This Row],[severity_score]]=0,"LOW",
 IF(ReconciliationData[[#This Row],[severity_score]]&lt;=5,"MEDIUM","HIGH"))</f>
        <v>LOW</v>
      </c>
      <c r="AC147" t="str">
        <f>TEXT(ReconciliationData[[#This Row],[Order_Date]],"YYYY-MM")</f>
        <v>2024-04</v>
      </c>
    </row>
    <row r="148" spans="1:29">
      <c r="A148" t="s">
        <v>679</v>
      </c>
      <c r="B148" s="1">
        <v>45647</v>
      </c>
      <c r="C148" t="s">
        <v>680</v>
      </c>
      <c r="D148" t="s">
        <v>231</v>
      </c>
      <c r="E148">
        <v>171</v>
      </c>
      <c r="F148" t="s">
        <v>681</v>
      </c>
      <c r="G148">
        <v>171</v>
      </c>
      <c r="H148">
        <v>77.398200000000003</v>
      </c>
      <c r="N148">
        <v>77.398200000000003</v>
      </c>
      <c r="O148" s="1">
        <v>45032</v>
      </c>
      <c r="P148">
        <f>IF(ISBLANK(ReconciliationData[[#This Row],[Invoice_ID]]),1,0)</f>
        <v>0</v>
      </c>
      <c r="Q148">
        <f>IF(AND(NOT(ISBLANK(ReconciliationData[[#This Row],[Billed_Units]])),ReconciliationData[[#This Row],[ordered_units]]&lt;&gt;ReconciliationData[[#This Row],[Billed_Units]]),1,0)</f>
        <v>0</v>
      </c>
      <c r="R1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8">
        <f>IF(AND(NOT(ISBLANK(ReconciliationData[[#This Row],[Contract_Price]])),ReconciliationData[[#This Row],[Billed_Price]]&lt;&gt;ReconciliationData[[#This Row],[Contract_Price]]),1,0)</f>
        <v>0</v>
      </c>
      <c r="T148">
        <f>IF(AND(NOT(ISBLANK(ReconciliationData[[#This Row],[End_Date]])),ReconciliationData[[#This Row],[Order_Date]]&gt;ReconciliationData[[#This Row],[End_Date]]),1,0)</f>
        <v>0</v>
      </c>
      <c r="U148">
        <f>IF(AND(NOT(ISBLANK(ReconciliationData[[#This Row],[last_return_date]])),ReconciliationData[[#This Row],[last_return_date]]&gt;ReconciliationData[[#This Row],[Order_Date]]+60),1,0)</f>
        <v>0</v>
      </c>
      <c r="V148">
        <f>IF(ReconciliationData[[#This Row],[total_returned_units]]&gt;ReconciliationData[[#This Row],[ordered_units]],1,0)</f>
        <v>0</v>
      </c>
      <c r="W1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8">
        <f>ReconciliationData[[#This Row],[Billed_Units]]*ReconciliationData[[#This Row],[Billed_Price]]</f>
        <v>13235.092200000001</v>
      </c>
      <c r="Y148">
        <f>ReconciliationData[[#This Row],[ordered_units]]*ReconciliationData[[#This Row],[List_Price]]</f>
        <v>13235.092200000001</v>
      </c>
      <c r="Z148">
        <f>ReconciliationData[[#This Row],[billed_revenue]]-ReconciliationData[[#This Row],[expected_revenue]]</f>
        <v>0</v>
      </c>
      <c r="AA1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8" t="str">
        <f>IF(ReconciliationData[[#This Row],[severity_score]]=0,"LOW",
 IF(ReconciliationData[[#This Row],[severity_score]]&lt;=5,"MEDIUM","HIGH"))</f>
        <v>LOW</v>
      </c>
      <c r="AC148" t="str">
        <f>TEXT(ReconciliationData[[#This Row],[Order_Date]],"YYYY-MM")</f>
        <v>2024-12</v>
      </c>
    </row>
    <row r="149" spans="1:29">
      <c r="A149" t="s">
        <v>682</v>
      </c>
      <c r="B149" s="1">
        <v>45247</v>
      </c>
      <c r="C149" t="s">
        <v>683</v>
      </c>
      <c r="D149" t="s">
        <v>684</v>
      </c>
      <c r="E149">
        <v>82</v>
      </c>
      <c r="F149" t="s">
        <v>685</v>
      </c>
      <c r="G149">
        <v>82</v>
      </c>
      <c r="H149">
        <v>75.620999999999995</v>
      </c>
      <c r="N149">
        <v>75.620999999999995</v>
      </c>
      <c r="O149" s="1">
        <v>45108</v>
      </c>
      <c r="P149">
        <f>IF(ISBLANK(ReconciliationData[[#This Row],[Invoice_ID]]),1,0)</f>
        <v>0</v>
      </c>
      <c r="Q149">
        <f>IF(AND(NOT(ISBLANK(ReconciliationData[[#This Row],[Billed_Units]])),ReconciliationData[[#This Row],[ordered_units]]&lt;&gt;ReconciliationData[[#This Row],[Billed_Units]]),1,0)</f>
        <v>0</v>
      </c>
      <c r="R1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">
        <f>IF(AND(NOT(ISBLANK(ReconciliationData[[#This Row],[Contract_Price]])),ReconciliationData[[#This Row],[Billed_Price]]&lt;&gt;ReconciliationData[[#This Row],[Contract_Price]]),1,0)</f>
        <v>0</v>
      </c>
      <c r="T149">
        <f>IF(AND(NOT(ISBLANK(ReconciliationData[[#This Row],[End_Date]])),ReconciliationData[[#This Row],[Order_Date]]&gt;ReconciliationData[[#This Row],[End_Date]]),1,0)</f>
        <v>0</v>
      </c>
      <c r="U149">
        <f>IF(AND(NOT(ISBLANK(ReconciliationData[[#This Row],[last_return_date]])),ReconciliationData[[#This Row],[last_return_date]]&gt;ReconciliationData[[#This Row],[Order_Date]]+60),1,0)</f>
        <v>0</v>
      </c>
      <c r="V149">
        <f>IF(ReconciliationData[[#This Row],[total_returned_units]]&gt;ReconciliationData[[#This Row],[ordered_units]],1,0)</f>
        <v>0</v>
      </c>
      <c r="W1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9">
        <f>ReconciliationData[[#This Row],[Billed_Units]]*ReconciliationData[[#This Row],[Billed_Price]]</f>
        <v>6200.9219999999996</v>
      </c>
      <c r="Y149">
        <f>ReconciliationData[[#This Row],[ordered_units]]*ReconciliationData[[#This Row],[List_Price]]</f>
        <v>6200.9219999999996</v>
      </c>
      <c r="Z149">
        <f>ReconciliationData[[#This Row],[billed_revenue]]-ReconciliationData[[#This Row],[expected_revenue]]</f>
        <v>0</v>
      </c>
      <c r="AA1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9" t="str">
        <f>IF(ReconciliationData[[#This Row],[severity_score]]=0,"LOW",
 IF(ReconciliationData[[#This Row],[severity_score]]&lt;=5,"MEDIUM","HIGH"))</f>
        <v>LOW</v>
      </c>
      <c r="AC149" t="str">
        <f>TEXT(ReconciliationData[[#This Row],[Order_Date]],"YYYY-MM")</f>
        <v>2023-11</v>
      </c>
    </row>
    <row r="150" spans="1:29">
      <c r="A150" t="s">
        <v>686</v>
      </c>
      <c r="B150" s="1">
        <v>45097</v>
      </c>
      <c r="C150" t="s">
        <v>687</v>
      </c>
      <c r="D150" t="s">
        <v>408</v>
      </c>
      <c r="E150">
        <v>93</v>
      </c>
      <c r="F150" t="s">
        <v>688</v>
      </c>
      <c r="G150">
        <v>93</v>
      </c>
      <c r="H150">
        <v>660.96040000000005</v>
      </c>
      <c r="N150">
        <v>660.96040000000005</v>
      </c>
      <c r="O150" s="1">
        <v>44947</v>
      </c>
      <c r="P150">
        <f>IF(ISBLANK(ReconciliationData[[#This Row],[Invoice_ID]]),1,0)</f>
        <v>0</v>
      </c>
      <c r="Q150">
        <f>IF(AND(NOT(ISBLANK(ReconciliationData[[#This Row],[Billed_Units]])),ReconciliationData[[#This Row],[ordered_units]]&lt;&gt;ReconciliationData[[#This Row],[Billed_Units]]),1,0)</f>
        <v>0</v>
      </c>
      <c r="R1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0">
        <f>IF(AND(NOT(ISBLANK(ReconciliationData[[#This Row],[Contract_Price]])),ReconciliationData[[#This Row],[Billed_Price]]&lt;&gt;ReconciliationData[[#This Row],[Contract_Price]]),1,0)</f>
        <v>0</v>
      </c>
      <c r="T150">
        <f>IF(AND(NOT(ISBLANK(ReconciliationData[[#This Row],[End_Date]])),ReconciliationData[[#This Row],[Order_Date]]&gt;ReconciliationData[[#This Row],[End_Date]]),1,0)</f>
        <v>0</v>
      </c>
      <c r="U150">
        <f>IF(AND(NOT(ISBLANK(ReconciliationData[[#This Row],[last_return_date]])),ReconciliationData[[#This Row],[last_return_date]]&gt;ReconciliationData[[#This Row],[Order_Date]]+60),1,0)</f>
        <v>0</v>
      </c>
      <c r="V150">
        <f>IF(ReconciliationData[[#This Row],[total_returned_units]]&gt;ReconciliationData[[#This Row],[ordered_units]],1,0)</f>
        <v>0</v>
      </c>
      <c r="W1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0">
        <f>ReconciliationData[[#This Row],[Billed_Units]]*ReconciliationData[[#This Row],[Billed_Price]]</f>
        <v>61469.317200000005</v>
      </c>
      <c r="Y150">
        <f>ReconciliationData[[#This Row],[ordered_units]]*ReconciliationData[[#This Row],[List_Price]]</f>
        <v>61469.317200000005</v>
      </c>
      <c r="Z150">
        <f>ReconciliationData[[#This Row],[billed_revenue]]-ReconciliationData[[#This Row],[expected_revenue]]</f>
        <v>0</v>
      </c>
      <c r="AA1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0" t="str">
        <f>IF(ReconciliationData[[#This Row],[severity_score]]=0,"LOW",
 IF(ReconciliationData[[#This Row],[severity_score]]&lt;=5,"MEDIUM","HIGH"))</f>
        <v>LOW</v>
      </c>
      <c r="AC150" t="str">
        <f>TEXT(ReconciliationData[[#This Row],[Order_Date]],"YYYY-MM")</f>
        <v>2023-06</v>
      </c>
    </row>
    <row r="151" spans="1:29">
      <c r="A151" t="s">
        <v>689</v>
      </c>
      <c r="B151" s="1">
        <v>45318</v>
      </c>
      <c r="C151" t="s">
        <v>690</v>
      </c>
      <c r="D151" t="s">
        <v>404</v>
      </c>
      <c r="E151">
        <v>43</v>
      </c>
      <c r="F151" t="s">
        <v>691</v>
      </c>
      <c r="G151">
        <v>43</v>
      </c>
      <c r="H151">
        <v>1129.6166000000001</v>
      </c>
      <c r="I151">
        <v>7</v>
      </c>
      <c r="J151" s="1">
        <v>45194</v>
      </c>
      <c r="N151">
        <v>1129.6166000000001</v>
      </c>
      <c r="O151" s="1">
        <v>44960</v>
      </c>
      <c r="P151">
        <f>IF(ISBLANK(ReconciliationData[[#This Row],[Invoice_ID]]),1,0)</f>
        <v>0</v>
      </c>
      <c r="Q151">
        <f>IF(AND(NOT(ISBLANK(ReconciliationData[[#This Row],[Billed_Units]])),ReconciliationData[[#This Row],[ordered_units]]&lt;&gt;ReconciliationData[[#This Row],[Billed_Units]]),1,0)</f>
        <v>0</v>
      </c>
      <c r="R1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1">
        <f>IF(AND(NOT(ISBLANK(ReconciliationData[[#This Row],[Contract_Price]])),ReconciliationData[[#This Row],[Billed_Price]]&lt;&gt;ReconciliationData[[#This Row],[Contract_Price]]),1,0)</f>
        <v>0</v>
      </c>
      <c r="T151">
        <f>IF(AND(NOT(ISBLANK(ReconciliationData[[#This Row],[End_Date]])),ReconciliationData[[#This Row],[Order_Date]]&gt;ReconciliationData[[#This Row],[End_Date]]),1,0)</f>
        <v>0</v>
      </c>
      <c r="U151">
        <f>IF(AND(NOT(ISBLANK(ReconciliationData[[#This Row],[last_return_date]])),ReconciliationData[[#This Row],[last_return_date]]&gt;ReconciliationData[[#This Row],[Order_Date]]+60),1,0)</f>
        <v>0</v>
      </c>
      <c r="V151">
        <f>IF(ReconciliationData[[#This Row],[total_returned_units]]&gt;ReconciliationData[[#This Row],[ordered_units]],1,0)</f>
        <v>0</v>
      </c>
      <c r="W1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1">
        <f>ReconciliationData[[#This Row],[Billed_Units]]*ReconciliationData[[#This Row],[Billed_Price]]</f>
        <v>48573.513800000001</v>
      </c>
      <c r="Y151">
        <f>ReconciliationData[[#This Row],[ordered_units]]*ReconciliationData[[#This Row],[List_Price]]</f>
        <v>48573.513800000001</v>
      </c>
      <c r="Z151">
        <f>ReconciliationData[[#This Row],[billed_revenue]]-ReconciliationData[[#This Row],[expected_revenue]]</f>
        <v>0</v>
      </c>
      <c r="AA1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1" t="str">
        <f>IF(ReconciliationData[[#This Row],[severity_score]]=0,"LOW",
 IF(ReconciliationData[[#This Row],[severity_score]]&lt;=5,"MEDIUM","HIGH"))</f>
        <v>LOW</v>
      </c>
      <c r="AC151" t="str">
        <f>TEXT(ReconciliationData[[#This Row],[Order_Date]],"YYYY-MM")</f>
        <v>2024-01</v>
      </c>
    </row>
    <row r="152" spans="1:29">
      <c r="A152" t="s">
        <v>692</v>
      </c>
      <c r="B152" s="1">
        <v>45125</v>
      </c>
      <c r="C152" t="s">
        <v>693</v>
      </c>
      <c r="D152" t="s">
        <v>694</v>
      </c>
      <c r="E152">
        <v>150</v>
      </c>
      <c r="F152" t="s">
        <v>695</v>
      </c>
      <c r="G152">
        <v>150</v>
      </c>
      <c r="H152">
        <v>618.375</v>
      </c>
      <c r="N152">
        <v>618.375</v>
      </c>
      <c r="O152" s="1">
        <v>45124</v>
      </c>
      <c r="P152">
        <f>IF(ISBLANK(ReconciliationData[[#This Row],[Invoice_ID]]),1,0)</f>
        <v>0</v>
      </c>
      <c r="Q152">
        <f>IF(AND(NOT(ISBLANK(ReconciliationData[[#This Row],[Billed_Units]])),ReconciliationData[[#This Row],[ordered_units]]&lt;&gt;ReconciliationData[[#This Row],[Billed_Units]]),1,0)</f>
        <v>0</v>
      </c>
      <c r="R1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">
        <f>IF(AND(NOT(ISBLANK(ReconciliationData[[#This Row],[Contract_Price]])),ReconciliationData[[#This Row],[Billed_Price]]&lt;&gt;ReconciliationData[[#This Row],[Contract_Price]]),1,0)</f>
        <v>0</v>
      </c>
      <c r="T152">
        <f>IF(AND(NOT(ISBLANK(ReconciliationData[[#This Row],[End_Date]])),ReconciliationData[[#This Row],[Order_Date]]&gt;ReconciliationData[[#This Row],[End_Date]]),1,0)</f>
        <v>0</v>
      </c>
      <c r="U152">
        <f>IF(AND(NOT(ISBLANK(ReconciliationData[[#This Row],[last_return_date]])),ReconciliationData[[#This Row],[last_return_date]]&gt;ReconciliationData[[#This Row],[Order_Date]]+60),1,0)</f>
        <v>0</v>
      </c>
      <c r="V152">
        <f>IF(ReconciliationData[[#This Row],[total_returned_units]]&gt;ReconciliationData[[#This Row],[ordered_units]],1,0)</f>
        <v>0</v>
      </c>
      <c r="W1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2">
        <f>ReconciliationData[[#This Row],[Billed_Units]]*ReconciliationData[[#This Row],[Billed_Price]]</f>
        <v>92756.25</v>
      </c>
      <c r="Y152">
        <f>ReconciliationData[[#This Row],[ordered_units]]*ReconciliationData[[#This Row],[List_Price]]</f>
        <v>92756.25</v>
      </c>
      <c r="Z152">
        <f>ReconciliationData[[#This Row],[billed_revenue]]-ReconciliationData[[#This Row],[expected_revenue]]</f>
        <v>0</v>
      </c>
      <c r="AA1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2" t="str">
        <f>IF(ReconciliationData[[#This Row],[severity_score]]=0,"LOW",
 IF(ReconciliationData[[#This Row],[severity_score]]&lt;=5,"MEDIUM","HIGH"))</f>
        <v>LOW</v>
      </c>
      <c r="AC152" t="str">
        <f>TEXT(ReconciliationData[[#This Row],[Order_Date]],"YYYY-MM")</f>
        <v>2023-07</v>
      </c>
    </row>
    <row r="153" spans="1:29">
      <c r="A153" t="s">
        <v>696</v>
      </c>
      <c r="B153" s="1">
        <v>45266</v>
      </c>
      <c r="C153" t="s">
        <v>697</v>
      </c>
      <c r="D153" t="s">
        <v>569</v>
      </c>
      <c r="E153">
        <v>33</v>
      </c>
      <c r="F153" t="s">
        <v>698</v>
      </c>
      <c r="G153">
        <v>33</v>
      </c>
      <c r="H153">
        <v>1231.9933000000001</v>
      </c>
      <c r="N153">
        <v>1231.9933000000001</v>
      </c>
      <c r="O153" s="1">
        <v>44934</v>
      </c>
      <c r="P153">
        <f>IF(ISBLANK(ReconciliationData[[#This Row],[Invoice_ID]]),1,0)</f>
        <v>0</v>
      </c>
      <c r="Q153">
        <f>IF(AND(NOT(ISBLANK(ReconciliationData[[#This Row],[Billed_Units]])),ReconciliationData[[#This Row],[ordered_units]]&lt;&gt;ReconciliationData[[#This Row],[Billed_Units]]),1,0)</f>
        <v>0</v>
      </c>
      <c r="R1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">
        <f>IF(AND(NOT(ISBLANK(ReconciliationData[[#This Row],[Contract_Price]])),ReconciliationData[[#This Row],[Billed_Price]]&lt;&gt;ReconciliationData[[#This Row],[Contract_Price]]),1,0)</f>
        <v>0</v>
      </c>
      <c r="T153">
        <f>IF(AND(NOT(ISBLANK(ReconciliationData[[#This Row],[End_Date]])),ReconciliationData[[#This Row],[Order_Date]]&gt;ReconciliationData[[#This Row],[End_Date]]),1,0)</f>
        <v>0</v>
      </c>
      <c r="U153">
        <f>IF(AND(NOT(ISBLANK(ReconciliationData[[#This Row],[last_return_date]])),ReconciliationData[[#This Row],[last_return_date]]&gt;ReconciliationData[[#This Row],[Order_Date]]+60),1,0)</f>
        <v>0</v>
      </c>
      <c r="V153">
        <f>IF(ReconciliationData[[#This Row],[total_returned_units]]&gt;ReconciliationData[[#This Row],[ordered_units]],1,0)</f>
        <v>0</v>
      </c>
      <c r="W1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3">
        <f>ReconciliationData[[#This Row],[Billed_Units]]*ReconciliationData[[#This Row],[Billed_Price]]</f>
        <v>40655.778900000005</v>
      </c>
      <c r="Y153">
        <f>ReconciliationData[[#This Row],[ordered_units]]*ReconciliationData[[#This Row],[List_Price]]</f>
        <v>40655.778900000005</v>
      </c>
      <c r="Z153">
        <f>ReconciliationData[[#This Row],[billed_revenue]]-ReconciliationData[[#This Row],[expected_revenue]]</f>
        <v>0</v>
      </c>
      <c r="AA1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3" t="str">
        <f>IF(ReconciliationData[[#This Row],[severity_score]]=0,"LOW",
 IF(ReconciliationData[[#This Row],[severity_score]]&lt;=5,"MEDIUM","HIGH"))</f>
        <v>LOW</v>
      </c>
      <c r="AC153" t="str">
        <f>TEXT(ReconciliationData[[#This Row],[Order_Date]],"YYYY-MM")</f>
        <v>2023-12</v>
      </c>
    </row>
    <row r="154" spans="1:29">
      <c r="A154" t="s">
        <v>699</v>
      </c>
      <c r="B154" s="1">
        <v>45390</v>
      </c>
      <c r="C154" t="s">
        <v>700</v>
      </c>
      <c r="D154" t="s">
        <v>533</v>
      </c>
      <c r="E154">
        <v>156</v>
      </c>
      <c r="F154" t="s">
        <v>701</v>
      </c>
      <c r="G154">
        <v>156</v>
      </c>
      <c r="H154">
        <v>833.73500000000001</v>
      </c>
      <c r="N154">
        <v>833.73500000000001</v>
      </c>
      <c r="O154" s="1">
        <v>45167</v>
      </c>
      <c r="P154">
        <f>IF(ISBLANK(ReconciliationData[[#This Row],[Invoice_ID]]),1,0)</f>
        <v>0</v>
      </c>
      <c r="Q154">
        <f>IF(AND(NOT(ISBLANK(ReconciliationData[[#This Row],[Billed_Units]])),ReconciliationData[[#This Row],[ordered_units]]&lt;&gt;ReconciliationData[[#This Row],[Billed_Units]]),1,0)</f>
        <v>0</v>
      </c>
      <c r="R1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">
        <f>IF(AND(NOT(ISBLANK(ReconciliationData[[#This Row],[Contract_Price]])),ReconciliationData[[#This Row],[Billed_Price]]&lt;&gt;ReconciliationData[[#This Row],[Contract_Price]]),1,0)</f>
        <v>0</v>
      </c>
      <c r="T154">
        <f>IF(AND(NOT(ISBLANK(ReconciliationData[[#This Row],[End_Date]])),ReconciliationData[[#This Row],[Order_Date]]&gt;ReconciliationData[[#This Row],[End_Date]]),1,0)</f>
        <v>0</v>
      </c>
      <c r="U154">
        <f>IF(AND(NOT(ISBLANK(ReconciliationData[[#This Row],[last_return_date]])),ReconciliationData[[#This Row],[last_return_date]]&gt;ReconciliationData[[#This Row],[Order_Date]]+60),1,0)</f>
        <v>0</v>
      </c>
      <c r="V154">
        <f>IF(ReconciliationData[[#This Row],[total_returned_units]]&gt;ReconciliationData[[#This Row],[ordered_units]],1,0)</f>
        <v>0</v>
      </c>
      <c r="W1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4">
        <f>ReconciliationData[[#This Row],[Billed_Units]]*ReconciliationData[[#This Row],[Billed_Price]]</f>
        <v>130062.66</v>
      </c>
      <c r="Y154">
        <f>ReconciliationData[[#This Row],[ordered_units]]*ReconciliationData[[#This Row],[List_Price]]</f>
        <v>130062.66</v>
      </c>
      <c r="Z154">
        <f>ReconciliationData[[#This Row],[billed_revenue]]-ReconciliationData[[#This Row],[expected_revenue]]</f>
        <v>0</v>
      </c>
      <c r="AA1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4" t="str">
        <f>IF(ReconciliationData[[#This Row],[severity_score]]=0,"LOW",
 IF(ReconciliationData[[#This Row],[severity_score]]&lt;=5,"MEDIUM","HIGH"))</f>
        <v>LOW</v>
      </c>
      <c r="AC154" t="str">
        <f>TEXT(ReconciliationData[[#This Row],[Order_Date]],"YYYY-MM")</f>
        <v>2024-04</v>
      </c>
    </row>
    <row r="155" spans="1:29">
      <c r="A155" t="s">
        <v>702</v>
      </c>
      <c r="B155" s="1">
        <v>45408</v>
      </c>
      <c r="C155" t="s">
        <v>703</v>
      </c>
      <c r="D155" t="s">
        <v>263</v>
      </c>
      <c r="E155">
        <v>59</v>
      </c>
      <c r="F155" t="s">
        <v>704</v>
      </c>
      <c r="G155">
        <v>59</v>
      </c>
      <c r="H155">
        <v>1147.3289</v>
      </c>
      <c r="N155">
        <v>1147.3289</v>
      </c>
      <c r="O155" s="1">
        <v>44945</v>
      </c>
      <c r="P155">
        <f>IF(ISBLANK(ReconciliationData[[#This Row],[Invoice_ID]]),1,0)</f>
        <v>0</v>
      </c>
      <c r="Q155">
        <f>IF(AND(NOT(ISBLANK(ReconciliationData[[#This Row],[Billed_Units]])),ReconciliationData[[#This Row],[ordered_units]]&lt;&gt;ReconciliationData[[#This Row],[Billed_Units]]),1,0)</f>
        <v>0</v>
      </c>
      <c r="R1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">
        <f>IF(AND(NOT(ISBLANK(ReconciliationData[[#This Row],[Contract_Price]])),ReconciliationData[[#This Row],[Billed_Price]]&lt;&gt;ReconciliationData[[#This Row],[Contract_Price]]),1,0)</f>
        <v>0</v>
      </c>
      <c r="T155">
        <f>IF(AND(NOT(ISBLANK(ReconciliationData[[#This Row],[End_Date]])),ReconciliationData[[#This Row],[Order_Date]]&gt;ReconciliationData[[#This Row],[End_Date]]),1,0)</f>
        <v>0</v>
      </c>
      <c r="U155">
        <f>IF(AND(NOT(ISBLANK(ReconciliationData[[#This Row],[last_return_date]])),ReconciliationData[[#This Row],[last_return_date]]&gt;ReconciliationData[[#This Row],[Order_Date]]+60),1,0)</f>
        <v>0</v>
      </c>
      <c r="V155">
        <f>IF(ReconciliationData[[#This Row],[total_returned_units]]&gt;ReconciliationData[[#This Row],[ordered_units]],1,0)</f>
        <v>0</v>
      </c>
      <c r="W1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">
        <f>ReconciliationData[[#This Row],[Billed_Units]]*ReconciliationData[[#This Row],[Billed_Price]]</f>
        <v>67692.405100000004</v>
      </c>
      <c r="Y155">
        <f>ReconciliationData[[#This Row],[ordered_units]]*ReconciliationData[[#This Row],[List_Price]]</f>
        <v>67692.405100000004</v>
      </c>
      <c r="Z155">
        <f>ReconciliationData[[#This Row],[billed_revenue]]-ReconciliationData[[#This Row],[expected_revenue]]</f>
        <v>0</v>
      </c>
      <c r="AA1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" t="str">
        <f>IF(ReconciliationData[[#This Row],[severity_score]]=0,"LOW",
 IF(ReconciliationData[[#This Row],[severity_score]]&lt;=5,"MEDIUM","HIGH"))</f>
        <v>LOW</v>
      </c>
      <c r="AC155" t="str">
        <f>TEXT(ReconciliationData[[#This Row],[Order_Date]],"YYYY-MM")</f>
        <v>2024-04</v>
      </c>
    </row>
    <row r="156" spans="1:29">
      <c r="A156" t="s">
        <v>705</v>
      </c>
      <c r="B156" s="1">
        <v>45226</v>
      </c>
      <c r="C156" t="s">
        <v>706</v>
      </c>
      <c r="D156" t="s">
        <v>707</v>
      </c>
      <c r="E156">
        <v>87</v>
      </c>
      <c r="F156" t="s">
        <v>708</v>
      </c>
      <c r="G156">
        <v>87</v>
      </c>
      <c r="H156">
        <v>381.97550000000001</v>
      </c>
      <c r="N156">
        <v>381.97550000000001</v>
      </c>
      <c r="O156" s="1">
        <v>45065</v>
      </c>
      <c r="P156">
        <f>IF(ISBLANK(ReconciliationData[[#This Row],[Invoice_ID]]),1,0)</f>
        <v>0</v>
      </c>
      <c r="Q156">
        <f>IF(AND(NOT(ISBLANK(ReconciliationData[[#This Row],[Billed_Units]])),ReconciliationData[[#This Row],[ordered_units]]&lt;&gt;ReconciliationData[[#This Row],[Billed_Units]]),1,0)</f>
        <v>0</v>
      </c>
      <c r="R1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">
        <f>IF(AND(NOT(ISBLANK(ReconciliationData[[#This Row],[Contract_Price]])),ReconciliationData[[#This Row],[Billed_Price]]&lt;&gt;ReconciliationData[[#This Row],[Contract_Price]]),1,0)</f>
        <v>0</v>
      </c>
      <c r="T156">
        <f>IF(AND(NOT(ISBLANK(ReconciliationData[[#This Row],[End_Date]])),ReconciliationData[[#This Row],[Order_Date]]&gt;ReconciliationData[[#This Row],[End_Date]]),1,0)</f>
        <v>0</v>
      </c>
      <c r="U156">
        <f>IF(AND(NOT(ISBLANK(ReconciliationData[[#This Row],[last_return_date]])),ReconciliationData[[#This Row],[last_return_date]]&gt;ReconciliationData[[#This Row],[Order_Date]]+60),1,0)</f>
        <v>0</v>
      </c>
      <c r="V156">
        <f>IF(ReconciliationData[[#This Row],[total_returned_units]]&gt;ReconciliationData[[#This Row],[ordered_units]],1,0)</f>
        <v>0</v>
      </c>
      <c r="W1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6">
        <f>ReconciliationData[[#This Row],[Billed_Units]]*ReconciliationData[[#This Row],[Billed_Price]]</f>
        <v>33231.868500000004</v>
      </c>
      <c r="Y156">
        <f>ReconciliationData[[#This Row],[ordered_units]]*ReconciliationData[[#This Row],[List_Price]]</f>
        <v>33231.868500000004</v>
      </c>
      <c r="Z156">
        <f>ReconciliationData[[#This Row],[billed_revenue]]-ReconciliationData[[#This Row],[expected_revenue]]</f>
        <v>0</v>
      </c>
      <c r="AA1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6" t="str">
        <f>IF(ReconciliationData[[#This Row],[severity_score]]=0,"LOW",
 IF(ReconciliationData[[#This Row],[severity_score]]&lt;=5,"MEDIUM","HIGH"))</f>
        <v>LOW</v>
      </c>
      <c r="AC156" t="str">
        <f>TEXT(ReconciliationData[[#This Row],[Order_Date]],"YYYY-MM")</f>
        <v>2023-10</v>
      </c>
    </row>
    <row r="157" spans="1:29">
      <c r="A157" t="s">
        <v>709</v>
      </c>
      <c r="B157" s="1">
        <v>45590</v>
      </c>
      <c r="C157" t="s">
        <v>710</v>
      </c>
      <c r="D157" t="s">
        <v>711</v>
      </c>
      <c r="E157">
        <v>9</v>
      </c>
      <c r="F157" t="s">
        <v>712</v>
      </c>
      <c r="G157">
        <v>9</v>
      </c>
      <c r="H157">
        <v>405.98</v>
      </c>
      <c r="N157">
        <v>405.98</v>
      </c>
      <c r="O157" s="1">
        <v>45152</v>
      </c>
      <c r="P157">
        <f>IF(ISBLANK(ReconciliationData[[#This Row],[Invoice_ID]]),1,0)</f>
        <v>0</v>
      </c>
      <c r="Q157">
        <f>IF(AND(NOT(ISBLANK(ReconciliationData[[#This Row],[Billed_Units]])),ReconciliationData[[#This Row],[ordered_units]]&lt;&gt;ReconciliationData[[#This Row],[Billed_Units]]),1,0)</f>
        <v>0</v>
      </c>
      <c r="R1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">
        <f>IF(AND(NOT(ISBLANK(ReconciliationData[[#This Row],[Contract_Price]])),ReconciliationData[[#This Row],[Billed_Price]]&lt;&gt;ReconciliationData[[#This Row],[Contract_Price]]),1,0)</f>
        <v>0</v>
      </c>
      <c r="T157">
        <f>IF(AND(NOT(ISBLANK(ReconciliationData[[#This Row],[End_Date]])),ReconciliationData[[#This Row],[Order_Date]]&gt;ReconciliationData[[#This Row],[End_Date]]),1,0)</f>
        <v>0</v>
      </c>
      <c r="U157">
        <f>IF(AND(NOT(ISBLANK(ReconciliationData[[#This Row],[last_return_date]])),ReconciliationData[[#This Row],[last_return_date]]&gt;ReconciliationData[[#This Row],[Order_Date]]+60),1,0)</f>
        <v>0</v>
      </c>
      <c r="V157">
        <f>IF(ReconciliationData[[#This Row],[total_returned_units]]&gt;ReconciliationData[[#This Row],[ordered_units]],1,0)</f>
        <v>0</v>
      </c>
      <c r="W1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7">
        <f>ReconciliationData[[#This Row],[Billed_Units]]*ReconciliationData[[#This Row],[Billed_Price]]</f>
        <v>3653.82</v>
      </c>
      <c r="Y157">
        <f>ReconciliationData[[#This Row],[ordered_units]]*ReconciliationData[[#This Row],[List_Price]]</f>
        <v>3653.82</v>
      </c>
      <c r="Z157">
        <f>ReconciliationData[[#This Row],[billed_revenue]]-ReconciliationData[[#This Row],[expected_revenue]]</f>
        <v>0</v>
      </c>
      <c r="AA1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7" t="str">
        <f>IF(ReconciliationData[[#This Row],[severity_score]]=0,"LOW",
 IF(ReconciliationData[[#This Row],[severity_score]]&lt;=5,"MEDIUM","HIGH"))</f>
        <v>LOW</v>
      </c>
      <c r="AC157" t="str">
        <f>TEXT(ReconciliationData[[#This Row],[Order_Date]],"YYYY-MM")</f>
        <v>2024-10</v>
      </c>
    </row>
    <row r="158" spans="1:29">
      <c r="A158" t="s">
        <v>713</v>
      </c>
      <c r="B158" s="1">
        <v>45390</v>
      </c>
      <c r="C158" t="s">
        <v>714</v>
      </c>
      <c r="D158" t="s">
        <v>247</v>
      </c>
      <c r="E158">
        <v>199</v>
      </c>
      <c r="F158" t="s">
        <v>715</v>
      </c>
      <c r="G158">
        <v>199</v>
      </c>
      <c r="H158">
        <v>715.86900000000003</v>
      </c>
      <c r="N158">
        <v>715.86900000000003</v>
      </c>
      <c r="O158" s="1">
        <v>45140</v>
      </c>
      <c r="P158">
        <f>IF(ISBLANK(ReconciliationData[[#This Row],[Invoice_ID]]),1,0)</f>
        <v>0</v>
      </c>
      <c r="Q158">
        <f>IF(AND(NOT(ISBLANK(ReconciliationData[[#This Row],[Billed_Units]])),ReconciliationData[[#This Row],[ordered_units]]&lt;&gt;ReconciliationData[[#This Row],[Billed_Units]]),1,0)</f>
        <v>0</v>
      </c>
      <c r="R1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8">
        <f>IF(AND(NOT(ISBLANK(ReconciliationData[[#This Row],[Contract_Price]])),ReconciliationData[[#This Row],[Billed_Price]]&lt;&gt;ReconciliationData[[#This Row],[Contract_Price]]),1,0)</f>
        <v>0</v>
      </c>
      <c r="T158">
        <f>IF(AND(NOT(ISBLANK(ReconciliationData[[#This Row],[End_Date]])),ReconciliationData[[#This Row],[Order_Date]]&gt;ReconciliationData[[#This Row],[End_Date]]),1,0)</f>
        <v>0</v>
      </c>
      <c r="U158">
        <f>IF(AND(NOT(ISBLANK(ReconciliationData[[#This Row],[last_return_date]])),ReconciliationData[[#This Row],[last_return_date]]&gt;ReconciliationData[[#This Row],[Order_Date]]+60),1,0)</f>
        <v>0</v>
      </c>
      <c r="V158">
        <f>IF(ReconciliationData[[#This Row],[total_returned_units]]&gt;ReconciliationData[[#This Row],[ordered_units]],1,0)</f>
        <v>0</v>
      </c>
      <c r="W1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8">
        <f>ReconciliationData[[#This Row],[Billed_Units]]*ReconciliationData[[#This Row],[Billed_Price]]</f>
        <v>142457.93100000001</v>
      </c>
      <c r="Y158">
        <f>ReconciliationData[[#This Row],[ordered_units]]*ReconciliationData[[#This Row],[List_Price]]</f>
        <v>142457.93100000001</v>
      </c>
      <c r="Z158">
        <f>ReconciliationData[[#This Row],[billed_revenue]]-ReconciliationData[[#This Row],[expected_revenue]]</f>
        <v>0</v>
      </c>
      <c r="AA1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8" t="str">
        <f>IF(ReconciliationData[[#This Row],[severity_score]]=0,"LOW",
 IF(ReconciliationData[[#This Row],[severity_score]]&lt;=5,"MEDIUM","HIGH"))</f>
        <v>LOW</v>
      </c>
      <c r="AC158" t="str">
        <f>TEXT(ReconciliationData[[#This Row],[Order_Date]],"YYYY-MM")</f>
        <v>2024-04</v>
      </c>
    </row>
    <row r="159" spans="1:29">
      <c r="A159" t="s">
        <v>716</v>
      </c>
      <c r="B159" s="1">
        <v>45022</v>
      </c>
      <c r="C159" t="s">
        <v>717</v>
      </c>
      <c r="D159" t="s">
        <v>718</v>
      </c>
      <c r="E159">
        <v>59</v>
      </c>
      <c r="F159" t="s">
        <v>719</v>
      </c>
      <c r="G159">
        <v>59</v>
      </c>
      <c r="H159">
        <v>287.16503427653129</v>
      </c>
      <c r="N159">
        <v>287.14</v>
      </c>
      <c r="O159" s="1">
        <v>44977</v>
      </c>
      <c r="P159">
        <f>IF(ISBLANK(ReconciliationData[[#This Row],[Invoice_ID]]),1,0)</f>
        <v>0</v>
      </c>
      <c r="Q159">
        <f>IF(AND(NOT(ISBLANK(ReconciliationData[[#This Row],[Billed_Units]])),ReconciliationData[[#This Row],[ordered_units]]&lt;&gt;ReconciliationData[[#This Row],[Billed_Units]]),1,0)</f>
        <v>0</v>
      </c>
      <c r="R15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59">
        <f>IF(AND(NOT(ISBLANK(ReconciliationData[[#This Row],[Contract_Price]])),ReconciliationData[[#This Row],[Billed_Price]]&lt;&gt;ReconciliationData[[#This Row],[Contract_Price]]),1,0)</f>
        <v>0</v>
      </c>
      <c r="T159">
        <f>IF(AND(NOT(ISBLANK(ReconciliationData[[#This Row],[End_Date]])),ReconciliationData[[#This Row],[Order_Date]]&gt;ReconciliationData[[#This Row],[End_Date]]),1,0)</f>
        <v>0</v>
      </c>
      <c r="U159">
        <f>IF(AND(NOT(ISBLANK(ReconciliationData[[#This Row],[last_return_date]])),ReconciliationData[[#This Row],[last_return_date]]&gt;ReconciliationData[[#This Row],[Order_Date]]+60),1,0)</f>
        <v>0</v>
      </c>
      <c r="V159">
        <f>IF(ReconciliationData[[#This Row],[total_returned_units]]&gt;ReconciliationData[[#This Row],[ordered_units]],1,0)</f>
        <v>0</v>
      </c>
      <c r="W1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9">
        <f>ReconciliationData[[#This Row],[Billed_Units]]*ReconciliationData[[#This Row],[Billed_Price]]</f>
        <v>16942.737022315345</v>
      </c>
      <c r="Y159">
        <f>ReconciliationData[[#This Row],[ordered_units]]*ReconciliationData[[#This Row],[List_Price]]</f>
        <v>16941.259999999998</v>
      </c>
      <c r="Z159">
        <f>ReconciliationData[[#This Row],[billed_revenue]]-ReconciliationData[[#This Row],[expected_revenue]]</f>
        <v>1.477022315346403</v>
      </c>
      <c r="AA1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59" t="str">
        <f>IF(ReconciliationData[[#This Row],[severity_score]]=0,"LOW",
 IF(ReconciliationData[[#This Row],[severity_score]]&lt;=5,"MEDIUM","HIGH"))</f>
        <v>MEDIUM</v>
      </c>
      <c r="AC159" t="str">
        <f>TEXT(ReconciliationData[[#This Row],[Order_Date]],"YYYY-MM")</f>
        <v>2023-04</v>
      </c>
    </row>
    <row r="160" spans="1:29">
      <c r="A160" t="s">
        <v>720</v>
      </c>
      <c r="B160" s="1">
        <v>45352</v>
      </c>
      <c r="C160" t="s">
        <v>721</v>
      </c>
      <c r="D160" t="s">
        <v>722</v>
      </c>
      <c r="E160">
        <v>150</v>
      </c>
      <c r="F160" t="s">
        <v>723</v>
      </c>
      <c r="G160">
        <v>150</v>
      </c>
      <c r="H160">
        <v>343.34190000000001</v>
      </c>
      <c r="N160">
        <v>343.34190000000001</v>
      </c>
      <c r="O160" s="1">
        <v>45126</v>
      </c>
      <c r="P160">
        <f>IF(ISBLANK(ReconciliationData[[#This Row],[Invoice_ID]]),1,0)</f>
        <v>0</v>
      </c>
      <c r="Q160">
        <f>IF(AND(NOT(ISBLANK(ReconciliationData[[#This Row],[Billed_Units]])),ReconciliationData[[#This Row],[ordered_units]]&lt;&gt;ReconciliationData[[#This Row],[Billed_Units]]),1,0)</f>
        <v>0</v>
      </c>
      <c r="R1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">
        <f>IF(AND(NOT(ISBLANK(ReconciliationData[[#This Row],[Contract_Price]])),ReconciliationData[[#This Row],[Billed_Price]]&lt;&gt;ReconciliationData[[#This Row],[Contract_Price]]),1,0)</f>
        <v>0</v>
      </c>
      <c r="T160">
        <f>IF(AND(NOT(ISBLANK(ReconciliationData[[#This Row],[End_Date]])),ReconciliationData[[#This Row],[Order_Date]]&gt;ReconciliationData[[#This Row],[End_Date]]),1,0)</f>
        <v>0</v>
      </c>
      <c r="U160">
        <f>IF(AND(NOT(ISBLANK(ReconciliationData[[#This Row],[last_return_date]])),ReconciliationData[[#This Row],[last_return_date]]&gt;ReconciliationData[[#This Row],[Order_Date]]+60),1,0)</f>
        <v>0</v>
      </c>
      <c r="V160">
        <f>IF(ReconciliationData[[#This Row],[total_returned_units]]&gt;ReconciliationData[[#This Row],[ordered_units]],1,0)</f>
        <v>0</v>
      </c>
      <c r="W1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0">
        <f>ReconciliationData[[#This Row],[Billed_Units]]*ReconciliationData[[#This Row],[Billed_Price]]</f>
        <v>51501.285000000003</v>
      </c>
      <c r="Y160">
        <f>ReconciliationData[[#This Row],[ordered_units]]*ReconciliationData[[#This Row],[List_Price]]</f>
        <v>51501.285000000003</v>
      </c>
      <c r="Z160">
        <f>ReconciliationData[[#This Row],[billed_revenue]]-ReconciliationData[[#This Row],[expected_revenue]]</f>
        <v>0</v>
      </c>
      <c r="AA1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0" t="str">
        <f>IF(ReconciliationData[[#This Row],[severity_score]]=0,"LOW",
 IF(ReconciliationData[[#This Row],[severity_score]]&lt;=5,"MEDIUM","HIGH"))</f>
        <v>LOW</v>
      </c>
      <c r="AC160" t="str">
        <f>TEXT(ReconciliationData[[#This Row],[Order_Date]],"YYYY-MM")</f>
        <v>2024-03</v>
      </c>
    </row>
    <row r="161" spans="1:29">
      <c r="A161" t="s">
        <v>724</v>
      </c>
      <c r="B161" s="1">
        <v>45336</v>
      </c>
      <c r="C161" t="s">
        <v>725</v>
      </c>
      <c r="D161" t="s">
        <v>610</v>
      </c>
      <c r="E161">
        <v>167</v>
      </c>
      <c r="F161" t="s">
        <v>726</v>
      </c>
      <c r="G161">
        <v>167</v>
      </c>
      <c r="H161">
        <v>457.65019999999998</v>
      </c>
      <c r="N161">
        <v>457.65019999999998</v>
      </c>
      <c r="O161" s="1">
        <v>44950</v>
      </c>
      <c r="P161">
        <f>IF(ISBLANK(ReconciliationData[[#This Row],[Invoice_ID]]),1,0)</f>
        <v>0</v>
      </c>
      <c r="Q161">
        <f>IF(AND(NOT(ISBLANK(ReconciliationData[[#This Row],[Billed_Units]])),ReconciliationData[[#This Row],[ordered_units]]&lt;&gt;ReconciliationData[[#This Row],[Billed_Units]]),1,0)</f>
        <v>0</v>
      </c>
      <c r="R1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">
        <f>IF(AND(NOT(ISBLANK(ReconciliationData[[#This Row],[Contract_Price]])),ReconciliationData[[#This Row],[Billed_Price]]&lt;&gt;ReconciliationData[[#This Row],[Contract_Price]]),1,0)</f>
        <v>0</v>
      </c>
      <c r="T161">
        <f>IF(AND(NOT(ISBLANK(ReconciliationData[[#This Row],[End_Date]])),ReconciliationData[[#This Row],[Order_Date]]&gt;ReconciliationData[[#This Row],[End_Date]]),1,0)</f>
        <v>0</v>
      </c>
      <c r="U161">
        <f>IF(AND(NOT(ISBLANK(ReconciliationData[[#This Row],[last_return_date]])),ReconciliationData[[#This Row],[last_return_date]]&gt;ReconciliationData[[#This Row],[Order_Date]]+60),1,0)</f>
        <v>0</v>
      </c>
      <c r="V161">
        <f>IF(ReconciliationData[[#This Row],[total_returned_units]]&gt;ReconciliationData[[#This Row],[ordered_units]],1,0)</f>
        <v>0</v>
      </c>
      <c r="W1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1">
        <f>ReconciliationData[[#This Row],[Billed_Units]]*ReconciliationData[[#This Row],[Billed_Price]]</f>
        <v>76427.583400000003</v>
      </c>
      <c r="Y161">
        <f>ReconciliationData[[#This Row],[ordered_units]]*ReconciliationData[[#This Row],[List_Price]]</f>
        <v>76427.583400000003</v>
      </c>
      <c r="Z161">
        <f>ReconciliationData[[#This Row],[billed_revenue]]-ReconciliationData[[#This Row],[expected_revenue]]</f>
        <v>0</v>
      </c>
      <c r="AA1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1" t="str">
        <f>IF(ReconciliationData[[#This Row],[severity_score]]=0,"LOW",
 IF(ReconciliationData[[#This Row],[severity_score]]&lt;=5,"MEDIUM","HIGH"))</f>
        <v>LOW</v>
      </c>
      <c r="AC161" t="str">
        <f>TEXT(ReconciliationData[[#This Row],[Order_Date]],"YYYY-MM")</f>
        <v>2024-02</v>
      </c>
    </row>
    <row r="162" spans="1:29">
      <c r="A162" t="s">
        <v>727</v>
      </c>
      <c r="B162" s="1">
        <v>44992</v>
      </c>
      <c r="C162" t="s">
        <v>728</v>
      </c>
      <c r="D162" t="s">
        <v>267</v>
      </c>
      <c r="E162">
        <v>91</v>
      </c>
      <c r="F162" t="s">
        <v>729</v>
      </c>
      <c r="G162">
        <v>91</v>
      </c>
      <c r="H162">
        <v>983.07600000000002</v>
      </c>
      <c r="N162">
        <v>983.07600000000002</v>
      </c>
      <c r="O162" s="1">
        <v>44775</v>
      </c>
      <c r="P162">
        <f>IF(ISBLANK(ReconciliationData[[#This Row],[Invoice_ID]]),1,0)</f>
        <v>0</v>
      </c>
      <c r="Q162">
        <f>IF(AND(NOT(ISBLANK(ReconciliationData[[#This Row],[Billed_Units]])),ReconciliationData[[#This Row],[ordered_units]]&lt;&gt;ReconciliationData[[#This Row],[Billed_Units]]),1,0)</f>
        <v>0</v>
      </c>
      <c r="R1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2">
        <f>IF(AND(NOT(ISBLANK(ReconciliationData[[#This Row],[Contract_Price]])),ReconciliationData[[#This Row],[Billed_Price]]&lt;&gt;ReconciliationData[[#This Row],[Contract_Price]]),1,0)</f>
        <v>0</v>
      </c>
      <c r="T162">
        <f>IF(AND(NOT(ISBLANK(ReconciliationData[[#This Row],[End_Date]])),ReconciliationData[[#This Row],[Order_Date]]&gt;ReconciliationData[[#This Row],[End_Date]]),1,0)</f>
        <v>0</v>
      </c>
      <c r="U162">
        <f>IF(AND(NOT(ISBLANK(ReconciliationData[[#This Row],[last_return_date]])),ReconciliationData[[#This Row],[last_return_date]]&gt;ReconciliationData[[#This Row],[Order_Date]]+60),1,0)</f>
        <v>0</v>
      </c>
      <c r="V162">
        <f>IF(ReconciliationData[[#This Row],[total_returned_units]]&gt;ReconciliationData[[#This Row],[ordered_units]],1,0)</f>
        <v>0</v>
      </c>
      <c r="W1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2">
        <f>ReconciliationData[[#This Row],[Billed_Units]]*ReconciliationData[[#This Row],[Billed_Price]]</f>
        <v>89459.915999999997</v>
      </c>
      <c r="Y162">
        <f>ReconciliationData[[#This Row],[ordered_units]]*ReconciliationData[[#This Row],[List_Price]]</f>
        <v>89459.915999999997</v>
      </c>
      <c r="Z162">
        <f>ReconciliationData[[#This Row],[billed_revenue]]-ReconciliationData[[#This Row],[expected_revenue]]</f>
        <v>0</v>
      </c>
      <c r="AA1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2" t="str">
        <f>IF(ReconciliationData[[#This Row],[severity_score]]=0,"LOW",
 IF(ReconciliationData[[#This Row],[severity_score]]&lt;=5,"MEDIUM","HIGH"))</f>
        <v>LOW</v>
      </c>
      <c r="AC162" t="str">
        <f>TEXT(ReconciliationData[[#This Row],[Order_Date]],"YYYY-MM")</f>
        <v>2023-03</v>
      </c>
    </row>
    <row r="163" spans="1:29">
      <c r="A163" t="s">
        <v>730</v>
      </c>
      <c r="B163" s="1">
        <v>45492</v>
      </c>
      <c r="C163" t="s">
        <v>731</v>
      </c>
      <c r="D163" t="s">
        <v>732</v>
      </c>
      <c r="E163">
        <v>196</v>
      </c>
      <c r="F163" t="s">
        <v>733</v>
      </c>
      <c r="G163">
        <v>196</v>
      </c>
      <c r="H163">
        <v>440.38799999999998</v>
      </c>
      <c r="N163">
        <v>440.38799999999998</v>
      </c>
      <c r="O163" s="1">
        <v>45016</v>
      </c>
      <c r="P163">
        <f>IF(ISBLANK(ReconciliationData[[#This Row],[Invoice_ID]]),1,0)</f>
        <v>0</v>
      </c>
      <c r="Q163">
        <f>IF(AND(NOT(ISBLANK(ReconciliationData[[#This Row],[Billed_Units]])),ReconciliationData[[#This Row],[ordered_units]]&lt;&gt;ReconciliationData[[#This Row],[Billed_Units]]),1,0)</f>
        <v>0</v>
      </c>
      <c r="R1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">
        <f>IF(AND(NOT(ISBLANK(ReconciliationData[[#This Row],[Contract_Price]])),ReconciliationData[[#This Row],[Billed_Price]]&lt;&gt;ReconciliationData[[#This Row],[Contract_Price]]),1,0)</f>
        <v>0</v>
      </c>
      <c r="T163">
        <f>IF(AND(NOT(ISBLANK(ReconciliationData[[#This Row],[End_Date]])),ReconciliationData[[#This Row],[Order_Date]]&gt;ReconciliationData[[#This Row],[End_Date]]),1,0)</f>
        <v>0</v>
      </c>
      <c r="U163">
        <f>IF(AND(NOT(ISBLANK(ReconciliationData[[#This Row],[last_return_date]])),ReconciliationData[[#This Row],[last_return_date]]&gt;ReconciliationData[[#This Row],[Order_Date]]+60),1,0)</f>
        <v>0</v>
      </c>
      <c r="V163">
        <f>IF(ReconciliationData[[#This Row],[total_returned_units]]&gt;ReconciliationData[[#This Row],[ordered_units]],1,0)</f>
        <v>0</v>
      </c>
      <c r="W1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3">
        <f>ReconciliationData[[#This Row],[Billed_Units]]*ReconciliationData[[#This Row],[Billed_Price]]</f>
        <v>86316.047999999995</v>
      </c>
      <c r="Y163">
        <f>ReconciliationData[[#This Row],[ordered_units]]*ReconciliationData[[#This Row],[List_Price]]</f>
        <v>86316.047999999995</v>
      </c>
      <c r="Z163">
        <f>ReconciliationData[[#This Row],[billed_revenue]]-ReconciliationData[[#This Row],[expected_revenue]]</f>
        <v>0</v>
      </c>
      <c r="AA1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3" t="str">
        <f>IF(ReconciliationData[[#This Row],[severity_score]]=0,"LOW",
 IF(ReconciliationData[[#This Row],[severity_score]]&lt;=5,"MEDIUM","HIGH"))</f>
        <v>LOW</v>
      </c>
      <c r="AC163" t="str">
        <f>TEXT(ReconciliationData[[#This Row],[Order_Date]],"YYYY-MM")</f>
        <v>2024-07</v>
      </c>
    </row>
    <row r="164" spans="1:29">
      <c r="A164" t="s">
        <v>734</v>
      </c>
      <c r="B164" s="1">
        <v>44946</v>
      </c>
      <c r="C164" t="s">
        <v>305</v>
      </c>
      <c r="D164" t="s">
        <v>279</v>
      </c>
      <c r="E164">
        <v>147</v>
      </c>
      <c r="F164" t="s">
        <v>735</v>
      </c>
      <c r="G164">
        <v>147</v>
      </c>
      <c r="H164">
        <v>1131.7511999999999</v>
      </c>
      <c r="N164">
        <v>1131.7511999999999</v>
      </c>
      <c r="O164" s="1">
        <v>44806</v>
      </c>
      <c r="P164">
        <f>IF(ISBLANK(ReconciliationData[[#This Row],[Invoice_ID]]),1,0)</f>
        <v>0</v>
      </c>
      <c r="Q164">
        <f>IF(AND(NOT(ISBLANK(ReconciliationData[[#This Row],[Billed_Units]])),ReconciliationData[[#This Row],[ordered_units]]&lt;&gt;ReconciliationData[[#This Row],[Billed_Units]]),1,0)</f>
        <v>0</v>
      </c>
      <c r="R1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">
        <f>IF(AND(NOT(ISBLANK(ReconciliationData[[#This Row],[Contract_Price]])),ReconciliationData[[#This Row],[Billed_Price]]&lt;&gt;ReconciliationData[[#This Row],[Contract_Price]]),1,0)</f>
        <v>0</v>
      </c>
      <c r="T164">
        <f>IF(AND(NOT(ISBLANK(ReconciliationData[[#This Row],[End_Date]])),ReconciliationData[[#This Row],[Order_Date]]&gt;ReconciliationData[[#This Row],[End_Date]]),1,0)</f>
        <v>0</v>
      </c>
      <c r="U164">
        <f>IF(AND(NOT(ISBLANK(ReconciliationData[[#This Row],[last_return_date]])),ReconciliationData[[#This Row],[last_return_date]]&gt;ReconciliationData[[#This Row],[Order_Date]]+60),1,0)</f>
        <v>0</v>
      </c>
      <c r="V164">
        <f>IF(ReconciliationData[[#This Row],[total_returned_units]]&gt;ReconciliationData[[#This Row],[ordered_units]],1,0)</f>
        <v>0</v>
      </c>
      <c r="W1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">
        <f>ReconciliationData[[#This Row],[Billed_Units]]*ReconciliationData[[#This Row],[Billed_Price]]</f>
        <v>166367.4264</v>
      </c>
      <c r="Y164">
        <f>ReconciliationData[[#This Row],[ordered_units]]*ReconciliationData[[#This Row],[List_Price]]</f>
        <v>166367.4264</v>
      </c>
      <c r="Z164">
        <f>ReconciliationData[[#This Row],[billed_revenue]]-ReconciliationData[[#This Row],[expected_revenue]]</f>
        <v>0</v>
      </c>
      <c r="AA1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" t="str">
        <f>IF(ReconciliationData[[#This Row],[severity_score]]=0,"LOW",
 IF(ReconciliationData[[#This Row],[severity_score]]&lt;=5,"MEDIUM","HIGH"))</f>
        <v>LOW</v>
      </c>
      <c r="AC164" t="str">
        <f>TEXT(ReconciliationData[[#This Row],[Order_Date]],"YYYY-MM")</f>
        <v>2023-01</v>
      </c>
    </row>
    <row r="165" spans="1:29">
      <c r="A165" t="s">
        <v>736</v>
      </c>
      <c r="B165" s="1">
        <v>44969</v>
      </c>
      <c r="C165" t="s">
        <v>737</v>
      </c>
      <c r="D165" t="s">
        <v>738</v>
      </c>
      <c r="E165">
        <v>97</v>
      </c>
      <c r="F165" t="s">
        <v>739</v>
      </c>
      <c r="G165">
        <v>100</v>
      </c>
      <c r="H165">
        <v>733.42080000000021</v>
      </c>
      <c r="N165">
        <v>733.42080000000021</v>
      </c>
      <c r="O165" s="1">
        <v>44856</v>
      </c>
      <c r="P165">
        <f>IF(ISBLANK(ReconciliationData[[#This Row],[Invoice_ID]]),1,0)</f>
        <v>0</v>
      </c>
      <c r="Q165">
        <f>IF(AND(NOT(ISBLANK(ReconciliationData[[#This Row],[Billed_Units]])),ReconciliationData[[#This Row],[ordered_units]]&lt;&gt;ReconciliationData[[#This Row],[Billed_Units]]),1,0)</f>
        <v>1</v>
      </c>
      <c r="R1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">
        <f>IF(AND(NOT(ISBLANK(ReconciliationData[[#This Row],[Contract_Price]])),ReconciliationData[[#This Row],[Billed_Price]]&lt;&gt;ReconciliationData[[#This Row],[Contract_Price]]),1,0)</f>
        <v>0</v>
      </c>
      <c r="T165">
        <f>IF(AND(NOT(ISBLANK(ReconciliationData[[#This Row],[End_Date]])),ReconciliationData[[#This Row],[Order_Date]]&gt;ReconciliationData[[#This Row],[End_Date]]),1,0)</f>
        <v>0</v>
      </c>
      <c r="U165">
        <f>IF(AND(NOT(ISBLANK(ReconciliationData[[#This Row],[last_return_date]])),ReconciliationData[[#This Row],[last_return_date]]&gt;ReconciliationData[[#This Row],[Order_Date]]+60),1,0)</f>
        <v>0</v>
      </c>
      <c r="V165">
        <f>IF(ReconciliationData[[#This Row],[total_returned_units]]&gt;ReconciliationData[[#This Row],[ordered_units]],1,0)</f>
        <v>0</v>
      </c>
      <c r="W1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5">
        <f>ReconciliationData[[#This Row],[Billed_Units]]*ReconciliationData[[#This Row],[Billed_Price]]</f>
        <v>73342.080000000016</v>
      </c>
      <c r="Y165">
        <f>ReconciliationData[[#This Row],[ordered_units]]*ReconciliationData[[#This Row],[List_Price]]</f>
        <v>71141.817600000024</v>
      </c>
      <c r="Z165">
        <f>ReconciliationData[[#This Row],[billed_revenue]]-ReconciliationData[[#This Row],[expected_revenue]]</f>
        <v>2200.2623999999923</v>
      </c>
      <c r="AA1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65" t="str">
        <f>IF(ReconciliationData[[#This Row],[severity_score]]=0,"LOW",
 IF(ReconciliationData[[#This Row],[severity_score]]&lt;=5,"MEDIUM","HIGH"))</f>
        <v>HIGH</v>
      </c>
      <c r="AC165" t="str">
        <f>TEXT(ReconciliationData[[#This Row],[Order_Date]],"YYYY-MM")</f>
        <v>2023-02</v>
      </c>
    </row>
    <row r="166" spans="1:29">
      <c r="A166" t="s">
        <v>740</v>
      </c>
      <c r="B166" s="1">
        <v>45270</v>
      </c>
      <c r="C166" t="s">
        <v>741</v>
      </c>
      <c r="D166" t="s">
        <v>647</v>
      </c>
      <c r="E166">
        <v>30</v>
      </c>
      <c r="F166" t="s">
        <v>742</v>
      </c>
      <c r="G166">
        <v>30</v>
      </c>
      <c r="H166">
        <v>279.42789999999997</v>
      </c>
      <c r="N166">
        <v>279.42789999999997</v>
      </c>
      <c r="O166" s="1">
        <v>45103</v>
      </c>
      <c r="P166">
        <f>IF(ISBLANK(ReconciliationData[[#This Row],[Invoice_ID]]),1,0)</f>
        <v>0</v>
      </c>
      <c r="Q166">
        <f>IF(AND(NOT(ISBLANK(ReconciliationData[[#This Row],[Billed_Units]])),ReconciliationData[[#This Row],[ordered_units]]&lt;&gt;ReconciliationData[[#This Row],[Billed_Units]]),1,0)</f>
        <v>0</v>
      </c>
      <c r="R1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6">
        <f>IF(AND(NOT(ISBLANK(ReconciliationData[[#This Row],[Contract_Price]])),ReconciliationData[[#This Row],[Billed_Price]]&lt;&gt;ReconciliationData[[#This Row],[Contract_Price]]),1,0)</f>
        <v>0</v>
      </c>
      <c r="T166">
        <f>IF(AND(NOT(ISBLANK(ReconciliationData[[#This Row],[End_Date]])),ReconciliationData[[#This Row],[Order_Date]]&gt;ReconciliationData[[#This Row],[End_Date]]),1,0)</f>
        <v>0</v>
      </c>
      <c r="U166">
        <f>IF(AND(NOT(ISBLANK(ReconciliationData[[#This Row],[last_return_date]])),ReconciliationData[[#This Row],[last_return_date]]&gt;ReconciliationData[[#This Row],[Order_Date]]+60),1,0)</f>
        <v>0</v>
      </c>
      <c r="V166">
        <f>IF(ReconciliationData[[#This Row],[total_returned_units]]&gt;ReconciliationData[[#This Row],[ordered_units]],1,0)</f>
        <v>0</v>
      </c>
      <c r="W1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6">
        <f>ReconciliationData[[#This Row],[Billed_Units]]*ReconciliationData[[#This Row],[Billed_Price]]</f>
        <v>8382.8369999999995</v>
      </c>
      <c r="Y166">
        <f>ReconciliationData[[#This Row],[ordered_units]]*ReconciliationData[[#This Row],[List_Price]]</f>
        <v>8382.8369999999995</v>
      </c>
      <c r="Z166">
        <f>ReconciliationData[[#This Row],[billed_revenue]]-ReconciliationData[[#This Row],[expected_revenue]]</f>
        <v>0</v>
      </c>
      <c r="AA1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6" t="str">
        <f>IF(ReconciliationData[[#This Row],[severity_score]]=0,"LOW",
 IF(ReconciliationData[[#This Row],[severity_score]]&lt;=5,"MEDIUM","HIGH"))</f>
        <v>LOW</v>
      </c>
      <c r="AC166" t="str">
        <f>TEXT(ReconciliationData[[#This Row],[Order_Date]],"YYYY-MM")</f>
        <v>2023-12</v>
      </c>
    </row>
    <row r="167" spans="1:29">
      <c r="A167" t="s">
        <v>743</v>
      </c>
      <c r="B167" s="1">
        <v>45356</v>
      </c>
      <c r="C167" t="s">
        <v>219</v>
      </c>
      <c r="D167" t="s">
        <v>255</v>
      </c>
      <c r="E167">
        <v>43</v>
      </c>
      <c r="F167" t="s">
        <v>744</v>
      </c>
      <c r="G167">
        <v>43</v>
      </c>
      <c r="H167">
        <v>1103.0465999999999</v>
      </c>
      <c r="N167">
        <v>1103.0465999999999</v>
      </c>
      <c r="O167" s="1">
        <v>45214</v>
      </c>
      <c r="P167">
        <f>IF(ISBLANK(ReconciliationData[[#This Row],[Invoice_ID]]),1,0)</f>
        <v>0</v>
      </c>
      <c r="Q167">
        <f>IF(AND(NOT(ISBLANK(ReconciliationData[[#This Row],[Billed_Units]])),ReconciliationData[[#This Row],[ordered_units]]&lt;&gt;ReconciliationData[[#This Row],[Billed_Units]]),1,0)</f>
        <v>0</v>
      </c>
      <c r="R1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">
        <f>IF(AND(NOT(ISBLANK(ReconciliationData[[#This Row],[Contract_Price]])),ReconciliationData[[#This Row],[Billed_Price]]&lt;&gt;ReconciliationData[[#This Row],[Contract_Price]]),1,0)</f>
        <v>0</v>
      </c>
      <c r="T167">
        <f>IF(AND(NOT(ISBLANK(ReconciliationData[[#This Row],[End_Date]])),ReconciliationData[[#This Row],[Order_Date]]&gt;ReconciliationData[[#This Row],[End_Date]]),1,0)</f>
        <v>0</v>
      </c>
      <c r="U167">
        <f>IF(AND(NOT(ISBLANK(ReconciliationData[[#This Row],[last_return_date]])),ReconciliationData[[#This Row],[last_return_date]]&gt;ReconciliationData[[#This Row],[Order_Date]]+60),1,0)</f>
        <v>0</v>
      </c>
      <c r="V167">
        <f>IF(ReconciliationData[[#This Row],[total_returned_units]]&gt;ReconciliationData[[#This Row],[ordered_units]],1,0)</f>
        <v>0</v>
      </c>
      <c r="W1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">
        <f>ReconciliationData[[#This Row],[Billed_Units]]*ReconciliationData[[#This Row],[Billed_Price]]</f>
        <v>47431.003799999999</v>
      </c>
      <c r="Y167">
        <f>ReconciliationData[[#This Row],[ordered_units]]*ReconciliationData[[#This Row],[List_Price]]</f>
        <v>47431.003799999999</v>
      </c>
      <c r="Z167">
        <f>ReconciliationData[[#This Row],[billed_revenue]]-ReconciliationData[[#This Row],[expected_revenue]]</f>
        <v>0</v>
      </c>
      <c r="AA1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" t="str">
        <f>IF(ReconciliationData[[#This Row],[severity_score]]=0,"LOW",
 IF(ReconciliationData[[#This Row],[severity_score]]&lt;=5,"MEDIUM","HIGH"))</f>
        <v>LOW</v>
      </c>
      <c r="AC167" t="str">
        <f>TEXT(ReconciliationData[[#This Row],[Order_Date]],"YYYY-MM")</f>
        <v>2024-03</v>
      </c>
    </row>
    <row r="168" spans="1:29">
      <c r="A168" t="s">
        <v>745</v>
      </c>
      <c r="B168" s="1">
        <v>44984</v>
      </c>
      <c r="C168" t="s">
        <v>746</v>
      </c>
      <c r="D168" t="s">
        <v>747</v>
      </c>
      <c r="E168">
        <v>47</v>
      </c>
      <c r="F168" t="s">
        <v>748</v>
      </c>
      <c r="G168">
        <v>47</v>
      </c>
      <c r="H168">
        <v>58.98</v>
      </c>
      <c r="N168">
        <v>58.98</v>
      </c>
      <c r="O168" s="1">
        <v>44934</v>
      </c>
      <c r="P168">
        <f>IF(ISBLANK(ReconciliationData[[#This Row],[Invoice_ID]]),1,0)</f>
        <v>0</v>
      </c>
      <c r="Q168">
        <f>IF(AND(NOT(ISBLANK(ReconciliationData[[#This Row],[Billed_Units]])),ReconciliationData[[#This Row],[ordered_units]]&lt;&gt;ReconciliationData[[#This Row],[Billed_Units]]),1,0)</f>
        <v>0</v>
      </c>
      <c r="R1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8">
        <f>IF(AND(NOT(ISBLANK(ReconciliationData[[#This Row],[Contract_Price]])),ReconciliationData[[#This Row],[Billed_Price]]&lt;&gt;ReconciliationData[[#This Row],[Contract_Price]]),1,0)</f>
        <v>0</v>
      </c>
      <c r="T168">
        <f>IF(AND(NOT(ISBLANK(ReconciliationData[[#This Row],[End_Date]])),ReconciliationData[[#This Row],[Order_Date]]&gt;ReconciliationData[[#This Row],[End_Date]]),1,0)</f>
        <v>0</v>
      </c>
      <c r="U168">
        <f>IF(AND(NOT(ISBLANK(ReconciliationData[[#This Row],[last_return_date]])),ReconciliationData[[#This Row],[last_return_date]]&gt;ReconciliationData[[#This Row],[Order_Date]]+60),1,0)</f>
        <v>0</v>
      </c>
      <c r="V168">
        <f>IF(ReconciliationData[[#This Row],[total_returned_units]]&gt;ReconciliationData[[#This Row],[ordered_units]],1,0)</f>
        <v>0</v>
      </c>
      <c r="W1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8">
        <f>ReconciliationData[[#This Row],[Billed_Units]]*ReconciliationData[[#This Row],[Billed_Price]]</f>
        <v>2772.06</v>
      </c>
      <c r="Y168">
        <f>ReconciliationData[[#This Row],[ordered_units]]*ReconciliationData[[#This Row],[List_Price]]</f>
        <v>2772.06</v>
      </c>
      <c r="Z168">
        <f>ReconciliationData[[#This Row],[billed_revenue]]-ReconciliationData[[#This Row],[expected_revenue]]</f>
        <v>0</v>
      </c>
      <c r="AA1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8" t="str">
        <f>IF(ReconciliationData[[#This Row],[severity_score]]=0,"LOW",
 IF(ReconciliationData[[#This Row],[severity_score]]&lt;=5,"MEDIUM","HIGH"))</f>
        <v>LOW</v>
      </c>
      <c r="AC168" t="str">
        <f>TEXT(ReconciliationData[[#This Row],[Order_Date]],"YYYY-MM")</f>
        <v>2023-02</v>
      </c>
    </row>
    <row r="169" spans="1:29">
      <c r="A169" t="s">
        <v>749</v>
      </c>
      <c r="B169" s="1">
        <v>45596</v>
      </c>
      <c r="C169" t="s">
        <v>750</v>
      </c>
      <c r="D169" t="s">
        <v>291</v>
      </c>
      <c r="E169">
        <v>14</v>
      </c>
      <c r="F169" t="s">
        <v>751</v>
      </c>
      <c r="G169">
        <v>14</v>
      </c>
      <c r="H169">
        <v>454.98379999999997</v>
      </c>
      <c r="N169">
        <v>454.98379999999997</v>
      </c>
      <c r="O169" s="1">
        <v>45011</v>
      </c>
      <c r="P169">
        <f>IF(ISBLANK(ReconciliationData[[#This Row],[Invoice_ID]]),1,0)</f>
        <v>0</v>
      </c>
      <c r="Q169">
        <f>IF(AND(NOT(ISBLANK(ReconciliationData[[#This Row],[Billed_Units]])),ReconciliationData[[#This Row],[ordered_units]]&lt;&gt;ReconciliationData[[#This Row],[Billed_Units]]),1,0)</f>
        <v>0</v>
      </c>
      <c r="R1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">
        <f>IF(AND(NOT(ISBLANK(ReconciliationData[[#This Row],[Contract_Price]])),ReconciliationData[[#This Row],[Billed_Price]]&lt;&gt;ReconciliationData[[#This Row],[Contract_Price]]),1,0)</f>
        <v>0</v>
      </c>
      <c r="T169">
        <f>IF(AND(NOT(ISBLANK(ReconciliationData[[#This Row],[End_Date]])),ReconciliationData[[#This Row],[Order_Date]]&gt;ReconciliationData[[#This Row],[End_Date]]),1,0)</f>
        <v>0</v>
      </c>
      <c r="U169">
        <f>IF(AND(NOT(ISBLANK(ReconciliationData[[#This Row],[last_return_date]])),ReconciliationData[[#This Row],[last_return_date]]&gt;ReconciliationData[[#This Row],[Order_Date]]+60),1,0)</f>
        <v>0</v>
      </c>
      <c r="V169">
        <f>IF(ReconciliationData[[#This Row],[total_returned_units]]&gt;ReconciliationData[[#This Row],[ordered_units]],1,0)</f>
        <v>0</v>
      </c>
      <c r="W1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9">
        <f>ReconciliationData[[#This Row],[Billed_Units]]*ReconciliationData[[#This Row],[Billed_Price]]</f>
        <v>6369.7731999999996</v>
      </c>
      <c r="Y169">
        <f>ReconciliationData[[#This Row],[ordered_units]]*ReconciliationData[[#This Row],[List_Price]]</f>
        <v>6369.7731999999996</v>
      </c>
      <c r="Z169">
        <f>ReconciliationData[[#This Row],[billed_revenue]]-ReconciliationData[[#This Row],[expected_revenue]]</f>
        <v>0</v>
      </c>
      <c r="AA1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9" t="str">
        <f>IF(ReconciliationData[[#This Row],[severity_score]]=0,"LOW",
 IF(ReconciliationData[[#This Row],[severity_score]]&lt;=5,"MEDIUM","HIGH"))</f>
        <v>LOW</v>
      </c>
      <c r="AC169" t="str">
        <f>TEXT(ReconciliationData[[#This Row],[Order_Date]],"YYYY-MM")</f>
        <v>2024-10</v>
      </c>
    </row>
    <row r="170" spans="1:29">
      <c r="A170" t="s">
        <v>752</v>
      </c>
      <c r="B170" s="1">
        <v>45363</v>
      </c>
      <c r="C170" t="s">
        <v>145</v>
      </c>
      <c r="D170" t="s">
        <v>753</v>
      </c>
      <c r="E170">
        <v>116</v>
      </c>
      <c r="F170" t="s">
        <v>754</v>
      </c>
      <c r="G170">
        <v>116</v>
      </c>
      <c r="H170">
        <v>741.88620000000003</v>
      </c>
      <c r="N170">
        <v>741.88620000000003</v>
      </c>
      <c r="O170" s="1">
        <v>44930</v>
      </c>
      <c r="P170">
        <f>IF(ISBLANK(ReconciliationData[[#This Row],[Invoice_ID]]),1,0)</f>
        <v>0</v>
      </c>
      <c r="Q170">
        <f>IF(AND(NOT(ISBLANK(ReconciliationData[[#This Row],[Billed_Units]])),ReconciliationData[[#This Row],[ordered_units]]&lt;&gt;ReconciliationData[[#This Row],[Billed_Units]]),1,0)</f>
        <v>0</v>
      </c>
      <c r="R1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">
        <f>IF(AND(NOT(ISBLANK(ReconciliationData[[#This Row],[Contract_Price]])),ReconciliationData[[#This Row],[Billed_Price]]&lt;&gt;ReconciliationData[[#This Row],[Contract_Price]]),1,0)</f>
        <v>0</v>
      </c>
      <c r="T170">
        <f>IF(AND(NOT(ISBLANK(ReconciliationData[[#This Row],[End_Date]])),ReconciliationData[[#This Row],[Order_Date]]&gt;ReconciliationData[[#This Row],[End_Date]]),1,0)</f>
        <v>0</v>
      </c>
      <c r="U170">
        <f>IF(AND(NOT(ISBLANK(ReconciliationData[[#This Row],[last_return_date]])),ReconciliationData[[#This Row],[last_return_date]]&gt;ReconciliationData[[#This Row],[Order_Date]]+60),1,0)</f>
        <v>0</v>
      </c>
      <c r="V170">
        <f>IF(ReconciliationData[[#This Row],[total_returned_units]]&gt;ReconciliationData[[#This Row],[ordered_units]],1,0)</f>
        <v>0</v>
      </c>
      <c r="W1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0">
        <f>ReconciliationData[[#This Row],[Billed_Units]]*ReconciliationData[[#This Row],[Billed_Price]]</f>
        <v>86058.799200000009</v>
      </c>
      <c r="Y170">
        <f>ReconciliationData[[#This Row],[ordered_units]]*ReconciliationData[[#This Row],[List_Price]]</f>
        <v>86058.799200000009</v>
      </c>
      <c r="Z170">
        <f>ReconciliationData[[#This Row],[billed_revenue]]-ReconciliationData[[#This Row],[expected_revenue]]</f>
        <v>0</v>
      </c>
      <c r="AA1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0" t="str">
        <f>IF(ReconciliationData[[#This Row],[severity_score]]=0,"LOW",
 IF(ReconciliationData[[#This Row],[severity_score]]&lt;=5,"MEDIUM","HIGH"))</f>
        <v>LOW</v>
      </c>
      <c r="AC170" t="str">
        <f>TEXT(ReconciliationData[[#This Row],[Order_Date]],"YYYY-MM")</f>
        <v>2024-03</v>
      </c>
    </row>
    <row r="171" spans="1:29">
      <c r="A171" t="s">
        <v>755</v>
      </c>
      <c r="B171" s="1">
        <v>45225</v>
      </c>
      <c r="C171" t="s">
        <v>756</v>
      </c>
      <c r="D171" t="s">
        <v>757</v>
      </c>
      <c r="E171">
        <v>48</v>
      </c>
      <c r="F171" t="s">
        <v>758</v>
      </c>
      <c r="G171">
        <v>48</v>
      </c>
      <c r="H171">
        <v>744.44590000000005</v>
      </c>
      <c r="N171">
        <v>744.44590000000005</v>
      </c>
      <c r="O171" s="1">
        <v>45008</v>
      </c>
      <c r="P171">
        <f>IF(ISBLANK(ReconciliationData[[#This Row],[Invoice_ID]]),1,0)</f>
        <v>0</v>
      </c>
      <c r="Q171">
        <f>IF(AND(NOT(ISBLANK(ReconciliationData[[#This Row],[Billed_Units]])),ReconciliationData[[#This Row],[ordered_units]]&lt;&gt;ReconciliationData[[#This Row],[Billed_Units]]),1,0)</f>
        <v>0</v>
      </c>
      <c r="R1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1">
        <f>IF(AND(NOT(ISBLANK(ReconciliationData[[#This Row],[Contract_Price]])),ReconciliationData[[#This Row],[Billed_Price]]&lt;&gt;ReconciliationData[[#This Row],[Contract_Price]]),1,0)</f>
        <v>0</v>
      </c>
      <c r="T171">
        <f>IF(AND(NOT(ISBLANK(ReconciliationData[[#This Row],[End_Date]])),ReconciliationData[[#This Row],[Order_Date]]&gt;ReconciliationData[[#This Row],[End_Date]]),1,0)</f>
        <v>0</v>
      </c>
      <c r="U171">
        <f>IF(AND(NOT(ISBLANK(ReconciliationData[[#This Row],[last_return_date]])),ReconciliationData[[#This Row],[last_return_date]]&gt;ReconciliationData[[#This Row],[Order_Date]]+60),1,0)</f>
        <v>0</v>
      </c>
      <c r="V171">
        <f>IF(ReconciliationData[[#This Row],[total_returned_units]]&gt;ReconciliationData[[#This Row],[ordered_units]],1,0)</f>
        <v>0</v>
      </c>
      <c r="W1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1">
        <f>ReconciliationData[[#This Row],[Billed_Units]]*ReconciliationData[[#This Row],[Billed_Price]]</f>
        <v>35733.403200000001</v>
      </c>
      <c r="Y171">
        <f>ReconciliationData[[#This Row],[ordered_units]]*ReconciliationData[[#This Row],[List_Price]]</f>
        <v>35733.403200000001</v>
      </c>
      <c r="Z171">
        <f>ReconciliationData[[#This Row],[billed_revenue]]-ReconciliationData[[#This Row],[expected_revenue]]</f>
        <v>0</v>
      </c>
      <c r="AA1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1" t="str">
        <f>IF(ReconciliationData[[#This Row],[severity_score]]=0,"LOW",
 IF(ReconciliationData[[#This Row],[severity_score]]&lt;=5,"MEDIUM","HIGH"))</f>
        <v>LOW</v>
      </c>
      <c r="AC171" t="str">
        <f>TEXT(ReconciliationData[[#This Row],[Order_Date]],"YYYY-MM")</f>
        <v>2023-10</v>
      </c>
    </row>
    <row r="172" spans="1:29">
      <c r="A172" t="s">
        <v>759</v>
      </c>
      <c r="B172" s="1">
        <v>45398</v>
      </c>
      <c r="C172" t="s">
        <v>760</v>
      </c>
      <c r="D172" t="s">
        <v>577</v>
      </c>
      <c r="E172">
        <v>95</v>
      </c>
      <c r="F172" t="s">
        <v>761</v>
      </c>
      <c r="G172">
        <v>95</v>
      </c>
      <c r="H172">
        <v>1093.1199999999999</v>
      </c>
      <c r="N172">
        <v>1093.1199999999999</v>
      </c>
      <c r="O172" s="1">
        <v>45035</v>
      </c>
      <c r="P172">
        <f>IF(ISBLANK(ReconciliationData[[#This Row],[Invoice_ID]]),1,0)</f>
        <v>0</v>
      </c>
      <c r="Q172">
        <f>IF(AND(NOT(ISBLANK(ReconciliationData[[#This Row],[Billed_Units]])),ReconciliationData[[#This Row],[ordered_units]]&lt;&gt;ReconciliationData[[#This Row],[Billed_Units]]),1,0)</f>
        <v>0</v>
      </c>
      <c r="R1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">
        <f>IF(AND(NOT(ISBLANK(ReconciliationData[[#This Row],[Contract_Price]])),ReconciliationData[[#This Row],[Billed_Price]]&lt;&gt;ReconciliationData[[#This Row],[Contract_Price]]),1,0)</f>
        <v>0</v>
      </c>
      <c r="T172">
        <f>IF(AND(NOT(ISBLANK(ReconciliationData[[#This Row],[End_Date]])),ReconciliationData[[#This Row],[Order_Date]]&gt;ReconciliationData[[#This Row],[End_Date]]),1,0)</f>
        <v>0</v>
      </c>
      <c r="U172">
        <f>IF(AND(NOT(ISBLANK(ReconciliationData[[#This Row],[last_return_date]])),ReconciliationData[[#This Row],[last_return_date]]&gt;ReconciliationData[[#This Row],[Order_Date]]+60),1,0)</f>
        <v>0</v>
      </c>
      <c r="V172">
        <f>IF(ReconciliationData[[#This Row],[total_returned_units]]&gt;ReconciliationData[[#This Row],[ordered_units]],1,0)</f>
        <v>0</v>
      </c>
      <c r="W1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2">
        <f>ReconciliationData[[#This Row],[Billed_Units]]*ReconciliationData[[#This Row],[Billed_Price]]</f>
        <v>103846.39999999999</v>
      </c>
      <c r="Y172">
        <f>ReconciliationData[[#This Row],[ordered_units]]*ReconciliationData[[#This Row],[List_Price]]</f>
        <v>103846.39999999999</v>
      </c>
      <c r="Z172">
        <f>ReconciliationData[[#This Row],[billed_revenue]]-ReconciliationData[[#This Row],[expected_revenue]]</f>
        <v>0</v>
      </c>
      <c r="AA1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2" t="str">
        <f>IF(ReconciliationData[[#This Row],[severity_score]]=0,"LOW",
 IF(ReconciliationData[[#This Row],[severity_score]]&lt;=5,"MEDIUM","HIGH"))</f>
        <v>LOW</v>
      </c>
      <c r="AC172" t="str">
        <f>TEXT(ReconciliationData[[#This Row],[Order_Date]],"YYYY-MM")</f>
        <v>2024-04</v>
      </c>
    </row>
    <row r="173" spans="1:29">
      <c r="A173" t="s">
        <v>762</v>
      </c>
      <c r="B173" s="1">
        <v>45370</v>
      </c>
      <c r="C173" t="s">
        <v>763</v>
      </c>
      <c r="D173" t="s">
        <v>764</v>
      </c>
      <c r="E173">
        <v>189</v>
      </c>
      <c r="F173" t="s">
        <v>765</v>
      </c>
      <c r="G173">
        <v>189</v>
      </c>
      <c r="H173">
        <v>1220.5917999999999</v>
      </c>
      <c r="N173">
        <v>1220.5917999999999</v>
      </c>
      <c r="O173" s="1">
        <v>45153</v>
      </c>
      <c r="P173">
        <f>IF(ISBLANK(ReconciliationData[[#This Row],[Invoice_ID]]),1,0)</f>
        <v>0</v>
      </c>
      <c r="Q173">
        <f>IF(AND(NOT(ISBLANK(ReconciliationData[[#This Row],[Billed_Units]])),ReconciliationData[[#This Row],[ordered_units]]&lt;&gt;ReconciliationData[[#This Row],[Billed_Units]]),1,0)</f>
        <v>0</v>
      </c>
      <c r="R1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3">
        <f>IF(AND(NOT(ISBLANK(ReconciliationData[[#This Row],[Contract_Price]])),ReconciliationData[[#This Row],[Billed_Price]]&lt;&gt;ReconciliationData[[#This Row],[Contract_Price]]),1,0)</f>
        <v>0</v>
      </c>
      <c r="T173">
        <f>IF(AND(NOT(ISBLANK(ReconciliationData[[#This Row],[End_Date]])),ReconciliationData[[#This Row],[Order_Date]]&gt;ReconciliationData[[#This Row],[End_Date]]),1,0)</f>
        <v>0</v>
      </c>
      <c r="U173">
        <f>IF(AND(NOT(ISBLANK(ReconciliationData[[#This Row],[last_return_date]])),ReconciliationData[[#This Row],[last_return_date]]&gt;ReconciliationData[[#This Row],[Order_Date]]+60),1,0)</f>
        <v>0</v>
      </c>
      <c r="V173">
        <f>IF(ReconciliationData[[#This Row],[total_returned_units]]&gt;ReconciliationData[[#This Row],[ordered_units]],1,0)</f>
        <v>0</v>
      </c>
      <c r="W1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3">
        <f>ReconciliationData[[#This Row],[Billed_Units]]*ReconciliationData[[#This Row],[Billed_Price]]</f>
        <v>230691.85019999999</v>
      </c>
      <c r="Y173">
        <f>ReconciliationData[[#This Row],[ordered_units]]*ReconciliationData[[#This Row],[List_Price]]</f>
        <v>230691.85019999999</v>
      </c>
      <c r="Z173">
        <f>ReconciliationData[[#This Row],[billed_revenue]]-ReconciliationData[[#This Row],[expected_revenue]]</f>
        <v>0</v>
      </c>
      <c r="AA1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3" t="str">
        <f>IF(ReconciliationData[[#This Row],[severity_score]]=0,"LOW",
 IF(ReconciliationData[[#This Row],[severity_score]]&lt;=5,"MEDIUM","HIGH"))</f>
        <v>LOW</v>
      </c>
      <c r="AC173" t="str">
        <f>TEXT(ReconciliationData[[#This Row],[Order_Date]],"YYYY-MM")</f>
        <v>2024-03</v>
      </c>
    </row>
    <row r="174" spans="1:29">
      <c r="A174" t="s">
        <v>766</v>
      </c>
      <c r="B174" s="1">
        <v>45075</v>
      </c>
      <c r="C174" t="s">
        <v>767</v>
      </c>
      <c r="D174" t="s">
        <v>768</v>
      </c>
      <c r="E174">
        <v>157</v>
      </c>
      <c r="F174" t="s">
        <v>769</v>
      </c>
      <c r="G174">
        <v>157</v>
      </c>
      <c r="H174">
        <v>410.02</v>
      </c>
      <c r="N174">
        <v>410.02</v>
      </c>
      <c r="O174" s="1">
        <v>45017</v>
      </c>
      <c r="P174">
        <f>IF(ISBLANK(ReconciliationData[[#This Row],[Invoice_ID]]),1,0)</f>
        <v>0</v>
      </c>
      <c r="Q174">
        <f>IF(AND(NOT(ISBLANK(ReconciliationData[[#This Row],[Billed_Units]])),ReconciliationData[[#This Row],[ordered_units]]&lt;&gt;ReconciliationData[[#This Row],[Billed_Units]]),1,0)</f>
        <v>0</v>
      </c>
      <c r="R1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">
        <f>IF(AND(NOT(ISBLANK(ReconciliationData[[#This Row],[Contract_Price]])),ReconciliationData[[#This Row],[Billed_Price]]&lt;&gt;ReconciliationData[[#This Row],[Contract_Price]]),1,0)</f>
        <v>0</v>
      </c>
      <c r="T174">
        <f>IF(AND(NOT(ISBLANK(ReconciliationData[[#This Row],[End_Date]])),ReconciliationData[[#This Row],[Order_Date]]&gt;ReconciliationData[[#This Row],[End_Date]]),1,0)</f>
        <v>0</v>
      </c>
      <c r="U174">
        <f>IF(AND(NOT(ISBLANK(ReconciliationData[[#This Row],[last_return_date]])),ReconciliationData[[#This Row],[last_return_date]]&gt;ReconciliationData[[#This Row],[Order_Date]]+60),1,0)</f>
        <v>0</v>
      </c>
      <c r="V174">
        <f>IF(ReconciliationData[[#This Row],[total_returned_units]]&gt;ReconciliationData[[#This Row],[ordered_units]],1,0)</f>
        <v>0</v>
      </c>
      <c r="W1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">
        <f>ReconciliationData[[#This Row],[Billed_Units]]*ReconciliationData[[#This Row],[Billed_Price]]</f>
        <v>64373.14</v>
      </c>
      <c r="Y174">
        <f>ReconciliationData[[#This Row],[ordered_units]]*ReconciliationData[[#This Row],[List_Price]]</f>
        <v>64373.14</v>
      </c>
      <c r="Z174">
        <f>ReconciliationData[[#This Row],[billed_revenue]]-ReconciliationData[[#This Row],[expected_revenue]]</f>
        <v>0</v>
      </c>
      <c r="AA1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" t="str">
        <f>IF(ReconciliationData[[#This Row],[severity_score]]=0,"LOW",
 IF(ReconciliationData[[#This Row],[severity_score]]&lt;=5,"MEDIUM","HIGH"))</f>
        <v>LOW</v>
      </c>
      <c r="AC174" t="str">
        <f>TEXT(ReconciliationData[[#This Row],[Order_Date]],"YYYY-MM")</f>
        <v>2023-05</v>
      </c>
    </row>
    <row r="175" spans="1:29">
      <c r="A175" t="s">
        <v>770</v>
      </c>
      <c r="B175" s="1">
        <v>44974</v>
      </c>
      <c r="C175" t="s">
        <v>771</v>
      </c>
      <c r="D175" t="s">
        <v>275</v>
      </c>
      <c r="E175">
        <v>79</v>
      </c>
      <c r="F175" t="s">
        <v>772</v>
      </c>
      <c r="G175">
        <v>79</v>
      </c>
      <c r="H175">
        <v>397.19560000000001</v>
      </c>
      <c r="N175">
        <v>397.19560000000001</v>
      </c>
      <c r="O175" s="1">
        <v>44932</v>
      </c>
      <c r="P175">
        <f>IF(ISBLANK(ReconciliationData[[#This Row],[Invoice_ID]]),1,0)</f>
        <v>0</v>
      </c>
      <c r="Q175">
        <f>IF(AND(NOT(ISBLANK(ReconciliationData[[#This Row],[Billed_Units]])),ReconciliationData[[#This Row],[ordered_units]]&lt;&gt;ReconciliationData[[#This Row],[Billed_Units]]),1,0)</f>
        <v>0</v>
      </c>
      <c r="R1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5">
        <f>IF(AND(NOT(ISBLANK(ReconciliationData[[#This Row],[Contract_Price]])),ReconciliationData[[#This Row],[Billed_Price]]&lt;&gt;ReconciliationData[[#This Row],[Contract_Price]]),1,0)</f>
        <v>0</v>
      </c>
      <c r="T175">
        <f>IF(AND(NOT(ISBLANK(ReconciliationData[[#This Row],[End_Date]])),ReconciliationData[[#This Row],[Order_Date]]&gt;ReconciliationData[[#This Row],[End_Date]]),1,0)</f>
        <v>0</v>
      </c>
      <c r="U175">
        <f>IF(AND(NOT(ISBLANK(ReconciliationData[[#This Row],[last_return_date]])),ReconciliationData[[#This Row],[last_return_date]]&gt;ReconciliationData[[#This Row],[Order_Date]]+60),1,0)</f>
        <v>0</v>
      </c>
      <c r="V175">
        <f>IF(ReconciliationData[[#This Row],[total_returned_units]]&gt;ReconciliationData[[#This Row],[ordered_units]],1,0)</f>
        <v>0</v>
      </c>
      <c r="W1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5">
        <f>ReconciliationData[[#This Row],[Billed_Units]]*ReconciliationData[[#This Row],[Billed_Price]]</f>
        <v>31378.452400000002</v>
      </c>
      <c r="Y175">
        <f>ReconciliationData[[#This Row],[ordered_units]]*ReconciliationData[[#This Row],[List_Price]]</f>
        <v>31378.452400000002</v>
      </c>
      <c r="Z175">
        <f>ReconciliationData[[#This Row],[billed_revenue]]-ReconciliationData[[#This Row],[expected_revenue]]</f>
        <v>0</v>
      </c>
      <c r="AA1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5" t="str">
        <f>IF(ReconciliationData[[#This Row],[severity_score]]=0,"LOW",
 IF(ReconciliationData[[#This Row],[severity_score]]&lt;=5,"MEDIUM","HIGH"))</f>
        <v>LOW</v>
      </c>
      <c r="AC175" t="str">
        <f>TEXT(ReconciliationData[[#This Row],[Order_Date]],"YYYY-MM")</f>
        <v>2023-02</v>
      </c>
    </row>
    <row r="176" spans="1:29">
      <c r="A176" t="s">
        <v>773</v>
      </c>
      <c r="B176" s="1">
        <v>45647</v>
      </c>
      <c r="C176" t="s">
        <v>774</v>
      </c>
      <c r="D176" t="s">
        <v>775</v>
      </c>
      <c r="E176">
        <v>200</v>
      </c>
      <c r="F176" t="s">
        <v>776</v>
      </c>
      <c r="G176">
        <v>200</v>
      </c>
      <c r="H176">
        <v>1231.8180000000002</v>
      </c>
      <c r="N176">
        <v>1231.8180000000002</v>
      </c>
      <c r="O176" s="1">
        <v>45048</v>
      </c>
      <c r="P176">
        <f>IF(ISBLANK(ReconciliationData[[#This Row],[Invoice_ID]]),1,0)</f>
        <v>0</v>
      </c>
      <c r="Q176">
        <f>IF(AND(NOT(ISBLANK(ReconciliationData[[#This Row],[Billed_Units]])),ReconciliationData[[#This Row],[ordered_units]]&lt;&gt;ReconciliationData[[#This Row],[Billed_Units]]),1,0)</f>
        <v>0</v>
      </c>
      <c r="R1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6">
        <f>IF(AND(NOT(ISBLANK(ReconciliationData[[#This Row],[Contract_Price]])),ReconciliationData[[#This Row],[Billed_Price]]&lt;&gt;ReconciliationData[[#This Row],[Contract_Price]]),1,0)</f>
        <v>0</v>
      </c>
      <c r="T176">
        <f>IF(AND(NOT(ISBLANK(ReconciliationData[[#This Row],[End_Date]])),ReconciliationData[[#This Row],[Order_Date]]&gt;ReconciliationData[[#This Row],[End_Date]]),1,0)</f>
        <v>0</v>
      </c>
      <c r="U176">
        <f>IF(AND(NOT(ISBLANK(ReconciliationData[[#This Row],[last_return_date]])),ReconciliationData[[#This Row],[last_return_date]]&gt;ReconciliationData[[#This Row],[Order_Date]]+60),1,0)</f>
        <v>0</v>
      </c>
      <c r="V176">
        <f>IF(ReconciliationData[[#This Row],[total_returned_units]]&gt;ReconciliationData[[#This Row],[ordered_units]],1,0)</f>
        <v>0</v>
      </c>
      <c r="W1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6">
        <f>ReconciliationData[[#This Row],[Billed_Units]]*ReconciliationData[[#This Row],[Billed_Price]]</f>
        <v>246363.60000000003</v>
      </c>
      <c r="Y176">
        <f>ReconciliationData[[#This Row],[ordered_units]]*ReconciliationData[[#This Row],[List_Price]]</f>
        <v>246363.60000000003</v>
      </c>
      <c r="Z176">
        <f>ReconciliationData[[#This Row],[billed_revenue]]-ReconciliationData[[#This Row],[expected_revenue]]</f>
        <v>0</v>
      </c>
      <c r="AA1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6" t="str">
        <f>IF(ReconciliationData[[#This Row],[severity_score]]=0,"LOW",
 IF(ReconciliationData[[#This Row],[severity_score]]&lt;=5,"MEDIUM","HIGH"))</f>
        <v>LOW</v>
      </c>
      <c r="AC176" t="str">
        <f>TEXT(ReconciliationData[[#This Row],[Order_Date]],"YYYY-MM")</f>
        <v>2024-12</v>
      </c>
    </row>
    <row r="177" spans="1:29">
      <c r="A177" t="s">
        <v>777</v>
      </c>
      <c r="B177" s="1">
        <v>45276</v>
      </c>
      <c r="C177" t="s">
        <v>778</v>
      </c>
      <c r="D177" t="s">
        <v>490</v>
      </c>
      <c r="E177">
        <v>153</v>
      </c>
      <c r="F177" t="s">
        <v>779</v>
      </c>
      <c r="G177">
        <v>153</v>
      </c>
      <c r="H177">
        <v>1157.6343999999999</v>
      </c>
      <c r="N177">
        <v>1157.6343999999999</v>
      </c>
      <c r="O177" s="1">
        <v>44959</v>
      </c>
      <c r="P177">
        <f>IF(ISBLANK(ReconciliationData[[#This Row],[Invoice_ID]]),1,0)</f>
        <v>0</v>
      </c>
      <c r="Q177">
        <f>IF(AND(NOT(ISBLANK(ReconciliationData[[#This Row],[Billed_Units]])),ReconciliationData[[#This Row],[ordered_units]]&lt;&gt;ReconciliationData[[#This Row],[Billed_Units]]),1,0)</f>
        <v>0</v>
      </c>
      <c r="R1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">
        <f>IF(AND(NOT(ISBLANK(ReconciliationData[[#This Row],[Contract_Price]])),ReconciliationData[[#This Row],[Billed_Price]]&lt;&gt;ReconciliationData[[#This Row],[Contract_Price]]),1,0)</f>
        <v>0</v>
      </c>
      <c r="T177">
        <f>IF(AND(NOT(ISBLANK(ReconciliationData[[#This Row],[End_Date]])),ReconciliationData[[#This Row],[Order_Date]]&gt;ReconciliationData[[#This Row],[End_Date]]),1,0)</f>
        <v>0</v>
      </c>
      <c r="U177">
        <f>IF(AND(NOT(ISBLANK(ReconciliationData[[#This Row],[last_return_date]])),ReconciliationData[[#This Row],[last_return_date]]&gt;ReconciliationData[[#This Row],[Order_Date]]+60),1,0)</f>
        <v>0</v>
      </c>
      <c r="V177">
        <f>IF(ReconciliationData[[#This Row],[total_returned_units]]&gt;ReconciliationData[[#This Row],[ordered_units]],1,0)</f>
        <v>0</v>
      </c>
      <c r="W1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">
        <f>ReconciliationData[[#This Row],[Billed_Units]]*ReconciliationData[[#This Row],[Billed_Price]]</f>
        <v>177118.06319999998</v>
      </c>
      <c r="Y177">
        <f>ReconciliationData[[#This Row],[ordered_units]]*ReconciliationData[[#This Row],[List_Price]]</f>
        <v>177118.06319999998</v>
      </c>
      <c r="Z177">
        <f>ReconciliationData[[#This Row],[billed_revenue]]-ReconciliationData[[#This Row],[expected_revenue]]</f>
        <v>0</v>
      </c>
      <c r="AA1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" t="str">
        <f>IF(ReconciliationData[[#This Row],[severity_score]]=0,"LOW",
 IF(ReconciliationData[[#This Row],[severity_score]]&lt;=5,"MEDIUM","HIGH"))</f>
        <v>LOW</v>
      </c>
      <c r="AC177" t="str">
        <f>TEXT(ReconciliationData[[#This Row],[Order_Date]],"YYYY-MM")</f>
        <v>2023-12</v>
      </c>
    </row>
    <row r="178" spans="1:29">
      <c r="A178" t="s">
        <v>780</v>
      </c>
      <c r="B178" s="1">
        <v>44968</v>
      </c>
      <c r="C178" t="s">
        <v>781</v>
      </c>
      <c r="D178" t="s">
        <v>782</v>
      </c>
      <c r="E178">
        <v>144</v>
      </c>
      <c r="F178" t="s">
        <v>783</v>
      </c>
      <c r="G178">
        <v>144</v>
      </c>
      <c r="H178">
        <v>216.2484</v>
      </c>
      <c r="N178">
        <v>216.2484</v>
      </c>
      <c r="O178" s="1">
        <v>44944</v>
      </c>
      <c r="P178">
        <f>IF(ISBLANK(ReconciliationData[[#This Row],[Invoice_ID]]),1,0)</f>
        <v>0</v>
      </c>
      <c r="Q178">
        <f>IF(AND(NOT(ISBLANK(ReconciliationData[[#This Row],[Billed_Units]])),ReconciliationData[[#This Row],[ordered_units]]&lt;&gt;ReconciliationData[[#This Row],[Billed_Units]]),1,0)</f>
        <v>0</v>
      </c>
      <c r="R1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">
        <f>IF(AND(NOT(ISBLANK(ReconciliationData[[#This Row],[Contract_Price]])),ReconciliationData[[#This Row],[Billed_Price]]&lt;&gt;ReconciliationData[[#This Row],[Contract_Price]]),1,0)</f>
        <v>0</v>
      </c>
      <c r="T178">
        <f>IF(AND(NOT(ISBLANK(ReconciliationData[[#This Row],[End_Date]])),ReconciliationData[[#This Row],[Order_Date]]&gt;ReconciliationData[[#This Row],[End_Date]]),1,0)</f>
        <v>0</v>
      </c>
      <c r="U178">
        <f>IF(AND(NOT(ISBLANK(ReconciliationData[[#This Row],[last_return_date]])),ReconciliationData[[#This Row],[last_return_date]]&gt;ReconciliationData[[#This Row],[Order_Date]]+60),1,0)</f>
        <v>0</v>
      </c>
      <c r="V178">
        <f>IF(ReconciliationData[[#This Row],[total_returned_units]]&gt;ReconciliationData[[#This Row],[ordered_units]],1,0)</f>
        <v>0</v>
      </c>
      <c r="W1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">
        <f>ReconciliationData[[#This Row],[Billed_Units]]*ReconciliationData[[#This Row],[Billed_Price]]</f>
        <v>31139.7696</v>
      </c>
      <c r="Y178">
        <f>ReconciliationData[[#This Row],[ordered_units]]*ReconciliationData[[#This Row],[List_Price]]</f>
        <v>31139.7696</v>
      </c>
      <c r="Z178">
        <f>ReconciliationData[[#This Row],[billed_revenue]]-ReconciliationData[[#This Row],[expected_revenue]]</f>
        <v>0</v>
      </c>
      <c r="AA1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" t="str">
        <f>IF(ReconciliationData[[#This Row],[severity_score]]=0,"LOW",
 IF(ReconciliationData[[#This Row],[severity_score]]&lt;=5,"MEDIUM","HIGH"))</f>
        <v>LOW</v>
      </c>
      <c r="AC178" t="str">
        <f>TEXT(ReconciliationData[[#This Row],[Order_Date]],"YYYY-MM")</f>
        <v>2023-02</v>
      </c>
    </row>
    <row r="179" spans="1:29">
      <c r="A179" t="s">
        <v>784</v>
      </c>
      <c r="B179" s="1">
        <v>45165</v>
      </c>
      <c r="C179" t="s">
        <v>785</v>
      </c>
      <c r="D179" t="s">
        <v>647</v>
      </c>
      <c r="E179">
        <v>31</v>
      </c>
      <c r="F179" t="s">
        <v>786</v>
      </c>
      <c r="G179">
        <v>31</v>
      </c>
      <c r="H179">
        <v>279.42789999999997</v>
      </c>
      <c r="N179">
        <v>279.42789999999997</v>
      </c>
      <c r="O179" s="1">
        <v>45103</v>
      </c>
      <c r="P179">
        <f>IF(ISBLANK(ReconciliationData[[#This Row],[Invoice_ID]]),1,0)</f>
        <v>0</v>
      </c>
      <c r="Q179">
        <f>IF(AND(NOT(ISBLANK(ReconciliationData[[#This Row],[Billed_Units]])),ReconciliationData[[#This Row],[ordered_units]]&lt;&gt;ReconciliationData[[#This Row],[Billed_Units]]),1,0)</f>
        <v>0</v>
      </c>
      <c r="R1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">
        <f>IF(AND(NOT(ISBLANK(ReconciliationData[[#This Row],[Contract_Price]])),ReconciliationData[[#This Row],[Billed_Price]]&lt;&gt;ReconciliationData[[#This Row],[Contract_Price]]),1,0)</f>
        <v>0</v>
      </c>
      <c r="T179">
        <f>IF(AND(NOT(ISBLANK(ReconciliationData[[#This Row],[End_Date]])),ReconciliationData[[#This Row],[Order_Date]]&gt;ReconciliationData[[#This Row],[End_Date]]),1,0)</f>
        <v>0</v>
      </c>
      <c r="U179">
        <f>IF(AND(NOT(ISBLANK(ReconciliationData[[#This Row],[last_return_date]])),ReconciliationData[[#This Row],[last_return_date]]&gt;ReconciliationData[[#This Row],[Order_Date]]+60),1,0)</f>
        <v>0</v>
      </c>
      <c r="V179">
        <f>IF(ReconciliationData[[#This Row],[total_returned_units]]&gt;ReconciliationData[[#This Row],[ordered_units]],1,0)</f>
        <v>0</v>
      </c>
      <c r="W1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">
        <f>ReconciliationData[[#This Row],[Billed_Units]]*ReconciliationData[[#This Row],[Billed_Price]]</f>
        <v>8662.2648999999983</v>
      </c>
      <c r="Y179">
        <f>ReconciliationData[[#This Row],[ordered_units]]*ReconciliationData[[#This Row],[List_Price]]</f>
        <v>8662.2648999999983</v>
      </c>
      <c r="Z179">
        <f>ReconciliationData[[#This Row],[billed_revenue]]-ReconciliationData[[#This Row],[expected_revenue]]</f>
        <v>0</v>
      </c>
      <c r="AA1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" t="str">
        <f>IF(ReconciliationData[[#This Row],[severity_score]]=0,"LOW",
 IF(ReconciliationData[[#This Row],[severity_score]]&lt;=5,"MEDIUM","HIGH"))</f>
        <v>LOW</v>
      </c>
      <c r="AC179" t="str">
        <f>TEXT(ReconciliationData[[#This Row],[Order_Date]],"YYYY-MM")</f>
        <v>2023-08</v>
      </c>
    </row>
    <row r="180" spans="1:29">
      <c r="A180" t="s">
        <v>787</v>
      </c>
      <c r="B180" s="1">
        <v>44955</v>
      </c>
      <c r="C180" t="s">
        <v>788</v>
      </c>
      <c r="D180" t="s">
        <v>789</v>
      </c>
      <c r="E180">
        <v>4</v>
      </c>
      <c r="F180" t="s">
        <v>790</v>
      </c>
      <c r="G180">
        <v>4</v>
      </c>
      <c r="H180">
        <v>1142.8668</v>
      </c>
      <c r="N180">
        <v>1142.8668</v>
      </c>
      <c r="O180" s="1">
        <v>44805</v>
      </c>
      <c r="P180">
        <f>IF(ISBLANK(ReconciliationData[[#This Row],[Invoice_ID]]),1,0)</f>
        <v>0</v>
      </c>
      <c r="Q180">
        <f>IF(AND(NOT(ISBLANK(ReconciliationData[[#This Row],[Billed_Units]])),ReconciliationData[[#This Row],[ordered_units]]&lt;&gt;ReconciliationData[[#This Row],[Billed_Units]]),1,0)</f>
        <v>0</v>
      </c>
      <c r="R1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">
        <f>IF(AND(NOT(ISBLANK(ReconciliationData[[#This Row],[Contract_Price]])),ReconciliationData[[#This Row],[Billed_Price]]&lt;&gt;ReconciliationData[[#This Row],[Contract_Price]]),1,0)</f>
        <v>0</v>
      </c>
      <c r="T180">
        <f>IF(AND(NOT(ISBLANK(ReconciliationData[[#This Row],[End_Date]])),ReconciliationData[[#This Row],[Order_Date]]&gt;ReconciliationData[[#This Row],[End_Date]]),1,0)</f>
        <v>0</v>
      </c>
      <c r="U180">
        <f>IF(AND(NOT(ISBLANK(ReconciliationData[[#This Row],[last_return_date]])),ReconciliationData[[#This Row],[last_return_date]]&gt;ReconciliationData[[#This Row],[Order_Date]]+60),1,0)</f>
        <v>0</v>
      </c>
      <c r="V180">
        <f>IF(ReconciliationData[[#This Row],[total_returned_units]]&gt;ReconciliationData[[#This Row],[ordered_units]],1,0)</f>
        <v>0</v>
      </c>
      <c r="W1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">
        <f>ReconciliationData[[#This Row],[Billed_Units]]*ReconciliationData[[#This Row],[Billed_Price]]</f>
        <v>4571.4672</v>
      </c>
      <c r="Y180">
        <f>ReconciliationData[[#This Row],[ordered_units]]*ReconciliationData[[#This Row],[List_Price]]</f>
        <v>4571.4672</v>
      </c>
      <c r="Z180">
        <f>ReconciliationData[[#This Row],[billed_revenue]]-ReconciliationData[[#This Row],[expected_revenue]]</f>
        <v>0</v>
      </c>
      <c r="AA1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" t="str">
        <f>IF(ReconciliationData[[#This Row],[severity_score]]=0,"LOW",
 IF(ReconciliationData[[#This Row],[severity_score]]&lt;=5,"MEDIUM","HIGH"))</f>
        <v>LOW</v>
      </c>
      <c r="AC180" t="str">
        <f>TEXT(ReconciliationData[[#This Row],[Order_Date]],"YYYY-MM")</f>
        <v>2023-01</v>
      </c>
    </row>
    <row r="181" spans="1:29">
      <c r="A181" t="s">
        <v>791</v>
      </c>
      <c r="B181" s="1">
        <v>45509</v>
      </c>
      <c r="C181" t="s">
        <v>540</v>
      </c>
      <c r="D181" t="s">
        <v>434</v>
      </c>
      <c r="E181">
        <v>177</v>
      </c>
      <c r="F181" t="s">
        <v>792</v>
      </c>
      <c r="G181">
        <v>177</v>
      </c>
      <c r="H181">
        <v>68.572800000000001</v>
      </c>
      <c r="N181">
        <v>68.572800000000001</v>
      </c>
      <c r="O181" s="1">
        <v>45098</v>
      </c>
      <c r="P181">
        <f>IF(ISBLANK(ReconciliationData[[#This Row],[Invoice_ID]]),1,0)</f>
        <v>0</v>
      </c>
      <c r="Q181">
        <f>IF(AND(NOT(ISBLANK(ReconciliationData[[#This Row],[Billed_Units]])),ReconciliationData[[#This Row],[ordered_units]]&lt;&gt;ReconciliationData[[#This Row],[Billed_Units]]),1,0)</f>
        <v>0</v>
      </c>
      <c r="R1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">
        <f>IF(AND(NOT(ISBLANK(ReconciliationData[[#This Row],[Contract_Price]])),ReconciliationData[[#This Row],[Billed_Price]]&lt;&gt;ReconciliationData[[#This Row],[Contract_Price]]),1,0)</f>
        <v>0</v>
      </c>
      <c r="T181">
        <f>IF(AND(NOT(ISBLANK(ReconciliationData[[#This Row],[End_Date]])),ReconciliationData[[#This Row],[Order_Date]]&gt;ReconciliationData[[#This Row],[End_Date]]),1,0)</f>
        <v>0</v>
      </c>
      <c r="U181">
        <f>IF(AND(NOT(ISBLANK(ReconciliationData[[#This Row],[last_return_date]])),ReconciliationData[[#This Row],[last_return_date]]&gt;ReconciliationData[[#This Row],[Order_Date]]+60),1,0)</f>
        <v>0</v>
      </c>
      <c r="V181">
        <f>IF(ReconciliationData[[#This Row],[total_returned_units]]&gt;ReconciliationData[[#This Row],[ordered_units]],1,0)</f>
        <v>0</v>
      </c>
      <c r="W1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">
        <f>ReconciliationData[[#This Row],[Billed_Units]]*ReconciliationData[[#This Row],[Billed_Price]]</f>
        <v>12137.3856</v>
      </c>
      <c r="Y181">
        <f>ReconciliationData[[#This Row],[ordered_units]]*ReconciliationData[[#This Row],[List_Price]]</f>
        <v>12137.3856</v>
      </c>
      <c r="Z181">
        <f>ReconciliationData[[#This Row],[billed_revenue]]-ReconciliationData[[#This Row],[expected_revenue]]</f>
        <v>0</v>
      </c>
      <c r="AA1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" t="str">
        <f>IF(ReconciliationData[[#This Row],[severity_score]]=0,"LOW",
 IF(ReconciliationData[[#This Row],[severity_score]]&lt;=5,"MEDIUM","HIGH"))</f>
        <v>LOW</v>
      </c>
      <c r="AC181" t="str">
        <f>TEXT(ReconciliationData[[#This Row],[Order_Date]],"YYYY-MM")</f>
        <v>2024-08</v>
      </c>
    </row>
    <row r="182" spans="1:29">
      <c r="A182" t="s">
        <v>793</v>
      </c>
      <c r="B182" s="1">
        <v>45381</v>
      </c>
      <c r="C182" t="s">
        <v>794</v>
      </c>
      <c r="D182" t="s">
        <v>235</v>
      </c>
      <c r="E182">
        <v>161</v>
      </c>
      <c r="F182" t="s">
        <v>795</v>
      </c>
      <c r="G182">
        <v>161</v>
      </c>
      <c r="H182">
        <v>426.10500000000002</v>
      </c>
      <c r="N182">
        <v>426.10500000000002</v>
      </c>
      <c r="O182" s="1">
        <v>45215</v>
      </c>
      <c r="P182">
        <f>IF(ISBLANK(ReconciliationData[[#This Row],[Invoice_ID]]),1,0)</f>
        <v>0</v>
      </c>
      <c r="Q182">
        <f>IF(AND(NOT(ISBLANK(ReconciliationData[[#This Row],[Billed_Units]])),ReconciliationData[[#This Row],[ordered_units]]&lt;&gt;ReconciliationData[[#This Row],[Billed_Units]]),1,0)</f>
        <v>0</v>
      </c>
      <c r="R1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2">
        <f>IF(AND(NOT(ISBLANK(ReconciliationData[[#This Row],[Contract_Price]])),ReconciliationData[[#This Row],[Billed_Price]]&lt;&gt;ReconciliationData[[#This Row],[Contract_Price]]),1,0)</f>
        <v>0</v>
      </c>
      <c r="T182">
        <f>IF(AND(NOT(ISBLANK(ReconciliationData[[#This Row],[End_Date]])),ReconciliationData[[#This Row],[Order_Date]]&gt;ReconciliationData[[#This Row],[End_Date]]),1,0)</f>
        <v>0</v>
      </c>
      <c r="U182">
        <f>IF(AND(NOT(ISBLANK(ReconciliationData[[#This Row],[last_return_date]])),ReconciliationData[[#This Row],[last_return_date]]&gt;ReconciliationData[[#This Row],[Order_Date]]+60),1,0)</f>
        <v>0</v>
      </c>
      <c r="V182">
        <f>IF(ReconciliationData[[#This Row],[total_returned_units]]&gt;ReconciliationData[[#This Row],[ordered_units]],1,0)</f>
        <v>0</v>
      </c>
      <c r="W1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2">
        <f>ReconciliationData[[#This Row],[Billed_Units]]*ReconciliationData[[#This Row],[Billed_Price]]</f>
        <v>68602.904999999999</v>
      </c>
      <c r="Y182">
        <f>ReconciliationData[[#This Row],[ordered_units]]*ReconciliationData[[#This Row],[List_Price]]</f>
        <v>68602.904999999999</v>
      </c>
      <c r="Z182">
        <f>ReconciliationData[[#This Row],[billed_revenue]]-ReconciliationData[[#This Row],[expected_revenue]]</f>
        <v>0</v>
      </c>
      <c r="AA1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2" t="str">
        <f>IF(ReconciliationData[[#This Row],[severity_score]]=0,"LOW",
 IF(ReconciliationData[[#This Row],[severity_score]]&lt;=5,"MEDIUM","HIGH"))</f>
        <v>LOW</v>
      </c>
      <c r="AC182" t="str">
        <f>TEXT(ReconciliationData[[#This Row],[Order_Date]],"YYYY-MM")</f>
        <v>2024-03</v>
      </c>
    </row>
    <row r="183" spans="1:29">
      <c r="A183" t="s">
        <v>796</v>
      </c>
      <c r="B183" s="1">
        <v>45461</v>
      </c>
      <c r="C183" t="s">
        <v>797</v>
      </c>
      <c r="D183" t="s">
        <v>798</v>
      </c>
      <c r="E183">
        <v>57</v>
      </c>
      <c r="F183" t="s">
        <v>799</v>
      </c>
      <c r="G183">
        <v>57</v>
      </c>
      <c r="H183">
        <v>153.01650000000001</v>
      </c>
      <c r="N183">
        <v>153.01650000000001</v>
      </c>
      <c r="O183" s="1">
        <v>45064</v>
      </c>
      <c r="P183">
        <f>IF(ISBLANK(ReconciliationData[[#This Row],[Invoice_ID]]),1,0)</f>
        <v>0</v>
      </c>
      <c r="Q183">
        <f>IF(AND(NOT(ISBLANK(ReconciliationData[[#This Row],[Billed_Units]])),ReconciliationData[[#This Row],[ordered_units]]&lt;&gt;ReconciliationData[[#This Row],[Billed_Units]]),1,0)</f>
        <v>0</v>
      </c>
      <c r="R1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">
        <f>IF(AND(NOT(ISBLANK(ReconciliationData[[#This Row],[Contract_Price]])),ReconciliationData[[#This Row],[Billed_Price]]&lt;&gt;ReconciliationData[[#This Row],[Contract_Price]]),1,0)</f>
        <v>0</v>
      </c>
      <c r="T183">
        <f>IF(AND(NOT(ISBLANK(ReconciliationData[[#This Row],[End_Date]])),ReconciliationData[[#This Row],[Order_Date]]&gt;ReconciliationData[[#This Row],[End_Date]]),1,0)</f>
        <v>0</v>
      </c>
      <c r="U183">
        <f>IF(AND(NOT(ISBLANK(ReconciliationData[[#This Row],[last_return_date]])),ReconciliationData[[#This Row],[last_return_date]]&gt;ReconciliationData[[#This Row],[Order_Date]]+60),1,0)</f>
        <v>0</v>
      </c>
      <c r="V183">
        <f>IF(ReconciliationData[[#This Row],[total_returned_units]]&gt;ReconciliationData[[#This Row],[ordered_units]],1,0)</f>
        <v>0</v>
      </c>
      <c r="W1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3">
        <f>ReconciliationData[[#This Row],[Billed_Units]]*ReconciliationData[[#This Row],[Billed_Price]]</f>
        <v>8721.9405000000006</v>
      </c>
      <c r="Y183">
        <f>ReconciliationData[[#This Row],[ordered_units]]*ReconciliationData[[#This Row],[List_Price]]</f>
        <v>8721.9405000000006</v>
      </c>
      <c r="Z183">
        <f>ReconciliationData[[#This Row],[billed_revenue]]-ReconciliationData[[#This Row],[expected_revenue]]</f>
        <v>0</v>
      </c>
      <c r="AA1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3" t="str">
        <f>IF(ReconciliationData[[#This Row],[severity_score]]=0,"LOW",
 IF(ReconciliationData[[#This Row],[severity_score]]&lt;=5,"MEDIUM","HIGH"))</f>
        <v>LOW</v>
      </c>
      <c r="AC183" t="str">
        <f>TEXT(ReconciliationData[[#This Row],[Order_Date]],"YYYY-MM")</f>
        <v>2024-06</v>
      </c>
    </row>
    <row r="184" spans="1:29">
      <c r="A184" t="s">
        <v>800</v>
      </c>
      <c r="B184" s="1">
        <v>45435</v>
      </c>
      <c r="C184" t="s">
        <v>415</v>
      </c>
      <c r="D184" t="s">
        <v>569</v>
      </c>
      <c r="E184">
        <v>37</v>
      </c>
      <c r="F184" t="s">
        <v>801</v>
      </c>
      <c r="G184">
        <v>37</v>
      </c>
      <c r="H184">
        <v>1231.9933000000001</v>
      </c>
      <c r="N184">
        <v>1231.9933000000001</v>
      </c>
      <c r="O184" s="1">
        <v>44934</v>
      </c>
      <c r="P184">
        <f>IF(ISBLANK(ReconciliationData[[#This Row],[Invoice_ID]]),1,0)</f>
        <v>0</v>
      </c>
      <c r="Q184">
        <f>IF(AND(NOT(ISBLANK(ReconciliationData[[#This Row],[Billed_Units]])),ReconciliationData[[#This Row],[ordered_units]]&lt;&gt;ReconciliationData[[#This Row],[Billed_Units]]),1,0)</f>
        <v>0</v>
      </c>
      <c r="R1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">
        <f>IF(AND(NOT(ISBLANK(ReconciliationData[[#This Row],[Contract_Price]])),ReconciliationData[[#This Row],[Billed_Price]]&lt;&gt;ReconciliationData[[#This Row],[Contract_Price]]),1,0)</f>
        <v>0</v>
      </c>
      <c r="T184">
        <f>IF(AND(NOT(ISBLANK(ReconciliationData[[#This Row],[End_Date]])),ReconciliationData[[#This Row],[Order_Date]]&gt;ReconciliationData[[#This Row],[End_Date]]),1,0)</f>
        <v>0</v>
      </c>
      <c r="U184">
        <f>IF(AND(NOT(ISBLANK(ReconciliationData[[#This Row],[last_return_date]])),ReconciliationData[[#This Row],[last_return_date]]&gt;ReconciliationData[[#This Row],[Order_Date]]+60),1,0)</f>
        <v>0</v>
      </c>
      <c r="V184">
        <f>IF(ReconciliationData[[#This Row],[total_returned_units]]&gt;ReconciliationData[[#This Row],[ordered_units]],1,0)</f>
        <v>0</v>
      </c>
      <c r="W1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4">
        <f>ReconciliationData[[#This Row],[Billed_Units]]*ReconciliationData[[#This Row],[Billed_Price]]</f>
        <v>45583.752100000005</v>
      </c>
      <c r="Y184">
        <f>ReconciliationData[[#This Row],[ordered_units]]*ReconciliationData[[#This Row],[List_Price]]</f>
        <v>45583.752100000005</v>
      </c>
      <c r="Z184">
        <f>ReconciliationData[[#This Row],[billed_revenue]]-ReconciliationData[[#This Row],[expected_revenue]]</f>
        <v>0</v>
      </c>
      <c r="AA1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4" t="str">
        <f>IF(ReconciliationData[[#This Row],[severity_score]]=0,"LOW",
 IF(ReconciliationData[[#This Row],[severity_score]]&lt;=5,"MEDIUM","HIGH"))</f>
        <v>LOW</v>
      </c>
      <c r="AC184" t="str">
        <f>TEXT(ReconciliationData[[#This Row],[Order_Date]],"YYYY-MM")</f>
        <v>2024-05</v>
      </c>
    </row>
    <row r="185" spans="1:29">
      <c r="A185" t="s">
        <v>802</v>
      </c>
      <c r="B185" s="1">
        <v>45280</v>
      </c>
      <c r="C185" t="s">
        <v>803</v>
      </c>
      <c r="D185" t="s">
        <v>198</v>
      </c>
      <c r="E185">
        <v>162</v>
      </c>
      <c r="F185" t="s">
        <v>804</v>
      </c>
      <c r="G185">
        <v>162</v>
      </c>
      <c r="H185">
        <v>78.696099999999987</v>
      </c>
      <c r="I185">
        <v>19</v>
      </c>
      <c r="J185" s="1">
        <v>45616</v>
      </c>
      <c r="N185">
        <v>78.696099999999987</v>
      </c>
      <c r="O185" s="1">
        <v>45083</v>
      </c>
      <c r="P185">
        <f>IF(ISBLANK(ReconciliationData[[#This Row],[Invoice_ID]]),1,0)</f>
        <v>0</v>
      </c>
      <c r="Q185">
        <f>IF(AND(NOT(ISBLANK(ReconciliationData[[#This Row],[Billed_Units]])),ReconciliationData[[#This Row],[ordered_units]]&lt;&gt;ReconciliationData[[#This Row],[Billed_Units]]),1,0)</f>
        <v>0</v>
      </c>
      <c r="R1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5">
        <f>IF(AND(NOT(ISBLANK(ReconciliationData[[#This Row],[Contract_Price]])),ReconciliationData[[#This Row],[Billed_Price]]&lt;&gt;ReconciliationData[[#This Row],[Contract_Price]]),1,0)</f>
        <v>0</v>
      </c>
      <c r="T185">
        <f>IF(AND(NOT(ISBLANK(ReconciliationData[[#This Row],[End_Date]])),ReconciliationData[[#This Row],[Order_Date]]&gt;ReconciliationData[[#This Row],[End_Date]]),1,0)</f>
        <v>0</v>
      </c>
      <c r="U185">
        <f>IF(AND(NOT(ISBLANK(ReconciliationData[[#This Row],[last_return_date]])),ReconciliationData[[#This Row],[last_return_date]]&gt;ReconciliationData[[#This Row],[Order_Date]]+60),1,0)</f>
        <v>1</v>
      </c>
      <c r="V185">
        <f>IF(ReconciliationData[[#This Row],[total_returned_units]]&gt;ReconciliationData[[#This Row],[ordered_units]],1,0)</f>
        <v>0</v>
      </c>
      <c r="W1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5">
        <f>ReconciliationData[[#This Row],[Billed_Units]]*ReconciliationData[[#This Row],[Billed_Price]]</f>
        <v>12748.768199999999</v>
      </c>
      <c r="Y185">
        <f>ReconciliationData[[#This Row],[ordered_units]]*ReconciliationData[[#This Row],[List_Price]]</f>
        <v>12748.768199999999</v>
      </c>
      <c r="Z185">
        <f>ReconciliationData[[#This Row],[billed_revenue]]-ReconciliationData[[#This Row],[expected_revenue]]</f>
        <v>0</v>
      </c>
      <c r="AA1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85" t="str">
        <f>IF(ReconciliationData[[#This Row],[severity_score]]=0,"LOW",
 IF(ReconciliationData[[#This Row],[severity_score]]&lt;=5,"MEDIUM","HIGH"))</f>
        <v>MEDIUM</v>
      </c>
      <c r="AC185" t="str">
        <f>TEXT(ReconciliationData[[#This Row],[Order_Date]],"YYYY-MM")</f>
        <v>2023-12</v>
      </c>
    </row>
    <row r="186" spans="1:29">
      <c r="A186" t="s">
        <v>805</v>
      </c>
      <c r="B186" s="1">
        <v>45143</v>
      </c>
      <c r="C186" t="s">
        <v>806</v>
      </c>
      <c r="D186" t="s">
        <v>807</v>
      </c>
      <c r="E186">
        <v>173</v>
      </c>
      <c r="F186" t="s">
        <v>808</v>
      </c>
      <c r="G186">
        <v>173</v>
      </c>
      <c r="H186">
        <v>414.32040000000001</v>
      </c>
      <c r="N186">
        <v>414.32040000000001</v>
      </c>
      <c r="O186" s="1">
        <v>44905</v>
      </c>
      <c r="P186">
        <f>IF(ISBLANK(ReconciliationData[[#This Row],[Invoice_ID]]),1,0)</f>
        <v>0</v>
      </c>
      <c r="Q186">
        <f>IF(AND(NOT(ISBLANK(ReconciliationData[[#This Row],[Billed_Units]])),ReconciliationData[[#This Row],[ordered_units]]&lt;&gt;ReconciliationData[[#This Row],[Billed_Units]]),1,0)</f>
        <v>0</v>
      </c>
      <c r="R1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6">
        <f>IF(AND(NOT(ISBLANK(ReconciliationData[[#This Row],[Contract_Price]])),ReconciliationData[[#This Row],[Billed_Price]]&lt;&gt;ReconciliationData[[#This Row],[Contract_Price]]),1,0)</f>
        <v>0</v>
      </c>
      <c r="T186">
        <f>IF(AND(NOT(ISBLANK(ReconciliationData[[#This Row],[End_Date]])),ReconciliationData[[#This Row],[Order_Date]]&gt;ReconciliationData[[#This Row],[End_Date]]),1,0)</f>
        <v>0</v>
      </c>
      <c r="U186">
        <f>IF(AND(NOT(ISBLANK(ReconciliationData[[#This Row],[last_return_date]])),ReconciliationData[[#This Row],[last_return_date]]&gt;ReconciliationData[[#This Row],[Order_Date]]+60),1,0)</f>
        <v>0</v>
      </c>
      <c r="V186">
        <f>IF(ReconciliationData[[#This Row],[total_returned_units]]&gt;ReconciliationData[[#This Row],[ordered_units]],1,0)</f>
        <v>0</v>
      </c>
      <c r="W1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6">
        <f>ReconciliationData[[#This Row],[Billed_Units]]*ReconciliationData[[#This Row],[Billed_Price]]</f>
        <v>71677.429199999999</v>
      </c>
      <c r="Y186">
        <f>ReconciliationData[[#This Row],[ordered_units]]*ReconciliationData[[#This Row],[List_Price]]</f>
        <v>71677.429199999999</v>
      </c>
      <c r="Z186">
        <f>ReconciliationData[[#This Row],[billed_revenue]]-ReconciliationData[[#This Row],[expected_revenue]]</f>
        <v>0</v>
      </c>
      <c r="AA1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6" t="str">
        <f>IF(ReconciliationData[[#This Row],[severity_score]]=0,"LOW",
 IF(ReconciliationData[[#This Row],[severity_score]]&lt;=5,"MEDIUM","HIGH"))</f>
        <v>LOW</v>
      </c>
      <c r="AC186" t="str">
        <f>TEXT(ReconciliationData[[#This Row],[Order_Date]],"YYYY-MM")</f>
        <v>2023-08</v>
      </c>
    </row>
    <row r="187" spans="1:29">
      <c r="A187" t="s">
        <v>809</v>
      </c>
      <c r="B187" s="1">
        <v>45387</v>
      </c>
      <c r="C187" t="s">
        <v>810</v>
      </c>
      <c r="D187" t="s">
        <v>385</v>
      </c>
      <c r="E187">
        <v>1</v>
      </c>
      <c r="F187" t="s">
        <v>811</v>
      </c>
      <c r="G187">
        <v>1</v>
      </c>
      <c r="H187">
        <v>1087.8191999999999</v>
      </c>
      <c r="N187">
        <v>1087.8191999999999</v>
      </c>
      <c r="O187" s="1">
        <v>45160</v>
      </c>
      <c r="P187">
        <f>IF(ISBLANK(ReconciliationData[[#This Row],[Invoice_ID]]),1,0)</f>
        <v>0</v>
      </c>
      <c r="Q187">
        <f>IF(AND(NOT(ISBLANK(ReconciliationData[[#This Row],[Billed_Units]])),ReconciliationData[[#This Row],[ordered_units]]&lt;&gt;ReconciliationData[[#This Row],[Billed_Units]]),1,0)</f>
        <v>0</v>
      </c>
      <c r="R1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">
        <f>IF(AND(NOT(ISBLANK(ReconciliationData[[#This Row],[Contract_Price]])),ReconciliationData[[#This Row],[Billed_Price]]&lt;&gt;ReconciliationData[[#This Row],[Contract_Price]]),1,0)</f>
        <v>0</v>
      </c>
      <c r="T187">
        <f>IF(AND(NOT(ISBLANK(ReconciliationData[[#This Row],[End_Date]])),ReconciliationData[[#This Row],[Order_Date]]&gt;ReconciliationData[[#This Row],[End_Date]]),1,0)</f>
        <v>0</v>
      </c>
      <c r="U187">
        <f>IF(AND(NOT(ISBLANK(ReconciliationData[[#This Row],[last_return_date]])),ReconciliationData[[#This Row],[last_return_date]]&gt;ReconciliationData[[#This Row],[Order_Date]]+60),1,0)</f>
        <v>0</v>
      </c>
      <c r="V187">
        <f>IF(ReconciliationData[[#This Row],[total_returned_units]]&gt;ReconciliationData[[#This Row],[ordered_units]],1,0)</f>
        <v>0</v>
      </c>
      <c r="W1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7">
        <f>ReconciliationData[[#This Row],[Billed_Units]]*ReconciliationData[[#This Row],[Billed_Price]]</f>
        <v>1087.8191999999999</v>
      </c>
      <c r="Y187">
        <f>ReconciliationData[[#This Row],[ordered_units]]*ReconciliationData[[#This Row],[List_Price]]</f>
        <v>1087.8191999999999</v>
      </c>
      <c r="Z187">
        <f>ReconciliationData[[#This Row],[billed_revenue]]-ReconciliationData[[#This Row],[expected_revenue]]</f>
        <v>0</v>
      </c>
      <c r="AA1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7" t="str">
        <f>IF(ReconciliationData[[#This Row],[severity_score]]=0,"LOW",
 IF(ReconciliationData[[#This Row],[severity_score]]&lt;=5,"MEDIUM","HIGH"))</f>
        <v>LOW</v>
      </c>
      <c r="AC187" t="str">
        <f>TEXT(ReconciliationData[[#This Row],[Order_Date]],"YYYY-MM")</f>
        <v>2024-04</v>
      </c>
    </row>
    <row r="188" spans="1:29">
      <c r="A188" t="s">
        <v>812</v>
      </c>
      <c r="B188" s="1">
        <v>45561</v>
      </c>
      <c r="C188" t="s">
        <v>813</v>
      </c>
      <c r="D188" t="s">
        <v>814</v>
      </c>
      <c r="E188">
        <v>165</v>
      </c>
      <c r="F188" t="s">
        <v>815</v>
      </c>
      <c r="G188">
        <v>165</v>
      </c>
      <c r="H188">
        <v>521.54959999999994</v>
      </c>
      <c r="N188">
        <v>521.54959999999994</v>
      </c>
      <c r="O188" s="1">
        <v>44994</v>
      </c>
      <c r="P188">
        <f>IF(ISBLANK(ReconciliationData[[#This Row],[Invoice_ID]]),1,0)</f>
        <v>0</v>
      </c>
      <c r="Q188">
        <f>IF(AND(NOT(ISBLANK(ReconciliationData[[#This Row],[Billed_Units]])),ReconciliationData[[#This Row],[ordered_units]]&lt;&gt;ReconciliationData[[#This Row],[Billed_Units]]),1,0)</f>
        <v>0</v>
      </c>
      <c r="R1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">
        <f>IF(AND(NOT(ISBLANK(ReconciliationData[[#This Row],[Contract_Price]])),ReconciliationData[[#This Row],[Billed_Price]]&lt;&gt;ReconciliationData[[#This Row],[Contract_Price]]),1,0)</f>
        <v>0</v>
      </c>
      <c r="T188">
        <f>IF(AND(NOT(ISBLANK(ReconciliationData[[#This Row],[End_Date]])),ReconciliationData[[#This Row],[Order_Date]]&gt;ReconciliationData[[#This Row],[End_Date]]),1,0)</f>
        <v>0</v>
      </c>
      <c r="U188">
        <f>IF(AND(NOT(ISBLANK(ReconciliationData[[#This Row],[last_return_date]])),ReconciliationData[[#This Row],[last_return_date]]&gt;ReconciliationData[[#This Row],[Order_Date]]+60),1,0)</f>
        <v>0</v>
      </c>
      <c r="V188">
        <f>IF(ReconciliationData[[#This Row],[total_returned_units]]&gt;ReconciliationData[[#This Row],[ordered_units]],1,0)</f>
        <v>0</v>
      </c>
      <c r="W1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">
        <f>ReconciliationData[[#This Row],[Billed_Units]]*ReconciliationData[[#This Row],[Billed_Price]]</f>
        <v>86055.683999999994</v>
      </c>
      <c r="Y188">
        <f>ReconciliationData[[#This Row],[ordered_units]]*ReconciliationData[[#This Row],[List_Price]]</f>
        <v>86055.683999999994</v>
      </c>
      <c r="Z188">
        <f>ReconciliationData[[#This Row],[billed_revenue]]-ReconciliationData[[#This Row],[expected_revenue]]</f>
        <v>0</v>
      </c>
      <c r="AA1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" t="str">
        <f>IF(ReconciliationData[[#This Row],[severity_score]]=0,"LOW",
 IF(ReconciliationData[[#This Row],[severity_score]]&lt;=5,"MEDIUM","HIGH"))</f>
        <v>LOW</v>
      </c>
      <c r="AC188" t="str">
        <f>TEXT(ReconciliationData[[#This Row],[Order_Date]],"YYYY-MM")</f>
        <v>2024-09</v>
      </c>
    </row>
    <row r="189" spans="1:29">
      <c r="A189" t="s">
        <v>816</v>
      </c>
      <c r="B189" s="1">
        <v>45553</v>
      </c>
      <c r="C189" t="s">
        <v>817</v>
      </c>
      <c r="D189" t="s">
        <v>146</v>
      </c>
      <c r="E189">
        <v>151</v>
      </c>
      <c r="F189" t="s">
        <v>818</v>
      </c>
      <c r="G189">
        <v>151</v>
      </c>
      <c r="H189">
        <v>849.43949999999995</v>
      </c>
      <c r="N189">
        <v>849.43949999999995</v>
      </c>
      <c r="O189" s="1">
        <v>45114</v>
      </c>
      <c r="P189">
        <f>IF(ISBLANK(ReconciliationData[[#This Row],[Invoice_ID]]),1,0)</f>
        <v>0</v>
      </c>
      <c r="Q189">
        <f>IF(AND(NOT(ISBLANK(ReconciliationData[[#This Row],[Billed_Units]])),ReconciliationData[[#This Row],[ordered_units]]&lt;&gt;ReconciliationData[[#This Row],[Billed_Units]]),1,0)</f>
        <v>0</v>
      </c>
      <c r="R1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">
        <f>IF(AND(NOT(ISBLANK(ReconciliationData[[#This Row],[Contract_Price]])),ReconciliationData[[#This Row],[Billed_Price]]&lt;&gt;ReconciliationData[[#This Row],[Contract_Price]]),1,0)</f>
        <v>0</v>
      </c>
      <c r="T189">
        <f>IF(AND(NOT(ISBLANK(ReconciliationData[[#This Row],[End_Date]])),ReconciliationData[[#This Row],[Order_Date]]&gt;ReconciliationData[[#This Row],[End_Date]]),1,0)</f>
        <v>0</v>
      </c>
      <c r="U189">
        <f>IF(AND(NOT(ISBLANK(ReconciliationData[[#This Row],[last_return_date]])),ReconciliationData[[#This Row],[last_return_date]]&gt;ReconciliationData[[#This Row],[Order_Date]]+60),1,0)</f>
        <v>0</v>
      </c>
      <c r="V189">
        <f>IF(ReconciliationData[[#This Row],[total_returned_units]]&gt;ReconciliationData[[#This Row],[ordered_units]],1,0)</f>
        <v>0</v>
      </c>
      <c r="W1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9">
        <f>ReconciliationData[[#This Row],[Billed_Units]]*ReconciliationData[[#This Row],[Billed_Price]]</f>
        <v>128265.3645</v>
      </c>
      <c r="Y189">
        <f>ReconciliationData[[#This Row],[ordered_units]]*ReconciliationData[[#This Row],[List_Price]]</f>
        <v>128265.3645</v>
      </c>
      <c r="Z189">
        <f>ReconciliationData[[#This Row],[billed_revenue]]-ReconciliationData[[#This Row],[expected_revenue]]</f>
        <v>0</v>
      </c>
      <c r="AA1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9" t="str">
        <f>IF(ReconciliationData[[#This Row],[severity_score]]=0,"LOW",
 IF(ReconciliationData[[#This Row],[severity_score]]&lt;=5,"MEDIUM","HIGH"))</f>
        <v>LOW</v>
      </c>
      <c r="AC189" t="str">
        <f>TEXT(ReconciliationData[[#This Row],[Order_Date]],"YYYY-MM")</f>
        <v>2024-09</v>
      </c>
    </row>
    <row r="190" spans="1:29">
      <c r="A190" t="s">
        <v>819</v>
      </c>
      <c r="B190" s="1">
        <v>45435</v>
      </c>
      <c r="C190" t="s">
        <v>820</v>
      </c>
      <c r="D190" t="s">
        <v>821</v>
      </c>
      <c r="E190">
        <v>14</v>
      </c>
      <c r="F190" t="s">
        <v>822</v>
      </c>
      <c r="G190">
        <v>14</v>
      </c>
      <c r="H190">
        <v>785.89</v>
      </c>
      <c r="N190">
        <v>785.89</v>
      </c>
      <c r="O190" s="1">
        <v>44989</v>
      </c>
      <c r="P190">
        <f>IF(ISBLANK(ReconciliationData[[#This Row],[Invoice_ID]]),1,0)</f>
        <v>0</v>
      </c>
      <c r="Q190">
        <f>IF(AND(NOT(ISBLANK(ReconciliationData[[#This Row],[Billed_Units]])),ReconciliationData[[#This Row],[ordered_units]]&lt;&gt;ReconciliationData[[#This Row],[Billed_Units]]),1,0)</f>
        <v>0</v>
      </c>
      <c r="R1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">
        <f>IF(AND(NOT(ISBLANK(ReconciliationData[[#This Row],[Contract_Price]])),ReconciliationData[[#This Row],[Billed_Price]]&lt;&gt;ReconciliationData[[#This Row],[Contract_Price]]),1,0)</f>
        <v>0</v>
      </c>
      <c r="T190">
        <f>IF(AND(NOT(ISBLANK(ReconciliationData[[#This Row],[End_Date]])),ReconciliationData[[#This Row],[Order_Date]]&gt;ReconciliationData[[#This Row],[End_Date]]),1,0)</f>
        <v>0</v>
      </c>
      <c r="U190">
        <f>IF(AND(NOT(ISBLANK(ReconciliationData[[#This Row],[last_return_date]])),ReconciliationData[[#This Row],[last_return_date]]&gt;ReconciliationData[[#This Row],[Order_Date]]+60),1,0)</f>
        <v>0</v>
      </c>
      <c r="V190">
        <f>IF(ReconciliationData[[#This Row],[total_returned_units]]&gt;ReconciliationData[[#This Row],[ordered_units]],1,0)</f>
        <v>0</v>
      </c>
      <c r="W1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">
        <f>ReconciliationData[[#This Row],[Billed_Units]]*ReconciliationData[[#This Row],[Billed_Price]]</f>
        <v>11002.46</v>
      </c>
      <c r="Y190">
        <f>ReconciliationData[[#This Row],[ordered_units]]*ReconciliationData[[#This Row],[List_Price]]</f>
        <v>11002.46</v>
      </c>
      <c r="Z190">
        <f>ReconciliationData[[#This Row],[billed_revenue]]-ReconciliationData[[#This Row],[expected_revenue]]</f>
        <v>0</v>
      </c>
      <c r="AA1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" t="str">
        <f>IF(ReconciliationData[[#This Row],[severity_score]]=0,"LOW",
 IF(ReconciliationData[[#This Row],[severity_score]]&lt;=5,"MEDIUM","HIGH"))</f>
        <v>LOW</v>
      </c>
      <c r="AC190" t="str">
        <f>TEXT(ReconciliationData[[#This Row],[Order_Date]],"YYYY-MM")</f>
        <v>2024-05</v>
      </c>
    </row>
    <row r="191" spans="1:29">
      <c r="A191" t="s">
        <v>823</v>
      </c>
      <c r="B191" s="1">
        <v>45617</v>
      </c>
      <c r="C191" t="s">
        <v>824</v>
      </c>
      <c r="D191" t="s">
        <v>825</v>
      </c>
      <c r="E191">
        <v>147</v>
      </c>
      <c r="F191" t="s">
        <v>826</v>
      </c>
      <c r="G191">
        <v>147</v>
      </c>
      <c r="H191">
        <v>752.48910000000001</v>
      </c>
      <c r="N191">
        <v>752.48910000000001</v>
      </c>
      <c r="O191" s="1">
        <v>44953</v>
      </c>
      <c r="P191">
        <f>IF(ISBLANK(ReconciliationData[[#This Row],[Invoice_ID]]),1,0)</f>
        <v>0</v>
      </c>
      <c r="Q191">
        <f>IF(AND(NOT(ISBLANK(ReconciliationData[[#This Row],[Billed_Units]])),ReconciliationData[[#This Row],[ordered_units]]&lt;&gt;ReconciliationData[[#This Row],[Billed_Units]]),1,0)</f>
        <v>0</v>
      </c>
      <c r="R1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">
        <f>IF(AND(NOT(ISBLANK(ReconciliationData[[#This Row],[Contract_Price]])),ReconciliationData[[#This Row],[Billed_Price]]&lt;&gt;ReconciliationData[[#This Row],[Contract_Price]]),1,0)</f>
        <v>0</v>
      </c>
      <c r="T191">
        <f>IF(AND(NOT(ISBLANK(ReconciliationData[[#This Row],[End_Date]])),ReconciliationData[[#This Row],[Order_Date]]&gt;ReconciliationData[[#This Row],[End_Date]]),1,0)</f>
        <v>0</v>
      </c>
      <c r="U191">
        <f>IF(AND(NOT(ISBLANK(ReconciliationData[[#This Row],[last_return_date]])),ReconciliationData[[#This Row],[last_return_date]]&gt;ReconciliationData[[#This Row],[Order_Date]]+60),1,0)</f>
        <v>0</v>
      </c>
      <c r="V191">
        <f>IF(ReconciliationData[[#This Row],[total_returned_units]]&gt;ReconciliationData[[#This Row],[ordered_units]],1,0)</f>
        <v>0</v>
      </c>
      <c r="W1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1">
        <f>ReconciliationData[[#This Row],[Billed_Units]]*ReconciliationData[[#This Row],[Billed_Price]]</f>
        <v>110615.8977</v>
      </c>
      <c r="Y191">
        <f>ReconciliationData[[#This Row],[ordered_units]]*ReconciliationData[[#This Row],[List_Price]]</f>
        <v>110615.8977</v>
      </c>
      <c r="Z191">
        <f>ReconciliationData[[#This Row],[billed_revenue]]-ReconciliationData[[#This Row],[expected_revenue]]</f>
        <v>0</v>
      </c>
      <c r="AA1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1" t="str">
        <f>IF(ReconciliationData[[#This Row],[severity_score]]=0,"LOW",
 IF(ReconciliationData[[#This Row],[severity_score]]&lt;=5,"MEDIUM","HIGH"))</f>
        <v>LOW</v>
      </c>
      <c r="AC191" t="str">
        <f>TEXT(ReconciliationData[[#This Row],[Order_Date]],"YYYY-MM")</f>
        <v>2024-11</v>
      </c>
    </row>
    <row r="192" spans="1:29">
      <c r="A192" t="s">
        <v>827</v>
      </c>
      <c r="B192" s="1">
        <v>45158</v>
      </c>
      <c r="C192" t="s">
        <v>646</v>
      </c>
      <c r="D192" t="s">
        <v>828</v>
      </c>
      <c r="E192">
        <v>89</v>
      </c>
      <c r="F192" t="s">
        <v>829</v>
      </c>
      <c r="G192">
        <v>89</v>
      </c>
      <c r="H192">
        <v>893.8972</v>
      </c>
      <c r="N192">
        <v>893.8972</v>
      </c>
      <c r="O192" s="1">
        <v>45049</v>
      </c>
      <c r="P192">
        <f>IF(ISBLANK(ReconciliationData[[#This Row],[Invoice_ID]]),1,0)</f>
        <v>0</v>
      </c>
      <c r="Q192">
        <f>IF(AND(NOT(ISBLANK(ReconciliationData[[#This Row],[Billed_Units]])),ReconciliationData[[#This Row],[ordered_units]]&lt;&gt;ReconciliationData[[#This Row],[Billed_Units]]),1,0)</f>
        <v>0</v>
      </c>
      <c r="R1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">
        <f>IF(AND(NOT(ISBLANK(ReconciliationData[[#This Row],[Contract_Price]])),ReconciliationData[[#This Row],[Billed_Price]]&lt;&gt;ReconciliationData[[#This Row],[Contract_Price]]),1,0)</f>
        <v>0</v>
      </c>
      <c r="T192">
        <f>IF(AND(NOT(ISBLANK(ReconciliationData[[#This Row],[End_Date]])),ReconciliationData[[#This Row],[Order_Date]]&gt;ReconciliationData[[#This Row],[End_Date]]),1,0)</f>
        <v>0</v>
      </c>
      <c r="U192">
        <f>IF(AND(NOT(ISBLANK(ReconciliationData[[#This Row],[last_return_date]])),ReconciliationData[[#This Row],[last_return_date]]&gt;ReconciliationData[[#This Row],[Order_Date]]+60),1,0)</f>
        <v>0</v>
      </c>
      <c r="V192">
        <f>IF(ReconciliationData[[#This Row],[total_returned_units]]&gt;ReconciliationData[[#This Row],[ordered_units]],1,0)</f>
        <v>0</v>
      </c>
      <c r="W1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2">
        <f>ReconciliationData[[#This Row],[Billed_Units]]*ReconciliationData[[#This Row],[Billed_Price]]</f>
        <v>79556.8508</v>
      </c>
      <c r="Y192">
        <f>ReconciliationData[[#This Row],[ordered_units]]*ReconciliationData[[#This Row],[List_Price]]</f>
        <v>79556.8508</v>
      </c>
      <c r="Z192">
        <f>ReconciliationData[[#This Row],[billed_revenue]]-ReconciliationData[[#This Row],[expected_revenue]]</f>
        <v>0</v>
      </c>
      <c r="AA1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2" t="str">
        <f>IF(ReconciliationData[[#This Row],[severity_score]]=0,"LOW",
 IF(ReconciliationData[[#This Row],[severity_score]]&lt;=5,"MEDIUM","HIGH"))</f>
        <v>LOW</v>
      </c>
      <c r="AC192" t="str">
        <f>TEXT(ReconciliationData[[#This Row],[Order_Date]],"YYYY-MM")</f>
        <v>2023-08</v>
      </c>
    </row>
    <row r="193" spans="1:29">
      <c r="A193" t="s">
        <v>830</v>
      </c>
      <c r="B193" s="1">
        <v>45310</v>
      </c>
      <c r="C193" t="s">
        <v>831</v>
      </c>
      <c r="D193" t="s">
        <v>832</v>
      </c>
      <c r="E193">
        <v>127</v>
      </c>
      <c r="F193" t="s">
        <v>833</v>
      </c>
      <c r="G193">
        <v>127</v>
      </c>
      <c r="H193">
        <v>324.52350000000001</v>
      </c>
      <c r="I193">
        <v>15</v>
      </c>
      <c r="J193" s="1">
        <v>45270</v>
      </c>
      <c r="N193">
        <v>324.52350000000001</v>
      </c>
      <c r="O193" s="1">
        <v>45100</v>
      </c>
      <c r="P193">
        <f>IF(ISBLANK(ReconciliationData[[#This Row],[Invoice_ID]]),1,0)</f>
        <v>0</v>
      </c>
      <c r="Q193">
        <f>IF(AND(NOT(ISBLANK(ReconciliationData[[#This Row],[Billed_Units]])),ReconciliationData[[#This Row],[ordered_units]]&lt;&gt;ReconciliationData[[#This Row],[Billed_Units]]),1,0)</f>
        <v>0</v>
      </c>
      <c r="R1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">
        <f>IF(AND(NOT(ISBLANK(ReconciliationData[[#This Row],[Contract_Price]])),ReconciliationData[[#This Row],[Billed_Price]]&lt;&gt;ReconciliationData[[#This Row],[Contract_Price]]),1,0)</f>
        <v>0</v>
      </c>
      <c r="T193">
        <f>IF(AND(NOT(ISBLANK(ReconciliationData[[#This Row],[End_Date]])),ReconciliationData[[#This Row],[Order_Date]]&gt;ReconciliationData[[#This Row],[End_Date]]),1,0)</f>
        <v>0</v>
      </c>
      <c r="U193">
        <f>IF(AND(NOT(ISBLANK(ReconciliationData[[#This Row],[last_return_date]])),ReconciliationData[[#This Row],[last_return_date]]&gt;ReconciliationData[[#This Row],[Order_Date]]+60),1,0)</f>
        <v>0</v>
      </c>
      <c r="V193">
        <f>IF(ReconciliationData[[#This Row],[total_returned_units]]&gt;ReconciliationData[[#This Row],[ordered_units]],1,0)</f>
        <v>0</v>
      </c>
      <c r="W1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3">
        <f>ReconciliationData[[#This Row],[Billed_Units]]*ReconciliationData[[#This Row],[Billed_Price]]</f>
        <v>41214.484499999999</v>
      </c>
      <c r="Y193">
        <f>ReconciliationData[[#This Row],[ordered_units]]*ReconciliationData[[#This Row],[List_Price]]</f>
        <v>41214.484499999999</v>
      </c>
      <c r="Z193">
        <f>ReconciliationData[[#This Row],[billed_revenue]]-ReconciliationData[[#This Row],[expected_revenue]]</f>
        <v>0</v>
      </c>
      <c r="AA1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3" t="str">
        <f>IF(ReconciliationData[[#This Row],[severity_score]]=0,"LOW",
 IF(ReconciliationData[[#This Row],[severity_score]]&lt;=5,"MEDIUM","HIGH"))</f>
        <v>LOW</v>
      </c>
      <c r="AC193" t="str">
        <f>TEXT(ReconciliationData[[#This Row],[Order_Date]],"YYYY-MM")</f>
        <v>2024-01</v>
      </c>
    </row>
    <row r="194" spans="1:29">
      <c r="A194" t="s">
        <v>834</v>
      </c>
      <c r="B194" s="1">
        <v>44976</v>
      </c>
      <c r="C194" t="s">
        <v>835</v>
      </c>
      <c r="D194" t="s">
        <v>138</v>
      </c>
      <c r="E194">
        <v>89</v>
      </c>
      <c r="F194" t="s">
        <v>836</v>
      </c>
      <c r="G194">
        <v>89</v>
      </c>
      <c r="H194">
        <v>466.43099999999998</v>
      </c>
      <c r="N194">
        <v>466.43099999999998</v>
      </c>
      <c r="O194" s="1">
        <v>44882</v>
      </c>
      <c r="P194">
        <f>IF(ISBLANK(ReconciliationData[[#This Row],[Invoice_ID]]),1,0)</f>
        <v>0</v>
      </c>
      <c r="Q194">
        <f>IF(AND(NOT(ISBLANK(ReconciliationData[[#This Row],[Billed_Units]])),ReconciliationData[[#This Row],[ordered_units]]&lt;&gt;ReconciliationData[[#This Row],[Billed_Units]]),1,0)</f>
        <v>0</v>
      </c>
      <c r="R1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4">
        <f>IF(AND(NOT(ISBLANK(ReconciliationData[[#This Row],[Contract_Price]])),ReconciliationData[[#This Row],[Billed_Price]]&lt;&gt;ReconciliationData[[#This Row],[Contract_Price]]),1,0)</f>
        <v>0</v>
      </c>
      <c r="T194">
        <f>IF(AND(NOT(ISBLANK(ReconciliationData[[#This Row],[End_Date]])),ReconciliationData[[#This Row],[Order_Date]]&gt;ReconciliationData[[#This Row],[End_Date]]),1,0)</f>
        <v>0</v>
      </c>
      <c r="U194">
        <f>IF(AND(NOT(ISBLANK(ReconciliationData[[#This Row],[last_return_date]])),ReconciliationData[[#This Row],[last_return_date]]&gt;ReconciliationData[[#This Row],[Order_Date]]+60),1,0)</f>
        <v>0</v>
      </c>
      <c r="V194">
        <f>IF(ReconciliationData[[#This Row],[total_returned_units]]&gt;ReconciliationData[[#This Row],[ordered_units]],1,0)</f>
        <v>0</v>
      </c>
      <c r="W1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4">
        <f>ReconciliationData[[#This Row],[Billed_Units]]*ReconciliationData[[#This Row],[Billed_Price]]</f>
        <v>41512.358999999997</v>
      </c>
      <c r="Y194">
        <f>ReconciliationData[[#This Row],[ordered_units]]*ReconciliationData[[#This Row],[List_Price]]</f>
        <v>41512.358999999997</v>
      </c>
      <c r="Z194">
        <f>ReconciliationData[[#This Row],[billed_revenue]]-ReconciliationData[[#This Row],[expected_revenue]]</f>
        <v>0</v>
      </c>
      <c r="AA1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4" t="str">
        <f>IF(ReconciliationData[[#This Row],[severity_score]]=0,"LOW",
 IF(ReconciliationData[[#This Row],[severity_score]]&lt;=5,"MEDIUM","HIGH"))</f>
        <v>LOW</v>
      </c>
      <c r="AC194" t="str">
        <f>TEXT(ReconciliationData[[#This Row],[Order_Date]],"YYYY-MM")</f>
        <v>2023-02</v>
      </c>
    </row>
    <row r="195" spans="1:29">
      <c r="A195" t="s">
        <v>837</v>
      </c>
      <c r="B195" s="1">
        <v>44984</v>
      </c>
      <c r="C195" t="s">
        <v>838</v>
      </c>
      <c r="D195" t="s">
        <v>337</v>
      </c>
      <c r="E195">
        <v>196</v>
      </c>
      <c r="F195" t="s">
        <v>839</v>
      </c>
      <c r="G195">
        <v>196</v>
      </c>
      <c r="H195">
        <v>1040.9412</v>
      </c>
      <c r="N195">
        <v>1040.9412</v>
      </c>
      <c r="O195" s="1">
        <v>44983</v>
      </c>
      <c r="P195">
        <f>IF(ISBLANK(ReconciliationData[[#This Row],[Invoice_ID]]),1,0)</f>
        <v>0</v>
      </c>
      <c r="Q195">
        <f>IF(AND(NOT(ISBLANK(ReconciliationData[[#This Row],[Billed_Units]])),ReconciliationData[[#This Row],[ordered_units]]&lt;&gt;ReconciliationData[[#This Row],[Billed_Units]]),1,0)</f>
        <v>0</v>
      </c>
      <c r="R1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">
        <f>IF(AND(NOT(ISBLANK(ReconciliationData[[#This Row],[Contract_Price]])),ReconciliationData[[#This Row],[Billed_Price]]&lt;&gt;ReconciliationData[[#This Row],[Contract_Price]]),1,0)</f>
        <v>0</v>
      </c>
      <c r="T195">
        <f>IF(AND(NOT(ISBLANK(ReconciliationData[[#This Row],[End_Date]])),ReconciliationData[[#This Row],[Order_Date]]&gt;ReconciliationData[[#This Row],[End_Date]]),1,0)</f>
        <v>0</v>
      </c>
      <c r="U195">
        <f>IF(AND(NOT(ISBLANK(ReconciliationData[[#This Row],[last_return_date]])),ReconciliationData[[#This Row],[last_return_date]]&gt;ReconciliationData[[#This Row],[Order_Date]]+60),1,0)</f>
        <v>0</v>
      </c>
      <c r="V195">
        <f>IF(ReconciliationData[[#This Row],[total_returned_units]]&gt;ReconciliationData[[#This Row],[ordered_units]],1,0)</f>
        <v>0</v>
      </c>
      <c r="W1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5">
        <f>ReconciliationData[[#This Row],[Billed_Units]]*ReconciliationData[[#This Row],[Billed_Price]]</f>
        <v>204024.47519999999</v>
      </c>
      <c r="Y195">
        <f>ReconciliationData[[#This Row],[ordered_units]]*ReconciliationData[[#This Row],[List_Price]]</f>
        <v>204024.47519999999</v>
      </c>
      <c r="Z195">
        <f>ReconciliationData[[#This Row],[billed_revenue]]-ReconciliationData[[#This Row],[expected_revenue]]</f>
        <v>0</v>
      </c>
      <c r="AA1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5" t="str">
        <f>IF(ReconciliationData[[#This Row],[severity_score]]=0,"LOW",
 IF(ReconciliationData[[#This Row],[severity_score]]&lt;=5,"MEDIUM","HIGH"))</f>
        <v>LOW</v>
      </c>
      <c r="AC195" t="str">
        <f>TEXT(ReconciliationData[[#This Row],[Order_Date]],"YYYY-MM")</f>
        <v>2023-02</v>
      </c>
    </row>
    <row r="196" spans="1:29">
      <c r="A196" t="s">
        <v>840</v>
      </c>
      <c r="B196" s="1">
        <v>45332</v>
      </c>
      <c r="C196" t="s">
        <v>344</v>
      </c>
      <c r="D196" t="s">
        <v>841</v>
      </c>
      <c r="E196">
        <v>4</v>
      </c>
      <c r="F196" t="s">
        <v>842</v>
      </c>
      <c r="G196">
        <v>4</v>
      </c>
      <c r="H196">
        <v>185.5224</v>
      </c>
      <c r="N196">
        <v>185.5224</v>
      </c>
      <c r="O196" s="1">
        <v>45063</v>
      </c>
      <c r="P196">
        <f>IF(ISBLANK(ReconciliationData[[#This Row],[Invoice_ID]]),1,0)</f>
        <v>0</v>
      </c>
      <c r="Q196">
        <f>IF(AND(NOT(ISBLANK(ReconciliationData[[#This Row],[Billed_Units]])),ReconciliationData[[#This Row],[ordered_units]]&lt;&gt;ReconciliationData[[#This Row],[Billed_Units]]),1,0)</f>
        <v>0</v>
      </c>
      <c r="R1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">
        <f>IF(AND(NOT(ISBLANK(ReconciliationData[[#This Row],[Contract_Price]])),ReconciliationData[[#This Row],[Billed_Price]]&lt;&gt;ReconciliationData[[#This Row],[Contract_Price]]),1,0)</f>
        <v>0</v>
      </c>
      <c r="T196">
        <f>IF(AND(NOT(ISBLANK(ReconciliationData[[#This Row],[End_Date]])),ReconciliationData[[#This Row],[Order_Date]]&gt;ReconciliationData[[#This Row],[End_Date]]),1,0)</f>
        <v>0</v>
      </c>
      <c r="U196">
        <f>IF(AND(NOT(ISBLANK(ReconciliationData[[#This Row],[last_return_date]])),ReconciliationData[[#This Row],[last_return_date]]&gt;ReconciliationData[[#This Row],[Order_Date]]+60),1,0)</f>
        <v>0</v>
      </c>
      <c r="V196">
        <f>IF(ReconciliationData[[#This Row],[total_returned_units]]&gt;ReconciliationData[[#This Row],[ordered_units]],1,0)</f>
        <v>0</v>
      </c>
      <c r="W1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">
        <f>ReconciliationData[[#This Row],[Billed_Units]]*ReconciliationData[[#This Row],[Billed_Price]]</f>
        <v>742.08960000000002</v>
      </c>
      <c r="Y196">
        <f>ReconciliationData[[#This Row],[ordered_units]]*ReconciliationData[[#This Row],[List_Price]]</f>
        <v>742.08960000000002</v>
      </c>
      <c r="Z196">
        <f>ReconciliationData[[#This Row],[billed_revenue]]-ReconciliationData[[#This Row],[expected_revenue]]</f>
        <v>0</v>
      </c>
      <c r="AA1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" t="str">
        <f>IF(ReconciliationData[[#This Row],[severity_score]]=0,"LOW",
 IF(ReconciliationData[[#This Row],[severity_score]]&lt;=5,"MEDIUM","HIGH"))</f>
        <v>LOW</v>
      </c>
      <c r="AC196" t="str">
        <f>TEXT(ReconciliationData[[#This Row],[Order_Date]],"YYYY-MM")</f>
        <v>2024-02</v>
      </c>
    </row>
    <row r="197" spans="1:29">
      <c r="A197" t="s">
        <v>843</v>
      </c>
      <c r="B197" s="1">
        <v>44932</v>
      </c>
      <c r="C197" t="s">
        <v>844</v>
      </c>
      <c r="D197" t="s">
        <v>378</v>
      </c>
      <c r="E197">
        <v>59</v>
      </c>
      <c r="F197" t="s">
        <v>845</v>
      </c>
      <c r="G197">
        <v>59</v>
      </c>
      <c r="H197">
        <v>561.99</v>
      </c>
      <c r="N197">
        <v>561.99</v>
      </c>
      <c r="O197" s="1">
        <v>44689</v>
      </c>
      <c r="P197">
        <f>IF(ISBLANK(ReconciliationData[[#This Row],[Invoice_ID]]),1,0)</f>
        <v>0</v>
      </c>
      <c r="Q197">
        <f>IF(AND(NOT(ISBLANK(ReconciliationData[[#This Row],[Billed_Units]])),ReconciliationData[[#This Row],[ordered_units]]&lt;&gt;ReconciliationData[[#This Row],[Billed_Units]]),1,0)</f>
        <v>0</v>
      </c>
      <c r="R1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7">
        <f>IF(AND(NOT(ISBLANK(ReconciliationData[[#This Row],[Contract_Price]])),ReconciliationData[[#This Row],[Billed_Price]]&lt;&gt;ReconciliationData[[#This Row],[Contract_Price]]),1,0)</f>
        <v>0</v>
      </c>
      <c r="T197">
        <f>IF(AND(NOT(ISBLANK(ReconciliationData[[#This Row],[End_Date]])),ReconciliationData[[#This Row],[Order_Date]]&gt;ReconciliationData[[#This Row],[End_Date]]),1,0)</f>
        <v>0</v>
      </c>
      <c r="U197">
        <f>IF(AND(NOT(ISBLANK(ReconciliationData[[#This Row],[last_return_date]])),ReconciliationData[[#This Row],[last_return_date]]&gt;ReconciliationData[[#This Row],[Order_Date]]+60),1,0)</f>
        <v>0</v>
      </c>
      <c r="V197">
        <f>IF(ReconciliationData[[#This Row],[total_returned_units]]&gt;ReconciliationData[[#This Row],[ordered_units]],1,0)</f>
        <v>0</v>
      </c>
      <c r="W1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7">
        <f>ReconciliationData[[#This Row],[Billed_Units]]*ReconciliationData[[#This Row],[Billed_Price]]</f>
        <v>33157.410000000003</v>
      </c>
      <c r="Y197">
        <f>ReconciliationData[[#This Row],[ordered_units]]*ReconciliationData[[#This Row],[List_Price]]</f>
        <v>33157.410000000003</v>
      </c>
      <c r="Z197">
        <f>ReconciliationData[[#This Row],[billed_revenue]]-ReconciliationData[[#This Row],[expected_revenue]]</f>
        <v>0</v>
      </c>
      <c r="AA1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7" t="str">
        <f>IF(ReconciliationData[[#This Row],[severity_score]]=0,"LOW",
 IF(ReconciliationData[[#This Row],[severity_score]]&lt;=5,"MEDIUM","HIGH"))</f>
        <v>LOW</v>
      </c>
      <c r="AC197" t="str">
        <f>TEXT(ReconciliationData[[#This Row],[Order_Date]],"YYYY-MM")</f>
        <v>2023-01</v>
      </c>
    </row>
    <row r="198" spans="1:29">
      <c r="A198" t="s">
        <v>846</v>
      </c>
      <c r="B198" s="1">
        <v>45569</v>
      </c>
      <c r="C198" t="s">
        <v>302</v>
      </c>
      <c r="D198" t="s">
        <v>667</v>
      </c>
      <c r="E198">
        <v>200</v>
      </c>
      <c r="F198" t="s">
        <v>847</v>
      </c>
      <c r="G198">
        <v>199</v>
      </c>
      <c r="H198">
        <v>989.96579999999994</v>
      </c>
      <c r="N198">
        <v>989.96579999999994</v>
      </c>
      <c r="O198" s="1">
        <v>44975</v>
      </c>
      <c r="P198">
        <f>IF(ISBLANK(ReconciliationData[[#This Row],[Invoice_ID]]),1,0)</f>
        <v>0</v>
      </c>
      <c r="Q198">
        <f>IF(AND(NOT(ISBLANK(ReconciliationData[[#This Row],[Billed_Units]])),ReconciliationData[[#This Row],[ordered_units]]&lt;&gt;ReconciliationData[[#This Row],[Billed_Units]]),1,0)</f>
        <v>1</v>
      </c>
      <c r="R1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">
        <f>IF(AND(NOT(ISBLANK(ReconciliationData[[#This Row],[Contract_Price]])),ReconciliationData[[#This Row],[Billed_Price]]&lt;&gt;ReconciliationData[[#This Row],[Contract_Price]]),1,0)</f>
        <v>0</v>
      </c>
      <c r="T198">
        <f>IF(AND(NOT(ISBLANK(ReconciliationData[[#This Row],[End_Date]])),ReconciliationData[[#This Row],[Order_Date]]&gt;ReconciliationData[[#This Row],[End_Date]]),1,0)</f>
        <v>0</v>
      </c>
      <c r="U198">
        <f>IF(AND(NOT(ISBLANK(ReconciliationData[[#This Row],[last_return_date]])),ReconciliationData[[#This Row],[last_return_date]]&gt;ReconciliationData[[#This Row],[Order_Date]]+60),1,0)</f>
        <v>0</v>
      </c>
      <c r="V198">
        <f>IF(ReconciliationData[[#This Row],[total_returned_units]]&gt;ReconciliationData[[#This Row],[ordered_units]],1,0)</f>
        <v>0</v>
      </c>
      <c r="W1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8">
        <f>ReconciliationData[[#This Row],[Billed_Units]]*ReconciliationData[[#This Row],[Billed_Price]]</f>
        <v>197003.1942</v>
      </c>
      <c r="Y198">
        <f>ReconciliationData[[#This Row],[ordered_units]]*ReconciliationData[[#This Row],[List_Price]]</f>
        <v>197993.15999999997</v>
      </c>
      <c r="Z198">
        <f>ReconciliationData[[#This Row],[billed_revenue]]-ReconciliationData[[#This Row],[expected_revenue]]</f>
        <v>-989.9657999999763</v>
      </c>
      <c r="AA1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98" t="str">
        <f>IF(ReconciliationData[[#This Row],[severity_score]]=0,"LOW",
 IF(ReconciliationData[[#This Row],[severity_score]]&lt;=5,"MEDIUM","HIGH"))</f>
        <v>HIGH</v>
      </c>
      <c r="AC198" t="str">
        <f>TEXT(ReconciliationData[[#This Row],[Order_Date]],"YYYY-MM")</f>
        <v>2024-10</v>
      </c>
    </row>
    <row r="199" spans="1:29">
      <c r="A199" t="s">
        <v>848</v>
      </c>
      <c r="B199" s="1">
        <v>45496</v>
      </c>
      <c r="C199" t="s">
        <v>189</v>
      </c>
      <c r="D199" t="s">
        <v>849</v>
      </c>
      <c r="E199">
        <v>132</v>
      </c>
      <c r="F199" t="s">
        <v>850</v>
      </c>
      <c r="G199">
        <v>132</v>
      </c>
      <c r="H199">
        <v>428.46220000000005</v>
      </c>
      <c r="I199">
        <v>19</v>
      </c>
      <c r="J199" s="1">
        <v>45404</v>
      </c>
      <c r="N199">
        <v>428.46220000000005</v>
      </c>
      <c r="O199" s="1">
        <v>45102</v>
      </c>
      <c r="P199">
        <f>IF(ISBLANK(ReconciliationData[[#This Row],[Invoice_ID]]),1,0)</f>
        <v>0</v>
      </c>
      <c r="Q199">
        <f>IF(AND(NOT(ISBLANK(ReconciliationData[[#This Row],[Billed_Units]])),ReconciliationData[[#This Row],[ordered_units]]&lt;&gt;ReconciliationData[[#This Row],[Billed_Units]]),1,0)</f>
        <v>0</v>
      </c>
      <c r="R1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">
        <f>IF(AND(NOT(ISBLANK(ReconciliationData[[#This Row],[Contract_Price]])),ReconciliationData[[#This Row],[Billed_Price]]&lt;&gt;ReconciliationData[[#This Row],[Contract_Price]]),1,0)</f>
        <v>0</v>
      </c>
      <c r="T199">
        <f>IF(AND(NOT(ISBLANK(ReconciliationData[[#This Row],[End_Date]])),ReconciliationData[[#This Row],[Order_Date]]&gt;ReconciliationData[[#This Row],[End_Date]]),1,0)</f>
        <v>0</v>
      </c>
      <c r="U199">
        <f>IF(AND(NOT(ISBLANK(ReconciliationData[[#This Row],[last_return_date]])),ReconciliationData[[#This Row],[last_return_date]]&gt;ReconciliationData[[#This Row],[Order_Date]]+60),1,0)</f>
        <v>0</v>
      </c>
      <c r="V199">
        <f>IF(ReconciliationData[[#This Row],[total_returned_units]]&gt;ReconciliationData[[#This Row],[ordered_units]],1,0)</f>
        <v>0</v>
      </c>
      <c r="W1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9">
        <f>ReconciliationData[[#This Row],[Billed_Units]]*ReconciliationData[[#This Row],[Billed_Price]]</f>
        <v>56557.010400000006</v>
      </c>
      <c r="Y199">
        <f>ReconciliationData[[#This Row],[ordered_units]]*ReconciliationData[[#This Row],[List_Price]]</f>
        <v>56557.010400000006</v>
      </c>
      <c r="Z199">
        <f>ReconciliationData[[#This Row],[billed_revenue]]-ReconciliationData[[#This Row],[expected_revenue]]</f>
        <v>0</v>
      </c>
      <c r="AA1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9" t="str">
        <f>IF(ReconciliationData[[#This Row],[severity_score]]=0,"LOW",
 IF(ReconciliationData[[#This Row],[severity_score]]&lt;=5,"MEDIUM","HIGH"))</f>
        <v>LOW</v>
      </c>
      <c r="AC199" t="str">
        <f>TEXT(ReconciliationData[[#This Row],[Order_Date]],"YYYY-MM")</f>
        <v>2024-07</v>
      </c>
    </row>
    <row r="200" spans="1:29">
      <c r="A200" t="s">
        <v>851</v>
      </c>
      <c r="B200" s="1">
        <v>45094</v>
      </c>
      <c r="C200" t="s">
        <v>852</v>
      </c>
      <c r="D200" t="s">
        <v>614</v>
      </c>
      <c r="E200">
        <v>88</v>
      </c>
      <c r="F200" t="s">
        <v>853</v>
      </c>
      <c r="G200">
        <v>88</v>
      </c>
      <c r="H200">
        <v>1021.8869999999999</v>
      </c>
      <c r="I200">
        <v>4</v>
      </c>
      <c r="J200" s="1">
        <v>45099</v>
      </c>
      <c r="N200">
        <v>1021.8869999999999</v>
      </c>
      <c r="O200" s="1">
        <v>45020</v>
      </c>
      <c r="P200">
        <f>IF(ISBLANK(ReconciliationData[[#This Row],[Invoice_ID]]),1,0)</f>
        <v>0</v>
      </c>
      <c r="Q200">
        <f>IF(AND(NOT(ISBLANK(ReconciliationData[[#This Row],[Billed_Units]])),ReconciliationData[[#This Row],[ordered_units]]&lt;&gt;ReconciliationData[[#This Row],[Billed_Units]]),1,0)</f>
        <v>0</v>
      </c>
      <c r="R2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">
        <f>IF(AND(NOT(ISBLANK(ReconciliationData[[#This Row],[Contract_Price]])),ReconciliationData[[#This Row],[Billed_Price]]&lt;&gt;ReconciliationData[[#This Row],[Contract_Price]]),1,0)</f>
        <v>0</v>
      </c>
      <c r="T200">
        <f>IF(AND(NOT(ISBLANK(ReconciliationData[[#This Row],[End_Date]])),ReconciliationData[[#This Row],[Order_Date]]&gt;ReconciliationData[[#This Row],[End_Date]]),1,0)</f>
        <v>0</v>
      </c>
      <c r="U200">
        <f>IF(AND(NOT(ISBLANK(ReconciliationData[[#This Row],[last_return_date]])),ReconciliationData[[#This Row],[last_return_date]]&gt;ReconciliationData[[#This Row],[Order_Date]]+60),1,0)</f>
        <v>0</v>
      </c>
      <c r="V200">
        <f>IF(ReconciliationData[[#This Row],[total_returned_units]]&gt;ReconciliationData[[#This Row],[ordered_units]],1,0)</f>
        <v>0</v>
      </c>
      <c r="W2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0">
        <f>ReconciliationData[[#This Row],[Billed_Units]]*ReconciliationData[[#This Row],[Billed_Price]]</f>
        <v>89926.055999999997</v>
      </c>
      <c r="Y200">
        <f>ReconciliationData[[#This Row],[ordered_units]]*ReconciliationData[[#This Row],[List_Price]]</f>
        <v>89926.055999999997</v>
      </c>
      <c r="Z200">
        <f>ReconciliationData[[#This Row],[billed_revenue]]-ReconciliationData[[#This Row],[expected_revenue]]</f>
        <v>0</v>
      </c>
      <c r="AA2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0" t="str">
        <f>IF(ReconciliationData[[#This Row],[severity_score]]=0,"LOW",
 IF(ReconciliationData[[#This Row],[severity_score]]&lt;=5,"MEDIUM","HIGH"))</f>
        <v>LOW</v>
      </c>
      <c r="AC200" t="str">
        <f>TEXT(ReconciliationData[[#This Row],[Order_Date]],"YYYY-MM")</f>
        <v>2023-06</v>
      </c>
    </row>
    <row r="201" spans="1:29">
      <c r="A201" t="s">
        <v>854</v>
      </c>
      <c r="B201" s="1">
        <v>45410</v>
      </c>
      <c r="C201" t="s">
        <v>855</v>
      </c>
      <c r="D201" t="s">
        <v>856</v>
      </c>
      <c r="E201">
        <v>178</v>
      </c>
      <c r="F201" t="s">
        <v>857</v>
      </c>
      <c r="G201">
        <v>178</v>
      </c>
      <c r="H201">
        <v>1195.6769999999999</v>
      </c>
      <c r="N201">
        <v>1195.6769999999999</v>
      </c>
      <c r="O201" s="1">
        <v>45010</v>
      </c>
      <c r="P201">
        <f>IF(ISBLANK(ReconciliationData[[#This Row],[Invoice_ID]]),1,0)</f>
        <v>0</v>
      </c>
      <c r="Q201">
        <f>IF(AND(NOT(ISBLANK(ReconciliationData[[#This Row],[Billed_Units]])),ReconciliationData[[#This Row],[ordered_units]]&lt;&gt;ReconciliationData[[#This Row],[Billed_Units]]),1,0)</f>
        <v>0</v>
      </c>
      <c r="R2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1">
        <f>IF(AND(NOT(ISBLANK(ReconciliationData[[#This Row],[Contract_Price]])),ReconciliationData[[#This Row],[Billed_Price]]&lt;&gt;ReconciliationData[[#This Row],[Contract_Price]]),1,0)</f>
        <v>0</v>
      </c>
      <c r="T201">
        <f>IF(AND(NOT(ISBLANK(ReconciliationData[[#This Row],[End_Date]])),ReconciliationData[[#This Row],[Order_Date]]&gt;ReconciliationData[[#This Row],[End_Date]]),1,0)</f>
        <v>0</v>
      </c>
      <c r="U201">
        <f>IF(AND(NOT(ISBLANK(ReconciliationData[[#This Row],[last_return_date]])),ReconciliationData[[#This Row],[last_return_date]]&gt;ReconciliationData[[#This Row],[Order_Date]]+60),1,0)</f>
        <v>0</v>
      </c>
      <c r="V201">
        <f>IF(ReconciliationData[[#This Row],[total_returned_units]]&gt;ReconciliationData[[#This Row],[ordered_units]],1,0)</f>
        <v>0</v>
      </c>
      <c r="W2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1">
        <f>ReconciliationData[[#This Row],[Billed_Units]]*ReconciliationData[[#This Row],[Billed_Price]]</f>
        <v>212830.50599999999</v>
      </c>
      <c r="Y201">
        <f>ReconciliationData[[#This Row],[ordered_units]]*ReconciliationData[[#This Row],[List_Price]]</f>
        <v>212830.50599999999</v>
      </c>
      <c r="Z201">
        <f>ReconciliationData[[#This Row],[billed_revenue]]-ReconciliationData[[#This Row],[expected_revenue]]</f>
        <v>0</v>
      </c>
      <c r="AA2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1" t="str">
        <f>IF(ReconciliationData[[#This Row],[severity_score]]=0,"LOW",
 IF(ReconciliationData[[#This Row],[severity_score]]&lt;=5,"MEDIUM","HIGH"))</f>
        <v>LOW</v>
      </c>
      <c r="AC201" t="str">
        <f>TEXT(ReconciliationData[[#This Row],[Order_Date]],"YYYY-MM")</f>
        <v>2024-04</v>
      </c>
    </row>
    <row r="202" spans="1:29">
      <c r="A202" t="s">
        <v>858</v>
      </c>
      <c r="B202" s="1">
        <v>45343</v>
      </c>
      <c r="C202" t="s">
        <v>859</v>
      </c>
      <c r="D202" t="s">
        <v>821</v>
      </c>
      <c r="E202">
        <v>63</v>
      </c>
      <c r="F202" t="s">
        <v>860</v>
      </c>
      <c r="G202">
        <v>63</v>
      </c>
      <c r="H202">
        <v>785.89</v>
      </c>
      <c r="N202">
        <v>785.89</v>
      </c>
      <c r="O202" s="1">
        <v>44989</v>
      </c>
      <c r="P202">
        <f>IF(ISBLANK(ReconciliationData[[#This Row],[Invoice_ID]]),1,0)</f>
        <v>0</v>
      </c>
      <c r="Q202">
        <f>IF(AND(NOT(ISBLANK(ReconciliationData[[#This Row],[Billed_Units]])),ReconciliationData[[#This Row],[ordered_units]]&lt;&gt;ReconciliationData[[#This Row],[Billed_Units]]),1,0)</f>
        <v>0</v>
      </c>
      <c r="R2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">
        <f>IF(AND(NOT(ISBLANK(ReconciliationData[[#This Row],[Contract_Price]])),ReconciliationData[[#This Row],[Billed_Price]]&lt;&gt;ReconciliationData[[#This Row],[Contract_Price]]),1,0)</f>
        <v>0</v>
      </c>
      <c r="T202">
        <f>IF(AND(NOT(ISBLANK(ReconciliationData[[#This Row],[End_Date]])),ReconciliationData[[#This Row],[Order_Date]]&gt;ReconciliationData[[#This Row],[End_Date]]),1,0)</f>
        <v>0</v>
      </c>
      <c r="U202">
        <f>IF(AND(NOT(ISBLANK(ReconciliationData[[#This Row],[last_return_date]])),ReconciliationData[[#This Row],[last_return_date]]&gt;ReconciliationData[[#This Row],[Order_Date]]+60),1,0)</f>
        <v>0</v>
      </c>
      <c r="V202">
        <f>IF(ReconciliationData[[#This Row],[total_returned_units]]&gt;ReconciliationData[[#This Row],[ordered_units]],1,0)</f>
        <v>0</v>
      </c>
      <c r="W2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">
        <f>ReconciliationData[[#This Row],[Billed_Units]]*ReconciliationData[[#This Row],[Billed_Price]]</f>
        <v>49511.07</v>
      </c>
      <c r="Y202">
        <f>ReconciliationData[[#This Row],[ordered_units]]*ReconciliationData[[#This Row],[List_Price]]</f>
        <v>49511.07</v>
      </c>
      <c r="Z202">
        <f>ReconciliationData[[#This Row],[billed_revenue]]-ReconciliationData[[#This Row],[expected_revenue]]</f>
        <v>0</v>
      </c>
      <c r="AA2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" t="str">
        <f>IF(ReconciliationData[[#This Row],[severity_score]]=0,"LOW",
 IF(ReconciliationData[[#This Row],[severity_score]]&lt;=5,"MEDIUM","HIGH"))</f>
        <v>LOW</v>
      </c>
      <c r="AC202" t="str">
        <f>TEXT(ReconciliationData[[#This Row],[Order_Date]],"YYYY-MM")</f>
        <v>2024-02</v>
      </c>
    </row>
    <row r="203" spans="1:29">
      <c r="A203" t="s">
        <v>861</v>
      </c>
      <c r="B203" s="1">
        <v>45116</v>
      </c>
      <c r="C203" t="s">
        <v>862</v>
      </c>
      <c r="D203" t="s">
        <v>863</v>
      </c>
      <c r="E203">
        <v>77</v>
      </c>
      <c r="F203" t="s">
        <v>864</v>
      </c>
      <c r="G203">
        <v>80</v>
      </c>
      <c r="H203">
        <v>815.61373977507617</v>
      </c>
      <c r="I203">
        <v>6</v>
      </c>
      <c r="J203" s="1">
        <v>45581</v>
      </c>
      <c r="N203">
        <v>815.08680000000004</v>
      </c>
      <c r="O203" s="1">
        <v>45062</v>
      </c>
      <c r="P203">
        <f>IF(ISBLANK(ReconciliationData[[#This Row],[Invoice_ID]]),1,0)</f>
        <v>0</v>
      </c>
      <c r="Q203">
        <f>IF(AND(NOT(ISBLANK(ReconciliationData[[#This Row],[Billed_Units]])),ReconciliationData[[#This Row],[ordered_units]]&lt;&gt;ReconciliationData[[#This Row],[Billed_Units]]),1,0)</f>
        <v>1</v>
      </c>
      <c r="R20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03">
        <f>IF(AND(NOT(ISBLANK(ReconciliationData[[#This Row],[Contract_Price]])),ReconciliationData[[#This Row],[Billed_Price]]&lt;&gt;ReconciliationData[[#This Row],[Contract_Price]]),1,0)</f>
        <v>0</v>
      </c>
      <c r="T203">
        <f>IF(AND(NOT(ISBLANK(ReconciliationData[[#This Row],[End_Date]])),ReconciliationData[[#This Row],[Order_Date]]&gt;ReconciliationData[[#This Row],[End_Date]]),1,0)</f>
        <v>0</v>
      </c>
      <c r="U203">
        <f>IF(AND(NOT(ISBLANK(ReconciliationData[[#This Row],[last_return_date]])),ReconciliationData[[#This Row],[last_return_date]]&gt;ReconciliationData[[#This Row],[Order_Date]]+60),1,0)</f>
        <v>1</v>
      </c>
      <c r="V203">
        <f>IF(ReconciliationData[[#This Row],[total_returned_units]]&gt;ReconciliationData[[#This Row],[ordered_units]],1,0)</f>
        <v>0</v>
      </c>
      <c r="W2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3">
        <f>ReconciliationData[[#This Row],[Billed_Units]]*ReconciliationData[[#This Row],[Billed_Price]]</f>
        <v>65249.099182006095</v>
      </c>
      <c r="Y203">
        <f>ReconciliationData[[#This Row],[ordered_units]]*ReconciliationData[[#This Row],[List_Price]]</f>
        <v>62761.683600000004</v>
      </c>
      <c r="Z203">
        <f>ReconciliationData[[#This Row],[billed_revenue]]-ReconciliationData[[#This Row],[expected_revenue]]</f>
        <v>2487.4155820060914</v>
      </c>
      <c r="AA2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14</v>
      </c>
      <c r="AB203" t="str">
        <f>IF(ReconciliationData[[#This Row],[severity_score]]=0,"LOW",
 IF(ReconciliationData[[#This Row],[severity_score]]&lt;=5,"MEDIUM","HIGH"))</f>
        <v>HIGH</v>
      </c>
      <c r="AC203" t="str">
        <f>TEXT(ReconciliationData[[#This Row],[Order_Date]],"YYYY-MM")</f>
        <v>2023-07</v>
      </c>
    </row>
    <row r="204" spans="1:29">
      <c r="A204" t="s">
        <v>865</v>
      </c>
      <c r="B204" s="1">
        <v>45174</v>
      </c>
      <c r="C204" t="s">
        <v>866</v>
      </c>
      <c r="D204" t="s">
        <v>867</v>
      </c>
      <c r="E204">
        <v>91</v>
      </c>
      <c r="F204" t="s">
        <v>868</v>
      </c>
      <c r="G204">
        <v>91</v>
      </c>
      <c r="H204">
        <v>1146.7456000000002</v>
      </c>
      <c r="N204">
        <v>1146.7456000000002</v>
      </c>
      <c r="O204" s="1">
        <v>45148</v>
      </c>
      <c r="P204">
        <f>IF(ISBLANK(ReconciliationData[[#This Row],[Invoice_ID]]),1,0)</f>
        <v>0</v>
      </c>
      <c r="Q204">
        <f>IF(AND(NOT(ISBLANK(ReconciliationData[[#This Row],[Billed_Units]])),ReconciliationData[[#This Row],[ordered_units]]&lt;&gt;ReconciliationData[[#This Row],[Billed_Units]]),1,0)</f>
        <v>0</v>
      </c>
      <c r="R2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">
        <f>IF(AND(NOT(ISBLANK(ReconciliationData[[#This Row],[Contract_Price]])),ReconciliationData[[#This Row],[Billed_Price]]&lt;&gt;ReconciliationData[[#This Row],[Contract_Price]]),1,0)</f>
        <v>0</v>
      </c>
      <c r="T204">
        <f>IF(AND(NOT(ISBLANK(ReconciliationData[[#This Row],[End_Date]])),ReconciliationData[[#This Row],[Order_Date]]&gt;ReconciliationData[[#This Row],[End_Date]]),1,0)</f>
        <v>0</v>
      </c>
      <c r="U204">
        <f>IF(AND(NOT(ISBLANK(ReconciliationData[[#This Row],[last_return_date]])),ReconciliationData[[#This Row],[last_return_date]]&gt;ReconciliationData[[#This Row],[Order_Date]]+60),1,0)</f>
        <v>0</v>
      </c>
      <c r="V204">
        <f>IF(ReconciliationData[[#This Row],[total_returned_units]]&gt;ReconciliationData[[#This Row],[ordered_units]],1,0)</f>
        <v>0</v>
      </c>
      <c r="W2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4">
        <f>ReconciliationData[[#This Row],[Billed_Units]]*ReconciliationData[[#This Row],[Billed_Price]]</f>
        <v>104353.84960000002</v>
      </c>
      <c r="Y204">
        <f>ReconciliationData[[#This Row],[ordered_units]]*ReconciliationData[[#This Row],[List_Price]]</f>
        <v>104353.84960000002</v>
      </c>
      <c r="Z204">
        <f>ReconciliationData[[#This Row],[billed_revenue]]-ReconciliationData[[#This Row],[expected_revenue]]</f>
        <v>0</v>
      </c>
      <c r="AA2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4" t="str">
        <f>IF(ReconciliationData[[#This Row],[severity_score]]=0,"LOW",
 IF(ReconciliationData[[#This Row],[severity_score]]&lt;=5,"MEDIUM","HIGH"))</f>
        <v>LOW</v>
      </c>
      <c r="AC204" t="str">
        <f>TEXT(ReconciliationData[[#This Row],[Order_Date]],"YYYY-MM")</f>
        <v>2023-09</v>
      </c>
    </row>
    <row r="205" spans="1:29">
      <c r="A205" t="s">
        <v>869</v>
      </c>
      <c r="B205" s="1">
        <v>45402</v>
      </c>
      <c r="C205" t="s">
        <v>778</v>
      </c>
      <c r="D205" t="s">
        <v>267</v>
      </c>
      <c r="E205">
        <v>148</v>
      </c>
      <c r="F205" t="s">
        <v>870</v>
      </c>
      <c r="G205">
        <v>148</v>
      </c>
      <c r="H205">
        <v>973.43799999999999</v>
      </c>
      <c r="N205">
        <v>973.43799999999999</v>
      </c>
      <c r="O205" s="1">
        <v>45011</v>
      </c>
      <c r="P205">
        <f>IF(ISBLANK(ReconciliationData[[#This Row],[Invoice_ID]]),1,0)</f>
        <v>0</v>
      </c>
      <c r="Q205">
        <f>IF(AND(NOT(ISBLANK(ReconciliationData[[#This Row],[Billed_Units]])),ReconciliationData[[#This Row],[ordered_units]]&lt;&gt;ReconciliationData[[#This Row],[Billed_Units]]),1,0)</f>
        <v>0</v>
      </c>
      <c r="R2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">
        <f>IF(AND(NOT(ISBLANK(ReconciliationData[[#This Row],[Contract_Price]])),ReconciliationData[[#This Row],[Billed_Price]]&lt;&gt;ReconciliationData[[#This Row],[Contract_Price]]),1,0)</f>
        <v>0</v>
      </c>
      <c r="T205">
        <f>IF(AND(NOT(ISBLANK(ReconciliationData[[#This Row],[End_Date]])),ReconciliationData[[#This Row],[Order_Date]]&gt;ReconciliationData[[#This Row],[End_Date]]),1,0)</f>
        <v>0</v>
      </c>
      <c r="U205">
        <f>IF(AND(NOT(ISBLANK(ReconciliationData[[#This Row],[last_return_date]])),ReconciliationData[[#This Row],[last_return_date]]&gt;ReconciliationData[[#This Row],[Order_Date]]+60),1,0)</f>
        <v>0</v>
      </c>
      <c r="V205">
        <f>IF(ReconciliationData[[#This Row],[total_returned_units]]&gt;ReconciliationData[[#This Row],[ordered_units]],1,0)</f>
        <v>0</v>
      </c>
      <c r="W2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5">
        <f>ReconciliationData[[#This Row],[Billed_Units]]*ReconciliationData[[#This Row],[Billed_Price]]</f>
        <v>144068.82399999999</v>
      </c>
      <c r="Y205">
        <f>ReconciliationData[[#This Row],[ordered_units]]*ReconciliationData[[#This Row],[List_Price]]</f>
        <v>144068.82399999999</v>
      </c>
      <c r="Z205">
        <f>ReconciliationData[[#This Row],[billed_revenue]]-ReconciliationData[[#This Row],[expected_revenue]]</f>
        <v>0</v>
      </c>
      <c r="AA2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5" t="str">
        <f>IF(ReconciliationData[[#This Row],[severity_score]]=0,"LOW",
 IF(ReconciliationData[[#This Row],[severity_score]]&lt;=5,"MEDIUM","HIGH"))</f>
        <v>LOW</v>
      </c>
      <c r="AC205" t="str">
        <f>TEXT(ReconciliationData[[#This Row],[Order_Date]],"YYYY-MM")</f>
        <v>2024-04</v>
      </c>
    </row>
    <row r="206" spans="1:29">
      <c r="A206" t="s">
        <v>871</v>
      </c>
      <c r="B206" s="1">
        <v>45642</v>
      </c>
      <c r="C206" t="s">
        <v>872</v>
      </c>
      <c r="D206" t="s">
        <v>873</v>
      </c>
      <c r="E206">
        <v>187</v>
      </c>
      <c r="F206" t="s">
        <v>874</v>
      </c>
      <c r="G206">
        <v>187</v>
      </c>
      <c r="H206">
        <v>956.41030000000001</v>
      </c>
      <c r="N206">
        <v>956.41030000000001</v>
      </c>
      <c r="O206" s="1">
        <v>45168</v>
      </c>
      <c r="P206">
        <f>IF(ISBLANK(ReconciliationData[[#This Row],[Invoice_ID]]),1,0)</f>
        <v>0</v>
      </c>
      <c r="Q206">
        <f>IF(AND(NOT(ISBLANK(ReconciliationData[[#This Row],[Billed_Units]])),ReconciliationData[[#This Row],[ordered_units]]&lt;&gt;ReconciliationData[[#This Row],[Billed_Units]]),1,0)</f>
        <v>0</v>
      </c>
      <c r="R2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">
        <f>IF(AND(NOT(ISBLANK(ReconciliationData[[#This Row],[Contract_Price]])),ReconciliationData[[#This Row],[Billed_Price]]&lt;&gt;ReconciliationData[[#This Row],[Contract_Price]]),1,0)</f>
        <v>0</v>
      </c>
      <c r="T206">
        <f>IF(AND(NOT(ISBLANK(ReconciliationData[[#This Row],[End_Date]])),ReconciliationData[[#This Row],[Order_Date]]&gt;ReconciliationData[[#This Row],[End_Date]]),1,0)</f>
        <v>0</v>
      </c>
      <c r="U206">
        <f>IF(AND(NOT(ISBLANK(ReconciliationData[[#This Row],[last_return_date]])),ReconciliationData[[#This Row],[last_return_date]]&gt;ReconciliationData[[#This Row],[Order_Date]]+60),1,0)</f>
        <v>0</v>
      </c>
      <c r="V206">
        <f>IF(ReconciliationData[[#This Row],[total_returned_units]]&gt;ReconciliationData[[#This Row],[ordered_units]],1,0)</f>
        <v>0</v>
      </c>
      <c r="W2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">
        <f>ReconciliationData[[#This Row],[Billed_Units]]*ReconciliationData[[#This Row],[Billed_Price]]</f>
        <v>178848.7261</v>
      </c>
      <c r="Y206">
        <f>ReconciliationData[[#This Row],[ordered_units]]*ReconciliationData[[#This Row],[List_Price]]</f>
        <v>178848.7261</v>
      </c>
      <c r="Z206">
        <f>ReconciliationData[[#This Row],[billed_revenue]]-ReconciliationData[[#This Row],[expected_revenue]]</f>
        <v>0</v>
      </c>
      <c r="AA2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" t="str">
        <f>IF(ReconciliationData[[#This Row],[severity_score]]=0,"LOW",
 IF(ReconciliationData[[#This Row],[severity_score]]&lt;=5,"MEDIUM","HIGH"))</f>
        <v>LOW</v>
      </c>
      <c r="AC206" t="str">
        <f>TEXT(ReconciliationData[[#This Row],[Order_Date]],"YYYY-MM")</f>
        <v>2024-12</v>
      </c>
    </row>
    <row r="207" spans="1:29">
      <c r="A207" t="s">
        <v>875</v>
      </c>
      <c r="B207" s="1">
        <v>45255</v>
      </c>
      <c r="C207" t="s">
        <v>876</v>
      </c>
      <c r="D207" t="s">
        <v>158</v>
      </c>
      <c r="E207">
        <v>37</v>
      </c>
      <c r="F207" t="s">
        <v>877</v>
      </c>
      <c r="G207">
        <v>37</v>
      </c>
      <c r="H207">
        <v>700.93560000000002</v>
      </c>
      <c r="N207">
        <v>700.93560000000002</v>
      </c>
      <c r="O207" s="1">
        <v>45077</v>
      </c>
      <c r="P207">
        <f>IF(ISBLANK(ReconciliationData[[#This Row],[Invoice_ID]]),1,0)</f>
        <v>0</v>
      </c>
      <c r="Q207">
        <f>IF(AND(NOT(ISBLANK(ReconciliationData[[#This Row],[Billed_Units]])),ReconciliationData[[#This Row],[ordered_units]]&lt;&gt;ReconciliationData[[#This Row],[Billed_Units]]),1,0)</f>
        <v>0</v>
      </c>
      <c r="R2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">
        <f>IF(AND(NOT(ISBLANK(ReconciliationData[[#This Row],[Contract_Price]])),ReconciliationData[[#This Row],[Billed_Price]]&lt;&gt;ReconciliationData[[#This Row],[Contract_Price]]),1,0)</f>
        <v>0</v>
      </c>
      <c r="T207">
        <f>IF(AND(NOT(ISBLANK(ReconciliationData[[#This Row],[End_Date]])),ReconciliationData[[#This Row],[Order_Date]]&gt;ReconciliationData[[#This Row],[End_Date]]),1,0)</f>
        <v>0</v>
      </c>
      <c r="U207">
        <f>IF(AND(NOT(ISBLANK(ReconciliationData[[#This Row],[last_return_date]])),ReconciliationData[[#This Row],[last_return_date]]&gt;ReconciliationData[[#This Row],[Order_Date]]+60),1,0)</f>
        <v>0</v>
      </c>
      <c r="V207">
        <f>IF(ReconciliationData[[#This Row],[total_returned_units]]&gt;ReconciliationData[[#This Row],[ordered_units]],1,0)</f>
        <v>0</v>
      </c>
      <c r="W2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7">
        <f>ReconciliationData[[#This Row],[Billed_Units]]*ReconciliationData[[#This Row],[Billed_Price]]</f>
        <v>25934.617200000001</v>
      </c>
      <c r="Y207">
        <f>ReconciliationData[[#This Row],[ordered_units]]*ReconciliationData[[#This Row],[List_Price]]</f>
        <v>25934.617200000001</v>
      </c>
      <c r="Z207">
        <f>ReconciliationData[[#This Row],[billed_revenue]]-ReconciliationData[[#This Row],[expected_revenue]]</f>
        <v>0</v>
      </c>
      <c r="AA2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7" t="str">
        <f>IF(ReconciliationData[[#This Row],[severity_score]]=0,"LOW",
 IF(ReconciliationData[[#This Row],[severity_score]]&lt;=5,"MEDIUM","HIGH"))</f>
        <v>LOW</v>
      </c>
      <c r="AC207" t="str">
        <f>TEXT(ReconciliationData[[#This Row],[Order_Date]],"YYYY-MM")</f>
        <v>2023-11</v>
      </c>
    </row>
    <row r="208" spans="1:29">
      <c r="A208" t="s">
        <v>878</v>
      </c>
      <c r="B208" s="1">
        <v>45610</v>
      </c>
      <c r="C208" t="s">
        <v>879</v>
      </c>
      <c r="D208" t="s">
        <v>880</v>
      </c>
      <c r="E208">
        <v>66</v>
      </c>
      <c r="F208" t="s">
        <v>881</v>
      </c>
      <c r="G208">
        <v>66</v>
      </c>
      <c r="H208">
        <v>212.73140000000001</v>
      </c>
      <c r="N208">
        <v>212.73140000000001</v>
      </c>
      <c r="O208" s="1">
        <v>45144</v>
      </c>
      <c r="P208">
        <f>IF(ISBLANK(ReconciliationData[[#This Row],[Invoice_ID]]),1,0)</f>
        <v>0</v>
      </c>
      <c r="Q208">
        <f>IF(AND(NOT(ISBLANK(ReconciliationData[[#This Row],[Billed_Units]])),ReconciliationData[[#This Row],[ordered_units]]&lt;&gt;ReconciliationData[[#This Row],[Billed_Units]]),1,0)</f>
        <v>0</v>
      </c>
      <c r="R2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">
        <f>IF(AND(NOT(ISBLANK(ReconciliationData[[#This Row],[Contract_Price]])),ReconciliationData[[#This Row],[Billed_Price]]&lt;&gt;ReconciliationData[[#This Row],[Contract_Price]]),1,0)</f>
        <v>0</v>
      </c>
      <c r="T208">
        <f>IF(AND(NOT(ISBLANK(ReconciliationData[[#This Row],[End_Date]])),ReconciliationData[[#This Row],[Order_Date]]&gt;ReconciliationData[[#This Row],[End_Date]]),1,0)</f>
        <v>0</v>
      </c>
      <c r="U208">
        <f>IF(AND(NOT(ISBLANK(ReconciliationData[[#This Row],[last_return_date]])),ReconciliationData[[#This Row],[last_return_date]]&gt;ReconciliationData[[#This Row],[Order_Date]]+60),1,0)</f>
        <v>0</v>
      </c>
      <c r="V208">
        <f>IF(ReconciliationData[[#This Row],[total_returned_units]]&gt;ReconciliationData[[#This Row],[ordered_units]],1,0)</f>
        <v>0</v>
      </c>
      <c r="W2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">
        <f>ReconciliationData[[#This Row],[Billed_Units]]*ReconciliationData[[#This Row],[Billed_Price]]</f>
        <v>14040.2724</v>
      </c>
      <c r="Y208">
        <f>ReconciliationData[[#This Row],[ordered_units]]*ReconciliationData[[#This Row],[List_Price]]</f>
        <v>14040.2724</v>
      </c>
      <c r="Z208">
        <f>ReconciliationData[[#This Row],[billed_revenue]]-ReconciliationData[[#This Row],[expected_revenue]]</f>
        <v>0</v>
      </c>
      <c r="AA2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" t="str">
        <f>IF(ReconciliationData[[#This Row],[severity_score]]=0,"LOW",
 IF(ReconciliationData[[#This Row],[severity_score]]&lt;=5,"MEDIUM","HIGH"))</f>
        <v>LOW</v>
      </c>
      <c r="AC208" t="str">
        <f>TEXT(ReconciliationData[[#This Row],[Order_Date]],"YYYY-MM")</f>
        <v>2024-11</v>
      </c>
    </row>
    <row r="209" spans="1:29">
      <c r="A209" t="s">
        <v>882</v>
      </c>
      <c r="B209" s="1">
        <v>45087</v>
      </c>
      <c r="C209" t="s">
        <v>290</v>
      </c>
      <c r="D209" t="s">
        <v>883</v>
      </c>
      <c r="E209">
        <v>131</v>
      </c>
      <c r="F209" t="s">
        <v>884</v>
      </c>
      <c r="G209">
        <v>131</v>
      </c>
      <c r="H209">
        <v>403.01909999999998</v>
      </c>
      <c r="N209">
        <v>403.01909999999998</v>
      </c>
      <c r="O209" s="1">
        <v>45056</v>
      </c>
      <c r="P209">
        <f>IF(ISBLANK(ReconciliationData[[#This Row],[Invoice_ID]]),1,0)</f>
        <v>0</v>
      </c>
      <c r="Q209">
        <f>IF(AND(NOT(ISBLANK(ReconciliationData[[#This Row],[Billed_Units]])),ReconciliationData[[#This Row],[ordered_units]]&lt;&gt;ReconciliationData[[#This Row],[Billed_Units]]),1,0)</f>
        <v>0</v>
      </c>
      <c r="R2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">
        <f>IF(AND(NOT(ISBLANK(ReconciliationData[[#This Row],[Contract_Price]])),ReconciliationData[[#This Row],[Billed_Price]]&lt;&gt;ReconciliationData[[#This Row],[Contract_Price]]),1,0)</f>
        <v>0</v>
      </c>
      <c r="T209">
        <f>IF(AND(NOT(ISBLANK(ReconciliationData[[#This Row],[End_Date]])),ReconciliationData[[#This Row],[Order_Date]]&gt;ReconciliationData[[#This Row],[End_Date]]),1,0)</f>
        <v>0</v>
      </c>
      <c r="U209">
        <f>IF(AND(NOT(ISBLANK(ReconciliationData[[#This Row],[last_return_date]])),ReconciliationData[[#This Row],[last_return_date]]&gt;ReconciliationData[[#This Row],[Order_Date]]+60),1,0)</f>
        <v>0</v>
      </c>
      <c r="V209">
        <f>IF(ReconciliationData[[#This Row],[total_returned_units]]&gt;ReconciliationData[[#This Row],[ordered_units]],1,0)</f>
        <v>0</v>
      </c>
      <c r="W2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9">
        <f>ReconciliationData[[#This Row],[Billed_Units]]*ReconciliationData[[#This Row],[Billed_Price]]</f>
        <v>52795.502099999998</v>
      </c>
      <c r="Y209">
        <f>ReconciliationData[[#This Row],[ordered_units]]*ReconciliationData[[#This Row],[List_Price]]</f>
        <v>52795.502099999998</v>
      </c>
      <c r="Z209">
        <f>ReconciliationData[[#This Row],[billed_revenue]]-ReconciliationData[[#This Row],[expected_revenue]]</f>
        <v>0</v>
      </c>
      <c r="AA2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9" t="str">
        <f>IF(ReconciliationData[[#This Row],[severity_score]]=0,"LOW",
 IF(ReconciliationData[[#This Row],[severity_score]]&lt;=5,"MEDIUM","HIGH"))</f>
        <v>LOW</v>
      </c>
      <c r="AC209" t="str">
        <f>TEXT(ReconciliationData[[#This Row],[Order_Date]],"YYYY-MM")</f>
        <v>2023-06</v>
      </c>
    </row>
    <row r="210" spans="1:29">
      <c r="A210" t="s">
        <v>885</v>
      </c>
      <c r="B210" s="1">
        <v>45390</v>
      </c>
      <c r="C210" t="s">
        <v>806</v>
      </c>
      <c r="D210" t="s">
        <v>684</v>
      </c>
      <c r="E210">
        <v>198</v>
      </c>
      <c r="F210" t="s">
        <v>886</v>
      </c>
      <c r="G210">
        <v>198</v>
      </c>
      <c r="H210">
        <v>75.620999999999995</v>
      </c>
      <c r="N210">
        <v>75.620999999999995</v>
      </c>
      <c r="O210" s="1">
        <v>45108</v>
      </c>
      <c r="P210">
        <f>IF(ISBLANK(ReconciliationData[[#This Row],[Invoice_ID]]),1,0)</f>
        <v>0</v>
      </c>
      <c r="Q210">
        <f>IF(AND(NOT(ISBLANK(ReconciliationData[[#This Row],[Billed_Units]])),ReconciliationData[[#This Row],[ordered_units]]&lt;&gt;ReconciliationData[[#This Row],[Billed_Units]]),1,0)</f>
        <v>0</v>
      </c>
      <c r="R2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0">
        <f>IF(AND(NOT(ISBLANK(ReconciliationData[[#This Row],[Contract_Price]])),ReconciliationData[[#This Row],[Billed_Price]]&lt;&gt;ReconciliationData[[#This Row],[Contract_Price]]),1,0)</f>
        <v>0</v>
      </c>
      <c r="T210">
        <f>IF(AND(NOT(ISBLANK(ReconciliationData[[#This Row],[End_Date]])),ReconciliationData[[#This Row],[Order_Date]]&gt;ReconciliationData[[#This Row],[End_Date]]),1,0)</f>
        <v>0</v>
      </c>
      <c r="U210">
        <f>IF(AND(NOT(ISBLANK(ReconciliationData[[#This Row],[last_return_date]])),ReconciliationData[[#This Row],[last_return_date]]&gt;ReconciliationData[[#This Row],[Order_Date]]+60),1,0)</f>
        <v>0</v>
      </c>
      <c r="V210">
        <f>IF(ReconciliationData[[#This Row],[total_returned_units]]&gt;ReconciliationData[[#This Row],[ordered_units]],1,0)</f>
        <v>0</v>
      </c>
      <c r="W2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0">
        <f>ReconciliationData[[#This Row],[Billed_Units]]*ReconciliationData[[#This Row],[Billed_Price]]</f>
        <v>14972.957999999999</v>
      </c>
      <c r="Y210">
        <f>ReconciliationData[[#This Row],[ordered_units]]*ReconciliationData[[#This Row],[List_Price]]</f>
        <v>14972.957999999999</v>
      </c>
      <c r="Z210">
        <f>ReconciliationData[[#This Row],[billed_revenue]]-ReconciliationData[[#This Row],[expected_revenue]]</f>
        <v>0</v>
      </c>
      <c r="AA2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0" t="str">
        <f>IF(ReconciliationData[[#This Row],[severity_score]]=0,"LOW",
 IF(ReconciliationData[[#This Row],[severity_score]]&lt;=5,"MEDIUM","HIGH"))</f>
        <v>LOW</v>
      </c>
      <c r="AC210" t="str">
        <f>TEXT(ReconciliationData[[#This Row],[Order_Date]],"YYYY-MM")</f>
        <v>2024-04</v>
      </c>
    </row>
    <row r="211" spans="1:29">
      <c r="A211" t="s">
        <v>887</v>
      </c>
      <c r="B211" s="1">
        <v>45594</v>
      </c>
      <c r="C211" t="s">
        <v>888</v>
      </c>
      <c r="D211" t="s">
        <v>216</v>
      </c>
      <c r="E211">
        <v>95</v>
      </c>
      <c r="F211" t="s">
        <v>889</v>
      </c>
      <c r="G211">
        <v>95</v>
      </c>
      <c r="H211">
        <v>1046.6099999999999</v>
      </c>
      <c r="I211">
        <v>13</v>
      </c>
      <c r="J211" s="1">
        <v>45359</v>
      </c>
      <c r="N211">
        <v>1046.6099999999999</v>
      </c>
      <c r="O211" s="1">
        <v>44940</v>
      </c>
      <c r="P211">
        <f>IF(ISBLANK(ReconciliationData[[#This Row],[Invoice_ID]]),1,0)</f>
        <v>0</v>
      </c>
      <c r="Q211">
        <f>IF(AND(NOT(ISBLANK(ReconciliationData[[#This Row],[Billed_Units]])),ReconciliationData[[#This Row],[ordered_units]]&lt;&gt;ReconciliationData[[#This Row],[Billed_Units]]),1,0)</f>
        <v>0</v>
      </c>
      <c r="R2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">
        <f>IF(AND(NOT(ISBLANK(ReconciliationData[[#This Row],[Contract_Price]])),ReconciliationData[[#This Row],[Billed_Price]]&lt;&gt;ReconciliationData[[#This Row],[Contract_Price]]),1,0)</f>
        <v>0</v>
      </c>
      <c r="T211">
        <f>IF(AND(NOT(ISBLANK(ReconciliationData[[#This Row],[End_Date]])),ReconciliationData[[#This Row],[Order_Date]]&gt;ReconciliationData[[#This Row],[End_Date]]),1,0)</f>
        <v>0</v>
      </c>
      <c r="U211">
        <f>IF(AND(NOT(ISBLANK(ReconciliationData[[#This Row],[last_return_date]])),ReconciliationData[[#This Row],[last_return_date]]&gt;ReconciliationData[[#This Row],[Order_Date]]+60),1,0)</f>
        <v>0</v>
      </c>
      <c r="V211">
        <f>IF(ReconciliationData[[#This Row],[total_returned_units]]&gt;ReconciliationData[[#This Row],[ordered_units]],1,0)</f>
        <v>0</v>
      </c>
      <c r="W2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1">
        <f>ReconciliationData[[#This Row],[Billed_Units]]*ReconciliationData[[#This Row],[Billed_Price]]</f>
        <v>99427.95</v>
      </c>
      <c r="Y211">
        <f>ReconciliationData[[#This Row],[ordered_units]]*ReconciliationData[[#This Row],[List_Price]]</f>
        <v>99427.95</v>
      </c>
      <c r="Z211">
        <f>ReconciliationData[[#This Row],[billed_revenue]]-ReconciliationData[[#This Row],[expected_revenue]]</f>
        <v>0</v>
      </c>
      <c r="AA2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1" t="str">
        <f>IF(ReconciliationData[[#This Row],[severity_score]]=0,"LOW",
 IF(ReconciliationData[[#This Row],[severity_score]]&lt;=5,"MEDIUM","HIGH"))</f>
        <v>LOW</v>
      </c>
      <c r="AC211" t="str">
        <f>TEXT(ReconciliationData[[#This Row],[Order_Date]],"YYYY-MM")</f>
        <v>2024-10</v>
      </c>
    </row>
    <row r="212" spans="1:29">
      <c r="A212" t="s">
        <v>890</v>
      </c>
      <c r="B212" s="1">
        <v>44969</v>
      </c>
      <c r="C212" t="s">
        <v>876</v>
      </c>
      <c r="D212" t="s">
        <v>891</v>
      </c>
      <c r="E212">
        <v>130</v>
      </c>
      <c r="F212" t="s">
        <v>892</v>
      </c>
      <c r="G212">
        <v>132</v>
      </c>
      <c r="H212">
        <v>680.30940000000021</v>
      </c>
      <c r="N212">
        <v>680.30940000000021</v>
      </c>
      <c r="O212" s="1">
        <v>44934</v>
      </c>
      <c r="P212">
        <f>IF(ISBLANK(ReconciliationData[[#This Row],[Invoice_ID]]),1,0)</f>
        <v>0</v>
      </c>
      <c r="Q212">
        <f>IF(AND(NOT(ISBLANK(ReconciliationData[[#This Row],[Billed_Units]])),ReconciliationData[[#This Row],[ordered_units]]&lt;&gt;ReconciliationData[[#This Row],[Billed_Units]]),1,0)</f>
        <v>1</v>
      </c>
      <c r="R2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">
        <f>IF(AND(NOT(ISBLANK(ReconciliationData[[#This Row],[Contract_Price]])),ReconciliationData[[#This Row],[Billed_Price]]&lt;&gt;ReconciliationData[[#This Row],[Contract_Price]]),1,0)</f>
        <v>0</v>
      </c>
      <c r="T212">
        <f>IF(AND(NOT(ISBLANK(ReconciliationData[[#This Row],[End_Date]])),ReconciliationData[[#This Row],[Order_Date]]&gt;ReconciliationData[[#This Row],[End_Date]]),1,0)</f>
        <v>0</v>
      </c>
      <c r="U212">
        <f>IF(AND(NOT(ISBLANK(ReconciliationData[[#This Row],[last_return_date]])),ReconciliationData[[#This Row],[last_return_date]]&gt;ReconciliationData[[#This Row],[Order_Date]]+60),1,0)</f>
        <v>0</v>
      </c>
      <c r="V212">
        <f>IF(ReconciliationData[[#This Row],[total_returned_units]]&gt;ReconciliationData[[#This Row],[ordered_units]],1,0)</f>
        <v>0</v>
      </c>
      <c r="W2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2">
        <f>ReconciliationData[[#This Row],[Billed_Units]]*ReconciliationData[[#This Row],[Billed_Price]]</f>
        <v>89800.840800000035</v>
      </c>
      <c r="Y212">
        <f>ReconciliationData[[#This Row],[ordered_units]]*ReconciliationData[[#This Row],[List_Price]]</f>
        <v>88440.222000000023</v>
      </c>
      <c r="Z212">
        <f>ReconciliationData[[#This Row],[billed_revenue]]-ReconciliationData[[#This Row],[expected_revenue]]</f>
        <v>1360.6188000000111</v>
      </c>
      <c r="AA2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12" t="str">
        <f>IF(ReconciliationData[[#This Row],[severity_score]]=0,"LOW",
 IF(ReconciliationData[[#This Row],[severity_score]]&lt;=5,"MEDIUM","HIGH"))</f>
        <v>HIGH</v>
      </c>
      <c r="AC212" t="str">
        <f>TEXT(ReconciliationData[[#This Row],[Order_Date]],"YYYY-MM")</f>
        <v>2023-02</v>
      </c>
    </row>
    <row r="213" spans="1:29">
      <c r="A213" t="s">
        <v>893</v>
      </c>
      <c r="B213" s="1">
        <v>45604</v>
      </c>
      <c r="C213" t="s">
        <v>894</v>
      </c>
      <c r="D213" t="s">
        <v>412</v>
      </c>
      <c r="E213">
        <v>19</v>
      </c>
      <c r="F213" t="s">
        <v>895</v>
      </c>
      <c r="G213">
        <v>19</v>
      </c>
      <c r="H213">
        <v>1160.5650000000001</v>
      </c>
      <c r="N213">
        <v>1160.5650000000001</v>
      </c>
      <c r="O213" s="1">
        <v>45055</v>
      </c>
      <c r="P213">
        <f>IF(ISBLANK(ReconciliationData[[#This Row],[Invoice_ID]]),1,0)</f>
        <v>0</v>
      </c>
      <c r="Q213">
        <f>IF(AND(NOT(ISBLANK(ReconciliationData[[#This Row],[Billed_Units]])),ReconciliationData[[#This Row],[ordered_units]]&lt;&gt;ReconciliationData[[#This Row],[Billed_Units]]),1,0)</f>
        <v>0</v>
      </c>
      <c r="R2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">
        <f>IF(AND(NOT(ISBLANK(ReconciliationData[[#This Row],[Contract_Price]])),ReconciliationData[[#This Row],[Billed_Price]]&lt;&gt;ReconciliationData[[#This Row],[Contract_Price]]),1,0)</f>
        <v>0</v>
      </c>
      <c r="T213">
        <f>IF(AND(NOT(ISBLANK(ReconciliationData[[#This Row],[End_Date]])),ReconciliationData[[#This Row],[Order_Date]]&gt;ReconciliationData[[#This Row],[End_Date]]),1,0)</f>
        <v>0</v>
      </c>
      <c r="U213">
        <f>IF(AND(NOT(ISBLANK(ReconciliationData[[#This Row],[last_return_date]])),ReconciliationData[[#This Row],[last_return_date]]&gt;ReconciliationData[[#This Row],[Order_Date]]+60),1,0)</f>
        <v>0</v>
      </c>
      <c r="V213">
        <f>IF(ReconciliationData[[#This Row],[total_returned_units]]&gt;ReconciliationData[[#This Row],[ordered_units]],1,0)</f>
        <v>0</v>
      </c>
      <c r="W2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3">
        <f>ReconciliationData[[#This Row],[Billed_Units]]*ReconciliationData[[#This Row],[Billed_Price]]</f>
        <v>22050.735000000001</v>
      </c>
      <c r="Y213">
        <f>ReconciliationData[[#This Row],[ordered_units]]*ReconciliationData[[#This Row],[List_Price]]</f>
        <v>22050.735000000001</v>
      </c>
      <c r="Z213">
        <f>ReconciliationData[[#This Row],[billed_revenue]]-ReconciliationData[[#This Row],[expected_revenue]]</f>
        <v>0</v>
      </c>
      <c r="AA2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3" t="str">
        <f>IF(ReconciliationData[[#This Row],[severity_score]]=0,"LOW",
 IF(ReconciliationData[[#This Row],[severity_score]]&lt;=5,"MEDIUM","HIGH"))</f>
        <v>LOW</v>
      </c>
      <c r="AC213" t="str">
        <f>TEXT(ReconciliationData[[#This Row],[Order_Date]],"YYYY-MM")</f>
        <v>2024-11</v>
      </c>
    </row>
    <row r="214" spans="1:29">
      <c r="A214" t="s">
        <v>896</v>
      </c>
      <c r="B214" s="1">
        <v>45297</v>
      </c>
      <c r="C214" t="s">
        <v>897</v>
      </c>
      <c r="D214" t="s">
        <v>898</v>
      </c>
      <c r="E214">
        <v>109</v>
      </c>
      <c r="F214" t="s">
        <v>899</v>
      </c>
      <c r="G214">
        <v>109</v>
      </c>
      <c r="H214">
        <v>744.98490000000004</v>
      </c>
      <c r="N214">
        <v>744.98490000000004</v>
      </c>
      <c r="O214" s="1">
        <v>45138</v>
      </c>
      <c r="P214">
        <f>IF(ISBLANK(ReconciliationData[[#This Row],[Invoice_ID]]),1,0)</f>
        <v>0</v>
      </c>
      <c r="Q214">
        <f>IF(AND(NOT(ISBLANK(ReconciliationData[[#This Row],[Billed_Units]])),ReconciliationData[[#This Row],[ordered_units]]&lt;&gt;ReconciliationData[[#This Row],[Billed_Units]]),1,0)</f>
        <v>0</v>
      </c>
      <c r="R2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4">
        <f>IF(AND(NOT(ISBLANK(ReconciliationData[[#This Row],[Contract_Price]])),ReconciliationData[[#This Row],[Billed_Price]]&lt;&gt;ReconciliationData[[#This Row],[Contract_Price]]),1,0)</f>
        <v>0</v>
      </c>
      <c r="T214">
        <f>IF(AND(NOT(ISBLANK(ReconciliationData[[#This Row],[End_Date]])),ReconciliationData[[#This Row],[Order_Date]]&gt;ReconciliationData[[#This Row],[End_Date]]),1,0)</f>
        <v>0</v>
      </c>
      <c r="U214">
        <f>IF(AND(NOT(ISBLANK(ReconciliationData[[#This Row],[last_return_date]])),ReconciliationData[[#This Row],[last_return_date]]&gt;ReconciliationData[[#This Row],[Order_Date]]+60),1,0)</f>
        <v>0</v>
      </c>
      <c r="V214">
        <f>IF(ReconciliationData[[#This Row],[total_returned_units]]&gt;ReconciliationData[[#This Row],[ordered_units]],1,0)</f>
        <v>0</v>
      </c>
      <c r="W2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4">
        <f>ReconciliationData[[#This Row],[Billed_Units]]*ReconciliationData[[#This Row],[Billed_Price]]</f>
        <v>81203.354100000011</v>
      </c>
      <c r="Y214">
        <f>ReconciliationData[[#This Row],[ordered_units]]*ReconciliationData[[#This Row],[List_Price]]</f>
        <v>81203.354100000011</v>
      </c>
      <c r="Z214">
        <f>ReconciliationData[[#This Row],[billed_revenue]]-ReconciliationData[[#This Row],[expected_revenue]]</f>
        <v>0</v>
      </c>
      <c r="AA2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4" t="str">
        <f>IF(ReconciliationData[[#This Row],[severity_score]]=0,"LOW",
 IF(ReconciliationData[[#This Row],[severity_score]]&lt;=5,"MEDIUM","HIGH"))</f>
        <v>LOW</v>
      </c>
      <c r="AC214" t="str">
        <f>TEXT(ReconciliationData[[#This Row],[Order_Date]],"YYYY-MM")</f>
        <v>2024-01</v>
      </c>
    </row>
    <row r="215" spans="1:29">
      <c r="A215" t="s">
        <v>900</v>
      </c>
      <c r="B215" s="1">
        <v>45502</v>
      </c>
      <c r="C215" t="s">
        <v>901</v>
      </c>
      <c r="D215" t="s">
        <v>283</v>
      </c>
      <c r="E215">
        <v>72</v>
      </c>
      <c r="F215" t="s">
        <v>902</v>
      </c>
      <c r="G215">
        <v>72</v>
      </c>
      <c r="H215">
        <v>415.70589999999999</v>
      </c>
      <c r="I215">
        <v>13</v>
      </c>
      <c r="J215" s="1">
        <v>45523</v>
      </c>
      <c r="N215">
        <v>415.70589999999999</v>
      </c>
      <c r="O215" s="1">
        <v>44989</v>
      </c>
      <c r="P215">
        <f>IF(ISBLANK(ReconciliationData[[#This Row],[Invoice_ID]]),1,0)</f>
        <v>0</v>
      </c>
      <c r="Q215">
        <f>IF(AND(NOT(ISBLANK(ReconciliationData[[#This Row],[Billed_Units]])),ReconciliationData[[#This Row],[ordered_units]]&lt;&gt;ReconciliationData[[#This Row],[Billed_Units]]),1,0)</f>
        <v>0</v>
      </c>
      <c r="R2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5">
        <f>IF(AND(NOT(ISBLANK(ReconciliationData[[#This Row],[Contract_Price]])),ReconciliationData[[#This Row],[Billed_Price]]&lt;&gt;ReconciliationData[[#This Row],[Contract_Price]]),1,0)</f>
        <v>0</v>
      </c>
      <c r="T215">
        <f>IF(AND(NOT(ISBLANK(ReconciliationData[[#This Row],[End_Date]])),ReconciliationData[[#This Row],[Order_Date]]&gt;ReconciliationData[[#This Row],[End_Date]]),1,0)</f>
        <v>0</v>
      </c>
      <c r="U215">
        <f>IF(AND(NOT(ISBLANK(ReconciliationData[[#This Row],[last_return_date]])),ReconciliationData[[#This Row],[last_return_date]]&gt;ReconciliationData[[#This Row],[Order_Date]]+60),1,0)</f>
        <v>0</v>
      </c>
      <c r="V215">
        <f>IF(ReconciliationData[[#This Row],[total_returned_units]]&gt;ReconciliationData[[#This Row],[ordered_units]],1,0)</f>
        <v>0</v>
      </c>
      <c r="W2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5">
        <f>ReconciliationData[[#This Row],[Billed_Units]]*ReconciliationData[[#This Row],[Billed_Price]]</f>
        <v>29930.824799999999</v>
      </c>
      <c r="Y215">
        <f>ReconciliationData[[#This Row],[ordered_units]]*ReconciliationData[[#This Row],[List_Price]]</f>
        <v>29930.824799999999</v>
      </c>
      <c r="Z215">
        <f>ReconciliationData[[#This Row],[billed_revenue]]-ReconciliationData[[#This Row],[expected_revenue]]</f>
        <v>0</v>
      </c>
      <c r="AA2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5" t="str">
        <f>IF(ReconciliationData[[#This Row],[severity_score]]=0,"LOW",
 IF(ReconciliationData[[#This Row],[severity_score]]&lt;=5,"MEDIUM","HIGH"))</f>
        <v>LOW</v>
      </c>
      <c r="AC215" t="str">
        <f>TEXT(ReconciliationData[[#This Row],[Order_Date]],"YYYY-MM")</f>
        <v>2024-07</v>
      </c>
    </row>
    <row r="216" spans="1:29">
      <c r="A216" t="s">
        <v>903</v>
      </c>
      <c r="B216" s="1">
        <v>45349</v>
      </c>
      <c r="C216" t="s">
        <v>904</v>
      </c>
      <c r="D216" t="s">
        <v>227</v>
      </c>
      <c r="E216">
        <v>33</v>
      </c>
      <c r="F216" t="s">
        <v>905</v>
      </c>
      <c r="G216">
        <v>33</v>
      </c>
      <c r="H216">
        <v>626.68790000000001</v>
      </c>
      <c r="N216">
        <v>626.68790000000001</v>
      </c>
      <c r="O216" s="1">
        <v>45103</v>
      </c>
      <c r="P216">
        <f>IF(ISBLANK(ReconciliationData[[#This Row],[Invoice_ID]]),1,0)</f>
        <v>0</v>
      </c>
      <c r="Q216">
        <f>IF(AND(NOT(ISBLANK(ReconciliationData[[#This Row],[Billed_Units]])),ReconciliationData[[#This Row],[ordered_units]]&lt;&gt;ReconciliationData[[#This Row],[Billed_Units]]),1,0)</f>
        <v>0</v>
      </c>
      <c r="R2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6">
        <f>IF(AND(NOT(ISBLANK(ReconciliationData[[#This Row],[Contract_Price]])),ReconciliationData[[#This Row],[Billed_Price]]&lt;&gt;ReconciliationData[[#This Row],[Contract_Price]]),1,0)</f>
        <v>0</v>
      </c>
      <c r="T216">
        <f>IF(AND(NOT(ISBLANK(ReconciliationData[[#This Row],[End_Date]])),ReconciliationData[[#This Row],[Order_Date]]&gt;ReconciliationData[[#This Row],[End_Date]]),1,0)</f>
        <v>0</v>
      </c>
      <c r="U216">
        <f>IF(AND(NOT(ISBLANK(ReconciliationData[[#This Row],[last_return_date]])),ReconciliationData[[#This Row],[last_return_date]]&gt;ReconciliationData[[#This Row],[Order_Date]]+60),1,0)</f>
        <v>0</v>
      </c>
      <c r="V216">
        <f>IF(ReconciliationData[[#This Row],[total_returned_units]]&gt;ReconciliationData[[#This Row],[ordered_units]],1,0)</f>
        <v>0</v>
      </c>
      <c r="W2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6">
        <f>ReconciliationData[[#This Row],[Billed_Units]]*ReconciliationData[[#This Row],[Billed_Price]]</f>
        <v>20680.700700000001</v>
      </c>
      <c r="Y216">
        <f>ReconciliationData[[#This Row],[ordered_units]]*ReconciliationData[[#This Row],[List_Price]]</f>
        <v>20680.700700000001</v>
      </c>
      <c r="Z216">
        <f>ReconciliationData[[#This Row],[billed_revenue]]-ReconciliationData[[#This Row],[expected_revenue]]</f>
        <v>0</v>
      </c>
      <c r="AA2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6" t="str">
        <f>IF(ReconciliationData[[#This Row],[severity_score]]=0,"LOW",
 IF(ReconciliationData[[#This Row],[severity_score]]&lt;=5,"MEDIUM","HIGH"))</f>
        <v>LOW</v>
      </c>
      <c r="AC216" t="str">
        <f>TEXT(ReconciliationData[[#This Row],[Order_Date]],"YYYY-MM")</f>
        <v>2024-02</v>
      </c>
    </row>
    <row r="217" spans="1:29">
      <c r="A217" t="s">
        <v>906</v>
      </c>
      <c r="B217" s="1">
        <v>45083</v>
      </c>
      <c r="C217" t="s">
        <v>907</v>
      </c>
      <c r="D217" t="s">
        <v>908</v>
      </c>
      <c r="E217">
        <v>88</v>
      </c>
      <c r="F217" t="s">
        <v>909</v>
      </c>
      <c r="G217">
        <v>88</v>
      </c>
      <c r="H217">
        <v>565.82459999999992</v>
      </c>
      <c r="N217">
        <v>565.82459999999992</v>
      </c>
      <c r="O217" s="1">
        <v>45013</v>
      </c>
      <c r="P217">
        <f>IF(ISBLANK(ReconciliationData[[#This Row],[Invoice_ID]]),1,0)</f>
        <v>0</v>
      </c>
      <c r="Q217">
        <f>IF(AND(NOT(ISBLANK(ReconciliationData[[#This Row],[Billed_Units]])),ReconciliationData[[#This Row],[ordered_units]]&lt;&gt;ReconciliationData[[#This Row],[Billed_Units]]),1,0)</f>
        <v>0</v>
      </c>
      <c r="R2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">
        <f>IF(AND(NOT(ISBLANK(ReconciliationData[[#This Row],[Contract_Price]])),ReconciliationData[[#This Row],[Billed_Price]]&lt;&gt;ReconciliationData[[#This Row],[Contract_Price]]),1,0)</f>
        <v>0</v>
      </c>
      <c r="T217">
        <f>IF(AND(NOT(ISBLANK(ReconciliationData[[#This Row],[End_Date]])),ReconciliationData[[#This Row],[Order_Date]]&gt;ReconciliationData[[#This Row],[End_Date]]),1,0)</f>
        <v>0</v>
      </c>
      <c r="U217">
        <f>IF(AND(NOT(ISBLANK(ReconciliationData[[#This Row],[last_return_date]])),ReconciliationData[[#This Row],[last_return_date]]&gt;ReconciliationData[[#This Row],[Order_Date]]+60),1,0)</f>
        <v>0</v>
      </c>
      <c r="V217">
        <f>IF(ReconciliationData[[#This Row],[total_returned_units]]&gt;ReconciliationData[[#This Row],[ordered_units]],1,0)</f>
        <v>0</v>
      </c>
      <c r="W2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7">
        <f>ReconciliationData[[#This Row],[Billed_Units]]*ReconciliationData[[#This Row],[Billed_Price]]</f>
        <v>49792.564799999993</v>
      </c>
      <c r="Y217">
        <f>ReconciliationData[[#This Row],[ordered_units]]*ReconciliationData[[#This Row],[List_Price]]</f>
        <v>49792.564799999993</v>
      </c>
      <c r="Z217">
        <f>ReconciliationData[[#This Row],[billed_revenue]]-ReconciliationData[[#This Row],[expected_revenue]]</f>
        <v>0</v>
      </c>
      <c r="AA2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7" t="str">
        <f>IF(ReconciliationData[[#This Row],[severity_score]]=0,"LOW",
 IF(ReconciliationData[[#This Row],[severity_score]]&lt;=5,"MEDIUM","HIGH"))</f>
        <v>LOW</v>
      </c>
      <c r="AC217" t="str">
        <f>TEXT(ReconciliationData[[#This Row],[Order_Date]],"YYYY-MM")</f>
        <v>2023-06</v>
      </c>
    </row>
    <row r="218" spans="1:29">
      <c r="A218" t="s">
        <v>910</v>
      </c>
      <c r="B218" s="1">
        <v>45171</v>
      </c>
      <c r="C218" t="s">
        <v>911</v>
      </c>
      <c r="D218" t="s">
        <v>912</v>
      </c>
      <c r="E218">
        <v>157</v>
      </c>
      <c r="F218" t="s">
        <v>913</v>
      </c>
      <c r="G218">
        <v>157</v>
      </c>
      <c r="H218">
        <v>376.38049999999998</v>
      </c>
      <c r="N218">
        <v>376.38049999999998</v>
      </c>
      <c r="O218" s="1">
        <v>44984</v>
      </c>
      <c r="P218">
        <f>IF(ISBLANK(ReconciliationData[[#This Row],[Invoice_ID]]),1,0)</f>
        <v>0</v>
      </c>
      <c r="Q218">
        <f>IF(AND(NOT(ISBLANK(ReconciliationData[[#This Row],[Billed_Units]])),ReconciliationData[[#This Row],[ordered_units]]&lt;&gt;ReconciliationData[[#This Row],[Billed_Units]]),1,0)</f>
        <v>0</v>
      </c>
      <c r="R2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">
        <f>IF(AND(NOT(ISBLANK(ReconciliationData[[#This Row],[Contract_Price]])),ReconciliationData[[#This Row],[Billed_Price]]&lt;&gt;ReconciliationData[[#This Row],[Contract_Price]]),1,0)</f>
        <v>0</v>
      </c>
      <c r="T218">
        <f>IF(AND(NOT(ISBLANK(ReconciliationData[[#This Row],[End_Date]])),ReconciliationData[[#This Row],[Order_Date]]&gt;ReconciliationData[[#This Row],[End_Date]]),1,0)</f>
        <v>0</v>
      </c>
      <c r="U218">
        <f>IF(AND(NOT(ISBLANK(ReconciliationData[[#This Row],[last_return_date]])),ReconciliationData[[#This Row],[last_return_date]]&gt;ReconciliationData[[#This Row],[Order_Date]]+60),1,0)</f>
        <v>0</v>
      </c>
      <c r="V218">
        <f>IF(ReconciliationData[[#This Row],[total_returned_units]]&gt;ReconciliationData[[#This Row],[ordered_units]],1,0)</f>
        <v>0</v>
      </c>
      <c r="W2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8">
        <f>ReconciliationData[[#This Row],[Billed_Units]]*ReconciliationData[[#This Row],[Billed_Price]]</f>
        <v>59091.738499999999</v>
      </c>
      <c r="Y218">
        <f>ReconciliationData[[#This Row],[ordered_units]]*ReconciliationData[[#This Row],[List_Price]]</f>
        <v>59091.738499999999</v>
      </c>
      <c r="Z218">
        <f>ReconciliationData[[#This Row],[billed_revenue]]-ReconciliationData[[#This Row],[expected_revenue]]</f>
        <v>0</v>
      </c>
      <c r="AA2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8" t="str">
        <f>IF(ReconciliationData[[#This Row],[severity_score]]=0,"LOW",
 IF(ReconciliationData[[#This Row],[severity_score]]&lt;=5,"MEDIUM","HIGH"))</f>
        <v>LOW</v>
      </c>
      <c r="AC218" t="str">
        <f>TEXT(ReconciliationData[[#This Row],[Order_Date]],"YYYY-MM")</f>
        <v>2023-09</v>
      </c>
    </row>
    <row r="219" spans="1:29">
      <c r="A219" t="s">
        <v>914</v>
      </c>
      <c r="B219" s="1">
        <v>45063</v>
      </c>
      <c r="C219" t="s">
        <v>915</v>
      </c>
      <c r="D219" t="s">
        <v>916</v>
      </c>
      <c r="E219">
        <v>52</v>
      </c>
      <c r="F219" t="s">
        <v>917</v>
      </c>
      <c r="G219">
        <v>52</v>
      </c>
      <c r="H219">
        <v>1158.2643</v>
      </c>
      <c r="N219">
        <v>1158.2643</v>
      </c>
      <c r="O219" s="1">
        <v>44771</v>
      </c>
      <c r="P219">
        <f>IF(ISBLANK(ReconciliationData[[#This Row],[Invoice_ID]]),1,0)</f>
        <v>0</v>
      </c>
      <c r="Q219">
        <f>IF(AND(NOT(ISBLANK(ReconciliationData[[#This Row],[Billed_Units]])),ReconciliationData[[#This Row],[ordered_units]]&lt;&gt;ReconciliationData[[#This Row],[Billed_Units]]),1,0)</f>
        <v>0</v>
      </c>
      <c r="R2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">
        <f>IF(AND(NOT(ISBLANK(ReconciliationData[[#This Row],[Contract_Price]])),ReconciliationData[[#This Row],[Billed_Price]]&lt;&gt;ReconciliationData[[#This Row],[Contract_Price]]),1,0)</f>
        <v>0</v>
      </c>
      <c r="T219">
        <f>IF(AND(NOT(ISBLANK(ReconciliationData[[#This Row],[End_Date]])),ReconciliationData[[#This Row],[Order_Date]]&gt;ReconciliationData[[#This Row],[End_Date]]),1,0)</f>
        <v>0</v>
      </c>
      <c r="U219">
        <f>IF(AND(NOT(ISBLANK(ReconciliationData[[#This Row],[last_return_date]])),ReconciliationData[[#This Row],[last_return_date]]&gt;ReconciliationData[[#This Row],[Order_Date]]+60),1,0)</f>
        <v>0</v>
      </c>
      <c r="V219">
        <f>IF(ReconciliationData[[#This Row],[total_returned_units]]&gt;ReconciliationData[[#This Row],[ordered_units]],1,0)</f>
        <v>0</v>
      </c>
      <c r="W2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9">
        <f>ReconciliationData[[#This Row],[Billed_Units]]*ReconciliationData[[#This Row],[Billed_Price]]</f>
        <v>60229.743600000002</v>
      </c>
      <c r="Y219">
        <f>ReconciliationData[[#This Row],[ordered_units]]*ReconciliationData[[#This Row],[List_Price]]</f>
        <v>60229.743600000002</v>
      </c>
      <c r="Z219">
        <f>ReconciliationData[[#This Row],[billed_revenue]]-ReconciliationData[[#This Row],[expected_revenue]]</f>
        <v>0</v>
      </c>
      <c r="AA2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9" t="str">
        <f>IF(ReconciliationData[[#This Row],[severity_score]]=0,"LOW",
 IF(ReconciliationData[[#This Row],[severity_score]]&lt;=5,"MEDIUM","HIGH"))</f>
        <v>LOW</v>
      </c>
      <c r="AC219" t="str">
        <f>TEXT(ReconciliationData[[#This Row],[Order_Date]],"YYYY-MM")</f>
        <v>2023-05</v>
      </c>
    </row>
    <row r="220" spans="1:29">
      <c r="A220" t="s">
        <v>918</v>
      </c>
      <c r="B220" s="1">
        <v>45131</v>
      </c>
      <c r="C220" t="s">
        <v>919</v>
      </c>
      <c r="D220" t="s">
        <v>658</v>
      </c>
      <c r="E220">
        <v>57</v>
      </c>
      <c r="F220" t="s">
        <v>920</v>
      </c>
      <c r="G220">
        <v>57</v>
      </c>
      <c r="H220">
        <v>88.578000000000003</v>
      </c>
      <c r="N220">
        <v>88.578000000000003</v>
      </c>
      <c r="O220" s="1">
        <v>45107</v>
      </c>
      <c r="P220">
        <f>IF(ISBLANK(ReconciliationData[[#This Row],[Invoice_ID]]),1,0)</f>
        <v>0</v>
      </c>
      <c r="Q220">
        <f>IF(AND(NOT(ISBLANK(ReconciliationData[[#This Row],[Billed_Units]])),ReconciliationData[[#This Row],[ordered_units]]&lt;&gt;ReconciliationData[[#This Row],[Billed_Units]]),1,0)</f>
        <v>0</v>
      </c>
      <c r="R2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0">
        <f>IF(AND(NOT(ISBLANK(ReconciliationData[[#This Row],[Contract_Price]])),ReconciliationData[[#This Row],[Billed_Price]]&lt;&gt;ReconciliationData[[#This Row],[Contract_Price]]),1,0)</f>
        <v>0</v>
      </c>
      <c r="T220">
        <f>IF(AND(NOT(ISBLANK(ReconciliationData[[#This Row],[End_Date]])),ReconciliationData[[#This Row],[Order_Date]]&gt;ReconciliationData[[#This Row],[End_Date]]),1,0)</f>
        <v>0</v>
      </c>
      <c r="U220">
        <f>IF(AND(NOT(ISBLANK(ReconciliationData[[#This Row],[last_return_date]])),ReconciliationData[[#This Row],[last_return_date]]&gt;ReconciliationData[[#This Row],[Order_Date]]+60),1,0)</f>
        <v>0</v>
      </c>
      <c r="V220">
        <f>IF(ReconciliationData[[#This Row],[total_returned_units]]&gt;ReconciliationData[[#This Row],[ordered_units]],1,0)</f>
        <v>0</v>
      </c>
      <c r="W2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0">
        <f>ReconciliationData[[#This Row],[Billed_Units]]*ReconciliationData[[#This Row],[Billed_Price]]</f>
        <v>5048.9459999999999</v>
      </c>
      <c r="Y220">
        <f>ReconciliationData[[#This Row],[ordered_units]]*ReconciliationData[[#This Row],[List_Price]]</f>
        <v>5048.9459999999999</v>
      </c>
      <c r="Z220">
        <f>ReconciliationData[[#This Row],[billed_revenue]]-ReconciliationData[[#This Row],[expected_revenue]]</f>
        <v>0</v>
      </c>
      <c r="AA2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0" t="str">
        <f>IF(ReconciliationData[[#This Row],[severity_score]]=0,"LOW",
 IF(ReconciliationData[[#This Row],[severity_score]]&lt;=5,"MEDIUM","HIGH"))</f>
        <v>LOW</v>
      </c>
      <c r="AC220" t="str">
        <f>TEXT(ReconciliationData[[#This Row],[Order_Date]],"YYYY-MM")</f>
        <v>2023-07</v>
      </c>
    </row>
    <row r="221" spans="1:29">
      <c r="A221" t="s">
        <v>921</v>
      </c>
      <c r="B221" s="1">
        <v>45575</v>
      </c>
      <c r="C221" t="s">
        <v>922</v>
      </c>
      <c r="D221" t="s">
        <v>923</v>
      </c>
      <c r="E221">
        <v>47</v>
      </c>
      <c r="F221" t="s">
        <v>924</v>
      </c>
      <c r="G221">
        <v>47</v>
      </c>
      <c r="H221">
        <v>754.20799999999997</v>
      </c>
      <c r="N221">
        <v>754.20799999999997</v>
      </c>
      <c r="O221" s="1">
        <v>45069</v>
      </c>
      <c r="P221">
        <f>IF(ISBLANK(ReconciliationData[[#This Row],[Invoice_ID]]),1,0)</f>
        <v>0</v>
      </c>
      <c r="Q221">
        <f>IF(AND(NOT(ISBLANK(ReconciliationData[[#This Row],[Billed_Units]])),ReconciliationData[[#This Row],[ordered_units]]&lt;&gt;ReconciliationData[[#This Row],[Billed_Units]]),1,0)</f>
        <v>0</v>
      </c>
      <c r="R2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">
        <f>IF(AND(NOT(ISBLANK(ReconciliationData[[#This Row],[Contract_Price]])),ReconciliationData[[#This Row],[Billed_Price]]&lt;&gt;ReconciliationData[[#This Row],[Contract_Price]]),1,0)</f>
        <v>0</v>
      </c>
      <c r="T221">
        <f>IF(AND(NOT(ISBLANK(ReconciliationData[[#This Row],[End_Date]])),ReconciliationData[[#This Row],[Order_Date]]&gt;ReconciliationData[[#This Row],[End_Date]]),1,0)</f>
        <v>0</v>
      </c>
      <c r="U221">
        <f>IF(AND(NOT(ISBLANK(ReconciliationData[[#This Row],[last_return_date]])),ReconciliationData[[#This Row],[last_return_date]]&gt;ReconciliationData[[#This Row],[Order_Date]]+60),1,0)</f>
        <v>0</v>
      </c>
      <c r="V221">
        <f>IF(ReconciliationData[[#This Row],[total_returned_units]]&gt;ReconciliationData[[#This Row],[ordered_units]],1,0)</f>
        <v>0</v>
      </c>
      <c r="W2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1">
        <f>ReconciliationData[[#This Row],[Billed_Units]]*ReconciliationData[[#This Row],[Billed_Price]]</f>
        <v>35447.775999999998</v>
      </c>
      <c r="Y221">
        <f>ReconciliationData[[#This Row],[ordered_units]]*ReconciliationData[[#This Row],[List_Price]]</f>
        <v>35447.775999999998</v>
      </c>
      <c r="Z221">
        <f>ReconciliationData[[#This Row],[billed_revenue]]-ReconciliationData[[#This Row],[expected_revenue]]</f>
        <v>0</v>
      </c>
      <c r="AA2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1" t="str">
        <f>IF(ReconciliationData[[#This Row],[severity_score]]=0,"LOW",
 IF(ReconciliationData[[#This Row],[severity_score]]&lt;=5,"MEDIUM","HIGH"))</f>
        <v>LOW</v>
      </c>
      <c r="AC221" t="str">
        <f>TEXT(ReconciliationData[[#This Row],[Order_Date]],"YYYY-MM")</f>
        <v>2024-10</v>
      </c>
    </row>
    <row r="222" spans="1:29">
      <c r="A222" t="s">
        <v>925</v>
      </c>
      <c r="B222" s="1">
        <v>45624</v>
      </c>
      <c r="C222" t="s">
        <v>926</v>
      </c>
      <c r="D222" t="s">
        <v>707</v>
      </c>
      <c r="E222">
        <v>93</v>
      </c>
      <c r="F222" t="s">
        <v>927</v>
      </c>
      <c r="G222">
        <v>93</v>
      </c>
      <c r="H222">
        <v>381.97550000000001</v>
      </c>
      <c r="N222">
        <v>381.97550000000001</v>
      </c>
      <c r="O222" s="1">
        <v>45065</v>
      </c>
      <c r="P222">
        <f>IF(ISBLANK(ReconciliationData[[#This Row],[Invoice_ID]]),1,0)</f>
        <v>0</v>
      </c>
      <c r="Q222">
        <f>IF(AND(NOT(ISBLANK(ReconciliationData[[#This Row],[Billed_Units]])),ReconciliationData[[#This Row],[ordered_units]]&lt;&gt;ReconciliationData[[#This Row],[Billed_Units]]),1,0)</f>
        <v>0</v>
      </c>
      <c r="R2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2">
        <f>IF(AND(NOT(ISBLANK(ReconciliationData[[#This Row],[Contract_Price]])),ReconciliationData[[#This Row],[Billed_Price]]&lt;&gt;ReconciliationData[[#This Row],[Contract_Price]]),1,0)</f>
        <v>0</v>
      </c>
      <c r="T222">
        <f>IF(AND(NOT(ISBLANK(ReconciliationData[[#This Row],[End_Date]])),ReconciliationData[[#This Row],[Order_Date]]&gt;ReconciliationData[[#This Row],[End_Date]]),1,0)</f>
        <v>0</v>
      </c>
      <c r="U222">
        <f>IF(AND(NOT(ISBLANK(ReconciliationData[[#This Row],[last_return_date]])),ReconciliationData[[#This Row],[last_return_date]]&gt;ReconciliationData[[#This Row],[Order_Date]]+60),1,0)</f>
        <v>0</v>
      </c>
      <c r="V222">
        <f>IF(ReconciliationData[[#This Row],[total_returned_units]]&gt;ReconciliationData[[#This Row],[ordered_units]],1,0)</f>
        <v>0</v>
      </c>
      <c r="W2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2">
        <f>ReconciliationData[[#This Row],[Billed_Units]]*ReconciliationData[[#This Row],[Billed_Price]]</f>
        <v>35523.7215</v>
      </c>
      <c r="Y222">
        <f>ReconciliationData[[#This Row],[ordered_units]]*ReconciliationData[[#This Row],[List_Price]]</f>
        <v>35523.7215</v>
      </c>
      <c r="Z222">
        <f>ReconciliationData[[#This Row],[billed_revenue]]-ReconciliationData[[#This Row],[expected_revenue]]</f>
        <v>0</v>
      </c>
      <c r="AA2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2" t="str">
        <f>IF(ReconciliationData[[#This Row],[severity_score]]=0,"LOW",
 IF(ReconciliationData[[#This Row],[severity_score]]&lt;=5,"MEDIUM","HIGH"))</f>
        <v>LOW</v>
      </c>
      <c r="AC222" t="str">
        <f>TEXT(ReconciliationData[[#This Row],[Order_Date]],"YYYY-MM")</f>
        <v>2024-11</v>
      </c>
    </row>
    <row r="223" spans="1:29">
      <c r="A223" t="s">
        <v>928</v>
      </c>
      <c r="B223" s="1">
        <v>45201</v>
      </c>
      <c r="C223" t="s">
        <v>929</v>
      </c>
      <c r="D223" t="s">
        <v>930</v>
      </c>
      <c r="E223">
        <v>5</v>
      </c>
      <c r="F223" t="s">
        <v>931</v>
      </c>
      <c r="G223">
        <v>5</v>
      </c>
      <c r="H223">
        <v>159.06059999999999</v>
      </c>
      <c r="N223">
        <v>159.06059999999999</v>
      </c>
      <c r="O223" s="1">
        <v>44944</v>
      </c>
      <c r="P223">
        <f>IF(ISBLANK(ReconciliationData[[#This Row],[Invoice_ID]]),1,0)</f>
        <v>0</v>
      </c>
      <c r="Q223">
        <f>IF(AND(NOT(ISBLANK(ReconciliationData[[#This Row],[Billed_Units]])),ReconciliationData[[#This Row],[ordered_units]]&lt;&gt;ReconciliationData[[#This Row],[Billed_Units]]),1,0)</f>
        <v>0</v>
      </c>
      <c r="R2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">
        <f>IF(AND(NOT(ISBLANK(ReconciliationData[[#This Row],[Contract_Price]])),ReconciliationData[[#This Row],[Billed_Price]]&lt;&gt;ReconciliationData[[#This Row],[Contract_Price]]),1,0)</f>
        <v>0</v>
      </c>
      <c r="T223">
        <f>IF(AND(NOT(ISBLANK(ReconciliationData[[#This Row],[End_Date]])),ReconciliationData[[#This Row],[Order_Date]]&gt;ReconciliationData[[#This Row],[End_Date]]),1,0)</f>
        <v>0</v>
      </c>
      <c r="U223">
        <f>IF(AND(NOT(ISBLANK(ReconciliationData[[#This Row],[last_return_date]])),ReconciliationData[[#This Row],[last_return_date]]&gt;ReconciliationData[[#This Row],[Order_Date]]+60),1,0)</f>
        <v>0</v>
      </c>
      <c r="V223">
        <f>IF(ReconciliationData[[#This Row],[total_returned_units]]&gt;ReconciliationData[[#This Row],[ordered_units]],1,0)</f>
        <v>0</v>
      </c>
      <c r="W2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3">
        <f>ReconciliationData[[#This Row],[Billed_Units]]*ReconciliationData[[#This Row],[Billed_Price]]</f>
        <v>795.303</v>
      </c>
      <c r="Y223">
        <f>ReconciliationData[[#This Row],[ordered_units]]*ReconciliationData[[#This Row],[List_Price]]</f>
        <v>795.303</v>
      </c>
      <c r="Z223">
        <f>ReconciliationData[[#This Row],[billed_revenue]]-ReconciliationData[[#This Row],[expected_revenue]]</f>
        <v>0</v>
      </c>
      <c r="AA2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3" t="str">
        <f>IF(ReconciliationData[[#This Row],[severity_score]]=0,"LOW",
 IF(ReconciliationData[[#This Row],[severity_score]]&lt;=5,"MEDIUM","HIGH"))</f>
        <v>LOW</v>
      </c>
      <c r="AC223" t="str">
        <f>TEXT(ReconciliationData[[#This Row],[Order_Date]],"YYYY-MM")</f>
        <v>2023-10</v>
      </c>
    </row>
    <row r="224" spans="1:29">
      <c r="A224" t="s">
        <v>932</v>
      </c>
      <c r="B224" s="1">
        <v>45418</v>
      </c>
      <c r="C224" t="s">
        <v>933</v>
      </c>
      <c r="D224" t="s">
        <v>610</v>
      </c>
      <c r="E224">
        <v>121</v>
      </c>
      <c r="F224" t="s">
        <v>934</v>
      </c>
      <c r="G224">
        <v>121</v>
      </c>
      <c r="H224">
        <v>457.65019999999998</v>
      </c>
      <c r="N224">
        <v>457.65019999999998</v>
      </c>
      <c r="O224" s="1">
        <v>44950</v>
      </c>
      <c r="P224">
        <f>IF(ISBLANK(ReconciliationData[[#This Row],[Invoice_ID]]),1,0)</f>
        <v>0</v>
      </c>
      <c r="Q224">
        <f>IF(AND(NOT(ISBLANK(ReconciliationData[[#This Row],[Billed_Units]])),ReconciliationData[[#This Row],[ordered_units]]&lt;&gt;ReconciliationData[[#This Row],[Billed_Units]]),1,0)</f>
        <v>0</v>
      </c>
      <c r="R2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">
        <f>IF(AND(NOT(ISBLANK(ReconciliationData[[#This Row],[Contract_Price]])),ReconciliationData[[#This Row],[Billed_Price]]&lt;&gt;ReconciliationData[[#This Row],[Contract_Price]]),1,0)</f>
        <v>0</v>
      </c>
      <c r="T224">
        <f>IF(AND(NOT(ISBLANK(ReconciliationData[[#This Row],[End_Date]])),ReconciliationData[[#This Row],[Order_Date]]&gt;ReconciliationData[[#This Row],[End_Date]]),1,0)</f>
        <v>0</v>
      </c>
      <c r="U224">
        <f>IF(AND(NOT(ISBLANK(ReconciliationData[[#This Row],[last_return_date]])),ReconciliationData[[#This Row],[last_return_date]]&gt;ReconciliationData[[#This Row],[Order_Date]]+60),1,0)</f>
        <v>0</v>
      </c>
      <c r="V224">
        <f>IF(ReconciliationData[[#This Row],[total_returned_units]]&gt;ReconciliationData[[#This Row],[ordered_units]],1,0)</f>
        <v>0</v>
      </c>
      <c r="W2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4">
        <f>ReconciliationData[[#This Row],[Billed_Units]]*ReconciliationData[[#This Row],[Billed_Price]]</f>
        <v>55375.674200000001</v>
      </c>
      <c r="Y224">
        <f>ReconciliationData[[#This Row],[ordered_units]]*ReconciliationData[[#This Row],[List_Price]]</f>
        <v>55375.674200000001</v>
      </c>
      <c r="Z224">
        <f>ReconciliationData[[#This Row],[billed_revenue]]-ReconciliationData[[#This Row],[expected_revenue]]</f>
        <v>0</v>
      </c>
      <c r="AA2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4" t="str">
        <f>IF(ReconciliationData[[#This Row],[severity_score]]=0,"LOW",
 IF(ReconciliationData[[#This Row],[severity_score]]&lt;=5,"MEDIUM","HIGH"))</f>
        <v>LOW</v>
      </c>
      <c r="AC224" t="str">
        <f>TEXT(ReconciliationData[[#This Row],[Order_Date]],"YYYY-MM")</f>
        <v>2024-05</v>
      </c>
    </row>
    <row r="225" spans="1:29">
      <c r="A225" t="s">
        <v>935</v>
      </c>
      <c r="B225" s="1">
        <v>45259</v>
      </c>
      <c r="C225" t="s">
        <v>936</v>
      </c>
      <c r="D225" t="s">
        <v>937</v>
      </c>
      <c r="E225">
        <v>20</v>
      </c>
      <c r="F225" t="s">
        <v>938</v>
      </c>
      <c r="G225">
        <v>20</v>
      </c>
      <c r="H225">
        <v>419.71280000000002</v>
      </c>
      <c r="I225">
        <v>7</v>
      </c>
      <c r="J225" s="1">
        <v>45186</v>
      </c>
      <c r="N225">
        <v>419.71280000000002</v>
      </c>
      <c r="O225" s="1">
        <v>45214</v>
      </c>
      <c r="P225">
        <f>IF(ISBLANK(ReconciliationData[[#This Row],[Invoice_ID]]),1,0)</f>
        <v>0</v>
      </c>
      <c r="Q225">
        <f>IF(AND(NOT(ISBLANK(ReconciliationData[[#This Row],[Billed_Units]])),ReconciliationData[[#This Row],[ordered_units]]&lt;&gt;ReconciliationData[[#This Row],[Billed_Units]]),1,0)</f>
        <v>0</v>
      </c>
      <c r="R2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">
        <f>IF(AND(NOT(ISBLANK(ReconciliationData[[#This Row],[Contract_Price]])),ReconciliationData[[#This Row],[Billed_Price]]&lt;&gt;ReconciliationData[[#This Row],[Contract_Price]]),1,0)</f>
        <v>0</v>
      </c>
      <c r="T225">
        <f>IF(AND(NOT(ISBLANK(ReconciliationData[[#This Row],[End_Date]])),ReconciliationData[[#This Row],[Order_Date]]&gt;ReconciliationData[[#This Row],[End_Date]]),1,0)</f>
        <v>0</v>
      </c>
      <c r="U225">
        <f>IF(AND(NOT(ISBLANK(ReconciliationData[[#This Row],[last_return_date]])),ReconciliationData[[#This Row],[last_return_date]]&gt;ReconciliationData[[#This Row],[Order_Date]]+60),1,0)</f>
        <v>0</v>
      </c>
      <c r="V225">
        <f>IF(ReconciliationData[[#This Row],[total_returned_units]]&gt;ReconciliationData[[#This Row],[ordered_units]],1,0)</f>
        <v>0</v>
      </c>
      <c r="W2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">
        <f>ReconciliationData[[#This Row],[Billed_Units]]*ReconciliationData[[#This Row],[Billed_Price]]</f>
        <v>8394.2560000000012</v>
      </c>
      <c r="Y225">
        <f>ReconciliationData[[#This Row],[ordered_units]]*ReconciliationData[[#This Row],[List_Price]]</f>
        <v>8394.2560000000012</v>
      </c>
      <c r="Z225">
        <f>ReconciliationData[[#This Row],[billed_revenue]]-ReconciliationData[[#This Row],[expected_revenue]]</f>
        <v>0</v>
      </c>
      <c r="AA2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" t="str">
        <f>IF(ReconciliationData[[#This Row],[severity_score]]=0,"LOW",
 IF(ReconciliationData[[#This Row],[severity_score]]&lt;=5,"MEDIUM","HIGH"))</f>
        <v>LOW</v>
      </c>
      <c r="AC225" t="str">
        <f>TEXT(ReconciliationData[[#This Row],[Order_Date]],"YYYY-MM")</f>
        <v>2023-11</v>
      </c>
    </row>
    <row r="226" spans="1:29">
      <c r="A226" t="s">
        <v>939</v>
      </c>
      <c r="B226" s="1">
        <v>44990</v>
      </c>
      <c r="C226" t="s">
        <v>940</v>
      </c>
      <c r="D226" t="s">
        <v>317</v>
      </c>
      <c r="E226">
        <v>122</v>
      </c>
      <c r="F226" t="s">
        <v>941</v>
      </c>
      <c r="G226">
        <v>122</v>
      </c>
      <c r="H226">
        <v>1015.6622</v>
      </c>
      <c r="I226">
        <v>20</v>
      </c>
      <c r="J226" s="1">
        <v>45437</v>
      </c>
      <c r="N226">
        <v>1015.6622</v>
      </c>
      <c r="O226" s="1">
        <v>44797</v>
      </c>
      <c r="P226">
        <f>IF(ISBLANK(ReconciliationData[[#This Row],[Invoice_ID]]),1,0)</f>
        <v>0</v>
      </c>
      <c r="Q226">
        <f>IF(AND(NOT(ISBLANK(ReconciliationData[[#This Row],[Billed_Units]])),ReconciliationData[[#This Row],[ordered_units]]&lt;&gt;ReconciliationData[[#This Row],[Billed_Units]]),1,0)</f>
        <v>0</v>
      </c>
      <c r="R2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6">
        <f>IF(AND(NOT(ISBLANK(ReconciliationData[[#This Row],[Contract_Price]])),ReconciliationData[[#This Row],[Billed_Price]]&lt;&gt;ReconciliationData[[#This Row],[Contract_Price]]),1,0)</f>
        <v>0</v>
      </c>
      <c r="T226">
        <f>IF(AND(NOT(ISBLANK(ReconciliationData[[#This Row],[End_Date]])),ReconciliationData[[#This Row],[Order_Date]]&gt;ReconciliationData[[#This Row],[End_Date]]),1,0)</f>
        <v>0</v>
      </c>
      <c r="U226">
        <f>IF(AND(NOT(ISBLANK(ReconciliationData[[#This Row],[last_return_date]])),ReconciliationData[[#This Row],[last_return_date]]&gt;ReconciliationData[[#This Row],[Order_Date]]+60),1,0)</f>
        <v>1</v>
      </c>
      <c r="V226">
        <f>IF(ReconciliationData[[#This Row],[total_returned_units]]&gt;ReconciliationData[[#This Row],[ordered_units]],1,0)</f>
        <v>0</v>
      </c>
      <c r="W2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6">
        <f>ReconciliationData[[#This Row],[Billed_Units]]*ReconciliationData[[#This Row],[Billed_Price]]</f>
        <v>123910.7884</v>
      </c>
      <c r="Y226">
        <f>ReconciliationData[[#This Row],[ordered_units]]*ReconciliationData[[#This Row],[List_Price]]</f>
        <v>123910.7884</v>
      </c>
      <c r="Z226">
        <f>ReconciliationData[[#This Row],[billed_revenue]]-ReconciliationData[[#This Row],[expected_revenue]]</f>
        <v>0</v>
      </c>
      <c r="AA2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26" t="str">
        <f>IF(ReconciliationData[[#This Row],[severity_score]]=0,"LOW",
 IF(ReconciliationData[[#This Row],[severity_score]]&lt;=5,"MEDIUM","HIGH"))</f>
        <v>MEDIUM</v>
      </c>
      <c r="AC226" t="str">
        <f>TEXT(ReconciliationData[[#This Row],[Order_Date]],"YYYY-MM")</f>
        <v>2023-03</v>
      </c>
    </row>
    <row r="227" spans="1:29">
      <c r="A227" t="s">
        <v>942</v>
      </c>
      <c r="B227" s="1">
        <v>45160</v>
      </c>
      <c r="C227" t="s">
        <v>943</v>
      </c>
      <c r="D227" t="s">
        <v>944</v>
      </c>
      <c r="E227">
        <v>114</v>
      </c>
      <c r="F227" t="s">
        <v>945</v>
      </c>
      <c r="G227">
        <v>114</v>
      </c>
      <c r="H227">
        <v>1016.7027</v>
      </c>
      <c r="N227">
        <v>1016.7027</v>
      </c>
      <c r="O227" s="1">
        <v>44955</v>
      </c>
      <c r="P227">
        <f>IF(ISBLANK(ReconciliationData[[#This Row],[Invoice_ID]]),1,0)</f>
        <v>0</v>
      </c>
      <c r="Q227">
        <f>IF(AND(NOT(ISBLANK(ReconciliationData[[#This Row],[Billed_Units]])),ReconciliationData[[#This Row],[ordered_units]]&lt;&gt;ReconciliationData[[#This Row],[Billed_Units]]),1,0)</f>
        <v>0</v>
      </c>
      <c r="R2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">
        <f>IF(AND(NOT(ISBLANK(ReconciliationData[[#This Row],[Contract_Price]])),ReconciliationData[[#This Row],[Billed_Price]]&lt;&gt;ReconciliationData[[#This Row],[Contract_Price]]),1,0)</f>
        <v>0</v>
      </c>
      <c r="T227">
        <f>IF(AND(NOT(ISBLANK(ReconciliationData[[#This Row],[End_Date]])),ReconciliationData[[#This Row],[Order_Date]]&gt;ReconciliationData[[#This Row],[End_Date]]),1,0)</f>
        <v>0</v>
      </c>
      <c r="U227">
        <f>IF(AND(NOT(ISBLANK(ReconciliationData[[#This Row],[last_return_date]])),ReconciliationData[[#This Row],[last_return_date]]&gt;ReconciliationData[[#This Row],[Order_Date]]+60),1,0)</f>
        <v>0</v>
      </c>
      <c r="V227">
        <f>IF(ReconciliationData[[#This Row],[total_returned_units]]&gt;ReconciliationData[[#This Row],[ordered_units]],1,0)</f>
        <v>0</v>
      </c>
      <c r="W2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7">
        <f>ReconciliationData[[#This Row],[Billed_Units]]*ReconciliationData[[#This Row],[Billed_Price]]</f>
        <v>115904.10780000001</v>
      </c>
      <c r="Y227">
        <f>ReconciliationData[[#This Row],[ordered_units]]*ReconciliationData[[#This Row],[List_Price]]</f>
        <v>115904.10780000001</v>
      </c>
      <c r="Z227">
        <f>ReconciliationData[[#This Row],[billed_revenue]]-ReconciliationData[[#This Row],[expected_revenue]]</f>
        <v>0</v>
      </c>
      <c r="AA2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7" t="str">
        <f>IF(ReconciliationData[[#This Row],[severity_score]]=0,"LOW",
 IF(ReconciliationData[[#This Row],[severity_score]]&lt;=5,"MEDIUM","HIGH"))</f>
        <v>LOW</v>
      </c>
      <c r="AC227" t="str">
        <f>TEXT(ReconciliationData[[#This Row],[Order_Date]],"YYYY-MM")</f>
        <v>2023-08</v>
      </c>
    </row>
    <row r="228" spans="1:29">
      <c r="A228" t="s">
        <v>946</v>
      </c>
      <c r="B228" s="1">
        <v>45546</v>
      </c>
      <c r="C228" t="s">
        <v>947</v>
      </c>
      <c r="D228" t="s">
        <v>287</v>
      </c>
      <c r="E228">
        <v>173</v>
      </c>
      <c r="F228" t="s">
        <v>948</v>
      </c>
      <c r="G228">
        <v>173</v>
      </c>
      <c r="H228">
        <v>637.18399999999997</v>
      </c>
      <c r="N228">
        <v>637.18399999999997</v>
      </c>
      <c r="O228" s="1">
        <v>45175</v>
      </c>
      <c r="P228">
        <f>IF(ISBLANK(ReconciliationData[[#This Row],[Invoice_ID]]),1,0)</f>
        <v>0</v>
      </c>
      <c r="Q228">
        <f>IF(AND(NOT(ISBLANK(ReconciliationData[[#This Row],[Billed_Units]])),ReconciliationData[[#This Row],[ordered_units]]&lt;&gt;ReconciliationData[[#This Row],[Billed_Units]]),1,0)</f>
        <v>0</v>
      </c>
      <c r="R2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">
        <f>IF(AND(NOT(ISBLANK(ReconciliationData[[#This Row],[Contract_Price]])),ReconciliationData[[#This Row],[Billed_Price]]&lt;&gt;ReconciliationData[[#This Row],[Contract_Price]]),1,0)</f>
        <v>0</v>
      </c>
      <c r="T228">
        <f>IF(AND(NOT(ISBLANK(ReconciliationData[[#This Row],[End_Date]])),ReconciliationData[[#This Row],[Order_Date]]&gt;ReconciliationData[[#This Row],[End_Date]]),1,0)</f>
        <v>0</v>
      </c>
      <c r="U228">
        <f>IF(AND(NOT(ISBLANK(ReconciliationData[[#This Row],[last_return_date]])),ReconciliationData[[#This Row],[last_return_date]]&gt;ReconciliationData[[#This Row],[Order_Date]]+60),1,0)</f>
        <v>0</v>
      </c>
      <c r="V228">
        <f>IF(ReconciliationData[[#This Row],[total_returned_units]]&gt;ReconciliationData[[#This Row],[ordered_units]],1,0)</f>
        <v>0</v>
      </c>
      <c r="W2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8">
        <f>ReconciliationData[[#This Row],[Billed_Units]]*ReconciliationData[[#This Row],[Billed_Price]]</f>
        <v>110232.83199999999</v>
      </c>
      <c r="Y228">
        <f>ReconciliationData[[#This Row],[ordered_units]]*ReconciliationData[[#This Row],[List_Price]]</f>
        <v>110232.83199999999</v>
      </c>
      <c r="Z228">
        <f>ReconciliationData[[#This Row],[billed_revenue]]-ReconciliationData[[#This Row],[expected_revenue]]</f>
        <v>0</v>
      </c>
      <c r="AA2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8" t="str">
        <f>IF(ReconciliationData[[#This Row],[severity_score]]=0,"LOW",
 IF(ReconciliationData[[#This Row],[severity_score]]&lt;=5,"MEDIUM","HIGH"))</f>
        <v>LOW</v>
      </c>
      <c r="AC228" t="str">
        <f>TEXT(ReconciliationData[[#This Row],[Order_Date]],"YYYY-MM")</f>
        <v>2024-09</v>
      </c>
    </row>
    <row r="229" spans="1:29">
      <c r="A229" t="s">
        <v>949</v>
      </c>
      <c r="B229" s="1">
        <v>45347</v>
      </c>
      <c r="C229" t="s">
        <v>950</v>
      </c>
      <c r="D229" t="s">
        <v>951</v>
      </c>
      <c r="E229">
        <v>160</v>
      </c>
      <c r="F229" t="s">
        <v>952</v>
      </c>
      <c r="G229">
        <v>160</v>
      </c>
      <c r="H229">
        <v>571.32999999999993</v>
      </c>
      <c r="N229">
        <v>571.32999999999993</v>
      </c>
      <c r="O229" s="1">
        <v>45206</v>
      </c>
      <c r="P229">
        <f>IF(ISBLANK(ReconciliationData[[#This Row],[Invoice_ID]]),1,0)</f>
        <v>0</v>
      </c>
      <c r="Q229">
        <f>IF(AND(NOT(ISBLANK(ReconciliationData[[#This Row],[Billed_Units]])),ReconciliationData[[#This Row],[ordered_units]]&lt;&gt;ReconciliationData[[#This Row],[Billed_Units]]),1,0)</f>
        <v>0</v>
      </c>
      <c r="R2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">
        <f>IF(AND(NOT(ISBLANK(ReconciliationData[[#This Row],[Contract_Price]])),ReconciliationData[[#This Row],[Billed_Price]]&lt;&gt;ReconciliationData[[#This Row],[Contract_Price]]),1,0)</f>
        <v>0</v>
      </c>
      <c r="T229">
        <f>IF(AND(NOT(ISBLANK(ReconciliationData[[#This Row],[End_Date]])),ReconciliationData[[#This Row],[Order_Date]]&gt;ReconciliationData[[#This Row],[End_Date]]),1,0)</f>
        <v>0</v>
      </c>
      <c r="U229">
        <f>IF(AND(NOT(ISBLANK(ReconciliationData[[#This Row],[last_return_date]])),ReconciliationData[[#This Row],[last_return_date]]&gt;ReconciliationData[[#This Row],[Order_Date]]+60),1,0)</f>
        <v>0</v>
      </c>
      <c r="V229">
        <f>IF(ReconciliationData[[#This Row],[total_returned_units]]&gt;ReconciliationData[[#This Row],[ordered_units]],1,0)</f>
        <v>0</v>
      </c>
      <c r="W2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">
        <f>ReconciliationData[[#This Row],[Billed_Units]]*ReconciliationData[[#This Row],[Billed_Price]]</f>
        <v>91412.799999999988</v>
      </c>
      <c r="Y229">
        <f>ReconciliationData[[#This Row],[ordered_units]]*ReconciliationData[[#This Row],[List_Price]]</f>
        <v>91412.799999999988</v>
      </c>
      <c r="Z229">
        <f>ReconciliationData[[#This Row],[billed_revenue]]-ReconciliationData[[#This Row],[expected_revenue]]</f>
        <v>0</v>
      </c>
      <c r="AA2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" t="str">
        <f>IF(ReconciliationData[[#This Row],[severity_score]]=0,"LOW",
 IF(ReconciliationData[[#This Row],[severity_score]]&lt;=5,"MEDIUM","HIGH"))</f>
        <v>LOW</v>
      </c>
      <c r="AC229" t="str">
        <f>TEXT(ReconciliationData[[#This Row],[Order_Date]],"YYYY-MM")</f>
        <v>2024-02</v>
      </c>
    </row>
    <row r="230" spans="1:29">
      <c r="A230" t="s">
        <v>953</v>
      </c>
      <c r="B230" s="1">
        <v>45524</v>
      </c>
      <c r="C230" t="s">
        <v>954</v>
      </c>
      <c r="D230" t="s">
        <v>239</v>
      </c>
      <c r="E230">
        <v>97</v>
      </c>
      <c r="F230" t="s">
        <v>955</v>
      </c>
      <c r="G230">
        <v>97</v>
      </c>
      <c r="H230">
        <v>1218.568</v>
      </c>
      <c r="N230">
        <v>1218.568</v>
      </c>
      <c r="O230" s="1">
        <v>45061</v>
      </c>
      <c r="P230">
        <f>IF(ISBLANK(ReconciliationData[[#This Row],[Invoice_ID]]),1,0)</f>
        <v>0</v>
      </c>
      <c r="Q230">
        <f>IF(AND(NOT(ISBLANK(ReconciliationData[[#This Row],[Billed_Units]])),ReconciliationData[[#This Row],[ordered_units]]&lt;&gt;ReconciliationData[[#This Row],[Billed_Units]]),1,0)</f>
        <v>0</v>
      </c>
      <c r="R2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">
        <f>IF(AND(NOT(ISBLANK(ReconciliationData[[#This Row],[Contract_Price]])),ReconciliationData[[#This Row],[Billed_Price]]&lt;&gt;ReconciliationData[[#This Row],[Contract_Price]]),1,0)</f>
        <v>0</v>
      </c>
      <c r="T230">
        <f>IF(AND(NOT(ISBLANK(ReconciliationData[[#This Row],[End_Date]])),ReconciliationData[[#This Row],[Order_Date]]&gt;ReconciliationData[[#This Row],[End_Date]]),1,0)</f>
        <v>0</v>
      </c>
      <c r="U230">
        <f>IF(AND(NOT(ISBLANK(ReconciliationData[[#This Row],[last_return_date]])),ReconciliationData[[#This Row],[last_return_date]]&gt;ReconciliationData[[#This Row],[Order_Date]]+60),1,0)</f>
        <v>0</v>
      </c>
      <c r="V230">
        <f>IF(ReconciliationData[[#This Row],[total_returned_units]]&gt;ReconciliationData[[#This Row],[ordered_units]],1,0)</f>
        <v>0</v>
      </c>
      <c r="W2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0">
        <f>ReconciliationData[[#This Row],[Billed_Units]]*ReconciliationData[[#This Row],[Billed_Price]]</f>
        <v>118201.09600000001</v>
      </c>
      <c r="Y230">
        <f>ReconciliationData[[#This Row],[ordered_units]]*ReconciliationData[[#This Row],[List_Price]]</f>
        <v>118201.09600000001</v>
      </c>
      <c r="Z230">
        <f>ReconciliationData[[#This Row],[billed_revenue]]-ReconciliationData[[#This Row],[expected_revenue]]</f>
        <v>0</v>
      </c>
      <c r="AA2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0" t="str">
        <f>IF(ReconciliationData[[#This Row],[severity_score]]=0,"LOW",
 IF(ReconciliationData[[#This Row],[severity_score]]&lt;=5,"MEDIUM","HIGH"))</f>
        <v>LOW</v>
      </c>
      <c r="AC230" t="str">
        <f>TEXT(ReconciliationData[[#This Row],[Order_Date]],"YYYY-MM")</f>
        <v>2024-08</v>
      </c>
    </row>
    <row r="231" spans="1:29">
      <c r="A231" t="s">
        <v>956</v>
      </c>
      <c r="B231" s="1">
        <v>45233</v>
      </c>
      <c r="C231" t="s">
        <v>957</v>
      </c>
      <c r="D231" t="s">
        <v>958</v>
      </c>
      <c r="E231">
        <v>129</v>
      </c>
      <c r="F231" t="s">
        <v>959</v>
      </c>
      <c r="G231">
        <v>129</v>
      </c>
      <c r="H231">
        <v>147.87150000000003</v>
      </c>
      <c r="N231">
        <v>147.87150000000003</v>
      </c>
      <c r="O231" s="1">
        <v>44972</v>
      </c>
      <c r="P231">
        <f>IF(ISBLANK(ReconciliationData[[#This Row],[Invoice_ID]]),1,0)</f>
        <v>0</v>
      </c>
      <c r="Q231">
        <f>IF(AND(NOT(ISBLANK(ReconciliationData[[#This Row],[Billed_Units]])),ReconciliationData[[#This Row],[ordered_units]]&lt;&gt;ReconciliationData[[#This Row],[Billed_Units]]),1,0)</f>
        <v>0</v>
      </c>
      <c r="R2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">
        <f>IF(AND(NOT(ISBLANK(ReconciliationData[[#This Row],[Contract_Price]])),ReconciliationData[[#This Row],[Billed_Price]]&lt;&gt;ReconciliationData[[#This Row],[Contract_Price]]),1,0)</f>
        <v>0</v>
      </c>
      <c r="T231">
        <f>IF(AND(NOT(ISBLANK(ReconciliationData[[#This Row],[End_Date]])),ReconciliationData[[#This Row],[Order_Date]]&gt;ReconciliationData[[#This Row],[End_Date]]),1,0)</f>
        <v>0</v>
      </c>
      <c r="U231">
        <f>IF(AND(NOT(ISBLANK(ReconciliationData[[#This Row],[last_return_date]])),ReconciliationData[[#This Row],[last_return_date]]&gt;ReconciliationData[[#This Row],[Order_Date]]+60),1,0)</f>
        <v>0</v>
      </c>
      <c r="V231">
        <f>IF(ReconciliationData[[#This Row],[total_returned_units]]&gt;ReconciliationData[[#This Row],[ordered_units]],1,0)</f>
        <v>0</v>
      </c>
      <c r="W2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1">
        <f>ReconciliationData[[#This Row],[Billed_Units]]*ReconciliationData[[#This Row],[Billed_Price]]</f>
        <v>19075.423500000004</v>
      </c>
      <c r="Y231">
        <f>ReconciliationData[[#This Row],[ordered_units]]*ReconciliationData[[#This Row],[List_Price]]</f>
        <v>19075.423500000004</v>
      </c>
      <c r="Z231">
        <f>ReconciliationData[[#This Row],[billed_revenue]]-ReconciliationData[[#This Row],[expected_revenue]]</f>
        <v>0</v>
      </c>
      <c r="AA2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1" t="str">
        <f>IF(ReconciliationData[[#This Row],[severity_score]]=0,"LOW",
 IF(ReconciliationData[[#This Row],[severity_score]]&lt;=5,"MEDIUM","HIGH"))</f>
        <v>LOW</v>
      </c>
      <c r="AC231" t="str">
        <f>TEXT(ReconciliationData[[#This Row],[Order_Date]],"YYYY-MM")</f>
        <v>2023-11</v>
      </c>
    </row>
    <row r="232" spans="1:29">
      <c r="A232" t="s">
        <v>960</v>
      </c>
      <c r="B232" s="1">
        <v>45397</v>
      </c>
      <c r="C232" t="s">
        <v>961</v>
      </c>
      <c r="D232" t="s">
        <v>962</v>
      </c>
      <c r="E232">
        <v>149</v>
      </c>
      <c r="F232" t="s">
        <v>963</v>
      </c>
      <c r="G232">
        <v>149</v>
      </c>
      <c r="H232">
        <v>709.52</v>
      </c>
      <c r="N232">
        <v>709.52</v>
      </c>
      <c r="O232" s="1">
        <v>44952</v>
      </c>
      <c r="P232">
        <f>IF(ISBLANK(ReconciliationData[[#This Row],[Invoice_ID]]),1,0)</f>
        <v>0</v>
      </c>
      <c r="Q232">
        <f>IF(AND(NOT(ISBLANK(ReconciliationData[[#This Row],[Billed_Units]])),ReconciliationData[[#This Row],[ordered_units]]&lt;&gt;ReconciliationData[[#This Row],[Billed_Units]]),1,0)</f>
        <v>0</v>
      </c>
      <c r="R2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">
        <f>IF(AND(NOT(ISBLANK(ReconciliationData[[#This Row],[Contract_Price]])),ReconciliationData[[#This Row],[Billed_Price]]&lt;&gt;ReconciliationData[[#This Row],[Contract_Price]]),1,0)</f>
        <v>0</v>
      </c>
      <c r="T232">
        <f>IF(AND(NOT(ISBLANK(ReconciliationData[[#This Row],[End_Date]])),ReconciliationData[[#This Row],[Order_Date]]&gt;ReconciliationData[[#This Row],[End_Date]]),1,0)</f>
        <v>0</v>
      </c>
      <c r="U232">
        <f>IF(AND(NOT(ISBLANK(ReconciliationData[[#This Row],[last_return_date]])),ReconciliationData[[#This Row],[last_return_date]]&gt;ReconciliationData[[#This Row],[Order_Date]]+60),1,0)</f>
        <v>0</v>
      </c>
      <c r="V232">
        <f>IF(ReconciliationData[[#This Row],[total_returned_units]]&gt;ReconciliationData[[#This Row],[ordered_units]],1,0)</f>
        <v>0</v>
      </c>
      <c r="W2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">
        <f>ReconciliationData[[#This Row],[Billed_Units]]*ReconciliationData[[#This Row],[Billed_Price]]</f>
        <v>105718.48</v>
      </c>
      <c r="Y232">
        <f>ReconciliationData[[#This Row],[ordered_units]]*ReconciliationData[[#This Row],[List_Price]]</f>
        <v>105718.48</v>
      </c>
      <c r="Z232">
        <f>ReconciliationData[[#This Row],[billed_revenue]]-ReconciliationData[[#This Row],[expected_revenue]]</f>
        <v>0</v>
      </c>
      <c r="AA2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" t="str">
        <f>IF(ReconciliationData[[#This Row],[severity_score]]=0,"LOW",
 IF(ReconciliationData[[#This Row],[severity_score]]&lt;=5,"MEDIUM","HIGH"))</f>
        <v>LOW</v>
      </c>
      <c r="AC232" t="str">
        <f>TEXT(ReconciliationData[[#This Row],[Order_Date]],"YYYY-MM")</f>
        <v>2024-04</v>
      </c>
    </row>
    <row r="233" spans="1:29">
      <c r="A233" t="s">
        <v>964</v>
      </c>
      <c r="B233" s="1">
        <v>45549</v>
      </c>
      <c r="C233" t="s">
        <v>965</v>
      </c>
      <c r="D233" t="s">
        <v>624</v>
      </c>
      <c r="E233">
        <v>134</v>
      </c>
      <c r="F233" t="s">
        <v>966</v>
      </c>
      <c r="G233">
        <v>134</v>
      </c>
      <c r="H233">
        <v>147.17669999999998</v>
      </c>
      <c r="N233">
        <v>147.17669999999998</v>
      </c>
      <c r="O233" s="1">
        <v>45039</v>
      </c>
      <c r="P233">
        <f>IF(ISBLANK(ReconciliationData[[#This Row],[Invoice_ID]]),1,0)</f>
        <v>0</v>
      </c>
      <c r="Q233">
        <f>IF(AND(NOT(ISBLANK(ReconciliationData[[#This Row],[Billed_Units]])),ReconciliationData[[#This Row],[ordered_units]]&lt;&gt;ReconciliationData[[#This Row],[Billed_Units]]),1,0)</f>
        <v>0</v>
      </c>
      <c r="R2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">
        <f>IF(AND(NOT(ISBLANK(ReconciliationData[[#This Row],[Contract_Price]])),ReconciliationData[[#This Row],[Billed_Price]]&lt;&gt;ReconciliationData[[#This Row],[Contract_Price]]),1,0)</f>
        <v>0</v>
      </c>
      <c r="T233">
        <f>IF(AND(NOT(ISBLANK(ReconciliationData[[#This Row],[End_Date]])),ReconciliationData[[#This Row],[Order_Date]]&gt;ReconciliationData[[#This Row],[End_Date]]),1,0)</f>
        <v>0</v>
      </c>
      <c r="U233">
        <f>IF(AND(NOT(ISBLANK(ReconciliationData[[#This Row],[last_return_date]])),ReconciliationData[[#This Row],[last_return_date]]&gt;ReconciliationData[[#This Row],[Order_Date]]+60),1,0)</f>
        <v>0</v>
      </c>
      <c r="V233">
        <f>IF(ReconciliationData[[#This Row],[total_returned_units]]&gt;ReconciliationData[[#This Row],[ordered_units]],1,0)</f>
        <v>0</v>
      </c>
      <c r="W2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3">
        <f>ReconciliationData[[#This Row],[Billed_Units]]*ReconciliationData[[#This Row],[Billed_Price]]</f>
        <v>19721.677799999998</v>
      </c>
      <c r="Y233">
        <f>ReconciliationData[[#This Row],[ordered_units]]*ReconciliationData[[#This Row],[List_Price]]</f>
        <v>19721.677799999998</v>
      </c>
      <c r="Z233">
        <f>ReconciliationData[[#This Row],[billed_revenue]]-ReconciliationData[[#This Row],[expected_revenue]]</f>
        <v>0</v>
      </c>
      <c r="AA2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3" t="str">
        <f>IF(ReconciliationData[[#This Row],[severity_score]]=0,"LOW",
 IF(ReconciliationData[[#This Row],[severity_score]]&lt;=5,"MEDIUM","HIGH"))</f>
        <v>LOW</v>
      </c>
      <c r="AC233" t="str">
        <f>TEXT(ReconciliationData[[#This Row],[Order_Date]],"YYYY-MM")</f>
        <v>2024-09</v>
      </c>
    </row>
    <row r="234" spans="1:29">
      <c r="A234" t="s">
        <v>967</v>
      </c>
      <c r="B234" s="1">
        <v>45371</v>
      </c>
      <c r="C234" t="s">
        <v>968</v>
      </c>
      <c r="D234" t="s">
        <v>969</v>
      </c>
      <c r="E234">
        <v>9</v>
      </c>
      <c r="F234" t="s">
        <v>970</v>
      </c>
      <c r="G234">
        <v>9</v>
      </c>
      <c r="H234">
        <v>991.99</v>
      </c>
      <c r="N234">
        <v>991.99</v>
      </c>
      <c r="O234" s="1">
        <v>44976</v>
      </c>
      <c r="P234">
        <f>IF(ISBLANK(ReconciliationData[[#This Row],[Invoice_ID]]),1,0)</f>
        <v>0</v>
      </c>
      <c r="Q234">
        <f>IF(AND(NOT(ISBLANK(ReconciliationData[[#This Row],[Billed_Units]])),ReconciliationData[[#This Row],[ordered_units]]&lt;&gt;ReconciliationData[[#This Row],[Billed_Units]]),1,0)</f>
        <v>0</v>
      </c>
      <c r="R2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">
        <f>IF(AND(NOT(ISBLANK(ReconciliationData[[#This Row],[Contract_Price]])),ReconciliationData[[#This Row],[Billed_Price]]&lt;&gt;ReconciliationData[[#This Row],[Contract_Price]]),1,0)</f>
        <v>0</v>
      </c>
      <c r="T234">
        <f>IF(AND(NOT(ISBLANK(ReconciliationData[[#This Row],[End_Date]])),ReconciliationData[[#This Row],[Order_Date]]&gt;ReconciliationData[[#This Row],[End_Date]]),1,0)</f>
        <v>0</v>
      </c>
      <c r="U234">
        <f>IF(AND(NOT(ISBLANK(ReconciliationData[[#This Row],[last_return_date]])),ReconciliationData[[#This Row],[last_return_date]]&gt;ReconciliationData[[#This Row],[Order_Date]]+60),1,0)</f>
        <v>0</v>
      </c>
      <c r="V234">
        <f>IF(ReconciliationData[[#This Row],[total_returned_units]]&gt;ReconciliationData[[#This Row],[ordered_units]],1,0)</f>
        <v>0</v>
      </c>
      <c r="W2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4">
        <f>ReconciliationData[[#This Row],[Billed_Units]]*ReconciliationData[[#This Row],[Billed_Price]]</f>
        <v>8927.91</v>
      </c>
      <c r="Y234">
        <f>ReconciliationData[[#This Row],[ordered_units]]*ReconciliationData[[#This Row],[List_Price]]</f>
        <v>8927.91</v>
      </c>
      <c r="Z234">
        <f>ReconciliationData[[#This Row],[billed_revenue]]-ReconciliationData[[#This Row],[expected_revenue]]</f>
        <v>0</v>
      </c>
      <c r="AA2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4" t="str">
        <f>IF(ReconciliationData[[#This Row],[severity_score]]=0,"LOW",
 IF(ReconciliationData[[#This Row],[severity_score]]&lt;=5,"MEDIUM","HIGH"))</f>
        <v>LOW</v>
      </c>
      <c r="AC234" t="str">
        <f>TEXT(ReconciliationData[[#This Row],[Order_Date]],"YYYY-MM")</f>
        <v>2024-03</v>
      </c>
    </row>
    <row r="235" spans="1:29">
      <c r="A235" t="s">
        <v>971</v>
      </c>
      <c r="B235" s="1">
        <v>45609</v>
      </c>
      <c r="C235" t="s">
        <v>972</v>
      </c>
      <c r="D235" t="s">
        <v>973</v>
      </c>
      <c r="E235">
        <v>46</v>
      </c>
      <c r="F235" t="s">
        <v>974</v>
      </c>
      <c r="G235">
        <v>46</v>
      </c>
      <c r="H235">
        <v>156.39675125522808</v>
      </c>
      <c r="N235">
        <v>156.37459999999999</v>
      </c>
      <c r="O235" s="1">
        <v>45090</v>
      </c>
      <c r="P235">
        <f>IF(ISBLANK(ReconciliationData[[#This Row],[Invoice_ID]]),1,0)</f>
        <v>0</v>
      </c>
      <c r="Q235">
        <f>IF(AND(NOT(ISBLANK(ReconciliationData[[#This Row],[Billed_Units]])),ReconciliationData[[#This Row],[ordered_units]]&lt;&gt;ReconciliationData[[#This Row],[Billed_Units]]),1,0)</f>
        <v>0</v>
      </c>
      <c r="R23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35">
        <f>IF(AND(NOT(ISBLANK(ReconciliationData[[#This Row],[Contract_Price]])),ReconciliationData[[#This Row],[Billed_Price]]&lt;&gt;ReconciliationData[[#This Row],[Contract_Price]]),1,0)</f>
        <v>0</v>
      </c>
      <c r="T235">
        <f>IF(AND(NOT(ISBLANK(ReconciliationData[[#This Row],[End_Date]])),ReconciliationData[[#This Row],[Order_Date]]&gt;ReconciliationData[[#This Row],[End_Date]]),1,0)</f>
        <v>0</v>
      </c>
      <c r="U235">
        <f>IF(AND(NOT(ISBLANK(ReconciliationData[[#This Row],[last_return_date]])),ReconciliationData[[#This Row],[last_return_date]]&gt;ReconciliationData[[#This Row],[Order_Date]]+60),1,0)</f>
        <v>0</v>
      </c>
      <c r="V235">
        <f>IF(ReconciliationData[[#This Row],[total_returned_units]]&gt;ReconciliationData[[#This Row],[ordered_units]],1,0)</f>
        <v>0</v>
      </c>
      <c r="W2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5">
        <f>ReconciliationData[[#This Row],[Billed_Units]]*ReconciliationData[[#This Row],[Billed_Price]]</f>
        <v>7194.2505577404918</v>
      </c>
      <c r="Y235">
        <f>ReconciliationData[[#This Row],[ordered_units]]*ReconciliationData[[#This Row],[List_Price]]</f>
        <v>7193.2315999999992</v>
      </c>
      <c r="Z235">
        <f>ReconciliationData[[#This Row],[billed_revenue]]-ReconciliationData[[#This Row],[expected_revenue]]</f>
        <v>1.018957740492624</v>
      </c>
      <c r="AA2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35" t="str">
        <f>IF(ReconciliationData[[#This Row],[severity_score]]=0,"LOW",
 IF(ReconciliationData[[#This Row],[severity_score]]&lt;=5,"MEDIUM","HIGH"))</f>
        <v>MEDIUM</v>
      </c>
      <c r="AC235" t="str">
        <f>TEXT(ReconciliationData[[#This Row],[Order_Date]],"YYYY-MM")</f>
        <v>2024-11</v>
      </c>
    </row>
    <row r="236" spans="1:29">
      <c r="A236" t="s">
        <v>975</v>
      </c>
      <c r="B236" s="1">
        <v>45430</v>
      </c>
      <c r="C236" t="s">
        <v>957</v>
      </c>
      <c r="D236" t="s">
        <v>912</v>
      </c>
      <c r="E236">
        <v>9</v>
      </c>
      <c r="F236" t="s">
        <v>976</v>
      </c>
      <c r="G236">
        <v>9</v>
      </c>
      <c r="H236">
        <v>376.38049999999998</v>
      </c>
      <c r="N236">
        <v>376.38049999999998</v>
      </c>
      <c r="O236" s="1">
        <v>44984</v>
      </c>
      <c r="P236">
        <f>IF(ISBLANK(ReconciliationData[[#This Row],[Invoice_ID]]),1,0)</f>
        <v>0</v>
      </c>
      <c r="Q236">
        <f>IF(AND(NOT(ISBLANK(ReconciliationData[[#This Row],[Billed_Units]])),ReconciliationData[[#This Row],[ordered_units]]&lt;&gt;ReconciliationData[[#This Row],[Billed_Units]]),1,0)</f>
        <v>0</v>
      </c>
      <c r="R2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">
        <f>IF(AND(NOT(ISBLANK(ReconciliationData[[#This Row],[Contract_Price]])),ReconciliationData[[#This Row],[Billed_Price]]&lt;&gt;ReconciliationData[[#This Row],[Contract_Price]]),1,0)</f>
        <v>0</v>
      </c>
      <c r="T236">
        <f>IF(AND(NOT(ISBLANK(ReconciliationData[[#This Row],[End_Date]])),ReconciliationData[[#This Row],[Order_Date]]&gt;ReconciliationData[[#This Row],[End_Date]]),1,0)</f>
        <v>0</v>
      </c>
      <c r="U236">
        <f>IF(AND(NOT(ISBLANK(ReconciliationData[[#This Row],[last_return_date]])),ReconciliationData[[#This Row],[last_return_date]]&gt;ReconciliationData[[#This Row],[Order_Date]]+60),1,0)</f>
        <v>0</v>
      </c>
      <c r="V236">
        <f>IF(ReconciliationData[[#This Row],[total_returned_units]]&gt;ReconciliationData[[#This Row],[ordered_units]],1,0)</f>
        <v>0</v>
      </c>
      <c r="W2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">
        <f>ReconciliationData[[#This Row],[Billed_Units]]*ReconciliationData[[#This Row],[Billed_Price]]</f>
        <v>3387.4245000000001</v>
      </c>
      <c r="Y236">
        <f>ReconciliationData[[#This Row],[ordered_units]]*ReconciliationData[[#This Row],[List_Price]]</f>
        <v>3387.4245000000001</v>
      </c>
      <c r="Z236">
        <f>ReconciliationData[[#This Row],[billed_revenue]]-ReconciliationData[[#This Row],[expected_revenue]]</f>
        <v>0</v>
      </c>
      <c r="AA2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" t="str">
        <f>IF(ReconciliationData[[#This Row],[severity_score]]=0,"LOW",
 IF(ReconciliationData[[#This Row],[severity_score]]&lt;=5,"MEDIUM","HIGH"))</f>
        <v>LOW</v>
      </c>
      <c r="AC236" t="str">
        <f>TEXT(ReconciliationData[[#This Row],[Order_Date]],"YYYY-MM")</f>
        <v>2024-05</v>
      </c>
    </row>
    <row r="237" spans="1:29">
      <c r="A237" t="s">
        <v>977</v>
      </c>
      <c r="B237" s="1">
        <v>45276</v>
      </c>
      <c r="C237" t="s">
        <v>978</v>
      </c>
      <c r="D237" t="s">
        <v>275</v>
      </c>
      <c r="E237">
        <v>102</v>
      </c>
      <c r="F237" t="s">
        <v>979</v>
      </c>
      <c r="G237">
        <v>102</v>
      </c>
      <c r="H237">
        <v>397.19560000000001</v>
      </c>
      <c r="I237">
        <v>16</v>
      </c>
      <c r="J237" s="1">
        <v>45380</v>
      </c>
      <c r="N237">
        <v>397.19560000000001</v>
      </c>
      <c r="O237" s="1">
        <v>44932</v>
      </c>
      <c r="P237">
        <f>IF(ISBLANK(ReconciliationData[[#This Row],[Invoice_ID]]),1,0)</f>
        <v>0</v>
      </c>
      <c r="Q237">
        <f>IF(AND(NOT(ISBLANK(ReconciliationData[[#This Row],[Billed_Units]])),ReconciliationData[[#This Row],[ordered_units]]&lt;&gt;ReconciliationData[[#This Row],[Billed_Units]]),1,0)</f>
        <v>0</v>
      </c>
      <c r="R2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">
        <f>IF(AND(NOT(ISBLANK(ReconciliationData[[#This Row],[Contract_Price]])),ReconciliationData[[#This Row],[Billed_Price]]&lt;&gt;ReconciliationData[[#This Row],[Contract_Price]]),1,0)</f>
        <v>0</v>
      </c>
      <c r="T237">
        <f>IF(AND(NOT(ISBLANK(ReconciliationData[[#This Row],[End_Date]])),ReconciliationData[[#This Row],[Order_Date]]&gt;ReconciliationData[[#This Row],[End_Date]]),1,0)</f>
        <v>0</v>
      </c>
      <c r="U237">
        <f>IF(AND(NOT(ISBLANK(ReconciliationData[[#This Row],[last_return_date]])),ReconciliationData[[#This Row],[last_return_date]]&gt;ReconciliationData[[#This Row],[Order_Date]]+60),1,0)</f>
        <v>1</v>
      </c>
      <c r="V237">
        <f>IF(ReconciliationData[[#This Row],[total_returned_units]]&gt;ReconciliationData[[#This Row],[ordered_units]],1,0)</f>
        <v>0</v>
      </c>
      <c r="W2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7">
        <f>ReconciliationData[[#This Row],[Billed_Units]]*ReconciliationData[[#This Row],[Billed_Price]]</f>
        <v>40513.951200000003</v>
      </c>
      <c r="Y237">
        <f>ReconciliationData[[#This Row],[ordered_units]]*ReconciliationData[[#This Row],[List_Price]]</f>
        <v>40513.951200000003</v>
      </c>
      <c r="Z237">
        <f>ReconciliationData[[#This Row],[billed_revenue]]-ReconciliationData[[#This Row],[expected_revenue]]</f>
        <v>0</v>
      </c>
      <c r="AA2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37" t="str">
        <f>IF(ReconciliationData[[#This Row],[severity_score]]=0,"LOW",
 IF(ReconciliationData[[#This Row],[severity_score]]&lt;=5,"MEDIUM","HIGH"))</f>
        <v>MEDIUM</v>
      </c>
      <c r="AC237" t="str">
        <f>TEXT(ReconciliationData[[#This Row],[Order_Date]],"YYYY-MM")</f>
        <v>2023-12</v>
      </c>
    </row>
    <row r="238" spans="1:29">
      <c r="A238" t="s">
        <v>980</v>
      </c>
      <c r="B238" s="1">
        <v>45004</v>
      </c>
      <c r="C238" t="s">
        <v>559</v>
      </c>
      <c r="D238" t="s">
        <v>434</v>
      </c>
      <c r="E238">
        <v>181</v>
      </c>
      <c r="F238" t="s">
        <v>981</v>
      </c>
      <c r="G238">
        <v>181</v>
      </c>
      <c r="H238">
        <v>72.858600000000024</v>
      </c>
      <c r="N238">
        <v>72.858600000000024</v>
      </c>
      <c r="O238" s="1">
        <v>44882</v>
      </c>
      <c r="P238">
        <f>IF(ISBLANK(ReconciliationData[[#This Row],[Invoice_ID]]),1,0)</f>
        <v>0</v>
      </c>
      <c r="Q238">
        <f>IF(AND(NOT(ISBLANK(ReconciliationData[[#This Row],[Billed_Units]])),ReconciliationData[[#This Row],[ordered_units]]&lt;&gt;ReconciliationData[[#This Row],[Billed_Units]]),1,0)</f>
        <v>0</v>
      </c>
      <c r="R2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8">
        <f>IF(AND(NOT(ISBLANK(ReconciliationData[[#This Row],[Contract_Price]])),ReconciliationData[[#This Row],[Billed_Price]]&lt;&gt;ReconciliationData[[#This Row],[Contract_Price]]),1,0)</f>
        <v>0</v>
      </c>
      <c r="T238">
        <f>IF(AND(NOT(ISBLANK(ReconciliationData[[#This Row],[End_Date]])),ReconciliationData[[#This Row],[Order_Date]]&gt;ReconciliationData[[#This Row],[End_Date]]),1,0)</f>
        <v>0</v>
      </c>
      <c r="U238">
        <f>IF(AND(NOT(ISBLANK(ReconciliationData[[#This Row],[last_return_date]])),ReconciliationData[[#This Row],[last_return_date]]&gt;ReconciliationData[[#This Row],[Order_Date]]+60),1,0)</f>
        <v>0</v>
      </c>
      <c r="V238">
        <f>IF(ReconciliationData[[#This Row],[total_returned_units]]&gt;ReconciliationData[[#This Row],[ordered_units]],1,0)</f>
        <v>0</v>
      </c>
      <c r="W2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8">
        <f>ReconciliationData[[#This Row],[Billed_Units]]*ReconciliationData[[#This Row],[Billed_Price]]</f>
        <v>13187.406600000004</v>
      </c>
      <c r="Y238">
        <f>ReconciliationData[[#This Row],[ordered_units]]*ReconciliationData[[#This Row],[List_Price]]</f>
        <v>13187.406600000004</v>
      </c>
      <c r="Z238">
        <f>ReconciliationData[[#This Row],[billed_revenue]]-ReconciliationData[[#This Row],[expected_revenue]]</f>
        <v>0</v>
      </c>
      <c r="AA2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8" t="str">
        <f>IF(ReconciliationData[[#This Row],[severity_score]]=0,"LOW",
 IF(ReconciliationData[[#This Row],[severity_score]]&lt;=5,"MEDIUM","HIGH"))</f>
        <v>LOW</v>
      </c>
      <c r="AC238" t="str">
        <f>TEXT(ReconciliationData[[#This Row],[Order_Date]],"YYYY-MM")</f>
        <v>2023-03</v>
      </c>
    </row>
    <row r="239" spans="1:29">
      <c r="A239" t="s">
        <v>982</v>
      </c>
      <c r="B239" s="1">
        <v>45114</v>
      </c>
      <c r="C239" t="s">
        <v>559</v>
      </c>
      <c r="D239" t="s">
        <v>983</v>
      </c>
      <c r="E239">
        <v>152</v>
      </c>
      <c r="F239" t="s">
        <v>984</v>
      </c>
      <c r="G239">
        <v>152</v>
      </c>
      <c r="H239">
        <v>249.2424</v>
      </c>
      <c r="N239">
        <v>249.2424</v>
      </c>
      <c r="O239" s="1">
        <v>45006</v>
      </c>
      <c r="P239">
        <f>IF(ISBLANK(ReconciliationData[[#This Row],[Invoice_ID]]),1,0)</f>
        <v>0</v>
      </c>
      <c r="Q239">
        <f>IF(AND(NOT(ISBLANK(ReconciliationData[[#This Row],[Billed_Units]])),ReconciliationData[[#This Row],[ordered_units]]&lt;&gt;ReconciliationData[[#This Row],[Billed_Units]]),1,0)</f>
        <v>0</v>
      </c>
      <c r="R2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">
        <f>IF(AND(NOT(ISBLANK(ReconciliationData[[#This Row],[Contract_Price]])),ReconciliationData[[#This Row],[Billed_Price]]&lt;&gt;ReconciliationData[[#This Row],[Contract_Price]]),1,0)</f>
        <v>0</v>
      </c>
      <c r="T239">
        <f>IF(AND(NOT(ISBLANK(ReconciliationData[[#This Row],[End_Date]])),ReconciliationData[[#This Row],[Order_Date]]&gt;ReconciliationData[[#This Row],[End_Date]]),1,0)</f>
        <v>0</v>
      </c>
      <c r="U239">
        <f>IF(AND(NOT(ISBLANK(ReconciliationData[[#This Row],[last_return_date]])),ReconciliationData[[#This Row],[last_return_date]]&gt;ReconciliationData[[#This Row],[Order_Date]]+60),1,0)</f>
        <v>0</v>
      </c>
      <c r="V239">
        <f>IF(ReconciliationData[[#This Row],[total_returned_units]]&gt;ReconciliationData[[#This Row],[ordered_units]],1,0)</f>
        <v>0</v>
      </c>
      <c r="W2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9">
        <f>ReconciliationData[[#This Row],[Billed_Units]]*ReconciliationData[[#This Row],[Billed_Price]]</f>
        <v>37884.844799999999</v>
      </c>
      <c r="Y239">
        <f>ReconciliationData[[#This Row],[ordered_units]]*ReconciliationData[[#This Row],[List_Price]]</f>
        <v>37884.844799999999</v>
      </c>
      <c r="Z239">
        <f>ReconciliationData[[#This Row],[billed_revenue]]-ReconciliationData[[#This Row],[expected_revenue]]</f>
        <v>0</v>
      </c>
      <c r="AA2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9" t="str">
        <f>IF(ReconciliationData[[#This Row],[severity_score]]=0,"LOW",
 IF(ReconciliationData[[#This Row],[severity_score]]&lt;=5,"MEDIUM","HIGH"))</f>
        <v>LOW</v>
      </c>
      <c r="AC239" t="str">
        <f>TEXT(ReconciliationData[[#This Row],[Order_Date]],"YYYY-MM")</f>
        <v>2023-07</v>
      </c>
    </row>
    <row r="240" spans="1:29">
      <c r="A240" t="s">
        <v>985</v>
      </c>
      <c r="B240" s="1">
        <v>45167</v>
      </c>
      <c r="C240" t="s">
        <v>986</v>
      </c>
      <c r="D240" t="s">
        <v>987</v>
      </c>
      <c r="E240">
        <v>38</v>
      </c>
      <c r="F240" t="s">
        <v>988</v>
      </c>
      <c r="G240">
        <v>38</v>
      </c>
      <c r="H240">
        <v>232.3732</v>
      </c>
      <c r="N240">
        <v>232.3732</v>
      </c>
      <c r="O240" s="1">
        <v>45065</v>
      </c>
      <c r="P240">
        <f>IF(ISBLANK(ReconciliationData[[#This Row],[Invoice_ID]]),1,0)</f>
        <v>0</v>
      </c>
      <c r="Q240">
        <f>IF(AND(NOT(ISBLANK(ReconciliationData[[#This Row],[Billed_Units]])),ReconciliationData[[#This Row],[ordered_units]]&lt;&gt;ReconciliationData[[#This Row],[Billed_Units]]),1,0)</f>
        <v>0</v>
      </c>
      <c r="R2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">
        <f>IF(AND(NOT(ISBLANK(ReconciliationData[[#This Row],[Contract_Price]])),ReconciliationData[[#This Row],[Billed_Price]]&lt;&gt;ReconciliationData[[#This Row],[Contract_Price]]),1,0)</f>
        <v>0</v>
      </c>
      <c r="T240">
        <f>IF(AND(NOT(ISBLANK(ReconciliationData[[#This Row],[End_Date]])),ReconciliationData[[#This Row],[Order_Date]]&gt;ReconciliationData[[#This Row],[End_Date]]),1,0)</f>
        <v>0</v>
      </c>
      <c r="U240">
        <f>IF(AND(NOT(ISBLANK(ReconciliationData[[#This Row],[last_return_date]])),ReconciliationData[[#This Row],[last_return_date]]&gt;ReconciliationData[[#This Row],[Order_Date]]+60),1,0)</f>
        <v>0</v>
      </c>
      <c r="V240">
        <f>IF(ReconciliationData[[#This Row],[total_returned_units]]&gt;ReconciliationData[[#This Row],[ordered_units]],1,0)</f>
        <v>0</v>
      </c>
      <c r="W2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">
        <f>ReconciliationData[[#This Row],[Billed_Units]]*ReconciliationData[[#This Row],[Billed_Price]]</f>
        <v>8830.1815999999999</v>
      </c>
      <c r="Y240">
        <f>ReconciliationData[[#This Row],[ordered_units]]*ReconciliationData[[#This Row],[List_Price]]</f>
        <v>8830.1815999999999</v>
      </c>
      <c r="Z240">
        <f>ReconciliationData[[#This Row],[billed_revenue]]-ReconciliationData[[#This Row],[expected_revenue]]</f>
        <v>0</v>
      </c>
      <c r="AA2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" t="str">
        <f>IF(ReconciliationData[[#This Row],[severity_score]]=0,"LOW",
 IF(ReconciliationData[[#This Row],[severity_score]]&lt;=5,"MEDIUM","HIGH"))</f>
        <v>LOW</v>
      </c>
      <c r="AC240" t="str">
        <f>TEXT(ReconciliationData[[#This Row],[Order_Date]],"YYYY-MM")</f>
        <v>2023-08</v>
      </c>
    </row>
    <row r="241" spans="1:29">
      <c r="A241" t="s">
        <v>989</v>
      </c>
      <c r="B241" s="1">
        <v>45570</v>
      </c>
      <c r="C241" t="s">
        <v>990</v>
      </c>
      <c r="D241" t="s">
        <v>525</v>
      </c>
      <c r="E241">
        <v>26</v>
      </c>
      <c r="F241" t="s">
        <v>991</v>
      </c>
      <c r="G241">
        <v>26</v>
      </c>
      <c r="H241">
        <v>249.1748</v>
      </c>
      <c r="N241">
        <v>249.1748</v>
      </c>
      <c r="O241" s="1">
        <v>45141</v>
      </c>
      <c r="P241">
        <f>IF(ISBLANK(ReconciliationData[[#This Row],[Invoice_ID]]),1,0)</f>
        <v>0</v>
      </c>
      <c r="Q241">
        <f>IF(AND(NOT(ISBLANK(ReconciliationData[[#This Row],[Billed_Units]])),ReconciliationData[[#This Row],[ordered_units]]&lt;&gt;ReconciliationData[[#This Row],[Billed_Units]]),1,0)</f>
        <v>0</v>
      </c>
      <c r="R2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">
        <f>IF(AND(NOT(ISBLANK(ReconciliationData[[#This Row],[Contract_Price]])),ReconciliationData[[#This Row],[Billed_Price]]&lt;&gt;ReconciliationData[[#This Row],[Contract_Price]]),1,0)</f>
        <v>0</v>
      </c>
      <c r="T241">
        <f>IF(AND(NOT(ISBLANK(ReconciliationData[[#This Row],[End_Date]])),ReconciliationData[[#This Row],[Order_Date]]&gt;ReconciliationData[[#This Row],[End_Date]]),1,0)</f>
        <v>0</v>
      </c>
      <c r="U241">
        <f>IF(AND(NOT(ISBLANK(ReconciliationData[[#This Row],[last_return_date]])),ReconciliationData[[#This Row],[last_return_date]]&gt;ReconciliationData[[#This Row],[Order_Date]]+60),1,0)</f>
        <v>0</v>
      </c>
      <c r="V241">
        <f>IF(ReconciliationData[[#This Row],[total_returned_units]]&gt;ReconciliationData[[#This Row],[ordered_units]],1,0)</f>
        <v>0</v>
      </c>
      <c r="W2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">
        <f>ReconciliationData[[#This Row],[Billed_Units]]*ReconciliationData[[#This Row],[Billed_Price]]</f>
        <v>6478.5447999999997</v>
      </c>
      <c r="Y241">
        <f>ReconciliationData[[#This Row],[ordered_units]]*ReconciliationData[[#This Row],[List_Price]]</f>
        <v>6478.5447999999997</v>
      </c>
      <c r="Z241">
        <f>ReconciliationData[[#This Row],[billed_revenue]]-ReconciliationData[[#This Row],[expected_revenue]]</f>
        <v>0</v>
      </c>
      <c r="AA2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" t="str">
        <f>IF(ReconciliationData[[#This Row],[severity_score]]=0,"LOW",
 IF(ReconciliationData[[#This Row],[severity_score]]&lt;=5,"MEDIUM","HIGH"))</f>
        <v>LOW</v>
      </c>
      <c r="AC241" t="str">
        <f>TEXT(ReconciliationData[[#This Row],[Order_Date]],"YYYY-MM")</f>
        <v>2024-10</v>
      </c>
    </row>
    <row r="242" spans="1:29">
      <c r="A242" t="s">
        <v>992</v>
      </c>
      <c r="B242" s="1">
        <v>45375</v>
      </c>
      <c r="C242" t="s">
        <v>993</v>
      </c>
      <c r="D242" t="s">
        <v>789</v>
      </c>
      <c r="E242">
        <v>143</v>
      </c>
      <c r="F242" t="s">
        <v>994</v>
      </c>
      <c r="G242">
        <v>143</v>
      </c>
      <c r="H242">
        <v>1026.4637</v>
      </c>
      <c r="N242">
        <v>1026.4637</v>
      </c>
      <c r="O242" s="1">
        <v>44967</v>
      </c>
      <c r="P242">
        <f>IF(ISBLANK(ReconciliationData[[#This Row],[Invoice_ID]]),1,0)</f>
        <v>0</v>
      </c>
      <c r="Q242">
        <f>IF(AND(NOT(ISBLANK(ReconciliationData[[#This Row],[Billed_Units]])),ReconciliationData[[#This Row],[ordered_units]]&lt;&gt;ReconciliationData[[#This Row],[Billed_Units]]),1,0)</f>
        <v>0</v>
      </c>
      <c r="R2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">
        <f>IF(AND(NOT(ISBLANK(ReconciliationData[[#This Row],[Contract_Price]])),ReconciliationData[[#This Row],[Billed_Price]]&lt;&gt;ReconciliationData[[#This Row],[Contract_Price]]),1,0)</f>
        <v>0</v>
      </c>
      <c r="T242">
        <f>IF(AND(NOT(ISBLANK(ReconciliationData[[#This Row],[End_Date]])),ReconciliationData[[#This Row],[Order_Date]]&gt;ReconciliationData[[#This Row],[End_Date]]),1,0)</f>
        <v>0</v>
      </c>
      <c r="U242">
        <f>IF(AND(NOT(ISBLANK(ReconciliationData[[#This Row],[last_return_date]])),ReconciliationData[[#This Row],[last_return_date]]&gt;ReconciliationData[[#This Row],[Order_Date]]+60),1,0)</f>
        <v>0</v>
      </c>
      <c r="V242">
        <f>IF(ReconciliationData[[#This Row],[total_returned_units]]&gt;ReconciliationData[[#This Row],[ordered_units]],1,0)</f>
        <v>0</v>
      </c>
      <c r="W2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2">
        <f>ReconciliationData[[#This Row],[Billed_Units]]*ReconciliationData[[#This Row],[Billed_Price]]</f>
        <v>146784.30910000001</v>
      </c>
      <c r="Y242">
        <f>ReconciliationData[[#This Row],[ordered_units]]*ReconciliationData[[#This Row],[List_Price]]</f>
        <v>146784.30910000001</v>
      </c>
      <c r="Z242">
        <f>ReconciliationData[[#This Row],[billed_revenue]]-ReconciliationData[[#This Row],[expected_revenue]]</f>
        <v>0</v>
      </c>
      <c r="AA2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2" t="str">
        <f>IF(ReconciliationData[[#This Row],[severity_score]]=0,"LOW",
 IF(ReconciliationData[[#This Row],[severity_score]]&lt;=5,"MEDIUM","HIGH"))</f>
        <v>LOW</v>
      </c>
      <c r="AC242" t="str">
        <f>TEXT(ReconciliationData[[#This Row],[Order_Date]],"YYYY-MM")</f>
        <v>2024-03</v>
      </c>
    </row>
    <row r="243" spans="1:29">
      <c r="A243" t="s">
        <v>995</v>
      </c>
      <c r="B243" s="1">
        <v>45645</v>
      </c>
      <c r="C243" t="s">
        <v>996</v>
      </c>
      <c r="D243" t="s">
        <v>997</v>
      </c>
      <c r="E243">
        <v>105</v>
      </c>
      <c r="F243" t="s">
        <v>998</v>
      </c>
      <c r="G243">
        <v>105</v>
      </c>
      <c r="H243">
        <v>1153.4984999999999</v>
      </c>
      <c r="N243">
        <v>1153.4984999999999</v>
      </c>
      <c r="O243" s="1">
        <v>44962</v>
      </c>
      <c r="P243">
        <f>IF(ISBLANK(ReconciliationData[[#This Row],[Invoice_ID]]),1,0)</f>
        <v>0</v>
      </c>
      <c r="Q243">
        <f>IF(AND(NOT(ISBLANK(ReconciliationData[[#This Row],[Billed_Units]])),ReconciliationData[[#This Row],[ordered_units]]&lt;&gt;ReconciliationData[[#This Row],[Billed_Units]]),1,0)</f>
        <v>0</v>
      </c>
      <c r="R2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">
        <f>IF(AND(NOT(ISBLANK(ReconciliationData[[#This Row],[Contract_Price]])),ReconciliationData[[#This Row],[Billed_Price]]&lt;&gt;ReconciliationData[[#This Row],[Contract_Price]]),1,0)</f>
        <v>0</v>
      </c>
      <c r="T243">
        <f>IF(AND(NOT(ISBLANK(ReconciliationData[[#This Row],[End_Date]])),ReconciliationData[[#This Row],[Order_Date]]&gt;ReconciliationData[[#This Row],[End_Date]]),1,0)</f>
        <v>0</v>
      </c>
      <c r="U243">
        <f>IF(AND(NOT(ISBLANK(ReconciliationData[[#This Row],[last_return_date]])),ReconciliationData[[#This Row],[last_return_date]]&gt;ReconciliationData[[#This Row],[Order_Date]]+60),1,0)</f>
        <v>0</v>
      </c>
      <c r="V243">
        <f>IF(ReconciliationData[[#This Row],[total_returned_units]]&gt;ReconciliationData[[#This Row],[ordered_units]],1,0)</f>
        <v>0</v>
      </c>
      <c r="W2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3">
        <f>ReconciliationData[[#This Row],[Billed_Units]]*ReconciliationData[[#This Row],[Billed_Price]]</f>
        <v>121117.3425</v>
      </c>
      <c r="Y243">
        <f>ReconciliationData[[#This Row],[ordered_units]]*ReconciliationData[[#This Row],[List_Price]]</f>
        <v>121117.3425</v>
      </c>
      <c r="Z243">
        <f>ReconciliationData[[#This Row],[billed_revenue]]-ReconciliationData[[#This Row],[expected_revenue]]</f>
        <v>0</v>
      </c>
      <c r="AA2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3" t="str">
        <f>IF(ReconciliationData[[#This Row],[severity_score]]=0,"LOW",
 IF(ReconciliationData[[#This Row],[severity_score]]&lt;=5,"MEDIUM","HIGH"))</f>
        <v>LOW</v>
      </c>
      <c r="AC243" t="str">
        <f>TEXT(ReconciliationData[[#This Row],[Order_Date]],"YYYY-MM")</f>
        <v>2024-12</v>
      </c>
    </row>
    <row r="244" spans="1:29">
      <c r="A244" t="s">
        <v>999</v>
      </c>
      <c r="B244" s="1">
        <v>45280</v>
      </c>
      <c r="C244" t="s">
        <v>1000</v>
      </c>
      <c r="D244" t="s">
        <v>544</v>
      </c>
      <c r="E244">
        <v>28</v>
      </c>
      <c r="F244" t="s">
        <v>1001</v>
      </c>
      <c r="G244">
        <v>28</v>
      </c>
      <c r="H244">
        <v>765.52319999999997</v>
      </c>
      <c r="N244">
        <v>765.52319999999997</v>
      </c>
      <c r="O244" s="1">
        <v>45174</v>
      </c>
      <c r="P244">
        <f>IF(ISBLANK(ReconciliationData[[#This Row],[Invoice_ID]]),1,0)</f>
        <v>0</v>
      </c>
      <c r="Q244">
        <f>IF(AND(NOT(ISBLANK(ReconciliationData[[#This Row],[Billed_Units]])),ReconciliationData[[#This Row],[ordered_units]]&lt;&gt;ReconciliationData[[#This Row],[Billed_Units]]),1,0)</f>
        <v>0</v>
      </c>
      <c r="R2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">
        <f>IF(AND(NOT(ISBLANK(ReconciliationData[[#This Row],[Contract_Price]])),ReconciliationData[[#This Row],[Billed_Price]]&lt;&gt;ReconciliationData[[#This Row],[Contract_Price]]),1,0)</f>
        <v>0</v>
      </c>
      <c r="T244">
        <f>IF(AND(NOT(ISBLANK(ReconciliationData[[#This Row],[End_Date]])),ReconciliationData[[#This Row],[Order_Date]]&gt;ReconciliationData[[#This Row],[End_Date]]),1,0)</f>
        <v>0</v>
      </c>
      <c r="U244">
        <f>IF(AND(NOT(ISBLANK(ReconciliationData[[#This Row],[last_return_date]])),ReconciliationData[[#This Row],[last_return_date]]&gt;ReconciliationData[[#This Row],[Order_Date]]+60),1,0)</f>
        <v>0</v>
      </c>
      <c r="V244">
        <f>IF(ReconciliationData[[#This Row],[total_returned_units]]&gt;ReconciliationData[[#This Row],[ordered_units]],1,0)</f>
        <v>0</v>
      </c>
      <c r="W2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4">
        <f>ReconciliationData[[#This Row],[Billed_Units]]*ReconciliationData[[#This Row],[Billed_Price]]</f>
        <v>21434.649600000001</v>
      </c>
      <c r="Y244">
        <f>ReconciliationData[[#This Row],[ordered_units]]*ReconciliationData[[#This Row],[List_Price]]</f>
        <v>21434.649600000001</v>
      </c>
      <c r="Z244">
        <f>ReconciliationData[[#This Row],[billed_revenue]]-ReconciliationData[[#This Row],[expected_revenue]]</f>
        <v>0</v>
      </c>
      <c r="AA2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4" t="str">
        <f>IF(ReconciliationData[[#This Row],[severity_score]]=0,"LOW",
 IF(ReconciliationData[[#This Row],[severity_score]]&lt;=5,"MEDIUM","HIGH"))</f>
        <v>LOW</v>
      </c>
      <c r="AC244" t="str">
        <f>TEXT(ReconciliationData[[#This Row],[Order_Date]],"YYYY-MM")</f>
        <v>2023-12</v>
      </c>
    </row>
    <row r="245" spans="1:29">
      <c r="A245" t="s">
        <v>1002</v>
      </c>
      <c r="B245" s="1">
        <v>45124</v>
      </c>
      <c r="C245" t="s">
        <v>781</v>
      </c>
      <c r="D245" t="s">
        <v>1003</v>
      </c>
      <c r="E245">
        <v>81</v>
      </c>
      <c r="F245" t="s">
        <v>1004</v>
      </c>
      <c r="G245">
        <v>81</v>
      </c>
      <c r="H245">
        <v>825.13580000000002</v>
      </c>
      <c r="N245">
        <v>825.13580000000002</v>
      </c>
      <c r="O245" s="1">
        <v>44998</v>
      </c>
      <c r="P245">
        <f>IF(ISBLANK(ReconciliationData[[#This Row],[Invoice_ID]]),1,0)</f>
        <v>0</v>
      </c>
      <c r="Q245">
        <f>IF(AND(NOT(ISBLANK(ReconciliationData[[#This Row],[Billed_Units]])),ReconciliationData[[#This Row],[ordered_units]]&lt;&gt;ReconciliationData[[#This Row],[Billed_Units]]),1,0)</f>
        <v>0</v>
      </c>
      <c r="R2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">
        <f>IF(AND(NOT(ISBLANK(ReconciliationData[[#This Row],[Contract_Price]])),ReconciliationData[[#This Row],[Billed_Price]]&lt;&gt;ReconciliationData[[#This Row],[Contract_Price]]),1,0)</f>
        <v>0</v>
      </c>
      <c r="T245">
        <f>IF(AND(NOT(ISBLANK(ReconciliationData[[#This Row],[End_Date]])),ReconciliationData[[#This Row],[Order_Date]]&gt;ReconciliationData[[#This Row],[End_Date]]),1,0)</f>
        <v>0</v>
      </c>
      <c r="U245">
        <f>IF(AND(NOT(ISBLANK(ReconciliationData[[#This Row],[last_return_date]])),ReconciliationData[[#This Row],[last_return_date]]&gt;ReconciliationData[[#This Row],[Order_Date]]+60),1,0)</f>
        <v>0</v>
      </c>
      <c r="V245">
        <f>IF(ReconciliationData[[#This Row],[total_returned_units]]&gt;ReconciliationData[[#This Row],[ordered_units]],1,0)</f>
        <v>0</v>
      </c>
      <c r="W2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5">
        <f>ReconciliationData[[#This Row],[Billed_Units]]*ReconciliationData[[#This Row],[Billed_Price]]</f>
        <v>66835.999800000005</v>
      </c>
      <c r="Y245">
        <f>ReconciliationData[[#This Row],[ordered_units]]*ReconciliationData[[#This Row],[List_Price]]</f>
        <v>66835.999800000005</v>
      </c>
      <c r="Z245">
        <f>ReconciliationData[[#This Row],[billed_revenue]]-ReconciliationData[[#This Row],[expected_revenue]]</f>
        <v>0</v>
      </c>
      <c r="AA2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5" t="str">
        <f>IF(ReconciliationData[[#This Row],[severity_score]]=0,"LOW",
 IF(ReconciliationData[[#This Row],[severity_score]]&lt;=5,"MEDIUM","HIGH"))</f>
        <v>LOW</v>
      </c>
      <c r="AC245" t="str">
        <f>TEXT(ReconciliationData[[#This Row],[Order_Date]],"YYYY-MM")</f>
        <v>2023-07</v>
      </c>
    </row>
    <row r="246" spans="1:29">
      <c r="A246" t="s">
        <v>1005</v>
      </c>
      <c r="B246" s="1">
        <v>45587</v>
      </c>
      <c r="C246" t="s">
        <v>1006</v>
      </c>
      <c r="D246" t="s">
        <v>1007</v>
      </c>
      <c r="E246">
        <v>112</v>
      </c>
      <c r="F246" t="s">
        <v>1008</v>
      </c>
      <c r="G246">
        <v>112</v>
      </c>
      <c r="H246">
        <v>115.0735</v>
      </c>
      <c r="I246">
        <v>10</v>
      </c>
      <c r="J246" s="1">
        <v>45481</v>
      </c>
      <c r="N246">
        <v>115.0735</v>
      </c>
      <c r="O246" s="1">
        <v>45227</v>
      </c>
      <c r="P246">
        <f>IF(ISBLANK(ReconciliationData[[#This Row],[Invoice_ID]]),1,0)</f>
        <v>0</v>
      </c>
      <c r="Q246">
        <f>IF(AND(NOT(ISBLANK(ReconciliationData[[#This Row],[Billed_Units]])),ReconciliationData[[#This Row],[ordered_units]]&lt;&gt;ReconciliationData[[#This Row],[Billed_Units]]),1,0)</f>
        <v>0</v>
      </c>
      <c r="R2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6">
        <f>IF(AND(NOT(ISBLANK(ReconciliationData[[#This Row],[Contract_Price]])),ReconciliationData[[#This Row],[Billed_Price]]&lt;&gt;ReconciliationData[[#This Row],[Contract_Price]]),1,0)</f>
        <v>0</v>
      </c>
      <c r="T246">
        <f>IF(AND(NOT(ISBLANK(ReconciliationData[[#This Row],[End_Date]])),ReconciliationData[[#This Row],[Order_Date]]&gt;ReconciliationData[[#This Row],[End_Date]]),1,0)</f>
        <v>0</v>
      </c>
      <c r="U246">
        <f>IF(AND(NOT(ISBLANK(ReconciliationData[[#This Row],[last_return_date]])),ReconciliationData[[#This Row],[last_return_date]]&gt;ReconciliationData[[#This Row],[Order_Date]]+60),1,0)</f>
        <v>0</v>
      </c>
      <c r="V246">
        <f>IF(ReconciliationData[[#This Row],[total_returned_units]]&gt;ReconciliationData[[#This Row],[ordered_units]],1,0)</f>
        <v>0</v>
      </c>
      <c r="W2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6">
        <f>ReconciliationData[[#This Row],[Billed_Units]]*ReconciliationData[[#This Row],[Billed_Price]]</f>
        <v>12888.232</v>
      </c>
      <c r="Y246">
        <f>ReconciliationData[[#This Row],[ordered_units]]*ReconciliationData[[#This Row],[List_Price]]</f>
        <v>12888.232</v>
      </c>
      <c r="Z246">
        <f>ReconciliationData[[#This Row],[billed_revenue]]-ReconciliationData[[#This Row],[expected_revenue]]</f>
        <v>0</v>
      </c>
      <c r="AA2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6" t="str">
        <f>IF(ReconciliationData[[#This Row],[severity_score]]=0,"LOW",
 IF(ReconciliationData[[#This Row],[severity_score]]&lt;=5,"MEDIUM","HIGH"))</f>
        <v>LOW</v>
      </c>
      <c r="AC246" t="str">
        <f>TEXT(ReconciliationData[[#This Row],[Order_Date]],"YYYY-MM")</f>
        <v>2024-10</v>
      </c>
    </row>
    <row r="247" spans="1:29">
      <c r="A247" t="s">
        <v>1009</v>
      </c>
      <c r="B247" s="1">
        <v>45414</v>
      </c>
      <c r="C247" t="s">
        <v>1010</v>
      </c>
      <c r="D247" t="s">
        <v>655</v>
      </c>
      <c r="E247">
        <v>23</v>
      </c>
      <c r="F247" t="s">
        <v>1011</v>
      </c>
      <c r="G247">
        <v>23</v>
      </c>
      <c r="H247">
        <v>130.87360000000001</v>
      </c>
      <c r="N247">
        <v>130.87360000000001</v>
      </c>
      <c r="O247" s="1">
        <v>45074</v>
      </c>
      <c r="P247">
        <f>IF(ISBLANK(ReconciliationData[[#This Row],[Invoice_ID]]),1,0)</f>
        <v>0</v>
      </c>
      <c r="Q247">
        <f>IF(AND(NOT(ISBLANK(ReconciliationData[[#This Row],[Billed_Units]])),ReconciliationData[[#This Row],[ordered_units]]&lt;&gt;ReconciliationData[[#This Row],[Billed_Units]]),1,0)</f>
        <v>0</v>
      </c>
      <c r="R2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">
        <f>IF(AND(NOT(ISBLANK(ReconciliationData[[#This Row],[Contract_Price]])),ReconciliationData[[#This Row],[Billed_Price]]&lt;&gt;ReconciliationData[[#This Row],[Contract_Price]]),1,0)</f>
        <v>0</v>
      </c>
      <c r="T247">
        <f>IF(AND(NOT(ISBLANK(ReconciliationData[[#This Row],[End_Date]])),ReconciliationData[[#This Row],[Order_Date]]&gt;ReconciliationData[[#This Row],[End_Date]]),1,0)</f>
        <v>0</v>
      </c>
      <c r="U247">
        <f>IF(AND(NOT(ISBLANK(ReconciliationData[[#This Row],[last_return_date]])),ReconciliationData[[#This Row],[last_return_date]]&gt;ReconciliationData[[#This Row],[Order_Date]]+60),1,0)</f>
        <v>0</v>
      </c>
      <c r="V247">
        <f>IF(ReconciliationData[[#This Row],[total_returned_units]]&gt;ReconciliationData[[#This Row],[ordered_units]],1,0)</f>
        <v>0</v>
      </c>
      <c r="W2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7">
        <f>ReconciliationData[[#This Row],[Billed_Units]]*ReconciliationData[[#This Row],[Billed_Price]]</f>
        <v>3010.0928000000004</v>
      </c>
      <c r="Y247">
        <f>ReconciliationData[[#This Row],[ordered_units]]*ReconciliationData[[#This Row],[List_Price]]</f>
        <v>3010.0928000000004</v>
      </c>
      <c r="Z247">
        <f>ReconciliationData[[#This Row],[billed_revenue]]-ReconciliationData[[#This Row],[expected_revenue]]</f>
        <v>0</v>
      </c>
      <c r="AA2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7" t="str">
        <f>IF(ReconciliationData[[#This Row],[severity_score]]=0,"LOW",
 IF(ReconciliationData[[#This Row],[severity_score]]&lt;=5,"MEDIUM","HIGH"))</f>
        <v>LOW</v>
      </c>
      <c r="AC247" t="str">
        <f>TEXT(ReconciliationData[[#This Row],[Order_Date]],"YYYY-MM")</f>
        <v>2024-05</v>
      </c>
    </row>
    <row r="248" spans="1:29">
      <c r="A248" t="s">
        <v>1012</v>
      </c>
      <c r="B248" s="1">
        <v>45269</v>
      </c>
      <c r="C248" t="s">
        <v>1013</v>
      </c>
      <c r="D248" t="s">
        <v>867</v>
      </c>
      <c r="E248">
        <v>24</v>
      </c>
      <c r="F248" t="s">
        <v>1014</v>
      </c>
      <c r="G248">
        <v>24</v>
      </c>
      <c r="H248">
        <v>1146.7456000000002</v>
      </c>
      <c r="N248">
        <v>1146.7456000000002</v>
      </c>
      <c r="O248" s="1">
        <v>45148</v>
      </c>
      <c r="P248">
        <f>IF(ISBLANK(ReconciliationData[[#This Row],[Invoice_ID]]),1,0)</f>
        <v>0</v>
      </c>
      <c r="Q248">
        <f>IF(AND(NOT(ISBLANK(ReconciliationData[[#This Row],[Billed_Units]])),ReconciliationData[[#This Row],[ordered_units]]&lt;&gt;ReconciliationData[[#This Row],[Billed_Units]]),1,0)</f>
        <v>0</v>
      </c>
      <c r="R2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8">
        <f>IF(AND(NOT(ISBLANK(ReconciliationData[[#This Row],[Contract_Price]])),ReconciliationData[[#This Row],[Billed_Price]]&lt;&gt;ReconciliationData[[#This Row],[Contract_Price]]),1,0)</f>
        <v>0</v>
      </c>
      <c r="T248">
        <f>IF(AND(NOT(ISBLANK(ReconciliationData[[#This Row],[End_Date]])),ReconciliationData[[#This Row],[Order_Date]]&gt;ReconciliationData[[#This Row],[End_Date]]),1,0)</f>
        <v>0</v>
      </c>
      <c r="U248">
        <f>IF(AND(NOT(ISBLANK(ReconciliationData[[#This Row],[last_return_date]])),ReconciliationData[[#This Row],[last_return_date]]&gt;ReconciliationData[[#This Row],[Order_Date]]+60),1,0)</f>
        <v>0</v>
      </c>
      <c r="V248">
        <f>IF(ReconciliationData[[#This Row],[total_returned_units]]&gt;ReconciliationData[[#This Row],[ordered_units]],1,0)</f>
        <v>0</v>
      </c>
      <c r="W2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8">
        <f>ReconciliationData[[#This Row],[Billed_Units]]*ReconciliationData[[#This Row],[Billed_Price]]</f>
        <v>27521.894400000005</v>
      </c>
      <c r="Y248">
        <f>ReconciliationData[[#This Row],[ordered_units]]*ReconciliationData[[#This Row],[List_Price]]</f>
        <v>27521.894400000005</v>
      </c>
      <c r="Z248">
        <f>ReconciliationData[[#This Row],[billed_revenue]]-ReconciliationData[[#This Row],[expected_revenue]]</f>
        <v>0</v>
      </c>
      <c r="AA2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8" t="str">
        <f>IF(ReconciliationData[[#This Row],[severity_score]]=0,"LOW",
 IF(ReconciliationData[[#This Row],[severity_score]]&lt;=5,"MEDIUM","HIGH"))</f>
        <v>LOW</v>
      </c>
      <c r="AC248" t="str">
        <f>TEXT(ReconciliationData[[#This Row],[Order_Date]],"YYYY-MM")</f>
        <v>2023-12</v>
      </c>
    </row>
    <row r="249" spans="1:29">
      <c r="A249" t="s">
        <v>1015</v>
      </c>
      <c r="B249" s="1">
        <v>45336</v>
      </c>
      <c r="C249" t="s">
        <v>1016</v>
      </c>
      <c r="D249" t="s">
        <v>166</v>
      </c>
      <c r="E249">
        <v>27</v>
      </c>
      <c r="F249" t="s">
        <v>1017</v>
      </c>
      <c r="G249">
        <v>27</v>
      </c>
      <c r="H249">
        <v>376.82319999999999</v>
      </c>
      <c r="N249">
        <v>376.82319999999999</v>
      </c>
      <c r="O249" s="1">
        <v>45171</v>
      </c>
      <c r="P249">
        <f>IF(ISBLANK(ReconciliationData[[#This Row],[Invoice_ID]]),1,0)</f>
        <v>0</v>
      </c>
      <c r="Q249">
        <f>IF(AND(NOT(ISBLANK(ReconciliationData[[#This Row],[Billed_Units]])),ReconciliationData[[#This Row],[ordered_units]]&lt;&gt;ReconciliationData[[#This Row],[Billed_Units]]),1,0)</f>
        <v>0</v>
      </c>
      <c r="R2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">
        <f>IF(AND(NOT(ISBLANK(ReconciliationData[[#This Row],[Contract_Price]])),ReconciliationData[[#This Row],[Billed_Price]]&lt;&gt;ReconciliationData[[#This Row],[Contract_Price]]),1,0)</f>
        <v>0</v>
      </c>
      <c r="T249">
        <f>IF(AND(NOT(ISBLANK(ReconciliationData[[#This Row],[End_Date]])),ReconciliationData[[#This Row],[Order_Date]]&gt;ReconciliationData[[#This Row],[End_Date]]),1,0)</f>
        <v>0</v>
      </c>
      <c r="U249">
        <f>IF(AND(NOT(ISBLANK(ReconciliationData[[#This Row],[last_return_date]])),ReconciliationData[[#This Row],[last_return_date]]&gt;ReconciliationData[[#This Row],[Order_Date]]+60),1,0)</f>
        <v>0</v>
      </c>
      <c r="V249">
        <f>IF(ReconciliationData[[#This Row],[total_returned_units]]&gt;ReconciliationData[[#This Row],[ordered_units]],1,0)</f>
        <v>0</v>
      </c>
      <c r="W2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">
        <f>ReconciliationData[[#This Row],[Billed_Units]]*ReconciliationData[[#This Row],[Billed_Price]]</f>
        <v>10174.2264</v>
      </c>
      <c r="Y249">
        <f>ReconciliationData[[#This Row],[ordered_units]]*ReconciliationData[[#This Row],[List_Price]]</f>
        <v>10174.2264</v>
      </c>
      <c r="Z249">
        <f>ReconciliationData[[#This Row],[billed_revenue]]-ReconciliationData[[#This Row],[expected_revenue]]</f>
        <v>0</v>
      </c>
      <c r="AA2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" t="str">
        <f>IF(ReconciliationData[[#This Row],[severity_score]]=0,"LOW",
 IF(ReconciliationData[[#This Row],[severity_score]]&lt;=5,"MEDIUM","HIGH"))</f>
        <v>LOW</v>
      </c>
      <c r="AC249" t="str">
        <f>TEXT(ReconciliationData[[#This Row],[Order_Date]],"YYYY-MM")</f>
        <v>2024-02</v>
      </c>
    </row>
    <row r="250" spans="1:29">
      <c r="A250" t="s">
        <v>1018</v>
      </c>
      <c r="B250" s="1">
        <v>45077</v>
      </c>
      <c r="C250" t="s">
        <v>978</v>
      </c>
      <c r="D250" t="s">
        <v>235</v>
      </c>
      <c r="E250">
        <v>136</v>
      </c>
      <c r="F250" t="s">
        <v>1019</v>
      </c>
      <c r="G250">
        <v>136</v>
      </c>
      <c r="H250">
        <v>421.92750000000001</v>
      </c>
      <c r="N250">
        <v>421.92750000000001</v>
      </c>
      <c r="O250" s="1">
        <v>44969</v>
      </c>
      <c r="P250">
        <f>IF(ISBLANK(ReconciliationData[[#This Row],[Invoice_ID]]),1,0)</f>
        <v>0</v>
      </c>
      <c r="Q250">
        <f>IF(AND(NOT(ISBLANK(ReconciliationData[[#This Row],[Billed_Units]])),ReconciliationData[[#This Row],[ordered_units]]&lt;&gt;ReconciliationData[[#This Row],[Billed_Units]]),1,0)</f>
        <v>0</v>
      </c>
      <c r="R2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">
        <f>IF(AND(NOT(ISBLANK(ReconciliationData[[#This Row],[Contract_Price]])),ReconciliationData[[#This Row],[Billed_Price]]&lt;&gt;ReconciliationData[[#This Row],[Contract_Price]]),1,0)</f>
        <v>0</v>
      </c>
      <c r="T250">
        <f>IF(AND(NOT(ISBLANK(ReconciliationData[[#This Row],[End_Date]])),ReconciliationData[[#This Row],[Order_Date]]&gt;ReconciliationData[[#This Row],[End_Date]]),1,0)</f>
        <v>0</v>
      </c>
      <c r="U250">
        <f>IF(AND(NOT(ISBLANK(ReconciliationData[[#This Row],[last_return_date]])),ReconciliationData[[#This Row],[last_return_date]]&gt;ReconciliationData[[#This Row],[Order_Date]]+60),1,0)</f>
        <v>0</v>
      </c>
      <c r="V250">
        <f>IF(ReconciliationData[[#This Row],[total_returned_units]]&gt;ReconciliationData[[#This Row],[ordered_units]],1,0)</f>
        <v>0</v>
      </c>
      <c r="W2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0">
        <f>ReconciliationData[[#This Row],[Billed_Units]]*ReconciliationData[[#This Row],[Billed_Price]]</f>
        <v>57382.14</v>
      </c>
      <c r="Y250">
        <f>ReconciliationData[[#This Row],[ordered_units]]*ReconciliationData[[#This Row],[List_Price]]</f>
        <v>57382.14</v>
      </c>
      <c r="Z250">
        <f>ReconciliationData[[#This Row],[billed_revenue]]-ReconciliationData[[#This Row],[expected_revenue]]</f>
        <v>0</v>
      </c>
      <c r="AA2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0" t="str">
        <f>IF(ReconciliationData[[#This Row],[severity_score]]=0,"LOW",
 IF(ReconciliationData[[#This Row],[severity_score]]&lt;=5,"MEDIUM","HIGH"))</f>
        <v>LOW</v>
      </c>
      <c r="AC250" t="str">
        <f>TEXT(ReconciliationData[[#This Row],[Order_Date]],"YYYY-MM")</f>
        <v>2023-05</v>
      </c>
    </row>
    <row r="251" spans="1:29">
      <c r="A251" t="s">
        <v>1020</v>
      </c>
      <c r="B251" s="1">
        <v>45576</v>
      </c>
      <c r="C251" t="s">
        <v>1021</v>
      </c>
      <c r="D251" t="s">
        <v>718</v>
      </c>
      <c r="E251">
        <v>188</v>
      </c>
      <c r="F251" t="s">
        <v>1022</v>
      </c>
      <c r="G251">
        <v>188</v>
      </c>
      <c r="H251">
        <v>287.14</v>
      </c>
      <c r="N251">
        <v>287.14</v>
      </c>
      <c r="O251" s="1">
        <v>44977</v>
      </c>
      <c r="P251">
        <f>IF(ISBLANK(ReconciliationData[[#This Row],[Invoice_ID]]),1,0)</f>
        <v>0</v>
      </c>
      <c r="Q251">
        <f>IF(AND(NOT(ISBLANK(ReconciliationData[[#This Row],[Billed_Units]])),ReconciliationData[[#This Row],[ordered_units]]&lt;&gt;ReconciliationData[[#This Row],[Billed_Units]]),1,0)</f>
        <v>0</v>
      </c>
      <c r="R2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">
        <f>IF(AND(NOT(ISBLANK(ReconciliationData[[#This Row],[Contract_Price]])),ReconciliationData[[#This Row],[Billed_Price]]&lt;&gt;ReconciliationData[[#This Row],[Contract_Price]]),1,0)</f>
        <v>0</v>
      </c>
      <c r="T251">
        <f>IF(AND(NOT(ISBLANK(ReconciliationData[[#This Row],[End_Date]])),ReconciliationData[[#This Row],[Order_Date]]&gt;ReconciliationData[[#This Row],[End_Date]]),1,0)</f>
        <v>0</v>
      </c>
      <c r="U251">
        <f>IF(AND(NOT(ISBLANK(ReconciliationData[[#This Row],[last_return_date]])),ReconciliationData[[#This Row],[last_return_date]]&gt;ReconciliationData[[#This Row],[Order_Date]]+60),1,0)</f>
        <v>0</v>
      </c>
      <c r="V251">
        <f>IF(ReconciliationData[[#This Row],[total_returned_units]]&gt;ReconciliationData[[#This Row],[ordered_units]],1,0)</f>
        <v>0</v>
      </c>
      <c r="W2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1">
        <f>ReconciliationData[[#This Row],[Billed_Units]]*ReconciliationData[[#This Row],[Billed_Price]]</f>
        <v>53982.32</v>
      </c>
      <c r="Y251">
        <f>ReconciliationData[[#This Row],[ordered_units]]*ReconciliationData[[#This Row],[List_Price]]</f>
        <v>53982.32</v>
      </c>
      <c r="Z251">
        <f>ReconciliationData[[#This Row],[billed_revenue]]-ReconciliationData[[#This Row],[expected_revenue]]</f>
        <v>0</v>
      </c>
      <c r="AA2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1" t="str">
        <f>IF(ReconciliationData[[#This Row],[severity_score]]=0,"LOW",
 IF(ReconciliationData[[#This Row],[severity_score]]&lt;=5,"MEDIUM","HIGH"))</f>
        <v>LOW</v>
      </c>
      <c r="AC251" t="str">
        <f>TEXT(ReconciliationData[[#This Row],[Order_Date]],"YYYY-MM")</f>
        <v>2024-10</v>
      </c>
    </row>
    <row r="252" spans="1:29">
      <c r="A252" t="s">
        <v>1023</v>
      </c>
      <c r="B252" s="1">
        <v>45367</v>
      </c>
      <c r="C252" t="s">
        <v>1024</v>
      </c>
      <c r="D252" t="s">
        <v>863</v>
      </c>
      <c r="E252">
        <v>82</v>
      </c>
      <c r="F252" t="s">
        <v>1025</v>
      </c>
      <c r="G252">
        <v>82</v>
      </c>
      <c r="H252">
        <v>815.08680000000004</v>
      </c>
      <c r="N252">
        <v>815.08680000000004</v>
      </c>
      <c r="O252" s="1">
        <v>45062</v>
      </c>
      <c r="P252">
        <f>IF(ISBLANK(ReconciliationData[[#This Row],[Invoice_ID]]),1,0)</f>
        <v>0</v>
      </c>
      <c r="Q252">
        <f>IF(AND(NOT(ISBLANK(ReconciliationData[[#This Row],[Billed_Units]])),ReconciliationData[[#This Row],[ordered_units]]&lt;&gt;ReconciliationData[[#This Row],[Billed_Units]]),1,0)</f>
        <v>0</v>
      </c>
      <c r="R2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2">
        <f>IF(AND(NOT(ISBLANK(ReconciliationData[[#This Row],[Contract_Price]])),ReconciliationData[[#This Row],[Billed_Price]]&lt;&gt;ReconciliationData[[#This Row],[Contract_Price]]),1,0)</f>
        <v>0</v>
      </c>
      <c r="T252">
        <f>IF(AND(NOT(ISBLANK(ReconciliationData[[#This Row],[End_Date]])),ReconciliationData[[#This Row],[Order_Date]]&gt;ReconciliationData[[#This Row],[End_Date]]),1,0)</f>
        <v>0</v>
      </c>
      <c r="U252">
        <f>IF(AND(NOT(ISBLANK(ReconciliationData[[#This Row],[last_return_date]])),ReconciliationData[[#This Row],[last_return_date]]&gt;ReconciliationData[[#This Row],[Order_Date]]+60),1,0)</f>
        <v>0</v>
      </c>
      <c r="V252">
        <f>IF(ReconciliationData[[#This Row],[total_returned_units]]&gt;ReconciliationData[[#This Row],[ordered_units]],1,0)</f>
        <v>0</v>
      </c>
      <c r="W2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2">
        <f>ReconciliationData[[#This Row],[Billed_Units]]*ReconciliationData[[#This Row],[Billed_Price]]</f>
        <v>66837.117599999998</v>
      </c>
      <c r="Y252">
        <f>ReconciliationData[[#This Row],[ordered_units]]*ReconciliationData[[#This Row],[List_Price]]</f>
        <v>66837.117599999998</v>
      </c>
      <c r="Z252">
        <f>ReconciliationData[[#This Row],[billed_revenue]]-ReconciliationData[[#This Row],[expected_revenue]]</f>
        <v>0</v>
      </c>
      <c r="AA2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2" t="str">
        <f>IF(ReconciliationData[[#This Row],[severity_score]]=0,"LOW",
 IF(ReconciliationData[[#This Row],[severity_score]]&lt;=5,"MEDIUM","HIGH"))</f>
        <v>LOW</v>
      </c>
      <c r="AC252" t="str">
        <f>TEXT(ReconciliationData[[#This Row],[Order_Date]],"YYYY-MM")</f>
        <v>2024-03</v>
      </c>
    </row>
    <row r="253" spans="1:29">
      <c r="A253" t="s">
        <v>1026</v>
      </c>
      <c r="B253" s="1">
        <v>45267</v>
      </c>
      <c r="C253" t="s">
        <v>1027</v>
      </c>
      <c r="D253" t="s">
        <v>628</v>
      </c>
      <c r="E253">
        <v>147</v>
      </c>
      <c r="F253" t="s">
        <v>1028</v>
      </c>
      <c r="G253">
        <v>147</v>
      </c>
      <c r="H253">
        <v>322.71780000000001</v>
      </c>
      <c r="N253">
        <v>322.71780000000001</v>
      </c>
      <c r="O253" s="1">
        <v>45169</v>
      </c>
      <c r="P253">
        <f>IF(ISBLANK(ReconciliationData[[#This Row],[Invoice_ID]]),1,0)</f>
        <v>0</v>
      </c>
      <c r="Q253">
        <f>IF(AND(NOT(ISBLANK(ReconciliationData[[#This Row],[Billed_Units]])),ReconciliationData[[#This Row],[ordered_units]]&lt;&gt;ReconciliationData[[#This Row],[Billed_Units]]),1,0)</f>
        <v>0</v>
      </c>
      <c r="R2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">
        <f>IF(AND(NOT(ISBLANK(ReconciliationData[[#This Row],[Contract_Price]])),ReconciliationData[[#This Row],[Billed_Price]]&lt;&gt;ReconciliationData[[#This Row],[Contract_Price]]),1,0)</f>
        <v>0</v>
      </c>
      <c r="T253">
        <f>IF(AND(NOT(ISBLANK(ReconciliationData[[#This Row],[End_Date]])),ReconciliationData[[#This Row],[Order_Date]]&gt;ReconciliationData[[#This Row],[End_Date]]),1,0)</f>
        <v>0</v>
      </c>
      <c r="U253">
        <f>IF(AND(NOT(ISBLANK(ReconciliationData[[#This Row],[last_return_date]])),ReconciliationData[[#This Row],[last_return_date]]&gt;ReconciliationData[[#This Row],[Order_Date]]+60),1,0)</f>
        <v>0</v>
      </c>
      <c r="V253">
        <f>IF(ReconciliationData[[#This Row],[total_returned_units]]&gt;ReconciliationData[[#This Row],[ordered_units]],1,0)</f>
        <v>0</v>
      </c>
      <c r="W2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3">
        <f>ReconciliationData[[#This Row],[Billed_Units]]*ReconciliationData[[#This Row],[Billed_Price]]</f>
        <v>47439.516600000003</v>
      </c>
      <c r="Y253">
        <f>ReconciliationData[[#This Row],[ordered_units]]*ReconciliationData[[#This Row],[List_Price]]</f>
        <v>47439.516600000003</v>
      </c>
      <c r="Z253">
        <f>ReconciliationData[[#This Row],[billed_revenue]]-ReconciliationData[[#This Row],[expected_revenue]]</f>
        <v>0</v>
      </c>
      <c r="AA2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3" t="str">
        <f>IF(ReconciliationData[[#This Row],[severity_score]]=0,"LOW",
 IF(ReconciliationData[[#This Row],[severity_score]]&lt;=5,"MEDIUM","HIGH"))</f>
        <v>LOW</v>
      </c>
      <c r="AC253" t="str">
        <f>TEXT(ReconciliationData[[#This Row],[Order_Date]],"YYYY-MM")</f>
        <v>2023-12</v>
      </c>
    </row>
    <row r="254" spans="1:29">
      <c r="A254" t="s">
        <v>1029</v>
      </c>
      <c r="B254" s="1">
        <v>45529</v>
      </c>
      <c r="C254" t="s">
        <v>165</v>
      </c>
      <c r="D254" t="s">
        <v>1030</v>
      </c>
      <c r="E254">
        <v>6</v>
      </c>
      <c r="F254" t="s">
        <v>1031</v>
      </c>
      <c r="G254">
        <v>6</v>
      </c>
      <c r="H254">
        <v>370.82850000000002</v>
      </c>
      <c r="N254">
        <v>370.82850000000002</v>
      </c>
      <c r="O254" s="1">
        <v>45187</v>
      </c>
      <c r="P254">
        <f>IF(ISBLANK(ReconciliationData[[#This Row],[Invoice_ID]]),1,0)</f>
        <v>0</v>
      </c>
      <c r="Q254">
        <f>IF(AND(NOT(ISBLANK(ReconciliationData[[#This Row],[Billed_Units]])),ReconciliationData[[#This Row],[ordered_units]]&lt;&gt;ReconciliationData[[#This Row],[Billed_Units]]),1,0)</f>
        <v>0</v>
      </c>
      <c r="R2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">
        <f>IF(AND(NOT(ISBLANK(ReconciliationData[[#This Row],[Contract_Price]])),ReconciliationData[[#This Row],[Billed_Price]]&lt;&gt;ReconciliationData[[#This Row],[Contract_Price]]),1,0)</f>
        <v>0</v>
      </c>
      <c r="T254">
        <f>IF(AND(NOT(ISBLANK(ReconciliationData[[#This Row],[End_Date]])),ReconciliationData[[#This Row],[Order_Date]]&gt;ReconciliationData[[#This Row],[End_Date]]),1,0)</f>
        <v>0</v>
      </c>
      <c r="U254">
        <f>IF(AND(NOT(ISBLANK(ReconciliationData[[#This Row],[last_return_date]])),ReconciliationData[[#This Row],[last_return_date]]&gt;ReconciliationData[[#This Row],[Order_Date]]+60),1,0)</f>
        <v>0</v>
      </c>
      <c r="V254">
        <f>IF(ReconciliationData[[#This Row],[total_returned_units]]&gt;ReconciliationData[[#This Row],[ordered_units]],1,0)</f>
        <v>0</v>
      </c>
      <c r="W2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4">
        <f>ReconciliationData[[#This Row],[Billed_Units]]*ReconciliationData[[#This Row],[Billed_Price]]</f>
        <v>2224.971</v>
      </c>
      <c r="Y254">
        <f>ReconciliationData[[#This Row],[ordered_units]]*ReconciliationData[[#This Row],[List_Price]]</f>
        <v>2224.971</v>
      </c>
      <c r="Z254">
        <f>ReconciliationData[[#This Row],[billed_revenue]]-ReconciliationData[[#This Row],[expected_revenue]]</f>
        <v>0</v>
      </c>
      <c r="AA2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4" t="str">
        <f>IF(ReconciliationData[[#This Row],[severity_score]]=0,"LOW",
 IF(ReconciliationData[[#This Row],[severity_score]]&lt;=5,"MEDIUM","HIGH"))</f>
        <v>LOW</v>
      </c>
      <c r="AC254" t="str">
        <f>TEXT(ReconciliationData[[#This Row],[Order_Date]],"YYYY-MM")</f>
        <v>2024-08</v>
      </c>
    </row>
    <row r="255" spans="1:29">
      <c r="A255" t="s">
        <v>1032</v>
      </c>
      <c r="B255" s="1">
        <v>45032</v>
      </c>
      <c r="C255" t="s">
        <v>1033</v>
      </c>
      <c r="D255" t="s">
        <v>655</v>
      </c>
      <c r="E255">
        <v>167</v>
      </c>
      <c r="F255" t="s">
        <v>1034</v>
      </c>
      <c r="G255">
        <v>167</v>
      </c>
      <c r="H255">
        <v>134.64880000000002</v>
      </c>
      <c r="N255">
        <v>134.64880000000002</v>
      </c>
      <c r="O255" s="1">
        <v>44991</v>
      </c>
      <c r="P255">
        <f>IF(ISBLANK(ReconciliationData[[#This Row],[Invoice_ID]]),1,0)</f>
        <v>0</v>
      </c>
      <c r="Q255">
        <f>IF(AND(NOT(ISBLANK(ReconciliationData[[#This Row],[Billed_Units]])),ReconciliationData[[#This Row],[ordered_units]]&lt;&gt;ReconciliationData[[#This Row],[Billed_Units]]),1,0)</f>
        <v>0</v>
      </c>
      <c r="R2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">
        <f>IF(AND(NOT(ISBLANK(ReconciliationData[[#This Row],[Contract_Price]])),ReconciliationData[[#This Row],[Billed_Price]]&lt;&gt;ReconciliationData[[#This Row],[Contract_Price]]),1,0)</f>
        <v>0</v>
      </c>
      <c r="T255">
        <f>IF(AND(NOT(ISBLANK(ReconciliationData[[#This Row],[End_Date]])),ReconciliationData[[#This Row],[Order_Date]]&gt;ReconciliationData[[#This Row],[End_Date]]),1,0)</f>
        <v>0</v>
      </c>
      <c r="U255">
        <f>IF(AND(NOT(ISBLANK(ReconciliationData[[#This Row],[last_return_date]])),ReconciliationData[[#This Row],[last_return_date]]&gt;ReconciliationData[[#This Row],[Order_Date]]+60),1,0)</f>
        <v>0</v>
      </c>
      <c r="V255">
        <f>IF(ReconciliationData[[#This Row],[total_returned_units]]&gt;ReconciliationData[[#This Row],[ordered_units]],1,0)</f>
        <v>0</v>
      </c>
      <c r="W2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">
        <f>ReconciliationData[[#This Row],[Billed_Units]]*ReconciliationData[[#This Row],[Billed_Price]]</f>
        <v>22486.349600000005</v>
      </c>
      <c r="Y255">
        <f>ReconciliationData[[#This Row],[ordered_units]]*ReconciliationData[[#This Row],[List_Price]]</f>
        <v>22486.349600000005</v>
      </c>
      <c r="Z255">
        <f>ReconciliationData[[#This Row],[billed_revenue]]-ReconciliationData[[#This Row],[expected_revenue]]</f>
        <v>0</v>
      </c>
      <c r="AA2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" t="str">
        <f>IF(ReconciliationData[[#This Row],[severity_score]]=0,"LOW",
 IF(ReconciliationData[[#This Row],[severity_score]]&lt;=5,"MEDIUM","HIGH"))</f>
        <v>LOW</v>
      </c>
      <c r="AC255" t="str">
        <f>TEXT(ReconciliationData[[#This Row],[Order_Date]],"YYYY-MM")</f>
        <v>2023-04</v>
      </c>
    </row>
    <row r="256" spans="1:29">
      <c r="A256" t="s">
        <v>1035</v>
      </c>
      <c r="B256" s="1">
        <v>45113</v>
      </c>
      <c r="C256" t="s">
        <v>1036</v>
      </c>
      <c r="D256" t="s">
        <v>1037</v>
      </c>
      <c r="E256">
        <v>106</v>
      </c>
      <c r="F256" t="s">
        <v>1038</v>
      </c>
      <c r="G256">
        <v>106</v>
      </c>
      <c r="H256">
        <v>579.32940000000008</v>
      </c>
      <c r="N256">
        <v>579.32940000000008</v>
      </c>
      <c r="O256" s="1">
        <v>44909</v>
      </c>
      <c r="P256">
        <f>IF(ISBLANK(ReconciliationData[[#This Row],[Invoice_ID]]),1,0)</f>
        <v>0</v>
      </c>
      <c r="Q256">
        <f>IF(AND(NOT(ISBLANK(ReconciliationData[[#This Row],[Billed_Units]])),ReconciliationData[[#This Row],[ordered_units]]&lt;&gt;ReconciliationData[[#This Row],[Billed_Units]]),1,0)</f>
        <v>0</v>
      </c>
      <c r="R2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">
        <f>IF(AND(NOT(ISBLANK(ReconciliationData[[#This Row],[Contract_Price]])),ReconciliationData[[#This Row],[Billed_Price]]&lt;&gt;ReconciliationData[[#This Row],[Contract_Price]]),1,0)</f>
        <v>0</v>
      </c>
      <c r="T256">
        <f>IF(AND(NOT(ISBLANK(ReconciliationData[[#This Row],[End_Date]])),ReconciliationData[[#This Row],[Order_Date]]&gt;ReconciliationData[[#This Row],[End_Date]]),1,0)</f>
        <v>0</v>
      </c>
      <c r="U256">
        <f>IF(AND(NOT(ISBLANK(ReconciliationData[[#This Row],[last_return_date]])),ReconciliationData[[#This Row],[last_return_date]]&gt;ReconciliationData[[#This Row],[Order_Date]]+60),1,0)</f>
        <v>0</v>
      </c>
      <c r="V256">
        <f>IF(ReconciliationData[[#This Row],[total_returned_units]]&gt;ReconciliationData[[#This Row],[ordered_units]],1,0)</f>
        <v>0</v>
      </c>
      <c r="W2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6">
        <f>ReconciliationData[[#This Row],[Billed_Units]]*ReconciliationData[[#This Row],[Billed_Price]]</f>
        <v>61408.916400000009</v>
      </c>
      <c r="Y256">
        <f>ReconciliationData[[#This Row],[ordered_units]]*ReconciliationData[[#This Row],[List_Price]]</f>
        <v>61408.916400000009</v>
      </c>
      <c r="Z256">
        <f>ReconciliationData[[#This Row],[billed_revenue]]-ReconciliationData[[#This Row],[expected_revenue]]</f>
        <v>0</v>
      </c>
      <c r="AA2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6" t="str">
        <f>IF(ReconciliationData[[#This Row],[severity_score]]=0,"LOW",
 IF(ReconciliationData[[#This Row],[severity_score]]&lt;=5,"MEDIUM","HIGH"))</f>
        <v>LOW</v>
      </c>
      <c r="AC256" t="str">
        <f>TEXT(ReconciliationData[[#This Row],[Order_Date]],"YYYY-MM")</f>
        <v>2023-07</v>
      </c>
    </row>
    <row r="257" spans="1:29">
      <c r="A257" t="s">
        <v>1039</v>
      </c>
      <c r="B257" s="1">
        <v>45093</v>
      </c>
      <c r="C257" t="s">
        <v>1040</v>
      </c>
      <c r="D257" t="s">
        <v>537</v>
      </c>
      <c r="E257">
        <v>200</v>
      </c>
      <c r="F257" t="s">
        <v>1041</v>
      </c>
      <c r="G257">
        <v>200</v>
      </c>
      <c r="H257">
        <v>432.839</v>
      </c>
      <c r="N257">
        <v>432.839</v>
      </c>
      <c r="O257" s="1">
        <v>45048</v>
      </c>
      <c r="P257">
        <f>IF(ISBLANK(ReconciliationData[[#This Row],[Invoice_ID]]),1,0)</f>
        <v>0</v>
      </c>
      <c r="Q257">
        <f>IF(AND(NOT(ISBLANK(ReconciliationData[[#This Row],[Billed_Units]])),ReconciliationData[[#This Row],[ordered_units]]&lt;&gt;ReconciliationData[[#This Row],[Billed_Units]]),1,0)</f>
        <v>0</v>
      </c>
      <c r="R2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">
        <f>IF(AND(NOT(ISBLANK(ReconciliationData[[#This Row],[Contract_Price]])),ReconciliationData[[#This Row],[Billed_Price]]&lt;&gt;ReconciliationData[[#This Row],[Contract_Price]]),1,0)</f>
        <v>0</v>
      </c>
      <c r="T257">
        <f>IF(AND(NOT(ISBLANK(ReconciliationData[[#This Row],[End_Date]])),ReconciliationData[[#This Row],[Order_Date]]&gt;ReconciliationData[[#This Row],[End_Date]]),1,0)</f>
        <v>0</v>
      </c>
      <c r="U257">
        <f>IF(AND(NOT(ISBLANK(ReconciliationData[[#This Row],[last_return_date]])),ReconciliationData[[#This Row],[last_return_date]]&gt;ReconciliationData[[#This Row],[Order_Date]]+60),1,0)</f>
        <v>0</v>
      </c>
      <c r="V257">
        <f>IF(ReconciliationData[[#This Row],[total_returned_units]]&gt;ReconciliationData[[#This Row],[ordered_units]],1,0)</f>
        <v>0</v>
      </c>
      <c r="W2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7">
        <f>ReconciliationData[[#This Row],[Billed_Units]]*ReconciliationData[[#This Row],[Billed_Price]]</f>
        <v>86567.8</v>
      </c>
      <c r="Y257">
        <f>ReconciliationData[[#This Row],[ordered_units]]*ReconciliationData[[#This Row],[List_Price]]</f>
        <v>86567.8</v>
      </c>
      <c r="Z257">
        <f>ReconciliationData[[#This Row],[billed_revenue]]-ReconciliationData[[#This Row],[expected_revenue]]</f>
        <v>0</v>
      </c>
      <c r="AA2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7" t="str">
        <f>IF(ReconciliationData[[#This Row],[severity_score]]=0,"LOW",
 IF(ReconciliationData[[#This Row],[severity_score]]&lt;=5,"MEDIUM","HIGH"))</f>
        <v>LOW</v>
      </c>
      <c r="AC257" t="str">
        <f>TEXT(ReconciliationData[[#This Row],[Order_Date]],"YYYY-MM")</f>
        <v>2023-06</v>
      </c>
    </row>
    <row r="258" spans="1:29">
      <c r="A258" t="s">
        <v>1042</v>
      </c>
      <c r="B258" s="1">
        <v>45162</v>
      </c>
      <c r="C258" t="s">
        <v>1043</v>
      </c>
      <c r="D258" t="s">
        <v>832</v>
      </c>
      <c r="E258">
        <v>199</v>
      </c>
      <c r="F258" t="s">
        <v>1044</v>
      </c>
      <c r="G258">
        <v>199</v>
      </c>
      <c r="H258">
        <v>324.52350000000001</v>
      </c>
      <c r="N258">
        <v>324.52350000000001</v>
      </c>
      <c r="O258" s="1">
        <v>45100</v>
      </c>
      <c r="P258">
        <f>IF(ISBLANK(ReconciliationData[[#This Row],[Invoice_ID]]),1,0)</f>
        <v>0</v>
      </c>
      <c r="Q258">
        <f>IF(AND(NOT(ISBLANK(ReconciliationData[[#This Row],[Billed_Units]])),ReconciliationData[[#This Row],[ordered_units]]&lt;&gt;ReconciliationData[[#This Row],[Billed_Units]]),1,0)</f>
        <v>0</v>
      </c>
      <c r="R2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">
        <f>IF(AND(NOT(ISBLANK(ReconciliationData[[#This Row],[Contract_Price]])),ReconciliationData[[#This Row],[Billed_Price]]&lt;&gt;ReconciliationData[[#This Row],[Contract_Price]]),1,0)</f>
        <v>0</v>
      </c>
      <c r="T258">
        <f>IF(AND(NOT(ISBLANK(ReconciliationData[[#This Row],[End_Date]])),ReconciliationData[[#This Row],[Order_Date]]&gt;ReconciliationData[[#This Row],[End_Date]]),1,0)</f>
        <v>0</v>
      </c>
      <c r="U258">
        <f>IF(AND(NOT(ISBLANK(ReconciliationData[[#This Row],[last_return_date]])),ReconciliationData[[#This Row],[last_return_date]]&gt;ReconciliationData[[#This Row],[Order_Date]]+60),1,0)</f>
        <v>0</v>
      </c>
      <c r="V258">
        <f>IF(ReconciliationData[[#This Row],[total_returned_units]]&gt;ReconciliationData[[#This Row],[ordered_units]],1,0)</f>
        <v>0</v>
      </c>
      <c r="W2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">
        <f>ReconciliationData[[#This Row],[Billed_Units]]*ReconciliationData[[#This Row],[Billed_Price]]</f>
        <v>64580.176500000001</v>
      </c>
      <c r="Y258">
        <f>ReconciliationData[[#This Row],[ordered_units]]*ReconciliationData[[#This Row],[List_Price]]</f>
        <v>64580.176500000001</v>
      </c>
      <c r="Z258">
        <f>ReconciliationData[[#This Row],[billed_revenue]]-ReconciliationData[[#This Row],[expected_revenue]]</f>
        <v>0</v>
      </c>
      <c r="AA2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" t="str">
        <f>IF(ReconciliationData[[#This Row],[severity_score]]=0,"LOW",
 IF(ReconciliationData[[#This Row],[severity_score]]&lt;=5,"MEDIUM","HIGH"))</f>
        <v>LOW</v>
      </c>
      <c r="AC258" t="str">
        <f>TEXT(ReconciliationData[[#This Row],[Order_Date]],"YYYY-MM")</f>
        <v>2023-08</v>
      </c>
    </row>
    <row r="259" spans="1:29">
      <c r="A259" t="s">
        <v>1045</v>
      </c>
      <c r="B259" s="1">
        <v>45615</v>
      </c>
      <c r="C259" t="s">
        <v>1046</v>
      </c>
      <c r="D259" t="s">
        <v>356</v>
      </c>
      <c r="E259">
        <v>179</v>
      </c>
      <c r="F259" t="s">
        <v>1047</v>
      </c>
      <c r="G259">
        <v>179</v>
      </c>
      <c r="H259">
        <v>393.40140000000002</v>
      </c>
      <c r="N259">
        <v>393.40140000000002</v>
      </c>
      <c r="O259" s="1">
        <v>45146</v>
      </c>
      <c r="P259">
        <f>IF(ISBLANK(ReconciliationData[[#This Row],[Invoice_ID]]),1,0)</f>
        <v>0</v>
      </c>
      <c r="Q259">
        <f>IF(AND(NOT(ISBLANK(ReconciliationData[[#This Row],[Billed_Units]])),ReconciliationData[[#This Row],[ordered_units]]&lt;&gt;ReconciliationData[[#This Row],[Billed_Units]]),1,0)</f>
        <v>0</v>
      </c>
      <c r="R2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">
        <f>IF(AND(NOT(ISBLANK(ReconciliationData[[#This Row],[Contract_Price]])),ReconciliationData[[#This Row],[Billed_Price]]&lt;&gt;ReconciliationData[[#This Row],[Contract_Price]]),1,0)</f>
        <v>0</v>
      </c>
      <c r="T259">
        <f>IF(AND(NOT(ISBLANK(ReconciliationData[[#This Row],[End_Date]])),ReconciliationData[[#This Row],[Order_Date]]&gt;ReconciliationData[[#This Row],[End_Date]]),1,0)</f>
        <v>0</v>
      </c>
      <c r="U259">
        <f>IF(AND(NOT(ISBLANK(ReconciliationData[[#This Row],[last_return_date]])),ReconciliationData[[#This Row],[last_return_date]]&gt;ReconciliationData[[#This Row],[Order_Date]]+60),1,0)</f>
        <v>0</v>
      </c>
      <c r="V259">
        <f>IF(ReconciliationData[[#This Row],[total_returned_units]]&gt;ReconciliationData[[#This Row],[ordered_units]],1,0)</f>
        <v>0</v>
      </c>
      <c r="W2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9">
        <f>ReconciliationData[[#This Row],[Billed_Units]]*ReconciliationData[[#This Row],[Billed_Price]]</f>
        <v>70418.850600000005</v>
      </c>
      <c r="Y259">
        <f>ReconciliationData[[#This Row],[ordered_units]]*ReconciliationData[[#This Row],[List_Price]]</f>
        <v>70418.850600000005</v>
      </c>
      <c r="Z259">
        <f>ReconciliationData[[#This Row],[billed_revenue]]-ReconciliationData[[#This Row],[expected_revenue]]</f>
        <v>0</v>
      </c>
      <c r="AA2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9" t="str">
        <f>IF(ReconciliationData[[#This Row],[severity_score]]=0,"LOW",
 IF(ReconciliationData[[#This Row],[severity_score]]&lt;=5,"MEDIUM","HIGH"))</f>
        <v>LOW</v>
      </c>
      <c r="AC259" t="str">
        <f>TEXT(ReconciliationData[[#This Row],[Order_Date]],"YYYY-MM")</f>
        <v>2024-11</v>
      </c>
    </row>
    <row r="260" spans="1:29">
      <c r="A260" t="s">
        <v>1048</v>
      </c>
      <c r="B260" s="1">
        <v>45008</v>
      </c>
      <c r="C260" t="s">
        <v>1049</v>
      </c>
      <c r="D260" t="s">
        <v>1050</v>
      </c>
      <c r="E260">
        <v>66</v>
      </c>
      <c r="F260" t="s">
        <v>1051</v>
      </c>
      <c r="G260">
        <v>64</v>
      </c>
      <c r="H260">
        <v>575.53650000000005</v>
      </c>
      <c r="N260">
        <v>575.53650000000005</v>
      </c>
      <c r="O260" s="1">
        <v>44800</v>
      </c>
      <c r="P260">
        <f>IF(ISBLANK(ReconciliationData[[#This Row],[Invoice_ID]]),1,0)</f>
        <v>0</v>
      </c>
      <c r="Q260">
        <f>IF(AND(NOT(ISBLANK(ReconciliationData[[#This Row],[Billed_Units]])),ReconciliationData[[#This Row],[ordered_units]]&lt;&gt;ReconciliationData[[#This Row],[Billed_Units]]),1,0)</f>
        <v>1</v>
      </c>
      <c r="R2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">
        <f>IF(AND(NOT(ISBLANK(ReconciliationData[[#This Row],[Contract_Price]])),ReconciliationData[[#This Row],[Billed_Price]]&lt;&gt;ReconciliationData[[#This Row],[Contract_Price]]),1,0)</f>
        <v>0</v>
      </c>
      <c r="T260">
        <f>IF(AND(NOT(ISBLANK(ReconciliationData[[#This Row],[End_Date]])),ReconciliationData[[#This Row],[Order_Date]]&gt;ReconciliationData[[#This Row],[End_Date]]),1,0)</f>
        <v>0</v>
      </c>
      <c r="U260">
        <f>IF(AND(NOT(ISBLANK(ReconciliationData[[#This Row],[last_return_date]])),ReconciliationData[[#This Row],[last_return_date]]&gt;ReconciliationData[[#This Row],[Order_Date]]+60),1,0)</f>
        <v>0</v>
      </c>
      <c r="V260">
        <f>IF(ReconciliationData[[#This Row],[total_returned_units]]&gt;ReconciliationData[[#This Row],[ordered_units]],1,0)</f>
        <v>0</v>
      </c>
      <c r="W2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0">
        <f>ReconciliationData[[#This Row],[Billed_Units]]*ReconciliationData[[#This Row],[Billed_Price]]</f>
        <v>36834.336000000003</v>
      </c>
      <c r="Y260">
        <f>ReconciliationData[[#This Row],[ordered_units]]*ReconciliationData[[#This Row],[List_Price]]</f>
        <v>37985.409</v>
      </c>
      <c r="Z260">
        <f>ReconciliationData[[#This Row],[billed_revenue]]-ReconciliationData[[#This Row],[expected_revenue]]</f>
        <v>-1151.0729999999967</v>
      </c>
      <c r="AA2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60" t="str">
        <f>IF(ReconciliationData[[#This Row],[severity_score]]=0,"LOW",
 IF(ReconciliationData[[#This Row],[severity_score]]&lt;=5,"MEDIUM","HIGH"))</f>
        <v>HIGH</v>
      </c>
      <c r="AC260" t="str">
        <f>TEXT(ReconciliationData[[#This Row],[Order_Date]],"YYYY-MM")</f>
        <v>2023-03</v>
      </c>
    </row>
    <row r="261" spans="1:29">
      <c r="A261" t="s">
        <v>1052</v>
      </c>
      <c r="B261" s="1">
        <v>45228</v>
      </c>
      <c r="C261" t="s">
        <v>1053</v>
      </c>
      <c r="D261" t="s">
        <v>624</v>
      </c>
      <c r="E261">
        <v>51</v>
      </c>
      <c r="F261" t="s">
        <v>1054</v>
      </c>
      <c r="G261">
        <v>51</v>
      </c>
      <c r="H261">
        <v>147.17669999999998</v>
      </c>
      <c r="I261">
        <v>18</v>
      </c>
      <c r="J261" s="1">
        <v>45551</v>
      </c>
      <c r="N261">
        <v>147.17669999999998</v>
      </c>
      <c r="O261" s="1">
        <v>45039</v>
      </c>
      <c r="P261">
        <f>IF(ISBLANK(ReconciliationData[[#This Row],[Invoice_ID]]),1,0)</f>
        <v>0</v>
      </c>
      <c r="Q261">
        <f>IF(AND(NOT(ISBLANK(ReconciliationData[[#This Row],[Billed_Units]])),ReconciliationData[[#This Row],[ordered_units]]&lt;&gt;ReconciliationData[[#This Row],[Billed_Units]]),1,0)</f>
        <v>0</v>
      </c>
      <c r="R2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">
        <f>IF(AND(NOT(ISBLANK(ReconciliationData[[#This Row],[Contract_Price]])),ReconciliationData[[#This Row],[Billed_Price]]&lt;&gt;ReconciliationData[[#This Row],[Contract_Price]]),1,0)</f>
        <v>0</v>
      </c>
      <c r="T261">
        <f>IF(AND(NOT(ISBLANK(ReconciliationData[[#This Row],[End_Date]])),ReconciliationData[[#This Row],[Order_Date]]&gt;ReconciliationData[[#This Row],[End_Date]]),1,0)</f>
        <v>0</v>
      </c>
      <c r="U261">
        <f>IF(AND(NOT(ISBLANK(ReconciliationData[[#This Row],[last_return_date]])),ReconciliationData[[#This Row],[last_return_date]]&gt;ReconciliationData[[#This Row],[Order_Date]]+60),1,0)</f>
        <v>1</v>
      </c>
      <c r="V261">
        <f>IF(ReconciliationData[[#This Row],[total_returned_units]]&gt;ReconciliationData[[#This Row],[ordered_units]],1,0)</f>
        <v>0</v>
      </c>
      <c r="W2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1">
        <f>ReconciliationData[[#This Row],[Billed_Units]]*ReconciliationData[[#This Row],[Billed_Price]]</f>
        <v>7506.0116999999991</v>
      </c>
      <c r="Y261">
        <f>ReconciliationData[[#This Row],[ordered_units]]*ReconciliationData[[#This Row],[List_Price]]</f>
        <v>7506.0116999999991</v>
      </c>
      <c r="Z261">
        <f>ReconciliationData[[#This Row],[billed_revenue]]-ReconciliationData[[#This Row],[expected_revenue]]</f>
        <v>0</v>
      </c>
      <c r="AA2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61" t="str">
        <f>IF(ReconciliationData[[#This Row],[severity_score]]=0,"LOW",
 IF(ReconciliationData[[#This Row],[severity_score]]&lt;=5,"MEDIUM","HIGH"))</f>
        <v>MEDIUM</v>
      </c>
      <c r="AC261" t="str">
        <f>TEXT(ReconciliationData[[#This Row],[Order_Date]],"YYYY-MM")</f>
        <v>2023-10</v>
      </c>
    </row>
    <row r="262" spans="1:29">
      <c r="A262" t="s">
        <v>1055</v>
      </c>
      <c r="B262" s="1">
        <v>45641</v>
      </c>
      <c r="C262" t="s">
        <v>1056</v>
      </c>
      <c r="D262" t="s">
        <v>1057</v>
      </c>
      <c r="E262">
        <v>68</v>
      </c>
      <c r="F262" t="s">
        <v>1058</v>
      </c>
      <c r="G262">
        <v>68</v>
      </c>
      <c r="H262">
        <v>212.07900000000001</v>
      </c>
      <c r="N262">
        <v>212.07900000000001</v>
      </c>
      <c r="O262" s="1">
        <v>45057</v>
      </c>
      <c r="P262">
        <f>IF(ISBLANK(ReconciliationData[[#This Row],[Invoice_ID]]),1,0)</f>
        <v>0</v>
      </c>
      <c r="Q262">
        <f>IF(AND(NOT(ISBLANK(ReconciliationData[[#This Row],[Billed_Units]])),ReconciliationData[[#This Row],[ordered_units]]&lt;&gt;ReconciliationData[[#This Row],[Billed_Units]]),1,0)</f>
        <v>0</v>
      </c>
      <c r="R2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">
        <f>IF(AND(NOT(ISBLANK(ReconciliationData[[#This Row],[Contract_Price]])),ReconciliationData[[#This Row],[Billed_Price]]&lt;&gt;ReconciliationData[[#This Row],[Contract_Price]]),1,0)</f>
        <v>0</v>
      </c>
      <c r="T262">
        <f>IF(AND(NOT(ISBLANK(ReconciliationData[[#This Row],[End_Date]])),ReconciliationData[[#This Row],[Order_Date]]&gt;ReconciliationData[[#This Row],[End_Date]]),1,0)</f>
        <v>0</v>
      </c>
      <c r="U262">
        <f>IF(AND(NOT(ISBLANK(ReconciliationData[[#This Row],[last_return_date]])),ReconciliationData[[#This Row],[last_return_date]]&gt;ReconciliationData[[#This Row],[Order_Date]]+60),1,0)</f>
        <v>0</v>
      </c>
      <c r="V262">
        <f>IF(ReconciliationData[[#This Row],[total_returned_units]]&gt;ReconciliationData[[#This Row],[ordered_units]],1,0)</f>
        <v>0</v>
      </c>
      <c r="W2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">
        <f>ReconciliationData[[#This Row],[Billed_Units]]*ReconciliationData[[#This Row],[Billed_Price]]</f>
        <v>14421.372000000001</v>
      </c>
      <c r="Y262">
        <f>ReconciliationData[[#This Row],[ordered_units]]*ReconciliationData[[#This Row],[List_Price]]</f>
        <v>14421.372000000001</v>
      </c>
      <c r="Z262">
        <f>ReconciliationData[[#This Row],[billed_revenue]]-ReconciliationData[[#This Row],[expected_revenue]]</f>
        <v>0</v>
      </c>
      <c r="AA2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" t="str">
        <f>IF(ReconciliationData[[#This Row],[severity_score]]=0,"LOW",
 IF(ReconciliationData[[#This Row],[severity_score]]&lt;=5,"MEDIUM","HIGH"))</f>
        <v>LOW</v>
      </c>
      <c r="AC262" t="str">
        <f>TEXT(ReconciliationData[[#This Row],[Order_Date]],"YYYY-MM")</f>
        <v>2024-12</v>
      </c>
    </row>
    <row r="263" spans="1:29">
      <c r="A263" t="s">
        <v>1059</v>
      </c>
      <c r="B263" s="1">
        <v>45006</v>
      </c>
      <c r="C263" t="s">
        <v>1060</v>
      </c>
      <c r="D263" t="s">
        <v>1061</v>
      </c>
      <c r="E263">
        <v>11</v>
      </c>
      <c r="F263" t="s">
        <v>1062</v>
      </c>
      <c r="G263">
        <v>7</v>
      </c>
      <c r="H263">
        <v>78.298400000000001</v>
      </c>
      <c r="N263">
        <v>78.298400000000001</v>
      </c>
      <c r="O263" s="1">
        <v>44919</v>
      </c>
      <c r="P263">
        <f>IF(ISBLANK(ReconciliationData[[#This Row],[Invoice_ID]]),1,0)</f>
        <v>0</v>
      </c>
      <c r="Q263">
        <f>IF(AND(NOT(ISBLANK(ReconciliationData[[#This Row],[Billed_Units]])),ReconciliationData[[#This Row],[ordered_units]]&lt;&gt;ReconciliationData[[#This Row],[Billed_Units]]),1,0)</f>
        <v>1</v>
      </c>
      <c r="R2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">
        <f>IF(AND(NOT(ISBLANK(ReconciliationData[[#This Row],[Contract_Price]])),ReconciliationData[[#This Row],[Billed_Price]]&lt;&gt;ReconciliationData[[#This Row],[Contract_Price]]),1,0)</f>
        <v>0</v>
      </c>
      <c r="T263">
        <f>IF(AND(NOT(ISBLANK(ReconciliationData[[#This Row],[End_Date]])),ReconciliationData[[#This Row],[Order_Date]]&gt;ReconciliationData[[#This Row],[End_Date]]),1,0)</f>
        <v>0</v>
      </c>
      <c r="U263">
        <f>IF(AND(NOT(ISBLANK(ReconciliationData[[#This Row],[last_return_date]])),ReconciliationData[[#This Row],[last_return_date]]&gt;ReconciliationData[[#This Row],[Order_Date]]+60),1,0)</f>
        <v>0</v>
      </c>
      <c r="V263">
        <f>IF(ReconciliationData[[#This Row],[total_returned_units]]&gt;ReconciliationData[[#This Row],[ordered_units]],1,0)</f>
        <v>0</v>
      </c>
      <c r="W2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3">
        <f>ReconciliationData[[#This Row],[Billed_Units]]*ReconciliationData[[#This Row],[Billed_Price]]</f>
        <v>548.08879999999999</v>
      </c>
      <c r="Y263">
        <f>ReconciliationData[[#This Row],[ordered_units]]*ReconciliationData[[#This Row],[List_Price]]</f>
        <v>861.28240000000005</v>
      </c>
      <c r="Z263">
        <f>ReconciliationData[[#This Row],[billed_revenue]]-ReconciliationData[[#This Row],[expected_revenue]]</f>
        <v>-313.19360000000006</v>
      </c>
      <c r="AA2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263" t="str">
        <f>IF(ReconciliationData[[#This Row],[severity_score]]=0,"LOW",
 IF(ReconciliationData[[#This Row],[severity_score]]&lt;=5,"MEDIUM","HIGH"))</f>
        <v>MEDIUM</v>
      </c>
      <c r="AC263" t="str">
        <f>TEXT(ReconciliationData[[#This Row],[Order_Date]],"YYYY-MM")</f>
        <v>2023-03</v>
      </c>
    </row>
    <row r="264" spans="1:29">
      <c r="A264" t="s">
        <v>1063</v>
      </c>
      <c r="B264" s="1">
        <v>45076</v>
      </c>
      <c r="C264" t="s">
        <v>1064</v>
      </c>
      <c r="D264" t="s">
        <v>1007</v>
      </c>
      <c r="E264">
        <v>27</v>
      </c>
      <c r="F264" t="s">
        <v>1065</v>
      </c>
      <c r="G264">
        <v>27</v>
      </c>
      <c r="H264">
        <v>121.13</v>
      </c>
      <c r="I264">
        <v>13</v>
      </c>
      <c r="J264" s="1">
        <v>45433</v>
      </c>
      <c r="N264">
        <v>121.13</v>
      </c>
      <c r="O264" s="1">
        <v>44957</v>
      </c>
      <c r="P264">
        <f>IF(ISBLANK(ReconciliationData[[#This Row],[Invoice_ID]]),1,0)</f>
        <v>0</v>
      </c>
      <c r="Q264">
        <f>IF(AND(NOT(ISBLANK(ReconciliationData[[#This Row],[Billed_Units]])),ReconciliationData[[#This Row],[ordered_units]]&lt;&gt;ReconciliationData[[#This Row],[Billed_Units]]),1,0)</f>
        <v>0</v>
      </c>
      <c r="R2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">
        <f>IF(AND(NOT(ISBLANK(ReconciliationData[[#This Row],[Contract_Price]])),ReconciliationData[[#This Row],[Billed_Price]]&lt;&gt;ReconciliationData[[#This Row],[Contract_Price]]),1,0)</f>
        <v>0</v>
      </c>
      <c r="T264">
        <f>IF(AND(NOT(ISBLANK(ReconciliationData[[#This Row],[End_Date]])),ReconciliationData[[#This Row],[Order_Date]]&gt;ReconciliationData[[#This Row],[End_Date]]),1,0)</f>
        <v>0</v>
      </c>
      <c r="U264">
        <f>IF(AND(NOT(ISBLANK(ReconciliationData[[#This Row],[last_return_date]])),ReconciliationData[[#This Row],[last_return_date]]&gt;ReconciliationData[[#This Row],[Order_Date]]+60),1,0)</f>
        <v>1</v>
      </c>
      <c r="V264">
        <f>IF(ReconciliationData[[#This Row],[total_returned_units]]&gt;ReconciliationData[[#This Row],[ordered_units]],1,0)</f>
        <v>0</v>
      </c>
      <c r="W2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4">
        <f>ReconciliationData[[#This Row],[Billed_Units]]*ReconciliationData[[#This Row],[Billed_Price]]</f>
        <v>3270.5099999999998</v>
      </c>
      <c r="Y264">
        <f>ReconciliationData[[#This Row],[ordered_units]]*ReconciliationData[[#This Row],[List_Price]]</f>
        <v>3270.5099999999998</v>
      </c>
      <c r="Z264">
        <f>ReconciliationData[[#This Row],[billed_revenue]]-ReconciliationData[[#This Row],[expected_revenue]]</f>
        <v>0</v>
      </c>
      <c r="AA2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64" t="str">
        <f>IF(ReconciliationData[[#This Row],[severity_score]]=0,"LOW",
 IF(ReconciliationData[[#This Row],[severity_score]]&lt;=5,"MEDIUM","HIGH"))</f>
        <v>MEDIUM</v>
      </c>
      <c r="AC264" t="str">
        <f>TEXT(ReconciliationData[[#This Row],[Order_Date]],"YYYY-MM")</f>
        <v>2023-05</v>
      </c>
    </row>
    <row r="265" spans="1:29">
      <c r="A265" t="s">
        <v>1066</v>
      </c>
      <c r="B265" s="1">
        <v>45291</v>
      </c>
      <c r="C265" t="s">
        <v>1067</v>
      </c>
      <c r="D265" t="s">
        <v>610</v>
      </c>
      <c r="E265">
        <v>79</v>
      </c>
      <c r="F265" t="s">
        <v>1068</v>
      </c>
      <c r="G265">
        <v>85</v>
      </c>
      <c r="H265">
        <v>457.65019999999998</v>
      </c>
      <c r="N265">
        <v>457.65019999999998</v>
      </c>
      <c r="O265" s="1">
        <v>44950</v>
      </c>
      <c r="P265">
        <f>IF(ISBLANK(ReconciliationData[[#This Row],[Invoice_ID]]),1,0)</f>
        <v>0</v>
      </c>
      <c r="Q265">
        <f>IF(AND(NOT(ISBLANK(ReconciliationData[[#This Row],[Billed_Units]])),ReconciliationData[[#This Row],[ordered_units]]&lt;&gt;ReconciliationData[[#This Row],[Billed_Units]]),1,0)</f>
        <v>1</v>
      </c>
      <c r="R2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">
        <f>IF(AND(NOT(ISBLANK(ReconciliationData[[#This Row],[Contract_Price]])),ReconciliationData[[#This Row],[Billed_Price]]&lt;&gt;ReconciliationData[[#This Row],[Contract_Price]]),1,0)</f>
        <v>0</v>
      </c>
      <c r="T265">
        <f>IF(AND(NOT(ISBLANK(ReconciliationData[[#This Row],[End_Date]])),ReconciliationData[[#This Row],[Order_Date]]&gt;ReconciliationData[[#This Row],[End_Date]]),1,0)</f>
        <v>0</v>
      </c>
      <c r="U265">
        <f>IF(AND(NOT(ISBLANK(ReconciliationData[[#This Row],[last_return_date]])),ReconciliationData[[#This Row],[last_return_date]]&gt;ReconciliationData[[#This Row],[Order_Date]]+60),1,0)</f>
        <v>0</v>
      </c>
      <c r="V265">
        <f>IF(ReconciliationData[[#This Row],[total_returned_units]]&gt;ReconciliationData[[#This Row],[ordered_units]],1,0)</f>
        <v>0</v>
      </c>
      <c r="W2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5">
        <f>ReconciliationData[[#This Row],[Billed_Units]]*ReconciliationData[[#This Row],[Billed_Price]]</f>
        <v>38900.267</v>
      </c>
      <c r="Y265">
        <f>ReconciliationData[[#This Row],[ordered_units]]*ReconciliationData[[#This Row],[List_Price]]</f>
        <v>36154.3658</v>
      </c>
      <c r="Z265">
        <f>ReconciliationData[[#This Row],[billed_revenue]]-ReconciliationData[[#This Row],[expected_revenue]]</f>
        <v>2745.9012000000002</v>
      </c>
      <c r="AA2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65" t="str">
        <f>IF(ReconciliationData[[#This Row],[severity_score]]=0,"LOW",
 IF(ReconciliationData[[#This Row],[severity_score]]&lt;=5,"MEDIUM","HIGH"))</f>
        <v>HIGH</v>
      </c>
      <c r="AC265" t="str">
        <f>TEXT(ReconciliationData[[#This Row],[Order_Date]],"YYYY-MM")</f>
        <v>2023-12</v>
      </c>
    </row>
    <row r="266" spans="1:29">
      <c r="A266" t="s">
        <v>1069</v>
      </c>
      <c r="B266" s="1">
        <v>45056</v>
      </c>
      <c r="C266" t="s">
        <v>1070</v>
      </c>
      <c r="D266" t="s">
        <v>1071</v>
      </c>
      <c r="E266">
        <v>155</v>
      </c>
      <c r="F266" t="s">
        <v>1072</v>
      </c>
      <c r="G266">
        <v>155</v>
      </c>
      <c r="H266">
        <v>335.39150000000001</v>
      </c>
      <c r="N266">
        <v>335.39150000000001</v>
      </c>
      <c r="O266" s="1">
        <v>44986</v>
      </c>
      <c r="P266">
        <f>IF(ISBLANK(ReconciliationData[[#This Row],[Invoice_ID]]),1,0)</f>
        <v>0</v>
      </c>
      <c r="Q266">
        <f>IF(AND(NOT(ISBLANK(ReconciliationData[[#This Row],[Billed_Units]])),ReconciliationData[[#This Row],[ordered_units]]&lt;&gt;ReconciliationData[[#This Row],[Billed_Units]]),1,0)</f>
        <v>0</v>
      </c>
      <c r="R2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">
        <f>IF(AND(NOT(ISBLANK(ReconciliationData[[#This Row],[Contract_Price]])),ReconciliationData[[#This Row],[Billed_Price]]&lt;&gt;ReconciliationData[[#This Row],[Contract_Price]]),1,0)</f>
        <v>0</v>
      </c>
      <c r="T266">
        <f>IF(AND(NOT(ISBLANK(ReconciliationData[[#This Row],[End_Date]])),ReconciliationData[[#This Row],[Order_Date]]&gt;ReconciliationData[[#This Row],[End_Date]]),1,0)</f>
        <v>0</v>
      </c>
      <c r="U266">
        <f>IF(AND(NOT(ISBLANK(ReconciliationData[[#This Row],[last_return_date]])),ReconciliationData[[#This Row],[last_return_date]]&gt;ReconciliationData[[#This Row],[Order_Date]]+60),1,0)</f>
        <v>0</v>
      </c>
      <c r="V266">
        <f>IF(ReconciliationData[[#This Row],[total_returned_units]]&gt;ReconciliationData[[#This Row],[ordered_units]],1,0)</f>
        <v>0</v>
      </c>
      <c r="W2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6">
        <f>ReconciliationData[[#This Row],[Billed_Units]]*ReconciliationData[[#This Row],[Billed_Price]]</f>
        <v>51985.682500000003</v>
      </c>
      <c r="Y266">
        <f>ReconciliationData[[#This Row],[ordered_units]]*ReconciliationData[[#This Row],[List_Price]]</f>
        <v>51985.682500000003</v>
      </c>
      <c r="Z266">
        <f>ReconciliationData[[#This Row],[billed_revenue]]-ReconciliationData[[#This Row],[expected_revenue]]</f>
        <v>0</v>
      </c>
      <c r="AA2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6" t="str">
        <f>IF(ReconciliationData[[#This Row],[severity_score]]=0,"LOW",
 IF(ReconciliationData[[#This Row],[severity_score]]&lt;=5,"MEDIUM","HIGH"))</f>
        <v>LOW</v>
      </c>
      <c r="AC266" t="str">
        <f>TEXT(ReconciliationData[[#This Row],[Order_Date]],"YYYY-MM")</f>
        <v>2023-05</v>
      </c>
    </row>
    <row r="267" spans="1:29">
      <c r="A267" t="s">
        <v>1073</v>
      </c>
      <c r="B267" s="1">
        <v>45155</v>
      </c>
      <c r="C267" t="s">
        <v>1074</v>
      </c>
      <c r="D267" t="s">
        <v>190</v>
      </c>
      <c r="E267">
        <v>37</v>
      </c>
      <c r="F267" t="s">
        <v>1075</v>
      </c>
      <c r="G267">
        <v>37</v>
      </c>
      <c r="H267">
        <v>265.44960000000003</v>
      </c>
      <c r="N267">
        <v>265.44960000000003</v>
      </c>
      <c r="O267" s="1">
        <v>44999</v>
      </c>
      <c r="P267">
        <f>IF(ISBLANK(ReconciliationData[[#This Row],[Invoice_ID]]),1,0)</f>
        <v>0</v>
      </c>
      <c r="Q267">
        <f>IF(AND(NOT(ISBLANK(ReconciliationData[[#This Row],[Billed_Units]])),ReconciliationData[[#This Row],[ordered_units]]&lt;&gt;ReconciliationData[[#This Row],[Billed_Units]]),1,0)</f>
        <v>0</v>
      </c>
      <c r="R2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7">
        <f>IF(AND(NOT(ISBLANK(ReconciliationData[[#This Row],[Contract_Price]])),ReconciliationData[[#This Row],[Billed_Price]]&lt;&gt;ReconciliationData[[#This Row],[Contract_Price]]),1,0)</f>
        <v>0</v>
      </c>
      <c r="T267">
        <f>IF(AND(NOT(ISBLANK(ReconciliationData[[#This Row],[End_Date]])),ReconciliationData[[#This Row],[Order_Date]]&gt;ReconciliationData[[#This Row],[End_Date]]),1,0)</f>
        <v>0</v>
      </c>
      <c r="U267">
        <f>IF(AND(NOT(ISBLANK(ReconciliationData[[#This Row],[last_return_date]])),ReconciliationData[[#This Row],[last_return_date]]&gt;ReconciliationData[[#This Row],[Order_Date]]+60),1,0)</f>
        <v>0</v>
      </c>
      <c r="V267">
        <f>IF(ReconciliationData[[#This Row],[total_returned_units]]&gt;ReconciliationData[[#This Row],[ordered_units]],1,0)</f>
        <v>0</v>
      </c>
      <c r="W2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7">
        <f>ReconciliationData[[#This Row],[Billed_Units]]*ReconciliationData[[#This Row],[Billed_Price]]</f>
        <v>9821.6352000000006</v>
      </c>
      <c r="Y267">
        <f>ReconciliationData[[#This Row],[ordered_units]]*ReconciliationData[[#This Row],[List_Price]]</f>
        <v>9821.6352000000006</v>
      </c>
      <c r="Z267">
        <f>ReconciliationData[[#This Row],[billed_revenue]]-ReconciliationData[[#This Row],[expected_revenue]]</f>
        <v>0</v>
      </c>
      <c r="AA2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7" t="str">
        <f>IF(ReconciliationData[[#This Row],[severity_score]]=0,"LOW",
 IF(ReconciliationData[[#This Row],[severity_score]]&lt;=5,"MEDIUM","HIGH"))</f>
        <v>LOW</v>
      </c>
      <c r="AC267" t="str">
        <f>TEXT(ReconciliationData[[#This Row],[Order_Date]],"YYYY-MM")</f>
        <v>2023-08</v>
      </c>
    </row>
    <row r="268" spans="1:29">
      <c r="A268" t="s">
        <v>1076</v>
      </c>
      <c r="B268" s="1">
        <v>45397</v>
      </c>
      <c r="C268" t="s">
        <v>1077</v>
      </c>
      <c r="D268" t="s">
        <v>174</v>
      </c>
      <c r="E268">
        <v>111</v>
      </c>
      <c r="F268" t="s">
        <v>1078</v>
      </c>
      <c r="G268">
        <v>111</v>
      </c>
      <c r="H268">
        <v>461.69279999999998</v>
      </c>
      <c r="I268">
        <v>11</v>
      </c>
      <c r="J268" s="1">
        <v>45307</v>
      </c>
      <c r="N268">
        <v>461.69279999999998</v>
      </c>
      <c r="O268" s="1">
        <v>45031</v>
      </c>
      <c r="P268">
        <f>IF(ISBLANK(ReconciliationData[[#This Row],[Invoice_ID]]),1,0)</f>
        <v>0</v>
      </c>
      <c r="Q268">
        <f>IF(AND(NOT(ISBLANK(ReconciliationData[[#This Row],[Billed_Units]])),ReconciliationData[[#This Row],[ordered_units]]&lt;&gt;ReconciliationData[[#This Row],[Billed_Units]]),1,0)</f>
        <v>0</v>
      </c>
      <c r="R2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8">
        <f>IF(AND(NOT(ISBLANK(ReconciliationData[[#This Row],[Contract_Price]])),ReconciliationData[[#This Row],[Billed_Price]]&lt;&gt;ReconciliationData[[#This Row],[Contract_Price]]),1,0)</f>
        <v>0</v>
      </c>
      <c r="T268">
        <f>IF(AND(NOT(ISBLANK(ReconciliationData[[#This Row],[End_Date]])),ReconciliationData[[#This Row],[Order_Date]]&gt;ReconciliationData[[#This Row],[End_Date]]),1,0)</f>
        <v>0</v>
      </c>
      <c r="U268">
        <f>IF(AND(NOT(ISBLANK(ReconciliationData[[#This Row],[last_return_date]])),ReconciliationData[[#This Row],[last_return_date]]&gt;ReconciliationData[[#This Row],[Order_Date]]+60),1,0)</f>
        <v>0</v>
      </c>
      <c r="V268">
        <f>IF(ReconciliationData[[#This Row],[total_returned_units]]&gt;ReconciliationData[[#This Row],[ordered_units]],1,0)</f>
        <v>0</v>
      </c>
      <c r="W2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8">
        <f>ReconciliationData[[#This Row],[Billed_Units]]*ReconciliationData[[#This Row],[Billed_Price]]</f>
        <v>51247.900799999996</v>
      </c>
      <c r="Y268">
        <f>ReconciliationData[[#This Row],[ordered_units]]*ReconciliationData[[#This Row],[List_Price]]</f>
        <v>51247.900799999996</v>
      </c>
      <c r="Z268">
        <f>ReconciliationData[[#This Row],[billed_revenue]]-ReconciliationData[[#This Row],[expected_revenue]]</f>
        <v>0</v>
      </c>
      <c r="AA2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8" t="str">
        <f>IF(ReconciliationData[[#This Row],[severity_score]]=0,"LOW",
 IF(ReconciliationData[[#This Row],[severity_score]]&lt;=5,"MEDIUM","HIGH"))</f>
        <v>LOW</v>
      </c>
      <c r="AC268" t="str">
        <f>TEXT(ReconciliationData[[#This Row],[Order_Date]],"YYYY-MM")</f>
        <v>2024-04</v>
      </c>
    </row>
    <row r="269" spans="1:29">
      <c r="A269" t="s">
        <v>1079</v>
      </c>
      <c r="B269" s="1">
        <v>45007</v>
      </c>
      <c r="C269" t="s">
        <v>767</v>
      </c>
      <c r="D269" t="s">
        <v>174</v>
      </c>
      <c r="E269">
        <v>142</v>
      </c>
      <c r="F269" t="s">
        <v>1080</v>
      </c>
      <c r="G269">
        <v>142</v>
      </c>
      <c r="H269">
        <v>452.64</v>
      </c>
      <c r="N269">
        <v>452.64</v>
      </c>
      <c r="O269" s="1">
        <v>44694</v>
      </c>
      <c r="P269">
        <f>IF(ISBLANK(ReconciliationData[[#This Row],[Invoice_ID]]),1,0)</f>
        <v>0</v>
      </c>
      <c r="Q269">
        <f>IF(AND(NOT(ISBLANK(ReconciliationData[[#This Row],[Billed_Units]])),ReconciliationData[[#This Row],[ordered_units]]&lt;&gt;ReconciliationData[[#This Row],[Billed_Units]]),1,0)</f>
        <v>0</v>
      </c>
      <c r="R2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">
        <f>IF(AND(NOT(ISBLANK(ReconciliationData[[#This Row],[Contract_Price]])),ReconciliationData[[#This Row],[Billed_Price]]&lt;&gt;ReconciliationData[[#This Row],[Contract_Price]]),1,0)</f>
        <v>0</v>
      </c>
      <c r="T269">
        <f>IF(AND(NOT(ISBLANK(ReconciliationData[[#This Row],[End_Date]])),ReconciliationData[[#This Row],[Order_Date]]&gt;ReconciliationData[[#This Row],[End_Date]]),1,0)</f>
        <v>0</v>
      </c>
      <c r="U269">
        <f>IF(AND(NOT(ISBLANK(ReconciliationData[[#This Row],[last_return_date]])),ReconciliationData[[#This Row],[last_return_date]]&gt;ReconciliationData[[#This Row],[Order_Date]]+60),1,0)</f>
        <v>0</v>
      </c>
      <c r="V269">
        <f>IF(ReconciliationData[[#This Row],[total_returned_units]]&gt;ReconciliationData[[#This Row],[ordered_units]],1,0)</f>
        <v>0</v>
      </c>
      <c r="W2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9">
        <f>ReconciliationData[[#This Row],[Billed_Units]]*ReconciliationData[[#This Row],[Billed_Price]]</f>
        <v>64274.879999999997</v>
      </c>
      <c r="Y269">
        <f>ReconciliationData[[#This Row],[ordered_units]]*ReconciliationData[[#This Row],[List_Price]]</f>
        <v>64274.879999999997</v>
      </c>
      <c r="Z269">
        <f>ReconciliationData[[#This Row],[billed_revenue]]-ReconciliationData[[#This Row],[expected_revenue]]</f>
        <v>0</v>
      </c>
      <c r="AA2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9" t="str">
        <f>IF(ReconciliationData[[#This Row],[severity_score]]=0,"LOW",
 IF(ReconciliationData[[#This Row],[severity_score]]&lt;=5,"MEDIUM","HIGH"))</f>
        <v>LOW</v>
      </c>
      <c r="AC269" t="str">
        <f>TEXT(ReconciliationData[[#This Row],[Order_Date]],"YYYY-MM")</f>
        <v>2023-03</v>
      </c>
    </row>
    <row r="270" spans="1:29">
      <c r="A270" t="s">
        <v>1081</v>
      </c>
      <c r="B270" s="1">
        <v>45486</v>
      </c>
      <c r="C270" t="s">
        <v>1082</v>
      </c>
      <c r="D270" t="s">
        <v>1083</v>
      </c>
      <c r="E270">
        <v>171</v>
      </c>
      <c r="F270" t="s">
        <v>1084</v>
      </c>
      <c r="G270">
        <v>171</v>
      </c>
      <c r="H270">
        <v>479.40280000000007</v>
      </c>
      <c r="N270">
        <v>479.40280000000007</v>
      </c>
      <c r="O270" s="1">
        <v>44941</v>
      </c>
      <c r="P270">
        <f>IF(ISBLANK(ReconciliationData[[#This Row],[Invoice_ID]]),1,0)</f>
        <v>0</v>
      </c>
      <c r="Q270">
        <f>IF(AND(NOT(ISBLANK(ReconciliationData[[#This Row],[Billed_Units]])),ReconciliationData[[#This Row],[ordered_units]]&lt;&gt;ReconciliationData[[#This Row],[Billed_Units]]),1,0)</f>
        <v>0</v>
      </c>
      <c r="R2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">
        <f>IF(AND(NOT(ISBLANK(ReconciliationData[[#This Row],[Contract_Price]])),ReconciliationData[[#This Row],[Billed_Price]]&lt;&gt;ReconciliationData[[#This Row],[Contract_Price]]),1,0)</f>
        <v>0</v>
      </c>
      <c r="T270">
        <f>IF(AND(NOT(ISBLANK(ReconciliationData[[#This Row],[End_Date]])),ReconciliationData[[#This Row],[Order_Date]]&gt;ReconciliationData[[#This Row],[End_Date]]),1,0)</f>
        <v>0</v>
      </c>
      <c r="U270">
        <f>IF(AND(NOT(ISBLANK(ReconciliationData[[#This Row],[last_return_date]])),ReconciliationData[[#This Row],[last_return_date]]&gt;ReconciliationData[[#This Row],[Order_Date]]+60),1,0)</f>
        <v>0</v>
      </c>
      <c r="V270">
        <f>IF(ReconciliationData[[#This Row],[total_returned_units]]&gt;ReconciliationData[[#This Row],[ordered_units]],1,0)</f>
        <v>0</v>
      </c>
      <c r="W2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">
        <f>ReconciliationData[[#This Row],[Billed_Units]]*ReconciliationData[[#This Row],[Billed_Price]]</f>
        <v>81977.878800000006</v>
      </c>
      <c r="Y270">
        <f>ReconciliationData[[#This Row],[ordered_units]]*ReconciliationData[[#This Row],[List_Price]]</f>
        <v>81977.878800000006</v>
      </c>
      <c r="Z270">
        <f>ReconciliationData[[#This Row],[billed_revenue]]-ReconciliationData[[#This Row],[expected_revenue]]</f>
        <v>0</v>
      </c>
      <c r="AA2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" t="str">
        <f>IF(ReconciliationData[[#This Row],[severity_score]]=0,"LOW",
 IF(ReconciliationData[[#This Row],[severity_score]]&lt;=5,"MEDIUM","HIGH"))</f>
        <v>LOW</v>
      </c>
      <c r="AC270" t="str">
        <f>TEXT(ReconciliationData[[#This Row],[Order_Date]],"YYYY-MM")</f>
        <v>2024-07</v>
      </c>
    </row>
    <row r="271" spans="1:29">
      <c r="A271" t="s">
        <v>1085</v>
      </c>
      <c r="B271" s="1">
        <v>44959</v>
      </c>
      <c r="C271" t="s">
        <v>161</v>
      </c>
      <c r="D271" t="s">
        <v>263</v>
      </c>
      <c r="E271">
        <v>60</v>
      </c>
      <c r="F271" t="s">
        <v>1086</v>
      </c>
      <c r="G271">
        <v>60</v>
      </c>
      <c r="H271">
        <v>1147.3289</v>
      </c>
      <c r="N271">
        <v>1147.3289</v>
      </c>
      <c r="O271" s="1">
        <v>44945</v>
      </c>
      <c r="P271">
        <f>IF(ISBLANK(ReconciliationData[[#This Row],[Invoice_ID]]),1,0)</f>
        <v>0</v>
      </c>
      <c r="Q271">
        <f>IF(AND(NOT(ISBLANK(ReconciliationData[[#This Row],[Billed_Units]])),ReconciliationData[[#This Row],[ordered_units]]&lt;&gt;ReconciliationData[[#This Row],[Billed_Units]]),1,0)</f>
        <v>0</v>
      </c>
      <c r="R2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">
        <f>IF(AND(NOT(ISBLANK(ReconciliationData[[#This Row],[Contract_Price]])),ReconciliationData[[#This Row],[Billed_Price]]&lt;&gt;ReconciliationData[[#This Row],[Contract_Price]]),1,0)</f>
        <v>0</v>
      </c>
      <c r="T271">
        <f>IF(AND(NOT(ISBLANK(ReconciliationData[[#This Row],[End_Date]])),ReconciliationData[[#This Row],[Order_Date]]&gt;ReconciliationData[[#This Row],[End_Date]]),1,0)</f>
        <v>0</v>
      </c>
      <c r="U271">
        <f>IF(AND(NOT(ISBLANK(ReconciliationData[[#This Row],[last_return_date]])),ReconciliationData[[#This Row],[last_return_date]]&gt;ReconciliationData[[#This Row],[Order_Date]]+60),1,0)</f>
        <v>0</v>
      </c>
      <c r="V271">
        <f>IF(ReconciliationData[[#This Row],[total_returned_units]]&gt;ReconciliationData[[#This Row],[ordered_units]],1,0)</f>
        <v>0</v>
      </c>
      <c r="W2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">
        <f>ReconciliationData[[#This Row],[Billed_Units]]*ReconciliationData[[#This Row],[Billed_Price]]</f>
        <v>68839.733999999997</v>
      </c>
      <c r="Y271">
        <f>ReconciliationData[[#This Row],[ordered_units]]*ReconciliationData[[#This Row],[List_Price]]</f>
        <v>68839.733999999997</v>
      </c>
      <c r="Z271">
        <f>ReconciliationData[[#This Row],[billed_revenue]]-ReconciliationData[[#This Row],[expected_revenue]]</f>
        <v>0</v>
      </c>
      <c r="AA2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" t="str">
        <f>IF(ReconciliationData[[#This Row],[severity_score]]=0,"LOW",
 IF(ReconciliationData[[#This Row],[severity_score]]&lt;=5,"MEDIUM","HIGH"))</f>
        <v>LOW</v>
      </c>
      <c r="AC271" t="str">
        <f>TEXT(ReconciliationData[[#This Row],[Order_Date]],"YYYY-MM")</f>
        <v>2023-02</v>
      </c>
    </row>
    <row r="272" spans="1:29">
      <c r="A272" t="s">
        <v>1087</v>
      </c>
      <c r="B272" s="1">
        <v>44979</v>
      </c>
      <c r="C272" t="s">
        <v>209</v>
      </c>
      <c r="D272" t="s">
        <v>1088</v>
      </c>
      <c r="E272">
        <v>128</v>
      </c>
      <c r="F272" t="s">
        <v>1089</v>
      </c>
      <c r="G272">
        <v>128</v>
      </c>
      <c r="H272">
        <v>72.63</v>
      </c>
      <c r="N272">
        <v>72.63</v>
      </c>
      <c r="O272" s="1">
        <v>44956</v>
      </c>
      <c r="P272">
        <f>IF(ISBLANK(ReconciliationData[[#This Row],[Invoice_ID]]),1,0)</f>
        <v>0</v>
      </c>
      <c r="Q272">
        <f>IF(AND(NOT(ISBLANK(ReconciliationData[[#This Row],[Billed_Units]])),ReconciliationData[[#This Row],[ordered_units]]&lt;&gt;ReconciliationData[[#This Row],[Billed_Units]]),1,0)</f>
        <v>0</v>
      </c>
      <c r="R2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">
        <f>IF(AND(NOT(ISBLANK(ReconciliationData[[#This Row],[Contract_Price]])),ReconciliationData[[#This Row],[Billed_Price]]&lt;&gt;ReconciliationData[[#This Row],[Contract_Price]]),1,0)</f>
        <v>0</v>
      </c>
      <c r="T272">
        <f>IF(AND(NOT(ISBLANK(ReconciliationData[[#This Row],[End_Date]])),ReconciliationData[[#This Row],[Order_Date]]&gt;ReconciliationData[[#This Row],[End_Date]]),1,0)</f>
        <v>0</v>
      </c>
      <c r="U272">
        <f>IF(AND(NOT(ISBLANK(ReconciliationData[[#This Row],[last_return_date]])),ReconciliationData[[#This Row],[last_return_date]]&gt;ReconciliationData[[#This Row],[Order_Date]]+60),1,0)</f>
        <v>0</v>
      </c>
      <c r="V272">
        <f>IF(ReconciliationData[[#This Row],[total_returned_units]]&gt;ReconciliationData[[#This Row],[ordered_units]],1,0)</f>
        <v>0</v>
      </c>
      <c r="W2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2">
        <f>ReconciliationData[[#This Row],[Billed_Units]]*ReconciliationData[[#This Row],[Billed_Price]]</f>
        <v>9296.64</v>
      </c>
      <c r="Y272">
        <f>ReconciliationData[[#This Row],[ordered_units]]*ReconciliationData[[#This Row],[List_Price]]</f>
        <v>9296.64</v>
      </c>
      <c r="Z272">
        <f>ReconciliationData[[#This Row],[billed_revenue]]-ReconciliationData[[#This Row],[expected_revenue]]</f>
        <v>0</v>
      </c>
      <c r="AA2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2" t="str">
        <f>IF(ReconciliationData[[#This Row],[severity_score]]=0,"LOW",
 IF(ReconciliationData[[#This Row],[severity_score]]&lt;=5,"MEDIUM","HIGH"))</f>
        <v>LOW</v>
      </c>
      <c r="AC272" t="str">
        <f>TEXT(ReconciliationData[[#This Row],[Order_Date]],"YYYY-MM")</f>
        <v>2023-02</v>
      </c>
    </row>
    <row r="273" spans="1:29">
      <c r="A273" t="s">
        <v>1090</v>
      </c>
      <c r="B273" s="1">
        <v>45542</v>
      </c>
      <c r="C273" t="s">
        <v>528</v>
      </c>
      <c r="D273" t="s">
        <v>309</v>
      </c>
      <c r="E273">
        <v>3</v>
      </c>
      <c r="F273" t="s">
        <v>1091</v>
      </c>
      <c r="G273">
        <v>3</v>
      </c>
      <c r="H273">
        <v>946.74860000000001</v>
      </c>
      <c r="I273">
        <v>18</v>
      </c>
      <c r="J273" s="1">
        <v>45528</v>
      </c>
      <c r="N273">
        <v>946.74860000000001</v>
      </c>
      <c r="O273" s="1">
        <v>45038</v>
      </c>
      <c r="P273">
        <f>IF(ISBLANK(ReconciliationData[[#This Row],[Invoice_ID]]),1,0)</f>
        <v>0</v>
      </c>
      <c r="Q273">
        <f>IF(AND(NOT(ISBLANK(ReconciliationData[[#This Row],[Billed_Units]])),ReconciliationData[[#This Row],[ordered_units]]&lt;&gt;ReconciliationData[[#This Row],[Billed_Units]]),1,0)</f>
        <v>0</v>
      </c>
      <c r="R2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">
        <f>IF(AND(NOT(ISBLANK(ReconciliationData[[#This Row],[Contract_Price]])),ReconciliationData[[#This Row],[Billed_Price]]&lt;&gt;ReconciliationData[[#This Row],[Contract_Price]]),1,0)</f>
        <v>0</v>
      </c>
      <c r="T273">
        <f>IF(AND(NOT(ISBLANK(ReconciliationData[[#This Row],[End_Date]])),ReconciliationData[[#This Row],[Order_Date]]&gt;ReconciliationData[[#This Row],[End_Date]]),1,0)</f>
        <v>0</v>
      </c>
      <c r="U273">
        <f>IF(AND(NOT(ISBLANK(ReconciliationData[[#This Row],[last_return_date]])),ReconciliationData[[#This Row],[last_return_date]]&gt;ReconciliationData[[#This Row],[Order_Date]]+60),1,0)</f>
        <v>0</v>
      </c>
      <c r="V273">
        <f>IF(ReconciliationData[[#This Row],[total_returned_units]]&gt;ReconciliationData[[#This Row],[ordered_units]],1,0)</f>
        <v>1</v>
      </c>
      <c r="W2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3">
        <f>ReconciliationData[[#This Row],[Billed_Units]]*ReconciliationData[[#This Row],[Billed_Price]]</f>
        <v>2840.2458000000001</v>
      </c>
      <c r="Y273">
        <f>ReconciliationData[[#This Row],[ordered_units]]*ReconciliationData[[#This Row],[List_Price]]</f>
        <v>2840.2458000000001</v>
      </c>
      <c r="Z273">
        <f>ReconciliationData[[#This Row],[billed_revenue]]-ReconciliationData[[#This Row],[expected_revenue]]</f>
        <v>0</v>
      </c>
      <c r="AA2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273" t="str">
        <f>IF(ReconciliationData[[#This Row],[severity_score]]=0,"LOW",
 IF(ReconciliationData[[#This Row],[severity_score]]&lt;=5,"MEDIUM","HIGH"))</f>
        <v>MEDIUM</v>
      </c>
      <c r="AC273" t="str">
        <f>TEXT(ReconciliationData[[#This Row],[Order_Date]],"YYYY-MM")</f>
        <v>2024-09</v>
      </c>
    </row>
    <row r="274" spans="1:29">
      <c r="A274" t="s">
        <v>1092</v>
      </c>
      <c r="B274" s="1">
        <v>44947</v>
      </c>
      <c r="C274" t="s">
        <v>1093</v>
      </c>
      <c r="D274" t="s">
        <v>1094</v>
      </c>
      <c r="E274">
        <v>62</v>
      </c>
      <c r="F274" t="s">
        <v>1095</v>
      </c>
      <c r="G274">
        <v>62</v>
      </c>
      <c r="H274">
        <v>986.71040000000005</v>
      </c>
      <c r="N274">
        <v>986.71040000000005</v>
      </c>
      <c r="O274" s="1">
        <v>44892</v>
      </c>
      <c r="P274">
        <f>IF(ISBLANK(ReconciliationData[[#This Row],[Invoice_ID]]),1,0)</f>
        <v>0</v>
      </c>
      <c r="Q274">
        <f>IF(AND(NOT(ISBLANK(ReconciliationData[[#This Row],[Billed_Units]])),ReconciliationData[[#This Row],[ordered_units]]&lt;&gt;ReconciliationData[[#This Row],[Billed_Units]]),1,0)</f>
        <v>0</v>
      </c>
      <c r="R2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">
        <f>IF(AND(NOT(ISBLANK(ReconciliationData[[#This Row],[Contract_Price]])),ReconciliationData[[#This Row],[Billed_Price]]&lt;&gt;ReconciliationData[[#This Row],[Contract_Price]]),1,0)</f>
        <v>0</v>
      </c>
      <c r="T274">
        <f>IF(AND(NOT(ISBLANK(ReconciliationData[[#This Row],[End_Date]])),ReconciliationData[[#This Row],[Order_Date]]&gt;ReconciliationData[[#This Row],[End_Date]]),1,0)</f>
        <v>0</v>
      </c>
      <c r="U274">
        <f>IF(AND(NOT(ISBLANK(ReconciliationData[[#This Row],[last_return_date]])),ReconciliationData[[#This Row],[last_return_date]]&gt;ReconciliationData[[#This Row],[Order_Date]]+60),1,0)</f>
        <v>0</v>
      </c>
      <c r="V274">
        <f>IF(ReconciliationData[[#This Row],[total_returned_units]]&gt;ReconciliationData[[#This Row],[ordered_units]],1,0)</f>
        <v>0</v>
      </c>
      <c r="W2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4">
        <f>ReconciliationData[[#This Row],[Billed_Units]]*ReconciliationData[[#This Row],[Billed_Price]]</f>
        <v>61176.044800000003</v>
      </c>
      <c r="Y274">
        <f>ReconciliationData[[#This Row],[ordered_units]]*ReconciliationData[[#This Row],[List_Price]]</f>
        <v>61176.044800000003</v>
      </c>
      <c r="Z274">
        <f>ReconciliationData[[#This Row],[billed_revenue]]-ReconciliationData[[#This Row],[expected_revenue]]</f>
        <v>0</v>
      </c>
      <c r="AA2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4" t="str">
        <f>IF(ReconciliationData[[#This Row],[severity_score]]=0,"LOW",
 IF(ReconciliationData[[#This Row],[severity_score]]&lt;=5,"MEDIUM","HIGH"))</f>
        <v>LOW</v>
      </c>
      <c r="AC274" t="str">
        <f>TEXT(ReconciliationData[[#This Row],[Order_Date]],"YYYY-MM")</f>
        <v>2023-01</v>
      </c>
    </row>
    <row r="275" spans="1:29">
      <c r="A275" t="s">
        <v>1096</v>
      </c>
      <c r="B275" s="1">
        <v>45404</v>
      </c>
      <c r="C275" t="s">
        <v>721</v>
      </c>
      <c r="D275" t="s">
        <v>150</v>
      </c>
      <c r="E275">
        <v>129</v>
      </c>
      <c r="F275" t="s">
        <v>1097</v>
      </c>
      <c r="G275">
        <v>129</v>
      </c>
      <c r="H275">
        <v>353.58063817289542</v>
      </c>
      <c r="N275">
        <v>353.52719999999999</v>
      </c>
      <c r="O275" s="1">
        <v>45182</v>
      </c>
      <c r="P275">
        <f>IF(ISBLANK(ReconciliationData[[#This Row],[Invoice_ID]]),1,0)</f>
        <v>0</v>
      </c>
      <c r="Q275">
        <f>IF(AND(NOT(ISBLANK(ReconciliationData[[#This Row],[Billed_Units]])),ReconciliationData[[#This Row],[ordered_units]]&lt;&gt;ReconciliationData[[#This Row],[Billed_Units]]),1,0)</f>
        <v>0</v>
      </c>
      <c r="R27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75">
        <f>IF(AND(NOT(ISBLANK(ReconciliationData[[#This Row],[Contract_Price]])),ReconciliationData[[#This Row],[Billed_Price]]&lt;&gt;ReconciliationData[[#This Row],[Contract_Price]]),1,0)</f>
        <v>0</v>
      </c>
      <c r="T275">
        <f>IF(AND(NOT(ISBLANK(ReconciliationData[[#This Row],[End_Date]])),ReconciliationData[[#This Row],[Order_Date]]&gt;ReconciliationData[[#This Row],[End_Date]]),1,0)</f>
        <v>0</v>
      </c>
      <c r="U275">
        <f>IF(AND(NOT(ISBLANK(ReconciliationData[[#This Row],[last_return_date]])),ReconciliationData[[#This Row],[last_return_date]]&gt;ReconciliationData[[#This Row],[Order_Date]]+60),1,0)</f>
        <v>0</v>
      </c>
      <c r="V275">
        <f>IF(ReconciliationData[[#This Row],[total_returned_units]]&gt;ReconciliationData[[#This Row],[ordered_units]],1,0)</f>
        <v>0</v>
      </c>
      <c r="W2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5">
        <f>ReconciliationData[[#This Row],[Billed_Units]]*ReconciliationData[[#This Row],[Billed_Price]]</f>
        <v>45611.902324303512</v>
      </c>
      <c r="Y275">
        <f>ReconciliationData[[#This Row],[ordered_units]]*ReconciliationData[[#This Row],[List_Price]]</f>
        <v>45605.008799999996</v>
      </c>
      <c r="Z275">
        <f>ReconciliationData[[#This Row],[billed_revenue]]-ReconciliationData[[#This Row],[expected_revenue]]</f>
        <v>6.8935243035157328</v>
      </c>
      <c r="AA2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75" t="str">
        <f>IF(ReconciliationData[[#This Row],[severity_score]]=0,"LOW",
 IF(ReconciliationData[[#This Row],[severity_score]]&lt;=5,"MEDIUM","HIGH"))</f>
        <v>MEDIUM</v>
      </c>
      <c r="AC275" t="str">
        <f>TEXT(ReconciliationData[[#This Row],[Order_Date]],"YYYY-MM")</f>
        <v>2024-04</v>
      </c>
    </row>
    <row r="276" spans="1:29">
      <c r="A276" t="s">
        <v>1098</v>
      </c>
      <c r="B276" s="1">
        <v>44978</v>
      </c>
      <c r="C276" t="s">
        <v>266</v>
      </c>
      <c r="D276" t="s">
        <v>247</v>
      </c>
      <c r="E276">
        <v>148</v>
      </c>
      <c r="F276" t="s">
        <v>1099</v>
      </c>
      <c r="G276">
        <v>148</v>
      </c>
      <c r="H276">
        <v>723.1</v>
      </c>
      <c r="N276">
        <v>723.1</v>
      </c>
      <c r="O276" s="1">
        <v>44970</v>
      </c>
      <c r="P276">
        <f>IF(ISBLANK(ReconciliationData[[#This Row],[Invoice_ID]]),1,0)</f>
        <v>0</v>
      </c>
      <c r="Q276">
        <f>IF(AND(NOT(ISBLANK(ReconciliationData[[#This Row],[Billed_Units]])),ReconciliationData[[#This Row],[ordered_units]]&lt;&gt;ReconciliationData[[#This Row],[Billed_Units]]),1,0)</f>
        <v>0</v>
      </c>
      <c r="R2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6">
        <f>IF(AND(NOT(ISBLANK(ReconciliationData[[#This Row],[Contract_Price]])),ReconciliationData[[#This Row],[Billed_Price]]&lt;&gt;ReconciliationData[[#This Row],[Contract_Price]]),1,0)</f>
        <v>0</v>
      </c>
      <c r="T276">
        <f>IF(AND(NOT(ISBLANK(ReconciliationData[[#This Row],[End_Date]])),ReconciliationData[[#This Row],[Order_Date]]&gt;ReconciliationData[[#This Row],[End_Date]]),1,0)</f>
        <v>0</v>
      </c>
      <c r="U276">
        <f>IF(AND(NOT(ISBLANK(ReconciliationData[[#This Row],[last_return_date]])),ReconciliationData[[#This Row],[last_return_date]]&gt;ReconciliationData[[#This Row],[Order_Date]]+60),1,0)</f>
        <v>0</v>
      </c>
      <c r="V276">
        <f>IF(ReconciliationData[[#This Row],[total_returned_units]]&gt;ReconciliationData[[#This Row],[ordered_units]],1,0)</f>
        <v>0</v>
      </c>
      <c r="W2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6">
        <f>ReconciliationData[[#This Row],[Billed_Units]]*ReconciliationData[[#This Row],[Billed_Price]]</f>
        <v>107018.8</v>
      </c>
      <c r="Y276">
        <f>ReconciliationData[[#This Row],[ordered_units]]*ReconciliationData[[#This Row],[List_Price]]</f>
        <v>107018.8</v>
      </c>
      <c r="Z276">
        <f>ReconciliationData[[#This Row],[billed_revenue]]-ReconciliationData[[#This Row],[expected_revenue]]</f>
        <v>0</v>
      </c>
      <c r="AA2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6" t="str">
        <f>IF(ReconciliationData[[#This Row],[severity_score]]=0,"LOW",
 IF(ReconciliationData[[#This Row],[severity_score]]&lt;=5,"MEDIUM","HIGH"))</f>
        <v>LOW</v>
      </c>
      <c r="AC276" t="str">
        <f>TEXT(ReconciliationData[[#This Row],[Order_Date]],"YYYY-MM")</f>
        <v>2023-02</v>
      </c>
    </row>
    <row r="277" spans="1:29">
      <c r="A277" t="s">
        <v>1100</v>
      </c>
      <c r="B277" s="1">
        <v>45480</v>
      </c>
      <c r="C277" t="s">
        <v>1101</v>
      </c>
      <c r="D277" t="s">
        <v>235</v>
      </c>
      <c r="E277">
        <v>192</v>
      </c>
      <c r="F277" t="s">
        <v>1102</v>
      </c>
      <c r="G277">
        <v>192</v>
      </c>
      <c r="H277">
        <v>426.10500000000002</v>
      </c>
      <c r="N277">
        <v>426.10500000000002</v>
      </c>
      <c r="O277" s="1">
        <v>45215</v>
      </c>
      <c r="P277">
        <f>IF(ISBLANK(ReconciliationData[[#This Row],[Invoice_ID]]),1,0)</f>
        <v>0</v>
      </c>
      <c r="Q277">
        <f>IF(AND(NOT(ISBLANK(ReconciliationData[[#This Row],[Billed_Units]])),ReconciliationData[[#This Row],[ordered_units]]&lt;&gt;ReconciliationData[[#This Row],[Billed_Units]]),1,0)</f>
        <v>0</v>
      </c>
      <c r="R2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">
        <f>IF(AND(NOT(ISBLANK(ReconciliationData[[#This Row],[Contract_Price]])),ReconciliationData[[#This Row],[Billed_Price]]&lt;&gt;ReconciliationData[[#This Row],[Contract_Price]]),1,0)</f>
        <v>0</v>
      </c>
      <c r="T277">
        <f>IF(AND(NOT(ISBLANK(ReconciliationData[[#This Row],[End_Date]])),ReconciliationData[[#This Row],[Order_Date]]&gt;ReconciliationData[[#This Row],[End_Date]]),1,0)</f>
        <v>0</v>
      </c>
      <c r="U277">
        <f>IF(AND(NOT(ISBLANK(ReconciliationData[[#This Row],[last_return_date]])),ReconciliationData[[#This Row],[last_return_date]]&gt;ReconciliationData[[#This Row],[Order_Date]]+60),1,0)</f>
        <v>0</v>
      </c>
      <c r="V277">
        <f>IF(ReconciliationData[[#This Row],[total_returned_units]]&gt;ReconciliationData[[#This Row],[ordered_units]],1,0)</f>
        <v>0</v>
      </c>
      <c r="W2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7">
        <f>ReconciliationData[[#This Row],[Billed_Units]]*ReconciliationData[[#This Row],[Billed_Price]]</f>
        <v>81812.160000000003</v>
      </c>
      <c r="Y277">
        <f>ReconciliationData[[#This Row],[ordered_units]]*ReconciliationData[[#This Row],[List_Price]]</f>
        <v>81812.160000000003</v>
      </c>
      <c r="Z277">
        <f>ReconciliationData[[#This Row],[billed_revenue]]-ReconciliationData[[#This Row],[expected_revenue]]</f>
        <v>0</v>
      </c>
      <c r="AA2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7" t="str">
        <f>IF(ReconciliationData[[#This Row],[severity_score]]=0,"LOW",
 IF(ReconciliationData[[#This Row],[severity_score]]&lt;=5,"MEDIUM","HIGH"))</f>
        <v>LOW</v>
      </c>
      <c r="AC277" t="str">
        <f>TEXT(ReconciliationData[[#This Row],[Order_Date]],"YYYY-MM")</f>
        <v>2024-07</v>
      </c>
    </row>
    <row r="278" spans="1:29">
      <c r="A278" t="s">
        <v>1103</v>
      </c>
      <c r="B278" s="1">
        <v>45015</v>
      </c>
      <c r="C278" t="s">
        <v>1104</v>
      </c>
      <c r="D278" t="s">
        <v>1105</v>
      </c>
      <c r="E278">
        <v>24</v>
      </c>
      <c r="F278" t="s">
        <v>1106</v>
      </c>
      <c r="G278">
        <v>24</v>
      </c>
      <c r="H278">
        <v>860.25239999999997</v>
      </c>
      <c r="I278">
        <v>6</v>
      </c>
      <c r="J278" s="1">
        <v>45018</v>
      </c>
      <c r="N278">
        <v>860.25239999999997</v>
      </c>
      <c r="O278" s="1">
        <v>44774</v>
      </c>
      <c r="P278">
        <f>IF(ISBLANK(ReconciliationData[[#This Row],[Invoice_ID]]),1,0)</f>
        <v>0</v>
      </c>
      <c r="Q278">
        <f>IF(AND(NOT(ISBLANK(ReconciliationData[[#This Row],[Billed_Units]])),ReconciliationData[[#This Row],[ordered_units]]&lt;&gt;ReconciliationData[[#This Row],[Billed_Units]]),1,0)</f>
        <v>0</v>
      </c>
      <c r="R2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">
        <f>IF(AND(NOT(ISBLANK(ReconciliationData[[#This Row],[Contract_Price]])),ReconciliationData[[#This Row],[Billed_Price]]&lt;&gt;ReconciliationData[[#This Row],[Contract_Price]]),1,0)</f>
        <v>0</v>
      </c>
      <c r="T278">
        <f>IF(AND(NOT(ISBLANK(ReconciliationData[[#This Row],[End_Date]])),ReconciliationData[[#This Row],[Order_Date]]&gt;ReconciliationData[[#This Row],[End_Date]]),1,0)</f>
        <v>0</v>
      </c>
      <c r="U278">
        <f>IF(AND(NOT(ISBLANK(ReconciliationData[[#This Row],[last_return_date]])),ReconciliationData[[#This Row],[last_return_date]]&gt;ReconciliationData[[#This Row],[Order_Date]]+60),1,0)</f>
        <v>0</v>
      </c>
      <c r="V278">
        <f>IF(ReconciliationData[[#This Row],[total_returned_units]]&gt;ReconciliationData[[#This Row],[ordered_units]],1,0)</f>
        <v>0</v>
      </c>
      <c r="W2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8">
        <f>ReconciliationData[[#This Row],[Billed_Units]]*ReconciliationData[[#This Row],[Billed_Price]]</f>
        <v>20646.0576</v>
      </c>
      <c r="Y278">
        <f>ReconciliationData[[#This Row],[ordered_units]]*ReconciliationData[[#This Row],[List_Price]]</f>
        <v>20646.0576</v>
      </c>
      <c r="Z278">
        <f>ReconciliationData[[#This Row],[billed_revenue]]-ReconciliationData[[#This Row],[expected_revenue]]</f>
        <v>0</v>
      </c>
      <c r="AA2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8" t="str">
        <f>IF(ReconciliationData[[#This Row],[severity_score]]=0,"LOW",
 IF(ReconciliationData[[#This Row],[severity_score]]&lt;=5,"MEDIUM","HIGH"))</f>
        <v>LOW</v>
      </c>
      <c r="AC278" t="str">
        <f>TEXT(ReconciliationData[[#This Row],[Order_Date]],"YYYY-MM")</f>
        <v>2023-03</v>
      </c>
    </row>
    <row r="279" spans="1:29">
      <c r="A279" t="s">
        <v>1107</v>
      </c>
      <c r="B279" s="1">
        <v>45633</v>
      </c>
      <c r="C279" t="s">
        <v>1108</v>
      </c>
      <c r="D279" t="s">
        <v>198</v>
      </c>
      <c r="E279">
        <v>194</v>
      </c>
      <c r="F279" t="s">
        <v>1109</v>
      </c>
      <c r="G279">
        <v>197</v>
      </c>
      <c r="H279">
        <v>78.696099999999987</v>
      </c>
      <c r="N279">
        <v>78.696099999999987</v>
      </c>
      <c r="O279" s="1">
        <v>45083</v>
      </c>
      <c r="P279">
        <f>IF(ISBLANK(ReconciliationData[[#This Row],[Invoice_ID]]),1,0)</f>
        <v>0</v>
      </c>
      <c r="Q279">
        <f>IF(AND(NOT(ISBLANK(ReconciliationData[[#This Row],[Billed_Units]])),ReconciliationData[[#This Row],[ordered_units]]&lt;&gt;ReconciliationData[[#This Row],[Billed_Units]]),1,0)</f>
        <v>1</v>
      </c>
      <c r="R2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9">
        <f>IF(AND(NOT(ISBLANK(ReconciliationData[[#This Row],[Contract_Price]])),ReconciliationData[[#This Row],[Billed_Price]]&lt;&gt;ReconciliationData[[#This Row],[Contract_Price]]),1,0)</f>
        <v>0</v>
      </c>
      <c r="T279">
        <f>IF(AND(NOT(ISBLANK(ReconciliationData[[#This Row],[End_Date]])),ReconciliationData[[#This Row],[Order_Date]]&gt;ReconciliationData[[#This Row],[End_Date]]),1,0)</f>
        <v>0</v>
      </c>
      <c r="U279">
        <f>IF(AND(NOT(ISBLANK(ReconciliationData[[#This Row],[last_return_date]])),ReconciliationData[[#This Row],[last_return_date]]&gt;ReconciliationData[[#This Row],[Order_Date]]+60),1,0)</f>
        <v>0</v>
      </c>
      <c r="V279">
        <f>IF(ReconciliationData[[#This Row],[total_returned_units]]&gt;ReconciliationData[[#This Row],[ordered_units]],1,0)</f>
        <v>0</v>
      </c>
      <c r="W2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9">
        <f>ReconciliationData[[#This Row],[Billed_Units]]*ReconciliationData[[#This Row],[Billed_Price]]</f>
        <v>15503.131699999998</v>
      </c>
      <c r="Y279">
        <f>ReconciliationData[[#This Row],[ordered_units]]*ReconciliationData[[#This Row],[List_Price]]</f>
        <v>15267.043399999997</v>
      </c>
      <c r="Z279">
        <f>ReconciliationData[[#This Row],[billed_revenue]]-ReconciliationData[[#This Row],[expected_revenue]]</f>
        <v>236.08830000000125</v>
      </c>
      <c r="AA2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279" t="str">
        <f>IF(ReconciliationData[[#This Row],[severity_score]]=0,"LOW",
 IF(ReconciliationData[[#This Row],[severity_score]]&lt;=5,"MEDIUM","HIGH"))</f>
        <v>MEDIUM</v>
      </c>
      <c r="AC279" t="str">
        <f>TEXT(ReconciliationData[[#This Row],[Order_Date]],"YYYY-MM")</f>
        <v>2024-12</v>
      </c>
    </row>
    <row r="280" spans="1:29">
      <c r="A280" t="s">
        <v>1110</v>
      </c>
      <c r="B280" s="1">
        <v>45344</v>
      </c>
      <c r="C280" t="s">
        <v>1111</v>
      </c>
      <c r="D280" t="s">
        <v>798</v>
      </c>
      <c r="E280">
        <v>100</v>
      </c>
      <c r="F280" t="s">
        <v>1112</v>
      </c>
      <c r="G280">
        <v>100</v>
      </c>
      <c r="H280">
        <v>153.01650000000001</v>
      </c>
      <c r="N280">
        <v>153.01650000000001</v>
      </c>
      <c r="O280" s="1">
        <v>45064</v>
      </c>
      <c r="P280">
        <f>IF(ISBLANK(ReconciliationData[[#This Row],[Invoice_ID]]),1,0)</f>
        <v>0</v>
      </c>
      <c r="Q280">
        <f>IF(AND(NOT(ISBLANK(ReconciliationData[[#This Row],[Billed_Units]])),ReconciliationData[[#This Row],[ordered_units]]&lt;&gt;ReconciliationData[[#This Row],[Billed_Units]]),1,0)</f>
        <v>0</v>
      </c>
      <c r="R2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">
        <f>IF(AND(NOT(ISBLANK(ReconciliationData[[#This Row],[Contract_Price]])),ReconciliationData[[#This Row],[Billed_Price]]&lt;&gt;ReconciliationData[[#This Row],[Contract_Price]]),1,0)</f>
        <v>0</v>
      </c>
      <c r="T280">
        <f>IF(AND(NOT(ISBLANK(ReconciliationData[[#This Row],[End_Date]])),ReconciliationData[[#This Row],[Order_Date]]&gt;ReconciliationData[[#This Row],[End_Date]]),1,0)</f>
        <v>0</v>
      </c>
      <c r="U280">
        <f>IF(AND(NOT(ISBLANK(ReconciliationData[[#This Row],[last_return_date]])),ReconciliationData[[#This Row],[last_return_date]]&gt;ReconciliationData[[#This Row],[Order_Date]]+60),1,0)</f>
        <v>0</v>
      </c>
      <c r="V280">
        <f>IF(ReconciliationData[[#This Row],[total_returned_units]]&gt;ReconciliationData[[#This Row],[ordered_units]],1,0)</f>
        <v>0</v>
      </c>
      <c r="W2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0">
        <f>ReconciliationData[[#This Row],[Billed_Units]]*ReconciliationData[[#This Row],[Billed_Price]]</f>
        <v>15301.650000000001</v>
      </c>
      <c r="Y280">
        <f>ReconciliationData[[#This Row],[ordered_units]]*ReconciliationData[[#This Row],[List_Price]]</f>
        <v>15301.650000000001</v>
      </c>
      <c r="Z280">
        <f>ReconciliationData[[#This Row],[billed_revenue]]-ReconciliationData[[#This Row],[expected_revenue]]</f>
        <v>0</v>
      </c>
      <c r="AA2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0" t="str">
        <f>IF(ReconciliationData[[#This Row],[severity_score]]=0,"LOW",
 IF(ReconciliationData[[#This Row],[severity_score]]&lt;=5,"MEDIUM","HIGH"))</f>
        <v>LOW</v>
      </c>
      <c r="AC280" t="str">
        <f>TEXT(ReconciliationData[[#This Row],[Order_Date]],"YYYY-MM")</f>
        <v>2024-02</v>
      </c>
    </row>
    <row r="281" spans="1:29">
      <c r="A281" t="s">
        <v>1113</v>
      </c>
      <c r="B281" s="1">
        <v>45251</v>
      </c>
      <c r="C281" t="s">
        <v>1114</v>
      </c>
      <c r="D281" t="s">
        <v>412</v>
      </c>
      <c r="E281">
        <v>134</v>
      </c>
      <c r="F281" t="s">
        <v>1115</v>
      </c>
      <c r="G281">
        <v>134</v>
      </c>
      <c r="H281">
        <v>1160.5650000000001</v>
      </c>
      <c r="N281">
        <v>1160.5650000000001</v>
      </c>
      <c r="O281" s="1">
        <v>45055</v>
      </c>
      <c r="P281">
        <f>IF(ISBLANK(ReconciliationData[[#This Row],[Invoice_ID]]),1,0)</f>
        <v>0</v>
      </c>
      <c r="Q281">
        <f>IF(AND(NOT(ISBLANK(ReconciliationData[[#This Row],[Billed_Units]])),ReconciliationData[[#This Row],[ordered_units]]&lt;&gt;ReconciliationData[[#This Row],[Billed_Units]]),1,0)</f>
        <v>0</v>
      </c>
      <c r="R2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">
        <f>IF(AND(NOT(ISBLANK(ReconciliationData[[#This Row],[Contract_Price]])),ReconciliationData[[#This Row],[Billed_Price]]&lt;&gt;ReconciliationData[[#This Row],[Contract_Price]]),1,0)</f>
        <v>0</v>
      </c>
      <c r="T281">
        <f>IF(AND(NOT(ISBLANK(ReconciliationData[[#This Row],[End_Date]])),ReconciliationData[[#This Row],[Order_Date]]&gt;ReconciliationData[[#This Row],[End_Date]]),1,0)</f>
        <v>0</v>
      </c>
      <c r="U281">
        <f>IF(AND(NOT(ISBLANK(ReconciliationData[[#This Row],[last_return_date]])),ReconciliationData[[#This Row],[last_return_date]]&gt;ReconciliationData[[#This Row],[Order_Date]]+60),1,0)</f>
        <v>0</v>
      </c>
      <c r="V281">
        <f>IF(ReconciliationData[[#This Row],[total_returned_units]]&gt;ReconciliationData[[#This Row],[ordered_units]],1,0)</f>
        <v>0</v>
      </c>
      <c r="W2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1">
        <f>ReconciliationData[[#This Row],[Billed_Units]]*ReconciliationData[[#This Row],[Billed_Price]]</f>
        <v>155515.71000000002</v>
      </c>
      <c r="Y281">
        <f>ReconciliationData[[#This Row],[ordered_units]]*ReconciliationData[[#This Row],[List_Price]]</f>
        <v>155515.71000000002</v>
      </c>
      <c r="Z281">
        <f>ReconciliationData[[#This Row],[billed_revenue]]-ReconciliationData[[#This Row],[expected_revenue]]</f>
        <v>0</v>
      </c>
      <c r="AA2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1" t="str">
        <f>IF(ReconciliationData[[#This Row],[severity_score]]=0,"LOW",
 IF(ReconciliationData[[#This Row],[severity_score]]&lt;=5,"MEDIUM","HIGH"))</f>
        <v>LOW</v>
      </c>
      <c r="AC281" t="str">
        <f>TEXT(ReconciliationData[[#This Row],[Order_Date]],"YYYY-MM")</f>
        <v>2023-11</v>
      </c>
    </row>
    <row r="282" spans="1:29">
      <c r="A282" t="s">
        <v>1116</v>
      </c>
      <c r="B282" s="1">
        <v>45181</v>
      </c>
      <c r="C282" t="s">
        <v>1117</v>
      </c>
      <c r="D282" t="s">
        <v>206</v>
      </c>
      <c r="E282">
        <v>120</v>
      </c>
      <c r="F282" t="s">
        <v>1118</v>
      </c>
      <c r="G282">
        <v>120</v>
      </c>
      <c r="H282">
        <v>337.47280000000001</v>
      </c>
      <c r="N282">
        <v>337.47280000000001</v>
      </c>
      <c r="O282" s="1">
        <v>45171</v>
      </c>
      <c r="P282">
        <f>IF(ISBLANK(ReconciliationData[[#This Row],[Invoice_ID]]),1,0)</f>
        <v>0</v>
      </c>
      <c r="Q282">
        <f>IF(AND(NOT(ISBLANK(ReconciliationData[[#This Row],[Billed_Units]])),ReconciliationData[[#This Row],[ordered_units]]&lt;&gt;ReconciliationData[[#This Row],[Billed_Units]]),1,0)</f>
        <v>0</v>
      </c>
      <c r="R2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">
        <f>IF(AND(NOT(ISBLANK(ReconciliationData[[#This Row],[Contract_Price]])),ReconciliationData[[#This Row],[Billed_Price]]&lt;&gt;ReconciliationData[[#This Row],[Contract_Price]]),1,0)</f>
        <v>0</v>
      </c>
      <c r="T282">
        <f>IF(AND(NOT(ISBLANK(ReconciliationData[[#This Row],[End_Date]])),ReconciliationData[[#This Row],[Order_Date]]&gt;ReconciliationData[[#This Row],[End_Date]]),1,0)</f>
        <v>0</v>
      </c>
      <c r="U282">
        <f>IF(AND(NOT(ISBLANK(ReconciliationData[[#This Row],[last_return_date]])),ReconciliationData[[#This Row],[last_return_date]]&gt;ReconciliationData[[#This Row],[Order_Date]]+60),1,0)</f>
        <v>0</v>
      </c>
      <c r="V282">
        <f>IF(ReconciliationData[[#This Row],[total_returned_units]]&gt;ReconciliationData[[#This Row],[ordered_units]],1,0)</f>
        <v>0</v>
      </c>
      <c r="W2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2">
        <f>ReconciliationData[[#This Row],[Billed_Units]]*ReconciliationData[[#This Row],[Billed_Price]]</f>
        <v>40496.736000000004</v>
      </c>
      <c r="Y282">
        <f>ReconciliationData[[#This Row],[ordered_units]]*ReconciliationData[[#This Row],[List_Price]]</f>
        <v>40496.736000000004</v>
      </c>
      <c r="Z282">
        <f>ReconciliationData[[#This Row],[billed_revenue]]-ReconciliationData[[#This Row],[expected_revenue]]</f>
        <v>0</v>
      </c>
      <c r="AA2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2" t="str">
        <f>IF(ReconciliationData[[#This Row],[severity_score]]=0,"LOW",
 IF(ReconciliationData[[#This Row],[severity_score]]&lt;=5,"MEDIUM","HIGH"))</f>
        <v>LOW</v>
      </c>
      <c r="AC282" t="str">
        <f>TEXT(ReconciliationData[[#This Row],[Order_Date]],"YYYY-MM")</f>
        <v>2023-09</v>
      </c>
    </row>
    <row r="283" spans="1:29">
      <c r="A283" t="s">
        <v>1119</v>
      </c>
      <c r="B283" s="1">
        <v>45466</v>
      </c>
      <c r="C283" t="s">
        <v>1120</v>
      </c>
      <c r="D283" t="s">
        <v>142</v>
      </c>
      <c r="E283">
        <v>72</v>
      </c>
      <c r="F283" t="s">
        <v>1121</v>
      </c>
      <c r="G283">
        <v>72</v>
      </c>
      <c r="H283">
        <v>189.1498</v>
      </c>
      <c r="I283">
        <v>18</v>
      </c>
      <c r="J283" s="1">
        <v>45606</v>
      </c>
      <c r="N283">
        <v>189.1498</v>
      </c>
      <c r="O283" s="1">
        <v>45108</v>
      </c>
      <c r="P283">
        <f>IF(ISBLANK(ReconciliationData[[#This Row],[Invoice_ID]]),1,0)</f>
        <v>0</v>
      </c>
      <c r="Q283">
        <f>IF(AND(NOT(ISBLANK(ReconciliationData[[#This Row],[Billed_Units]])),ReconciliationData[[#This Row],[ordered_units]]&lt;&gt;ReconciliationData[[#This Row],[Billed_Units]]),1,0)</f>
        <v>0</v>
      </c>
      <c r="R2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">
        <f>IF(AND(NOT(ISBLANK(ReconciliationData[[#This Row],[Contract_Price]])),ReconciliationData[[#This Row],[Billed_Price]]&lt;&gt;ReconciliationData[[#This Row],[Contract_Price]]),1,0)</f>
        <v>0</v>
      </c>
      <c r="T283">
        <f>IF(AND(NOT(ISBLANK(ReconciliationData[[#This Row],[End_Date]])),ReconciliationData[[#This Row],[Order_Date]]&gt;ReconciliationData[[#This Row],[End_Date]]),1,0)</f>
        <v>0</v>
      </c>
      <c r="U283">
        <f>IF(AND(NOT(ISBLANK(ReconciliationData[[#This Row],[last_return_date]])),ReconciliationData[[#This Row],[last_return_date]]&gt;ReconciliationData[[#This Row],[Order_Date]]+60),1,0)</f>
        <v>1</v>
      </c>
      <c r="V283">
        <f>IF(ReconciliationData[[#This Row],[total_returned_units]]&gt;ReconciliationData[[#This Row],[ordered_units]],1,0)</f>
        <v>0</v>
      </c>
      <c r="W2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3">
        <f>ReconciliationData[[#This Row],[Billed_Units]]*ReconciliationData[[#This Row],[Billed_Price]]</f>
        <v>13618.785599999999</v>
      </c>
      <c r="Y283">
        <f>ReconciliationData[[#This Row],[ordered_units]]*ReconciliationData[[#This Row],[List_Price]]</f>
        <v>13618.785599999999</v>
      </c>
      <c r="Z283">
        <f>ReconciliationData[[#This Row],[billed_revenue]]-ReconciliationData[[#This Row],[expected_revenue]]</f>
        <v>0</v>
      </c>
      <c r="AA2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83" t="str">
        <f>IF(ReconciliationData[[#This Row],[severity_score]]=0,"LOW",
 IF(ReconciliationData[[#This Row],[severity_score]]&lt;=5,"MEDIUM","HIGH"))</f>
        <v>MEDIUM</v>
      </c>
      <c r="AC283" t="str">
        <f>TEXT(ReconciliationData[[#This Row],[Order_Date]],"YYYY-MM")</f>
        <v>2024-06</v>
      </c>
    </row>
    <row r="284" spans="1:29">
      <c r="A284" t="s">
        <v>1122</v>
      </c>
      <c r="B284" s="1">
        <v>45075</v>
      </c>
      <c r="C284" t="s">
        <v>1123</v>
      </c>
      <c r="D284" t="s">
        <v>684</v>
      </c>
      <c r="E284">
        <v>109</v>
      </c>
      <c r="F284" t="s">
        <v>1124</v>
      </c>
      <c r="G284">
        <v>109</v>
      </c>
      <c r="H284">
        <v>68.418999999999997</v>
      </c>
      <c r="N284">
        <v>68.418999999999997</v>
      </c>
      <c r="O284" s="1">
        <v>44780</v>
      </c>
      <c r="P284">
        <f>IF(ISBLANK(ReconciliationData[[#This Row],[Invoice_ID]]),1,0)</f>
        <v>0</v>
      </c>
      <c r="Q284">
        <f>IF(AND(NOT(ISBLANK(ReconciliationData[[#This Row],[Billed_Units]])),ReconciliationData[[#This Row],[ordered_units]]&lt;&gt;ReconciliationData[[#This Row],[Billed_Units]]),1,0)</f>
        <v>0</v>
      </c>
      <c r="R2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4">
        <f>IF(AND(NOT(ISBLANK(ReconciliationData[[#This Row],[Contract_Price]])),ReconciliationData[[#This Row],[Billed_Price]]&lt;&gt;ReconciliationData[[#This Row],[Contract_Price]]),1,0)</f>
        <v>0</v>
      </c>
      <c r="T284">
        <f>IF(AND(NOT(ISBLANK(ReconciliationData[[#This Row],[End_Date]])),ReconciliationData[[#This Row],[Order_Date]]&gt;ReconciliationData[[#This Row],[End_Date]]),1,0)</f>
        <v>0</v>
      </c>
      <c r="U284">
        <f>IF(AND(NOT(ISBLANK(ReconciliationData[[#This Row],[last_return_date]])),ReconciliationData[[#This Row],[last_return_date]]&gt;ReconciliationData[[#This Row],[Order_Date]]+60),1,0)</f>
        <v>0</v>
      </c>
      <c r="V284">
        <f>IF(ReconciliationData[[#This Row],[total_returned_units]]&gt;ReconciliationData[[#This Row],[ordered_units]],1,0)</f>
        <v>0</v>
      </c>
      <c r="W2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4">
        <f>ReconciliationData[[#This Row],[Billed_Units]]*ReconciliationData[[#This Row],[Billed_Price]]</f>
        <v>7457.6709999999994</v>
      </c>
      <c r="Y284">
        <f>ReconciliationData[[#This Row],[ordered_units]]*ReconciliationData[[#This Row],[List_Price]]</f>
        <v>7457.6709999999994</v>
      </c>
      <c r="Z284">
        <f>ReconciliationData[[#This Row],[billed_revenue]]-ReconciliationData[[#This Row],[expected_revenue]]</f>
        <v>0</v>
      </c>
      <c r="AA2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4" t="str">
        <f>IF(ReconciliationData[[#This Row],[severity_score]]=0,"LOW",
 IF(ReconciliationData[[#This Row],[severity_score]]&lt;=5,"MEDIUM","HIGH"))</f>
        <v>LOW</v>
      </c>
      <c r="AC284" t="str">
        <f>TEXT(ReconciliationData[[#This Row],[Order_Date]],"YYYY-MM")</f>
        <v>2023-05</v>
      </c>
    </row>
    <row r="285" spans="1:29">
      <c r="A285" t="s">
        <v>1125</v>
      </c>
      <c r="B285" s="1">
        <v>44994</v>
      </c>
      <c r="C285" t="s">
        <v>1043</v>
      </c>
      <c r="D285" t="s">
        <v>1126</v>
      </c>
      <c r="E285">
        <v>79</v>
      </c>
      <c r="F285" t="s">
        <v>1127</v>
      </c>
      <c r="G285">
        <v>83</v>
      </c>
      <c r="H285">
        <v>975.29</v>
      </c>
      <c r="N285">
        <v>975.29</v>
      </c>
      <c r="O285" s="1">
        <v>44698</v>
      </c>
      <c r="P285">
        <f>IF(ISBLANK(ReconciliationData[[#This Row],[Invoice_ID]]),1,0)</f>
        <v>0</v>
      </c>
      <c r="Q285">
        <f>IF(AND(NOT(ISBLANK(ReconciliationData[[#This Row],[Billed_Units]])),ReconciliationData[[#This Row],[ordered_units]]&lt;&gt;ReconciliationData[[#This Row],[Billed_Units]]),1,0)</f>
        <v>1</v>
      </c>
      <c r="R2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">
        <f>IF(AND(NOT(ISBLANK(ReconciliationData[[#This Row],[Contract_Price]])),ReconciliationData[[#This Row],[Billed_Price]]&lt;&gt;ReconciliationData[[#This Row],[Contract_Price]]),1,0)</f>
        <v>0</v>
      </c>
      <c r="T285">
        <f>IF(AND(NOT(ISBLANK(ReconciliationData[[#This Row],[End_Date]])),ReconciliationData[[#This Row],[Order_Date]]&gt;ReconciliationData[[#This Row],[End_Date]]),1,0)</f>
        <v>0</v>
      </c>
      <c r="U285">
        <f>IF(AND(NOT(ISBLANK(ReconciliationData[[#This Row],[last_return_date]])),ReconciliationData[[#This Row],[last_return_date]]&gt;ReconciliationData[[#This Row],[Order_Date]]+60),1,0)</f>
        <v>0</v>
      </c>
      <c r="V285">
        <f>IF(ReconciliationData[[#This Row],[total_returned_units]]&gt;ReconciliationData[[#This Row],[ordered_units]],1,0)</f>
        <v>0</v>
      </c>
      <c r="W2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5">
        <f>ReconciliationData[[#This Row],[Billed_Units]]*ReconciliationData[[#This Row],[Billed_Price]]</f>
        <v>80949.069999999992</v>
      </c>
      <c r="Y285">
        <f>ReconciliationData[[#This Row],[ordered_units]]*ReconciliationData[[#This Row],[List_Price]]</f>
        <v>77047.91</v>
      </c>
      <c r="Z285">
        <f>ReconciliationData[[#This Row],[billed_revenue]]-ReconciliationData[[#This Row],[expected_revenue]]</f>
        <v>3901.1599999999889</v>
      </c>
      <c r="AA2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85" t="str">
        <f>IF(ReconciliationData[[#This Row],[severity_score]]=0,"LOW",
 IF(ReconciliationData[[#This Row],[severity_score]]&lt;=5,"MEDIUM","HIGH"))</f>
        <v>HIGH</v>
      </c>
      <c r="AC285" t="str">
        <f>TEXT(ReconciliationData[[#This Row],[Order_Date]],"YYYY-MM")</f>
        <v>2023-03</v>
      </c>
    </row>
    <row r="286" spans="1:29">
      <c r="A286" t="s">
        <v>1128</v>
      </c>
      <c r="B286" s="1">
        <v>45356</v>
      </c>
      <c r="C286" t="s">
        <v>1129</v>
      </c>
      <c r="D286" t="s">
        <v>863</v>
      </c>
      <c r="E286">
        <v>145</v>
      </c>
      <c r="F286" t="s">
        <v>1130</v>
      </c>
      <c r="G286">
        <v>145</v>
      </c>
      <c r="H286">
        <v>815.08680000000004</v>
      </c>
      <c r="N286">
        <v>815.08680000000004</v>
      </c>
      <c r="O286" s="1">
        <v>45062</v>
      </c>
      <c r="P286">
        <f>IF(ISBLANK(ReconciliationData[[#This Row],[Invoice_ID]]),1,0)</f>
        <v>0</v>
      </c>
      <c r="Q286">
        <f>IF(AND(NOT(ISBLANK(ReconciliationData[[#This Row],[Billed_Units]])),ReconciliationData[[#This Row],[ordered_units]]&lt;&gt;ReconciliationData[[#This Row],[Billed_Units]]),1,0)</f>
        <v>0</v>
      </c>
      <c r="R2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">
        <f>IF(AND(NOT(ISBLANK(ReconciliationData[[#This Row],[Contract_Price]])),ReconciliationData[[#This Row],[Billed_Price]]&lt;&gt;ReconciliationData[[#This Row],[Contract_Price]]),1,0)</f>
        <v>0</v>
      </c>
      <c r="T286">
        <f>IF(AND(NOT(ISBLANK(ReconciliationData[[#This Row],[End_Date]])),ReconciliationData[[#This Row],[Order_Date]]&gt;ReconciliationData[[#This Row],[End_Date]]),1,0)</f>
        <v>0</v>
      </c>
      <c r="U286">
        <f>IF(AND(NOT(ISBLANK(ReconciliationData[[#This Row],[last_return_date]])),ReconciliationData[[#This Row],[last_return_date]]&gt;ReconciliationData[[#This Row],[Order_Date]]+60),1,0)</f>
        <v>0</v>
      </c>
      <c r="V286">
        <f>IF(ReconciliationData[[#This Row],[total_returned_units]]&gt;ReconciliationData[[#This Row],[ordered_units]],1,0)</f>
        <v>0</v>
      </c>
      <c r="W2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">
        <f>ReconciliationData[[#This Row],[Billed_Units]]*ReconciliationData[[#This Row],[Billed_Price]]</f>
        <v>118187.58600000001</v>
      </c>
      <c r="Y286">
        <f>ReconciliationData[[#This Row],[ordered_units]]*ReconciliationData[[#This Row],[List_Price]]</f>
        <v>118187.58600000001</v>
      </c>
      <c r="Z286">
        <f>ReconciliationData[[#This Row],[billed_revenue]]-ReconciliationData[[#This Row],[expected_revenue]]</f>
        <v>0</v>
      </c>
      <c r="AA2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" t="str">
        <f>IF(ReconciliationData[[#This Row],[severity_score]]=0,"LOW",
 IF(ReconciliationData[[#This Row],[severity_score]]&lt;=5,"MEDIUM","HIGH"))</f>
        <v>LOW</v>
      </c>
      <c r="AC286" t="str">
        <f>TEXT(ReconciliationData[[#This Row],[Order_Date]],"YYYY-MM")</f>
        <v>2024-03</v>
      </c>
    </row>
    <row r="287" spans="1:29">
      <c r="A287" t="s">
        <v>1131</v>
      </c>
      <c r="B287" s="1">
        <v>45415</v>
      </c>
      <c r="C287" t="s">
        <v>1132</v>
      </c>
      <c r="D287" t="s">
        <v>374</v>
      </c>
      <c r="E287">
        <v>131</v>
      </c>
      <c r="F287" t="s">
        <v>1133</v>
      </c>
      <c r="G287">
        <v>131</v>
      </c>
      <c r="H287">
        <v>517.39100000000008</v>
      </c>
      <c r="N287">
        <v>517.39100000000008</v>
      </c>
      <c r="O287" s="1">
        <v>45045</v>
      </c>
      <c r="P287">
        <f>IF(ISBLANK(ReconciliationData[[#This Row],[Invoice_ID]]),1,0)</f>
        <v>0</v>
      </c>
      <c r="Q287">
        <f>IF(AND(NOT(ISBLANK(ReconciliationData[[#This Row],[Billed_Units]])),ReconciliationData[[#This Row],[ordered_units]]&lt;&gt;ReconciliationData[[#This Row],[Billed_Units]]),1,0)</f>
        <v>0</v>
      </c>
      <c r="R2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">
        <f>IF(AND(NOT(ISBLANK(ReconciliationData[[#This Row],[Contract_Price]])),ReconciliationData[[#This Row],[Billed_Price]]&lt;&gt;ReconciliationData[[#This Row],[Contract_Price]]),1,0)</f>
        <v>0</v>
      </c>
      <c r="T287">
        <f>IF(AND(NOT(ISBLANK(ReconciliationData[[#This Row],[End_Date]])),ReconciliationData[[#This Row],[Order_Date]]&gt;ReconciliationData[[#This Row],[End_Date]]),1,0)</f>
        <v>0</v>
      </c>
      <c r="U287">
        <f>IF(AND(NOT(ISBLANK(ReconciliationData[[#This Row],[last_return_date]])),ReconciliationData[[#This Row],[last_return_date]]&gt;ReconciliationData[[#This Row],[Order_Date]]+60),1,0)</f>
        <v>0</v>
      </c>
      <c r="V287">
        <f>IF(ReconciliationData[[#This Row],[total_returned_units]]&gt;ReconciliationData[[#This Row],[ordered_units]],1,0)</f>
        <v>0</v>
      </c>
      <c r="W2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7">
        <f>ReconciliationData[[#This Row],[Billed_Units]]*ReconciliationData[[#This Row],[Billed_Price]]</f>
        <v>67778.221000000005</v>
      </c>
      <c r="Y287">
        <f>ReconciliationData[[#This Row],[ordered_units]]*ReconciliationData[[#This Row],[List_Price]]</f>
        <v>67778.221000000005</v>
      </c>
      <c r="Z287">
        <f>ReconciliationData[[#This Row],[billed_revenue]]-ReconciliationData[[#This Row],[expected_revenue]]</f>
        <v>0</v>
      </c>
      <c r="AA2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7" t="str">
        <f>IF(ReconciliationData[[#This Row],[severity_score]]=0,"LOW",
 IF(ReconciliationData[[#This Row],[severity_score]]&lt;=5,"MEDIUM","HIGH"))</f>
        <v>LOW</v>
      </c>
      <c r="AC287" t="str">
        <f>TEXT(ReconciliationData[[#This Row],[Order_Date]],"YYYY-MM")</f>
        <v>2024-05</v>
      </c>
    </row>
    <row r="288" spans="1:29">
      <c r="A288" t="s">
        <v>1134</v>
      </c>
      <c r="B288" s="1">
        <v>45644</v>
      </c>
      <c r="C288" t="s">
        <v>1135</v>
      </c>
      <c r="D288" t="s">
        <v>764</v>
      </c>
      <c r="E288">
        <v>161</v>
      </c>
      <c r="F288" t="s">
        <v>1136</v>
      </c>
      <c r="G288">
        <v>161</v>
      </c>
      <c r="H288">
        <v>1221.1123994720542</v>
      </c>
      <c r="N288">
        <v>1220.5917999999999</v>
      </c>
      <c r="O288" s="1">
        <v>45153</v>
      </c>
      <c r="P288">
        <f>IF(ISBLANK(ReconciliationData[[#This Row],[Invoice_ID]]),1,0)</f>
        <v>0</v>
      </c>
      <c r="Q288">
        <f>IF(AND(NOT(ISBLANK(ReconciliationData[[#This Row],[Billed_Units]])),ReconciliationData[[#This Row],[ordered_units]]&lt;&gt;ReconciliationData[[#This Row],[Billed_Units]]),1,0)</f>
        <v>0</v>
      </c>
      <c r="R288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88">
        <f>IF(AND(NOT(ISBLANK(ReconciliationData[[#This Row],[Contract_Price]])),ReconciliationData[[#This Row],[Billed_Price]]&lt;&gt;ReconciliationData[[#This Row],[Contract_Price]]),1,0)</f>
        <v>0</v>
      </c>
      <c r="T288">
        <f>IF(AND(NOT(ISBLANK(ReconciliationData[[#This Row],[End_Date]])),ReconciliationData[[#This Row],[Order_Date]]&gt;ReconciliationData[[#This Row],[End_Date]]),1,0)</f>
        <v>0</v>
      </c>
      <c r="U288">
        <f>IF(AND(NOT(ISBLANK(ReconciliationData[[#This Row],[last_return_date]])),ReconciliationData[[#This Row],[last_return_date]]&gt;ReconciliationData[[#This Row],[Order_Date]]+60),1,0)</f>
        <v>0</v>
      </c>
      <c r="V288">
        <f>IF(ReconciliationData[[#This Row],[total_returned_units]]&gt;ReconciliationData[[#This Row],[ordered_units]],1,0)</f>
        <v>0</v>
      </c>
      <c r="W2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8">
        <f>ReconciliationData[[#This Row],[Billed_Units]]*ReconciliationData[[#This Row],[Billed_Price]]</f>
        <v>196599.09631500073</v>
      </c>
      <c r="Y288">
        <f>ReconciliationData[[#This Row],[ordered_units]]*ReconciliationData[[#This Row],[List_Price]]</f>
        <v>196515.27979999999</v>
      </c>
      <c r="Z288">
        <f>ReconciliationData[[#This Row],[billed_revenue]]-ReconciliationData[[#This Row],[expected_revenue]]</f>
        <v>83.816515000740765</v>
      </c>
      <c r="AA2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88" t="str">
        <f>IF(ReconciliationData[[#This Row],[severity_score]]=0,"LOW",
 IF(ReconciliationData[[#This Row],[severity_score]]&lt;=5,"MEDIUM","HIGH"))</f>
        <v>MEDIUM</v>
      </c>
      <c r="AC288" t="str">
        <f>TEXT(ReconciliationData[[#This Row],[Order_Date]],"YYYY-MM")</f>
        <v>2024-12</v>
      </c>
    </row>
    <row r="289" spans="1:29">
      <c r="A289" t="s">
        <v>1137</v>
      </c>
      <c r="B289" s="1">
        <v>45572</v>
      </c>
      <c r="C289" t="s">
        <v>1138</v>
      </c>
      <c r="D289" t="s">
        <v>267</v>
      </c>
      <c r="E289">
        <v>20</v>
      </c>
      <c r="F289" t="s">
        <v>1139</v>
      </c>
      <c r="G289">
        <v>20</v>
      </c>
      <c r="H289">
        <v>973.43799999999999</v>
      </c>
      <c r="I289">
        <v>16</v>
      </c>
      <c r="J289" s="1">
        <v>45550</v>
      </c>
      <c r="N289">
        <v>973.43799999999999</v>
      </c>
      <c r="O289" s="1">
        <v>45011</v>
      </c>
      <c r="P289">
        <f>IF(ISBLANK(ReconciliationData[[#This Row],[Invoice_ID]]),1,0)</f>
        <v>0</v>
      </c>
      <c r="Q289">
        <f>IF(AND(NOT(ISBLANK(ReconciliationData[[#This Row],[Billed_Units]])),ReconciliationData[[#This Row],[ordered_units]]&lt;&gt;ReconciliationData[[#This Row],[Billed_Units]]),1,0)</f>
        <v>0</v>
      </c>
      <c r="R2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">
        <f>IF(AND(NOT(ISBLANK(ReconciliationData[[#This Row],[Contract_Price]])),ReconciliationData[[#This Row],[Billed_Price]]&lt;&gt;ReconciliationData[[#This Row],[Contract_Price]]),1,0)</f>
        <v>0</v>
      </c>
      <c r="T289">
        <f>IF(AND(NOT(ISBLANK(ReconciliationData[[#This Row],[End_Date]])),ReconciliationData[[#This Row],[Order_Date]]&gt;ReconciliationData[[#This Row],[End_Date]]),1,0)</f>
        <v>0</v>
      </c>
      <c r="U289">
        <f>IF(AND(NOT(ISBLANK(ReconciliationData[[#This Row],[last_return_date]])),ReconciliationData[[#This Row],[last_return_date]]&gt;ReconciliationData[[#This Row],[Order_Date]]+60),1,0)</f>
        <v>0</v>
      </c>
      <c r="V289">
        <f>IF(ReconciliationData[[#This Row],[total_returned_units]]&gt;ReconciliationData[[#This Row],[ordered_units]],1,0)</f>
        <v>0</v>
      </c>
      <c r="W2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9">
        <f>ReconciliationData[[#This Row],[Billed_Units]]*ReconciliationData[[#This Row],[Billed_Price]]</f>
        <v>19468.759999999998</v>
      </c>
      <c r="Y289">
        <f>ReconciliationData[[#This Row],[ordered_units]]*ReconciliationData[[#This Row],[List_Price]]</f>
        <v>19468.759999999998</v>
      </c>
      <c r="Z289">
        <f>ReconciliationData[[#This Row],[billed_revenue]]-ReconciliationData[[#This Row],[expected_revenue]]</f>
        <v>0</v>
      </c>
      <c r="AA2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9" t="str">
        <f>IF(ReconciliationData[[#This Row],[severity_score]]=0,"LOW",
 IF(ReconciliationData[[#This Row],[severity_score]]&lt;=5,"MEDIUM","HIGH"))</f>
        <v>LOW</v>
      </c>
      <c r="AC289" t="str">
        <f>TEXT(ReconciliationData[[#This Row],[Order_Date]],"YYYY-MM")</f>
        <v>2024-10</v>
      </c>
    </row>
    <row r="290" spans="1:29">
      <c r="A290" t="s">
        <v>1140</v>
      </c>
      <c r="B290" s="1">
        <v>45550</v>
      </c>
      <c r="C290" t="s">
        <v>1141</v>
      </c>
      <c r="D290" t="s">
        <v>1142</v>
      </c>
      <c r="E290">
        <v>137</v>
      </c>
      <c r="F290" t="s">
        <v>1143</v>
      </c>
      <c r="G290">
        <v>137</v>
      </c>
      <c r="H290">
        <v>624.37260000000003</v>
      </c>
      <c r="N290">
        <v>624.37260000000003</v>
      </c>
      <c r="O290" s="1">
        <v>44932</v>
      </c>
      <c r="P290">
        <f>IF(ISBLANK(ReconciliationData[[#This Row],[Invoice_ID]]),1,0)</f>
        <v>0</v>
      </c>
      <c r="Q290">
        <f>IF(AND(NOT(ISBLANK(ReconciliationData[[#This Row],[Billed_Units]])),ReconciliationData[[#This Row],[ordered_units]]&lt;&gt;ReconciliationData[[#This Row],[Billed_Units]]),1,0)</f>
        <v>0</v>
      </c>
      <c r="R2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">
        <f>IF(AND(NOT(ISBLANK(ReconciliationData[[#This Row],[Contract_Price]])),ReconciliationData[[#This Row],[Billed_Price]]&lt;&gt;ReconciliationData[[#This Row],[Contract_Price]]),1,0)</f>
        <v>0</v>
      </c>
      <c r="T290">
        <f>IF(AND(NOT(ISBLANK(ReconciliationData[[#This Row],[End_Date]])),ReconciliationData[[#This Row],[Order_Date]]&gt;ReconciliationData[[#This Row],[End_Date]]),1,0)</f>
        <v>0</v>
      </c>
      <c r="U290">
        <f>IF(AND(NOT(ISBLANK(ReconciliationData[[#This Row],[last_return_date]])),ReconciliationData[[#This Row],[last_return_date]]&gt;ReconciliationData[[#This Row],[Order_Date]]+60),1,0)</f>
        <v>0</v>
      </c>
      <c r="V290">
        <f>IF(ReconciliationData[[#This Row],[total_returned_units]]&gt;ReconciliationData[[#This Row],[ordered_units]],1,0)</f>
        <v>0</v>
      </c>
      <c r="W2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0">
        <f>ReconciliationData[[#This Row],[Billed_Units]]*ReconciliationData[[#This Row],[Billed_Price]]</f>
        <v>85539.046200000012</v>
      </c>
      <c r="Y290">
        <f>ReconciliationData[[#This Row],[ordered_units]]*ReconciliationData[[#This Row],[List_Price]]</f>
        <v>85539.046200000012</v>
      </c>
      <c r="Z290">
        <f>ReconciliationData[[#This Row],[billed_revenue]]-ReconciliationData[[#This Row],[expected_revenue]]</f>
        <v>0</v>
      </c>
      <c r="AA2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0" t="str">
        <f>IF(ReconciliationData[[#This Row],[severity_score]]=0,"LOW",
 IF(ReconciliationData[[#This Row],[severity_score]]&lt;=5,"MEDIUM","HIGH"))</f>
        <v>LOW</v>
      </c>
      <c r="AC290" t="str">
        <f>TEXT(ReconciliationData[[#This Row],[Order_Date]],"YYYY-MM")</f>
        <v>2024-09</v>
      </c>
    </row>
    <row r="291" spans="1:29">
      <c r="A291" t="s">
        <v>1144</v>
      </c>
      <c r="B291" s="1">
        <v>45213</v>
      </c>
      <c r="C291" t="s">
        <v>1145</v>
      </c>
      <c r="D291" t="s">
        <v>1146</v>
      </c>
      <c r="E291">
        <v>59</v>
      </c>
      <c r="F291" t="s">
        <v>1147</v>
      </c>
      <c r="G291">
        <v>59</v>
      </c>
      <c r="H291">
        <v>427.43</v>
      </c>
      <c r="N291">
        <v>427.43</v>
      </c>
      <c r="O291" s="1">
        <v>45054</v>
      </c>
      <c r="P291">
        <f>IF(ISBLANK(ReconciliationData[[#This Row],[Invoice_ID]]),1,0)</f>
        <v>0</v>
      </c>
      <c r="Q291">
        <f>IF(AND(NOT(ISBLANK(ReconciliationData[[#This Row],[Billed_Units]])),ReconciliationData[[#This Row],[ordered_units]]&lt;&gt;ReconciliationData[[#This Row],[Billed_Units]]),1,0)</f>
        <v>0</v>
      </c>
      <c r="R2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">
        <f>IF(AND(NOT(ISBLANK(ReconciliationData[[#This Row],[Contract_Price]])),ReconciliationData[[#This Row],[Billed_Price]]&lt;&gt;ReconciliationData[[#This Row],[Contract_Price]]),1,0)</f>
        <v>0</v>
      </c>
      <c r="T291">
        <f>IF(AND(NOT(ISBLANK(ReconciliationData[[#This Row],[End_Date]])),ReconciliationData[[#This Row],[Order_Date]]&gt;ReconciliationData[[#This Row],[End_Date]]),1,0)</f>
        <v>0</v>
      </c>
      <c r="U291">
        <f>IF(AND(NOT(ISBLANK(ReconciliationData[[#This Row],[last_return_date]])),ReconciliationData[[#This Row],[last_return_date]]&gt;ReconciliationData[[#This Row],[Order_Date]]+60),1,0)</f>
        <v>0</v>
      </c>
      <c r="V291">
        <f>IF(ReconciliationData[[#This Row],[total_returned_units]]&gt;ReconciliationData[[#This Row],[ordered_units]],1,0)</f>
        <v>0</v>
      </c>
      <c r="W2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1">
        <f>ReconciliationData[[#This Row],[Billed_Units]]*ReconciliationData[[#This Row],[Billed_Price]]</f>
        <v>25218.37</v>
      </c>
      <c r="Y291">
        <f>ReconciliationData[[#This Row],[ordered_units]]*ReconciliationData[[#This Row],[List_Price]]</f>
        <v>25218.37</v>
      </c>
      <c r="Z291">
        <f>ReconciliationData[[#This Row],[billed_revenue]]-ReconciliationData[[#This Row],[expected_revenue]]</f>
        <v>0</v>
      </c>
      <c r="AA2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1" t="str">
        <f>IF(ReconciliationData[[#This Row],[severity_score]]=0,"LOW",
 IF(ReconciliationData[[#This Row],[severity_score]]&lt;=5,"MEDIUM","HIGH"))</f>
        <v>LOW</v>
      </c>
      <c r="AC291" t="str">
        <f>TEXT(ReconciliationData[[#This Row],[Order_Date]],"YYYY-MM")</f>
        <v>2023-10</v>
      </c>
    </row>
    <row r="292" spans="1:29">
      <c r="A292" t="s">
        <v>1148</v>
      </c>
      <c r="B292" s="1">
        <v>44953</v>
      </c>
      <c r="C292" t="s">
        <v>1149</v>
      </c>
      <c r="D292" t="s">
        <v>317</v>
      </c>
      <c r="E292">
        <v>139</v>
      </c>
      <c r="F292" t="s">
        <v>1150</v>
      </c>
      <c r="G292">
        <v>139</v>
      </c>
      <c r="H292">
        <v>1015.6622</v>
      </c>
      <c r="N292">
        <v>1015.6622</v>
      </c>
      <c r="O292" s="1">
        <v>44797</v>
      </c>
      <c r="P292">
        <f>IF(ISBLANK(ReconciliationData[[#This Row],[Invoice_ID]]),1,0)</f>
        <v>0</v>
      </c>
      <c r="Q292">
        <f>IF(AND(NOT(ISBLANK(ReconciliationData[[#This Row],[Billed_Units]])),ReconciliationData[[#This Row],[ordered_units]]&lt;&gt;ReconciliationData[[#This Row],[Billed_Units]]),1,0)</f>
        <v>0</v>
      </c>
      <c r="R2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2">
        <f>IF(AND(NOT(ISBLANK(ReconciliationData[[#This Row],[Contract_Price]])),ReconciliationData[[#This Row],[Billed_Price]]&lt;&gt;ReconciliationData[[#This Row],[Contract_Price]]),1,0)</f>
        <v>0</v>
      </c>
      <c r="T292">
        <f>IF(AND(NOT(ISBLANK(ReconciliationData[[#This Row],[End_Date]])),ReconciliationData[[#This Row],[Order_Date]]&gt;ReconciliationData[[#This Row],[End_Date]]),1,0)</f>
        <v>0</v>
      </c>
      <c r="U292">
        <f>IF(AND(NOT(ISBLANK(ReconciliationData[[#This Row],[last_return_date]])),ReconciliationData[[#This Row],[last_return_date]]&gt;ReconciliationData[[#This Row],[Order_Date]]+60),1,0)</f>
        <v>0</v>
      </c>
      <c r="V292">
        <f>IF(ReconciliationData[[#This Row],[total_returned_units]]&gt;ReconciliationData[[#This Row],[ordered_units]],1,0)</f>
        <v>0</v>
      </c>
      <c r="W2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2">
        <f>ReconciliationData[[#This Row],[Billed_Units]]*ReconciliationData[[#This Row],[Billed_Price]]</f>
        <v>141177.04579999999</v>
      </c>
      <c r="Y292">
        <f>ReconciliationData[[#This Row],[ordered_units]]*ReconciliationData[[#This Row],[List_Price]]</f>
        <v>141177.04579999999</v>
      </c>
      <c r="Z292">
        <f>ReconciliationData[[#This Row],[billed_revenue]]-ReconciliationData[[#This Row],[expected_revenue]]</f>
        <v>0</v>
      </c>
      <c r="AA2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2" t="str">
        <f>IF(ReconciliationData[[#This Row],[severity_score]]=0,"LOW",
 IF(ReconciliationData[[#This Row],[severity_score]]&lt;=5,"MEDIUM","HIGH"))</f>
        <v>LOW</v>
      </c>
      <c r="AC292" t="str">
        <f>TEXT(ReconciliationData[[#This Row],[Order_Date]],"YYYY-MM")</f>
        <v>2023-01</v>
      </c>
    </row>
    <row r="293" spans="1:29">
      <c r="A293" t="s">
        <v>1151</v>
      </c>
      <c r="B293" s="1">
        <v>45291</v>
      </c>
      <c r="C293" t="s">
        <v>1152</v>
      </c>
      <c r="D293" t="s">
        <v>711</v>
      </c>
      <c r="E293">
        <v>158</v>
      </c>
      <c r="F293" t="s">
        <v>1153</v>
      </c>
      <c r="G293">
        <v>158</v>
      </c>
      <c r="H293">
        <v>405.98</v>
      </c>
      <c r="N293">
        <v>405.98</v>
      </c>
      <c r="O293" s="1">
        <v>45152</v>
      </c>
      <c r="P293">
        <f>IF(ISBLANK(ReconciliationData[[#This Row],[Invoice_ID]]),1,0)</f>
        <v>0</v>
      </c>
      <c r="Q293">
        <f>IF(AND(NOT(ISBLANK(ReconciliationData[[#This Row],[Billed_Units]])),ReconciliationData[[#This Row],[ordered_units]]&lt;&gt;ReconciliationData[[#This Row],[Billed_Units]]),1,0)</f>
        <v>0</v>
      </c>
      <c r="R2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">
        <f>IF(AND(NOT(ISBLANK(ReconciliationData[[#This Row],[Contract_Price]])),ReconciliationData[[#This Row],[Billed_Price]]&lt;&gt;ReconciliationData[[#This Row],[Contract_Price]]),1,0)</f>
        <v>0</v>
      </c>
      <c r="T293">
        <f>IF(AND(NOT(ISBLANK(ReconciliationData[[#This Row],[End_Date]])),ReconciliationData[[#This Row],[Order_Date]]&gt;ReconciliationData[[#This Row],[End_Date]]),1,0)</f>
        <v>0</v>
      </c>
      <c r="U293">
        <f>IF(AND(NOT(ISBLANK(ReconciliationData[[#This Row],[last_return_date]])),ReconciliationData[[#This Row],[last_return_date]]&gt;ReconciliationData[[#This Row],[Order_Date]]+60),1,0)</f>
        <v>0</v>
      </c>
      <c r="V293">
        <f>IF(ReconciliationData[[#This Row],[total_returned_units]]&gt;ReconciliationData[[#This Row],[ordered_units]],1,0)</f>
        <v>0</v>
      </c>
      <c r="W2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">
        <f>ReconciliationData[[#This Row],[Billed_Units]]*ReconciliationData[[#This Row],[Billed_Price]]</f>
        <v>64144.840000000004</v>
      </c>
      <c r="Y293">
        <f>ReconciliationData[[#This Row],[ordered_units]]*ReconciliationData[[#This Row],[List_Price]]</f>
        <v>64144.840000000004</v>
      </c>
      <c r="Z293">
        <f>ReconciliationData[[#This Row],[billed_revenue]]-ReconciliationData[[#This Row],[expected_revenue]]</f>
        <v>0</v>
      </c>
      <c r="AA2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" t="str">
        <f>IF(ReconciliationData[[#This Row],[severity_score]]=0,"LOW",
 IF(ReconciliationData[[#This Row],[severity_score]]&lt;=5,"MEDIUM","HIGH"))</f>
        <v>LOW</v>
      </c>
      <c r="AC293" t="str">
        <f>TEXT(ReconciliationData[[#This Row],[Order_Date]],"YYYY-MM")</f>
        <v>2023-12</v>
      </c>
    </row>
    <row r="294" spans="1:29">
      <c r="A294" t="s">
        <v>1154</v>
      </c>
      <c r="B294" s="1">
        <v>45468</v>
      </c>
      <c r="C294" t="s">
        <v>1155</v>
      </c>
      <c r="D294" t="s">
        <v>404</v>
      </c>
      <c r="E294">
        <v>41</v>
      </c>
      <c r="F294" t="s">
        <v>1156</v>
      </c>
      <c r="G294">
        <v>41</v>
      </c>
      <c r="H294">
        <v>1129.6166000000001</v>
      </c>
      <c r="N294">
        <v>1129.6166000000001</v>
      </c>
      <c r="O294" s="1">
        <v>44960</v>
      </c>
      <c r="P294">
        <f>IF(ISBLANK(ReconciliationData[[#This Row],[Invoice_ID]]),1,0)</f>
        <v>0</v>
      </c>
      <c r="Q294">
        <f>IF(AND(NOT(ISBLANK(ReconciliationData[[#This Row],[Billed_Units]])),ReconciliationData[[#This Row],[ordered_units]]&lt;&gt;ReconciliationData[[#This Row],[Billed_Units]]),1,0)</f>
        <v>0</v>
      </c>
      <c r="R2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">
        <f>IF(AND(NOT(ISBLANK(ReconciliationData[[#This Row],[Contract_Price]])),ReconciliationData[[#This Row],[Billed_Price]]&lt;&gt;ReconciliationData[[#This Row],[Contract_Price]]),1,0)</f>
        <v>0</v>
      </c>
      <c r="T294">
        <f>IF(AND(NOT(ISBLANK(ReconciliationData[[#This Row],[End_Date]])),ReconciliationData[[#This Row],[Order_Date]]&gt;ReconciliationData[[#This Row],[End_Date]]),1,0)</f>
        <v>0</v>
      </c>
      <c r="U294">
        <f>IF(AND(NOT(ISBLANK(ReconciliationData[[#This Row],[last_return_date]])),ReconciliationData[[#This Row],[last_return_date]]&gt;ReconciliationData[[#This Row],[Order_Date]]+60),1,0)</f>
        <v>0</v>
      </c>
      <c r="V294">
        <f>IF(ReconciliationData[[#This Row],[total_returned_units]]&gt;ReconciliationData[[#This Row],[ordered_units]],1,0)</f>
        <v>0</v>
      </c>
      <c r="W2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4">
        <f>ReconciliationData[[#This Row],[Billed_Units]]*ReconciliationData[[#This Row],[Billed_Price]]</f>
        <v>46314.280600000006</v>
      </c>
      <c r="Y294">
        <f>ReconciliationData[[#This Row],[ordered_units]]*ReconciliationData[[#This Row],[List_Price]]</f>
        <v>46314.280600000006</v>
      </c>
      <c r="Z294">
        <f>ReconciliationData[[#This Row],[billed_revenue]]-ReconciliationData[[#This Row],[expected_revenue]]</f>
        <v>0</v>
      </c>
      <c r="AA2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4" t="str">
        <f>IF(ReconciliationData[[#This Row],[severity_score]]=0,"LOW",
 IF(ReconciliationData[[#This Row],[severity_score]]&lt;=5,"MEDIUM","HIGH"))</f>
        <v>LOW</v>
      </c>
      <c r="AC294" t="str">
        <f>TEXT(ReconciliationData[[#This Row],[Order_Date]],"YYYY-MM")</f>
        <v>2024-06</v>
      </c>
    </row>
    <row r="295" spans="1:29">
      <c r="A295" t="s">
        <v>1157</v>
      </c>
      <c r="B295" s="1">
        <v>44997</v>
      </c>
      <c r="C295" t="s">
        <v>1158</v>
      </c>
      <c r="D295" t="s">
        <v>798</v>
      </c>
      <c r="E295">
        <v>31</v>
      </c>
      <c r="F295" t="s">
        <v>1159</v>
      </c>
      <c r="G295">
        <v>31</v>
      </c>
      <c r="H295">
        <v>145.88700459339756</v>
      </c>
      <c r="N295">
        <v>145.72999999999999</v>
      </c>
      <c r="O295" s="1">
        <v>44899</v>
      </c>
      <c r="P295">
        <f>IF(ISBLANK(ReconciliationData[[#This Row],[Invoice_ID]]),1,0)</f>
        <v>0</v>
      </c>
      <c r="Q295">
        <f>IF(AND(NOT(ISBLANK(ReconciliationData[[#This Row],[Billed_Units]])),ReconciliationData[[#This Row],[ordered_units]]&lt;&gt;ReconciliationData[[#This Row],[Billed_Units]]),1,0)</f>
        <v>0</v>
      </c>
      <c r="R29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95">
        <f>IF(AND(NOT(ISBLANK(ReconciliationData[[#This Row],[Contract_Price]])),ReconciliationData[[#This Row],[Billed_Price]]&lt;&gt;ReconciliationData[[#This Row],[Contract_Price]]),1,0)</f>
        <v>0</v>
      </c>
      <c r="T295">
        <f>IF(AND(NOT(ISBLANK(ReconciliationData[[#This Row],[End_Date]])),ReconciliationData[[#This Row],[Order_Date]]&gt;ReconciliationData[[#This Row],[End_Date]]),1,0)</f>
        <v>0</v>
      </c>
      <c r="U295">
        <f>IF(AND(NOT(ISBLANK(ReconciliationData[[#This Row],[last_return_date]])),ReconciliationData[[#This Row],[last_return_date]]&gt;ReconciliationData[[#This Row],[Order_Date]]+60),1,0)</f>
        <v>0</v>
      </c>
      <c r="V295">
        <f>IF(ReconciliationData[[#This Row],[total_returned_units]]&gt;ReconciliationData[[#This Row],[ordered_units]],1,0)</f>
        <v>0</v>
      </c>
      <c r="W2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5">
        <f>ReconciliationData[[#This Row],[Billed_Units]]*ReconciliationData[[#This Row],[Billed_Price]]</f>
        <v>4522.4971423953248</v>
      </c>
      <c r="Y295">
        <f>ReconciliationData[[#This Row],[ordered_units]]*ReconciliationData[[#This Row],[List_Price]]</f>
        <v>4517.63</v>
      </c>
      <c r="Z295">
        <f>ReconciliationData[[#This Row],[billed_revenue]]-ReconciliationData[[#This Row],[expected_revenue]]</f>
        <v>4.8671423953246631</v>
      </c>
      <c r="AA2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95" t="str">
        <f>IF(ReconciliationData[[#This Row],[severity_score]]=0,"LOW",
 IF(ReconciliationData[[#This Row],[severity_score]]&lt;=5,"MEDIUM","HIGH"))</f>
        <v>MEDIUM</v>
      </c>
      <c r="AC295" t="str">
        <f>TEXT(ReconciliationData[[#This Row],[Order_Date]],"YYYY-MM")</f>
        <v>2023-03</v>
      </c>
    </row>
    <row r="296" spans="1:29">
      <c r="A296" t="s">
        <v>1160</v>
      </c>
      <c r="B296" s="1">
        <v>45179</v>
      </c>
      <c r="C296" t="s">
        <v>1161</v>
      </c>
      <c r="D296" t="s">
        <v>655</v>
      </c>
      <c r="E296">
        <v>151</v>
      </c>
      <c r="F296" t="s">
        <v>1162</v>
      </c>
      <c r="G296">
        <v>151</v>
      </c>
      <c r="H296">
        <v>130.87360000000001</v>
      </c>
      <c r="N296">
        <v>130.87360000000001</v>
      </c>
      <c r="O296" s="1">
        <v>45074</v>
      </c>
      <c r="P296">
        <f>IF(ISBLANK(ReconciliationData[[#This Row],[Invoice_ID]]),1,0)</f>
        <v>0</v>
      </c>
      <c r="Q296">
        <f>IF(AND(NOT(ISBLANK(ReconciliationData[[#This Row],[Billed_Units]])),ReconciliationData[[#This Row],[ordered_units]]&lt;&gt;ReconciliationData[[#This Row],[Billed_Units]]),1,0)</f>
        <v>0</v>
      </c>
      <c r="R2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">
        <f>IF(AND(NOT(ISBLANK(ReconciliationData[[#This Row],[Contract_Price]])),ReconciliationData[[#This Row],[Billed_Price]]&lt;&gt;ReconciliationData[[#This Row],[Contract_Price]]),1,0)</f>
        <v>0</v>
      </c>
      <c r="T296">
        <f>IF(AND(NOT(ISBLANK(ReconciliationData[[#This Row],[End_Date]])),ReconciliationData[[#This Row],[Order_Date]]&gt;ReconciliationData[[#This Row],[End_Date]]),1,0)</f>
        <v>0</v>
      </c>
      <c r="U296">
        <f>IF(AND(NOT(ISBLANK(ReconciliationData[[#This Row],[last_return_date]])),ReconciliationData[[#This Row],[last_return_date]]&gt;ReconciliationData[[#This Row],[Order_Date]]+60),1,0)</f>
        <v>0</v>
      </c>
      <c r="V296">
        <f>IF(ReconciliationData[[#This Row],[total_returned_units]]&gt;ReconciliationData[[#This Row],[ordered_units]],1,0)</f>
        <v>0</v>
      </c>
      <c r="W2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">
        <f>ReconciliationData[[#This Row],[Billed_Units]]*ReconciliationData[[#This Row],[Billed_Price]]</f>
        <v>19761.9136</v>
      </c>
      <c r="Y296">
        <f>ReconciliationData[[#This Row],[ordered_units]]*ReconciliationData[[#This Row],[List_Price]]</f>
        <v>19761.9136</v>
      </c>
      <c r="Z296">
        <f>ReconciliationData[[#This Row],[billed_revenue]]-ReconciliationData[[#This Row],[expected_revenue]]</f>
        <v>0</v>
      </c>
      <c r="AA2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" t="str">
        <f>IF(ReconciliationData[[#This Row],[severity_score]]=0,"LOW",
 IF(ReconciliationData[[#This Row],[severity_score]]&lt;=5,"MEDIUM","HIGH"))</f>
        <v>LOW</v>
      </c>
      <c r="AC296" t="str">
        <f>TEXT(ReconciliationData[[#This Row],[Order_Date]],"YYYY-MM")</f>
        <v>2023-09</v>
      </c>
    </row>
    <row r="297" spans="1:29">
      <c r="A297" t="s">
        <v>1163</v>
      </c>
      <c r="B297" s="1">
        <v>45282</v>
      </c>
      <c r="C297" t="s">
        <v>1046</v>
      </c>
      <c r="D297" t="s">
        <v>814</v>
      </c>
      <c r="E297">
        <v>87</v>
      </c>
      <c r="F297" t="s">
        <v>1164</v>
      </c>
      <c r="G297">
        <v>87</v>
      </c>
      <c r="H297">
        <v>521.54959999999994</v>
      </c>
      <c r="N297">
        <v>521.54959999999994</v>
      </c>
      <c r="O297" s="1">
        <v>44994</v>
      </c>
      <c r="P297">
        <f>IF(ISBLANK(ReconciliationData[[#This Row],[Invoice_ID]]),1,0)</f>
        <v>0</v>
      </c>
      <c r="Q297">
        <f>IF(AND(NOT(ISBLANK(ReconciliationData[[#This Row],[Billed_Units]])),ReconciliationData[[#This Row],[ordered_units]]&lt;&gt;ReconciliationData[[#This Row],[Billed_Units]]),1,0)</f>
        <v>0</v>
      </c>
      <c r="R2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7">
        <f>IF(AND(NOT(ISBLANK(ReconciliationData[[#This Row],[Contract_Price]])),ReconciliationData[[#This Row],[Billed_Price]]&lt;&gt;ReconciliationData[[#This Row],[Contract_Price]]),1,0)</f>
        <v>0</v>
      </c>
      <c r="T297">
        <f>IF(AND(NOT(ISBLANK(ReconciliationData[[#This Row],[End_Date]])),ReconciliationData[[#This Row],[Order_Date]]&gt;ReconciliationData[[#This Row],[End_Date]]),1,0)</f>
        <v>0</v>
      </c>
      <c r="U297">
        <f>IF(AND(NOT(ISBLANK(ReconciliationData[[#This Row],[last_return_date]])),ReconciliationData[[#This Row],[last_return_date]]&gt;ReconciliationData[[#This Row],[Order_Date]]+60),1,0)</f>
        <v>0</v>
      </c>
      <c r="V297">
        <f>IF(ReconciliationData[[#This Row],[total_returned_units]]&gt;ReconciliationData[[#This Row],[ordered_units]],1,0)</f>
        <v>0</v>
      </c>
      <c r="W2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7">
        <f>ReconciliationData[[#This Row],[Billed_Units]]*ReconciliationData[[#This Row],[Billed_Price]]</f>
        <v>45374.815199999997</v>
      </c>
      <c r="Y297">
        <f>ReconciliationData[[#This Row],[ordered_units]]*ReconciliationData[[#This Row],[List_Price]]</f>
        <v>45374.815199999997</v>
      </c>
      <c r="Z297">
        <f>ReconciliationData[[#This Row],[billed_revenue]]-ReconciliationData[[#This Row],[expected_revenue]]</f>
        <v>0</v>
      </c>
      <c r="AA2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7" t="str">
        <f>IF(ReconciliationData[[#This Row],[severity_score]]=0,"LOW",
 IF(ReconciliationData[[#This Row],[severity_score]]&lt;=5,"MEDIUM","HIGH"))</f>
        <v>LOW</v>
      </c>
      <c r="AC297" t="str">
        <f>TEXT(ReconciliationData[[#This Row],[Order_Date]],"YYYY-MM")</f>
        <v>2023-12</v>
      </c>
    </row>
    <row r="298" spans="1:29">
      <c r="A298" t="s">
        <v>1165</v>
      </c>
      <c r="B298" s="1">
        <v>45201</v>
      </c>
      <c r="C298" t="s">
        <v>515</v>
      </c>
      <c r="D298" t="s">
        <v>658</v>
      </c>
      <c r="E298">
        <v>84</v>
      </c>
      <c r="F298" t="s">
        <v>1166</v>
      </c>
      <c r="G298">
        <v>84</v>
      </c>
      <c r="H298">
        <v>88.578000000000003</v>
      </c>
      <c r="N298">
        <v>88.578000000000003</v>
      </c>
      <c r="O298" s="1">
        <v>45107</v>
      </c>
      <c r="P298">
        <f>IF(ISBLANK(ReconciliationData[[#This Row],[Invoice_ID]]),1,0)</f>
        <v>0</v>
      </c>
      <c r="Q298">
        <f>IF(AND(NOT(ISBLANK(ReconciliationData[[#This Row],[Billed_Units]])),ReconciliationData[[#This Row],[ordered_units]]&lt;&gt;ReconciliationData[[#This Row],[Billed_Units]]),1,0)</f>
        <v>0</v>
      </c>
      <c r="R2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">
        <f>IF(AND(NOT(ISBLANK(ReconciliationData[[#This Row],[Contract_Price]])),ReconciliationData[[#This Row],[Billed_Price]]&lt;&gt;ReconciliationData[[#This Row],[Contract_Price]]),1,0)</f>
        <v>0</v>
      </c>
      <c r="T298">
        <f>IF(AND(NOT(ISBLANK(ReconciliationData[[#This Row],[End_Date]])),ReconciliationData[[#This Row],[Order_Date]]&gt;ReconciliationData[[#This Row],[End_Date]]),1,0)</f>
        <v>0</v>
      </c>
      <c r="U298">
        <f>IF(AND(NOT(ISBLANK(ReconciliationData[[#This Row],[last_return_date]])),ReconciliationData[[#This Row],[last_return_date]]&gt;ReconciliationData[[#This Row],[Order_Date]]+60),1,0)</f>
        <v>0</v>
      </c>
      <c r="V298">
        <f>IF(ReconciliationData[[#This Row],[total_returned_units]]&gt;ReconciliationData[[#This Row],[ordered_units]],1,0)</f>
        <v>0</v>
      </c>
      <c r="W2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">
        <f>ReconciliationData[[#This Row],[Billed_Units]]*ReconciliationData[[#This Row],[Billed_Price]]</f>
        <v>7440.5520000000006</v>
      </c>
      <c r="Y298">
        <f>ReconciliationData[[#This Row],[ordered_units]]*ReconciliationData[[#This Row],[List_Price]]</f>
        <v>7440.5520000000006</v>
      </c>
      <c r="Z298">
        <f>ReconciliationData[[#This Row],[billed_revenue]]-ReconciliationData[[#This Row],[expected_revenue]]</f>
        <v>0</v>
      </c>
      <c r="AA2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" t="str">
        <f>IF(ReconciliationData[[#This Row],[severity_score]]=0,"LOW",
 IF(ReconciliationData[[#This Row],[severity_score]]&lt;=5,"MEDIUM","HIGH"))</f>
        <v>LOW</v>
      </c>
      <c r="AC298" t="str">
        <f>TEXT(ReconciliationData[[#This Row],[Order_Date]],"YYYY-MM")</f>
        <v>2023-10</v>
      </c>
    </row>
    <row r="299" spans="1:29">
      <c r="A299" t="s">
        <v>1167</v>
      </c>
      <c r="B299" s="1">
        <v>45141</v>
      </c>
      <c r="C299" t="s">
        <v>1168</v>
      </c>
      <c r="D299" t="s">
        <v>639</v>
      </c>
      <c r="E299">
        <v>199</v>
      </c>
      <c r="F299" t="s">
        <v>1169</v>
      </c>
      <c r="G299">
        <v>199</v>
      </c>
      <c r="H299">
        <v>945.38850000000002</v>
      </c>
      <c r="N299">
        <v>945.38850000000002</v>
      </c>
      <c r="O299" s="1">
        <v>45047</v>
      </c>
      <c r="P299">
        <f>IF(ISBLANK(ReconciliationData[[#This Row],[Invoice_ID]]),1,0)</f>
        <v>0</v>
      </c>
      <c r="Q299">
        <f>IF(AND(NOT(ISBLANK(ReconciliationData[[#This Row],[Billed_Units]])),ReconciliationData[[#This Row],[ordered_units]]&lt;&gt;ReconciliationData[[#This Row],[Billed_Units]]),1,0)</f>
        <v>0</v>
      </c>
      <c r="R2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">
        <f>IF(AND(NOT(ISBLANK(ReconciliationData[[#This Row],[Contract_Price]])),ReconciliationData[[#This Row],[Billed_Price]]&lt;&gt;ReconciliationData[[#This Row],[Contract_Price]]),1,0)</f>
        <v>0</v>
      </c>
      <c r="T299">
        <f>IF(AND(NOT(ISBLANK(ReconciliationData[[#This Row],[End_Date]])),ReconciliationData[[#This Row],[Order_Date]]&gt;ReconciliationData[[#This Row],[End_Date]]),1,0)</f>
        <v>0</v>
      </c>
      <c r="U299">
        <f>IF(AND(NOT(ISBLANK(ReconciliationData[[#This Row],[last_return_date]])),ReconciliationData[[#This Row],[last_return_date]]&gt;ReconciliationData[[#This Row],[Order_Date]]+60),1,0)</f>
        <v>0</v>
      </c>
      <c r="V299">
        <f>IF(ReconciliationData[[#This Row],[total_returned_units]]&gt;ReconciliationData[[#This Row],[ordered_units]],1,0)</f>
        <v>0</v>
      </c>
      <c r="W2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9">
        <f>ReconciliationData[[#This Row],[Billed_Units]]*ReconciliationData[[#This Row],[Billed_Price]]</f>
        <v>188132.31150000001</v>
      </c>
      <c r="Y299">
        <f>ReconciliationData[[#This Row],[ordered_units]]*ReconciliationData[[#This Row],[List_Price]]</f>
        <v>188132.31150000001</v>
      </c>
      <c r="Z299">
        <f>ReconciliationData[[#This Row],[billed_revenue]]-ReconciliationData[[#This Row],[expected_revenue]]</f>
        <v>0</v>
      </c>
      <c r="AA2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9" t="str">
        <f>IF(ReconciliationData[[#This Row],[severity_score]]=0,"LOW",
 IF(ReconciliationData[[#This Row],[severity_score]]&lt;=5,"MEDIUM","HIGH"))</f>
        <v>LOW</v>
      </c>
      <c r="AC299" t="str">
        <f>TEXT(ReconciliationData[[#This Row],[Order_Date]],"YYYY-MM")</f>
        <v>2023-08</v>
      </c>
    </row>
    <row r="300" spans="1:29">
      <c r="A300" t="s">
        <v>1170</v>
      </c>
      <c r="B300" s="1">
        <v>44944</v>
      </c>
      <c r="C300" t="s">
        <v>919</v>
      </c>
      <c r="D300" t="s">
        <v>1171</v>
      </c>
      <c r="E300">
        <v>190</v>
      </c>
      <c r="F300" t="s">
        <v>1172</v>
      </c>
      <c r="G300">
        <v>190</v>
      </c>
      <c r="H300">
        <v>452.32560000000001</v>
      </c>
      <c r="N300">
        <v>452.32560000000001</v>
      </c>
      <c r="O300" s="1">
        <v>44883</v>
      </c>
      <c r="P300">
        <f>IF(ISBLANK(ReconciliationData[[#This Row],[Invoice_ID]]),1,0)</f>
        <v>0</v>
      </c>
      <c r="Q300">
        <f>IF(AND(NOT(ISBLANK(ReconciliationData[[#This Row],[Billed_Units]])),ReconciliationData[[#This Row],[ordered_units]]&lt;&gt;ReconciliationData[[#This Row],[Billed_Units]]),1,0)</f>
        <v>0</v>
      </c>
      <c r="R3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">
        <f>IF(AND(NOT(ISBLANK(ReconciliationData[[#This Row],[Contract_Price]])),ReconciliationData[[#This Row],[Billed_Price]]&lt;&gt;ReconciliationData[[#This Row],[Contract_Price]]),1,0)</f>
        <v>0</v>
      </c>
      <c r="T300">
        <f>IF(AND(NOT(ISBLANK(ReconciliationData[[#This Row],[End_Date]])),ReconciliationData[[#This Row],[Order_Date]]&gt;ReconciliationData[[#This Row],[End_Date]]),1,0)</f>
        <v>0</v>
      </c>
      <c r="U300">
        <f>IF(AND(NOT(ISBLANK(ReconciliationData[[#This Row],[last_return_date]])),ReconciliationData[[#This Row],[last_return_date]]&gt;ReconciliationData[[#This Row],[Order_Date]]+60),1,0)</f>
        <v>0</v>
      </c>
      <c r="V300">
        <f>IF(ReconciliationData[[#This Row],[total_returned_units]]&gt;ReconciliationData[[#This Row],[ordered_units]],1,0)</f>
        <v>0</v>
      </c>
      <c r="W3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0">
        <f>ReconciliationData[[#This Row],[Billed_Units]]*ReconciliationData[[#This Row],[Billed_Price]]</f>
        <v>85941.864000000001</v>
      </c>
      <c r="Y300">
        <f>ReconciliationData[[#This Row],[ordered_units]]*ReconciliationData[[#This Row],[List_Price]]</f>
        <v>85941.864000000001</v>
      </c>
      <c r="Z300">
        <f>ReconciliationData[[#This Row],[billed_revenue]]-ReconciliationData[[#This Row],[expected_revenue]]</f>
        <v>0</v>
      </c>
      <c r="AA3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0" t="str">
        <f>IF(ReconciliationData[[#This Row],[severity_score]]=0,"LOW",
 IF(ReconciliationData[[#This Row],[severity_score]]&lt;=5,"MEDIUM","HIGH"))</f>
        <v>LOW</v>
      </c>
      <c r="AC300" t="str">
        <f>TEXT(ReconciliationData[[#This Row],[Order_Date]],"YYYY-MM")</f>
        <v>2023-01</v>
      </c>
    </row>
    <row r="301" spans="1:29">
      <c r="A301" t="s">
        <v>1173</v>
      </c>
      <c r="B301" s="1">
        <v>45603</v>
      </c>
      <c r="C301" t="s">
        <v>1174</v>
      </c>
      <c r="D301" t="s">
        <v>1175</v>
      </c>
      <c r="E301">
        <v>65</v>
      </c>
      <c r="F301" t="s">
        <v>1176</v>
      </c>
      <c r="G301">
        <v>65</v>
      </c>
      <c r="H301">
        <v>589.66600000000005</v>
      </c>
      <c r="N301">
        <v>589.66600000000005</v>
      </c>
      <c r="O301" s="1">
        <v>45218</v>
      </c>
      <c r="P301">
        <f>IF(ISBLANK(ReconciliationData[[#This Row],[Invoice_ID]]),1,0)</f>
        <v>0</v>
      </c>
      <c r="Q301">
        <f>IF(AND(NOT(ISBLANK(ReconciliationData[[#This Row],[Billed_Units]])),ReconciliationData[[#This Row],[ordered_units]]&lt;&gt;ReconciliationData[[#This Row],[Billed_Units]]),1,0)</f>
        <v>0</v>
      </c>
      <c r="R3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">
        <f>IF(AND(NOT(ISBLANK(ReconciliationData[[#This Row],[Contract_Price]])),ReconciliationData[[#This Row],[Billed_Price]]&lt;&gt;ReconciliationData[[#This Row],[Contract_Price]]),1,0)</f>
        <v>0</v>
      </c>
      <c r="T301">
        <f>IF(AND(NOT(ISBLANK(ReconciliationData[[#This Row],[End_Date]])),ReconciliationData[[#This Row],[Order_Date]]&gt;ReconciliationData[[#This Row],[End_Date]]),1,0)</f>
        <v>0</v>
      </c>
      <c r="U301">
        <f>IF(AND(NOT(ISBLANK(ReconciliationData[[#This Row],[last_return_date]])),ReconciliationData[[#This Row],[last_return_date]]&gt;ReconciliationData[[#This Row],[Order_Date]]+60),1,0)</f>
        <v>0</v>
      </c>
      <c r="V301">
        <f>IF(ReconciliationData[[#This Row],[total_returned_units]]&gt;ReconciliationData[[#This Row],[ordered_units]],1,0)</f>
        <v>0</v>
      </c>
      <c r="W3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1">
        <f>ReconciliationData[[#This Row],[Billed_Units]]*ReconciliationData[[#This Row],[Billed_Price]]</f>
        <v>38328.29</v>
      </c>
      <c r="Y301">
        <f>ReconciliationData[[#This Row],[ordered_units]]*ReconciliationData[[#This Row],[List_Price]]</f>
        <v>38328.29</v>
      </c>
      <c r="Z301">
        <f>ReconciliationData[[#This Row],[billed_revenue]]-ReconciliationData[[#This Row],[expected_revenue]]</f>
        <v>0</v>
      </c>
      <c r="AA3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1" t="str">
        <f>IF(ReconciliationData[[#This Row],[severity_score]]=0,"LOW",
 IF(ReconciliationData[[#This Row],[severity_score]]&lt;=5,"MEDIUM","HIGH"))</f>
        <v>LOW</v>
      </c>
      <c r="AC301" t="str">
        <f>TEXT(ReconciliationData[[#This Row],[Order_Date]],"YYYY-MM")</f>
        <v>2024-11</v>
      </c>
    </row>
    <row r="302" spans="1:29">
      <c r="A302" t="s">
        <v>1177</v>
      </c>
      <c r="B302" s="1">
        <v>45380</v>
      </c>
      <c r="C302" t="s">
        <v>1178</v>
      </c>
      <c r="D302" t="s">
        <v>1179</v>
      </c>
      <c r="E302">
        <v>91</v>
      </c>
      <c r="F302" t="s">
        <v>1180</v>
      </c>
      <c r="G302">
        <v>91</v>
      </c>
      <c r="H302">
        <v>892.1431</v>
      </c>
      <c r="I302">
        <v>2</v>
      </c>
      <c r="J302" s="1">
        <v>44973</v>
      </c>
      <c r="N302">
        <v>892.1431</v>
      </c>
      <c r="O302" s="1">
        <v>45222</v>
      </c>
      <c r="P302">
        <f>IF(ISBLANK(ReconciliationData[[#This Row],[Invoice_ID]]),1,0)</f>
        <v>0</v>
      </c>
      <c r="Q302">
        <f>IF(AND(NOT(ISBLANK(ReconciliationData[[#This Row],[Billed_Units]])),ReconciliationData[[#This Row],[ordered_units]]&lt;&gt;ReconciliationData[[#This Row],[Billed_Units]]),1,0)</f>
        <v>0</v>
      </c>
      <c r="R3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">
        <f>IF(AND(NOT(ISBLANK(ReconciliationData[[#This Row],[Contract_Price]])),ReconciliationData[[#This Row],[Billed_Price]]&lt;&gt;ReconciliationData[[#This Row],[Contract_Price]]),1,0)</f>
        <v>0</v>
      </c>
      <c r="T302">
        <f>IF(AND(NOT(ISBLANK(ReconciliationData[[#This Row],[End_Date]])),ReconciliationData[[#This Row],[Order_Date]]&gt;ReconciliationData[[#This Row],[End_Date]]),1,0)</f>
        <v>0</v>
      </c>
      <c r="U302">
        <f>IF(AND(NOT(ISBLANK(ReconciliationData[[#This Row],[last_return_date]])),ReconciliationData[[#This Row],[last_return_date]]&gt;ReconciliationData[[#This Row],[Order_Date]]+60),1,0)</f>
        <v>0</v>
      </c>
      <c r="V302">
        <f>IF(ReconciliationData[[#This Row],[total_returned_units]]&gt;ReconciliationData[[#This Row],[ordered_units]],1,0)</f>
        <v>0</v>
      </c>
      <c r="W3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2">
        <f>ReconciliationData[[#This Row],[Billed_Units]]*ReconciliationData[[#This Row],[Billed_Price]]</f>
        <v>81185.022100000002</v>
      </c>
      <c r="Y302">
        <f>ReconciliationData[[#This Row],[ordered_units]]*ReconciliationData[[#This Row],[List_Price]]</f>
        <v>81185.022100000002</v>
      </c>
      <c r="Z302">
        <f>ReconciliationData[[#This Row],[billed_revenue]]-ReconciliationData[[#This Row],[expected_revenue]]</f>
        <v>0</v>
      </c>
      <c r="AA3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2" t="str">
        <f>IF(ReconciliationData[[#This Row],[severity_score]]=0,"LOW",
 IF(ReconciliationData[[#This Row],[severity_score]]&lt;=5,"MEDIUM","HIGH"))</f>
        <v>LOW</v>
      </c>
      <c r="AC302" t="str">
        <f>TEXT(ReconciliationData[[#This Row],[Order_Date]],"YYYY-MM")</f>
        <v>2024-03</v>
      </c>
    </row>
    <row r="303" spans="1:29">
      <c r="A303" t="s">
        <v>1181</v>
      </c>
      <c r="B303" s="1">
        <v>45173</v>
      </c>
      <c r="C303" t="s">
        <v>1182</v>
      </c>
      <c r="D303" t="s">
        <v>430</v>
      </c>
      <c r="E303">
        <v>132</v>
      </c>
      <c r="F303" t="s">
        <v>1183</v>
      </c>
      <c r="G303">
        <v>132</v>
      </c>
      <c r="H303">
        <v>876.32749999999999</v>
      </c>
      <c r="N303">
        <v>876.32749999999999</v>
      </c>
      <c r="O303" s="1">
        <v>45106</v>
      </c>
      <c r="P303">
        <f>IF(ISBLANK(ReconciliationData[[#This Row],[Invoice_ID]]),1,0)</f>
        <v>0</v>
      </c>
      <c r="Q303">
        <f>IF(AND(NOT(ISBLANK(ReconciliationData[[#This Row],[Billed_Units]])),ReconciliationData[[#This Row],[ordered_units]]&lt;&gt;ReconciliationData[[#This Row],[Billed_Units]]),1,0)</f>
        <v>0</v>
      </c>
      <c r="R3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">
        <f>IF(AND(NOT(ISBLANK(ReconciliationData[[#This Row],[Contract_Price]])),ReconciliationData[[#This Row],[Billed_Price]]&lt;&gt;ReconciliationData[[#This Row],[Contract_Price]]),1,0)</f>
        <v>0</v>
      </c>
      <c r="T303">
        <f>IF(AND(NOT(ISBLANK(ReconciliationData[[#This Row],[End_Date]])),ReconciliationData[[#This Row],[Order_Date]]&gt;ReconciliationData[[#This Row],[End_Date]]),1,0)</f>
        <v>0</v>
      </c>
      <c r="U303">
        <f>IF(AND(NOT(ISBLANK(ReconciliationData[[#This Row],[last_return_date]])),ReconciliationData[[#This Row],[last_return_date]]&gt;ReconciliationData[[#This Row],[Order_Date]]+60),1,0)</f>
        <v>0</v>
      </c>
      <c r="V303">
        <f>IF(ReconciliationData[[#This Row],[total_returned_units]]&gt;ReconciliationData[[#This Row],[ordered_units]],1,0)</f>
        <v>0</v>
      </c>
      <c r="W3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3">
        <f>ReconciliationData[[#This Row],[Billed_Units]]*ReconciliationData[[#This Row],[Billed_Price]]</f>
        <v>115675.23</v>
      </c>
      <c r="Y303">
        <f>ReconciliationData[[#This Row],[ordered_units]]*ReconciliationData[[#This Row],[List_Price]]</f>
        <v>115675.23</v>
      </c>
      <c r="Z303">
        <f>ReconciliationData[[#This Row],[billed_revenue]]-ReconciliationData[[#This Row],[expected_revenue]]</f>
        <v>0</v>
      </c>
      <c r="AA3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3" t="str">
        <f>IF(ReconciliationData[[#This Row],[severity_score]]=0,"LOW",
 IF(ReconciliationData[[#This Row],[severity_score]]&lt;=5,"MEDIUM","HIGH"))</f>
        <v>LOW</v>
      </c>
      <c r="AC303" t="str">
        <f>TEXT(ReconciliationData[[#This Row],[Order_Date]],"YYYY-MM")</f>
        <v>2023-09</v>
      </c>
    </row>
    <row r="304" spans="1:29">
      <c r="A304" t="s">
        <v>1184</v>
      </c>
      <c r="B304" s="1">
        <v>45363</v>
      </c>
      <c r="C304" t="s">
        <v>1185</v>
      </c>
      <c r="D304" t="s">
        <v>569</v>
      </c>
      <c r="E304">
        <v>140</v>
      </c>
      <c r="F304" t="s">
        <v>1186</v>
      </c>
      <c r="G304">
        <v>140</v>
      </c>
      <c r="H304">
        <v>1231.9933000000001</v>
      </c>
      <c r="I304">
        <v>14</v>
      </c>
      <c r="J304" s="1">
        <v>45468</v>
      </c>
      <c r="N304">
        <v>1231.9933000000001</v>
      </c>
      <c r="O304" s="1">
        <v>44934</v>
      </c>
      <c r="P304">
        <f>IF(ISBLANK(ReconciliationData[[#This Row],[Invoice_ID]]),1,0)</f>
        <v>0</v>
      </c>
      <c r="Q304">
        <f>IF(AND(NOT(ISBLANK(ReconciliationData[[#This Row],[Billed_Units]])),ReconciliationData[[#This Row],[ordered_units]]&lt;&gt;ReconciliationData[[#This Row],[Billed_Units]]),1,0)</f>
        <v>0</v>
      </c>
      <c r="R3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4">
        <f>IF(AND(NOT(ISBLANK(ReconciliationData[[#This Row],[Contract_Price]])),ReconciliationData[[#This Row],[Billed_Price]]&lt;&gt;ReconciliationData[[#This Row],[Contract_Price]]),1,0)</f>
        <v>0</v>
      </c>
      <c r="T304">
        <f>IF(AND(NOT(ISBLANK(ReconciliationData[[#This Row],[End_Date]])),ReconciliationData[[#This Row],[Order_Date]]&gt;ReconciliationData[[#This Row],[End_Date]]),1,0)</f>
        <v>0</v>
      </c>
      <c r="U304">
        <f>IF(AND(NOT(ISBLANK(ReconciliationData[[#This Row],[last_return_date]])),ReconciliationData[[#This Row],[last_return_date]]&gt;ReconciliationData[[#This Row],[Order_Date]]+60),1,0)</f>
        <v>1</v>
      </c>
      <c r="V304">
        <f>IF(ReconciliationData[[#This Row],[total_returned_units]]&gt;ReconciliationData[[#This Row],[ordered_units]],1,0)</f>
        <v>0</v>
      </c>
      <c r="W3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4">
        <f>ReconciliationData[[#This Row],[Billed_Units]]*ReconciliationData[[#This Row],[Billed_Price]]</f>
        <v>172479.06200000001</v>
      </c>
      <c r="Y304">
        <f>ReconciliationData[[#This Row],[ordered_units]]*ReconciliationData[[#This Row],[List_Price]]</f>
        <v>172479.06200000001</v>
      </c>
      <c r="Z304">
        <f>ReconciliationData[[#This Row],[billed_revenue]]-ReconciliationData[[#This Row],[expected_revenue]]</f>
        <v>0</v>
      </c>
      <c r="AA3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04" t="str">
        <f>IF(ReconciliationData[[#This Row],[severity_score]]=0,"LOW",
 IF(ReconciliationData[[#This Row],[severity_score]]&lt;=5,"MEDIUM","HIGH"))</f>
        <v>MEDIUM</v>
      </c>
      <c r="AC304" t="str">
        <f>TEXT(ReconciliationData[[#This Row],[Order_Date]],"YYYY-MM")</f>
        <v>2024-03</v>
      </c>
    </row>
    <row r="305" spans="1:29">
      <c r="A305" t="s">
        <v>1187</v>
      </c>
      <c r="B305" s="1">
        <v>45150</v>
      </c>
      <c r="C305" t="s">
        <v>717</v>
      </c>
      <c r="D305" t="s">
        <v>1188</v>
      </c>
      <c r="E305">
        <v>148</v>
      </c>
      <c r="F305" t="s">
        <v>1189</v>
      </c>
      <c r="G305">
        <v>148</v>
      </c>
      <c r="H305">
        <v>73.305100000000024</v>
      </c>
      <c r="N305">
        <v>73.305100000000024</v>
      </c>
      <c r="O305" s="1">
        <v>45046</v>
      </c>
      <c r="P305">
        <f>IF(ISBLANK(ReconciliationData[[#This Row],[Invoice_ID]]),1,0)</f>
        <v>0</v>
      </c>
      <c r="Q305">
        <f>IF(AND(NOT(ISBLANK(ReconciliationData[[#This Row],[Billed_Units]])),ReconciliationData[[#This Row],[ordered_units]]&lt;&gt;ReconciliationData[[#This Row],[Billed_Units]]),1,0)</f>
        <v>0</v>
      </c>
      <c r="R3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">
        <f>IF(AND(NOT(ISBLANK(ReconciliationData[[#This Row],[Contract_Price]])),ReconciliationData[[#This Row],[Billed_Price]]&lt;&gt;ReconciliationData[[#This Row],[Contract_Price]]),1,0)</f>
        <v>0</v>
      </c>
      <c r="T305">
        <f>IF(AND(NOT(ISBLANK(ReconciliationData[[#This Row],[End_Date]])),ReconciliationData[[#This Row],[Order_Date]]&gt;ReconciliationData[[#This Row],[End_Date]]),1,0)</f>
        <v>0</v>
      </c>
      <c r="U305">
        <f>IF(AND(NOT(ISBLANK(ReconciliationData[[#This Row],[last_return_date]])),ReconciliationData[[#This Row],[last_return_date]]&gt;ReconciliationData[[#This Row],[Order_Date]]+60),1,0)</f>
        <v>0</v>
      </c>
      <c r="V305">
        <f>IF(ReconciliationData[[#This Row],[total_returned_units]]&gt;ReconciliationData[[#This Row],[ordered_units]],1,0)</f>
        <v>0</v>
      </c>
      <c r="W3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5">
        <f>ReconciliationData[[#This Row],[Billed_Units]]*ReconciliationData[[#This Row],[Billed_Price]]</f>
        <v>10849.154800000004</v>
      </c>
      <c r="Y305">
        <f>ReconciliationData[[#This Row],[ordered_units]]*ReconciliationData[[#This Row],[List_Price]]</f>
        <v>10849.154800000004</v>
      </c>
      <c r="Z305">
        <f>ReconciliationData[[#This Row],[billed_revenue]]-ReconciliationData[[#This Row],[expected_revenue]]</f>
        <v>0</v>
      </c>
      <c r="AA3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5" t="str">
        <f>IF(ReconciliationData[[#This Row],[severity_score]]=0,"LOW",
 IF(ReconciliationData[[#This Row],[severity_score]]&lt;=5,"MEDIUM","HIGH"))</f>
        <v>LOW</v>
      </c>
      <c r="AC305" t="str">
        <f>TEXT(ReconciliationData[[#This Row],[Order_Date]],"YYYY-MM")</f>
        <v>2023-08</v>
      </c>
    </row>
    <row r="306" spans="1:29">
      <c r="A306" t="s">
        <v>1190</v>
      </c>
      <c r="B306" s="1">
        <v>45146</v>
      </c>
      <c r="C306" t="s">
        <v>1191</v>
      </c>
      <c r="D306" t="s">
        <v>658</v>
      </c>
      <c r="E306">
        <v>143</v>
      </c>
      <c r="F306" t="s">
        <v>1192</v>
      </c>
      <c r="G306">
        <v>143</v>
      </c>
      <c r="H306">
        <v>89.024613678129086</v>
      </c>
      <c r="N306">
        <v>88.578000000000003</v>
      </c>
      <c r="O306" s="1">
        <v>45107</v>
      </c>
      <c r="P306">
        <f>IF(ISBLANK(ReconciliationData[[#This Row],[Invoice_ID]]),1,0)</f>
        <v>0</v>
      </c>
      <c r="Q306">
        <f>IF(AND(NOT(ISBLANK(ReconciliationData[[#This Row],[Billed_Units]])),ReconciliationData[[#This Row],[ordered_units]]&lt;&gt;ReconciliationData[[#This Row],[Billed_Units]]),1,0)</f>
        <v>0</v>
      </c>
      <c r="R30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06">
        <f>IF(AND(NOT(ISBLANK(ReconciliationData[[#This Row],[Contract_Price]])),ReconciliationData[[#This Row],[Billed_Price]]&lt;&gt;ReconciliationData[[#This Row],[Contract_Price]]),1,0)</f>
        <v>0</v>
      </c>
      <c r="T306">
        <f>IF(AND(NOT(ISBLANK(ReconciliationData[[#This Row],[End_Date]])),ReconciliationData[[#This Row],[Order_Date]]&gt;ReconciliationData[[#This Row],[End_Date]]),1,0)</f>
        <v>0</v>
      </c>
      <c r="U306">
        <f>IF(AND(NOT(ISBLANK(ReconciliationData[[#This Row],[last_return_date]])),ReconciliationData[[#This Row],[last_return_date]]&gt;ReconciliationData[[#This Row],[Order_Date]]+60),1,0)</f>
        <v>0</v>
      </c>
      <c r="V306">
        <f>IF(ReconciliationData[[#This Row],[total_returned_units]]&gt;ReconciliationData[[#This Row],[ordered_units]],1,0)</f>
        <v>0</v>
      </c>
      <c r="W3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6">
        <f>ReconciliationData[[#This Row],[Billed_Units]]*ReconciliationData[[#This Row],[Billed_Price]]</f>
        <v>12730.519755972458</v>
      </c>
      <c r="Y306">
        <f>ReconciliationData[[#This Row],[ordered_units]]*ReconciliationData[[#This Row],[List_Price]]</f>
        <v>12666.654</v>
      </c>
      <c r="Z306">
        <f>ReconciliationData[[#This Row],[billed_revenue]]-ReconciliationData[[#This Row],[expected_revenue]]</f>
        <v>63.865755972457919</v>
      </c>
      <c r="AA3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06" t="str">
        <f>IF(ReconciliationData[[#This Row],[severity_score]]=0,"LOW",
 IF(ReconciliationData[[#This Row],[severity_score]]&lt;=5,"MEDIUM","HIGH"))</f>
        <v>MEDIUM</v>
      </c>
      <c r="AC306" t="str">
        <f>TEXT(ReconciliationData[[#This Row],[Order_Date]],"YYYY-MM")</f>
        <v>2023-08</v>
      </c>
    </row>
    <row r="307" spans="1:29">
      <c r="A307" t="s">
        <v>1193</v>
      </c>
      <c r="B307" s="1">
        <v>45343</v>
      </c>
      <c r="C307" t="s">
        <v>418</v>
      </c>
      <c r="D307" t="s">
        <v>397</v>
      </c>
      <c r="E307">
        <v>149</v>
      </c>
      <c r="F307" t="s">
        <v>1194</v>
      </c>
      <c r="G307">
        <v>149</v>
      </c>
      <c r="H307">
        <v>96.6</v>
      </c>
      <c r="N307">
        <v>96.6</v>
      </c>
      <c r="O307" s="1">
        <v>45105</v>
      </c>
      <c r="P307">
        <f>IF(ISBLANK(ReconciliationData[[#This Row],[Invoice_ID]]),1,0)</f>
        <v>0</v>
      </c>
      <c r="Q307">
        <f>IF(AND(NOT(ISBLANK(ReconciliationData[[#This Row],[Billed_Units]])),ReconciliationData[[#This Row],[ordered_units]]&lt;&gt;ReconciliationData[[#This Row],[Billed_Units]]),1,0)</f>
        <v>0</v>
      </c>
      <c r="R3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7">
        <f>IF(AND(NOT(ISBLANK(ReconciliationData[[#This Row],[Contract_Price]])),ReconciliationData[[#This Row],[Billed_Price]]&lt;&gt;ReconciliationData[[#This Row],[Contract_Price]]),1,0)</f>
        <v>0</v>
      </c>
      <c r="T307">
        <f>IF(AND(NOT(ISBLANK(ReconciliationData[[#This Row],[End_Date]])),ReconciliationData[[#This Row],[Order_Date]]&gt;ReconciliationData[[#This Row],[End_Date]]),1,0)</f>
        <v>0</v>
      </c>
      <c r="U307">
        <f>IF(AND(NOT(ISBLANK(ReconciliationData[[#This Row],[last_return_date]])),ReconciliationData[[#This Row],[last_return_date]]&gt;ReconciliationData[[#This Row],[Order_Date]]+60),1,0)</f>
        <v>0</v>
      </c>
      <c r="V307">
        <f>IF(ReconciliationData[[#This Row],[total_returned_units]]&gt;ReconciliationData[[#This Row],[ordered_units]],1,0)</f>
        <v>0</v>
      </c>
      <c r="W3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7">
        <f>ReconciliationData[[#This Row],[Billed_Units]]*ReconciliationData[[#This Row],[Billed_Price]]</f>
        <v>14393.4</v>
      </c>
      <c r="Y307">
        <f>ReconciliationData[[#This Row],[ordered_units]]*ReconciliationData[[#This Row],[List_Price]]</f>
        <v>14393.4</v>
      </c>
      <c r="Z307">
        <f>ReconciliationData[[#This Row],[billed_revenue]]-ReconciliationData[[#This Row],[expected_revenue]]</f>
        <v>0</v>
      </c>
      <c r="AA3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7" t="str">
        <f>IF(ReconciliationData[[#This Row],[severity_score]]=0,"LOW",
 IF(ReconciliationData[[#This Row],[severity_score]]&lt;=5,"MEDIUM","HIGH"))</f>
        <v>LOW</v>
      </c>
      <c r="AC307" t="str">
        <f>TEXT(ReconciliationData[[#This Row],[Order_Date]],"YYYY-MM")</f>
        <v>2024-02</v>
      </c>
    </row>
    <row r="308" spans="1:29">
      <c r="A308" t="s">
        <v>1195</v>
      </c>
      <c r="B308" s="1">
        <v>45453</v>
      </c>
      <c r="C308" t="s">
        <v>1196</v>
      </c>
      <c r="D308" t="s">
        <v>397</v>
      </c>
      <c r="E308">
        <v>38</v>
      </c>
      <c r="F308" t="s">
        <v>1197</v>
      </c>
      <c r="G308">
        <v>38</v>
      </c>
      <c r="H308">
        <v>96.6</v>
      </c>
      <c r="N308">
        <v>96.6</v>
      </c>
      <c r="O308" s="1">
        <v>45105</v>
      </c>
      <c r="P308">
        <f>IF(ISBLANK(ReconciliationData[[#This Row],[Invoice_ID]]),1,0)</f>
        <v>0</v>
      </c>
      <c r="Q308">
        <f>IF(AND(NOT(ISBLANK(ReconciliationData[[#This Row],[Billed_Units]])),ReconciliationData[[#This Row],[ordered_units]]&lt;&gt;ReconciliationData[[#This Row],[Billed_Units]]),1,0)</f>
        <v>0</v>
      </c>
      <c r="R3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">
        <f>IF(AND(NOT(ISBLANK(ReconciliationData[[#This Row],[Contract_Price]])),ReconciliationData[[#This Row],[Billed_Price]]&lt;&gt;ReconciliationData[[#This Row],[Contract_Price]]),1,0)</f>
        <v>0</v>
      </c>
      <c r="T308">
        <f>IF(AND(NOT(ISBLANK(ReconciliationData[[#This Row],[End_Date]])),ReconciliationData[[#This Row],[Order_Date]]&gt;ReconciliationData[[#This Row],[End_Date]]),1,0)</f>
        <v>0</v>
      </c>
      <c r="U308">
        <f>IF(AND(NOT(ISBLANK(ReconciliationData[[#This Row],[last_return_date]])),ReconciliationData[[#This Row],[last_return_date]]&gt;ReconciliationData[[#This Row],[Order_Date]]+60),1,0)</f>
        <v>0</v>
      </c>
      <c r="V308">
        <f>IF(ReconciliationData[[#This Row],[total_returned_units]]&gt;ReconciliationData[[#This Row],[ordered_units]],1,0)</f>
        <v>0</v>
      </c>
      <c r="W3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8">
        <f>ReconciliationData[[#This Row],[Billed_Units]]*ReconciliationData[[#This Row],[Billed_Price]]</f>
        <v>3670.7999999999997</v>
      </c>
      <c r="Y308">
        <f>ReconciliationData[[#This Row],[ordered_units]]*ReconciliationData[[#This Row],[List_Price]]</f>
        <v>3670.7999999999997</v>
      </c>
      <c r="Z308">
        <f>ReconciliationData[[#This Row],[billed_revenue]]-ReconciliationData[[#This Row],[expected_revenue]]</f>
        <v>0</v>
      </c>
      <c r="AA3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8" t="str">
        <f>IF(ReconciliationData[[#This Row],[severity_score]]=0,"LOW",
 IF(ReconciliationData[[#This Row],[severity_score]]&lt;=5,"MEDIUM","HIGH"))</f>
        <v>LOW</v>
      </c>
      <c r="AC308" t="str">
        <f>TEXT(ReconciliationData[[#This Row],[Order_Date]],"YYYY-MM")</f>
        <v>2024-06</v>
      </c>
    </row>
    <row r="309" spans="1:29">
      <c r="A309" t="s">
        <v>1198</v>
      </c>
      <c r="B309" s="1">
        <v>45290</v>
      </c>
      <c r="C309" t="s">
        <v>1199</v>
      </c>
      <c r="D309" t="s">
        <v>472</v>
      </c>
      <c r="E309">
        <v>50</v>
      </c>
      <c r="F309" t="s">
        <v>1200</v>
      </c>
      <c r="G309">
        <v>50</v>
      </c>
      <c r="H309">
        <v>730.7886000000002</v>
      </c>
      <c r="N309">
        <v>730.7886000000002</v>
      </c>
      <c r="O309" s="1">
        <v>45099</v>
      </c>
      <c r="P309">
        <f>IF(ISBLANK(ReconciliationData[[#This Row],[Invoice_ID]]),1,0)</f>
        <v>0</v>
      </c>
      <c r="Q309">
        <f>IF(AND(NOT(ISBLANK(ReconciliationData[[#This Row],[Billed_Units]])),ReconciliationData[[#This Row],[ordered_units]]&lt;&gt;ReconciliationData[[#This Row],[Billed_Units]]),1,0)</f>
        <v>0</v>
      </c>
      <c r="R3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9">
        <f>IF(AND(NOT(ISBLANK(ReconciliationData[[#This Row],[Contract_Price]])),ReconciliationData[[#This Row],[Billed_Price]]&lt;&gt;ReconciliationData[[#This Row],[Contract_Price]]),1,0)</f>
        <v>0</v>
      </c>
      <c r="T309">
        <f>IF(AND(NOT(ISBLANK(ReconciliationData[[#This Row],[End_Date]])),ReconciliationData[[#This Row],[Order_Date]]&gt;ReconciliationData[[#This Row],[End_Date]]),1,0)</f>
        <v>0</v>
      </c>
      <c r="U309">
        <f>IF(AND(NOT(ISBLANK(ReconciliationData[[#This Row],[last_return_date]])),ReconciliationData[[#This Row],[last_return_date]]&gt;ReconciliationData[[#This Row],[Order_Date]]+60),1,0)</f>
        <v>0</v>
      </c>
      <c r="V309">
        <f>IF(ReconciliationData[[#This Row],[total_returned_units]]&gt;ReconciliationData[[#This Row],[ordered_units]],1,0)</f>
        <v>0</v>
      </c>
      <c r="W3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9">
        <f>ReconciliationData[[#This Row],[Billed_Units]]*ReconciliationData[[#This Row],[Billed_Price]]</f>
        <v>36539.430000000008</v>
      </c>
      <c r="Y309">
        <f>ReconciliationData[[#This Row],[ordered_units]]*ReconciliationData[[#This Row],[List_Price]]</f>
        <v>36539.430000000008</v>
      </c>
      <c r="Z309">
        <f>ReconciliationData[[#This Row],[billed_revenue]]-ReconciliationData[[#This Row],[expected_revenue]]</f>
        <v>0</v>
      </c>
      <c r="AA3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9" t="str">
        <f>IF(ReconciliationData[[#This Row],[severity_score]]=0,"LOW",
 IF(ReconciliationData[[#This Row],[severity_score]]&lt;=5,"MEDIUM","HIGH"))</f>
        <v>LOW</v>
      </c>
      <c r="AC309" t="str">
        <f>TEXT(ReconciliationData[[#This Row],[Order_Date]],"YYYY-MM")</f>
        <v>2023-12</v>
      </c>
    </row>
    <row r="310" spans="1:29">
      <c r="A310" t="s">
        <v>1201</v>
      </c>
      <c r="B310" s="1">
        <v>45207</v>
      </c>
      <c r="C310" t="s">
        <v>1202</v>
      </c>
      <c r="D310" t="s">
        <v>366</v>
      </c>
      <c r="E310">
        <v>72</v>
      </c>
      <c r="F310" t="s">
        <v>1203</v>
      </c>
      <c r="G310">
        <v>72</v>
      </c>
      <c r="H310">
        <v>499.17750000000001</v>
      </c>
      <c r="N310">
        <v>499.17750000000001</v>
      </c>
      <c r="O310" s="1">
        <v>45123</v>
      </c>
      <c r="P310">
        <f>IF(ISBLANK(ReconciliationData[[#This Row],[Invoice_ID]]),1,0)</f>
        <v>0</v>
      </c>
      <c r="Q310">
        <f>IF(AND(NOT(ISBLANK(ReconciliationData[[#This Row],[Billed_Units]])),ReconciliationData[[#This Row],[ordered_units]]&lt;&gt;ReconciliationData[[#This Row],[Billed_Units]]),1,0)</f>
        <v>0</v>
      </c>
      <c r="R3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">
        <f>IF(AND(NOT(ISBLANK(ReconciliationData[[#This Row],[Contract_Price]])),ReconciliationData[[#This Row],[Billed_Price]]&lt;&gt;ReconciliationData[[#This Row],[Contract_Price]]),1,0)</f>
        <v>0</v>
      </c>
      <c r="T310">
        <f>IF(AND(NOT(ISBLANK(ReconciliationData[[#This Row],[End_Date]])),ReconciliationData[[#This Row],[Order_Date]]&gt;ReconciliationData[[#This Row],[End_Date]]),1,0)</f>
        <v>0</v>
      </c>
      <c r="U310">
        <f>IF(AND(NOT(ISBLANK(ReconciliationData[[#This Row],[last_return_date]])),ReconciliationData[[#This Row],[last_return_date]]&gt;ReconciliationData[[#This Row],[Order_Date]]+60),1,0)</f>
        <v>0</v>
      </c>
      <c r="V310">
        <f>IF(ReconciliationData[[#This Row],[total_returned_units]]&gt;ReconciliationData[[#This Row],[ordered_units]],1,0)</f>
        <v>0</v>
      </c>
      <c r="W3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">
        <f>ReconciliationData[[#This Row],[Billed_Units]]*ReconciliationData[[#This Row],[Billed_Price]]</f>
        <v>35940.78</v>
      </c>
      <c r="Y310">
        <f>ReconciliationData[[#This Row],[ordered_units]]*ReconciliationData[[#This Row],[List_Price]]</f>
        <v>35940.78</v>
      </c>
      <c r="Z310">
        <f>ReconciliationData[[#This Row],[billed_revenue]]-ReconciliationData[[#This Row],[expected_revenue]]</f>
        <v>0</v>
      </c>
      <c r="AA3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" t="str">
        <f>IF(ReconciliationData[[#This Row],[severity_score]]=0,"LOW",
 IF(ReconciliationData[[#This Row],[severity_score]]&lt;=5,"MEDIUM","HIGH"))</f>
        <v>LOW</v>
      </c>
      <c r="AC310" t="str">
        <f>TEXT(ReconciliationData[[#This Row],[Order_Date]],"YYYY-MM")</f>
        <v>2023-10</v>
      </c>
    </row>
    <row r="311" spans="1:29">
      <c r="A311" t="s">
        <v>1204</v>
      </c>
      <c r="B311" s="1">
        <v>45296</v>
      </c>
      <c r="C311" t="s">
        <v>1205</v>
      </c>
      <c r="D311" t="s">
        <v>239</v>
      </c>
      <c r="E311">
        <v>141</v>
      </c>
      <c r="F311" t="s">
        <v>1206</v>
      </c>
      <c r="G311">
        <v>141</v>
      </c>
      <c r="H311">
        <v>1218.568</v>
      </c>
      <c r="N311">
        <v>1218.568</v>
      </c>
      <c r="O311" s="1">
        <v>45061</v>
      </c>
      <c r="P311">
        <f>IF(ISBLANK(ReconciliationData[[#This Row],[Invoice_ID]]),1,0)</f>
        <v>0</v>
      </c>
      <c r="Q311">
        <f>IF(AND(NOT(ISBLANK(ReconciliationData[[#This Row],[Billed_Units]])),ReconciliationData[[#This Row],[ordered_units]]&lt;&gt;ReconciliationData[[#This Row],[Billed_Units]]),1,0)</f>
        <v>0</v>
      </c>
      <c r="R3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">
        <f>IF(AND(NOT(ISBLANK(ReconciliationData[[#This Row],[Contract_Price]])),ReconciliationData[[#This Row],[Billed_Price]]&lt;&gt;ReconciliationData[[#This Row],[Contract_Price]]),1,0)</f>
        <v>0</v>
      </c>
      <c r="T311">
        <f>IF(AND(NOT(ISBLANK(ReconciliationData[[#This Row],[End_Date]])),ReconciliationData[[#This Row],[Order_Date]]&gt;ReconciliationData[[#This Row],[End_Date]]),1,0)</f>
        <v>0</v>
      </c>
      <c r="U311">
        <f>IF(AND(NOT(ISBLANK(ReconciliationData[[#This Row],[last_return_date]])),ReconciliationData[[#This Row],[last_return_date]]&gt;ReconciliationData[[#This Row],[Order_Date]]+60),1,0)</f>
        <v>0</v>
      </c>
      <c r="V311">
        <f>IF(ReconciliationData[[#This Row],[total_returned_units]]&gt;ReconciliationData[[#This Row],[ordered_units]],1,0)</f>
        <v>0</v>
      </c>
      <c r="W3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1">
        <f>ReconciliationData[[#This Row],[Billed_Units]]*ReconciliationData[[#This Row],[Billed_Price]]</f>
        <v>171818.08799999999</v>
      </c>
      <c r="Y311">
        <f>ReconciliationData[[#This Row],[ordered_units]]*ReconciliationData[[#This Row],[List_Price]]</f>
        <v>171818.08799999999</v>
      </c>
      <c r="Z311">
        <f>ReconciliationData[[#This Row],[billed_revenue]]-ReconciliationData[[#This Row],[expected_revenue]]</f>
        <v>0</v>
      </c>
      <c r="AA3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1" t="str">
        <f>IF(ReconciliationData[[#This Row],[severity_score]]=0,"LOW",
 IF(ReconciliationData[[#This Row],[severity_score]]&lt;=5,"MEDIUM","HIGH"))</f>
        <v>LOW</v>
      </c>
      <c r="AC311" t="str">
        <f>TEXT(ReconciliationData[[#This Row],[Order_Date]],"YYYY-MM")</f>
        <v>2024-01</v>
      </c>
    </row>
    <row r="312" spans="1:29">
      <c r="A312" t="s">
        <v>1207</v>
      </c>
      <c r="B312" s="1">
        <v>45376</v>
      </c>
      <c r="C312" t="s">
        <v>1208</v>
      </c>
      <c r="D312" t="s">
        <v>1209</v>
      </c>
      <c r="E312">
        <v>39</v>
      </c>
      <c r="F312" t="s">
        <v>1210</v>
      </c>
      <c r="G312">
        <v>39</v>
      </c>
      <c r="H312">
        <v>75.847200000000001</v>
      </c>
      <c r="N312">
        <v>75.847200000000001</v>
      </c>
      <c r="O312" s="1">
        <v>45082</v>
      </c>
      <c r="P312">
        <f>IF(ISBLANK(ReconciliationData[[#This Row],[Invoice_ID]]),1,0)</f>
        <v>0</v>
      </c>
      <c r="Q312">
        <f>IF(AND(NOT(ISBLANK(ReconciliationData[[#This Row],[Billed_Units]])),ReconciliationData[[#This Row],[ordered_units]]&lt;&gt;ReconciliationData[[#This Row],[Billed_Units]]),1,0)</f>
        <v>0</v>
      </c>
      <c r="R3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">
        <f>IF(AND(NOT(ISBLANK(ReconciliationData[[#This Row],[Contract_Price]])),ReconciliationData[[#This Row],[Billed_Price]]&lt;&gt;ReconciliationData[[#This Row],[Contract_Price]]),1,0)</f>
        <v>0</v>
      </c>
      <c r="T312">
        <f>IF(AND(NOT(ISBLANK(ReconciliationData[[#This Row],[End_Date]])),ReconciliationData[[#This Row],[Order_Date]]&gt;ReconciliationData[[#This Row],[End_Date]]),1,0)</f>
        <v>0</v>
      </c>
      <c r="U312">
        <f>IF(AND(NOT(ISBLANK(ReconciliationData[[#This Row],[last_return_date]])),ReconciliationData[[#This Row],[last_return_date]]&gt;ReconciliationData[[#This Row],[Order_Date]]+60),1,0)</f>
        <v>0</v>
      </c>
      <c r="V312">
        <f>IF(ReconciliationData[[#This Row],[total_returned_units]]&gt;ReconciliationData[[#This Row],[ordered_units]],1,0)</f>
        <v>0</v>
      </c>
      <c r="W3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2">
        <f>ReconciliationData[[#This Row],[Billed_Units]]*ReconciliationData[[#This Row],[Billed_Price]]</f>
        <v>2958.0408000000002</v>
      </c>
      <c r="Y312">
        <f>ReconciliationData[[#This Row],[ordered_units]]*ReconciliationData[[#This Row],[List_Price]]</f>
        <v>2958.0408000000002</v>
      </c>
      <c r="Z312">
        <f>ReconciliationData[[#This Row],[billed_revenue]]-ReconciliationData[[#This Row],[expected_revenue]]</f>
        <v>0</v>
      </c>
      <c r="AA3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2" t="str">
        <f>IF(ReconciliationData[[#This Row],[severity_score]]=0,"LOW",
 IF(ReconciliationData[[#This Row],[severity_score]]&lt;=5,"MEDIUM","HIGH"))</f>
        <v>LOW</v>
      </c>
      <c r="AC312" t="str">
        <f>TEXT(ReconciliationData[[#This Row],[Order_Date]],"YYYY-MM")</f>
        <v>2024-03</v>
      </c>
    </row>
    <row r="313" spans="1:29">
      <c r="A313" t="s">
        <v>1211</v>
      </c>
      <c r="B313" s="1">
        <v>45057</v>
      </c>
      <c r="C313" t="s">
        <v>1212</v>
      </c>
      <c r="D313" t="s">
        <v>483</v>
      </c>
      <c r="E313">
        <v>65</v>
      </c>
      <c r="F313" t="s">
        <v>1213</v>
      </c>
      <c r="G313">
        <v>65</v>
      </c>
      <c r="H313">
        <v>263.89999999999998</v>
      </c>
      <c r="N313">
        <v>263.89999999999998</v>
      </c>
      <c r="O313" s="1">
        <v>44855</v>
      </c>
      <c r="P313">
        <f>IF(ISBLANK(ReconciliationData[[#This Row],[Invoice_ID]]),1,0)</f>
        <v>0</v>
      </c>
      <c r="Q313">
        <f>IF(AND(NOT(ISBLANK(ReconciliationData[[#This Row],[Billed_Units]])),ReconciliationData[[#This Row],[ordered_units]]&lt;&gt;ReconciliationData[[#This Row],[Billed_Units]]),1,0)</f>
        <v>0</v>
      </c>
      <c r="R3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">
        <f>IF(AND(NOT(ISBLANK(ReconciliationData[[#This Row],[Contract_Price]])),ReconciliationData[[#This Row],[Billed_Price]]&lt;&gt;ReconciliationData[[#This Row],[Contract_Price]]),1,0)</f>
        <v>0</v>
      </c>
      <c r="T313">
        <f>IF(AND(NOT(ISBLANK(ReconciliationData[[#This Row],[End_Date]])),ReconciliationData[[#This Row],[Order_Date]]&gt;ReconciliationData[[#This Row],[End_Date]]),1,0)</f>
        <v>0</v>
      </c>
      <c r="U313">
        <f>IF(AND(NOT(ISBLANK(ReconciliationData[[#This Row],[last_return_date]])),ReconciliationData[[#This Row],[last_return_date]]&gt;ReconciliationData[[#This Row],[Order_Date]]+60),1,0)</f>
        <v>0</v>
      </c>
      <c r="V313">
        <f>IF(ReconciliationData[[#This Row],[total_returned_units]]&gt;ReconciliationData[[#This Row],[ordered_units]],1,0)</f>
        <v>0</v>
      </c>
      <c r="W3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3">
        <f>ReconciliationData[[#This Row],[Billed_Units]]*ReconciliationData[[#This Row],[Billed_Price]]</f>
        <v>17153.5</v>
      </c>
      <c r="Y313">
        <f>ReconciliationData[[#This Row],[ordered_units]]*ReconciliationData[[#This Row],[List_Price]]</f>
        <v>17153.5</v>
      </c>
      <c r="Z313">
        <f>ReconciliationData[[#This Row],[billed_revenue]]-ReconciliationData[[#This Row],[expected_revenue]]</f>
        <v>0</v>
      </c>
      <c r="AA3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3" t="str">
        <f>IF(ReconciliationData[[#This Row],[severity_score]]=0,"LOW",
 IF(ReconciliationData[[#This Row],[severity_score]]&lt;=5,"MEDIUM","HIGH"))</f>
        <v>LOW</v>
      </c>
      <c r="AC313" t="str">
        <f>TEXT(ReconciliationData[[#This Row],[Order_Date]],"YYYY-MM")</f>
        <v>2023-05</v>
      </c>
    </row>
    <row r="314" spans="1:29">
      <c r="A314" t="s">
        <v>1214</v>
      </c>
      <c r="B314" s="1">
        <v>45347</v>
      </c>
      <c r="C314" t="s">
        <v>1215</v>
      </c>
      <c r="D314" t="s">
        <v>483</v>
      </c>
      <c r="E314">
        <v>57</v>
      </c>
      <c r="F314" t="s">
        <v>1216</v>
      </c>
      <c r="G314">
        <v>57</v>
      </c>
      <c r="H314">
        <v>269.178</v>
      </c>
      <c r="N314">
        <v>269.178</v>
      </c>
      <c r="O314" s="1">
        <v>45158</v>
      </c>
      <c r="P314">
        <f>IF(ISBLANK(ReconciliationData[[#This Row],[Invoice_ID]]),1,0)</f>
        <v>0</v>
      </c>
      <c r="Q314">
        <f>IF(AND(NOT(ISBLANK(ReconciliationData[[#This Row],[Billed_Units]])),ReconciliationData[[#This Row],[ordered_units]]&lt;&gt;ReconciliationData[[#This Row],[Billed_Units]]),1,0)</f>
        <v>0</v>
      </c>
      <c r="R3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">
        <f>IF(AND(NOT(ISBLANK(ReconciliationData[[#This Row],[Contract_Price]])),ReconciliationData[[#This Row],[Billed_Price]]&lt;&gt;ReconciliationData[[#This Row],[Contract_Price]]),1,0)</f>
        <v>0</v>
      </c>
      <c r="T314">
        <f>IF(AND(NOT(ISBLANK(ReconciliationData[[#This Row],[End_Date]])),ReconciliationData[[#This Row],[Order_Date]]&gt;ReconciliationData[[#This Row],[End_Date]]),1,0)</f>
        <v>0</v>
      </c>
      <c r="U314">
        <f>IF(AND(NOT(ISBLANK(ReconciliationData[[#This Row],[last_return_date]])),ReconciliationData[[#This Row],[last_return_date]]&gt;ReconciliationData[[#This Row],[Order_Date]]+60),1,0)</f>
        <v>0</v>
      </c>
      <c r="V314">
        <f>IF(ReconciliationData[[#This Row],[total_returned_units]]&gt;ReconciliationData[[#This Row],[ordered_units]],1,0)</f>
        <v>0</v>
      </c>
      <c r="W3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4">
        <f>ReconciliationData[[#This Row],[Billed_Units]]*ReconciliationData[[#This Row],[Billed_Price]]</f>
        <v>15343.146000000001</v>
      </c>
      <c r="Y314">
        <f>ReconciliationData[[#This Row],[ordered_units]]*ReconciliationData[[#This Row],[List_Price]]</f>
        <v>15343.146000000001</v>
      </c>
      <c r="Z314">
        <f>ReconciliationData[[#This Row],[billed_revenue]]-ReconciliationData[[#This Row],[expected_revenue]]</f>
        <v>0</v>
      </c>
      <c r="AA3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4" t="str">
        <f>IF(ReconciliationData[[#This Row],[severity_score]]=0,"LOW",
 IF(ReconciliationData[[#This Row],[severity_score]]&lt;=5,"MEDIUM","HIGH"))</f>
        <v>LOW</v>
      </c>
      <c r="AC314" t="str">
        <f>TEXT(ReconciliationData[[#This Row],[Order_Date]],"YYYY-MM")</f>
        <v>2024-02</v>
      </c>
    </row>
    <row r="315" spans="1:29">
      <c r="A315" t="s">
        <v>1217</v>
      </c>
      <c r="B315" s="1">
        <v>45260</v>
      </c>
      <c r="C315" t="s">
        <v>620</v>
      </c>
      <c r="D315" t="s">
        <v>423</v>
      </c>
      <c r="E315">
        <v>73</v>
      </c>
      <c r="F315" t="s">
        <v>1218</v>
      </c>
      <c r="G315">
        <v>73</v>
      </c>
      <c r="H315">
        <v>168.12909999999999</v>
      </c>
      <c r="N315">
        <v>168.12909999999999</v>
      </c>
      <c r="O315" s="1">
        <v>45013</v>
      </c>
      <c r="P315">
        <f>IF(ISBLANK(ReconciliationData[[#This Row],[Invoice_ID]]),1,0)</f>
        <v>0</v>
      </c>
      <c r="Q315">
        <f>IF(AND(NOT(ISBLANK(ReconciliationData[[#This Row],[Billed_Units]])),ReconciliationData[[#This Row],[ordered_units]]&lt;&gt;ReconciliationData[[#This Row],[Billed_Units]]),1,0)</f>
        <v>0</v>
      </c>
      <c r="R3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5">
        <f>IF(AND(NOT(ISBLANK(ReconciliationData[[#This Row],[Contract_Price]])),ReconciliationData[[#This Row],[Billed_Price]]&lt;&gt;ReconciliationData[[#This Row],[Contract_Price]]),1,0)</f>
        <v>0</v>
      </c>
      <c r="T315">
        <f>IF(AND(NOT(ISBLANK(ReconciliationData[[#This Row],[End_Date]])),ReconciliationData[[#This Row],[Order_Date]]&gt;ReconciliationData[[#This Row],[End_Date]]),1,0)</f>
        <v>0</v>
      </c>
      <c r="U315">
        <f>IF(AND(NOT(ISBLANK(ReconciliationData[[#This Row],[last_return_date]])),ReconciliationData[[#This Row],[last_return_date]]&gt;ReconciliationData[[#This Row],[Order_Date]]+60),1,0)</f>
        <v>0</v>
      </c>
      <c r="V315">
        <f>IF(ReconciliationData[[#This Row],[total_returned_units]]&gt;ReconciliationData[[#This Row],[ordered_units]],1,0)</f>
        <v>0</v>
      </c>
      <c r="W3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5">
        <f>ReconciliationData[[#This Row],[Billed_Units]]*ReconciliationData[[#This Row],[Billed_Price]]</f>
        <v>12273.424299999999</v>
      </c>
      <c r="Y315">
        <f>ReconciliationData[[#This Row],[ordered_units]]*ReconciliationData[[#This Row],[List_Price]]</f>
        <v>12273.424299999999</v>
      </c>
      <c r="Z315">
        <f>ReconciliationData[[#This Row],[billed_revenue]]-ReconciliationData[[#This Row],[expected_revenue]]</f>
        <v>0</v>
      </c>
      <c r="AA3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5" t="str">
        <f>IF(ReconciliationData[[#This Row],[severity_score]]=0,"LOW",
 IF(ReconciliationData[[#This Row],[severity_score]]&lt;=5,"MEDIUM","HIGH"))</f>
        <v>LOW</v>
      </c>
      <c r="AC315" t="str">
        <f>TEXT(ReconciliationData[[#This Row],[Order_Date]],"YYYY-MM")</f>
        <v>2023-11</v>
      </c>
    </row>
    <row r="316" spans="1:29">
      <c r="A316" t="s">
        <v>1219</v>
      </c>
      <c r="B316" s="1">
        <v>45581</v>
      </c>
      <c r="C316" t="s">
        <v>1220</v>
      </c>
      <c r="D316" t="s">
        <v>378</v>
      </c>
      <c r="E316">
        <v>190</v>
      </c>
      <c r="F316" t="s">
        <v>1221</v>
      </c>
      <c r="G316">
        <v>190</v>
      </c>
      <c r="H316">
        <v>601.32929999999999</v>
      </c>
      <c r="N316">
        <v>601.32929999999999</v>
      </c>
      <c r="O316" s="1">
        <v>44962</v>
      </c>
      <c r="P316">
        <f>IF(ISBLANK(ReconciliationData[[#This Row],[Invoice_ID]]),1,0)</f>
        <v>0</v>
      </c>
      <c r="Q316">
        <f>IF(AND(NOT(ISBLANK(ReconciliationData[[#This Row],[Billed_Units]])),ReconciliationData[[#This Row],[ordered_units]]&lt;&gt;ReconciliationData[[#This Row],[Billed_Units]]),1,0)</f>
        <v>0</v>
      </c>
      <c r="R3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6">
        <f>IF(AND(NOT(ISBLANK(ReconciliationData[[#This Row],[Contract_Price]])),ReconciliationData[[#This Row],[Billed_Price]]&lt;&gt;ReconciliationData[[#This Row],[Contract_Price]]),1,0)</f>
        <v>0</v>
      </c>
      <c r="T316">
        <f>IF(AND(NOT(ISBLANK(ReconciliationData[[#This Row],[End_Date]])),ReconciliationData[[#This Row],[Order_Date]]&gt;ReconciliationData[[#This Row],[End_Date]]),1,0)</f>
        <v>0</v>
      </c>
      <c r="U316">
        <f>IF(AND(NOT(ISBLANK(ReconciliationData[[#This Row],[last_return_date]])),ReconciliationData[[#This Row],[last_return_date]]&gt;ReconciliationData[[#This Row],[Order_Date]]+60),1,0)</f>
        <v>0</v>
      </c>
      <c r="V316">
        <f>IF(ReconciliationData[[#This Row],[total_returned_units]]&gt;ReconciliationData[[#This Row],[ordered_units]],1,0)</f>
        <v>0</v>
      </c>
      <c r="W3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6">
        <f>ReconciliationData[[#This Row],[Billed_Units]]*ReconciliationData[[#This Row],[Billed_Price]]</f>
        <v>114252.567</v>
      </c>
      <c r="Y316">
        <f>ReconciliationData[[#This Row],[ordered_units]]*ReconciliationData[[#This Row],[List_Price]]</f>
        <v>114252.567</v>
      </c>
      <c r="Z316">
        <f>ReconciliationData[[#This Row],[billed_revenue]]-ReconciliationData[[#This Row],[expected_revenue]]</f>
        <v>0</v>
      </c>
      <c r="AA3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6" t="str">
        <f>IF(ReconciliationData[[#This Row],[severity_score]]=0,"LOW",
 IF(ReconciliationData[[#This Row],[severity_score]]&lt;=5,"MEDIUM","HIGH"))</f>
        <v>LOW</v>
      </c>
      <c r="AC316" t="str">
        <f>TEXT(ReconciliationData[[#This Row],[Order_Date]],"YYYY-MM")</f>
        <v>2024-10</v>
      </c>
    </row>
    <row r="317" spans="1:29">
      <c r="A317" t="s">
        <v>1222</v>
      </c>
      <c r="B317" s="1">
        <v>44951</v>
      </c>
      <c r="C317" t="s">
        <v>1223</v>
      </c>
      <c r="D317" t="s">
        <v>667</v>
      </c>
      <c r="E317">
        <v>77</v>
      </c>
      <c r="F317" t="s">
        <v>1224</v>
      </c>
      <c r="G317">
        <v>77</v>
      </c>
      <c r="H317">
        <v>887.23350000000005</v>
      </c>
      <c r="N317">
        <v>887.23350000000005</v>
      </c>
      <c r="O317" s="1">
        <v>44883</v>
      </c>
      <c r="P317">
        <f>IF(ISBLANK(ReconciliationData[[#This Row],[Invoice_ID]]),1,0)</f>
        <v>0</v>
      </c>
      <c r="Q317">
        <f>IF(AND(NOT(ISBLANK(ReconciliationData[[#This Row],[Billed_Units]])),ReconciliationData[[#This Row],[ordered_units]]&lt;&gt;ReconciliationData[[#This Row],[Billed_Units]]),1,0)</f>
        <v>0</v>
      </c>
      <c r="R3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">
        <f>IF(AND(NOT(ISBLANK(ReconciliationData[[#This Row],[Contract_Price]])),ReconciliationData[[#This Row],[Billed_Price]]&lt;&gt;ReconciliationData[[#This Row],[Contract_Price]]),1,0)</f>
        <v>0</v>
      </c>
      <c r="T317">
        <f>IF(AND(NOT(ISBLANK(ReconciliationData[[#This Row],[End_Date]])),ReconciliationData[[#This Row],[Order_Date]]&gt;ReconciliationData[[#This Row],[End_Date]]),1,0)</f>
        <v>0</v>
      </c>
      <c r="U317">
        <f>IF(AND(NOT(ISBLANK(ReconciliationData[[#This Row],[last_return_date]])),ReconciliationData[[#This Row],[last_return_date]]&gt;ReconciliationData[[#This Row],[Order_Date]]+60),1,0)</f>
        <v>0</v>
      </c>
      <c r="V317">
        <f>IF(ReconciliationData[[#This Row],[total_returned_units]]&gt;ReconciliationData[[#This Row],[ordered_units]],1,0)</f>
        <v>0</v>
      </c>
      <c r="W3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">
        <f>ReconciliationData[[#This Row],[Billed_Units]]*ReconciliationData[[#This Row],[Billed_Price]]</f>
        <v>68316.979500000001</v>
      </c>
      <c r="Y317">
        <f>ReconciliationData[[#This Row],[ordered_units]]*ReconciliationData[[#This Row],[List_Price]]</f>
        <v>68316.979500000001</v>
      </c>
      <c r="Z317">
        <f>ReconciliationData[[#This Row],[billed_revenue]]-ReconciliationData[[#This Row],[expected_revenue]]</f>
        <v>0</v>
      </c>
      <c r="AA3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" t="str">
        <f>IF(ReconciliationData[[#This Row],[severity_score]]=0,"LOW",
 IF(ReconciliationData[[#This Row],[severity_score]]&lt;=5,"MEDIUM","HIGH"))</f>
        <v>LOW</v>
      </c>
      <c r="AC317" t="str">
        <f>TEXT(ReconciliationData[[#This Row],[Order_Date]],"YYYY-MM")</f>
        <v>2023-01</v>
      </c>
    </row>
    <row r="318" spans="1:29">
      <c r="A318" t="s">
        <v>1225</v>
      </c>
      <c r="B318" s="1">
        <v>45636</v>
      </c>
      <c r="C318" t="s">
        <v>1215</v>
      </c>
      <c r="D318" t="s">
        <v>212</v>
      </c>
      <c r="E318">
        <v>144</v>
      </c>
      <c r="F318" t="s">
        <v>1226</v>
      </c>
      <c r="G318">
        <v>144</v>
      </c>
      <c r="H318">
        <v>833.41650000000004</v>
      </c>
      <c r="N318">
        <v>833.41650000000004</v>
      </c>
      <c r="O318" s="1">
        <v>45194</v>
      </c>
      <c r="P318">
        <f>IF(ISBLANK(ReconciliationData[[#This Row],[Invoice_ID]]),1,0)</f>
        <v>0</v>
      </c>
      <c r="Q318">
        <f>IF(AND(NOT(ISBLANK(ReconciliationData[[#This Row],[Billed_Units]])),ReconciliationData[[#This Row],[ordered_units]]&lt;&gt;ReconciliationData[[#This Row],[Billed_Units]]),1,0)</f>
        <v>0</v>
      </c>
      <c r="R3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">
        <f>IF(AND(NOT(ISBLANK(ReconciliationData[[#This Row],[Contract_Price]])),ReconciliationData[[#This Row],[Billed_Price]]&lt;&gt;ReconciliationData[[#This Row],[Contract_Price]]),1,0)</f>
        <v>0</v>
      </c>
      <c r="T318">
        <f>IF(AND(NOT(ISBLANK(ReconciliationData[[#This Row],[End_Date]])),ReconciliationData[[#This Row],[Order_Date]]&gt;ReconciliationData[[#This Row],[End_Date]]),1,0)</f>
        <v>0</v>
      </c>
      <c r="U318">
        <f>IF(AND(NOT(ISBLANK(ReconciliationData[[#This Row],[last_return_date]])),ReconciliationData[[#This Row],[last_return_date]]&gt;ReconciliationData[[#This Row],[Order_Date]]+60),1,0)</f>
        <v>0</v>
      </c>
      <c r="V318">
        <f>IF(ReconciliationData[[#This Row],[total_returned_units]]&gt;ReconciliationData[[#This Row],[ordered_units]],1,0)</f>
        <v>0</v>
      </c>
      <c r="W3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8">
        <f>ReconciliationData[[#This Row],[Billed_Units]]*ReconciliationData[[#This Row],[Billed_Price]]</f>
        <v>120011.97600000001</v>
      </c>
      <c r="Y318">
        <f>ReconciliationData[[#This Row],[ordered_units]]*ReconciliationData[[#This Row],[List_Price]]</f>
        <v>120011.97600000001</v>
      </c>
      <c r="Z318">
        <f>ReconciliationData[[#This Row],[billed_revenue]]-ReconciliationData[[#This Row],[expected_revenue]]</f>
        <v>0</v>
      </c>
      <c r="AA3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8" t="str">
        <f>IF(ReconciliationData[[#This Row],[severity_score]]=0,"LOW",
 IF(ReconciliationData[[#This Row],[severity_score]]&lt;=5,"MEDIUM","HIGH"))</f>
        <v>LOW</v>
      </c>
      <c r="AC318" t="str">
        <f>TEXT(ReconciliationData[[#This Row],[Order_Date]],"YYYY-MM")</f>
        <v>2024-12</v>
      </c>
    </row>
    <row r="319" spans="1:29">
      <c r="A319" t="s">
        <v>1227</v>
      </c>
      <c r="B319" s="1">
        <v>45409</v>
      </c>
      <c r="C319" t="s">
        <v>901</v>
      </c>
      <c r="D319" t="s">
        <v>142</v>
      </c>
      <c r="E319">
        <v>198</v>
      </c>
      <c r="F319" t="s">
        <v>1228</v>
      </c>
      <c r="G319">
        <v>198</v>
      </c>
      <c r="H319">
        <v>189.1498</v>
      </c>
      <c r="N319">
        <v>189.1498</v>
      </c>
      <c r="O319" s="1">
        <v>45108</v>
      </c>
      <c r="P319">
        <f>IF(ISBLANK(ReconciliationData[[#This Row],[Invoice_ID]]),1,0)</f>
        <v>0</v>
      </c>
      <c r="Q319">
        <f>IF(AND(NOT(ISBLANK(ReconciliationData[[#This Row],[Billed_Units]])),ReconciliationData[[#This Row],[ordered_units]]&lt;&gt;ReconciliationData[[#This Row],[Billed_Units]]),1,0)</f>
        <v>0</v>
      </c>
      <c r="R3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">
        <f>IF(AND(NOT(ISBLANK(ReconciliationData[[#This Row],[Contract_Price]])),ReconciliationData[[#This Row],[Billed_Price]]&lt;&gt;ReconciliationData[[#This Row],[Contract_Price]]),1,0)</f>
        <v>0</v>
      </c>
      <c r="T319">
        <f>IF(AND(NOT(ISBLANK(ReconciliationData[[#This Row],[End_Date]])),ReconciliationData[[#This Row],[Order_Date]]&gt;ReconciliationData[[#This Row],[End_Date]]),1,0)</f>
        <v>0</v>
      </c>
      <c r="U319">
        <f>IF(AND(NOT(ISBLANK(ReconciliationData[[#This Row],[last_return_date]])),ReconciliationData[[#This Row],[last_return_date]]&gt;ReconciliationData[[#This Row],[Order_Date]]+60),1,0)</f>
        <v>0</v>
      </c>
      <c r="V319">
        <f>IF(ReconciliationData[[#This Row],[total_returned_units]]&gt;ReconciliationData[[#This Row],[ordered_units]],1,0)</f>
        <v>0</v>
      </c>
      <c r="W3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9">
        <f>ReconciliationData[[#This Row],[Billed_Units]]*ReconciliationData[[#This Row],[Billed_Price]]</f>
        <v>37451.660400000001</v>
      </c>
      <c r="Y319">
        <f>ReconciliationData[[#This Row],[ordered_units]]*ReconciliationData[[#This Row],[List_Price]]</f>
        <v>37451.660400000001</v>
      </c>
      <c r="Z319">
        <f>ReconciliationData[[#This Row],[billed_revenue]]-ReconciliationData[[#This Row],[expected_revenue]]</f>
        <v>0</v>
      </c>
      <c r="AA3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9" t="str">
        <f>IF(ReconciliationData[[#This Row],[severity_score]]=0,"LOW",
 IF(ReconciliationData[[#This Row],[severity_score]]&lt;=5,"MEDIUM","HIGH"))</f>
        <v>LOW</v>
      </c>
      <c r="AC319" t="str">
        <f>TEXT(ReconciliationData[[#This Row],[Order_Date]],"YYYY-MM")</f>
        <v>2024-04</v>
      </c>
    </row>
    <row r="320" spans="1:29">
      <c r="A320" t="s">
        <v>1229</v>
      </c>
      <c r="B320" s="1">
        <v>45613</v>
      </c>
      <c r="C320" t="s">
        <v>165</v>
      </c>
      <c r="D320" t="s">
        <v>782</v>
      </c>
      <c r="E320">
        <v>75</v>
      </c>
      <c r="F320" t="s">
        <v>1230</v>
      </c>
      <c r="G320">
        <v>84</v>
      </c>
      <c r="H320">
        <v>216.2484</v>
      </c>
      <c r="N320">
        <v>216.2484</v>
      </c>
      <c r="O320" s="1">
        <v>44944</v>
      </c>
      <c r="P320">
        <f>IF(ISBLANK(ReconciliationData[[#This Row],[Invoice_ID]]),1,0)</f>
        <v>0</v>
      </c>
      <c r="Q320">
        <f>IF(AND(NOT(ISBLANK(ReconciliationData[[#This Row],[Billed_Units]])),ReconciliationData[[#This Row],[ordered_units]]&lt;&gt;ReconciliationData[[#This Row],[Billed_Units]]),1,0)</f>
        <v>1</v>
      </c>
      <c r="R3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">
        <f>IF(AND(NOT(ISBLANK(ReconciliationData[[#This Row],[Contract_Price]])),ReconciliationData[[#This Row],[Billed_Price]]&lt;&gt;ReconciliationData[[#This Row],[Contract_Price]]),1,0)</f>
        <v>0</v>
      </c>
      <c r="T320">
        <f>IF(AND(NOT(ISBLANK(ReconciliationData[[#This Row],[End_Date]])),ReconciliationData[[#This Row],[Order_Date]]&gt;ReconciliationData[[#This Row],[End_Date]]),1,0)</f>
        <v>0</v>
      </c>
      <c r="U320">
        <f>IF(AND(NOT(ISBLANK(ReconciliationData[[#This Row],[last_return_date]])),ReconciliationData[[#This Row],[last_return_date]]&gt;ReconciliationData[[#This Row],[Order_Date]]+60),1,0)</f>
        <v>0</v>
      </c>
      <c r="V320">
        <f>IF(ReconciliationData[[#This Row],[total_returned_units]]&gt;ReconciliationData[[#This Row],[ordered_units]],1,0)</f>
        <v>0</v>
      </c>
      <c r="W3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20">
        <f>ReconciliationData[[#This Row],[Billed_Units]]*ReconciliationData[[#This Row],[Billed_Price]]</f>
        <v>18164.865600000001</v>
      </c>
      <c r="Y320">
        <f>ReconciliationData[[#This Row],[ordered_units]]*ReconciliationData[[#This Row],[List_Price]]</f>
        <v>16218.630000000001</v>
      </c>
      <c r="Z320">
        <f>ReconciliationData[[#This Row],[billed_revenue]]-ReconciliationData[[#This Row],[expected_revenue]]</f>
        <v>1946.2356</v>
      </c>
      <c r="AA3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20" t="str">
        <f>IF(ReconciliationData[[#This Row],[severity_score]]=0,"LOW",
 IF(ReconciliationData[[#This Row],[severity_score]]&lt;=5,"MEDIUM","HIGH"))</f>
        <v>HIGH</v>
      </c>
      <c r="AC320" t="str">
        <f>TEXT(ReconciliationData[[#This Row],[Order_Date]],"YYYY-MM")</f>
        <v>2024-11</v>
      </c>
    </row>
    <row r="321" spans="1:29">
      <c r="A321" t="s">
        <v>1231</v>
      </c>
      <c r="B321" s="1">
        <v>45279</v>
      </c>
      <c r="C321" t="s">
        <v>1232</v>
      </c>
      <c r="D321" t="s">
        <v>962</v>
      </c>
      <c r="E321">
        <v>172</v>
      </c>
      <c r="F321" t="s">
        <v>1233</v>
      </c>
      <c r="G321">
        <v>172</v>
      </c>
      <c r="H321">
        <v>709.52</v>
      </c>
      <c r="N321">
        <v>709.52</v>
      </c>
      <c r="O321" s="1">
        <v>44952</v>
      </c>
      <c r="P321">
        <f>IF(ISBLANK(ReconciliationData[[#This Row],[Invoice_ID]]),1,0)</f>
        <v>0</v>
      </c>
      <c r="Q321">
        <f>IF(AND(NOT(ISBLANK(ReconciliationData[[#This Row],[Billed_Units]])),ReconciliationData[[#This Row],[ordered_units]]&lt;&gt;ReconciliationData[[#This Row],[Billed_Units]]),1,0)</f>
        <v>0</v>
      </c>
      <c r="R3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">
        <f>IF(AND(NOT(ISBLANK(ReconciliationData[[#This Row],[Contract_Price]])),ReconciliationData[[#This Row],[Billed_Price]]&lt;&gt;ReconciliationData[[#This Row],[Contract_Price]]),1,0)</f>
        <v>0</v>
      </c>
      <c r="T321">
        <f>IF(AND(NOT(ISBLANK(ReconciliationData[[#This Row],[End_Date]])),ReconciliationData[[#This Row],[Order_Date]]&gt;ReconciliationData[[#This Row],[End_Date]]),1,0)</f>
        <v>0</v>
      </c>
      <c r="U321">
        <f>IF(AND(NOT(ISBLANK(ReconciliationData[[#This Row],[last_return_date]])),ReconciliationData[[#This Row],[last_return_date]]&gt;ReconciliationData[[#This Row],[Order_Date]]+60),1,0)</f>
        <v>0</v>
      </c>
      <c r="V321">
        <f>IF(ReconciliationData[[#This Row],[total_returned_units]]&gt;ReconciliationData[[#This Row],[ordered_units]],1,0)</f>
        <v>0</v>
      </c>
      <c r="W3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">
        <f>ReconciliationData[[#This Row],[Billed_Units]]*ReconciliationData[[#This Row],[Billed_Price]]</f>
        <v>122037.44</v>
      </c>
      <c r="Y321">
        <f>ReconciliationData[[#This Row],[ordered_units]]*ReconciliationData[[#This Row],[List_Price]]</f>
        <v>122037.44</v>
      </c>
      <c r="Z321">
        <f>ReconciliationData[[#This Row],[billed_revenue]]-ReconciliationData[[#This Row],[expected_revenue]]</f>
        <v>0</v>
      </c>
      <c r="AA3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" t="str">
        <f>IF(ReconciliationData[[#This Row],[severity_score]]=0,"LOW",
 IF(ReconciliationData[[#This Row],[severity_score]]&lt;=5,"MEDIUM","HIGH"))</f>
        <v>LOW</v>
      </c>
      <c r="AC321" t="str">
        <f>TEXT(ReconciliationData[[#This Row],[Order_Date]],"YYYY-MM")</f>
        <v>2023-12</v>
      </c>
    </row>
    <row r="322" spans="1:29">
      <c r="A322" t="s">
        <v>1234</v>
      </c>
      <c r="B322" s="1">
        <v>45136</v>
      </c>
      <c r="C322" t="s">
        <v>623</v>
      </c>
      <c r="D322" t="s">
        <v>1235</v>
      </c>
      <c r="E322">
        <v>134</v>
      </c>
      <c r="F322" t="s">
        <v>1236</v>
      </c>
      <c r="G322">
        <v>134</v>
      </c>
      <c r="H322">
        <v>892.55520000000013</v>
      </c>
      <c r="N322">
        <v>892.55520000000013</v>
      </c>
      <c r="O322" s="1">
        <v>44985</v>
      </c>
      <c r="P322">
        <f>IF(ISBLANK(ReconciliationData[[#This Row],[Invoice_ID]]),1,0)</f>
        <v>0</v>
      </c>
      <c r="Q322">
        <f>IF(AND(NOT(ISBLANK(ReconciliationData[[#This Row],[Billed_Units]])),ReconciliationData[[#This Row],[ordered_units]]&lt;&gt;ReconciliationData[[#This Row],[Billed_Units]]),1,0)</f>
        <v>0</v>
      </c>
      <c r="R3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">
        <f>IF(AND(NOT(ISBLANK(ReconciliationData[[#This Row],[Contract_Price]])),ReconciliationData[[#This Row],[Billed_Price]]&lt;&gt;ReconciliationData[[#This Row],[Contract_Price]]),1,0)</f>
        <v>0</v>
      </c>
      <c r="T322">
        <f>IF(AND(NOT(ISBLANK(ReconciliationData[[#This Row],[End_Date]])),ReconciliationData[[#This Row],[Order_Date]]&gt;ReconciliationData[[#This Row],[End_Date]]),1,0)</f>
        <v>0</v>
      </c>
      <c r="U322">
        <f>IF(AND(NOT(ISBLANK(ReconciliationData[[#This Row],[last_return_date]])),ReconciliationData[[#This Row],[last_return_date]]&gt;ReconciliationData[[#This Row],[Order_Date]]+60),1,0)</f>
        <v>0</v>
      </c>
      <c r="V322">
        <f>IF(ReconciliationData[[#This Row],[total_returned_units]]&gt;ReconciliationData[[#This Row],[ordered_units]],1,0)</f>
        <v>0</v>
      </c>
      <c r="W3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">
        <f>ReconciliationData[[#This Row],[Billed_Units]]*ReconciliationData[[#This Row],[Billed_Price]]</f>
        <v>119602.39680000002</v>
      </c>
      <c r="Y322">
        <f>ReconciliationData[[#This Row],[ordered_units]]*ReconciliationData[[#This Row],[List_Price]]</f>
        <v>119602.39680000002</v>
      </c>
      <c r="Z322">
        <f>ReconciliationData[[#This Row],[billed_revenue]]-ReconciliationData[[#This Row],[expected_revenue]]</f>
        <v>0</v>
      </c>
      <c r="AA3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" t="str">
        <f>IF(ReconciliationData[[#This Row],[severity_score]]=0,"LOW",
 IF(ReconciliationData[[#This Row],[severity_score]]&lt;=5,"MEDIUM","HIGH"))</f>
        <v>LOW</v>
      </c>
      <c r="AC322" t="str">
        <f>TEXT(ReconciliationData[[#This Row],[Order_Date]],"YYYY-MM")</f>
        <v>2023-07</v>
      </c>
    </row>
    <row r="323" spans="1:29">
      <c r="A323" t="s">
        <v>1237</v>
      </c>
      <c r="B323" s="1">
        <v>45059</v>
      </c>
      <c r="C323" t="s">
        <v>820</v>
      </c>
      <c r="D323" t="s">
        <v>1238</v>
      </c>
      <c r="E323">
        <v>165</v>
      </c>
      <c r="F323" t="s">
        <v>1239</v>
      </c>
      <c r="G323">
        <v>165</v>
      </c>
      <c r="H323">
        <v>355.32000000000005</v>
      </c>
      <c r="N323">
        <v>355.32000000000005</v>
      </c>
      <c r="O323" s="1">
        <v>45058</v>
      </c>
      <c r="P323">
        <f>IF(ISBLANK(ReconciliationData[[#This Row],[Invoice_ID]]),1,0)</f>
        <v>0</v>
      </c>
      <c r="Q323">
        <f>IF(AND(NOT(ISBLANK(ReconciliationData[[#This Row],[Billed_Units]])),ReconciliationData[[#This Row],[ordered_units]]&lt;&gt;ReconciliationData[[#This Row],[Billed_Units]]),1,0)</f>
        <v>0</v>
      </c>
      <c r="R3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">
        <f>IF(AND(NOT(ISBLANK(ReconciliationData[[#This Row],[Contract_Price]])),ReconciliationData[[#This Row],[Billed_Price]]&lt;&gt;ReconciliationData[[#This Row],[Contract_Price]]),1,0)</f>
        <v>0</v>
      </c>
      <c r="T323">
        <f>IF(AND(NOT(ISBLANK(ReconciliationData[[#This Row],[End_Date]])),ReconciliationData[[#This Row],[Order_Date]]&gt;ReconciliationData[[#This Row],[End_Date]]),1,0)</f>
        <v>0</v>
      </c>
      <c r="U323">
        <f>IF(AND(NOT(ISBLANK(ReconciliationData[[#This Row],[last_return_date]])),ReconciliationData[[#This Row],[last_return_date]]&gt;ReconciliationData[[#This Row],[Order_Date]]+60),1,0)</f>
        <v>0</v>
      </c>
      <c r="V323">
        <f>IF(ReconciliationData[[#This Row],[total_returned_units]]&gt;ReconciliationData[[#This Row],[ordered_units]],1,0)</f>
        <v>0</v>
      </c>
      <c r="W3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">
        <f>ReconciliationData[[#This Row],[Billed_Units]]*ReconciliationData[[#This Row],[Billed_Price]]</f>
        <v>58627.80000000001</v>
      </c>
      <c r="Y323">
        <f>ReconciliationData[[#This Row],[ordered_units]]*ReconciliationData[[#This Row],[List_Price]]</f>
        <v>58627.80000000001</v>
      </c>
      <c r="Z323">
        <f>ReconciliationData[[#This Row],[billed_revenue]]-ReconciliationData[[#This Row],[expected_revenue]]</f>
        <v>0</v>
      </c>
      <c r="AA3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" t="str">
        <f>IF(ReconciliationData[[#This Row],[severity_score]]=0,"LOW",
 IF(ReconciliationData[[#This Row],[severity_score]]&lt;=5,"MEDIUM","HIGH"))</f>
        <v>LOW</v>
      </c>
      <c r="AC323" t="str">
        <f>TEXT(ReconciliationData[[#This Row],[Order_Date]],"YYYY-MM")</f>
        <v>2023-05</v>
      </c>
    </row>
    <row r="324" spans="1:29">
      <c r="A324" t="s">
        <v>1240</v>
      </c>
      <c r="B324" s="1">
        <v>45263</v>
      </c>
      <c r="C324" t="s">
        <v>1241</v>
      </c>
      <c r="D324" t="s">
        <v>275</v>
      </c>
      <c r="E324">
        <v>165</v>
      </c>
      <c r="F324" t="s">
        <v>1242</v>
      </c>
      <c r="G324">
        <v>165</v>
      </c>
      <c r="H324">
        <v>397.19560000000001</v>
      </c>
      <c r="N324">
        <v>397.19560000000001</v>
      </c>
      <c r="O324" s="1">
        <v>44932</v>
      </c>
      <c r="P324">
        <f>IF(ISBLANK(ReconciliationData[[#This Row],[Invoice_ID]]),1,0)</f>
        <v>0</v>
      </c>
      <c r="Q324">
        <f>IF(AND(NOT(ISBLANK(ReconciliationData[[#This Row],[Billed_Units]])),ReconciliationData[[#This Row],[ordered_units]]&lt;&gt;ReconciliationData[[#This Row],[Billed_Units]]),1,0)</f>
        <v>0</v>
      </c>
      <c r="R3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">
        <f>IF(AND(NOT(ISBLANK(ReconciliationData[[#This Row],[Contract_Price]])),ReconciliationData[[#This Row],[Billed_Price]]&lt;&gt;ReconciliationData[[#This Row],[Contract_Price]]),1,0)</f>
        <v>0</v>
      </c>
      <c r="T324">
        <f>IF(AND(NOT(ISBLANK(ReconciliationData[[#This Row],[End_Date]])),ReconciliationData[[#This Row],[Order_Date]]&gt;ReconciliationData[[#This Row],[End_Date]]),1,0)</f>
        <v>0</v>
      </c>
      <c r="U324">
        <f>IF(AND(NOT(ISBLANK(ReconciliationData[[#This Row],[last_return_date]])),ReconciliationData[[#This Row],[last_return_date]]&gt;ReconciliationData[[#This Row],[Order_Date]]+60),1,0)</f>
        <v>0</v>
      </c>
      <c r="V324">
        <f>IF(ReconciliationData[[#This Row],[total_returned_units]]&gt;ReconciliationData[[#This Row],[ordered_units]],1,0)</f>
        <v>0</v>
      </c>
      <c r="W3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">
        <f>ReconciliationData[[#This Row],[Billed_Units]]*ReconciliationData[[#This Row],[Billed_Price]]</f>
        <v>65537.274000000005</v>
      </c>
      <c r="Y324">
        <f>ReconciliationData[[#This Row],[ordered_units]]*ReconciliationData[[#This Row],[List_Price]]</f>
        <v>65537.274000000005</v>
      </c>
      <c r="Z324">
        <f>ReconciliationData[[#This Row],[billed_revenue]]-ReconciliationData[[#This Row],[expected_revenue]]</f>
        <v>0</v>
      </c>
      <c r="AA3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" t="str">
        <f>IF(ReconciliationData[[#This Row],[severity_score]]=0,"LOW",
 IF(ReconciliationData[[#This Row],[severity_score]]&lt;=5,"MEDIUM","HIGH"))</f>
        <v>LOW</v>
      </c>
      <c r="AC324" t="str">
        <f>TEXT(ReconciliationData[[#This Row],[Order_Date]],"YYYY-MM")</f>
        <v>2023-12</v>
      </c>
    </row>
    <row r="325" spans="1:29">
      <c r="A325" t="s">
        <v>1243</v>
      </c>
      <c r="B325" s="1">
        <v>45485</v>
      </c>
      <c r="C325" t="s">
        <v>1244</v>
      </c>
      <c r="D325" t="s">
        <v>1245</v>
      </c>
      <c r="E325">
        <v>159</v>
      </c>
      <c r="F325" t="s">
        <v>1246</v>
      </c>
      <c r="G325">
        <v>159</v>
      </c>
      <c r="H325">
        <v>247.48920000000001</v>
      </c>
      <c r="N325">
        <v>247.48920000000001</v>
      </c>
      <c r="O325" s="1">
        <v>45088</v>
      </c>
      <c r="P325">
        <f>IF(ISBLANK(ReconciliationData[[#This Row],[Invoice_ID]]),1,0)</f>
        <v>0</v>
      </c>
      <c r="Q325">
        <f>IF(AND(NOT(ISBLANK(ReconciliationData[[#This Row],[Billed_Units]])),ReconciliationData[[#This Row],[ordered_units]]&lt;&gt;ReconciliationData[[#This Row],[Billed_Units]]),1,0)</f>
        <v>0</v>
      </c>
      <c r="R3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5">
        <f>IF(AND(NOT(ISBLANK(ReconciliationData[[#This Row],[Contract_Price]])),ReconciliationData[[#This Row],[Billed_Price]]&lt;&gt;ReconciliationData[[#This Row],[Contract_Price]]),1,0)</f>
        <v>0</v>
      </c>
      <c r="T325">
        <f>IF(AND(NOT(ISBLANK(ReconciliationData[[#This Row],[End_Date]])),ReconciliationData[[#This Row],[Order_Date]]&gt;ReconciliationData[[#This Row],[End_Date]]),1,0)</f>
        <v>0</v>
      </c>
      <c r="U325">
        <f>IF(AND(NOT(ISBLANK(ReconciliationData[[#This Row],[last_return_date]])),ReconciliationData[[#This Row],[last_return_date]]&gt;ReconciliationData[[#This Row],[Order_Date]]+60),1,0)</f>
        <v>0</v>
      </c>
      <c r="V325">
        <f>IF(ReconciliationData[[#This Row],[total_returned_units]]&gt;ReconciliationData[[#This Row],[ordered_units]],1,0)</f>
        <v>0</v>
      </c>
      <c r="W3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5">
        <f>ReconciliationData[[#This Row],[Billed_Units]]*ReconciliationData[[#This Row],[Billed_Price]]</f>
        <v>39350.782800000001</v>
      </c>
      <c r="Y325">
        <f>ReconciliationData[[#This Row],[ordered_units]]*ReconciliationData[[#This Row],[List_Price]]</f>
        <v>39350.782800000001</v>
      </c>
      <c r="Z325">
        <f>ReconciliationData[[#This Row],[billed_revenue]]-ReconciliationData[[#This Row],[expected_revenue]]</f>
        <v>0</v>
      </c>
      <c r="AA3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5" t="str">
        <f>IF(ReconciliationData[[#This Row],[severity_score]]=0,"LOW",
 IF(ReconciliationData[[#This Row],[severity_score]]&lt;=5,"MEDIUM","HIGH"))</f>
        <v>LOW</v>
      </c>
      <c r="AC325" t="str">
        <f>TEXT(ReconciliationData[[#This Row],[Order_Date]],"YYYY-MM")</f>
        <v>2024-07</v>
      </c>
    </row>
    <row r="326" spans="1:29">
      <c r="A326" t="s">
        <v>1247</v>
      </c>
      <c r="B326" s="1">
        <v>45321</v>
      </c>
      <c r="C326" t="s">
        <v>1248</v>
      </c>
      <c r="D326" t="s">
        <v>494</v>
      </c>
      <c r="E326">
        <v>5</v>
      </c>
      <c r="F326" t="s">
        <v>1249</v>
      </c>
      <c r="G326">
        <v>5</v>
      </c>
      <c r="H326">
        <v>262.37120000000004</v>
      </c>
      <c r="N326">
        <v>262.37120000000004</v>
      </c>
      <c r="O326" s="1">
        <v>45105</v>
      </c>
      <c r="P326">
        <f>IF(ISBLANK(ReconciliationData[[#This Row],[Invoice_ID]]),1,0)</f>
        <v>0</v>
      </c>
      <c r="Q326">
        <f>IF(AND(NOT(ISBLANK(ReconciliationData[[#This Row],[Billed_Units]])),ReconciliationData[[#This Row],[ordered_units]]&lt;&gt;ReconciliationData[[#This Row],[Billed_Units]]),1,0)</f>
        <v>0</v>
      </c>
      <c r="R3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">
        <f>IF(AND(NOT(ISBLANK(ReconciliationData[[#This Row],[Contract_Price]])),ReconciliationData[[#This Row],[Billed_Price]]&lt;&gt;ReconciliationData[[#This Row],[Contract_Price]]),1,0)</f>
        <v>0</v>
      </c>
      <c r="T326">
        <f>IF(AND(NOT(ISBLANK(ReconciliationData[[#This Row],[End_Date]])),ReconciliationData[[#This Row],[Order_Date]]&gt;ReconciliationData[[#This Row],[End_Date]]),1,0)</f>
        <v>0</v>
      </c>
      <c r="U326">
        <f>IF(AND(NOT(ISBLANK(ReconciliationData[[#This Row],[last_return_date]])),ReconciliationData[[#This Row],[last_return_date]]&gt;ReconciliationData[[#This Row],[Order_Date]]+60),1,0)</f>
        <v>0</v>
      </c>
      <c r="V326">
        <f>IF(ReconciliationData[[#This Row],[total_returned_units]]&gt;ReconciliationData[[#This Row],[ordered_units]],1,0)</f>
        <v>0</v>
      </c>
      <c r="W3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6">
        <f>ReconciliationData[[#This Row],[Billed_Units]]*ReconciliationData[[#This Row],[Billed_Price]]</f>
        <v>1311.8560000000002</v>
      </c>
      <c r="Y326">
        <f>ReconciliationData[[#This Row],[ordered_units]]*ReconciliationData[[#This Row],[List_Price]]</f>
        <v>1311.8560000000002</v>
      </c>
      <c r="Z326">
        <f>ReconciliationData[[#This Row],[billed_revenue]]-ReconciliationData[[#This Row],[expected_revenue]]</f>
        <v>0</v>
      </c>
      <c r="AA3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6" t="str">
        <f>IF(ReconciliationData[[#This Row],[severity_score]]=0,"LOW",
 IF(ReconciliationData[[#This Row],[severity_score]]&lt;=5,"MEDIUM","HIGH"))</f>
        <v>LOW</v>
      </c>
      <c r="AC326" t="str">
        <f>TEXT(ReconciliationData[[#This Row],[Order_Date]],"YYYY-MM")</f>
        <v>2024-01</v>
      </c>
    </row>
    <row r="327" spans="1:29">
      <c r="A327" t="s">
        <v>1250</v>
      </c>
      <c r="B327" s="1">
        <v>45500</v>
      </c>
      <c r="C327" t="s">
        <v>403</v>
      </c>
      <c r="D327" t="s">
        <v>944</v>
      </c>
      <c r="E327">
        <v>183</v>
      </c>
      <c r="F327" t="s">
        <v>1251</v>
      </c>
      <c r="G327">
        <v>183</v>
      </c>
      <c r="H327">
        <v>1007.2368847589736</v>
      </c>
      <c r="N327">
        <v>1006.8318</v>
      </c>
      <c r="O327" s="1">
        <v>45204</v>
      </c>
      <c r="P327">
        <f>IF(ISBLANK(ReconciliationData[[#This Row],[Invoice_ID]]),1,0)</f>
        <v>0</v>
      </c>
      <c r="Q327">
        <f>IF(AND(NOT(ISBLANK(ReconciliationData[[#This Row],[Billed_Units]])),ReconciliationData[[#This Row],[ordered_units]]&lt;&gt;ReconciliationData[[#This Row],[Billed_Units]]),1,0)</f>
        <v>0</v>
      </c>
      <c r="R32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27">
        <f>IF(AND(NOT(ISBLANK(ReconciliationData[[#This Row],[Contract_Price]])),ReconciliationData[[#This Row],[Billed_Price]]&lt;&gt;ReconciliationData[[#This Row],[Contract_Price]]),1,0)</f>
        <v>0</v>
      </c>
      <c r="T327">
        <f>IF(AND(NOT(ISBLANK(ReconciliationData[[#This Row],[End_Date]])),ReconciliationData[[#This Row],[Order_Date]]&gt;ReconciliationData[[#This Row],[End_Date]]),1,0)</f>
        <v>0</v>
      </c>
      <c r="U327">
        <f>IF(AND(NOT(ISBLANK(ReconciliationData[[#This Row],[last_return_date]])),ReconciliationData[[#This Row],[last_return_date]]&gt;ReconciliationData[[#This Row],[Order_Date]]+60),1,0)</f>
        <v>0</v>
      </c>
      <c r="V327">
        <f>IF(ReconciliationData[[#This Row],[total_returned_units]]&gt;ReconciliationData[[#This Row],[ordered_units]],1,0)</f>
        <v>0</v>
      </c>
      <c r="W3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27">
        <f>ReconciliationData[[#This Row],[Billed_Units]]*ReconciliationData[[#This Row],[Billed_Price]]</f>
        <v>184324.34991089217</v>
      </c>
      <c r="Y327">
        <f>ReconciliationData[[#This Row],[ordered_units]]*ReconciliationData[[#This Row],[List_Price]]</f>
        <v>184250.2194</v>
      </c>
      <c r="Z327">
        <f>ReconciliationData[[#This Row],[billed_revenue]]-ReconciliationData[[#This Row],[expected_revenue]]</f>
        <v>74.130510892166058</v>
      </c>
      <c r="AA3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27" t="str">
        <f>IF(ReconciliationData[[#This Row],[severity_score]]=0,"LOW",
 IF(ReconciliationData[[#This Row],[severity_score]]&lt;=5,"MEDIUM","HIGH"))</f>
        <v>MEDIUM</v>
      </c>
      <c r="AC327" t="str">
        <f>TEXT(ReconciliationData[[#This Row],[Order_Date]],"YYYY-MM")</f>
        <v>2024-07</v>
      </c>
    </row>
    <row r="328" spans="1:29">
      <c r="A328" t="s">
        <v>1252</v>
      </c>
      <c r="B328" s="1">
        <v>45336</v>
      </c>
      <c r="C328" t="s">
        <v>1253</v>
      </c>
      <c r="D328" t="s">
        <v>408</v>
      </c>
      <c r="E328">
        <v>154</v>
      </c>
      <c r="F328" t="s">
        <v>1254</v>
      </c>
      <c r="G328">
        <v>154</v>
      </c>
      <c r="H328">
        <v>660.96040000000005</v>
      </c>
      <c r="N328">
        <v>660.96040000000005</v>
      </c>
      <c r="O328" s="1">
        <v>44947</v>
      </c>
      <c r="P328">
        <f>IF(ISBLANK(ReconciliationData[[#This Row],[Invoice_ID]]),1,0)</f>
        <v>0</v>
      </c>
      <c r="Q328">
        <f>IF(AND(NOT(ISBLANK(ReconciliationData[[#This Row],[Billed_Units]])),ReconciliationData[[#This Row],[ordered_units]]&lt;&gt;ReconciliationData[[#This Row],[Billed_Units]]),1,0)</f>
        <v>0</v>
      </c>
      <c r="R3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">
        <f>IF(AND(NOT(ISBLANK(ReconciliationData[[#This Row],[Contract_Price]])),ReconciliationData[[#This Row],[Billed_Price]]&lt;&gt;ReconciliationData[[#This Row],[Contract_Price]]),1,0)</f>
        <v>0</v>
      </c>
      <c r="T328">
        <f>IF(AND(NOT(ISBLANK(ReconciliationData[[#This Row],[End_Date]])),ReconciliationData[[#This Row],[Order_Date]]&gt;ReconciliationData[[#This Row],[End_Date]]),1,0)</f>
        <v>0</v>
      </c>
      <c r="U328">
        <f>IF(AND(NOT(ISBLANK(ReconciliationData[[#This Row],[last_return_date]])),ReconciliationData[[#This Row],[last_return_date]]&gt;ReconciliationData[[#This Row],[Order_Date]]+60),1,0)</f>
        <v>0</v>
      </c>
      <c r="V328">
        <f>IF(ReconciliationData[[#This Row],[total_returned_units]]&gt;ReconciliationData[[#This Row],[ordered_units]],1,0)</f>
        <v>0</v>
      </c>
      <c r="W3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8">
        <f>ReconciliationData[[#This Row],[Billed_Units]]*ReconciliationData[[#This Row],[Billed_Price]]</f>
        <v>101787.90160000001</v>
      </c>
      <c r="Y328">
        <f>ReconciliationData[[#This Row],[ordered_units]]*ReconciliationData[[#This Row],[List_Price]]</f>
        <v>101787.90160000001</v>
      </c>
      <c r="Z328">
        <f>ReconciliationData[[#This Row],[billed_revenue]]-ReconciliationData[[#This Row],[expected_revenue]]</f>
        <v>0</v>
      </c>
      <c r="AA3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8" t="str">
        <f>IF(ReconciliationData[[#This Row],[severity_score]]=0,"LOW",
 IF(ReconciliationData[[#This Row],[severity_score]]&lt;=5,"MEDIUM","HIGH"))</f>
        <v>LOW</v>
      </c>
      <c r="AC328" t="str">
        <f>TEXT(ReconciliationData[[#This Row],[Order_Date]],"YYYY-MM")</f>
        <v>2024-02</v>
      </c>
    </row>
    <row r="329" spans="1:29">
      <c r="A329" t="s">
        <v>1255</v>
      </c>
      <c r="B329" s="1">
        <v>45147</v>
      </c>
      <c r="C329" t="s">
        <v>1256</v>
      </c>
      <c r="D329" t="s">
        <v>674</v>
      </c>
      <c r="E329">
        <v>18</v>
      </c>
      <c r="F329" t="s">
        <v>1257</v>
      </c>
      <c r="G329">
        <v>18</v>
      </c>
      <c r="H329">
        <v>1032.2340000000002</v>
      </c>
      <c r="N329">
        <v>1032.2340000000002</v>
      </c>
      <c r="O329" s="1">
        <v>44798</v>
      </c>
      <c r="P329">
        <f>IF(ISBLANK(ReconciliationData[[#This Row],[Invoice_ID]]),1,0)</f>
        <v>0</v>
      </c>
      <c r="Q329">
        <f>IF(AND(NOT(ISBLANK(ReconciliationData[[#This Row],[Billed_Units]])),ReconciliationData[[#This Row],[ordered_units]]&lt;&gt;ReconciliationData[[#This Row],[Billed_Units]]),1,0)</f>
        <v>0</v>
      </c>
      <c r="R3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">
        <f>IF(AND(NOT(ISBLANK(ReconciliationData[[#This Row],[Contract_Price]])),ReconciliationData[[#This Row],[Billed_Price]]&lt;&gt;ReconciliationData[[#This Row],[Contract_Price]]),1,0)</f>
        <v>0</v>
      </c>
      <c r="T329">
        <f>IF(AND(NOT(ISBLANK(ReconciliationData[[#This Row],[End_Date]])),ReconciliationData[[#This Row],[Order_Date]]&gt;ReconciliationData[[#This Row],[End_Date]]),1,0)</f>
        <v>0</v>
      </c>
      <c r="U329">
        <f>IF(AND(NOT(ISBLANK(ReconciliationData[[#This Row],[last_return_date]])),ReconciliationData[[#This Row],[last_return_date]]&gt;ReconciliationData[[#This Row],[Order_Date]]+60),1,0)</f>
        <v>0</v>
      </c>
      <c r="V329">
        <f>IF(ReconciliationData[[#This Row],[total_returned_units]]&gt;ReconciliationData[[#This Row],[ordered_units]],1,0)</f>
        <v>0</v>
      </c>
      <c r="W3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9">
        <f>ReconciliationData[[#This Row],[Billed_Units]]*ReconciliationData[[#This Row],[Billed_Price]]</f>
        <v>18580.212000000003</v>
      </c>
      <c r="Y329">
        <f>ReconciliationData[[#This Row],[ordered_units]]*ReconciliationData[[#This Row],[List_Price]]</f>
        <v>18580.212000000003</v>
      </c>
      <c r="Z329">
        <f>ReconciliationData[[#This Row],[billed_revenue]]-ReconciliationData[[#This Row],[expected_revenue]]</f>
        <v>0</v>
      </c>
      <c r="AA3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9" t="str">
        <f>IF(ReconciliationData[[#This Row],[severity_score]]=0,"LOW",
 IF(ReconciliationData[[#This Row],[severity_score]]&lt;=5,"MEDIUM","HIGH"))</f>
        <v>LOW</v>
      </c>
      <c r="AC329" t="str">
        <f>TEXT(ReconciliationData[[#This Row],[Order_Date]],"YYYY-MM")</f>
        <v>2023-08</v>
      </c>
    </row>
    <row r="330" spans="1:29">
      <c r="A330" t="s">
        <v>1258</v>
      </c>
      <c r="B330" s="1">
        <v>45532</v>
      </c>
      <c r="C330" t="s">
        <v>1259</v>
      </c>
      <c r="D330" t="s">
        <v>190</v>
      </c>
      <c r="E330">
        <v>139</v>
      </c>
      <c r="F330" t="s">
        <v>1260</v>
      </c>
      <c r="G330">
        <v>139</v>
      </c>
      <c r="H330">
        <v>265.44960000000003</v>
      </c>
      <c r="N330">
        <v>265.44960000000003</v>
      </c>
      <c r="O330" s="1">
        <v>44999</v>
      </c>
      <c r="P330">
        <f>IF(ISBLANK(ReconciliationData[[#This Row],[Invoice_ID]]),1,0)</f>
        <v>0</v>
      </c>
      <c r="Q330">
        <f>IF(AND(NOT(ISBLANK(ReconciliationData[[#This Row],[Billed_Units]])),ReconciliationData[[#This Row],[ordered_units]]&lt;&gt;ReconciliationData[[#This Row],[Billed_Units]]),1,0)</f>
        <v>0</v>
      </c>
      <c r="R3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">
        <f>IF(AND(NOT(ISBLANK(ReconciliationData[[#This Row],[Contract_Price]])),ReconciliationData[[#This Row],[Billed_Price]]&lt;&gt;ReconciliationData[[#This Row],[Contract_Price]]),1,0)</f>
        <v>0</v>
      </c>
      <c r="T330">
        <f>IF(AND(NOT(ISBLANK(ReconciliationData[[#This Row],[End_Date]])),ReconciliationData[[#This Row],[Order_Date]]&gt;ReconciliationData[[#This Row],[End_Date]]),1,0)</f>
        <v>0</v>
      </c>
      <c r="U330">
        <f>IF(AND(NOT(ISBLANK(ReconciliationData[[#This Row],[last_return_date]])),ReconciliationData[[#This Row],[last_return_date]]&gt;ReconciliationData[[#This Row],[Order_Date]]+60),1,0)</f>
        <v>0</v>
      </c>
      <c r="V330">
        <f>IF(ReconciliationData[[#This Row],[total_returned_units]]&gt;ReconciliationData[[#This Row],[ordered_units]],1,0)</f>
        <v>0</v>
      </c>
      <c r="W3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">
        <f>ReconciliationData[[#This Row],[Billed_Units]]*ReconciliationData[[#This Row],[Billed_Price]]</f>
        <v>36897.494400000003</v>
      </c>
      <c r="Y330">
        <f>ReconciliationData[[#This Row],[ordered_units]]*ReconciliationData[[#This Row],[List_Price]]</f>
        <v>36897.494400000003</v>
      </c>
      <c r="Z330">
        <f>ReconciliationData[[#This Row],[billed_revenue]]-ReconciliationData[[#This Row],[expected_revenue]]</f>
        <v>0</v>
      </c>
      <c r="AA3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" t="str">
        <f>IF(ReconciliationData[[#This Row],[severity_score]]=0,"LOW",
 IF(ReconciliationData[[#This Row],[severity_score]]&lt;=5,"MEDIUM","HIGH"))</f>
        <v>LOW</v>
      </c>
      <c r="AC330" t="str">
        <f>TEXT(ReconciliationData[[#This Row],[Order_Date]],"YYYY-MM")</f>
        <v>2024-08</v>
      </c>
    </row>
    <row r="331" spans="1:29">
      <c r="A331" t="s">
        <v>1261</v>
      </c>
      <c r="B331" s="1">
        <v>45232</v>
      </c>
      <c r="C331" t="s">
        <v>332</v>
      </c>
      <c r="D331" t="s">
        <v>1146</v>
      </c>
      <c r="E331">
        <v>200</v>
      </c>
      <c r="F331" t="s">
        <v>1262</v>
      </c>
      <c r="G331">
        <v>200</v>
      </c>
      <c r="H331">
        <v>427.43</v>
      </c>
      <c r="N331">
        <v>427.43</v>
      </c>
      <c r="O331" s="1">
        <v>45054</v>
      </c>
      <c r="P331">
        <f>IF(ISBLANK(ReconciliationData[[#This Row],[Invoice_ID]]),1,0)</f>
        <v>0</v>
      </c>
      <c r="Q331">
        <f>IF(AND(NOT(ISBLANK(ReconciliationData[[#This Row],[Billed_Units]])),ReconciliationData[[#This Row],[ordered_units]]&lt;&gt;ReconciliationData[[#This Row],[Billed_Units]]),1,0)</f>
        <v>0</v>
      </c>
      <c r="R3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1">
        <f>IF(AND(NOT(ISBLANK(ReconciliationData[[#This Row],[Contract_Price]])),ReconciliationData[[#This Row],[Billed_Price]]&lt;&gt;ReconciliationData[[#This Row],[Contract_Price]]),1,0)</f>
        <v>0</v>
      </c>
      <c r="T331">
        <f>IF(AND(NOT(ISBLANK(ReconciliationData[[#This Row],[End_Date]])),ReconciliationData[[#This Row],[Order_Date]]&gt;ReconciliationData[[#This Row],[End_Date]]),1,0)</f>
        <v>0</v>
      </c>
      <c r="U331">
        <f>IF(AND(NOT(ISBLANK(ReconciliationData[[#This Row],[last_return_date]])),ReconciliationData[[#This Row],[last_return_date]]&gt;ReconciliationData[[#This Row],[Order_Date]]+60),1,0)</f>
        <v>0</v>
      </c>
      <c r="V331">
        <f>IF(ReconciliationData[[#This Row],[total_returned_units]]&gt;ReconciliationData[[#This Row],[ordered_units]],1,0)</f>
        <v>0</v>
      </c>
      <c r="W3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1">
        <f>ReconciliationData[[#This Row],[Billed_Units]]*ReconciliationData[[#This Row],[Billed_Price]]</f>
        <v>85486</v>
      </c>
      <c r="Y331">
        <f>ReconciliationData[[#This Row],[ordered_units]]*ReconciliationData[[#This Row],[List_Price]]</f>
        <v>85486</v>
      </c>
      <c r="Z331">
        <f>ReconciliationData[[#This Row],[billed_revenue]]-ReconciliationData[[#This Row],[expected_revenue]]</f>
        <v>0</v>
      </c>
      <c r="AA3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1" t="str">
        <f>IF(ReconciliationData[[#This Row],[severity_score]]=0,"LOW",
 IF(ReconciliationData[[#This Row],[severity_score]]&lt;=5,"MEDIUM","HIGH"))</f>
        <v>LOW</v>
      </c>
      <c r="AC331" t="str">
        <f>TEXT(ReconciliationData[[#This Row],[Order_Date]],"YYYY-MM")</f>
        <v>2023-11</v>
      </c>
    </row>
    <row r="332" spans="1:29">
      <c r="A332" t="s">
        <v>1263</v>
      </c>
      <c r="B332" s="1">
        <v>45127</v>
      </c>
      <c r="C332" t="s">
        <v>298</v>
      </c>
      <c r="D332" t="s">
        <v>162</v>
      </c>
      <c r="E332">
        <v>13</v>
      </c>
      <c r="F332" t="s">
        <v>1264</v>
      </c>
      <c r="G332">
        <v>21</v>
      </c>
      <c r="H332">
        <v>510.91840000000002</v>
      </c>
      <c r="I332">
        <v>2</v>
      </c>
      <c r="J332" s="1">
        <v>45516</v>
      </c>
      <c r="N332">
        <v>510.91840000000002</v>
      </c>
      <c r="O332" s="1">
        <v>44981</v>
      </c>
      <c r="P332">
        <f>IF(ISBLANK(ReconciliationData[[#This Row],[Invoice_ID]]),1,0)</f>
        <v>0</v>
      </c>
      <c r="Q332">
        <f>IF(AND(NOT(ISBLANK(ReconciliationData[[#This Row],[Billed_Units]])),ReconciliationData[[#This Row],[ordered_units]]&lt;&gt;ReconciliationData[[#This Row],[Billed_Units]]),1,0)</f>
        <v>1</v>
      </c>
      <c r="R3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">
        <f>IF(AND(NOT(ISBLANK(ReconciliationData[[#This Row],[Contract_Price]])),ReconciliationData[[#This Row],[Billed_Price]]&lt;&gt;ReconciliationData[[#This Row],[Contract_Price]]),1,0)</f>
        <v>0</v>
      </c>
      <c r="T332">
        <f>IF(AND(NOT(ISBLANK(ReconciliationData[[#This Row],[End_Date]])),ReconciliationData[[#This Row],[Order_Date]]&gt;ReconciliationData[[#This Row],[End_Date]]),1,0)</f>
        <v>0</v>
      </c>
      <c r="U332">
        <f>IF(AND(NOT(ISBLANK(ReconciliationData[[#This Row],[last_return_date]])),ReconciliationData[[#This Row],[last_return_date]]&gt;ReconciliationData[[#This Row],[Order_Date]]+60),1,0)</f>
        <v>1</v>
      </c>
      <c r="V332">
        <f>IF(ReconciliationData[[#This Row],[total_returned_units]]&gt;ReconciliationData[[#This Row],[ordered_units]],1,0)</f>
        <v>0</v>
      </c>
      <c r="W3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2">
        <f>ReconciliationData[[#This Row],[Billed_Units]]*ReconciliationData[[#This Row],[Billed_Price]]</f>
        <v>10729.286400000001</v>
      </c>
      <c r="Y332">
        <f>ReconciliationData[[#This Row],[ordered_units]]*ReconciliationData[[#This Row],[List_Price]]</f>
        <v>6641.9392000000007</v>
      </c>
      <c r="Z332">
        <f>ReconciliationData[[#This Row],[billed_revenue]]-ReconciliationData[[#This Row],[expected_revenue]]</f>
        <v>4087.3472000000002</v>
      </c>
      <c r="AA3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10</v>
      </c>
      <c r="AB332" t="str">
        <f>IF(ReconciliationData[[#This Row],[severity_score]]=0,"LOW",
 IF(ReconciliationData[[#This Row],[severity_score]]&lt;=5,"MEDIUM","HIGH"))</f>
        <v>HIGH</v>
      </c>
      <c r="AC332" t="str">
        <f>TEXT(ReconciliationData[[#This Row],[Order_Date]],"YYYY-MM")</f>
        <v>2023-07</v>
      </c>
    </row>
    <row r="333" spans="1:29">
      <c r="A333" t="s">
        <v>1265</v>
      </c>
      <c r="B333" s="1">
        <v>45390</v>
      </c>
      <c r="C333" t="s">
        <v>835</v>
      </c>
      <c r="D333" t="s">
        <v>1235</v>
      </c>
      <c r="E333">
        <v>24</v>
      </c>
      <c r="F333" t="s">
        <v>1266</v>
      </c>
      <c r="G333">
        <v>24</v>
      </c>
      <c r="H333">
        <v>892.55520000000013</v>
      </c>
      <c r="N333">
        <v>892.55520000000013</v>
      </c>
      <c r="O333" s="1">
        <v>44985</v>
      </c>
      <c r="P333">
        <f>IF(ISBLANK(ReconciliationData[[#This Row],[Invoice_ID]]),1,0)</f>
        <v>0</v>
      </c>
      <c r="Q333">
        <f>IF(AND(NOT(ISBLANK(ReconciliationData[[#This Row],[Billed_Units]])),ReconciliationData[[#This Row],[ordered_units]]&lt;&gt;ReconciliationData[[#This Row],[Billed_Units]]),1,0)</f>
        <v>0</v>
      </c>
      <c r="R3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">
        <f>IF(AND(NOT(ISBLANK(ReconciliationData[[#This Row],[Contract_Price]])),ReconciliationData[[#This Row],[Billed_Price]]&lt;&gt;ReconciliationData[[#This Row],[Contract_Price]]),1,0)</f>
        <v>0</v>
      </c>
      <c r="T333">
        <f>IF(AND(NOT(ISBLANK(ReconciliationData[[#This Row],[End_Date]])),ReconciliationData[[#This Row],[Order_Date]]&gt;ReconciliationData[[#This Row],[End_Date]]),1,0)</f>
        <v>0</v>
      </c>
      <c r="U333">
        <f>IF(AND(NOT(ISBLANK(ReconciliationData[[#This Row],[last_return_date]])),ReconciliationData[[#This Row],[last_return_date]]&gt;ReconciliationData[[#This Row],[Order_Date]]+60),1,0)</f>
        <v>0</v>
      </c>
      <c r="V333">
        <f>IF(ReconciliationData[[#This Row],[total_returned_units]]&gt;ReconciliationData[[#This Row],[ordered_units]],1,0)</f>
        <v>0</v>
      </c>
      <c r="W3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3">
        <f>ReconciliationData[[#This Row],[Billed_Units]]*ReconciliationData[[#This Row],[Billed_Price]]</f>
        <v>21421.324800000002</v>
      </c>
      <c r="Y333">
        <f>ReconciliationData[[#This Row],[ordered_units]]*ReconciliationData[[#This Row],[List_Price]]</f>
        <v>21421.324800000002</v>
      </c>
      <c r="Z333">
        <f>ReconciliationData[[#This Row],[billed_revenue]]-ReconciliationData[[#This Row],[expected_revenue]]</f>
        <v>0</v>
      </c>
      <c r="AA3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3" t="str">
        <f>IF(ReconciliationData[[#This Row],[severity_score]]=0,"LOW",
 IF(ReconciliationData[[#This Row],[severity_score]]&lt;=5,"MEDIUM","HIGH"))</f>
        <v>LOW</v>
      </c>
      <c r="AC333" t="str">
        <f>TEXT(ReconciliationData[[#This Row],[Order_Date]],"YYYY-MM")</f>
        <v>2024-04</v>
      </c>
    </row>
    <row r="334" spans="1:29">
      <c r="A334" t="s">
        <v>1267</v>
      </c>
      <c r="B334" s="1">
        <v>45657</v>
      </c>
      <c r="C334" t="s">
        <v>824</v>
      </c>
      <c r="D334" t="s">
        <v>154</v>
      </c>
      <c r="E334">
        <v>87</v>
      </c>
      <c r="F334" t="s">
        <v>1268</v>
      </c>
      <c r="G334">
        <v>87</v>
      </c>
      <c r="H334">
        <v>1058.3499999999999</v>
      </c>
      <c r="N334">
        <v>1058.3499999999999</v>
      </c>
      <c r="O334" s="1">
        <v>45136</v>
      </c>
      <c r="P334">
        <f>IF(ISBLANK(ReconciliationData[[#This Row],[Invoice_ID]]),1,0)</f>
        <v>0</v>
      </c>
      <c r="Q334">
        <f>IF(AND(NOT(ISBLANK(ReconciliationData[[#This Row],[Billed_Units]])),ReconciliationData[[#This Row],[ordered_units]]&lt;&gt;ReconciliationData[[#This Row],[Billed_Units]]),1,0)</f>
        <v>0</v>
      </c>
      <c r="R3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4">
        <f>IF(AND(NOT(ISBLANK(ReconciliationData[[#This Row],[Contract_Price]])),ReconciliationData[[#This Row],[Billed_Price]]&lt;&gt;ReconciliationData[[#This Row],[Contract_Price]]),1,0)</f>
        <v>0</v>
      </c>
      <c r="T334">
        <f>IF(AND(NOT(ISBLANK(ReconciliationData[[#This Row],[End_Date]])),ReconciliationData[[#This Row],[Order_Date]]&gt;ReconciliationData[[#This Row],[End_Date]]),1,0)</f>
        <v>0</v>
      </c>
      <c r="U334">
        <f>IF(AND(NOT(ISBLANK(ReconciliationData[[#This Row],[last_return_date]])),ReconciliationData[[#This Row],[last_return_date]]&gt;ReconciliationData[[#This Row],[Order_Date]]+60),1,0)</f>
        <v>0</v>
      </c>
      <c r="V334">
        <f>IF(ReconciliationData[[#This Row],[total_returned_units]]&gt;ReconciliationData[[#This Row],[ordered_units]],1,0)</f>
        <v>0</v>
      </c>
      <c r="W3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4">
        <f>ReconciliationData[[#This Row],[Billed_Units]]*ReconciliationData[[#This Row],[Billed_Price]]</f>
        <v>92076.45</v>
      </c>
      <c r="Y334">
        <f>ReconciliationData[[#This Row],[ordered_units]]*ReconciliationData[[#This Row],[List_Price]]</f>
        <v>92076.45</v>
      </c>
      <c r="Z334">
        <f>ReconciliationData[[#This Row],[billed_revenue]]-ReconciliationData[[#This Row],[expected_revenue]]</f>
        <v>0</v>
      </c>
      <c r="AA3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4" t="str">
        <f>IF(ReconciliationData[[#This Row],[severity_score]]=0,"LOW",
 IF(ReconciliationData[[#This Row],[severity_score]]&lt;=5,"MEDIUM","HIGH"))</f>
        <v>LOW</v>
      </c>
      <c r="AC334" t="str">
        <f>TEXT(ReconciliationData[[#This Row],[Order_Date]],"YYYY-MM")</f>
        <v>2024-12</v>
      </c>
    </row>
    <row r="335" spans="1:29">
      <c r="A335" t="s">
        <v>1269</v>
      </c>
      <c r="B335" s="1">
        <v>45657</v>
      </c>
      <c r="C335" t="s">
        <v>1270</v>
      </c>
      <c r="D335" t="s">
        <v>306</v>
      </c>
      <c r="E335">
        <v>197</v>
      </c>
      <c r="F335" t="s">
        <v>1271</v>
      </c>
      <c r="G335">
        <v>197</v>
      </c>
      <c r="H335">
        <v>1211.7708</v>
      </c>
      <c r="N335">
        <v>1211.7708</v>
      </c>
      <c r="O335" s="1">
        <v>45193</v>
      </c>
      <c r="P335">
        <f>IF(ISBLANK(ReconciliationData[[#This Row],[Invoice_ID]]),1,0)</f>
        <v>0</v>
      </c>
      <c r="Q335">
        <f>IF(AND(NOT(ISBLANK(ReconciliationData[[#This Row],[Billed_Units]])),ReconciliationData[[#This Row],[ordered_units]]&lt;&gt;ReconciliationData[[#This Row],[Billed_Units]]),1,0)</f>
        <v>0</v>
      </c>
      <c r="R3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">
        <f>IF(AND(NOT(ISBLANK(ReconciliationData[[#This Row],[Contract_Price]])),ReconciliationData[[#This Row],[Billed_Price]]&lt;&gt;ReconciliationData[[#This Row],[Contract_Price]]),1,0)</f>
        <v>0</v>
      </c>
      <c r="T335">
        <f>IF(AND(NOT(ISBLANK(ReconciliationData[[#This Row],[End_Date]])),ReconciliationData[[#This Row],[Order_Date]]&gt;ReconciliationData[[#This Row],[End_Date]]),1,0)</f>
        <v>0</v>
      </c>
      <c r="U335">
        <f>IF(AND(NOT(ISBLANK(ReconciliationData[[#This Row],[last_return_date]])),ReconciliationData[[#This Row],[last_return_date]]&gt;ReconciliationData[[#This Row],[Order_Date]]+60),1,0)</f>
        <v>0</v>
      </c>
      <c r="V335">
        <f>IF(ReconciliationData[[#This Row],[total_returned_units]]&gt;ReconciliationData[[#This Row],[ordered_units]],1,0)</f>
        <v>0</v>
      </c>
      <c r="W3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5">
        <f>ReconciliationData[[#This Row],[Billed_Units]]*ReconciliationData[[#This Row],[Billed_Price]]</f>
        <v>238718.84760000001</v>
      </c>
      <c r="Y335">
        <f>ReconciliationData[[#This Row],[ordered_units]]*ReconciliationData[[#This Row],[List_Price]]</f>
        <v>238718.84760000001</v>
      </c>
      <c r="Z335">
        <f>ReconciliationData[[#This Row],[billed_revenue]]-ReconciliationData[[#This Row],[expected_revenue]]</f>
        <v>0</v>
      </c>
      <c r="AA3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5" t="str">
        <f>IF(ReconciliationData[[#This Row],[severity_score]]=0,"LOW",
 IF(ReconciliationData[[#This Row],[severity_score]]&lt;=5,"MEDIUM","HIGH"))</f>
        <v>LOW</v>
      </c>
      <c r="AC335" t="str">
        <f>TEXT(ReconciliationData[[#This Row],[Order_Date]],"YYYY-MM")</f>
        <v>2024-12</v>
      </c>
    </row>
    <row r="336" spans="1:29">
      <c r="A336" t="s">
        <v>1272</v>
      </c>
      <c r="B336" s="1">
        <v>45445</v>
      </c>
      <c r="C336" t="s">
        <v>940</v>
      </c>
      <c r="D336" t="s">
        <v>1273</v>
      </c>
      <c r="E336">
        <v>132</v>
      </c>
      <c r="F336" t="s">
        <v>1274</v>
      </c>
      <c r="G336">
        <v>132</v>
      </c>
      <c r="H336">
        <v>1030.7952</v>
      </c>
      <c r="I336">
        <v>19</v>
      </c>
      <c r="J336" s="1">
        <v>45169</v>
      </c>
      <c r="N336">
        <v>1030.7952</v>
      </c>
      <c r="O336" s="1">
        <v>45154</v>
      </c>
      <c r="P336">
        <f>IF(ISBLANK(ReconciliationData[[#This Row],[Invoice_ID]]),1,0)</f>
        <v>0</v>
      </c>
      <c r="Q336">
        <f>IF(AND(NOT(ISBLANK(ReconciliationData[[#This Row],[Billed_Units]])),ReconciliationData[[#This Row],[ordered_units]]&lt;&gt;ReconciliationData[[#This Row],[Billed_Units]]),1,0)</f>
        <v>0</v>
      </c>
      <c r="R3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">
        <f>IF(AND(NOT(ISBLANK(ReconciliationData[[#This Row],[Contract_Price]])),ReconciliationData[[#This Row],[Billed_Price]]&lt;&gt;ReconciliationData[[#This Row],[Contract_Price]]),1,0)</f>
        <v>0</v>
      </c>
      <c r="T336">
        <f>IF(AND(NOT(ISBLANK(ReconciliationData[[#This Row],[End_Date]])),ReconciliationData[[#This Row],[Order_Date]]&gt;ReconciliationData[[#This Row],[End_Date]]),1,0)</f>
        <v>0</v>
      </c>
      <c r="U336">
        <f>IF(AND(NOT(ISBLANK(ReconciliationData[[#This Row],[last_return_date]])),ReconciliationData[[#This Row],[last_return_date]]&gt;ReconciliationData[[#This Row],[Order_Date]]+60),1,0)</f>
        <v>0</v>
      </c>
      <c r="V336">
        <f>IF(ReconciliationData[[#This Row],[total_returned_units]]&gt;ReconciliationData[[#This Row],[ordered_units]],1,0)</f>
        <v>0</v>
      </c>
      <c r="W3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">
        <f>ReconciliationData[[#This Row],[Billed_Units]]*ReconciliationData[[#This Row],[Billed_Price]]</f>
        <v>136064.9664</v>
      </c>
      <c r="Y336">
        <f>ReconciliationData[[#This Row],[ordered_units]]*ReconciliationData[[#This Row],[List_Price]]</f>
        <v>136064.9664</v>
      </c>
      <c r="Z336">
        <f>ReconciliationData[[#This Row],[billed_revenue]]-ReconciliationData[[#This Row],[expected_revenue]]</f>
        <v>0</v>
      </c>
      <c r="AA3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" t="str">
        <f>IF(ReconciliationData[[#This Row],[severity_score]]=0,"LOW",
 IF(ReconciliationData[[#This Row],[severity_score]]&lt;=5,"MEDIUM","HIGH"))</f>
        <v>LOW</v>
      </c>
      <c r="AC336" t="str">
        <f>TEXT(ReconciliationData[[#This Row],[Order_Date]],"YYYY-MM")</f>
        <v>2024-06</v>
      </c>
    </row>
    <row r="337" spans="1:29">
      <c r="A337" t="s">
        <v>1275</v>
      </c>
      <c r="B337" s="1">
        <v>45001</v>
      </c>
      <c r="C337" t="s">
        <v>750</v>
      </c>
      <c r="D337" t="s">
        <v>366</v>
      </c>
      <c r="E337">
        <v>109</v>
      </c>
      <c r="F337" t="s">
        <v>1276</v>
      </c>
      <c r="G337">
        <v>109</v>
      </c>
      <c r="H337">
        <v>525.45000000000005</v>
      </c>
      <c r="N337">
        <v>525.45000000000005</v>
      </c>
      <c r="O337" s="1">
        <v>44623</v>
      </c>
      <c r="P337">
        <f>IF(ISBLANK(ReconciliationData[[#This Row],[Invoice_ID]]),1,0)</f>
        <v>0</v>
      </c>
      <c r="Q337">
        <f>IF(AND(NOT(ISBLANK(ReconciliationData[[#This Row],[Billed_Units]])),ReconciliationData[[#This Row],[ordered_units]]&lt;&gt;ReconciliationData[[#This Row],[Billed_Units]]),1,0)</f>
        <v>0</v>
      </c>
      <c r="R3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">
        <f>IF(AND(NOT(ISBLANK(ReconciliationData[[#This Row],[Contract_Price]])),ReconciliationData[[#This Row],[Billed_Price]]&lt;&gt;ReconciliationData[[#This Row],[Contract_Price]]),1,0)</f>
        <v>0</v>
      </c>
      <c r="T337">
        <f>IF(AND(NOT(ISBLANK(ReconciliationData[[#This Row],[End_Date]])),ReconciliationData[[#This Row],[Order_Date]]&gt;ReconciliationData[[#This Row],[End_Date]]),1,0)</f>
        <v>0</v>
      </c>
      <c r="U337">
        <f>IF(AND(NOT(ISBLANK(ReconciliationData[[#This Row],[last_return_date]])),ReconciliationData[[#This Row],[last_return_date]]&gt;ReconciliationData[[#This Row],[Order_Date]]+60),1,0)</f>
        <v>0</v>
      </c>
      <c r="V337">
        <f>IF(ReconciliationData[[#This Row],[total_returned_units]]&gt;ReconciliationData[[#This Row],[ordered_units]],1,0)</f>
        <v>0</v>
      </c>
      <c r="W3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">
        <f>ReconciliationData[[#This Row],[Billed_Units]]*ReconciliationData[[#This Row],[Billed_Price]]</f>
        <v>57274.05</v>
      </c>
      <c r="Y337">
        <f>ReconciliationData[[#This Row],[ordered_units]]*ReconciliationData[[#This Row],[List_Price]]</f>
        <v>57274.05</v>
      </c>
      <c r="Z337">
        <f>ReconciliationData[[#This Row],[billed_revenue]]-ReconciliationData[[#This Row],[expected_revenue]]</f>
        <v>0</v>
      </c>
      <c r="AA3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" t="str">
        <f>IF(ReconciliationData[[#This Row],[severity_score]]=0,"LOW",
 IF(ReconciliationData[[#This Row],[severity_score]]&lt;=5,"MEDIUM","HIGH"))</f>
        <v>LOW</v>
      </c>
      <c r="AC337" t="str">
        <f>TEXT(ReconciliationData[[#This Row],[Order_Date]],"YYYY-MM")</f>
        <v>2023-03</v>
      </c>
    </row>
    <row r="338" spans="1:29">
      <c r="A338" t="s">
        <v>1277</v>
      </c>
      <c r="B338" s="1">
        <v>45565</v>
      </c>
      <c r="C338" t="s">
        <v>1043</v>
      </c>
      <c r="D338" t="s">
        <v>381</v>
      </c>
      <c r="E338">
        <v>27</v>
      </c>
      <c r="F338" t="s">
        <v>1278</v>
      </c>
      <c r="G338">
        <v>27</v>
      </c>
      <c r="H338">
        <v>942.54840000000013</v>
      </c>
      <c r="N338">
        <v>942.54840000000013</v>
      </c>
      <c r="O338" s="1">
        <v>45086</v>
      </c>
      <c r="P338">
        <f>IF(ISBLANK(ReconciliationData[[#This Row],[Invoice_ID]]),1,0)</f>
        <v>0</v>
      </c>
      <c r="Q338">
        <f>IF(AND(NOT(ISBLANK(ReconciliationData[[#This Row],[Billed_Units]])),ReconciliationData[[#This Row],[ordered_units]]&lt;&gt;ReconciliationData[[#This Row],[Billed_Units]]),1,0)</f>
        <v>0</v>
      </c>
      <c r="R3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8">
        <f>IF(AND(NOT(ISBLANK(ReconciliationData[[#This Row],[Contract_Price]])),ReconciliationData[[#This Row],[Billed_Price]]&lt;&gt;ReconciliationData[[#This Row],[Contract_Price]]),1,0)</f>
        <v>0</v>
      </c>
      <c r="T338">
        <f>IF(AND(NOT(ISBLANK(ReconciliationData[[#This Row],[End_Date]])),ReconciliationData[[#This Row],[Order_Date]]&gt;ReconciliationData[[#This Row],[End_Date]]),1,0)</f>
        <v>0</v>
      </c>
      <c r="U338">
        <f>IF(AND(NOT(ISBLANK(ReconciliationData[[#This Row],[last_return_date]])),ReconciliationData[[#This Row],[last_return_date]]&gt;ReconciliationData[[#This Row],[Order_Date]]+60),1,0)</f>
        <v>0</v>
      </c>
      <c r="V338">
        <f>IF(ReconciliationData[[#This Row],[total_returned_units]]&gt;ReconciliationData[[#This Row],[ordered_units]],1,0)</f>
        <v>0</v>
      </c>
      <c r="W3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8">
        <f>ReconciliationData[[#This Row],[Billed_Units]]*ReconciliationData[[#This Row],[Billed_Price]]</f>
        <v>25448.806800000002</v>
      </c>
      <c r="Y338">
        <f>ReconciliationData[[#This Row],[ordered_units]]*ReconciliationData[[#This Row],[List_Price]]</f>
        <v>25448.806800000002</v>
      </c>
      <c r="Z338">
        <f>ReconciliationData[[#This Row],[billed_revenue]]-ReconciliationData[[#This Row],[expected_revenue]]</f>
        <v>0</v>
      </c>
      <c r="AA3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8" t="str">
        <f>IF(ReconciliationData[[#This Row],[severity_score]]=0,"LOW",
 IF(ReconciliationData[[#This Row],[severity_score]]&lt;=5,"MEDIUM","HIGH"))</f>
        <v>LOW</v>
      </c>
      <c r="AC338" t="str">
        <f>TEXT(ReconciliationData[[#This Row],[Order_Date]],"YYYY-MM")</f>
        <v>2024-09</v>
      </c>
    </row>
    <row r="339" spans="1:29">
      <c r="A339" t="s">
        <v>1279</v>
      </c>
      <c r="B339" s="1">
        <v>45633</v>
      </c>
      <c r="C339" t="s">
        <v>1280</v>
      </c>
      <c r="D339" t="s">
        <v>227</v>
      </c>
      <c r="E339">
        <v>168</v>
      </c>
      <c r="F339" t="s">
        <v>1281</v>
      </c>
      <c r="G339">
        <v>168</v>
      </c>
      <c r="H339">
        <v>626.68790000000001</v>
      </c>
      <c r="N339">
        <v>626.68790000000001</v>
      </c>
      <c r="O339" s="1">
        <v>45103</v>
      </c>
      <c r="P339">
        <f>IF(ISBLANK(ReconciliationData[[#This Row],[Invoice_ID]]),1,0)</f>
        <v>0</v>
      </c>
      <c r="Q339">
        <f>IF(AND(NOT(ISBLANK(ReconciliationData[[#This Row],[Billed_Units]])),ReconciliationData[[#This Row],[ordered_units]]&lt;&gt;ReconciliationData[[#This Row],[Billed_Units]]),1,0)</f>
        <v>0</v>
      </c>
      <c r="R3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9">
        <f>IF(AND(NOT(ISBLANK(ReconciliationData[[#This Row],[Contract_Price]])),ReconciliationData[[#This Row],[Billed_Price]]&lt;&gt;ReconciliationData[[#This Row],[Contract_Price]]),1,0)</f>
        <v>0</v>
      </c>
      <c r="T339">
        <f>IF(AND(NOT(ISBLANK(ReconciliationData[[#This Row],[End_Date]])),ReconciliationData[[#This Row],[Order_Date]]&gt;ReconciliationData[[#This Row],[End_Date]]),1,0)</f>
        <v>0</v>
      </c>
      <c r="U339">
        <f>IF(AND(NOT(ISBLANK(ReconciliationData[[#This Row],[last_return_date]])),ReconciliationData[[#This Row],[last_return_date]]&gt;ReconciliationData[[#This Row],[Order_Date]]+60),1,0)</f>
        <v>0</v>
      </c>
      <c r="V339">
        <f>IF(ReconciliationData[[#This Row],[total_returned_units]]&gt;ReconciliationData[[#This Row],[ordered_units]],1,0)</f>
        <v>0</v>
      </c>
      <c r="W3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9">
        <f>ReconciliationData[[#This Row],[Billed_Units]]*ReconciliationData[[#This Row],[Billed_Price]]</f>
        <v>105283.5672</v>
      </c>
      <c r="Y339">
        <f>ReconciliationData[[#This Row],[ordered_units]]*ReconciliationData[[#This Row],[List_Price]]</f>
        <v>105283.5672</v>
      </c>
      <c r="Z339">
        <f>ReconciliationData[[#This Row],[billed_revenue]]-ReconciliationData[[#This Row],[expected_revenue]]</f>
        <v>0</v>
      </c>
      <c r="AA3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9" t="str">
        <f>IF(ReconciliationData[[#This Row],[severity_score]]=0,"LOW",
 IF(ReconciliationData[[#This Row],[severity_score]]&lt;=5,"MEDIUM","HIGH"))</f>
        <v>LOW</v>
      </c>
      <c r="AC339" t="str">
        <f>TEXT(ReconciliationData[[#This Row],[Order_Date]],"YYYY-MM")</f>
        <v>2024-12</v>
      </c>
    </row>
    <row r="340" spans="1:29">
      <c r="A340" t="s">
        <v>1282</v>
      </c>
      <c r="B340" s="1">
        <v>45119</v>
      </c>
      <c r="C340" t="s">
        <v>185</v>
      </c>
      <c r="D340" t="s">
        <v>821</v>
      </c>
      <c r="E340">
        <v>127</v>
      </c>
      <c r="F340" t="s">
        <v>1283</v>
      </c>
      <c r="G340">
        <v>127</v>
      </c>
      <c r="H340">
        <v>785.89</v>
      </c>
      <c r="N340">
        <v>785.89</v>
      </c>
      <c r="O340" s="1">
        <v>44989</v>
      </c>
      <c r="P340">
        <f>IF(ISBLANK(ReconciliationData[[#This Row],[Invoice_ID]]),1,0)</f>
        <v>0</v>
      </c>
      <c r="Q340">
        <f>IF(AND(NOT(ISBLANK(ReconciliationData[[#This Row],[Billed_Units]])),ReconciliationData[[#This Row],[ordered_units]]&lt;&gt;ReconciliationData[[#This Row],[Billed_Units]]),1,0)</f>
        <v>0</v>
      </c>
      <c r="R3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0">
        <f>IF(AND(NOT(ISBLANK(ReconciliationData[[#This Row],[Contract_Price]])),ReconciliationData[[#This Row],[Billed_Price]]&lt;&gt;ReconciliationData[[#This Row],[Contract_Price]]),1,0)</f>
        <v>0</v>
      </c>
      <c r="T340">
        <f>IF(AND(NOT(ISBLANK(ReconciliationData[[#This Row],[End_Date]])),ReconciliationData[[#This Row],[Order_Date]]&gt;ReconciliationData[[#This Row],[End_Date]]),1,0)</f>
        <v>0</v>
      </c>
      <c r="U340">
        <f>IF(AND(NOT(ISBLANK(ReconciliationData[[#This Row],[last_return_date]])),ReconciliationData[[#This Row],[last_return_date]]&gt;ReconciliationData[[#This Row],[Order_Date]]+60),1,0)</f>
        <v>0</v>
      </c>
      <c r="V340">
        <f>IF(ReconciliationData[[#This Row],[total_returned_units]]&gt;ReconciliationData[[#This Row],[ordered_units]],1,0)</f>
        <v>0</v>
      </c>
      <c r="W3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0">
        <f>ReconciliationData[[#This Row],[Billed_Units]]*ReconciliationData[[#This Row],[Billed_Price]]</f>
        <v>99808.03</v>
      </c>
      <c r="Y340">
        <f>ReconciliationData[[#This Row],[ordered_units]]*ReconciliationData[[#This Row],[List_Price]]</f>
        <v>99808.03</v>
      </c>
      <c r="Z340">
        <f>ReconciliationData[[#This Row],[billed_revenue]]-ReconciliationData[[#This Row],[expected_revenue]]</f>
        <v>0</v>
      </c>
      <c r="AA3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0" t="str">
        <f>IF(ReconciliationData[[#This Row],[severity_score]]=0,"LOW",
 IF(ReconciliationData[[#This Row],[severity_score]]&lt;=5,"MEDIUM","HIGH"))</f>
        <v>LOW</v>
      </c>
      <c r="AC340" t="str">
        <f>TEXT(ReconciliationData[[#This Row],[Order_Date]],"YYYY-MM")</f>
        <v>2023-07</v>
      </c>
    </row>
    <row r="341" spans="1:29">
      <c r="A341" t="s">
        <v>1284</v>
      </c>
      <c r="B341" s="1">
        <v>45051</v>
      </c>
      <c r="C341" t="s">
        <v>181</v>
      </c>
      <c r="D341" t="s">
        <v>1285</v>
      </c>
      <c r="E341">
        <v>73</v>
      </c>
      <c r="F341" t="s">
        <v>1286</v>
      </c>
      <c r="G341">
        <v>73</v>
      </c>
      <c r="H341">
        <v>399.4169</v>
      </c>
      <c r="N341">
        <v>399.4169</v>
      </c>
      <c r="O341" s="1">
        <v>45020</v>
      </c>
      <c r="P341">
        <f>IF(ISBLANK(ReconciliationData[[#This Row],[Invoice_ID]]),1,0)</f>
        <v>0</v>
      </c>
      <c r="Q341">
        <f>IF(AND(NOT(ISBLANK(ReconciliationData[[#This Row],[Billed_Units]])),ReconciliationData[[#This Row],[ordered_units]]&lt;&gt;ReconciliationData[[#This Row],[Billed_Units]]),1,0)</f>
        <v>0</v>
      </c>
      <c r="R3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">
        <f>IF(AND(NOT(ISBLANK(ReconciliationData[[#This Row],[Contract_Price]])),ReconciliationData[[#This Row],[Billed_Price]]&lt;&gt;ReconciliationData[[#This Row],[Contract_Price]]),1,0)</f>
        <v>0</v>
      </c>
      <c r="T341">
        <f>IF(AND(NOT(ISBLANK(ReconciliationData[[#This Row],[End_Date]])),ReconciliationData[[#This Row],[Order_Date]]&gt;ReconciliationData[[#This Row],[End_Date]]),1,0)</f>
        <v>0</v>
      </c>
      <c r="U341">
        <f>IF(AND(NOT(ISBLANK(ReconciliationData[[#This Row],[last_return_date]])),ReconciliationData[[#This Row],[last_return_date]]&gt;ReconciliationData[[#This Row],[Order_Date]]+60),1,0)</f>
        <v>0</v>
      </c>
      <c r="V341">
        <f>IF(ReconciliationData[[#This Row],[total_returned_units]]&gt;ReconciliationData[[#This Row],[ordered_units]],1,0)</f>
        <v>0</v>
      </c>
      <c r="W3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1">
        <f>ReconciliationData[[#This Row],[Billed_Units]]*ReconciliationData[[#This Row],[Billed_Price]]</f>
        <v>29157.433700000001</v>
      </c>
      <c r="Y341">
        <f>ReconciliationData[[#This Row],[ordered_units]]*ReconciliationData[[#This Row],[List_Price]]</f>
        <v>29157.433700000001</v>
      </c>
      <c r="Z341">
        <f>ReconciliationData[[#This Row],[billed_revenue]]-ReconciliationData[[#This Row],[expected_revenue]]</f>
        <v>0</v>
      </c>
      <c r="AA3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1" t="str">
        <f>IF(ReconciliationData[[#This Row],[severity_score]]=0,"LOW",
 IF(ReconciliationData[[#This Row],[severity_score]]&lt;=5,"MEDIUM","HIGH"))</f>
        <v>LOW</v>
      </c>
      <c r="AC341" t="str">
        <f>TEXT(ReconciliationData[[#This Row],[Order_Date]],"YYYY-MM")</f>
        <v>2023-05</v>
      </c>
    </row>
    <row r="342" spans="1:29">
      <c r="A342" t="s">
        <v>1287</v>
      </c>
      <c r="B342" s="1">
        <v>45433</v>
      </c>
      <c r="C342" t="s">
        <v>1288</v>
      </c>
      <c r="D342" t="s">
        <v>345</v>
      </c>
      <c r="E342">
        <v>179</v>
      </c>
      <c r="F342" t="s">
        <v>1289</v>
      </c>
      <c r="G342">
        <v>179</v>
      </c>
      <c r="H342">
        <v>580.38720000000001</v>
      </c>
      <c r="N342">
        <v>580.38720000000001</v>
      </c>
      <c r="O342" s="1">
        <v>45180</v>
      </c>
      <c r="P342">
        <f>IF(ISBLANK(ReconciliationData[[#This Row],[Invoice_ID]]),1,0)</f>
        <v>0</v>
      </c>
      <c r="Q342">
        <f>IF(AND(NOT(ISBLANK(ReconciliationData[[#This Row],[Billed_Units]])),ReconciliationData[[#This Row],[ordered_units]]&lt;&gt;ReconciliationData[[#This Row],[Billed_Units]]),1,0)</f>
        <v>0</v>
      </c>
      <c r="R3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">
        <f>IF(AND(NOT(ISBLANK(ReconciliationData[[#This Row],[Contract_Price]])),ReconciliationData[[#This Row],[Billed_Price]]&lt;&gt;ReconciliationData[[#This Row],[Contract_Price]]),1,0)</f>
        <v>0</v>
      </c>
      <c r="T342">
        <f>IF(AND(NOT(ISBLANK(ReconciliationData[[#This Row],[End_Date]])),ReconciliationData[[#This Row],[Order_Date]]&gt;ReconciliationData[[#This Row],[End_Date]]),1,0)</f>
        <v>0</v>
      </c>
      <c r="U342">
        <f>IF(AND(NOT(ISBLANK(ReconciliationData[[#This Row],[last_return_date]])),ReconciliationData[[#This Row],[last_return_date]]&gt;ReconciliationData[[#This Row],[Order_Date]]+60),1,0)</f>
        <v>0</v>
      </c>
      <c r="V342">
        <f>IF(ReconciliationData[[#This Row],[total_returned_units]]&gt;ReconciliationData[[#This Row],[ordered_units]],1,0)</f>
        <v>0</v>
      </c>
      <c r="W3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2">
        <f>ReconciliationData[[#This Row],[Billed_Units]]*ReconciliationData[[#This Row],[Billed_Price]]</f>
        <v>103889.3088</v>
      </c>
      <c r="Y342">
        <f>ReconciliationData[[#This Row],[ordered_units]]*ReconciliationData[[#This Row],[List_Price]]</f>
        <v>103889.3088</v>
      </c>
      <c r="Z342">
        <f>ReconciliationData[[#This Row],[billed_revenue]]-ReconciliationData[[#This Row],[expected_revenue]]</f>
        <v>0</v>
      </c>
      <c r="AA3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2" t="str">
        <f>IF(ReconciliationData[[#This Row],[severity_score]]=0,"LOW",
 IF(ReconciliationData[[#This Row],[severity_score]]&lt;=5,"MEDIUM","HIGH"))</f>
        <v>LOW</v>
      </c>
      <c r="AC342" t="str">
        <f>TEXT(ReconciliationData[[#This Row],[Order_Date]],"YYYY-MM")</f>
        <v>2024-05</v>
      </c>
    </row>
    <row r="343" spans="1:29">
      <c r="A343" t="s">
        <v>1290</v>
      </c>
      <c r="B343" s="1">
        <v>44944</v>
      </c>
      <c r="C343" t="s">
        <v>1291</v>
      </c>
      <c r="D343" t="s">
        <v>182</v>
      </c>
      <c r="E343">
        <v>164</v>
      </c>
      <c r="F343" t="s">
        <v>1292</v>
      </c>
      <c r="G343">
        <v>164</v>
      </c>
      <c r="H343">
        <v>725.50320000000011</v>
      </c>
      <c r="N343">
        <v>725.50320000000011</v>
      </c>
      <c r="O343" s="1">
        <v>44858</v>
      </c>
      <c r="P343">
        <f>IF(ISBLANK(ReconciliationData[[#This Row],[Invoice_ID]]),1,0)</f>
        <v>0</v>
      </c>
      <c r="Q343">
        <f>IF(AND(NOT(ISBLANK(ReconciliationData[[#This Row],[Billed_Units]])),ReconciliationData[[#This Row],[ordered_units]]&lt;&gt;ReconciliationData[[#This Row],[Billed_Units]]),1,0)</f>
        <v>0</v>
      </c>
      <c r="R3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">
        <f>IF(AND(NOT(ISBLANK(ReconciliationData[[#This Row],[Contract_Price]])),ReconciliationData[[#This Row],[Billed_Price]]&lt;&gt;ReconciliationData[[#This Row],[Contract_Price]]),1,0)</f>
        <v>0</v>
      </c>
      <c r="T343">
        <f>IF(AND(NOT(ISBLANK(ReconciliationData[[#This Row],[End_Date]])),ReconciliationData[[#This Row],[Order_Date]]&gt;ReconciliationData[[#This Row],[End_Date]]),1,0)</f>
        <v>0</v>
      </c>
      <c r="U343">
        <f>IF(AND(NOT(ISBLANK(ReconciliationData[[#This Row],[last_return_date]])),ReconciliationData[[#This Row],[last_return_date]]&gt;ReconciliationData[[#This Row],[Order_Date]]+60),1,0)</f>
        <v>0</v>
      </c>
      <c r="V343">
        <f>IF(ReconciliationData[[#This Row],[total_returned_units]]&gt;ReconciliationData[[#This Row],[ordered_units]],1,0)</f>
        <v>0</v>
      </c>
      <c r="W3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">
        <f>ReconciliationData[[#This Row],[Billed_Units]]*ReconciliationData[[#This Row],[Billed_Price]]</f>
        <v>118982.52480000001</v>
      </c>
      <c r="Y343">
        <f>ReconciliationData[[#This Row],[ordered_units]]*ReconciliationData[[#This Row],[List_Price]]</f>
        <v>118982.52480000001</v>
      </c>
      <c r="Z343">
        <f>ReconciliationData[[#This Row],[billed_revenue]]-ReconciliationData[[#This Row],[expected_revenue]]</f>
        <v>0</v>
      </c>
      <c r="AA3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" t="str">
        <f>IF(ReconciliationData[[#This Row],[severity_score]]=0,"LOW",
 IF(ReconciliationData[[#This Row],[severity_score]]&lt;=5,"MEDIUM","HIGH"))</f>
        <v>LOW</v>
      </c>
      <c r="AC343" t="str">
        <f>TEXT(ReconciliationData[[#This Row],[Order_Date]],"YYYY-MM")</f>
        <v>2023-01</v>
      </c>
    </row>
    <row r="344" spans="1:29">
      <c r="A344" t="s">
        <v>1293</v>
      </c>
      <c r="B344" s="1">
        <v>45048</v>
      </c>
      <c r="C344" t="s">
        <v>238</v>
      </c>
      <c r="D344" t="s">
        <v>1294</v>
      </c>
      <c r="E344">
        <v>28</v>
      </c>
      <c r="F344" t="s">
        <v>1295</v>
      </c>
      <c r="G344">
        <v>28</v>
      </c>
      <c r="H344">
        <v>793.03560000000004</v>
      </c>
      <c r="I344">
        <v>15</v>
      </c>
      <c r="J344" s="1">
        <v>45352</v>
      </c>
      <c r="N344">
        <v>793.03560000000004</v>
      </c>
      <c r="O344" s="1">
        <v>44892</v>
      </c>
      <c r="P344">
        <f>IF(ISBLANK(ReconciliationData[[#This Row],[Invoice_ID]]),1,0)</f>
        <v>0</v>
      </c>
      <c r="Q344">
        <f>IF(AND(NOT(ISBLANK(ReconciliationData[[#This Row],[Billed_Units]])),ReconciliationData[[#This Row],[ordered_units]]&lt;&gt;ReconciliationData[[#This Row],[Billed_Units]]),1,0)</f>
        <v>0</v>
      </c>
      <c r="R3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">
        <f>IF(AND(NOT(ISBLANK(ReconciliationData[[#This Row],[Contract_Price]])),ReconciliationData[[#This Row],[Billed_Price]]&lt;&gt;ReconciliationData[[#This Row],[Contract_Price]]),1,0)</f>
        <v>0</v>
      </c>
      <c r="T344">
        <f>IF(AND(NOT(ISBLANK(ReconciliationData[[#This Row],[End_Date]])),ReconciliationData[[#This Row],[Order_Date]]&gt;ReconciliationData[[#This Row],[End_Date]]),1,0)</f>
        <v>0</v>
      </c>
      <c r="U344">
        <f>IF(AND(NOT(ISBLANK(ReconciliationData[[#This Row],[last_return_date]])),ReconciliationData[[#This Row],[last_return_date]]&gt;ReconciliationData[[#This Row],[Order_Date]]+60),1,0)</f>
        <v>1</v>
      </c>
      <c r="V344">
        <f>IF(ReconciliationData[[#This Row],[total_returned_units]]&gt;ReconciliationData[[#This Row],[ordered_units]],1,0)</f>
        <v>0</v>
      </c>
      <c r="W3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44">
        <f>ReconciliationData[[#This Row],[Billed_Units]]*ReconciliationData[[#This Row],[Billed_Price]]</f>
        <v>22204.996800000001</v>
      </c>
      <c r="Y344">
        <f>ReconciliationData[[#This Row],[ordered_units]]*ReconciliationData[[#This Row],[List_Price]]</f>
        <v>22204.996800000001</v>
      </c>
      <c r="Z344">
        <f>ReconciliationData[[#This Row],[billed_revenue]]-ReconciliationData[[#This Row],[expected_revenue]]</f>
        <v>0</v>
      </c>
      <c r="AA3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44" t="str">
        <f>IF(ReconciliationData[[#This Row],[severity_score]]=0,"LOW",
 IF(ReconciliationData[[#This Row],[severity_score]]&lt;=5,"MEDIUM","HIGH"))</f>
        <v>MEDIUM</v>
      </c>
      <c r="AC344" t="str">
        <f>TEXT(ReconciliationData[[#This Row],[Order_Date]],"YYYY-MM")</f>
        <v>2023-05</v>
      </c>
    </row>
    <row r="345" spans="1:29">
      <c r="A345" t="s">
        <v>1296</v>
      </c>
      <c r="B345" s="1">
        <v>45442</v>
      </c>
      <c r="C345" t="s">
        <v>1297</v>
      </c>
      <c r="D345" t="s">
        <v>1298</v>
      </c>
      <c r="E345">
        <v>58</v>
      </c>
      <c r="F345" t="s">
        <v>1299</v>
      </c>
      <c r="G345">
        <v>58</v>
      </c>
      <c r="H345">
        <v>1099.82</v>
      </c>
      <c r="N345">
        <v>1099.82</v>
      </c>
      <c r="O345" s="1">
        <v>44962</v>
      </c>
      <c r="P345">
        <f>IF(ISBLANK(ReconciliationData[[#This Row],[Invoice_ID]]),1,0)</f>
        <v>0</v>
      </c>
      <c r="Q345">
        <f>IF(AND(NOT(ISBLANK(ReconciliationData[[#This Row],[Billed_Units]])),ReconciliationData[[#This Row],[ordered_units]]&lt;&gt;ReconciliationData[[#This Row],[Billed_Units]]),1,0)</f>
        <v>0</v>
      </c>
      <c r="R3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">
        <f>IF(AND(NOT(ISBLANK(ReconciliationData[[#This Row],[Contract_Price]])),ReconciliationData[[#This Row],[Billed_Price]]&lt;&gt;ReconciliationData[[#This Row],[Contract_Price]]),1,0)</f>
        <v>0</v>
      </c>
      <c r="T345">
        <f>IF(AND(NOT(ISBLANK(ReconciliationData[[#This Row],[End_Date]])),ReconciliationData[[#This Row],[Order_Date]]&gt;ReconciliationData[[#This Row],[End_Date]]),1,0)</f>
        <v>0</v>
      </c>
      <c r="U345">
        <f>IF(AND(NOT(ISBLANK(ReconciliationData[[#This Row],[last_return_date]])),ReconciliationData[[#This Row],[last_return_date]]&gt;ReconciliationData[[#This Row],[Order_Date]]+60),1,0)</f>
        <v>0</v>
      </c>
      <c r="V345">
        <f>IF(ReconciliationData[[#This Row],[total_returned_units]]&gt;ReconciliationData[[#This Row],[ordered_units]],1,0)</f>
        <v>0</v>
      </c>
      <c r="W3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">
        <f>ReconciliationData[[#This Row],[Billed_Units]]*ReconciliationData[[#This Row],[Billed_Price]]</f>
        <v>63789.56</v>
      </c>
      <c r="Y345">
        <f>ReconciliationData[[#This Row],[ordered_units]]*ReconciliationData[[#This Row],[List_Price]]</f>
        <v>63789.56</v>
      </c>
      <c r="Z345">
        <f>ReconciliationData[[#This Row],[billed_revenue]]-ReconciliationData[[#This Row],[expected_revenue]]</f>
        <v>0</v>
      </c>
      <c r="AA3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" t="str">
        <f>IF(ReconciliationData[[#This Row],[severity_score]]=0,"LOW",
 IF(ReconciliationData[[#This Row],[severity_score]]&lt;=5,"MEDIUM","HIGH"))</f>
        <v>LOW</v>
      </c>
      <c r="AC345" t="str">
        <f>TEXT(ReconciliationData[[#This Row],[Order_Date]],"YYYY-MM")</f>
        <v>2024-05</v>
      </c>
    </row>
    <row r="346" spans="1:29">
      <c r="A346" t="s">
        <v>1300</v>
      </c>
      <c r="B346" s="1">
        <v>45059</v>
      </c>
      <c r="C346" t="s">
        <v>1301</v>
      </c>
      <c r="D346" t="s">
        <v>1235</v>
      </c>
      <c r="E346">
        <v>18</v>
      </c>
      <c r="F346" t="s">
        <v>1302</v>
      </c>
      <c r="G346">
        <v>18</v>
      </c>
      <c r="H346">
        <v>892.55520000000013</v>
      </c>
      <c r="N346">
        <v>892.55520000000013</v>
      </c>
      <c r="O346" s="1">
        <v>44985</v>
      </c>
      <c r="P346">
        <f>IF(ISBLANK(ReconciliationData[[#This Row],[Invoice_ID]]),1,0)</f>
        <v>0</v>
      </c>
      <c r="Q346">
        <f>IF(AND(NOT(ISBLANK(ReconciliationData[[#This Row],[Billed_Units]])),ReconciliationData[[#This Row],[ordered_units]]&lt;&gt;ReconciliationData[[#This Row],[Billed_Units]]),1,0)</f>
        <v>0</v>
      </c>
      <c r="R3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">
        <f>IF(AND(NOT(ISBLANK(ReconciliationData[[#This Row],[Contract_Price]])),ReconciliationData[[#This Row],[Billed_Price]]&lt;&gt;ReconciliationData[[#This Row],[Contract_Price]]),1,0)</f>
        <v>0</v>
      </c>
      <c r="T346">
        <f>IF(AND(NOT(ISBLANK(ReconciliationData[[#This Row],[End_Date]])),ReconciliationData[[#This Row],[Order_Date]]&gt;ReconciliationData[[#This Row],[End_Date]]),1,0)</f>
        <v>0</v>
      </c>
      <c r="U346">
        <f>IF(AND(NOT(ISBLANK(ReconciliationData[[#This Row],[last_return_date]])),ReconciliationData[[#This Row],[last_return_date]]&gt;ReconciliationData[[#This Row],[Order_Date]]+60),1,0)</f>
        <v>0</v>
      </c>
      <c r="V346">
        <f>IF(ReconciliationData[[#This Row],[total_returned_units]]&gt;ReconciliationData[[#This Row],[ordered_units]],1,0)</f>
        <v>0</v>
      </c>
      <c r="W3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">
        <f>ReconciliationData[[#This Row],[Billed_Units]]*ReconciliationData[[#This Row],[Billed_Price]]</f>
        <v>16065.993600000002</v>
      </c>
      <c r="Y346">
        <f>ReconciliationData[[#This Row],[ordered_units]]*ReconciliationData[[#This Row],[List_Price]]</f>
        <v>16065.993600000002</v>
      </c>
      <c r="Z346">
        <f>ReconciliationData[[#This Row],[billed_revenue]]-ReconciliationData[[#This Row],[expected_revenue]]</f>
        <v>0</v>
      </c>
      <c r="AA3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" t="str">
        <f>IF(ReconciliationData[[#This Row],[severity_score]]=0,"LOW",
 IF(ReconciliationData[[#This Row],[severity_score]]&lt;=5,"MEDIUM","HIGH"))</f>
        <v>LOW</v>
      </c>
      <c r="AC346" t="str">
        <f>TEXT(ReconciliationData[[#This Row],[Order_Date]],"YYYY-MM")</f>
        <v>2023-05</v>
      </c>
    </row>
    <row r="347" spans="1:29">
      <c r="A347" t="s">
        <v>1303</v>
      </c>
      <c r="B347" s="1">
        <v>45516</v>
      </c>
      <c r="C347" t="s">
        <v>1304</v>
      </c>
      <c r="D347" t="s">
        <v>1305</v>
      </c>
      <c r="E347">
        <v>127</v>
      </c>
      <c r="F347" t="s">
        <v>1306</v>
      </c>
      <c r="G347">
        <v>127</v>
      </c>
      <c r="H347">
        <v>250.3184</v>
      </c>
      <c r="N347">
        <v>250.3184</v>
      </c>
      <c r="O347" s="1">
        <v>45212</v>
      </c>
      <c r="P347">
        <f>IF(ISBLANK(ReconciliationData[[#This Row],[Invoice_ID]]),1,0)</f>
        <v>0</v>
      </c>
      <c r="Q347">
        <f>IF(AND(NOT(ISBLANK(ReconciliationData[[#This Row],[Billed_Units]])),ReconciliationData[[#This Row],[ordered_units]]&lt;&gt;ReconciliationData[[#This Row],[Billed_Units]]),1,0)</f>
        <v>0</v>
      </c>
      <c r="R3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7">
        <f>IF(AND(NOT(ISBLANK(ReconciliationData[[#This Row],[Contract_Price]])),ReconciliationData[[#This Row],[Billed_Price]]&lt;&gt;ReconciliationData[[#This Row],[Contract_Price]]),1,0)</f>
        <v>0</v>
      </c>
      <c r="T347">
        <f>IF(AND(NOT(ISBLANK(ReconciliationData[[#This Row],[End_Date]])),ReconciliationData[[#This Row],[Order_Date]]&gt;ReconciliationData[[#This Row],[End_Date]]),1,0)</f>
        <v>0</v>
      </c>
      <c r="U347">
        <f>IF(AND(NOT(ISBLANK(ReconciliationData[[#This Row],[last_return_date]])),ReconciliationData[[#This Row],[last_return_date]]&gt;ReconciliationData[[#This Row],[Order_Date]]+60),1,0)</f>
        <v>0</v>
      </c>
      <c r="V347">
        <f>IF(ReconciliationData[[#This Row],[total_returned_units]]&gt;ReconciliationData[[#This Row],[ordered_units]],1,0)</f>
        <v>0</v>
      </c>
      <c r="W3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7">
        <f>ReconciliationData[[#This Row],[Billed_Units]]*ReconciliationData[[#This Row],[Billed_Price]]</f>
        <v>31790.436799999999</v>
      </c>
      <c r="Y347">
        <f>ReconciliationData[[#This Row],[ordered_units]]*ReconciliationData[[#This Row],[List_Price]]</f>
        <v>31790.436799999999</v>
      </c>
      <c r="Z347">
        <f>ReconciliationData[[#This Row],[billed_revenue]]-ReconciliationData[[#This Row],[expected_revenue]]</f>
        <v>0</v>
      </c>
      <c r="AA3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7" t="str">
        <f>IF(ReconciliationData[[#This Row],[severity_score]]=0,"LOW",
 IF(ReconciliationData[[#This Row],[severity_score]]&lt;=5,"MEDIUM","HIGH"))</f>
        <v>LOW</v>
      </c>
      <c r="AC347" t="str">
        <f>TEXT(ReconciliationData[[#This Row],[Order_Date]],"YYYY-MM")</f>
        <v>2024-08</v>
      </c>
    </row>
    <row r="348" spans="1:29">
      <c r="A348" t="s">
        <v>1307</v>
      </c>
      <c r="B348" s="1">
        <v>45525</v>
      </c>
      <c r="C348" t="s">
        <v>1308</v>
      </c>
      <c r="D348" t="s">
        <v>1309</v>
      </c>
      <c r="E348">
        <v>149</v>
      </c>
      <c r="F348" t="s">
        <v>1310</v>
      </c>
      <c r="G348">
        <v>149</v>
      </c>
      <c r="H348">
        <v>906.88919999999996</v>
      </c>
      <c r="N348">
        <v>906.88919999999996</v>
      </c>
      <c r="O348" s="1">
        <v>44991</v>
      </c>
      <c r="P348">
        <f>IF(ISBLANK(ReconciliationData[[#This Row],[Invoice_ID]]),1,0)</f>
        <v>0</v>
      </c>
      <c r="Q348">
        <f>IF(AND(NOT(ISBLANK(ReconciliationData[[#This Row],[Billed_Units]])),ReconciliationData[[#This Row],[ordered_units]]&lt;&gt;ReconciliationData[[#This Row],[Billed_Units]]),1,0)</f>
        <v>0</v>
      </c>
      <c r="R3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8">
        <f>IF(AND(NOT(ISBLANK(ReconciliationData[[#This Row],[Contract_Price]])),ReconciliationData[[#This Row],[Billed_Price]]&lt;&gt;ReconciliationData[[#This Row],[Contract_Price]]),1,0)</f>
        <v>0</v>
      </c>
      <c r="T348">
        <f>IF(AND(NOT(ISBLANK(ReconciliationData[[#This Row],[End_Date]])),ReconciliationData[[#This Row],[Order_Date]]&gt;ReconciliationData[[#This Row],[End_Date]]),1,0)</f>
        <v>0</v>
      </c>
      <c r="U348">
        <f>IF(AND(NOT(ISBLANK(ReconciliationData[[#This Row],[last_return_date]])),ReconciliationData[[#This Row],[last_return_date]]&gt;ReconciliationData[[#This Row],[Order_Date]]+60),1,0)</f>
        <v>0</v>
      </c>
      <c r="V348">
        <f>IF(ReconciliationData[[#This Row],[total_returned_units]]&gt;ReconciliationData[[#This Row],[ordered_units]],1,0)</f>
        <v>0</v>
      </c>
      <c r="W3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8">
        <f>ReconciliationData[[#This Row],[Billed_Units]]*ReconciliationData[[#This Row],[Billed_Price]]</f>
        <v>135126.4908</v>
      </c>
      <c r="Y348">
        <f>ReconciliationData[[#This Row],[ordered_units]]*ReconciliationData[[#This Row],[List_Price]]</f>
        <v>135126.4908</v>
      </c>
      <c r="Z348">
        <f>ReconciliationData[[#This Row],[billed_revenue]]-ReconciliationData[[#This Row],[expected_revenue]]</f>
        <v>0</v>
      </c>
      <c r="AA3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8" t="str">
        <f>IF(ReconciliationData[[#This Row],[severity_score]]=0,"LOW",
 IF(ReconciliationData[[#This Row],[severity_score]]&lt;=5,"MEDIUM","HIGH"))</f>
        <v>LOW</v>
      </c>
      <c r="AC348" t="str">
        <f>TEXT(ReconciliationData[[#This Row],[Order_Date]],"YYYY-MM")</f>
        <v>2024-08</v>
      </c>
    </row>
    <row r="349" spans="1:29">
      <c r="A349" t="s">
        <v>1311</v>
      </c>
      <c r="B349" s="1">
        <v>45007</v>
      </c>
      <c r="C349" t="s">
        <v>215</v>
      </c>
      <c r="D349" t="s">
        <v>483</v>
      </c>
      <c r="E349">
        <v>133</v>
      </c>
      <c r="F349" t="s">
        <v>1312</v>
      </c>
      <c r="G349">
        <v>133</v>
      </c>
      <c r="H349">
        <v>263.89999999999998</v>
      </c>
      <c r="I349">
        <v>8</v>
      </c>
      <c r="J349" s="1">
        <v>45005</v>
      </c>
      <c r="N349">
        <v>263.89999999999998</v>
      </c>
      <c r="O349" s="1">
        <v>44855</v>
      </c>
      <c r="P349">
        <f>IF(ISBLANK(ReconciliationData[[#This Row],[Invoice_ID]]),1,0)</f>
        <v>0</v>
      </c>
      <c r="Q349">
        <f>IF(AND(NOT(ISBLANK(ReconciliationData[[#This Row],[Billed_Units]])),ReconciliationData[[#This Row],[ordered_units]]&lt;&gt;ReconciliationData[[#This Row],[Billed_Units]]),1,0)</f>
        <v>0</v>
      </c>
      <c r="R3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">
        <f>IF(AND(NOT(ISBLANK(ReconciliationData[[#This Row],[Contract_Price]])),ReconciliationData[[#This Row],[Billed_Price]]&lt;&gt;ReconciliationData[[#This Row],[Contract_Price]]),1,0)</f>
        <v>0</v>
      </c>
      <c r="T349">
        <f>IF(AND(NOT(ISBLANK(ReconciliationData[[#This Row],[End_Date]])),ReconciliationData[[#This Row],[Order_Date]]&gt;ReconciliationData[[#This Row],[End_Date]]),1,0)</f>
        <v>0</v>
      </c>
      <c r="U349">
        <f>IF(AND(NOT(ISBLANK(ReconciliationData[[#This Row],[last_return_date]])),ReconciliationData[[#This Row],[last_return_date]]&gt;ReconciliationData[[#This Row],[Order_Date]]+60),1,0)</f>
        <v>0</v>
      </c>
      <c r="V349">
        <f>IF(ReconciliationData[[#This Row],[total_returned_units]]&gt;ReconciliationData[[#This Row],[ordered_units]],1,0)</f>
        <v>0</v>
      </c>
      <c r="W3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">
        <f>ReconciliationData[[#This Row],[Billed_Units]]*ReconciliationData[[#This Row],[Billed_Price]]</f>
        <v>35098.699999999997</v>
      </c>
      <c r="Y349">
        <f>ReconciliationData[[#This Row],[ordered_units]]*ReconciliationData[[#This Row],[List_Price]]</f>
        <v>35098.699999999997</v>
      </c>
      <c r="Z349">
        <f>ReconciliationData[[#This Row],[billed_revenue]]-ReconciliationData[[#This Row],[expected_revenue]]</f>
        <v>0</v>
      </c>
      <c r="AA3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" t="str">
        <f>IF(ReconciliationData[[#This Row],[severity_score]]=0,"LOW",
 IF(ReconciliationData[[#This Row],[severity_score]]&lt;=5,"MEDIUM","HIGH"))</f>
        <v>LOW</v>
      </c>
      <c r="AC349" t="str">
        <f>TEXT(ReconciliationData[[#This Row],[Order_Date]],"YYYY-MM")</f>
        <v>2023-03</v>
      </c>
    </row>
    <row r="350" spans="1:29">
      <c r="A350" t="s">
        <v>1313</v>
      </c>
      <c r="B350" s="1">
        <v>45357</v>
      </c>
      <c r="C350" t="s">
        <v>1314</v>
      </c>
      <c r="D350" t="s">
        <v>1315</v>
      </c>
      <c r="E350">
        <v>54</v>
      </c>
      <c r="F350" t="s">
        <v>1316</v>
      </c>
      <c r="G350">
        <v>54</v>
      </c>
      <c r="H350">
        <v>334.24649999999997</v>
      </c>
      <c r="N350">
        <v>334.24649999999997</v>
      </c>
      <c r="O350" s="1">
        <v>45125</v>
      </c>
      <c r="P350">
        <f>IF(ISBLANK(ReconciliationData[[#This Row],[Invoice_ID]]),1,0)</f>
        <v>0</v>
      </c>
      <c r="Q350">
        <f>IF(AND(NOT(ISBLANK(ReconciliationData[[#This Row],[Billed_Units]])),ReconciliationData[[#This Row],[ordered_units]]&lt;&gt;ReconciliationData[[#This Row],[Billed_Units]]),1,0)</f>
        <v>0</v>
      </c>
      <c r="R3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0">
        <f>IF(AND(NOT(ISBLANK(ReconciliationData[[#This Row],[Contract_Price]])),ReconciliationData[[#This Row],[Billed_Price]]&lt;&gt;ReconciliationData[[#This Row],[Contract_Price]]),1,0)</f>
        <v>0</v>
      </c>
      <c r="T350">
        <f>IF(AND(NOT(ISBLANK(ReconciliationData[[#This Row],[End_Date]])),ReconciliationData[[#This Row],[Order_Date]]&gt;ReconciliationData[[#This Row],[End_Date]]),1,0)</f>
        <v>0</v>
      </c>
      <c r="U350">
        <f>IF(AND(NOT(ISBLANK(ReconciliationData[[#This Row],[last_return_date]])),ReconciliationData[[#This Row],[last_return_date]]&gt;ReconciliationData[[#This Row],[Order_Date]]+60),1,0)</f>
        <v>0</v>
      </c>
      <c r="V350">
        <f>IF(ReconciliationData[[#This Row],[total_returned_units]]&gt;ReconciliationData[[#This Row],[ordered_units]],1,0)</f>
        <v>0</v>
      </c>
      <c r="W3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0">
        <f>ReconciliationData[[#This Row],[Billed_Units]]*ReconciliationData[[#This Row],[Billed_Price]]</f>
        <v>18049.310999999998</v>
      </c>
      <c r="Y350">
        <f>ReconciliationData[[#This Row],[ordered_units]]*ReconciliationData[[#This Row],[List_Price]]</f>
        <v>18049.310999999998</v>
      </c>
      <c r="Z350">
        <f>ReconciliationData[[#This Row],[billed_revenue]]-ReconciliationData[[#This Row],[expected_revenue]]</f>
        <v>0</v>
      </c>
      <c r="AA3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0" t="str">
        <f>IF(ReconciliationData[[#This Row],[severity_score]]=0,"LOW",
 IF(ReconciliationData[[#This Row],[severity_score]]&lt;=5,"MEDIUM","HIGH"))</f>
        <v>LOW</v>
      </c>
      <c r="AC350" t="str">
        <f>TEXT(ReconciliationData[[#This Row],[Order_Date]],"YYYY-MM")</f>
        <v>2024-03</v>
      </c>
    </row>
    <row r="351" spans="1:29">
      <c r="A351" t="s">
        <v>1317</v>
      </c>
      <c r="B351" s="1">
        <v>45030</v>
      </c>
      <c r="C351" t="s">
        <v>1318</v>
      </c>
      <c r="D351" t="s">
        <v>747</v>
      </c>
      <c r="E351">
        <v>128</v>
      </c>
      <c r="F351" t="s">
        <v>1319</v>
      </c>
      <c r="G351">
        <v>128</v>
      </c>
      <c r="H351">
        <v>58.98</v>
      </c>
      <c r="N351">
        <v>58.98</v>
      </c>
      <c r="O351" s="1">
        <v>44934</v>
      </c>
      <c r="P351">
        <f>IF(ISBLANK(ReconciliationData[[#This Row],[Invoice_ID]]),1,0)</f>
        <v>0</v>
      </c>
      <c r="Q351">
        <f>IF(AND(NOT(ISBLANK(ReconciliationData[[#This Row],[Billed_Units]])),ReconciliationData[[#This Row],[ordered_units]]&lt;&gt;ReconciliationData[[#This Row],[Billed_Units]]),1,0)</f>
        <v>0</v>
      </c>
      <c r="R3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1">
        <f>IF(AND(NOT(ISBLANK(ReconciliationData[[#This Row],[Contract_Price]])),ReconciliationData[[#This Row],[Billed_Price]]&lt;&gt;ReconciliationData[[#This Row],[Contract_Price]]),1,0)</f>
        <v>0</v>
      </c>
      <c r="T351">
        <f>IF(AND(NOT(ISBLANK(ReconciliationData[[#This Row],[End_Date]])),ReconciliationData[[#This Row],[Order_Date]]&gt;ReconciliationData[[#This Row],[End_Date]]),1,0)</f>
        <v>0</v>
      </c>
      <c r="U351">
        <f>IF(AND(NOT(ISBLANK(ReconciliationData[[#This Row],[last_return_date]])),ReconciliationData[[#This Row],[last_return_date]]&gt;ReconciliationData[[#This Row],[Order_Date]]+60),1,0)</f>
        <v>0</v>
      </c>
      <c r="V351">
        <f>IF(ReconciliationData[[#This Row],[total_returned_units]]&gt;ReconciliationData[[#This Row],[ordered_units]],1,0)</f>
        <v>0</v>
      </c>
      <c r="W3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1">
        <f>ReconciliationData[[#This Row],[Billed_Units]]*ReconciliationData[[#This Row],[Billed_Price]]</f>
        <v>7549.44</v>
      </c>
      <c r="Y351">
        <f>ReconciliationData[[#This Row],[ordered_units]]*ReconciliationData[[#This Row],[List_Price]]</f>
        <v>7549.44</v>
      </c>
      <c r="Z351">
        <f>ReconciliationData[[#This Row],[billed_revenue]]-ReconciliationData[[#This Row],[expected_revenue]]</f>
        <v>0</v>
      </c>
      <c r="AA3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1" t="str">
        <f>IF(ReconciliationData[[#This Row],[severity_score]]=0,"LOW",
 IF(ReconciliationData[[#This Row],[severity_score]]&lt;=5,"MEDIUM","HIGH"))</f>
        <v>LOW</v>
      </c>
      <c r="AC351" t="str">
        <f>TEXT(ReconciliationData[[#This Row],[Order_Date]],"YYYY-MM")</f>
        <v>2023-04</v>
      </c>
    </row>
    <row r="352" spans="1:29">
      <c r="A352" t="s">
        <v>1320</v>
      </c>
      <c r="B352" s="1">
        <v>45380</v>
      </c>
      <c r="C352" t="s">
        <v>1321</v>
      </c>
      <c r="D352" t="s">
        <v>1322</v>
      </c>
      <c r="E352">
        <v>195</v>
      </c>
      <c r="F352" t="s">
        <v>1323</v>
      </c>
      <c r="G352">
        <v>195</v>
      </c>
      <c r="H352">
        <v>69.664688016851045</v>
      </c>
      <c r="N352">
        <v>69.45</v>
      </c>
      <c r="O352" s="1">
        <v>45169</v>
      </c>
      <c r="P352">
        <f>IF(ISBLANK(ReconciliationData[[#This Row],[Invoice_ID]]),1,0)</f>
        <v>0</v>
      </c>
      <c r="Q352">
        <f>IF(AND(NOT(ISBLANK(ReconciliationData[[#This Row],[Billed_Units]])),ReconciliationData[[#This Row],[ordered_units]]&lt;&gt;ReconciliationData[[#This Row],[Billed_Units]]),1,0)</f>
        <v>0</v>
      </c>
      <c r="R35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52">
        <f>IF(AND(NOT(ISBLANK(ReconciliationData[[#This Row],[Contract_Price]])),ReconciliationData[[#This Row],[Billed_Price]]&lt;&gt;ReconciliationData[[#This Row],[Contract_Price]]),1,0)</f>
        <v>0</v>
      </c>
      <c r="T352">
        <f>IF(AND(NOT(ISBLANK(ReconciliationData[[#This Row],[End_Date]])),ReconciliationData[[#This Row],[Order_Date]]&gt;ReconciliationData[[#This Row],[End_Date]]),1,0)</f>
        <v>0</v>
      </c>
      <c r="U352">
        <f>IF(AND(NOT(ISBLANK(ReconciliationData[[#This Row],[last_return_date]])),ReconciliationData[[#This Row],[last_return_date]]&gt;ReconciliationData[[#This Row],[Order_Date]]+60),1,0)</f>
        <v>0</v>
      </c>
      <c r="V352">
        <f>IF(ReconciliationData[[#This Row],[total_returned_units]]&gt;ReconciliationData[[#This Row],[ordered_units]],1,0)</f>
        <v>0</v>
      </c>
      <c r="W3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2">
        <f>ReconciliationData[[#This Row],[Billed_Units]]*ReconciliationData[[#This Row],[Billed_Price]]</f>
        <v>13584.614163285954</v>
      </c>
      <c r="Y352">
        <f>ReconciliationData[[#This Row],[ordered_units]]*ReconciliationData[[#This Row],[List_Price]]</f>
        <v>13542.75</v>
      </c>
      <c r="Z352">
        <f>ReconciliationData[[#This Row],[billed_revenue]]-ReconciliationData[[#This Row],[expected_revenue]]</f>
        <v>41.864163285954419</v>
      </c>
      <c r="AA3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52" t="str">
        <f>IF(ReconciliationData[[#This Row],[severity_score]]=0,"LOW",
 IF(ReconciliationData[[#This Row],[severity_score]]&lt;=5,"MEDIUM","HIGH"))</f>
        <v>MEDIUM</v>
      </c>
      <c r="AC352" t="str">
        <f>TEXT(ReconciliationData[[#This Row],[Order_Date]],"YYYY-MM")</f>
        <v>2024-03</v>
      </c>
    </row>
    <row r="353" spans="1:29">
      <c r="A353" t="s">
        <v>1324</v>
      </c>
      <c r="B353" s="1">
        <v>45391</v>
      </c>
      <c r="C353" t="s">
        <v>1325</v>
      </c>
      <c r="D353" t="s">
        <v>1245</v>
      </c>
      <c r="E353">
        <v>109</v>
      </c>
      <c r="F353" t="s">
        <v>1326</v>
      </c>
      <c r="G353">
        <v>109</v>
      </c>
      <c r="H353">
        <v>247.48920000000001</v>
      </c>
      <c r="N353">
        <v>247.48920000000001</v>
      </c>
      <c r="O353" s="1">
        <v>45088</v>
      </c>
      <c r="P353">
        <f>IF(ISBLANK(ReconciliationData[[#This Row],[Invoice_ID]]),1,0)</f>
        <v>0</v>
      </c>
      <c r="Q353">
        <f>IF(AND(NOT(ISBLANK(ReconciliationData[[#This Row],[Billed_Units]])),ReconciliationData[[#This Row],[ordered_units]]&lt;&gt;ReconciliationData[[#This Row],[Billed_Units]]),1,0)</f>
        <v>0</v>
      </c>
      <c r="R3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3">
        <f>IF(AND(NOT(ISBLANK(ReconciliationData[[#This Row],[Contract_Price]])),ReconciliationData[[#This Row],[Billed_Price]]&lt;&gt;ReconciliationData[[#This Row],[Contract_Price]]),1,0)</f>
        <v>0</v>
      </c>
      <c r="T353">
        <f>IF(AND(NOT(ISBLANK(ReconciliationData[[#This Row],[End_Date]])),ReconciliationData[[#This Row],[Order_Date]]&gt;ReconciliationData[[#This Row],[End_Date]]),1,0)</f>
        <v>0</v>
      </c>
      <c r="U353">
        <f>IF(AND(NOT(ISBLANK(ReconciliationData[[#This Row],[last_return_date]])),ReconciliationData[[#This Row],[last_return_date]]&gt;ReconciliationData[[#This Row],[Order_Date]]+60),1,0)</f>
        <v>0</v>
      </c>
      <c r="V353">
        <f>IF(ReconciliationData[[#This Row],[total_returned_units]]&gt;ReconciliationData[[#This Row],[ordered_units]],1,0)</f>
        <v>0</v>
      </c>
      <c r="W3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3">
        <f>ReconciliationData[[#This Row],[Billed_Units]]*ReconciliationData[[#This Row],[Billed_Price]]</f>
        <v>26976.322800000002</v>
      </c>
      <c r="Y353">
        <f>ReconciliationData[[#This Row],[ordered_units]]*ReconciliationData[[#This Row],[List_Price]]</f>
        <v>26976.322800000002</v>
      </c>
      <c r="Z353">
        <f>ReconciliationData[[#This Row],[billed_revenue]]-ReconciliationData[[#This Row],[expected_revenue]]</f>
        <v>0</v>
      </c>
      <c r="AA3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3" t="str">
        <f>IF(ReconciliationData[[#This Row],[severity_score]]=0,"LOW",
 IF(ReconciliationData[[#This Row],[severity_score]]&lt;=5,"MEDIUM","HIGH"))</f>
        <v>LOW</v>
      </c>
      <c r="AC353" t="str">
        <f>TEXT(ReconciliationData[[#This Row],[Order_Date]],"YYYY-MM")</f>
        <v>2024-04</v>
      </c>
    </row>
    <row r="354" spans="1:29">
      <c r="A354" t="s">
        <v>1327</v>
      </c>
      <c r="B354" s="1">
        <v>45435</v>
      </c>
      <c r="C354" t="s">
        <v>1013</v>
      </c>
      <c r="D354" t="s">
        <v>1175</v>
      </c>
      <c r="E354">
        <v>33</v>
      </c>
      <c r="F354" t="s">
        <v>1328</v>
      </c>
      <c r="G354">
        <v>33</v>
      </c>
      <c r="H354">
        <v>589.66600000000005</v>
      </c>
      <c r="N354">
        <v>589.66600000000005</v>
      </c>
      <c r="O354" s="1">
        <v>45218</v>
      </c>
      <c r="P354">
        <f>IF(ISBLANK(ReconciliationData[[#This Row],[Invoice_ID]]),1,0)</f>
        <v>0</v>
      </c>
      <c r="Q354">
        <f>IF(AND(NOT(ISBLANK(ReconciliationData[[#This Row],[Billed_Units]])),ReconciliationData[[#This Row],[ordered_units]]&lt;&gt;ReconciliationData[[#This Row],[Billed_Units]]),1,0)</f>
        <v>0</v>
      </c>
      <c r="R3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">
        <f>IF(AND(NOT(ISBLANK(ReconciliationData[[#This Row],[Contract_Price]])),ReconciliationData[[#This Row],[Billed_Price]]&lt;&gt;ReconciliationData[[#This Row],[Contract_Price]]),1,0)</f>
        <v>0</v>
      </c>
      <c r="T354">
        <f>IF(AND(NOT(ISBLANK(ReconciliationData[[#This Row],[End_Date]])),ReconciliationData[[#This Row],[Order_Date]]&gt;ReconciliationData[[#This Row],[End_Date]]),1,0)</f>
        <v>0</v>
      </c>
      <c r="U354">
        <f>IF(AND(NOT(ISBLANK(ReconciliationData[[#This Row],[last_return_date]])),ReconciliationData[[#This Row],[last_return_date]]&gt;ReconciliationData[[#This Row],[Order_Date]]+60),1,0)</f>
        <v>0</v>
      </c>
      <c r="V354">
        <f>IF(ReconciliationData[[#This Row],[total_returned_units]]&gt;ReconciliationData[[#This Row],[ordered_units]],1,0)</f>
        <v>0</v>
      </c>
      <c r="W3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4">
        <f>ReconciliationData[[#This Row],[Billed_Units]]*ReconciliationData[[#This Row],[Billed_Price]]</f>
        <v>19458.978000000003</v>
      </c>
      <c r="Y354">
        <f>ReconciliationData[[#This Row],[ordered_units]]*ReconciliationData[[#This Row],[List_Price]]</f>
        <v>19458.978000000003</v>
      </c>
      <c r="Z354">
        <f>ReconciliationData[[#This Row],[billed_revenue]]-ReconciliationData[[#This Row],[expected_revenue]]</f>
        <v>0</v>
      </c>
      <c r="AA3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4" t="str">
        <f>IF(ReconciliationData[[#This Row],[severity_score]]=0,"LOW",
 IF(ReconciliationData[[#This Row],[severity_score]]&lt;=5,"MEDIUM","HIGH"))</f>
        <v>LOW</v>
      </c>
      <c r="AC354" t="str">
        <f>TEXT(ReconciliationData[[#This Row],[Order_Date]],"YYYY-MM")</f>
        <v>2024-05</v>
      </c>
    </row>
    <row r="355" spans="1:29">
      <c r="A355" t="s">
        <v>1329</v>
      </c>
      <c r="B355" s="1">
        <v>44979</v>
      </c>
      <c r="C355" t="s">
        <v>1330</v>
      </c>
      <c r="D355" t="s">
        <v>206</v>
      </c>
      <c r="E355">
        <v>119</v>
      </c>
      <c r="F355" t="s">
        <v>1331</v>
      </c>
      <c r="G355">
        <v>119</v>
      </c>
      <c r="H355">
        <v>361.57799999999997</v>
      </c>
      <c r="I355">
        <v>18</v>
      </c>
      <c r="J355" s="1">
        <v>45109</v>
      </c>
      <c r="N355">
        <v>361.57799999999997</v>
      </c>
      <c r="O355" s="1">
        <v>44932</v>
      </c>
      <c r="P355">
        <f>IF(ISBLANK(ReconciliationData[[#This Row],[Invoice_ID]]),1,0)</f>
        <v>0</v>
      </c>
      <c r="Q355">
        <f>IF(AND(NOT(ISBLANK(ReconciliationData[[#This Row],[Billed_Units]])),ReconciliationData[[#This Row],[ordered_units]]&lt;&gt;ReconciliationData[[#This Row],[Billed_Units]]),1,0)</f>
        <v>0</v>
      </c>
      <c r="R3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">
        <f>IF(AND(NOT(ISBLANK(ReconciliationData[[#This Row],[Contract_Price]])),ReconciliationData[[#This Row],[Billed_Price]]&lt;&gt;ReconciliationData[[#This Row],[Contract_Price]]),1,0)</f>
        <v>0</v>
      </c>
      <c r="T355">
        <f>IF(AND(NOT(ISBLANK(ReconciliationData[[#This Row],[End_Date]])),ReconciliationData[[#This Row],[Order_Date]]&gt;ReconciliationData[[#This Row],[End_Date]]),1,0)</f>
        <v>0</v>
      </c>
      <c r="U355">
        <f>IF(AND(NOT(ISBLANK(ReconciliationData[[#This Row],[last_return_date]])),ReconciliationData[[#This Row],[last_return_date]]&gt;ReconciliationData[[#This Row],[Order_Date]]+60),1,0)</f>
        <v>1</v>
      </c>
      <c r="V355">
        <f>IF(ReconciliationData[[#This Row],[total_returned_units]]&gt;ReconciliationData[[#This Row],[ordered_units]],1,0)</f>
        <v>0</v>
      </c>
      <c r="W3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5">
        <f>ReconciliationData[[#This Row],[Billed_Units]]*ReconciliationData[[#This Row],[Billed_Price]]</f>
        <v>43027.781999999999</v>
      </c>
      <c r="Y355">
        <f>ReconciliationData[[#This Row],[ordered_units]]*ReconciliationData[[#This Row],[List_Price]]</f>
        <v>43027.781999999999</v>
      </c>
      <c r="Z355">
        <f>ReconciliationData[[#This Row],[billed_revenue]]-ReconciliationData[[#This Row],[expected_revenue]]</f>
        <v>0</v>
      </c>
      <c r="AA3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55" t="str">
        <f>IF(ReconciliationData[[#This Row],[severity_score]]=0,"LOW",
 IF(ReconciliationData[[#This Row],[severity_score]]&lt;=5,"MEDIUM","HIGH"))</f>
        <v>MEDIUM</v>
      </c>
      <c r="AC355" t="str">
        <f>TEXT(ReconciliationData[[#This Row],[Order_Date]],"YYYY-MM")</f>
        <v>2023-02</v>
      </c>
    </row>
    <row r="356" spans="1:29">
      <c r="A356" t="s">
        <v>1332</v>
      </c>
      <c r="B356" s="1">
        <v>45400</v>
      </c>
      <c r="C356" t="s">
        <v>904</v>
      </c>
      <c r="D356" t="s">
        <v>1333</v>
      </c>
      <c r="E356">
        <v>89</v>
      </c>
      <c r="F356" t="s">
        <v>1334</v>
      </c>
      <c r="G356">
        <v>89</v>
      </c>
      <c r="H356">
        <v>418.93040000000002</v>
      </c>
      <c r="N356">
        <v>418.93040000000002</v>
      </c>
      <c r="O356" s="1">
        <v>45214</v>
      </c>
      <c r="P356">
        <f>IF(ISBLANK(ReconciliationData[[#This Row],[Invoice_ID]]),1,0)</f>
        <v>0</v>
      </c>
      <c r="Q356">
        <f>IF(AND(NOT(ISBLANK(ReconciliationData[[#This Row],[Billed_Units]])),ReconciliationData[[#This Row],[ordered_units]]&lt;&gt;ReconciliationData[[#This Row],[Billed_Units]]),1,0)</f>
        <v>0</v>
      </c>
      <c r="R3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">
        <f>IF(AND(NOT(ISBLANK(ReconciliationData[[#This Row],[Contract_Price]])),ReconciliationData[[#This Row],[Billed_Price]]&lt;&gt;ReconciliationData[[#This Row],[Contract_Price]]),1,0)</f>
        <v>0</v>
      </c>
      <c r="T356">
        <f>IF(AND(NOT(ISBLANK(ReconciliationData[[#This Row],[End_Date]])),ReconciliationData[[#This Row],[Order_Date]]&gt;ReconciliationData[[#This Row],[End_Date]]),1,0)</f>
        <v>0</v>
      </c>
      <c r="U356">
        <f>IF(AND(NOT(ISBLANK(ReconciliationData[[#This Row],[last_return_date]])),ReconciliationData[[#This Row],[last_return_date]]&gt;ReconciliationData[[#This Row],[Order_Date]]+60),1,0)</f>
        <v>0</v>
      </c>
      <c r="V356">
        <f>IF(ReconciliationData[[#This Row],[total_returned_units]]&gt;ReconciliationData[[#This Row],[ordered_units]],1,0)</f>
        <v>0</v>
      </c>
      <c r="W3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">
        <f>ReconciliationData[[#This Row],[Billed_Units]]*ReconciliationData[[#This Row],[Billed_Price]]</f>
        <v>37284.8056</v>
      </c>
      <c r="Y356">
        <f>ReconciliationData[[#This Row],[ordered_units]]*ReconciliationData[[#This Row],[List_Price]]</f>
        <v>37284.8056</v>
      </c>
      <c r="Z356">
        <f>ReconciliationData[[#This Row],[billed_revenue]]-ReconciliationData[[#This Row],[expected_revenue]]</f>
        <v>0</v>
      </c>
      <c r="AA3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" t="str">
        <f>IF(ReconciliationData[[#This Row],[severity_score]]=0,"LOW",
 IF(ReconciliationData[[#This Row],[severity_score]]&lt;=5,"MEDIUM","HIGH"))</f>
        <v>LOW</v>
      </c>
      <c r="AC356" t="str">
        <f>TEXT(ReconciliationData[[#This Row],[Order_Date]],"YYYY-MM")</f>
        <v>2024-04</v>
      </c>
    </row>
    <row r="357" spans="1:29">
      <c r="A357" t="s">
        <v>1335</v>
      </c>
      <c r="B357" s="1">
        <v>45068</v>
      </c>
      <c r="C357" t="s">
        <v>1336</v>
      </c>
      <c r="D357" t="s">
        <v>958</v>
      </c>
      <c r="E357">
        <v>5</v>
      </c>
      <c r="F357" t="s">
        <v>1337</v>
      </c>
      <c r="G357">
        <v>5</v>
      </c>
      <c r="H357">
        <v>147.87150000000003</v>
      </c>
      <c r="N357">
        <v>147.87150000000003</v>
      </c>
      <c r="O357" s="1">
        <v>44972</v>
      </c>
      <c r="P357">
        <f>IF(ISBLANK(ReconciliationData[[#This Row],[Invoice_ID]]),1,0)</f>
        <v>0</v>
      </c>
      <c r="Q357">
        <f>IF(AND(NOT(ISBLANK(ReconciliationData[[#This Row],[Billed_Units]])),ReconciliationData[[#This Row],[ordered_units]]&lt;&gt;ReconciliationData[[#This Row],[Billed_Units]]),1,0)</f>
        <v>0</v>
      </c>
      <c r="R3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7">
        <f>IF(AND(NOT(ISBLANK(ReconciliationData[[#This Row],[Contract_Price]])),ReconciliationData[[#This Row],[Billed_Price]]&lt;&gt;ReconciliationData[[#This Row],[Contract_Price]]),1,0)</f>
        <v>0</v>
      </c>
      <c r="T357">
        <f>IF(AND(NOT(ISBLANK(ReconciliationData[[#This Row],[End_Date]])),ReconciliationData[[#This Row],[Order_Date]]&gt;ReconciliationData[[#This Row],[End_Date]]),1,0)</f>
        <v>0</v>
      </c>
      <c r="U357">
        <f>IF(AND(NOT(ISBLANK(ReconciliationData[[#This Row],[last_return_date]])),ReconciliationData[[#This Row],[last_return_date]]&gt;ReconciliationData[[#This Row],[Order_Date]]+60),1,0)</f>
        <v>0</v>
      </c>
      <c r="V357">
        <f>IF(ReconciliationData[[#This Row],[total_returned_units]]&gt;ReconciliationData[[#This Row],[ordered_units]],1,0)</f>
        <v>0</v>
      </c>
      <c r="W3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7">
        <f>ReconciliationData[[#This Row],[Billed_Units]]*ReconciliationData[[#This Row],[Billed_Price]]</f>
        <v>739.35750000000007</v>
      </c>
      <c r="Y357">
        <f>ReconciliationData[[#This Row],[ordered_units]]*ReconciliationData[[#This Row],[List_Price]]</f>
        <v>739.35750000000007</v>
      </c>
      <c r="Z357">
        <f>ReconciliationData[[#This Row],[billed_revenue]]-ReconciliationData[[#This Row],[expected_revenue]]</f>
        <v>0</v>
      </c>
      <c r="AA3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7" t="str">
        <f>IF(ReconciliationData[[#This Row],[severity_score]]=0,"LOW",
 IF(ReconciliationData[[#This Row],[severity_score]]&lt;=5,"MEDIUM","HIGH"))</f>
        <v>LOW</v>
      </c>
      <c r="AC357" t="str">
        <f>TEXT(ReconciliationData[[#This Row],[Order_Date]],"YYYY-MM")</f>
        <v>2023-05</v>
      </c>
    </row>
    <row r="358" spans="1:29">
      <c r="A358" t="s">
        <v>1338</v>
      </c>
      <c r="B358" s="1">
        <v>45598</v>
      </c>
      <c r="C358" t="s">
        <v>1120</v>
      </c>
      <c r="D358" t="s">
        <v>1339</v>
      </c>
      <c r="E358">
        <v>99</v>
      </c>
      <c r="F358" t="s">
        <v>1340</v>
      </c>
      <c r="G358">
        <v>99</v>
      </c>
      <c r="H358">
        <v>651.14279999999997</v>
      </c>
      <c r="N358">
        <v>651.14279999999997</v>
      </c>
      <c r="O358" s="1">
        <v>45220</v>
      </c>
      <c r="P358">
        <f>IF(ISBLANK(ReconciliationData[[#This Row],[Invoice_ID]]),1,0)</f>
        <v>0</v>
      </c>
      <c r="Q358">
        <f>IF(AND(NOT(ISBLANK(ReconciliationData[[#This Row],[Billed_Units]])),ReconciliationData[[#This Row],[ordered_units]]&lt;&gt;ReconciliationData[[#This Row],[Billed_Units]]),1,0)</f>
        <v>0</v>
      </c>
      <c r="R3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">
        <f>IF(AND(NOT(ISBLANK(ReconciliationData[[#This Row],[Contract_Price]])),ReconciliationData[[#This Row],[Billed_Price]]&lt;&gt;ReconciliationData[[#This Row],[Contract_Price]]),1,0)</f>
        <v>0</v>
      </c>
      <c r="T358">
        <f>IF(AND(NOT(ISBLANK(ReconciliationData[[#This Row],[End_Date]])),ReconciliationData[[#This Row],[Order_Date]]&gt;ReconciliationData[[#This Row],[End_Date]]),1,0)</f>
        <v>0</v>
      </c>
      <c r="U358">
        <f>IF(AND(NOT(ISBLANK(ReconciliationData[[#This Row],[last_return_date]])),ReconciliationData[[#This Row],[last_return_date]]&gt;ReconciliationData[[#This Row],[Order_Date]]+60),1,0)</f>
        <v>0</v>
      </c>
      <c r="V358">
        <f>IF(ReconciliationData[[#This Row],[total_returned_units]]&gt;ReconciliationData[[#This Row],[ordered_units]],1,0)</f>
        <v>0</v>
      </c>
      <c r="W3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">
        <f>ReconciliationData[[#This Row],[Billed_Units]]*ReconciliationData[[#This Row],[Billed_Price]]</f>
        <v>64463.137199999997</v>
      </c>
      <c r="Y358">
        <f>ReconciliationData[[#This Row],[ordered_units]]*ReconciliationData[[#This Row],[List_Price]]</f>
        <v>64463.137199999997</v>
      </c>
      <c r="Z358">
        <f>ReconciliationData[[#This Row],[billed_revenue]]-ReconciliationData[[#This Row],[expected_revenue]]</f>
        <v>0</v>
      </c>
      <c r="AA3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" t="str">
        <f>IF(ReconciliationData[[#This Row],[severity_score]]=0,"LOW",
 IF(ReconciliationData[[#This Row],[severity_score]]&lt;=5,"MEDIUM","HIGH"))</f>
        <v>LOW</v>
      </c>
      <c r="AC358" t="str">
        <f>TEXT(ReconciliationData[[#This Row],[Order_Date]],"YYYY-MM")</f>
        <v>2024-11</v>
      </c>
    </row>
    <row r="359" spans="1:29">
      <c r="A359" t="s">
        <v>1341</v>
      </c>
      <c r="B359" s="1">
        <v>45367</v>
      </c>
      <c r="C359" t="s">
        <v>1342</v>
      </c>
      <c r="D359" t="s">
        <v>419</v>
      </c>
      <c r="E359">
        <v>1</v>
      </c>
      <c r="F359" t="s">
        <v>1343</v>
      </c>
      <c r="G359">
        <v>1</v>
      </c>
      <c r="H359">
        <v>1017.8627536524302</v>
      </c>
      <c r="N359">
        <v>1016.9848</v>
      </c>
      <c r="O359" s="1">
        <v>45033</v>
      </c>
      <c r="P359">
        <f>IF(ISBLANK(ReconciliationData[[#This Row],[Invoice_ID]]),1,0)</f>
        <v>0</v>
      </c>
      <c r="Q359">
        <f>IF(AND(NOT(ISBLANK(ReconciliationData[[#This Row],[Billed_Units]])),ReconciliationData[[#This Row],[ordered_units]]&lt;&gt;ReconciliationData[[#This Row],[Billed_Units]]),1,0)</f>
        <v>0</v>
      </c>
      <c r="R35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59">
        <f>IF(AND(NOT(ISBLANK(ReconciliationData[[#This Row],[Contract_Price]])),ReconciliationData[[#This Row],[Billed_Price]]&lt;&gt;ReconciliationData[[#This Row],[Contract_Price]]),1,0)</f>
        <v>0</v>
      </c>
      <c r="T359">
        <f>IF(AND(NOT(ISBLANK(ReconciliationData[[#This Row],[End_Date]])),ReconciliationData[[#This Row],[Order_Date]]&gt;ReconciliationData[[#This Row],[End_Date]]),1,0)</f>
        <v>0</v>
      </c>
      <c r="U359">
        <f>IF(AND(NOT(ISBLANK(ReconciliationData[[#This Row],[last_return_date]])),ReconciliationData[[#This Row],[last_return_date]]&gt;ReconciliationData[[#This Row],[Order_Date]]+60),1,0)</f>
        <v>0</v>
      </c>
      <c r="V359">
        <f>IF(ReconciliationData[[#This Row],[total_returned_units]]&gt;ReconciliationData[[#This Row],[ordered_units]],1,0)</f>
        <v>0</v>
      </c>
      <c r="W3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9">
        <f>ReconciliationData[[#This Row],[Billed_Units]]*ReconciliationData[[#This Row],[Billed_Price]]</f>
        <v>1017.8627536524302</v>
      </c>
      <c r="Y359">
        <f>ReconciliationData[[#This Row],[ordered_units]]*ReconciliationData[[#This Row],[List_Price]]</f>
        <v>1016.9848</v>
      </c>
      <c r="Z359">
        <f>ReconciliationData[[#This Row],[billed_revenue]]-ReconciliationData[[#This Row],[expected_revenue]]</f>
        <v>0.87795365243027845</v>
      </c>
      <c r="AA3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59" t="str">
        <f>IF(ReconciliationData[[#This Row],[severity_score]]=0,"LOW",
 IF(ReconciliationData[[#This Row],[severity_score]]&lt;=5,"MEDIUM","HIGH"))</f>
        <v>MEDIUM</v>
      </c>
      <c r="AC359" t="str">
        <f>TEXT(ReconciliationData[[#This Row],[Order_Date]],"YYYY-MM")</f>
        <v>2024-03</v>
      </c>
    </row>
    <row r="360" spans="1:29">
      <c r="A360" t="s">
        <v>1344</v>
      </c>
      <c r="B360" s="1">
        <v>45483</v>
      </c>
      <c r="C360" t="s">
        <v>1345</v>
      </c>
      <c r="D360" t="s">
        <v>449</v>
      </c>
      <c r="E360">
        <v>186</v>
      </c>
      <c r="F360" t="s">
        <v>1346</v>
      </c>
      <c r="G360">
        <v>186</v>
      </c>
      <c r="H360">
        <v>1006.5033</v>
      </c>
      <c r="N360">
        <v>1006.5033</v>
      </c>
      <c r="O360" s="1">
        <v>45123</v>
      </c>
      <c r="P360">
        <f>IF(ISBLANK(ReconciliationData[[#This Row],[Invoice_ID]]),1,0)</f>
        <v>0</v>
      </c>
      <c r="Q360">
        <f>IF(AND(NOT(ISBLANK(ReconciliationData[[#This Row],[Billed_Units]])),ReconciliationData[[#This Row],[ordered_units]]&lt;&gt;ReconciliationData[[#This Row],[Billed_Units]]),1,0)</f>
        <v>0</v>
      </c>
      <c r="R3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">
        <f>IF(AND(NOT(ISBLANK(ReconciliationData[[#This Row],[Contract_Price]])),ReconciliationData[[#This Row],[Billed_Price]]&lt;&gt;ReconciliationData[[#This Row],[Contract_Price]]),1,0)</f>
        <v>0</v>
      </c>
      <c r="T360">
        <f>IF(AND(NOT(ISBLANK(ReconciliationData[[#This Row],[End_Date]])),ReconciliationData[[#This Row],[Order_Date]]&gt;ReconciliationData[[#This Row],[End_Date]]),1,0)</f>
        <v>0</v>
      </c>
      <c r="U360">
        <f>IF(AND(NOT(ISBLANK(ReconciliationData[[#This Row],[last_return_date]])),ReconciliationData[[#This Row],[last_return_date]]&gt;ReconciliationData[[#This Row],[Order_Date]]+60),1,0)</f>
        <v>0</v>
      </c>
      <c r="V360">
        <f>IF(ReconciliationData[[#This Row],[total_returned_units]]&gt;ReconciliationData[[#This Row],[ordered_units]],1,0)</f>
        <v>0</v>
      </c>
      <c r="W3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">
        <f>ReconciliationData[[#This Row],[Billed_Units]]*ReconciliationData[[#This Row],[Billed_Price]]</f>
        <v>187209.61379999999</v>
      </c>
      <c r="Y360">
        <f>ReconciliationData[[#This Row],[ordered_units]]*ReconciliationData[[#This Row],[List_Price]]</f>
        <v>187209.61379999999</v>
      </c>
      <c r="Z360">
        <f>ReconciliationData[[#This Row],[billed_revenue]]-ReconciliationData[[#This Row],[expected_revenue]]</f>
        <v>0</v>
      </c>
      <c r="AA3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" t="str">
        <f>IF(ReconciliationData[[#This Row],[severity_score]]=0,"LOW",
 IF(ReconciliationData[[#This Row],[severity_score]]&lt;=5,"MEDIUM","HIGH"))</f>
        <v>LOW</v>
      </c>
      <c r="AC360" t="str">
        <f>TEXT(ReconciliationData[[#This Row],[Order_Date]],"YYYY-MM")</f>
        <v>2024-07</v>
      </c>
    </row>
    <row r="361" spans="1:29">
      <c r="A361" t="s">
        <v>1347</v>
      </c>
      <c r="B361" s="1">
        <v>45216</v>
      </c>
      <c r="C361" t="s">
        <v>1348</v>
      </c>
      <c r="D361" t="s">
        <v>1322</v>
      </c>
      <c r="E361">
        <v>132</v>
      </c>
      <c r="F361" t="s">
        <v>1349</v>
      </c>
      <c r="G361">
        <v>137</v>
      </c>
      <c r="H361">
        <v>69.45</v>
      </c>
      <c r="N361">
        <v>69.45</v>
      </c>
      <c r="O361" s="1">
        <v>45169</v>
      </c>
      <c r="P361">
        <f>IF(ISBLANK(ReconciliationData[[#This Row],[Invoice_ID]]),1,0)</f>
        <v>0</v>
      </c>
      <c r="Q361">
        <f>IF(AND(NOT(ISBLANK(ReconciliationData[[#This Row],[Billed_Units]])),ReconciliationData[[#This Row],[ordered_units]]&lt;&gt;ReconciliationData[[#This Row],[Billed_Units]]),1,0)</f>
        <v>1</v>
      </c>
      <c r="R3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1">
        <f>IF(AND(NOT(ISBLANK(ReconciliationData[[#This Row],[Contract_Price]])),ReconciliationData[[#This Row],[Billed_Price]]&lt;&gt;ReconciliationData[[#This Row],[Contract_Price]]),1,0)</f>
        <v>0</v>
      </c>
      <c r="T361">
        <f>IF(AND(NOT(ISBLANK(ReconciliationData[[#This Row],[End_Date]])),ReconciliationData[[#This Row],[Order_Date]]&gt;ReconciliationData[[#This Row],[End_Date]]),1,0)</f>
        <v>0</v>
      </c>
      <c r="U361">
        <f>IF(AND(NOT(ISBLANK(ReconciliationData[[#This Row],[last_return_date]])),ReconciliationData[[#This Row],[last_return_date]]&gt;ReconciliationData[[#This Row],[Order_Date]]+60),1,0)</f>
        <v>0</v>
      </c>
      <c r="V361">
        <f>IF(ReconciliationData[[#This Row],[total_returned_units]]&gt;ReconciliationData[[#This Row],[ordered_units]],1,0)</f>
        <v>0</v>
      </c>
      <c r="W3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1">
        <f>ReconciliationData[[#This Row],[Billed_Units]]*ReconciliationData[[#This Row],[Billed_Price]]</f>
        <v>9514.65</v>
      </c>
      <c r="Y361">
        <f>ReconciliationData[[#This Row],[ordered_units]]*ReconciliationData[[#This Row],[List_Price]]</f>
        <v>9167.4</v>
      </c>
      <c r="Z361">
        <f>ReconciliationData[[#This Row],[billed_revenue]]-ReconciliationData[[#This Row],[expected_revenue]]</f>
        <v>347.25</v>
      </c>
      <c r="AA3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61" t="str">
        <f>IF(ReconciliationData[[#This Row],[severity_score]]=0,"LOW",
 IF(ReconciliationData[[#This Row],[severity_score]]&lt;=5,"MEDIUM","HIGH"))</f>
        <v>MEDIUM</v>
      </c>
      <c r="AC361" t="str">
        <f>TEXT(ReconciliationData[[#This Row],[Order_Date]],"YYYY-MM")</f>
        <v>2023-10</v>
      </c>
    </row>
    <row r="362" spans="1:29">
      <c r="A362" t="s">
        <v>1350</v>
      </c>
      <c r="B362" s="1">
        <v>45334</v>
      </c>
      <c r="C362" t="s">
        <v>1351</v>
      </c>
      <c r="D362" t="s">
        <v>223</v>
      </c>
      <c r="E362">
        <v>161</v>
      </c>
      <c r="F362" t="s">
        <v>1352</v>
      </c>
      <c r="G362">
        <v>161</v>
      </c>
      <c r="H362">
        <v>561.4076</v>
      </c>
      <c r="N362">
        <v>561.4076</v>
      </c>
      <c r="O362" s="1">
        <v>45006</v>
      </c>
      <c r="P362">
        <f>IF(ISBLANK(ReconciliationData[[#This Row],[Invoice_ID]]),1,0)</f>
        <v>0</v>
      </c>
      <c r="Q362">
        <f>IF(AND(NOT(ISBLANK(ReconciliationData[[#This Row],[Billed_Units]])),ReconciliationData[[#This Row],[ordered_units]]&lt;&gt;ReconciliationData[[#This Row],[Billed_Units]]),1,0)</f>
        <v>0</v>
      </c>
      <c r="R3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">
        <f>IF(AND(NOT(ISBLANK(ReconciliationData[[#This Row],[Contract_Price]])),ReconciliationData[[#This Row],[Billed_Price]]&lt;&gt;ReconciliationData[[#This Row],[Contract_Price]]),1,0)</f>
        <v>0</v>
      </c>
      <c r="T362">
        <f>IF(AND(NOT(ISBLANK(ReconciliationData[[#This Row],[End_Date]])),ReconciliationData[[#This Row],[Order_Date]]&gt;ReconciliationData[[#This Row],[End_Date]]),1,0)</f>
        <v>0</v>
      </c>
      <c r="U362">
        <f>IF(AND(NOT(ISBLANK(ReconciliationData[[#This Row],[last_return_date]])),ReconciliationData[[#This Row],[last_return_date]]&gt;ReconciliationData[[#This Row],[Order_Date]]+60),1,0)</f>
        <v>0</v>
      </c>
      <c r="V362">
        <f>IF(ReconciliationData[[#This Row],[total_returned_units]]&gt;ReconciliationData[[#This Row],[ordered_units]],1,0)</f>
        <v>0</v>
      </c>
      <c r="W3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2">
        <f>ReconciliationData[[#This Row],[Billed_Units]]*ReconciliationData[[#This Row],[Billed_Price]]</f>
        <v>90386.623600000006</v>
      </c>
      <c r="Y362">
        <f>ReconciliationData[[#This Row],[ordered_units]]*ReconciliationData[[#This Row],[List_Price]]</f>
        <v>90386.623600000006</v>
      </c>
      <c r="Z362">
        <f>ReconciliationData[[#This Row],[billed_revenue]]-ReconciliationData[[#This Row],[expected_revenue]]</f>
        <v>0</v>
      </c>
      <c r="AA3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2" t="str">
        <f>IF(ReconciliationData[[#This Row],[severity_score]]=0,"LOW",
 IF(ReconciliationData[[#This Row],[severity_score]]&lt;=5,"MEDIUM","HIGH"))</f>
        <v>LOW</v>
      </c>
      <c r="AC362" t="str">
        <f>TEXT(ReconciliationData[[#This Row],[Order_Date]],"YYYY-MM")</f>
        <v>2024-02</v>
      </c>
    </row>
    <row r="363" spans="1:29">
      <c r="A363" t="s">
        <v>1353</v>
      </c>
      <c r="B363" s="1">
        <v>45359</v>
      </c>
      <c r="C363" t="s">
        <v>478</v>
      </c>
      <c r="D363" t="s">
        <v>1354</v>
      </c>
      <c r="E363">
        <v>130</v>
      </c>
      <c r="F363" t="s">
        <v>1355</v>
      </c>
      <c r="G363">
        <v>130</v>
      </c>
      <c r="H363">
        <v>60.239800000000002</v>
      </c>
      <c r="N363">
        <v>60.239800000000002</v>
      </c>
      <c r="O363" s="1">
        <v>45145</v>
      </c>
      <c r="P363">
        <f>IF(ISBLANK(ReconciliationData[[#This Row],[Invoice_ID]]),1,0)</f>
        <v>0</v>
      </c>
      <c r="Q363">
        <f>IF(AND(NOT(ISBLANK(ReconciliationData[[#This Row],[Billed_Units]])),ReconciliationData[[#This Row],[ordered_units]]&lt;&gt;ReconciliationData[[#This Row],[Billed_Units]]),1,0)</f>
        <v>0</v>
      </c>
      <c r="R3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3">
        <f>IF(AND(NOT(ISBLANK(ReconciliationData[[#This Row],[Contract_Price]])),ReconciliationData[[#This Row],[Billed_Price]]&lt;&gt;ReconciliationData[[#This Row],[Contract_Price]]),1,0)</f>
        <v>0</v>
      </c>
      <c r="T363">
        <f>IF(AND(NOT(ISBLANK(ReconciliationData[[#This Row],[End_Date]])),ReconciliationData[[#This Row],[Order_Date]]&gt;ReconciliationData[[#This Row],[End_Date]]),1,0)</f>
        <v>0</v>
      </c>
      <c r="U363">
        <f>IF(AND(NOT(ISBLANK(ReconciliationData[[#This Row],[last_return_date]])),ReconciliationData[[#This Row],[last_return_date]]&gt;ReconciliationData[[#This Row],[Order_Date]]+60),1,0)</f>
        <v>0</v>
      </c>
      <c r="V363">
        <f>IF(ReconciliationData[[#This Row],[total_returned_units]]&gt;ReconciliationData[[#This Row],[ordered_units]],1,0)</f>
        <v>0</v>
      </c>
      <c r="W3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3">
        <f>ReconciliationData[[#This Row],[Billed_Units]]*ReconciliationData[[#This Row],[Billed_Price]]</f>
        <v>7831.174</v>
      </c>
      <c r="Y363">
        <f>ReconciliationData[[#This Row],[ordered_units]]*ReconciliationData[[#This Row],[List_Price]]</f>
        <v>7831.174</v>
      </c>
      <c r="Z363">
        <f>ReconciliationData[[#This Row],[billed_revenue]]-ReconciliationData[[#This Row],[expected_revenue]]</f>
        <v>0</v>
      </c>
      <c r="AA3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3" t="str">
        <f>IF(ReconciliationData[[#This Row],[severity_score]]=0,"LOW",
 IF(ReconciliationData[[#This Row],[severity_score]]&lt;=5,"MEDIUM","HIGH"))</f>
        <v>LOW</v>
      </c>
      <c r="AC363" t="str">
        <f>TEXT(ReconciliationData[[#This Row],[Order_Date]],"YYYY-MM")</f>
        <v>2024-03</v>
      </c>
    </row>
    <row r="364" spans="1:29">
      <c r="A364" t="s">
        <v>1356</v>
      </c>
      <c r="B364" s="1">
        <v>45204</v>
      </c>
      <c r="C364" t="s">
        <v>1357</v>
      </c>
      <c r="D364" t="s">
        <v>1358</v>
      </c>
      <c r="E364">
        <v>24</v>
      </c>
      <c r="F364" t="s">
        <v>1359</v>
      </c>
      <c r="G364">
        <v>24</v>
      </c>
      <c r="H364">
        <v>940.1952</v>
      </c>
      <c r="N364">
        <v>940.1952</v>
      </c>
      <c r="O364" s="1">
        <v>45058</v>
      </c>
      <c r="P364">
        <f>IF(ISBLANK(ReconciliationData[[#This Row],[Invoice_ID]]),1,0)</f>
        <v>0</v>
      </c>
      <c r="Q364">
        <f>IF(AND(NOT(ISBLANK(ReconciliationData[[#This Row],[Billed_Units]])),ReconciliationData[[#This Row],[ordered_units]]&lt;&gt;ReconciliationData[[#This Row],[Billed_Units]]),1,0)</f>
        <v>0</v>
      </c>
      <c r="R3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">
        <f>IF(AND(NOT(ISBLANK(ReconciliationData[[#This Row],[Contract_Price]])),ReconciliationData[[#This Row],[Billed_Price]]&lt;&gt;ReconciliationData[[#This Row],[Contract_Price]]),1,0)</f>
        <v>0</v>
      </c>
      <c r="T364">
        <f>IF(AND(NOT(ISBLANK(ReconciliationData[[#This Row],[End_Date]])),ReconciliationData[[#This Row],[Order_Date]]&gt;ReconciliationData[[#This Row],[End_Date]]),1,0)</f>
        <v>0</v>
      </c>
      <c r="U364">
        <f>IF(AND(NOT(ISBLANK(ReconciliationData[[#This Row],[last_return_date]])),ReconciliationData[[#This Row],[last_return_date]]&gt;ReconciliationData[[#This Row],[Order_Date]]+60),1,0)</f>
        <v>0</v>
      </c>
      <c r="V364">
        <f>IF(ReconciliationData[[#This Row],[total_returned_units]]&gt;ReconciliationData[[#This Row],[ordered_units]],1,0)</f>
        <v>0</v>
      </c>
      <c r="W3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">
        <f>ReconciliationData[[#This Row],[Billed_Units]]*ReconciliationData[[#This Row],[Billed_Price]]</f>
        <v>22564.684799999999</v>
      </c>
      <c r="Y364">
        <f>ReconciliationData[[#This Row],[ordered_units]]*ReconciliationData[[#This Row],[List_Price]]</f>
        <v>22564.684799999999</v>
      </c>
      <c r="Z364">
        <f>ReconciliationData[[#This Row],[billed_revenue]]-ReconciliationData[[#This Row],[expected_revenue]]</f>
        <v>0</v>
      </c>
      <c r="AA3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" t="str">
        <f>IF(ReconciliationData[[#This Row],[severity_score]]=0,"LOW",
 IF(ReconciliationData[[#This Row],[severity_score]]&lt;=5,"MEDIUM","HIGH"))</f>
        <v>LOW</v>
      </c>
      <c r="AC364" t="str">
        <f>TEXT(ReconciliationData[[#This Row],[Order_Date]],"YYYY-MM")</f>
        <v>2023-10</v>
      </c>
    </row>
    <row r="365" spans="1:29">
      <c r="A365" t="s">
        <v>1360</v>
      </c>
      <c r="B365" s="1">
        <v>45601</v>
      </c>
      <c r="C365" t="s">
        <v>1361</v>
      </c>
      <c r="D365" t="s">
        <v>1362</v>
      </c>
      <c r="E365">
        <v>171</v>
      </c>
      <c r="F365" t="s">
        <v>1363</v>
      </c>
      <c r="G365">
        <v>171</v>
      </c>
      <c r="H365">
        <v>82.749600000000015</v>
      </c>
      <c r="N365">
        <v>82.749600000000015</v>
      </c>
      <c r="O365" s="1">
        <v>45068</v>
      </c>
      <c r="P365">
        <f>IF(ISBLANK(ReconciliationData[[#This Row],[Invoice_ID]]),1,0)</f>
        <v>0</v>
      </c>
      <c r="Q365">
        <f>IF(AND(NOT(ISBLANK(ReconciliationData[[#This Row],[Billed_Units]])),ReconciliationData[[#This Row],[ordered_units]]&lt;&gt;ReconciliationData[[#This Row],[Billed_Units]]),1,0)</f>
        <v>0</v>
      </c>
      <c r="R3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5">
        <f>IF(AND(NOT(ISBLANK(ReconciliationData[[#This Row],[Contract_Price]])),ReconciliationData[[#This Row],[Billed_Price]]&lt;&gt;ReconciliationData[[#This Row],[Contract_Price]]),1,0)</f>
        <v>0</v>
      </c>
      <c r="T365">
        <f>IF(AND(NOT(ISBLANK(ReconciliationData[[#This Row],[End_Date]])),ReconciliationData[[#This Row],[Order_Date]]&gt;ReconciliationData[[#This Row],[End_Date]]),1,0)</f>
        <v>0</v>
      </c>
      <c r="U365">
        <f>IF(AND(NOT(ISBLANK(ReconciliationData[[#This Row],[last_return_date]])),ReconciliationData[[#This Row],[last_return_date]]&gt;ReconciliationData[[#This Row],[Order_Date]]+60),1,0)</f>
        <v>0</v>
      </c>
      <c r="V365">
        <f>IF(ReconciliationData[[#This Row],[total_returned_units]]&gt;ReconciliationData[[#This Row],[ordered_units]],1,0)</f>
        <v>0</v>
      </c>
      <c r="W3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5">
        <f>ReconciliationData[[#This Row],[Billed_Units]]*ReconciliationData[[#This Row],[Billed_Price]]</f>
        <v>14150.181600000002</v>
      </c>
      <c r="Y365">
        <f>ReconciliationData[[#This Row],[ordered_units]]*ReconciliationData[[#This Row],[List_Price]]</f>
        <v>14150.181600000002</v>
      </c>
      <c r="Z365">
        <f>ReconciliationData[[#This Row],[billed_revenue]]-ReconciliationData[[#This Row],[expected_revenue]]</f>
        <v>0</v>
      </c>
      <c r="AA3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5" t="str">
        <f>IF(ReconciliationData[[#This Row],[severity_score]]=0,"LOW",
 IF(ReconciliationData[[#This Row],[severity_score]]&lt;=5,"MEDIUM","HIGH"))</f>
        <v>LOW</v>
      </c>
      <c r="AC365" t="str">
        <f>TEXT(ReconciliationData[[#This Row],[Order_Date]],"YYYY-MM")</f>
        <v>2024-11</v>
      </c>
    </row>
    <row r="366" spans="1:29">
      <c r="A366" t="s">
        <v>1364</v>
      </c>
      <c r="B366" s="1">
        <v>45591</v>
      </c>
      <c r="C366" t="s">
        <v>683</v>
      </c>
      <c r="D366" t="s">
        <v>146</v>
      </c>
      <c r="E366">
        <v>119</v>
      </c>
      <c r="F366" t="s">
        <v>1365</v>
      </c>
      <c r="G366">
        <v>128</v>
      </c>
      <c r="H366">
        <v>849.43949999999995</v>
      </c>
      <c r="N366">
        <v>849.43949999999995</v>
      </c>
      <c r="O366" s="1">
        <v>45114</v>
      </c>
      <c r="P366">
        <f>IF(ISBLANK(ReconciliationData[[#This Row],[Invoice_ID]]),1,0)</f>
        <v>0</v>
      </c>
      <c r="Q366">
        <f>IF(AND(NOT(ISBLANK(ReconciliationData[[#This Row],[Billed_Units]])),ReconciliationData[[#This Row],[ordered_units]]&lt;&gt;ReconciliationData[[#This Row],[Billed_Units]]),1,0)</f>
        <v>1</v>
      </c>
      <c r="R3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">
        <f>IF(AND(NOT(ISBLANK(ReconciliationData[[#This Row],[Contract_Price]])),ReconciliationData[[#This Row],[Billed_Price]]&lt;&gt;ReconciliationData[[#This Row],[Contract_Price]]),1,0)</f>
        <v>0</v>
      </c>
      <c r="T366">
        <f>IF(AND(NOT(ISBLANK(ReconciliationData[[#This Row],[End_Date]])),ReconciliationData[[#This Row],[Order_Date]]&gt;ReconciliationData[[#This Row],[End_Date]]),1,0)</f>
        <v>0</v>
      </c>
      <c r="U366">
        <f>IF(AND(NOT(ISBLANK(ReconciliationData[[#This Row],[last_return_date]])),ReconciliationData[[#This Row],[last_return_date]]&gt;ReconciliationData[[#This Row],[Order_Date]]+60),1,0)</f>
        <v>0</v>
      </c>
      <c r="V366">
        <f>IF(ReconciliationData[[#This Row],[total_returned_units]]&gt;ReconciliationData[[#This Row],[ordered_units]],1,0)</f>
        <v>0</v>
      </c>
      <c r="W3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6">
        <f>ReconciliationData[[#This Row],[Billed_Units]]*ReconciliationData[[#This Row],[Billed_Price]]</f>
        <v>108728.25599999999</v>
      </c>
      <c r="Y366">
        <f>ReconciliationData[[#This Row],[ordered_units]]*ReconciliationData[[#This Row],[List_Price]]</f>
        <v>101083.3005</v>
      </c>
      <c r="Z366">
        <f>ReconciliationData[[#This Row],[billed_revenue]]-ReconciliationData[[#This Row],[expected_revenue]]</f>
        <v>7644.9554999999964</v>
      </c>
      <c r="AA3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66" t="str">
        <f>IF(ReconciliationData[[#This Row],[severity_score]]=0,"LOW",
 IF(ReconciliationData[[#This Row],[severity_score]]&lt;=5,"MEDIUM","HIGH"))</f>
        <v>HIGH</v>
      </c>
      <c r="AC366" t="str">
        <f>TEXT(ReconciliationData[[#This Row],[Order_Date]],"YYYY-MM")</f>
        <v>2024-10</v>
      </c>
    </row>
    <row r="367" spans="1:29">
      <c r="A367" t="s">
        <v>1366</v>
      </c>
      <c r="B367" s="1">
        <v>45620</v>
      </c>
      <c r="C367" t="s">
        <v>1367</v>
      </c>
      <c r="D367" t="s">
        <v>1273</v>
      </c>
      <c r="E367">
        <v>141</v>
      </c>
      <c r="F367" t="s">
        <v>1368</v>
      </c>
      <c r="G367">
        <v>141</v>
      </c>
      <c r="H367">
        <v>1030.7952</v>
      </c>
      <c r="N367">
        <v>1030.7952</v>
      </c>
      <c r="O367" s="1">
        <v>45154</v>
      </c>
      <c r="P367">
        <f>IF(ISBLANK(ReconciliationData[[#This Row],[Invoice_ID]]),1,0)</f>
        <v>0</v>
      </c>
      <c r="Q367">
        <f>IF(AND(NOT(ISBLANK(ReconciliationData[[#This Row],[Billed_Units]])),ReconciliationData[[#This Row],[ordered_units]]&lt;&gt;ReconciliationData[[#This Row],[Billed_Units]]),1,0)</f>
        <v>0</v>
      </c>
      <c r="R3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">
        <f>IF(AND(NOT(ISBLANK(ReconciliationData[[#This Row],[Contract_Price]])),ReconciliationData[[#This Row],[Billed_Price]]&lt;&gt;ReconciliationData[[#This Row],[Contract_Price]]),1,0)</f>
        <v>0</v>
      </c>
      <c r="T367">
        <f>IF(AND(NOT(ISBLANK(ReconciliationData[[#This Row],[End_Date]])),ReconciliationData[[#This Row],[Order_Date]]&gt;ReconciliationData[[#This Row],[End_Date]]),1,0)</f>
        <v>0</v>
      </c>
      <c r="U367">
        <f>IF(AND(NOT(ISBLANK(ReconciliationData[[#This Row],[last_return_date]])),ReconciliationData[[#This Row],[last_return_date]]&gt;ReconciliationData[[#This Row],[Order_Date]]+60),1,0)</f>
        <v>0</v>
      </c>
      <c r="V367">
        <f>IF(ReconciliationData[[#This Row],[total_returned_units]]&gt;ReconciliationData[[#This Row],[ordered_units]],1,0)</f>
        <v>0</v>
      </c>
      <c r="W3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7">
        <f>ReconciliationData[[#This Row],[Billed_Units]]*ReconciliationData[[#This Row],[Billed_Price]]</f>
        <v>145342.1232</v>
      </c>
      <c r="Y367">
        <f>ReconciliationData[[#This Row],[ordered_units]]*ReconciliationData[[#This Row],[List_Price]]</f>
        <v>145342.1232</v>
      </c>
      <c r="Z367">
        <f>ReconciliationData[[#This Row],[billed_revenue]]-ReconciliationData[[#This Row],[expected_revenue]]</f>
        <v>0</v>
      </c>
      <c r="AA3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7" t="str">
        <f>IF(ReconciliationData[[#This Row],[severity_score]]=0,"LOW",
 IF(ReconciliationData[[#This Row],[severity_score]]&lt;=5,"MEDIUM","HIGH"))</f>
        <v>LOW</v>
      </c>
      <c r="AC367" t="str">
        <f>TEXT(ReconciliationData[[#This Row],[Order_Date]],"YYYY-MM")</f>
        <v>2024-11</v>
      </c>
    </row>
    <row r="368" spans="1:29">
      <c r="A368" t="s">
        <v>1369</v>
      </c>
      <c r="B368" s="1">
        <v>45051</v>
      </c>
      <c r="C368" t="s">
        <v>205</v>
      </c>
      <c r="D368" t="s">
        <v>389</v>
      </c>
      <c r="E368">
        <v>22</v>
      </c>
      <c r="F368" t="s">
        <v>1370</v>
      </c>
      <c r="G368">
        <v>26</v>
      </c>
      <c r="H368">
        <v>782.04880000000003</v>
      </c>
      <c r="N368">
        <v>782.04880000000003</v>
      </c>
      <c r="O368" s="1">
        <v>44996</v>
      </c>
      <c r="P368">
        <f>IF(ISBLANK(ReconciliationData[[#This Row],[Invoice_ID]]),1,0)</f>
        <v>0</v>
      </c>
      <c r="Q368">
        <f>IF(AND(NOT(ISBLANK(ReconciliationData[[#This Row],[Billed_Units]])),ReconciliationData[[#This Row],[ordered_units]]&lt;&gt;ReconciliationData[[#This Row],[Billed_Units]]),1,0)</f>
        <v>1</v>
      </c>
      <c r="R3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">
        <f>IF(AND(NOT(ISBLANK(ReconciliationData[[#This Row],[Contract_Price]])),ReconciliationData[[#This Row],[Billed_Price]]&lt;&gt;ReconciliationData[[#This Row],[Contract_Price]]),1,0)</f>
        <v>0</v>
      </c>
      <c r="T368">
        <f>IF(AND(NOT(ISBLANK(ReconciliationData[[#This Row],[End_Date]])),ReconciliationData[[#This Row],[Order_Date]]&gt;ReconciliationData[[#This Row],[End_Date]]),1,0)</f>
        <v>0</v>
      </c>
      <c r="U368">
        <f>IF(AND(NOT(ISBLANK(ReconciliationData[[#This Row],[last_return_date]])),ReconciliationData[[#This Row],[last_return_date]]&gt;ReconciliationData[[#This Row],[Order_Date]]+60),1,0)</f>
        <v>0</v>
      </c>
      <c r="V368">
        <f>IF(ReconciliationData[[#This Row],[total_returned_units]]&gt;ReconciliationData[[#This Row],[ordered_units]],1,0)</f>
        <v>0</v>
      </c>
      <c r="W3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8">
        <f>ReconciliationData[[#This Row],[Billed_Units]]*ReconciliationData[[#This Row],[Billed_Price]]</f>
        <v>20333.268800000002</v>
      </c>
      <c r="Y368">
        <f>ReconciliationData[[#This Row],[ordered_units]]*ReconciliationData[[#This Row],[List_Price]]</f>
        <v>17205.0736</v>
      </c>
      <c r="Z368">
        <f>ReconciliationData[[#This Row],[billed_revenue]]-ReconciliationData[[#This Row],[expected_revenue]]</f>
        <v>3128.1952000000019</v>
      </c>
      <c r="AA3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68" t="str">
        <f>IF(ReconciliationData[[#This Row],[severity_score]]=0,"LOW",
 IF(ReconciliationData[[#This Row],[severity_score]]&lt;=5,"MEDIUM","HIGH"))</f>
        <v>HIGH</v>
      </c>
      <c r="AC368" t="str">
        <f>TEXT(ReconciliationData[[#This Row],[Order_Date]],"YYYY-MM")</f>
        <v>2023-05</v>
      </c>
    </row>
    <row r="369" spans="1:29">
      <c r="A369" t="s">
        <v>1371</v>
      </c>
      <c r="B369" s="1">
        <v>45138</v>
      </c>
      <c r="C369" t="s">
        <v>1372</v>
      </c>
      <c r="D369" t="s">
        <v>525</v>
      </c>
      <c r="E369">
        <v>186</v>
      </c>
      <c r="F369" t="s">
        <v>1373</v>
      </c>
      <c r="G369">
        <v>186</v>
      </c>
      <c r="H369">
        <v>251.7174</v>
      </c>
      <c r="N369">
        <v>251.7174</v>
      </c>
      <c r="O369" s="1">
        <v>44882</v>
      </c>
      <c r="P369">
        <f>IF(ISBLANK(ReconciliationData[[#This Row],[Invoice_ID]]),1,0)</f>
        <v>0</v>
      </c>
      <c r="Q369">
        <f>IF(AND(NOT(ISBLANK(ReconciliationData[[#This Row],[Billed_Units]])),ReconciliationData[[#This Row],[ordered_units]]&lt;&gt;ReconciliationData[[#This Row],[Billed_Units]]),1,0)</f>
        <v>0</v>
      </c>
      <c r="R3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9">
        <f>IF(AND(NOT(ISBLANK(ReconciliationData[[#This Row],[Contract_Price]])),ReconciliationData[[#This Row],[Billed_Price]]&lt;&gt;ReconciliationData[[#This Row],[Contract_Price]]),1,0)</f>
        <v>0</v>
      </c>
      <c r="T369">
        <f>IF(AND(NOT(ISBLANK(ReconciliationData[[#This Row],[End_Date]])),ReconciliationData[[#This Row],[Order_Date]]&gt;ReconciliationData[[#This Row],[End_Date]]),1,0)</f>
        <v>0</v>
      </c>
      <c r="U369">
        <f>IF(AND(NOT(ISBLANK(ReconciliationData[[#This Row],[last_return_date]])),ReconciliationData[[#This Row],[last_return_date]]&gt;ReconciliationData[[#This Row],[Order_Date]]+60),1,0)</f>
        <v>0</v>
      </c>
      <c r="V369">
        <f>IF(ReconciliationData[[#This Row],[total_returned_units]]&gt;ReconciliationData[[#This Row],[ordered_units]],1,0)</f>
        <v>0</v>
      </c>
      <c r="W3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9">
        <f>ReconciliationData[[#This Row],[Billed_Units]]*ReconciliationData[[#This Row],[Billed_Price]]</f>
        <v>46819.436399999999</v>
      </c>
      <c r="Y369">
        <f>ReconciliationData[[#This Row],[ordered_units]]*ReconciliationData[[#This Row],[List_Price]]</f>
        <v>46819.436399999999</v>
      </c>
      <c r="Z369">
        <f>ReconciliationData[[#This Row],[billed_revenue]]-ReconciliationData[[#This Row],[expected_revenue]]</f>
        <v>0</v>
      </c>
      <c r="AA3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9" t="str">
        <f>IF(ReconciliationData[[#This Row],[severity_score]]=0,"LOW",
 IF(ReconciliationData[[#This Row],[severity_score]]&lt;=5,"MEDIUM","HIGH"))</f>
        <v>LOW</v>
      </c>
      <c r="AC369" t="str">
        <f>TEXT(ReconciliationData[[#This Row],[Order_Date]],"YYYY-MM")</f>
        <v>2023-07</v>
      </c>
    </row>
    <row r="370" spans="1:29">
      <c r="A370" t="s">
        <v>1374</v>
      </c>
      <c r="B370" s="1">
        <v>45108</v>
      </c>
      <c r="C370" t="s">
        <v>1375</v>
      </c>
      <c r="D370" t="s">
        <v>556</v>
      </c>
      <c r="E370">
        <v>37</v>
      </c>
      <c r="F370" t="s">
        <v>1376</v>
      </c>
      <c r="G370">
        <v>36</v>
      </c>
      <c r="H370">
        <v>664.57040000000006</v>
      </c>
      <c r="N370">
        <v>664.57040000000006</v>
      </c>
      <c r="O370" s="1">
        <v>45066</v>
      </c>
      <c r="P370">
        <f>IF(ISBLANK(ReconciliationData[[#This Row],[Invoice_ID]]),1,0)</f>
        <v>0</v>
      </c>
      <c r="Q370">
        <f>IF(AND(NOT(ISBLANK(ReconciliationData[[#This Row],[Billed_Units]])),ReconciliationData[[#This Row],[ordered_units]]&lt;&gt;ReconciliationData[[#This Row],[Billed_Units]]),1,0)</f>
        <v>1</v>
      </c>
      <c r="R3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0">
        <f>IF(AND(NOT(ISBLANK(ReconciliationData[[#This Row],[Contract_Price]])),ReconciliationData[[#This Row],[Billed_Price]]&lt;&gt;ReconciliationData[[#This Row],[Contract_Price]]),1,0)</f>
        <v>0</v>
      </c>
      <c r="T370">
        <f>IF(AND(NOT(ISBLANK(ReconciliationData[[#This Row],[End_Date]])),ReconciliationData[[#This Row],[Order_Date]]&gt;ReconciliationData[[#This Row],[End_Date]]),1,0)</f>
        <v>0</v>
      </c>
      <c r="U370">
        <f>IF(AND(NOT(ISBLANK(ReconciliationData[[#This Row],[last_return_date]])),ReconciliationData[[#This Row],[last_return_date]]&gt;ReconciliationData[[#This Row],[Order_Date]]+60),1,0)</f>
        <v>0</v>
      </c>
      <c r="V370">
        <f>IF(ReconciliationData[[#This Row],[total_returned_units]]&gt;ReconciliationData[[#This Row],[ordered_units]],1,0)</f>
        <v>0</v>
      </c>
      <c r="W3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0">
        <f>ReconciliationData[[#This Row],[Billed_Units]]*ReconciliationData[[#This Row],[Billed_Price]]</f>
        <v>23924.534400000004</v>
      </c>
      <c r="Y370">
        <f>ReconciliationData[[#This Row],[ordered_units]]*ReconciliationData[[#This Row],[List_Price]]</f>
        <v>24589.104800000001</v>
      </c>
      <c r="Z370">
        <f>ReconciliationData[[#This Row],[billed_revenue]]-ReconciliationData[[#This Row],[expected_revenue]]</f>
        <v>-664.57039999999688</v>
      </c>
      <c r="AA3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70" t="str">
        <f>IF(ReconciliationData[[#This Row],[severity_score]]=0,"LOW",
 IF(ReconciliationData[[#This Row],[severity_score]]&lt;=5,"MEDIUM","HIGH"))</f>
        <v>HIGH</v>
      </c>
      <c r="AC370" t="str">
        <f>TEXT(ReconciliationData[[#This Row],[Order_Date]],"YYYY-MM")</f>
        <v>2023-07</v>
      </c>
    </row>
    <row r="371" spans="1:29">
      <c r="A371" t="s">
        <v>1377</v>
      </c>
      <c r="B371" s="1">
        <v>45172</v>
      </c>
      <c r="C371" t="s">
        <v>1378</v>
      </c>
      <c r="D371" t="s">
        <v>658</v>
      </c>
      <c r="E371">
        <v>187</v>
      </c>
      <c r="F371" t="s">
        <v>1379</v>
      </c>
      <c r="G371">
        <v>187</v>
      </c>
      <c r="H371">
        <v>88.578000000000003</v>
      </c>
      <c r="N371">
        <v>88.578000000000003</v>
      </c>
      <c r="O371" s="1">
        <v>45107</v>
      </c>
      <c r="P371">
        <f>IF(ISBLANK(ReconciliationData[[#This Row],[Invoice_ID]]),1,0)</f>
        <v>0</v>
      </c>
      <c r="Q371">
        <f>IF(AND(NOT(ISBLANK(ReconciliationData[[#This Row],[Billed_Units]])),ReconciliationData[[#This Row],[ordered_units]]&lt;&gt;ReconciliationData[[#This Row],[Billed_Units]]),1,0)</f>
        <v>0</v>
      </c>
      <c r="R3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">
        <f>IF(AND(NOT(ISBLANK(ReconciliationData[[#This Row],[Contract_Price]])),ReconciliationData[[#This Row],[Billed_Price]]&lt;&gt;ReconciliationData[[#This Row],[Contract_Price]]),1,0)</f>
        <v>0</v>
      </c>
      <c r="T371">
        <f>IF(AND(NOT(ISBLANK(ReconciliationData[[#This Row],[End_Date]])),ReconciliationData[[#This Row],[Order_Date]]&gt;ReconciliationData[[#This Row],[End_Date]]),1,0)</f>
        <v>0</v>
      </c>
      <c r="U371">
        <f>IF(AND(NOT(ISBLANK(ReconciliationData[[#This Row],[last_return_date]])),ReconciliationData[[#This Row],[last_return_date]]&gt;ReconciliationData[[#This Row],[Order_Date]]+60),1,0)</f>
        <v>0</v>
      </c>
      <c r="V371">
        <f>IF(ReconciliationData[[#This Row],[total_returned_units]]&gt;ReconciliationData[[#This Row],[ordered_units]],1,0)</f>
        <v>0</v>
      </c>
      <c r="W3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">
        <f>ReconciliationData[[#This Row],[Billed_Units]]*ReconciliationData[[#This Row],[Billed_Price]]</f>
        <v>16564.085999999999</v>
      </c>
      <c r="Y371">
        <f>ReconciliationData[[#This Row],[ordered_units]]*ReconciliationData[[#This Row],[List_Price]]</f>
        <v>16564.085999999999</v>
      </c>
      <c r="Z371">
        <f>ReconciliationData[[#This Row],[billed_revenue]]-ReconciliationData[[#This Row],[expected_revenue]]</f>
        <v>0</v>
      </c>
      <c r="AA3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" t="str">
        <f>IF(ReconciliationData[[#This Row],[severity_score]]=0,"LOW",
 IF(ReconciliationData[[#This Row],[severity_score]]&lt;=5,"MEDIUM","HIGH"))</f>
        <v>LOW</v>
      </c>
      <c r="AC371" t="str">
        <f>TEXT(ReconciliationData[[#This Row],[Order_Date]],"YYYY-MM")</f>
        <v>2023-09</v>
      </c>
    </row>
    <row r="372" spans="1:29">
      <c r="A372" t="s">
        <v>1380</v>
      </c>
      <c r="B372" s="1">
        <v>45541</v>
      </c>
      <c r="C372" t="s">
        <v>1381</v>
      </c>
      <c r="D372" t="s">
        <v>1382</v>
      </c>
      <c r="E372">
        <v>146</v>
      </c>
      <c r="F372" t="s">
        <v>1383</v>
      </c>
      <c r="G372">
        <v>146</v>
      </c>
      <c r="H372">
        <v>82.026000000000025</v>
      </c>
      <c r="N372">
        <v>82.026000000000025</v>
      </c>
      <c r="O372" s="1">
        <v>45061</v>
      </c>
      <c r="P372">
        <f>IF(ISBLANK(ReconciliationData[[#This Row],[Invoice_ID]]),1,0)</f>
        <v>0</v>
      </c>
      <c r="Q372">
        <f>IF(AND(NOT(ISBLANK(ReconciliationData[[#This Row],[Billed_Units]])),ReconciliationData[[#This Row],[ordered_units]]&lt;&gt;ReconciliationData[[#This Row],[Billed_Units]]),1,0)</f>
        <v>0</v>
      </c>
      <c r="R3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">
        <f>IF(AND(NOT(ISBLANK(ReconciliationData[[#This Row],[Contract_Price]])),ReconciliationData[[#This Row],[Billed_Price]]&lt;&gt;ReconciliationData[[#This Row],[Contract_Price]]),1,0)</f>
        <v>0</v>
      </c>
      <c r="T372">
        <f>IF(AND(NOT(ISBLANK(ReconciliationData[[#This Row],[End_Date]])),ReconciliationData[[#This Row],[Order_Date]]&gt;ReconciliationData[[#This Row],[End_Date]]),1,0)</f>
        <v>0</v>
      </c>
      <c r="U372">
        <f>IF(AND(NOT(ISBLANK(ReconciliationData[[#This Row],[last_return_date]])),ReconciliationData[[#This Row],[last_return_date]]&gt;ReconciliationData[[#This Row],[Order_Date]]+60),1,0)</f>
        <v>0</v>
      </c>
      <c r="V372">
        <f>IF(ReconciliationData[[#This Row],[total_returned_units]]&gt;ReconciliationData[[#This Row],[ordered_units]],1,0)</f>
        <v>0</v>
      </c>
      <c r="W3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2">
        <f>ReconciliationData[[#This Row],[Billed_Units]]*ReconciliationData[[#This Row],[Billed_Price]]</f>
        <v>11975.796000000004</v>
      </c>
      <c r="Y372">
        <f>ReconciliationData[[#This Row],[ordered_units]]*ReconciliationData[[#This Row],[List_Price]]</f>
        <v>11975.796000000004</v>
      </c>
      <c r="Z372">
        <f>ReconciliationData[[#This Row],[billed_revenue]]-ReconciliationData[[#This Row],[expected_revenue]]</f>
        <v>0</v>
      </c>
      <c r="AA3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2" t="str">
        <f>IF(ReconciliationData[[#This Row],[severity_score]]=0,"LOW",
 IF(ReconciliationData[[#This Row],[severity_score]]&lt;=5,"MEDIUM","HIGH"))</f>
        <v>LOW</v>
      </c>
      <c r="AC372" t="str">
        <f>TEXT(ReconciliationData[[#This Row],[Order_Date]],"YYYY-MM")</f>
        <v>2024-09</v>
      </c>
    </row>
    <row r="373" spans="1:29">
      <c r="A373" t="s">
        <v>1384</v>
      </c>
      <c r="B373" s="1">
        <v>45250</v>
      </c>
      <c r="C373" t="s">
        <v>543</v>
      </c>
      <c r="D373" t="s">
        <v>1385</v>
      </c>
      <c r="E373">
        <v>160</v>
      </c>
      <c r="F373" t="s">
        <v>1386</v>
      </c>
      <c r="G373">
        <v>160</v>
      </c>
      <c r="H373">
        <v>287.90559999999999</v>
      </c>
      <c r="N373">
        <v>287.90559999999999</v>
      </c>
      <c r="O373" s="1">
        <v>45224</v>
      </c>
      <c r="P373">
        <f>IF(ISBLANK(ReconciliationData[[#This Row],[Invoice_ID]]),1,0)</f>
        <v>0</v>
      </c>
      <c r="Q373">
        <f>IF(AND(NOT(ISBLANK(ReconciliationData[[#This Row],[Billed_Units]])),ReconciliationData[[#This Row],[ordered_units]]&lt;&gt;ReconciliationData[[#This Row],[Billed_Units]]),1,0)</f>
        <v>0</v>
      </c>
      <c r="R3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">
        <f>IF(AND(NOT(ISBLANK(ReconciliationData[[#This Row],[Contract_Price]])),ReconciliationData[[#This Row],[Billed_Price]]&lt;&gt;ReconciliationData[[#This Row],[Contract_Price]]),1,0)</f>
        <v>0</v>
      </c>
      <c r="T373">
        <f>IF(AND(NOT(ISBLANK(ReconciliationData[[#This Row],[End_Date]])),ReconciliationData[[#This Row],[Order_Date]]&gt;ReconciliationData[[#This Row],[End_Date]]),1,0)</f>
        <v>0</v>
      </c>
      <c r="U373">
        <f>IF(AND(NOT(ISBLANK(ReconciliationData[[#This Row],[last_return_date]])),ReconciliationData[[#This Row],[last_return_date]]&gt;ReconciliationData[[#This Row],[Order_Date]]+60),1,0)</f>
        <v>0</v>
      </c>
      <c r="V373">
        <f>IF(ReconciliationData[[#This Row],[total_returned_units]]&gt;ReconciliationData[[#This Row],[ordered_units]],1,0)</f>
        <v>0</v>
      </c>
      <c r="W3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3">
        <f>ReconciliationData[[#This Row],[Billed_Units]]*ReconciliationData[[#This Row],[Billed_Price]]</f>
        <v>46064.896000000001</v>
      </c>
      <c r="Y373">
        <f>ReconciliationData[[#This Row],[ordered_units]]*ReconciliationData[[#This Row],[List_Price]]</f>
        <v>46064.896000000001</v>
      </c>
      <c r="Z373">
        <f>ReconciliationData[[#This Row],[billed_revenue]]-ReconciliationData[[#This Row],[expected_revenue]]</f>
        <v>0</v>
      </c>
      <c r="AA3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3" t="str">
        <f>IF(ReconciliationData[[#This Row],[severity_score]]=0,"LOW",
 IF(ReconciliationData[[#This Row],[severity_score]]&lt;=5,"MEDIUM","HIGH"))</f>
        <v>LOW</v>
      </c>
      <c r="AC373" t="str">
        <f>TEXT(ReconciliationData[[#This Row],[Order_Date]],"YYYY-MM")</f>
        <v>2023-11</v>
      </c>
    </row>
    <row r="374" spans="1:29">
      <c r="A374" t="s">
        <v>1387</v>
      </c>
      <c r="B374" s="1">
        <v>45244</v>
      </c>
      <c r="C374" t="s">
        <v>1388</v>
      </c>
      <c r="D374" t="s">
        <v>1171</v>
      </c>
      <c r="E374">
        <v>167</v>
      </c>
      <c r="F374" t="s">
        <v>1389</v>
      </c>
      <c r="G374">
        <v>167</v>
      </c>
      <c r="H374">
        <v>435.57279999999997</v>
      </c>
      <c r="N374">
        <v>435.57279999999997</v>
      </c>
      <c r="O374" s="1">
        <v>45159</v>
      </c>
      <c r="P374">
        <f>IF(ISBLANK(ReconciliationData[[#This Row],[Invoice_ID]]),1,0)</f>
        <v>0</v>
      </c>
      <c r="Q374">
        <f>IF(AND(NOT(ISBLANK(ReconciliationData[[#This Row],[Billed_Units]])),ReconciliationData[[#This Row],[ordered_units]]&lt;&gt;ReconciliationData[[#This Row],[Billed_Units]]),1,0)</f>
        <v>0</v>
      </c>
      <c r="R3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">
        <f>IF(AND(NOT(ISBLANK(ReconciliationData[[#This Row],[Contract_Price]])),ReconciliationData[[#This Row],[Billed_Price]]&lt;&gt;ReconciliationData[[#This Row],[Contract_Price]]),1,0)</f>
        <v>0</v>
      </c>
      <c r="T374">
        <f>IF(AND(NOT(ISBLANK(ReconciliationData[[#This Row],[End_Date]])),ReconciliationData[[#This Row],[Order_Date]]&gt;ReconciliationData[[#This Row],[End_Date]]),1,0)</f>
        <v>0</v>
      </c>
      <c r="U374">
        <f>IF(AND(NOT(ISBLANK(ReconciliationData[[#This Row],[last_return_date]])),ReconciliationData[[#This Row],[last_return_date]]&gt;ReconciliationData[[#This Row],[Order_Date]]+60),1,0)</f>
        <v>0</v>
      </c>
      <c r="V374">
        <f>IF(ReconciliationData[[#This Row],[total_returned_units]]&gt;ReconciliationData[[#This Row],[ordered_units]],1,0)</f>
        <v>0</v>
      </c>
      <c r="W3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">
        <f>ReconciliationData[[#This Row],[Billed_Units]]*ReconciliationData[[#This Row],[Billed_Price]]</f>
        <v>72740.657599999991</v>
      </c>
      <c r="Y374">
        <f>ReconciliationData[[#This Row],[ordered_units]]*ReconciliationData[[#This Row],[List_Price]]</f>
        <v>72740.657599999991</v>
      </c>
      <c r="Z374">
        <f>ReconciliationData[[#This Row],[billed_revenue]]-ReconciliationData[[#This Row],[expected_revenue]]</f>
        <v>0</v>
      </c>
      <c r="AA3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" t="str">
        <f>IF(ReconciliationData[[#This Row],[severity_score]]=0,"LOW",
 IF(ReconciliationData[[#This Row],[severity_score]]&lt;=5,"MEDIUM","HIGH"))</f>
        <v>LOW</v>
      </c>
      <c r="AC374" t="str">
        <f>TEXT(ReconciliationData[[#This Row],[Order_Date]],"YYYY-MM")</f>
        <v>2023-11</v>
      </c>
    </row>
    <row r="375" spans="1:29">
      <c r="A375" t="s">
        <v>1390</v>
      </c>
      <c r="B375" s="1">
        <v>45187</v>
      </c>
      <c r="C375" t="s">
        <v>1391</v>
      </c>
      <c r="D375" t="s">
        <v>1392</v>
      </c>
      <c r="E375">
        <v>185</v>
      </c>
      <c r="F375" t="s">
        <v>1393</v>
      </c>
      <c r="G375">
        <v>185</v>
      </c>
      <c r="H375">
        <v>107.1605</v>
      </c>
      <c r="N375">
        <v>107.1605</v>
      </c>
      <c r="O375" s="1">
        <v>44970</v>
      </c>
      <c r="P375">
        <f>IF(ISBLANK(ReconciliationData[[#This Row],[Invoice_ID]]),1,0)</f>
        <v>0</v>
      </c>
      <c r="Q375">
        <f>IF(AND(NOT(ISBLANK(ReconciliationData[[#This Row],[Billed_Units]])),ReconciliationData[[#This Row],[ordered_units]]&lt;&gt;ReconciliationData[[#This Row],[Billed_Units]]),1,0)</f>
        <v>0</v>
      </c>
      <c r="R3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5">
        <f>IF(AND(NOT(ISBLANK(ReconciliationData[[#This Row],[Contract_Price]])),ReconciliationData[[#This Row],[Billed_Price]]&lt;&gt;ReconciliationData[[#This Row],[Contract_Price]]),1,0)</f>
        <v>0</v>
      </c>
      <c r="T375">
        <f>IF(AND(NOT(ISBLANK(ReconciliationData[[#This Row],[End_Date]])),ReconciliationData[[#This Row],[Order_Date]]&gt;ReconciliationData[[#This Row],[End_Date]]),1,0)</f>
        <v>0</v>
      </c>
      <c r="U375">
        <f>IF(AND(NOT(ISBLANK(ReconciliationData[[#This Row],[last_return_date]])),ReconciliationData[[#This Row],[last_return_date]]&gt;ReconciliationData[[#This Row],[Order_Date]]+60),1,0)</f>
        <v>0</v>
      </c>
      <c r="V375">
        <f>IF(ReconciliationData[[#This Row],[total_returned_units]]&gt;ReconciliationData[[#This Row],[ordered_units]],1,0)</f>
        <v>0</v>
      </c>
      <c r="W3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5">
        <f>ReconciliationData[[#This Row],[Billed_Units]]*ReconciliationData[[#This Row],[Billed_Price]]</f>
        <v>19824.692500000001</v>
      </c>
      <c r="Y375">
        <f>ReconciliationData[[#This Row],[ordered_units]]*ReconciliationData[[#This Row],[List_Price]]</f>
        <v>19824.692500000001</v>
      </c>
      <c r="Z375">
        <f>ReconciliationData[[#This Row],[billed_revenue]]-ReconciliationData[[#This Row],[expected_revenue]]</f>
        <v>0</v>
      </c>
      <c r="AA3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5" t="str">
        <f>IF(ReconciliationData[[#This Row],[severity_score]]=0,"LOW",
 IF(ReconciliationData[[#This Row],[severity_score]]&lt;=5,"MEDIUM","HIGH"))</f>
        <v>LOW</v>
      </c>
      <c r="AC375" t="str">
        <f>TEXT(ReconciliationData[[#This Row],[Order_Date]],"YYYY-MM")</f>
        <v>2023-09</v>
      </c>
    </row>
    <row r="376" spans="1:29">
      <c r="A376" t="s">
        <v>1394</v>
      </c>
      <c r="B376" s="1">
        <v>45152</v>
      </c>
      <c r="C376" t="s">
        <v>1395</v>
      </c>
      <c r="D376" t="s">
        <v>1396</v>
      </c>
      <c r="E376">
        <v>52</v>
      </c>
      <c r="F376" t="s">
        <v>1397</v>
      </c>
      <c r="G376">
        <v>52</v>
      </c>
      <c r="H376">
        <v>880.66300000000001</v>
      </c>
      <c r="N376">
        <v>880.66300000000001</v>
      </c>
      <c r="O376" s="1">
        <v>44966</v>
      </c>
      <c r="P376">
        <f>IF(ISBLANK(ReconciliationData[[#This Row],[Invoice_ID]]),1,0)</f>
        <v>0</v>
      </c>
      <c r="Q376">
        <f>IF(AND(NOT(ISBLANK(ReconciliationData[[#This Row],[Billed_Units]])),ReconciliationData[[#This Row],[ordered_units]]&lt;&gt;ReconciliationData[[#This Row],[Billed_Units]]),1,0)</f>
        <v>0</v>
      </c>
      <c r="R3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">
        <f>IF(AND(NOT(ISBLANK(ReconciliationData[[#This Row],[Contract_Price]])),ReconciliationData[[#This Row],[Billed_Price]]&lt;&gt;ReconciliationData[[#This Row],[Contract_Price]]),1,0)</f>
        <v>0</v>
      </c>
      <c r="T376">
        <f>IF(AND(NOT(ISBLANK(ReconciliationData[[#This Row],[End_Date]])),ReconciliationData[[#This Row],[Order_Date]]&gt;ReconciliationData[[#This Row],[End_Date]]),1,0)</f>
        <v>0</v>
      </c>
      <c r="U376">
        <f>IF(AND(NOT(ISBLANK(ReconciliationData[[#This Row],[last_return_date]])),ReconciliationData[[#This Row],[last_return_date]]&gt;ReconciliationData[[#This Row],[Order_Date]]+60),1,0)</f>
        <v>0</v>
      </c>
      <c r="V376">
        <f>IF(ReconciliationData[[#This Row],[total_returned_units]]&gt;ReconciliationData[[#This Row],[ordered_units]],1,0)</f>
        <v>0</v>
      </c>
      <c r="W3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">
        <f>ReconciliationData[[#This Row],[Billed_Units]]*ReconciliationData[[#This Row],[Billed_Price]]</f>
        <v>45794.476000000002</v>
      </c>
      <c r="Y376">
        <f>ReconciliationData[[#This Row],[ordered_units]]*ReconciliationData[[#This Row],[List_Price]]</f>
        <v>45794.476000000002</v>
      </c>
      <c r="Z376">
        <f>ReconciliationData[[#This Row],[billed_revenue]]-ReconciliationData[[#This Row],[expected_revenue]]</f>
        <v>0</v>
      </c>
      <c r="AA3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" t="str">
        <f>IF(ReconciliationData[[#This Row],[severity_score]]=0,"LOW",
 IF(ReconciliationData[[#This Row],[severity_score]]&lt;=5,"MEDIUM","HIGH"))</f>
        <v>LOW</v>
      </c>
      <c r="AC376" t="str">
        <f>TEXT(ReconciliationData[[#This Row],[Order_Date]],"YYYY-MM")</f>
        <v>2023-08</v>
      </c>
    </row>
    <row r="377" spans="1:29">
      <c r="A377" t="s">
        <v>1398</v>
      </c>
      <c r="B377" s="1">
        <v>44934</v>
      </c>
      <c r="C377" t="s">
        <v>1399</v>
      </c>
      <c r="D377" t="s">
        <v>1400</v>
      </c>
      <c r="E377">
        <v>133</v>
      </c>
      <c r="F377" t="s">
        <v>1401</v>
      </c>
      <c r="G377">
        <v>133</v>
      </c>
      <c r="H377">
        <v>512.04</v>
      </c>
      <c r="I377">
        <v>17</v>
      </c>
      <c r="J377" s="1">
        <v>45396</v>
      </c>
      <c r="N377">
        <v>512.04</v>
      </c>
      <c r="O377" s="1">
        <v>44928</v>
      </c>
      <c r="P377">
        <f>IF(ISBLANK(ReconciliationData[[#This Row],[Invoice_ID]]),1,0)</f>
        <v>0</v>
      </c>
      <c r="Q377">
        <f>IF(AND(NOT(ISBLANK(ReconciliationData[[#This Row],[Billed_Units]])),ReconciliationData[[#This Row],[ordered_units]]&lt;&gt;ReconciliationData[[#This Row],[Billed_Units]]),1,0)</f>
        <v>0</v>
      </c>
      <c r="R3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">
        <f>IF(AND(NOT(ISBLANK(ReconciliationData[[#This Row],[Contract_Price]])),ReconciliationData[[#This Row],[Billed_Price]]&lt;&gt;ReconciliationData[[#This Row],[Contract_Price]]),1,0)</f>
        <v>0</v>
      </c>
      <c r="T377">
        <f>IF(AND(NOT(ISBLANK(ReconciliationData[[#This Row],[End_Date]])),ReconciliationData[[#This Row],[Order_Date]]&gt;ReconciliationData[[#This Row],[End_Date]]),1,0)</f>
        <v>0</v>
      </c>
      <c r="U377">
        <f>IF(AND(NOT(ISBLANK(ReconciliationData[[#This Row],[last_return_date]])),ReconciliationData[[#This Row],[last_return_date]]&gt;ReconciliationData[[#This Row],[Order_Date]]+60),1,0)</f>
        <v>1</v>
      </c>
      <c r="V377">
        <f>IF(ReconciliationData[[#This Row],[total_returned_units]]&gt;ReconciliationData[[#This Row],[ordered_units]],1,0)</f>
        <v>0</v>
      </c>
      <c r="W3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7">
        <f>ReconciliationData[[#This Row],[Billed_Units]]*ReconciliationData[[#This Row],[Billed_Price]]</f>
        <v>68101.319999999992</v>
      </c>
      <c r="Y377">
        <f>ReconciliationData[[#This Row],[ordered_units]]*ReconciliationData[[#This Row],[List_Price]]</f>
        <v>68101.319999999992</v>
      </c>
      <c r="Z377">
        <f>ReconciliationData[[#This Row],[billed_revenue]]-ReconciliationData[[#This Row],[expected_revenue]]</f>
        <v>0</v>
      </c>
      <c r="AA3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77" t="str">
        <f>IF(ReconciliationData[[#This Row],[severity_score]]=0,"LOW",
 IF(ReconciliationData[[#This Row],[severity_score]]&lt;=5,"MEDIUM","HIGH"))</f>
        <v>MEDIUM</v>
      </c>
      <c r="AC377" t="str">
        <f>TEXT(ReconciliationData[[#This Row],[Order_Date]],"YYYY-MM")</f>
        <v>2023-01</v>
      </c>
    </row>
    <row r="378" spans="1:29">
      <c r="A378" t="s">
        <v>1402</v>
      </c>
      <c r="B378" s="1">
        <v>45346</v>
      </c>
      <c r="C378" t="s">
        <v>1403</v>
      </c>
      <c r="D378" t="s">
        <v>1404</v>
      </c>
      <c r="E378">
        <v>4</v>
      </c>
      <c r="F378" t="s">
        <v>1405</v>
      </c>
      <c r="G378">
        <v>4</v>
      </c>
      <c r="H378">
        <v>655.93800000000022</v>
      </c>
      <c r="N378">
        <v>655.93800000000022</v>
      </c>
      <c r="O378" s="1">
        <v>45075</v>
      </c>
      <c r="P378">
        <f>IF(ISBLANK(ReconciliationData[[#This Row],[Invoice_ID]]),1,0)</f>
        <v>0</v>
      </c>
      <c r="Q378">
        <f>IF(AND(NOT(ISBLANK(ReconciliationData[[#This Row],[Billed_Units]])),ReconciliationData[[#This Row],[ordered_units]]&lt;&gt;ReconciliationData[[#This Row],[Billed_Units]]),1,0)</f>
        <v>0</v>
      </c>
      <c r="R3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">
        <f>IF(AND(NOT(ISBLANK(ReconciliationData[[#This Row],[Contract_Price]])),ReconciliationData[[#This Row],[Billed_Price]]&lt;&gt;ReconciliationData[[#This Row],[Contract_Price]]),1,0)</f>
        <v>0</v>
      </c>
      <c r="T378">
        <f>IF(AND(NOT(ISBLANK(ReconciliationData[[#This Row],[End_Date]])),ReconciliationData[[#This Row],[Order_Date]]&gt;ReconciliationData[[#This Row],[End_Date]]),1,0)</f>
        <v>0</v>
      </c>
      <c r="U378">
        <f>IF(AND(NOT(ISBLANK(ReconciliationData[[#This Row],[last_return_date]])),ReconciliationData[[#This Row],[last_return_date]]&gt;ReconciliationData[[#This Row],[Order_Date]]+60),1,0)</f>
        <v>0</v>
      </c>
      <c r="V378">
        <f>IF(ReconciliationData[[#This Row],[total_returned_units]]&gt;ReconciliationData[[#This Row],[ordered_units]],1,0)</f>
        <v>0</v>
      </c>
      <c r="W3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8">
        <f>ReconciliationData[[#This Row],[Billed_Units]]*ReconciliationData[[#This Row],[Billed_Price]]</f>
        <v>2623.7520000000009</v>
      </c>
      <c r="Y378">
        <f>ReconciliationData[[#This Row],[ordered_units]]*ReconciliationData[[#This Row],[List_Price]]</f>
        <v>2623.7520000000009</v>
      </c>
      <c r="Z378">
        <f>ReconciliationData[[#This Row],[billed_revenue]]-ReconciliationData[[#This Row],[expected_revenue]]</f>
        <v>0</v>
      </c>
      <c r="AA3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8" t="str">
        <f>IF(ReconciliationData[[#This Row],[severity_score]]=0,"LOW",
 IF(ReconciliationData[[#This Row],[severity_score]]&lt;=5,"MEDIUM","HIGH"))</f>
        <v>LOW</v>
      </c>
      <c r="AC378" t="str">
        <f>TEXT(ReconciliationData[[#This Row],[Order_Date]],"YYYY-MM")</f>
        <v>2024-02</v>
      </c>
    </row>
    <row r="379" spans="1:29">
      <c r="A379" t="s">
        <v>1406</v>
      </c>
      <c r="B379" s="1">
        <v>45266</v>
      </c>
      <c r="C379" t="s">
        <v>1407</v>
      </c>
      <c r="D379" t="s">
        <v>798</v>
      </c>
      <c r="E379">
        <v>159</v>
      </c>
      <c r="F379" t="s">
        <v>1408</v>
      </c>
      <c r="G379">
        <v>159</v>
      </c>
      <c r="H379">
        <v>153.01650000000001</v>
      </c>
      <c r="N379">
        <v>153.01650000000001</v>
      </c>
      <c r="O379" s="1">
        <v>45064</v>
      </c>
      <c r="P379">
        <f>IF(ISBLANK(ReconciliationData[[#This Row],[Invoice_ID]]),1,0)</f>
        <v>0</v>
      </c>
      <c r="Q379">
        <f>IF(AND(NOT(ISBLANK(ReconciliationData[[#This Row],[Billed_Units]])),ReconciliationData[[#This Row],[ordered_units]]&lt;&gt;ReconciliationData[[#This Row],[Billed_Units]]),1,0)</f>
        <v>0</v>
      </c>
      <c r="R3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">
        <f>IF(AND(NOT(ISBLANK(ReconciliationData[[#This Row],[Contract_Price]])),ReconciliationData[[#This Row],[Billed_Price]]&lt;&gt;ReconciliationData[[#This Row],[Contract_Price]]),1,0)</f>
        <v>0</v>
      </c>
      <c r="T379">
        <f>IF(AND(NOT(ISBLANK(ReconciliationData[[#This Row],[End_Date]])),ReconciliationData[[#This Row],[Order_Date]]&gt;ReconciliationData[[#This Row],[End_Date]]),1,0)</f>
        <v>0</v>
      </c>
      <c r="U379">
        <f>IF(AND(NOT(ISBLANK(ReconciliationData[[#This Row],[last_return_date]])),ReconciliationData[[#This Row],[last_return_date]]&gt;ReconciliationData[[#This Row],[Order_Date]]+60),1,0)</f>
        <v>0</v>
      </c>
      <c r="V379">
        <f>IF(ReconciliationData[[#This Row],[total_returned_units]]&gt;ReconciliationData[[#This Row],[ordered_units]],1,0)</f>
        <v>0</v>
      </c>
      <c r="W3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9">
        <f>ReconciliationData[[#This Row],[Billed_Units]]*ReconciliationData[[#This Row],[Billed_Price]]</f>
        <v>24329.623500000002</v>
      </c>
      <c r="Y379">
        <f>ReconciliationData[[#This Row],[ordered_units]]*ReconciliationData[[#This Row],[List_Price]]</f>
        <v>24329.623500000002</v>
      </c>
      <c r="Z379">
        <f>ReconciliationData[[#This Row],[billed_revenue]]-ReconciliationData[[#This Row],[expected_revenue]]</f>
        <v>0</v>
      </c>
      <c r="AA3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9" t="str">
        <f>IF(ReconciliationData[[#This Row],[severity_score]]=0,"LOW",
 IF(ReconciliationData[[#This Row],[severity_score]]&lt;=5,"MEDIUM","HIGH"))</f>
        <v>LOW</v>
      </c>
      <c r="AC379" t="str">
        <f>TEXT(ReconciliationData[[#This Row],[Order_Date]],"YYYY-MM")</f>
        <v>2023-12</v>
      </c>
    </row>
    <row r="380" spans="1:29">
      <c r="A380" t="s">
        <v>1409</v>
      </c>
      <c r="B380" s="1">
        <v>45049</v>
      </c>
      <c r="C380" t="s">
        <v>1410</v>
      </c>
      <c r="D380" t="s">
        <v>1411</v>
      </c>
      <c r="E380">
        <v>150</v>
      </c>
      <c r="F380" t="s">
        <v>1412</v>
      </c>
      <c r="G380">
        <v>150</v>
      </c>
      <c r="H380">
        <v>1167.9120000000005</v>
      </c>
      <c r="N380">
        <v>1167.9120000000005</v>
      </c>
      <c r="O380" s="1">
        <v>45019</v>
      </c>
      <c r="P380">
        <f>IF(ISBLANK(ReconciliationData[[#This Row],[Invoice_ID]]),1,0)</f>
        <v>0</v>
      </c>
      <c r="Q380">
        <f>IF(AND(NOT(ISBLANK(ReconciliationData[[#This Row],[Billed_Units]])),ReconciliationData[[#This Row],[ordered_units]]&lt;&gt;ReconciliationData[[#This Row],[Billed_Units]]),1,0)</f>
        <v>0</v>
      </c>
      <c r="R3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0">
        <f>IF(AND(NOT(ISBLANK(ReconciliationData[[#This Row],[Contract_Price]])),ReconciliationData[[#This Row],[Billed_Price]]&lt;&gt;ReconciliationData[[#This Row],[Contract_Price]]),1,0)</f>
        <v>0</v>
      </c>
      <c r="T380">
        <f>IF(AND(NOT(ISBLANK(ReconciliationData[[#This Row],[End_Date]])),ReconciliationData[[#This Row],[Order_Date]]&gt;ReconciliationData[[#This Row],[End_Date]]),1,0)</f>
        <v>0</v>
      </c>
      <c r="U380">
        <f>IF(AND(NOT(ISBLANK(ReconciliationData[[#This Row],[last_return_date]])),ReconciliationData[[#This Row],[last_return_date]]&gt;ReconciliationData[[#This Row],[Order_Date]]+60),1,0)</f>
        <v>0</v>
      </c>
      <c r="V380">
        <f>IF(ReconciliationData[[#This Row],[total_returned_units]]&gt;ReconciliationData[[#This Row],[ordered_units]],1,0)</f>
        <v>0</v>
      </c>
      <c r="W3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0">
        <f>ReconciliationData[[#This Row],[Billed_Units]]*ReconciliationData[[#This Row],[Billed_Price]]</f>
        <v>175186.80000000008</v>
      </c>
      <c r="Y380">
        <f>ReconciliationData[[#This Row],[ordered_units]]*ReconciliationData[[#This Row],[List_Price]]</f>
        <v>175186.80000000008</v>
      </c>
      <c r="Z380">
        <f>ReconciliationData[[#This Row],[billed_revenue]]-ReconciliationData[[#This Row],[expected_revenue]]</f>
        <v>0</v>
      </c>
      <c r="AA3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0" t="str">
        <f>IF(ReconciliationData[[#This Row],[severity_score]]=0,"LOW",
 IF(ReconciliationData[[#This Row],[severity_score]]&lt;=5,"MEDIUM","HIGH"))</f>
        <v>LOW</v>
      </c>
      <c r="AC380" t="str">
        <f>TEXT(ReconciliationData[[#This Row],[Order_Date]],"YYYY-MM")</f>
        <v>2023-05</v>
      </c>
    </row>
    <row r="381" spans="1:29">
      <c r="A381" t="s">
        <v>1413</v>
      </c>
      <c r="B381" s="1">
        <v>45335</v>
      </c>
      <c r="C381" t="s">
        <v>603</v>
      </c>
      <c r="D381" t="s">
        <v>1414</v>
      </c>
      <c r="E381">
        <v>82</v>
      </c>
      <c r="F381" t="s">
        <v>1415</v>
      </c>
      <c r="G381">
        <v>82</v>
      </c>
      <c r="H381">
        <v>872.7808</v>
      </c>
      <c r="N381">
        <v>872.7808</v>
      </c>
      <c r="O381" s="1">
        <v>45225</v>
      </c>
      <c r="P381">
        <f>IF(ISBLANK(ReconciliationData[[#This Row],[Invoice_ID]]),1,0)</f>
        <v>0</v>
      </c>
      <c r="Q381">
        <f>IF(AND(NOT(ISBLANK(ReconciliationData[[#This Row],[Billed_Units]])),ReconciliationData[[#This Row],[ordered_units]]&lt;&gt;ReconciliationData[[#This Row],[Billed_Units]]),1,0)</f>
        <v>0</v>
      </c>
      <c r="R3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1">
        <f>IF(AND(NOT(ISBLANK(ReconciliationData[[#This Row],[Contract_Price]])),ReconciliationData[[#This Row],[Billed_Price]]&lt;&gt;ReconciliationData[[#This Row],[Contract_Price]]),1,0)</f>
        <v>0</v>
      </c>
      <c r="T381">
        <f>IF(AND(NOT(ISBLANK(ReconciliationData[[#This Row],[End_Date]])),ReconciliationData[[#This Row],[Order_Date]]&gt;ReconciliationData[[#This Row],[End_Date]]),1,0)</f>
        <v>0</v>
      </c>
      <c r="U381">
        <f>IF(AND(NOT(ISBLANK(ReconciliationData[[#This Row],[last_return_date]])),ReconciliationData[[#This Row],[last_return_date]]&gt;ReconciliationData[[#This Row],[Order_Date]]+60),1,0)</f>
        <v>0</v>
      </c>
      <c r="V381">
        <f>IF(ReconciliationData[[#This Row],[total_returned_units]]&gt;ReconciliationData[[#This Row],[ordered_units]],1,0)</f>
        <v>0</v>
      </c>
      <c r="W3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1">
        <f>ReconciliationData[[#This Row],[Billed_Units]]*ReconciliationData[[#This Row],[Billed_Price]]</f>
        <v>71568.025599999994</v>
      </c>
      <c r="Y381">
        <f>ReconciliationData[[#This Row],[ordered_units]]*ReconciliationData[[#This Row],[List_Price]]</f>
        <v>71568.025599999994</v>
      </c>
      <c r="Z381">
        <f>ReconciliationData[[#This Row],[billed_revenue]]-ReconciliationData[[#This Row],[expected_revenue]]</f>
        <v>0</v>
      </c>
      <c r="AA3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1" t="str">
        <f>IF(ReconciliationData[[#This Row],[severity_score]]=0,"LOW",
 IF(ReconciliationData[[#This Row],[severity_score]]&lt;=5,"MEDIUM","HIGH"))</f>
        <v>LOW</v>
      </c>
      <c r="AC381" t="str">
        <f>TEXT(ReconciliationData[[#This Row],[Order_Date]],"YYYY-MM")</f>
        <v>2024-02</v>
      </c>
    </row>
    <row r="382" spans="1:29">
      <c r="A382" t="s">
        <v>1416</v>
      </c>
      <c r="B382" s="1">
        <v>45432</v>
      </c>
      <c r="C382" t="s">
        <v>1417</v>
      </c>
      <c r="D382" t="s">
        <v>997</v>
      </c>
      <c r="E382">
        <v>36</v>
      </c>
      <c r="F382" t="s">
        <v>1418</v>
      </c>
      <c r="G382">
        <v>36</v>
      </c>
      <c r="H382">
        <v>1153.4984999999999</v>
      </c>
      <c r="N382">
        <v>1153.4984999999999</v>
      </c>
      <c r="O382" s="1">
        <v>44962</v>
      </c>
      <c r="P382">
        <f>IF(ISBLANK(ReconciliationData[[#This Row],[Invoice_ID]]),1,0)</f>
        <v>0</v>
      </c>
      <c r="Q382">
        <f>IF(AND(NOT(ISBLANK(ReconciliationData[[#This Row],[Billed_Units]])),ReconciliationData[[#This Row],[ordered_units]]&lt;&gt;ReconciliationData[[#This Row],[Billed_Units]]),1,0)</f>
        <v>0</v>
      </c>
      <c r="R3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">
        <f>IF(AND(NOT(ISBLANK(ReconciliationData[[#This Row],[Contract_Price]])),ReconciliationData[[#This Row],[Billed_Price]]&lt;&gt;ReconciliationData[[#This Row],[Contract_Price]]),1,0)</f>
        <v>0</v>
      </c>
      <c r="T382">
        <f>IF(AND(NOT(ISBLANK(ReconciliationData[[#This Row],[End_Date]])),ReconciliationData[[#This Row],[Order_Date]]&gt;ReconciliationData[[#This Row],[End_Date]]),1,0)</f>
        <v>0</v>
      </c>
      <c r="U382">
        <f>IF(AND(NOT(ISBLANK(ReconciliationData[[#This Row],[last_return_date]])),ReconciliationData[[#This Row],[last_return_date]]&gt;ReconciliationData[[#This Row],[Order_Date]]+60),1,0)</f>
        <v>0</v>
      </c>
      <c r="V382">
        <f>IF(ReconciliationData[[#This Row],[total_returned_units]]&gt;ReconciliationData[[#This Row],[ordered_units]],1,0)</f>
        <v>0</v>
      </c>
      <c r="W3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2">
        <f>ReconciliationData[[#This Row],[Billed_Units]]*ReconciliationData[[#This Row],[Billed_Price]]</f>
        <v>41525.945999999996</v>
      </c>
      <c r="Y382">
        <f>ReconciliationData[[#This Row],[ordered_units]]*ReconciliationData[[#This Row],[List_Price]]</f>
        <v>41525.945999999996</v>
      </c>
      <c r="Z382">
        <f>ReconciliationData[[#This Row],[billed_revenue]]-ReconciliationData[[#This Row],[expected_revenue]]</f>
        <v>0</v>
      </c>
      <c r="AA3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2" t="str">
        <f>IF(ReconciliationData[[#This Row],[severity_score]]=0,"LOW",
 IF(ReconciliationData[[#This Row],[severity_score]]&lt;=5,"MEDIUM","HIGH"))</f>
        <v>LOW</v>
      </c>
      <c r="AC382" t="str">
        <f>TEXT(ReconciliationData[[#This Row],[Order_Date]],"YYYY-MM")</f>
        <v>2024-05</v>
      </c>
    </row>
    <row r="383" spans="1:29">
      <c r="A383" t="s">
        <v>1419</v>
      </c>
      <c r="B383" s="1">
        <v>45187</v>
      </c>
      <c r="C383" t="s">
        <v>1196</v>
      </c>
      <c r="D383" t="s">
        <v>1420</v>
      </c>
      <c r="E383">
        <v>176</v>
      </c>
      <c r="F383" t="s">
        <v>1421</v>
      </c>
      <c r="G383">
        <v>176</v>
      </c>
      <c r="H383">
        <v>77.178600000000003</v>
      </c>
      <c r="N383">
        <v>77.178600000000003</v>
      </c>
      <c r="O383" s="1">
        <v>44975</v>
      </c>
      <c r="P383">
        <f>IF(ISBLANK(ReconciliationData[[#This Row],[Invoice_ID]]),1,0)</f>
        <v>0</v>
      </c>
      <c r="Q383">
        <f>IF(AND(NOT(ISBLANK(ReconciliationData[[#This Row],[Billed_Units]])),ReconciliationData[[#This Row],[ordered_units]]&lt;&gt;ReconciliationData[[#This Row],[Billed_Units]]),1,0)</f>
        <v>0</v>
      </c>
      <c r="R3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">
        <f>IF(AND(NOT(ISBLANK(ReconciliationData[[#This Row],[Contract_Price]])),ReconciliationData[[#This Row],[Billed_Price]]&lt;&gt;ReconciliationData[[#This Row],[Contract_Price]]),1,0)</f>
        <v>0</v>
      </c>
      <c r="T383">
        <f>IF(AND(NOT(ISBLANK(ReconciliationData[[#This Row],[End_Date]])),ReconciliationData[[#This Row],[Order_Date]]&gt;ReconciliationData[[#This Row],[End_Date]]),1,0)</f>
        <v>0</v>
      </c>
      <c r="U383">
        <f>IF(AND(NOT(ISBLANK(ReconciliationData[[#This Row],[last_return_date]])),ReconciliationData[[#This Row],[last_return_date]]&gt;ReconciliationData[[#This Row],[Order_Date]]+60),1,0)</f>
        <v>0</v>
      </c>
      <c r="V383">
        <f>IF(ReconciliationData[[#This Row],[total_returned_units]]&gt;ReconciliationData[[#This Row],[ordered_units]],1,0)</f>
        <v>0</v>
      </c>
      <c r="W3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3">
        <f>ReconciliationData[[#This Row],[Billed_Units]]*ReconciliationData[[#This Row],[Billed_Price]]</f>
        <v>13583.4336</v>
      </c>
      <c r="Y383">
        <f>ReconciliationData[[#This Row],[ordered_units]]*ReconciliationData[[#This Row],[List_Price]]</f>
        <v>13583.4336</v>
      </c>
      <c r="Z383">
        <f>ReconciliationData[[#This Row],[billed_revenue]]-ReconciliationData[[#This Row],[expected_revenue]]</f>
        <v>0</v>
      </c>
      <c r="AA3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3" t="str">
        <f>IF(ReconciliationData[[#This Row],[severity_score]]=0,"LOW",
 IF(ReconciliationData[[#This Row],[severity_score]]&lt;=5,"MEDIUM","HIGH"))</f>
        <v>LOW</v>
      </c>
      <c r="AC383" t="str">
        <f>TEXT(ReconciliationData[[#This Row],[Order_Date]],"YYYY-MM")</f>
        <v>2023-09</v>
      </c>
    </row>
    <row r="384" spans="1:29">
      <c r="A384" t="s">
        <v>1422</v>
      </c>
      <c r="B384" s="1">
        <v>45155</v>
      </c>
      <c r="C384" t="s">
        <v>1423</v>
      </c>
      <c r="D384" t="s">
        <v>1424</v>
      </c>
      <c r="E384">
        <v>37</v>
      </c>
      <c r="F384" t="s">
        <v>1425</v>
      </c>
      <c r="G384">
        <v>37</v>
      </c>
      <c r="H384">
        <v>174.32480000000001</v>
      </c>
      <c r="N384">
        <v>174.32480000000001</v>
      </c>
      <c r="O384" s="1">
        <v>45142</v>
      </c>
      <c r="P384">
        <f>IF(ISBLANK(ReconciliationData[[#This Row],[Invoice_ID]]),1,0)</f>
        <v>0</v>
      </c>
      <c r="Q384">
        <f>IF(AND(NOT(ISBLANK(ReconciliationData[[#This Row],[Billed_Units]])),ReconciliationData[[#This Row],[ordered_units]]&lt;&gt;ReconciliationData[[#This Row],[Billed_Units]]),1,0)</f>
        <v>0</v>
      </c>
      <c r="R3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4">
        <f>IF(AND(NOT(ISBLANK(ReconciliationData[[#This Row],[Contract_Price]])),ReconciliationData[[#This Row],[Billed_Price]]&lt;&gt;ReconciliationData[[#This Row],[Contract_Price]]),1,0)</f>
        <v>0</v>
      </c>
      <c r="T384">
        <f>IF(AND(NOT(ISBLANK(ReconciliationData[[#This Row],[End_Date]])),ReconciliationData[[#This Row],[Order_Date]]&gt;ReconciliationData[[#This Row],[End_Date]]),1,0)</f>
        <v>0</v>
      </c>
      <c r="U384">
        <f>IF(AND(NOT(ISBLANK(ReconciliationData[[#This Row],[last_return_date]])),ReconciliationData[[#This Row],[last_return_date]]&gt;ReconciliationData[[#This Row],[Order_Date]]+60),1,0)</f>
        <v>0</v>
      </c>
      <c r="V384">
        <f>IF(ReconciliationData[[#This Row],[total_returned_units]]&gt;ReconciliationData[[#This Row],[ordered_units]],1,0)</f>
        <v>0</v>
      </c>
      <c r="W3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4">
        <f>ReconciliationData[[#This Row],[Billed_Units]]*ReconciliationData[[#This Row],[Billed_Price]]</f>
        <v>6450.0176000000001</v>
      </c>
      <c r="Y384">
        <f>ReconciliationData[[#This Row],[ordered_units]]*ReconciliationData[[#This Row],[List_Price]]</f>
        <v>6450.0176000000001</v>
      </c>
      <c r="Z384">
        <f>ReconciliationData[[#This Row],[billed_revenue]]-ReconciliationData[[#This Row],[expected_revenue]]</f>
        <v>0</v>
      </c>
      <c r="AA3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4" t="str">
        <f>IF(ReconciliationData[[#This Row],[severity_score]]=0,"LOW",
 IF(ReconciliationData[[#This Row],[severity_score]]&lt;=5,"MEDIUM","HIGH"))</f>
        <v>LOW</v>
      </c>
      <c r="AC384" t="str">
        <f>TEXT(ReconciliationData[[#This Row],[Order_Date]],"YYYY-MM")</f>
        <v>2023-08</v>
      </c>
    </row>
    <row r="385" spans="1:29">
      <c r="A385" t="s">
        <v>1426</v>
      </c>
      <c r="B385" s="1">
        <v>45548</v>
      </c>
      <c r="C385" t="s">
        <v>411</v>
      </c>
      <c r="D385" t="s">
        <v>479</v>
      </c>
      <c r="E385">
        <v>129</v>
      </c>
      <c r="F385" t="s">
        <v>1427</v>
      </c>
      <c r="G385">
        <v>129</v>
      </c>
      <c r="H385">
        <v>1014.5718000000001</v>
      </c>
      <c r="N385">
        <v>1014.5718000000001</v>
      </c>
      <c r="O385" s="1">
        <v>45035</v>
      </c>
      <c r="P385">
        <f>IF(ISBLANK(ReconciliationData[[#This Row],[Invoice_ID]]),1,0)</f>
        <v>0</v>
      </c>
      <c r="Q385">
        <f>IF(AND(NOT(ISBLANK(ReconciliationData[[#This Row],[Billed_Units]])),ReconciliationData[[#This Row],[ordered_units]]&lt;&gt;ReconciliationData[[#This Row],[Billed_Units]]),1,0)</f>
        <v>0</v>
      </c>
      <c r="R3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">
        <f>IF(AND(NOT(ISBLANK(ReconciliationData[[#This Row],[Contract_Price]])),ReconciliationData[[#This Row],[Billed_Price]]&lt;&gt;ReconciliationData[[#This Row],[Contract_Price]]),1,0)</f>
        <v>0</v>
      </c>
      <c r="T385">
        <f>IF(AND(NOT(ISBLANK(ReconciliationData[[#This Row],[End_Date]])),ReconciliationData[[#This Row],[Order_Date]]&gt;ReconciliationData[[#This Row],[End_Date]]),1,0)</f>
        <v>0</v>
      </c>
      <c r="U385">
        <f>IF(AND(NOT(ISBLANK(ReconciliationData[[#This Row],[last_return_date]])),ReconciliationData[[#This Row],[last_return_date]]&gt;ReconciliationData[[#This Row],[Order_Date]]+60),1,0)</f>
        <v>0</v>
      </c>
      <c r="V385">
        <f>IF(ReconciliationData[[#This Row],[total_returned_units]]&gt;ReconciliationData[[#This Row],[ordered_units]],1,0)</f>
        <v>0</v>
      </c>
      <c r="W3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5">
        <f>ReconciliationData[[#This Row],[Billed_Units]]*ReconciliationData[[#This Row],[Billed_Price]]</f>
        <v>130879.76220000001</v>
      </c>
      <c r="Y385">
        <f>ReconciliationData[[#This Row],[ordered_units]]*ReconciliationData[[#This Row],[List_Price]]</f>
        <v>130879.76220000001</v>
      </c>
      <c r="Z385">
        <f>ReconciliationData[[#This Row],[billed_revenue]]-ReconciliationData[[#This Row],[expected_revenue]]</f>
        <v>0</v>
      </c>
      <c r="AA3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5" t="str">
        <f>IF(ReconciliationData[[#This Row],[severity_score]]=0,"LOW",
 IF(ReconciliationData[[#This Row],[severity_score]]&lt;=5,"MEDIUM","HIGH"))</f>
        <v>LOW</v>
      </c>
      <c r="AC385" t="str">
        <f>TEXT(ReconciliationData[[#This Row],[Order_Date]],"YYYY-MM")</f>
        <v>2024-09</v>
      </c>
    </row>
    <row r="386" spans="1:29">
      <c r="A386" t="s">
        <v>1428</v>
      </c>
      <c r="B386" s="1">
        <v>45601</v>
      </c>
      <c r="C386" t="s">
        <v>1429</v>
      </c>
      <c r="D386" t="s">
        <v>757</v>
      </c>
      <c r="E386">
        <v>181</v>
      </c>
      <c r="F386" t="s">
        <v>1430</v>
      </c>
      <c r="G386">
        <v>181</v>
      </c>
      <c r="H386">
        <v>744.44590000000005</v>
      </c>
      <c r="N386">
        <v>744.44590000000005</v>
      </c>
      <c r="O386" s="1">
        <v>45008</v>
      </c>
      <c r="P386">
        <f>IF(ISBLANK(ReconciliationData[[#This Row],[Invoice_ID]]),1,0)</f>
        <v>0</v>
      </c>
      <c r="Q386">
        <f>IF(AND(NOT(ISBLANK(ReconciliationData[[#This Row],[Billed_Units]])),ReconciliationData[[#This Row],[ordered_units]]&lt;&gt;ReconciliationData[[#This Row],[Billed_Units]]),1,0)</f>
        <v>0</v>
      </c>
      <c r="R3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">
        <f>IF(AND(NOT(ISBLANK(ReconciliationData[[#This Row],[Contract_Price]])),ReconciliationData[[#This Row],[Billed_Price]]&lt;&gt;ReconciliationData[[#This Row],[Contract_Price]]),1,0)</f>
        <v>0</v>
      </c>
      <c r="T386">
        <f>IF(AND(NOT(ISBLANK(ReconciliationData[[#This Row],[End_Date]])),ReconciliationData[[#This Row],[Order_Date]]&gt;ReconciliationData[[#This Row],[End_Date]]),1,0)</f>
        <v>0</v>
      </c>
      <c r="U386">
        <f>IF(AND(NOT(ISBLANK(ReconciliationData[[#This Row],[last_return_date]])),ReconciliationData[[#This Row],[last_return_date]]&gt;ReconciliationData[[#This Row],[Order_Date]]+60),1,0)</f>
        <v>0</v>
      </c>
      <c r="V386">
        <f>IF(ReconciliationData[[#This Row],[total_returned_units]]&gt;ReconciliationData[[#This Row],[ordered_units]],1,0)</f>
        <v>0</v>
      </c>
      <c r="W3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6">
        <f>ReconciliationData[[#This Row],[Billed_Units]]*ReconciliationData[[#This Row],[Billed_Price]]</f>
        <v>134744.70790000001</v>
      </c>
      <c r="Y386">
        <f>ReconciliationData[[#This Row],[ordered_units]]*ReconciliationData[[#This Row],[List_Price]]</f>
        <v>134744.70790000001</v>
      </c>
      <c r="Z386">
        <f>ReconciliationData[[#This Row],[billed_revenue]]-ReconciliationData[[#This Row],[expected_revenue]]</f>
        <v>0</v>
      </c>
      <c r="AA3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6" t="str">
        <f>IF(ReconciliationData[[#This Row],[severity_score]]=0,"LOW",
 IF(ReconciliationData[[#This Row],[severity_score]]&lt;=5,"MEDIUM","HIGH"))</f>
        <v>LOW</v>
      </c>
      <c r="AC386" t="str">
        <f>TEXT(ReconciliationData[[#This Row],[Order_Date]],"YYYY-MM")</f>
        <v>2024-11</v>
      </c>
    </row>
    <row r="387" spans="1:29">
      <c r="A387" t="s">
        <v>1431</v>
      </c>
      <c r="B387" s="1">
        <v>45459</v>
      </c>
      <c r="C387" t="s">
        <v>1053</v>
      </c>
      <c r="D387" t="s">
        <v>1432</v>
      </c>
      <c r="E387">
        <v>113</v>
      </c>
      <c r="F387" t="s">
        <v>1433</v>
      </c>
      <c r="G387">
        <v>113</v>
      </c>
      <c r="H387">
        <v>828.36189999999999</v>
      </c>
      <c r="N387">
        <v>828.36189999999999</v>
      </c>
      <c r="O387" s="1">
        <v>45137</v>
      </c>
      <c r="P387">
        <f>IF(ISBLANK(ReconciliationData[[#This Row],[Invoice_ID]]),1,0)</f>
        <v>0</v>
      </c>
      <c r="Q387">
        <f>IF(AND(NOT(ISBLANK(ReconciliationData[[#This Row],[Billed_Units]])),ReconciliationData[[#This Row],[ordered_units]]&lt;&gt;ReconciliationData[[#This Row],[Billed_Units]]),1,0)</f>
        <v>0</v>
      </c>
      <c r="R3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">
        <f>IF(AND(NOT(ISBLANK(ReconciliationData[[#This Row],[Contract_Price]])),ReconciliationData[[#This Row],[Billed_Price]]&lt;&gt;ReconciliationData[[#This Row],[Contract_Price]]),1,0)</f>
        <v>0</v>
      </c>
      <c r="T387">
        <f>IF(AND(NOT(ISBLANK(ReconciliationData[[#This Row],[End_Date]])),ReconciliationData[[#This Row],[Order_Date]]&gt;ReconciliationData[[#This Row],[End_Date]]),1,0)</f>
        <v>0</v>
      </c>
      <c r="U387">
        <f>IF(AND(NOT(ISBLANK(ReconciliationData[[#This Row],[last_return_date]])),ReconciliationData[[#This Row],[last_return_date]]&gt;ReconciliationData[[#This Row],[Order_Date]]+60),1,0)</f>
        <v>0</v>
      </c>
      <c r="V387">
        <f>IF(ReconciliationData[[#This Row],[total_returned_units]]&gt;ReconciliationData[[#This Row],[ordered_units]],1,0)</f>
        <v>0</v>
      </c>
      <c r="W3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">
        <f>ReconciliationData[[#This Row],[Billed_Units]]*ReconciliationData[[#This Row],[Billed_Price]]</f>
        <v>93604.894700000004</v>
      </c>
      <c r="Y387">
        <f>ReconciliationData[[#This Row],[ordered_units]]*ReconciliationData[[#This Row],[List_Price]]</f>
        <v>93604.894700000004</v>
      </c>
      <c r="Z387">
        <f>ReconciliationData[[#This Row],[billed_revenue]]-ReconciliationData[[#This Row],[expected_revenue]]</f>
        <v>0</v>
      </c>
      <c r="AA3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" t="str">
        <f>IF(ReconciliationData[[#This Row],[severity_score]]=0,"LOW",
 IF(ReconciliationData[[#This Row],[severity_score]]&lt;=5,"MEDIUM","HIGH"))</f>
        <v>LOW</v>
      </c>
      <c r="AC387" t="str">
        <f>TEXT(ReconciliationData[[#This Row],[Order_Date]],"YYYY-MM")</f>
        <v>2024-06</v>
      </c>
    </row>
    <row r="388" spans="1:29">
      <c r="A388" t="s">
        <v>1434</v>
      </c>
      <c r="B388" s="1">
        <v>45046</v>
      </c>
      <c r="C388" t="s">
        <v>1435</v>
      </c>
      <c r="D388" t="s">
        <v>1436</v>
      </c>
      <c r="E388">
        <v>15</v>
      </c>
      <c r="F388" t="s">
        <v>1437</v>
      </c>
      <c r="G388">
        <v>15</v>
      </c>
      <c r="H388">
        <v>168.47040000000001</v>
      </c>
      <c r="N388">
        <v>168.47040000000001</v>
      </c>
      <c r="O388" s="1">
        <v>45026</v>
      </c>
      <c r="P388">
        <f>IF(ISBLANK(ReconciliationData[[#This Row],[Invoice_ID]]),1,0)</f>
        <v>0</v>
      </c>
      <c r="Q388">
        <f>IF(AND(NOT(ISBLANK(ReconciliationData[[#This Row],[Billed_Units]])),ReconciliationData[[#This Row],[ordered_units]]&lt;&gt;ReconciliationData[[#This Row],[Billed_Units]]),1,0)</f>
        <v>0</v>
      </c>
      <c r="R3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">
        <f>IF(AND(NOT(ISBLANK(ReconciliationData[[#This Row],[Contract_Price]])),ReconciliationData[[#This Row],[Billed_Price]]&lt;&gt;ReconciliationData[[#This Row],[Contract_Price]]),1,0)</f>
        <v>0</v>
      </c>
      <c r="T388">
        <f>IF(AND(NOT(ISBLANK(ReconciliationData[[#This Row],[End_Date]])),ReconciliationData[[#This Row],[Order_Date]]&gt;ReconciliationData[[#This Row],[End_Date]]),1,0)</f>
        <v>0</v>
      </c>
      <c r="U388">
        <f>IF(AND(NOT(ISBLANK(ReconciliationData[[#This Row],[last_return_date]])),ReconciliationData[[#This Row],[last_return_date]]&gt;ReconciliationData[[#This Row],[Order_Date]]+60),1,0)</f>
        <v>0</v>
      </c>
      <c r="V388">
        <f>IF(ReconciliationData[[#This Row],[total_returned_units]]&gt;ReconciliationData[[#This Row],[ordered_units]],1,0)</f>
        <v>0</v>
      </c>
      <c r="W3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8">
        <f>ReconciliationData[[#This Row],[Billed_Units]]*ReconciliationData[[#This Row],[Billed_Price]]</f>
        <v>2527.056</v>
      </c>
      <c r="Y388">
        <f>ReconciliationData[[#This Row],[ordered_units]]*ReconciliationData[[#This Row],[List_Price]]</f>
        <v>2527.056</v>
      </c>
      <c r="Z388">
        <f>ReconciliationData[[#This Row],[billed_revenue]]-ReconciliationData[[#This Row],[expected_revenue]]</f>
        <v>0</v>
      </c>
      <c r="AA3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8" t="str">
        <f>IF(ReconciliationData[[#This Row],[severity_score]]=0,"LOW",
 IF(ReconciliationData[[#This Row],[severity_score]]&lt;=5,"MEDIUM","HIGH"))</f>
        <v>LOW</v>
      </c>
      <c r="AC388" t="str">
        <f>TEXT(ReconciliationData[[#This Row],[Order_Date]],"YYYY-MM")</f>
        <v>2023-04</v>
      </c>
    </row>
    <row r="389" spans="1:29">
      <c r="A389" t="s">
        <v>1438</v>
      </c>
      <c r="B389" s="1">
        <v>45119</v>
      </c>
      <c r="C389" t="s">
        <v>1439</v>
      </c>
      <c r="D389" t="s">
        <v>997</v>
      </c>
      <c r="E389">
        <v>10</v>
      </c>
      <c r="F389" t="s">
        <v>1440</v>
      </c>
      <c r="G389">
        <v>10</v>
      </c>
      <c r="H389">
        <v>1153.4984999999999</v>
      </c>
      <c r="N389">
        <v>1153.4984999999999</v>
      </c>
      <c r="O389" s="1">
        <v>44962</v>
      </c>
      <c r="P389">
        <f>IF(ISBLANK(ReconciliationData[[#This Row],[Invoice_ID]]),1,0)</f>
        <v>0</v>
      </c>
      <c r="Q389">
        <f>IF(AND(NOT(ISBLANK(ReconciliationData[[#This Row],[Billed_Units]])),ReconciliationData[[#This Row],[ordered_units]]&lt;&gt;ReconciliationData[[#This Row],[Billed_Units]]),1,0)</f>
        <v>0</v>
      </c>
      <c r="R3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">
        <f>IF(AND(NOT(ISBLANK(ReconciliationData[[#This Row],[Contract_Price]])),ReconciliationData[[#This Row],[Billed_Price]]&lt;&gt;ReconciliationData[[#This Row],[Contract_Price]]),1,0)</f>
        <v>0</v>
      </c>
      <c r="T389">
        <f>IF(AND(NOT(ISBLANK(ReconciliationData[[#This Row],[End_Date]])),ReconciliationData[[#This Row],[Order_Date]]&gt;ReconciliationData[[#This Row],[End_Date]]),1,0)</f>
        <v>0</v>
      </c>
      <c r="U389">
        <f>IF(AND(NOT(ISBLANK(ReconciliationData[[#This Row],[last_return_date]])),ReconciliationData[[#This Row],[last_return_date]]&gt;ReconciliationData[[#This Row],[Order_Date]]+60),1,0)</f>
        <v>0</v>
      </c>
      <c r="V389">
        <f>IF(ReconciliationData[[#This Row],[total_returned_units]]&gt;ReconciliationData[[#This Row],[ordered_units]],1,0)</f>
        <v>0</v>
      </c>
      <c r="W3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">
        <f>ReconciliationData[[#This Row],[Billed_Units]]*ReconciliationData[[#This Row],[Billed_Price]]</f>
        <v>11534.984999999999</v>
      </c>
      <c r="Y389">
        <f>ReconciliationData[[#This Row],[ordered_units]]*ReconciliationData[[#This Row],[List_Price]]</f>
        <v>11534.984999999999</v>
      </c>
      <c r="Z389">
        <f>ReconciliationData[[#This Row],[billed_revenue]]-ReconciliationData[[#This Row],[expected_revenue]]</f>
        <v>0</v>
      </c>
      <c r="AA3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" t="str">
        <f>IF(ReconciliationData[[#This Row],[severity_score]]=0,"LOW",
 IF(ReconciliationData[[#This Row],[severity_score]]&lt;=5,"MEDIUM","HIGH"))</f>
        <v>LOW</v>
      </c>
      <c r="AC389" t="str">
        <f>TEXT(ReconciliationData[[#This Row],[Order_Date]],"YYYY-MM")</f>
        <v>2023-07</v>
      </c>
    </row>
    <row r="390" spans="1:29">
      <c r="A390" t="s">
        <v>1441</v>
      </c>
      <c r="B390" s="1">
        <v>45178</v>
      </c>
      <c r="C390" t="s">
        <v>1205</v>
      </c>
      <c r="D390" t="s">
        <v>923</v>
      </c>
      <c r="E390">
        <v>156</v>
      </c>
      <c r="F390" t="s">
        <v>1442</v>
      </c>
      <c r="G390">
        <v>156</v>
      </c>
      <c r="H390">
        <v>754.20799999999997</v>
      </c>
      <c r="N390">
        <v>754.20799999999997</v>
      </c>
      <c r="O390" s="1">
        <v>45069</v>
      </c>
      <c r="P390">
        <f>IF(ISBLANK(ReconciliationData[[#This Row],[Invoice_ID]]),1,0)</f>
        <v>0</v>
      </c>
      <c r="Q390">
        <f>IF(AND(NOT(ISBLANK(ReconciliationData[[#This Row],[Billed_Units]])),ReconciliationData[[#This Row],[ordered_units]]&lt;&gt;ReconciliationData[[#This Row],[Billed_Units]]),1,0)</f>
        <v>0</v>
      </c>
      <c r="R3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">
        <f>IF(AND(NOT(ISBLANK(ReconciliationData[[#This Row],[Contract_Price]])),ReconciliationData[[#This Row],[Billed_Price]]&lt;&gt;ReconciliationData[[#This Row],[Contract_Price]]),1,0)</f>
        <v>0</v>
      </c>
      <c r="T390">
        <f>IF(AND(NOT(ISBLANK(ReconciliationData[[#This Row],[End_Date]])),ReconciliationData[[#This Row],[Order_Date]]&gt;ReconciliationData[[#This Row],[End_Date]]),1,0)</f>
        <v>0</v>
      </c>
      <c r="U390">
        <f>IF(AND(NOT(ISBLANK(ReconciliationData[[#This Row],[last_return_date]])),ReconciliationData[[#This Row],[last_return_date]]&gt;ReconciliationData[[#This Row],[Order_Date]]+60),1,0)</f>
        <v>0</v>
      </c>
      <c r="V390">
        <f>IF(ReconciliationData[[#This Row],[total_returned_units]]&gt;ReconciliationData[[#This Row],[ordered_units]],1,0)</f>
        <v>0</v>
      </c>
      <c r="W3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0">
        <f>ReconciliationData[[#This Row],[Billed_Units]]*ReconciliationData[[#This Row],[Billed_Price]]</f>
        <v>117656.44799999999</v>
      </c>
      <c r="Y390">
        <f>ReconciliationData[[#This Row],[ordered_units]]*ReconciliationData[[#This Row],[List_Price]]</f>
        <v>117656.44799999999</v>
      </c>
      <c r="Z390">
        <f>ReconciliationData[[#This Row],[billed_revenue]]-ReconciliationData[[#This Row],[expected_revenue]]</f>
        <v>0</v>
      </c>
      <c r="AA3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0" t="str">
        <f>IF(ReconciliationData[[#This Row],[severity_score]]=0,"LOW",
 IF(ReconciliationData[[#This Row],[severity_score]]&lt;=5,"MEDIUM","HIGH"))</f>
        <v>LOW</v>
      </c>
      <c r="AC390" t="str">
        <f>TEXT(ReconciliationData[[#This Row],[Order_Date]],"YYYY-MM")</f>
        <v>2023-09</v>
      </c>
    </row>
    <row r="391" spans="1:29">
      <c r="A391" t="s">
        <v>1443</v>
      </c>
      <c r="B391" s="1">
        <v>45425</v>
      </c>
      <c r="C391" t="s">
        <v>1444</v>
      </c>
      <c r="D391" t="s">
        <v>190</v>
      </c>
      <c r="E391">
        <v>11</v>
      </c>
      <c r="F391" t="s">
        <v>1445</v>
      </c>
      <c r="G391">
        <v>11</v>
      </c>
      <c r="H391">
        <v>265.44960000000003</v>
      </c>
      <c r="N391">
        <v>265.44960000000003</v>
      </c>
      <c r="O391" s="1">
        <v>44999</v>
      </c>
      <c r="P391">
        <f>IF(ISBLANK(ReconciliationData[[#This Row],[Invoice_ID]]),1,0)</f>
        <v>0</v>
      </c>
      <c r="Q391">
        <f>IF(AND(NOT(ISBLANK(ReconciliationData[[#This Row],[Billed_Units]])),ReconciliationData[[#This Row],[ordered_units]]&lt;&gt;ReconciliationData[[#This Row],[Billed_Units]]),1,0)</f>
        <v>0</v>
      </c>
      <c r="R3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">
        <f>IF(AND(NOT(ISBLANK(ReconciliationData[[#This Row],[Contract_Price]])),ReconciliationData[[#This Row],[Billed_Price]]&lt;&gt;ReconciliationData[[#This Row],[Contract_Price]]),1,0)</f>
        <v>0</v>
      </c>
      <c r="T391">
        <f>IF(AND(NOT(ISBLANK(ReconciliationData[[#This Row],[End_Date]])),ReconciliationData[[#This Row],[Order_Date]]&gt;ReconciliationData[[#This Row],[End_Date]]),1,0)</f>
        <v>0</v>
      </c>
      <c r="U391">
        <f>IF(AND(NOT(ISBLANK(ReconciliationData[[#This Row],[last_return_date]])),ReconciliationData[[#This Row],[last_return_date]]&gt;ReconciliationData[[#This Row],[Order_Date]]+60),1,0)</f>
        <v>0</v>
      </c>
      <c r="V391">
        <f>IF(ReconciliationData[[#This Row],[total_returned_units]]&gt;ReconciliationData[[#This Row],[ordered_units]],1,0)</f>
        <v>0</v>
      </c>
      <c r="W3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1">
        <f>ReconciliationData[[#This Row],[Billed_Units]]*ReconciliationData[[#This Row],[Billed_Price]]</f>
        <v>2919.9456000000005</v>
      </c>
      <c r="Y391">
        <f>ReconciliationData[[#This Row],[ordered_units]]*ReconciliationData[[#This Row],[List_Price]]</f>
        <v>2919.9456000000005</v>
      </c>
      <c r="Z391">
        <f>ReconciliationData[[#This Row],[billed_revenue]]-ReconciliationData[[#This Row],[expected_revenue]]</f>
        <v>0</v>
      </c>
      <c r="AA3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1" t="str">
        <f>IF(ReconciliationData[[#This Row],[severity_score]]=0,"LOW",
 IF(ReconciliationData[[#This Row],[severity_score]]&lt;=5,"MEDIUM","HIGH"))</f>
        <v>LOW</v>
      </c>
      <c r="AC391" t="str">
        <f>TEXT(ReconciliationData[[#This Row],[Order_Date]],"YYYY-MM")</f>
        <v>2024-05</v>
      </c>
    </row>
    <row r="392" spans="1:29">
      <c r="A392" t="s">
        <v>1446</v>
      </c>
      <c r="B392" s="1">
        <v>45420</v>
      </c>
      <c r="C392" t="s">
        <v>422</v>
      </c>
      <c r="D392" t="s">
        <v>891</v>
      </c>
      <c r="E392">
        <v>115</v>
      </c>
      <c r="F392" t="s">
        <v>1447</v>
      </c>
      <c r="G392">
        <v>115</v>
      </c>
      <c r="H392">
        <v>680.30940000000021</v>
      </c>
      <c r="N392">
        <v>680.30940000000021</v>
      </c>
      <c r="O392" s="1">
        <v>44934</v>
      </c>
      <c r="P392">
        <f>IF(ISBLANK(ReconciliationData[[#This Row],[Invoice_ID]]),1,0)</f>
        <v>0</v>
      </c>
      <c r="Q392">
        <f>IF(AND(NOT(ISBLANK(ReconciliationData[[#This Row],[Billed_Units]])),ReconciliationData[[#This Row],[ordered_units]]&lt;&gt;ReconciliationData[[#This Row],[Billed_Units]]),1,0)</f>
        <v>0</v>
      </c>
      <c r="R3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">
        <f>IF(AND(NOT(ISBLANK(ReconciliationData[[#This Row],[Contract_Price]])),ReconciliationData[[#This Row],[Billed_Price]]&lt;&gt;ReconciliationData[[#This Row],[Contract_Price]]),1,0)</f>
        <v>0</v>
      </c>
      <c r="T392">
        <f>IF(AND(NOT(ISBLANK(ReconciliationData[[#This Row],[End_Date]])),ReconciliationData[[#This Row],[Order_Date]]&gt;ReconciliationData[[#This Row],[End_Date]]),1,0)</f>
        <v>0</v>
      </c>
      <c r="U392">
        <f>IF(AND(NOT(ISBLANK(ReconciliationData[[#This Row],[last_return_date]])),ReconciliationData[[#This Row],[last_return_date]]&gt;ReconciliationData[[#This Row],[Order_Date]]+60),1,0)</f>
        <v>0</v>
      </c>
      <c r="V392">
        <f>IF(ReconciliationData[[#This Row],[total_returned_units]]&gt;ReconciliationData[[#This Row],[ordered_units]],1,0)</f>
        <v>0</v>
      </c>
      <c r="W3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">
        <f>ReconciliationData[[#This Row],[Billed_Units]]*ReconciliationData[[#This Row],[Billed_Price]]</f>
        <v>78235.58100000002</v>
      </c>
      <c r="Y392">
        <f>ReconciliationData[[#This Row],[ordered_units]]*ReconciliationData[[#This Row],[List_Price]]</f>
        <v>78235.58100000002</v>
      </c>
      <c r="Z392">
        <f>ReconciliationData[[#This Row],[billed_revenue]]-ReconciliationData[[#This Row],[expected_revenue]]</f>
        <v>0</v>
      </c>
      <c r="AA3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" t="str">
        <f>IF(ReconciliationData[[#This Row],[severity_score]]=0,"LOW",
 IF(ReconciliationData[[#This Row],[severity_score]]&lt;=5,"MEDIUM","HIGH"))</f>
        <v>LOW</v>
      </c>
      <c r="AC392" t="str">
        <f>TEXT(ReconciliationData[[#This Row],[Order_Date]],"YYYY-MM")</f>
        <v>2024-05</v>
      </c>
    </row>
    <row r="393" spans="1:29">
      <c r="A393" t="s">
        <v>1448</v>
      </c>
      <c r="B393" s="1">
        <v>45272</v>
      </c>
      <c r="C393" t="s">
        <v>336</v>
      </c>
      <c r="D393" t="s">
        <v>1449</v>
      </c>
      <c r="E393">
        <v>81</v>
      </c>
      <c r="F393" t="s">
        <v>1450</v>
      </c>
      <c r="G393">
        <v>81</v>
      </c>
      <c r="H393">
        <v>960.85850000000005</v>
      </c>
      <c r="N393">
        <v>960.85850000000005</v>
      </c>
      <c r="O393" s="1">
        <v>45049</v>
      </c>
      <c r="P393">
        <f>IF(ISBLANK(ReconciliationData[[#This Row],[Invoice_ID]]),1,0)</f>
        <v>0</v>
      </c>
      <c r="Q393">
        <f>IF(AND(NOT(ISBLANK(ReconciliationData[[#This Row],[Billed_Units]])),ReconciliationData[[#This Row],[ordered_units]]&lt;&gt;ReconciliationData[[#This Row],[Billed_Units]]),1,0)</f>
        <v>0</v>
      </c>
      <c r="R3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">
        <f>IF(AND(NOT(ISBLANK(ReconciliationData[[#This Row],[Contract_Price]])),ReconciliationData[[#This Row],[Billed_Price]]&lt;&gt;ReconciliationData[[#This Row],[Contract_Price]]),1,0)</f>
        <v>0</v>
      </c>
      <c r="T393">
        <f>IF(AND(NOT(ISBLANK(ReconciliationData[[#This Row],[End_Date]])),ReconciliationData[[#This Row],[Order_Date]]&gt;ReconciliationData[[#This Row],[End_Date]]),1,0)</f>
        <v>0</v>
      </c>
      <c r="U393">
        <f>IF(AND(NOT(ISBLANK(ReconciliationData[[#This Row],[last_return_date]])),ReconciliationData[[#This Row],[last_return_date]]&gt;ReconciliationData[[#This Row],[Order_Date]]+60),1,0)</f>
        <v>0</v>
      </c>
      <c r="V393">
        <f>IF(ReconciliationData[[#This Row],[total_returned_units]]&gt;ReconciliationData[[#This Row],[ordered_units]],1,0)</f>
        <v>0</v>
      </c>
      <c r="W3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3">
        <f>ReconciliationData[[#This Row],[Billed_Units]]*ReconciliationData[[#This Row],[Billed_Price]]</f>
        <v>77829.53850000001</v>
      </c>
      <c r="Y393">
        <f>ReconciliationData[[#This Row],[ordered_units]]*ReconciliationData[[#This Row],[List_Price]]</f>
        <v>77829.53850000001</v>
      </c>
      <c r="Z393">
        <f>ReconciliationData[[#This Row],[billed_revenue]]-ReconciliationData[[#This Row],[expected_revenue]]</f>
        <v>0</v>
      </c>
      <c r="AA3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3" t="str">
        <f>IF(ReconciliationData[[#This Row],[severity_score]]=0,"LOW",
 IF(ReconciliationData[[#This Row],[severity_score]]&lt;=5,"MEDIUM","HIGH"))</f>
        <v>LOW</v>
      </c>
      <c r="AC393" t="str">
        <f>TEXT(ReconciliationData[[#This Row],[Order_Date]],"YYYY-MM")</f>
        <v>2023-12</v>
      </c>
    </row>
    <row r="394" spans="1:29">
      <c r="A394" t="s">
        <v>1451</v>
      </c>
      <c r="B394" s="1">
        <v>45512</v>
      </c>
      <c r="C394" t="s">
        <v>1452</v>
      </c>
      <c r="D394" t="s">
        <v>263</v>
      </c>
      <c r="E394">
        <v>82</v>
      </c>
      <c r="F394" t="s">
        <v>1453</v>
      </c>
      <c r="G394">
        <v>82</v>
      </c>
      <c r="H394">
        <v>1147.3289</v>
      </c>
      <c r="I394">
        <v>4</v>
      </c>
      <c r="J394" s="1">
        <v>45385</v>
      </c>
      <c r="N394">
        <v>1147.3289</v>
      </c>
      <c r="O394" s="1">
        <v>44945</v>
      </c>
      <c r="P394">
        <f>IF(ISBLANK(ReconciliationData[[#This Row],[Invoice_ID]]),1,0)</f>
        <v>0</v>
      </c>
      <c r="Q394">
        <f>IF(AND(NOT(ISBLANK(ReconciliationData[[#This Row],[Billed_Units]])),ReconciliationData[[#This Row],[ordered_units]]&lt;&gt;ReconciliationData[[#This Row],[Billed_Units]]),1,0)</f>
        <v>0</v>
      </c>
      <c r="R3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">
        <f>IF(AND(NOT(ISBLANK(ReconciliationData[[#This Row],[Contract_Price]])),ReconciliationData[[#This Row],[Billed_Price]]&lt;&gt;ReconciliationData[[#This Row],[Contract_Price]]),1,0)</f>
        <v>0</v>
      </c>
      <c r="T394">
        <f>IF(AND(NOT(ISBLANK(ReconciliationData[[#This Row],[End_Date]])),ReconciliationData[[#This Row],[Order_Date]]&gt;ReconciliationData[[#This Row],[End_Date]]),1,0)</f>
        <v>0</v>
      </c>
      <c r="U394">
        <f>IF(AND(NOT(ISBLANK(ReconciliationData[[#This Row],[last_return_date]])),ReconciliationData[[#This Row],[last_return_date]]&gt;ReconciliationData[[#This Row],[Order_Date]]+60),1,0)</f>
        <v>0</v>
      </c>
      <c r="V394">
        <f>IF(ReconciliationData[[#This Row],[total_returned_units]]&gt;ReconciliationData[[#This Row],[ordered_units]],1,0)</f>
        <v>0</v>
      </c>
      <c r="W3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4">
        <f>ReconciliationData[[#This Row],[Billed_Units]]*ReconciliationData[[#This Row],[Billed_Price]]</f>
        <v>94080.969799999992</v>
      </c>
      <c r="Y394">
        <f>ReconciliationData[[#This Row],[ordered_units]]*ReconciliationData[[#This Row],[List_Price]]</f>
        <v>94080.969799999992</v>
      </c>
      <c r="Z394">
        <f>ReconciliationData[[#This Row],[billed_revenue]]-ReconciliationData[[#This Row],[expected_revenue]]</f>
        <v>0</v>
      </c>
      <c r="AA3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4" t="str">
        <f>IF(ReconciliationData[[#This Row],[severity_score]]=0,"LOW",
 IF(ReconciliationData[[#This Row],[severity_score]]&lt;=5,"MEDIUM","HIGH"))</f>
        <v>LOW</v>
      </c>
      <c r="AC394" t="str">
        <f>TEXT(ReconciliationData[[#This Row],[Order_Date]],"YYYY-MM")</f>
        <v>2024-08</v>
      </c>
    </row>
    <row r="395" spans="1:29">
      <c r="A395" t="s">
        <v>1454</v>
      </c>
      <c r="B395" s="1">
        <v>45534</v>
      </c>
      <c r="C395" t="s">
        <v>551</v>
      </c>
      <c r="D395" t="s">
        <v>1455</v>
      </c>
      <c r="E395">
        <v>132</v>
      </c>
      <c r="F395" t="s">
        <v>1456</v>
      </c>
      <c r="G395">
        <v>132</v>
      </c>
      <c r="H395">
        <v>556.99</v>
      </c>
      <c r="N395">
        <v>556.99</v>
      </c>
      <c r="O395" s="1">
        <v>45147</v>
      </c>
      <c r="P395">
        <f>IF(ISBLANK(ReconciliationData[[#This Row],[Invoice_ID]]),1,0)</f>
        <v>0</v>
      </c>
      <c r="Q395">
        <f>IF(AND(NOT(ISBLANK(ReconciliationData[[#This Row],[Billed_Units]])),ReconciliationData[[#This Row],[ordered_units]]&lt;&gt;ReconciliationData[[#This Row],[Billed_Units]]),1,0)</f>
        <v>0</v>
      </c>
      <c r="R3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5">
        <f>IF(AND(NOT(ISBLANK(ReconciliationData[[#This Row],[Contract_Price]])),ReconciliationData[[#This Row],[Billed_Price]]&lt;&gt;ReconciliationData[[#This Row],[Contract_Price]]),1,0)</f>
        <v>0</v>
      </c>
      <c r="T395">
        <f>IF(AND(NOT(ISBLANK(ReconciliationData[[#This Row],[End_Date]])),ReconciliationData[[#This Row],[Order_Date]]&gt;ReconciliationData[[#This Row],[End_Date]]),1,0)</f>
        <v>0</v>
      </c>
      <c r="U395">
        <f>IF(AND(NOT(ISBLANK(ReconciliationData[[#This Row],[last_return_date]])),ReconciliationData[[#This Row],[last_return_date]]&gt;ReconciliationData[[#This Row],[Order_Date]]+60),1,0)</f>
        <v>0</v>
      </c>
      <c r="V395">
        <f>IF(ReconciliationData[[#This Row],[total_returned_units]]&gt;ReconciliationData[[#This Row],[ordered_units]],1,0)</f>
        <v>0</v>
      </c>
      <c r="W3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5">
        <f>ReconciliationData[[#This Row],[Billed_Units]]*ReconciliationData[[#This Row],[Billed_Price]]</f>
        <v>73522.680000000008</v>
      </c>
      <c r="Y395">
        <f>ReconciliationData[[#This Row],[ordered_units]]*ReconciliationData[[#This Row],[List_Price]]</f>
        <v>73522.680000000008</v>
      </c>
      <c r="Z395">
        <f>ReconciliationData[[#This Row],[billed_revenue]]-ReconciliationData[[#This Row],[expected_revenue]]</f>
        <v>0</v>
      </c>
      <c r="AA3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5" t="str">
        <f>IF(ReconciliationData[[#This Row],[severity_score]]=0,"LOW",
 IF(ReconciliationData[[#This Row],[severity_score]]&lt;=5,"MEDIUM","HIGH"))</f>
        <v>LOW</v>
      </c>
      <c r="AC395" t="str">
        <f>TEXT(ReconciliationData[[#This Row],[Order_Date]],"YYYY-MM")</f>
        <v>2024-08</v>
      </c>
    </row>
    <row r="396" spans="1:29">
      <c r="A396" t="s">
        <v>1457</v>
      </c>
      <c r="B396" s="1">
        <v>45080</v>
      </c>
      <c r="C396" t="s">
        <v>1458</v>
      </c>
      <c r="D396" t="s">
        <v>1459</v>
      </c>
      <c r="E396">
        <v>67</v>
      </c>
      <c r="F396" t="s">
        <v>1460</v>
      </c>
      <c r="G396">
        <v>67</v>
      </c>
      <c r="H396">
        <v>1208.5299</v>
      </c>
      <c r="N396">
        <v>1208.5299</v>
      </c>
      <c r="O396" s="1">
        <v>44983</v>
      </c>
      <c r="P396">
        <f>IF(ISBLANK(ReconciliationData[[#This Row],[Invoice_ID]]),1,0)</f>
        <v>0</v>
      </c>
      <c r="Q396">
        <f>IF(AND(NOT(ISBLANK(ReconciliationData[[#This Row],[Billed_Units]])),ReconciliationData[[#This Row],[ordered_units]]&lt;&gt;ReconciliationData[[#This Row],[Billed_Units]]),1,0)</f>
        <v>0</v>
      </c>
      <c r="R3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">
        <f>IF(AND(NOT(ISBLANK(ReconciliationData[[#This Row],[Contract_Price]])),ReconciliationData[[#This Row],[Billed_Price]]&lt;&gt;ReconciliationData[[#This Row],[Contract_Price]]),1,0)</f>
        <v>0</v>
      </c>
      <c r="T396">
        <f>IF(AND(NOT(ISBLANK(ReconciliationData[[#This Row],[End_Date]])),ReconciliationData[[#This Row],[Order_Date]]&gt;ReconciliationData[[#This Row],[End_Date]]),1,0)</f>
        <v>0</v>
      </c>
      <c r="U396">
        <f>IF(AND(NOT(ISBLANK(ReconciliationData[[#This Row],[last_return_date]])),ReconciliationData[[#This Row],[last_return_date]]&gt;ReconciliationData[[#This Row],[Order_Date]]+60),1,0)</f>
        <v>0</v>
      </c>
      <c r="V396">
        <f>IF(ReconciliationData[[#This Row],[total_returned_units]]&gt;ReconciliationData[[#This Row],[ordered_units]],1,0)</f>
        <v>0</v>
      </c>
      <c r="W3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">
        <f>ReconciliationData[[#This Row],[Billed_Units]]*ReconciliationData[[#This Row],[Billed_Price]]</f>
        <v>80971.503299999997</v>
      </c>
      <c r="Y396">
        <f>ReconciliationData[[#This Row],[ordered_units]]*ReconciliationData[[#This Row],[List_Price]]</f>
        <v>80971.503299999997</v>
      </c>
      <c r="Z396">
        <f>ReconciliationData[[#This Row],[billed_revenue]]-ReconciliationData[[#This Row],[expected_revenue]]</f>
        <v>0</v>
      </c>
      <c r="AA3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" t="str">
        <f>IF(ReconciliationData[[#This Row],[severity_score]]=0,"LOW",
 IF(ReconciliationData[[#This Row],[severity_score]]&lt;=5,"MEDIUM","HIGH"))</f>
        <v>LOW</v>
      </c>
      <c r="AC396" t="str">
        <f>TEXT(ReconciliationData[[#This Row],[Order_Date]],"YYYY-MM")</f>
        <v>2023-06</v>
      </c>
    </row>
    <row r="397" spans="1:29">
      <c r="A397" t="s">
        <v>1461</v>
      </c>
      <c r="B397" s="1">
        <v>45500</v>
      </c>
      <c r="C397" t="s">
        <v>1462</v>
      </c>
      <c r="D397" t="s">
        <v>227</v>
      </c>
      <c r="E397">
        <v>192</v>
      </c>
      <c r="F397" t="s">
        <v>1463</v>
      </c>
      <c r="G397">
        <v>192</v>
      </c>
      <c r="H397">
        <v>626.68790000000001</v>
      </c>
      <c r="N397">
        <v>626.68790000000001</v>
      </c>
      <c r="O397" s="1">
        <v>45103</v>
      </c>
      <c r="P397">
        <f>IF(ISBLANK(ReconciliationData[[#This Row],[Invoice_ID]]),1,0)</f>
        <v>0</v>
      </c>
      <c r="Q397">
        <f>IF(AND(NOT(ISBLANK(ReconciliationData[[#This Row],[Billed_Units]])),ReconciliationData[[#This Row],[ordered_units]]&lt;&gt;ReconciliationData[[#This Row],[Billed_Units]]),1,0)</f>
        <v>0</v>
      </c>
      <c r="R3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">
        <f>IF(AND(NOT(ISBLANK(ReconciliationData[[#This Row],[Contract_Price]])),ReconciliationData[[#This Row],[Billed_Price]]&lt;&gt;ReconciliationData[[#This Row],[Contract_Price]]),1,0)</f>
        <v>0</v>
      </c>
      <c r="T397">
        <f>IF(AND(NOT(ISBLANK(ReconciliationData[[#This Row],[End_Date]])),ReconciliationData[[#This Row],[Order_Date]]&gt;ReconciliationData[[#This Row],[End_Date]]),1,0)</f>
        <v>0</v>
      </c>
      <c r="U397">
        <f>IF(AND(NOT(ISBLANK(ReconciliationData[[#This Row],[last_return_date]])),ReconciliationData[[#This Row],[last_return_date]]&gt;ReconciliationData[[#This Row],[Order_Date]]+60),1,0)</f>
        <v>0</v>
      </c>
      <c r="V397">
        <f>IF(ReconciliationData[[#This Row],[total_returned_units]]&gt;ReconciliationData[[#This Row],[ordered_units]],1,0)</f>
        <v>0</v>
      </c>
      <c r="W3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7">
        <f>ReconciliationData[[#This Row],[Billed_Units]]*ReconciliationData[[#This Row],[Billed_Price]]</f>
        <v>120324.07680000001</v>
      </c>
      <c r="Y397">
        <f>ReconciliationData[[#This Row],[ordered_units]]*ReconciliationData[[#This Row],[List_Price]]</f>
        <v>120324.07680000001</v>
      </c>
      <c r="Z397">
        <f>ReconciliationData[[#This Row],[billed_revenue]]-ReconciliationData[[#This Row],[expected_revenue]]</f>
        <v>0</v>
      </c>
      <c r="AA3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7" t="str">
        <f>IF(ReconciliationData[[#This Row],[severity_score]]=0,"LOW",
 IF(ReconciliationData[[#This Row],[severity_score]]&lt;=5,"MEDIUM","HIGH"))</f>
        <v>LOW</v>
      </c>
      <c r="AC397" t="str">
        <f>TEXT(ReconciliationData[[#This Row],[Order_Date]],"YYYY-MM")</f>
        <v>2024-07</v>
      </c>
    </row>
    <row r="398" spans="1:29">
      <c r="A398" t="s">
        <v>1464</v>
      </c>
      <c r="B398" s="1">
        <v>45421</v>
      </c>
      <c r="C398" t="s">
        <v>320</v>
      </c>
      <c r="D398" t="s">
        <v>397</v>
      </c>
      <c r="E398">
        <v>66</v>
      </c>
      <c r="F398" t="s">
        <v>1465</v>
      </c>
      <c r="G398">
        <v>66</v>
      </c>
      <c r="H398">
        <v>96.6</v>
      </c>
      <c r="N398">
        <v>96.6</v>
      </c>
      <c r="O398" s="1">
        <v>45105</v>
      </c>
      <c r="P398">
        <f>IF(ISBLANK(ReconciliationData[[#This Row],[Invoice_ID]]),1,0)</f>
        <v>0</v>
      </c>
      <c r="Q398">
        <f>IF(AND(NOT(ISBLANK(ReconciliationData[[#This Row],[Billed_Units]])),ReconciliationData[[#This Row],[ordered_units]]&lt;&gt;ReconciliationData[[#This Row],[Billed_Units]]),1,0)</f>
        <v>0</v>
      </c>
      <c r="R3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8">
        <f>IF(AND(NOT(ISBLANK(ReconciliationData[[#This Row],[Contract_Price]])),ReconciliationData[[#This Row],[Billed_Price]]&lt;&gt;ReconciliationData[[#This Row],[Contract_Price]]),1,0)</f>
        <v>0</v>
      </c>
      <c r="T398">
        <f>IF(AND(NOT(ISBLANK(ReconciliationData[[#This Row],[End_Date]])),ReconciliationData[[#This Row],[Order_Date]]&gt;ReconciliationData[[#This Row],[End_Date]]),1,0)</f>
        <v>0</v>
      </c>
      <c r="U398">
        <f>IF(AND(NOT(ISBLANK(ReconciliationData[[#This Row],[last_return_date]])),ReconciliationData[[#This Row],[last_return_date]]&gt;ReconciliationData[[#This Row],[Order_Date]]+60),1,0)</f>
        <v>0</v>
      </c>
      <c r="V398">
        <f>IF(ReconciliationData[[#This Row],[total_returned_units]]&gt;ReconciliationData[[#This Row],[ordered_units]],1,0)</f>
        <v>0</v>
      </c>
      <c r="W3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8">
        <f>ReconciliationData[[#This Row],[Billed_Units]]*ReconciliationData[[#This Row],[Billed_Price]]</f>
        <v>6375.5999999999995</v>
      </c>
      <c r="Y398">
        <f>ReconciliationData[[#This Row],[ordered_units]]*ReconciliationData[[#This Row],[List_Price]]</f>
        <v>6375.5999999999995</v>
      </c>
      <c r="Z398">
        <f>ReconciliationData[[#This Row],[billed_revenue]]-ReconciliationData[[#This Row],[expected_revenue]]</f>
        <v>0</v>
      </c>
      <c r="AA3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8" t="str">
        <f>IF(ReconciliationData[[#This Row],[severity_score]]=0,"LOW",
 IF(ReconciliationData[[#This Row],[severity_score]]&lt;=5,"MEDIUM","HIGH"))</f>
        <v>LOW</v>
      </c>
      <c r="AC398" t="str">
        <f>TEXT(ReconciliationData[[#This Row],[Order_Date]],"YYYY-MM")</f>
        <v>2024-05</v>
      </c>
    </row>
    <row r="399" spans="1:29">
      <c r="A399" t="s">
        <v>1466</v>
      </c>
      <c r="B399" s="1">
        <v>45588</v>
      </c>
      <c r="C399" t="s">
        <v>440</v>
      </c>
      <c r="D399" t="s">
        <v>1411</v>
      </c>
      <c r="E399">
        <v>198</v>
      </c>
      <c r="F399" t="s">
        <v>1467</v>
      </c>
      <c r="G399">
        <v>198</v>
      </c>
      <c r="H399">
        <v>1167.9120000000005</v>
      </c>
      <c r="N399">
        <v>1167.9120000000005</v>
      </c>
      <c r="O399" s="1">
        <v>45019</v>
      </c>
      <c r="P399">
        <f>IF(ISBLANK(ReconciliationData[[#This Row],[Invoice_ID]]),1,0)</f>
        <v>0</v>
      </c>
      <c r="Q399">
        <f>IF(AND(NOT(ISBLANK(ReconciliationData[[#This Row],[Billed_Units]])),ReconciliationData[[#This Row],[ordered_units]]&lt;&gt;ReconciliationData[[#This Row],[Billed_Units]]),1,0)</f>
        <v>0</v>
      </c>
      <c r="R3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">
        <f>IF(AND(NOT(ISBLANK(ReconciliationData[[#This Row],[Contract_Price]])),ReconciliationData[[#This Row],[Billed_Price]]&lt;&gt;ReconciliationData[[#This Row],[Contract_Price]]),1,0)</f>
        <v>0</v>
      </c>
      <c r="T399">
        <f>IF(AND(NOT(ISBLANK(ReconciliationData[[#This Row],[End_Date]])),ReconciliationData[[#This Row],[Order_Date]]&gt;ReconciliationData[[#This Row],[End_Date]]),1,0)</f>
        <v>0</v>
      </c>
      <c r="U399">
        <f>IF(AND(NOT(ISBLANK(ReconciliationData[[#This Row],[last_return_date]])),ReconciliationData[[#This Row],[last_return_date]]&gt;ReconciliationData[[#This Row],[Order_Date]]+60),1,0)</f>
        <v>0</v>
      </c>
      <c r="V399">
        <f>IF(ReconciliationData[[#This Row],[total_returned_units]]&gt;ReconciliationData[[#This Row],[ordered_units]],1,0)</f>
        <v>0</v>
      </c>
      <c r="W3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">
        <f>ReconciliationData[[#This Row],[Billed_Units]]*ReconciliationData[[#This Row],[Billed_Price]]</f>
        <v>231246.57600000009</v>
      </c>
      <c r="Y399">
        <f>ReconciliationData[[#This Row],[ordered_units]]*ReconciliationData[[#This Row],[List_Price]]</f>
        <v>231246.57600000009</v>
      </c>
      <c r="Z399">
        <f>ReconciliationData[[#This Row],[billed_revenue]]-ReconciliationData[[#This Row],[expected_revenue]]</f>
        <v>0</v>
      </c>
      <c r="AA3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" t="str">
        <f>IF(ReconciliationData[[#This Row],[severity_score]]=0,"LOW",
 IF(ReconciliationData[[#This Row],[severity_score]]&lt;=5,"MEDIUM","HIGH"))</f>
        <v>LOW</v>
      </c>
      <c r="AC399" t="str">
        <f>TEXT(ReconciliationData[[#This Row],[Order_Date]],"YYYY-MM")</f>
        <v>2024-10</v>
      </c>
    </row>
    <row r="400" spans="1:29">
      <c r="A400" t="s">
        <v>1468</v>
      </c>
      <c r="B400" s="1">
        <v>45358</v>
      </c>
      <c r="C400" t="s">
        <v>1469</v>
      </c>
      <c r="D400" t="s">
        <v>1470</v>
      </c>
      <c r="E400">
        <v>176</v>
      </c>
      <c r="F400" t="s">
        <v>1471</v>
      </c>
      <c r="G400">
        <v>176</v>
      </c>
      <c r="H400">
        <v>690.05370000000005</v>
      </c>
      <c r="N400">
        <v>690.05370000000005</v>
      </c>
      <c r="O400" s="1">
        <v>44976</v>
      </c>
      <c r="P400">
        <f>IF(ISBLANK(ReconciliationData[[#This Row],[Invoice_ID]]),1,0)</f>
        <v>0</v>
      </c>
      <c r="Q400">
        <f>IF(AND(NOT(ISBLANK(ReconciliationData[[#This Row],[Billed_Units]])),ReconciliationData[[#This Row],[ordered_units]]&lt;&gt;ReconciliationData[[#This Row],[Billed_Units]]),1,0)</f>
        <v>0</v>
      </c>
      <c r="R4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0">
        <f>IF(AND(NOT(ISBLANK(ReconciliationData[[#This Row],[Contract_Price]])),ReconciliationData[[#This Row],[Billed_Price]]&lt;&gt;ReconciliationData[[#This Row],[Contract_Price]]),1,0)</f>
        <v>0</v>
      </c>
      <c r="T400">
        <f>IF(AND(NOT(ISBLANK(ReconciliationData[[#This Row],[End_Date]])),ReconciliationData[[#This Row],[Order_Date]]&gt;ReconciliationData[[#This Row],[End_Date]]),1,0)</f>
        <v>0</v>
      </c>
      <c r="U400">
        <f>IF(AND(NOT(ISBLANK(ReconciliationData[[#This Row],[last_return_date]])),ReconciliationData[[#This Row],[last_return_date]]&gt;ReconciliationData[[#This Row],[Order_Date]]+60),1,0)</f>
        <v>0</v>
      </c>
      <c r="V400">
        <f>IF(ReconciliationData[[#This Row],[total_returned_units]]&gt;ReconciliationData[[#This Row],[ordered_units]],1,0)</f>
        <v>0</v>
      </c>
      <c r="W4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00">
        <f>ReconciliationData[[#This Row],[Billed_Units]]*ReconciliationData[[#This Row],[Billed_Price]]</f>
        <v>121449.45120000001</v>
      </c>
      <c r="Y400">
        <f>ReconciliationData[[#This Row],[ordered_units]]*ReconciliationData[[#This Row],[List_Price]]</f>
        <v>121449.45120000001</v>
      </c>
      <c r="Z400">
        <f>ReconciliationData[[#This Row],[billed_revenue]]-ReconciliationData[[#This Row],[expected_revenue]]</f>
        <v>0</v>
      </c>
      <c r="AA4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00" t="str">
        <f>IF(ReconciliationData[[#This Row],[severity_score]]=0,"LOW",
 IF(ReconciliationData[[#This Row],[severity_score]]&lt;=5,"MEDIUM","HIGH"))</f>
        <v>LOW</v>
      </c>
      <c r="AC400" t="str">
        <f>TEXT(ReconciliationData[[#This Row],[Order_Date]],"YYYY-MM")</f>
        <v>2024-03</v>
      </c>
    </row>
    <row r="401" spans="1:29">
      <c r="A401" t="s">
        <v>1472</v>
      </c>
      <c r="B401" s="1">
        <v>45538</v>
      </c>
      <c r="C401" t="s">
        <v>778</v>
      </c>
      <c r="D401" t="s">
        <v>408</v>
      </c>
      <c r="E401">
        <v>38</v>
      </c>
      <c r="F401" t="s">
        <v>1473</v>
      </c>
      <c r="G401">
        <v>37</v>
      </c>
      <c r="H401">
        <v>660.96040000000005</v>
      </c>
      <c r="N401">
        <v>660.96040000000005</v>
      </c>
      <c r="O401" s="1">
        <v>44947</v>
      </c>
      <c r="P401">
        <f>IF(ISBLANK(ReconciliationData[[#This Row],[Invoice_ID]]),1,0)</f>
        <v>0</v>
      </c>
      <c r="Q401">
        <f>IF(AND(NOT(ISBLANK(ReconciliationData[[#This Row],[Billed_Units]])),ReconciliationData[[#This Row],[ordered_units]]&lt;&gt;ReconciliationData[[#This Row],[Billed_Units]]),1,0)</f>
        <v>1</v>
      </c>
      <c r="R4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1">
        <f>IF(AND(NOT(ISBLANK(ReconciliationData[[#This Row],[Contract_Price]])),ReconciliationData[[#This Row],[Billed_Price]]&lt;&gt;ReconciliationData[[#This Row],[Contract_Price]]),1,0)</f>
        <v>0</v>
      </c>
      <c r="T401">
        <f>IF(AND(NOT(ISBLANK(ReconciliationData[[#This Row],[End_Date]])),ReconciliationData[[#This Row],[Order_Date]]&gt;ReconciliationData[[#This Row],[End_Date]]),1,0)</f>
        <v>0</v>
      </c>
      <c r="U401">
        <f>IF(AND(NOT(ISBLANK(ReconciliationData[[#This Row],[last_return_date]])),ReconciliationData[[#This Row],[last_return_date]]&gt;ReconciliationData[[#This Row],[Order_Date]]+60),1,0)</f>
        <v>0</v>
      </c>
      <c r="V401">
        <f>IF(ReconciliationData[[#This Row],[total_returned_units]]&gt;ReconciliationData[[#This Row],[ordered_units]],1,0)</f>
        <v>0</v>
      </c>
      <c r="W4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01">
        <f>ReconciliationData[[#This Row],[Billed_Units]]*ReconciliationData[[#This Row],[Billed_Price]]</f>
        <v>24455.534800000001</v>
      </c>
      <c r="Y401">
        <f>ReconciliationData[[#This Row],[ordered_units]]*ReconciliationData[[#This Row],[List_Price]]</f>
        <v>25116.495200000001</v>
      </c>
      <c r="Z401">
        <f>ReconciliationData[[#This Row],[billed_revenue]]-ReconciliationData[[#This Row],[expected_revenue]]</f>
        <v>-660.96039999999994</v>
      </c>
      <c r="AA4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401" t="str">
        <f>IF(ReconciliationData[[#This Row],[severity_score]]=0,"LOW",
 IF(ReconciliationData[[#This Row],[severity_score]]&lt;=5,"MEDIUM","HIGH"))</f>
        <v>HIGH</v>
      </c>
      <c r="AC401" t="str">
        <f>TEXT(ReconciliationData[[#This Row],[Order_Date]],"YYYY-MM")</f>
        <v>2024-09</v>
      </c>
    </row>
    <row r="402" spans="1:29">
      <c r="A402" t="s">
        <v>1474</v>
      </c>
      <c r="B402" s="1">
        <v>45469</v>
      </c>
      <c r="C402" t="s">
        <v>1475</v>
      </c>
      <c r="D402" t="s">
        <v>134</v>
      </c>
      <c r="E402">
        <v>1</v>
      </c>
      <c r="F402" t="s">
        <v>1476</v>
      </c>
      <c r="G402">
        <v>1</v>
      </c>
      <c r="H402">
        <v>446.4905</v>
      </c>
      <c r="N402">
        <v>446.4905</v>
      </c>
      <c r="O402" s="1">
        <v>45161</v>
      </c>
      <c r="P402">
        <f>IF(ISBLANK(ReconciliationData[[#This Row],[Invoice_ID]]),1,0)</f>
        <v>0</v>
      </c>
      <c r="Q402">
        <f>IF(AND(NOT(ISBLANK(ReconciliationData[[#This Row],[Billed_Units]])),ReconciliationData[[#This Row],[ordered_units]]&lt;&gt;ReconciliationData[[#This Row],[Billed_Units]]),1,0)</f>
        <v>0</v>
      </c>
      <c r="R4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2">
        <f>IF(AND(NOT(ISBLANK(ReconciliationData[[#This Row],[Contract_Price]])),ReconciliationData[[#This Row],[Billed_Price]]&lt;&gt;ReconciliationData[[#This Row],[Contract_Price]]),1,0)</f>
        <v>0</v>
      </c>
      <c r="T402">
        <f>IF(AND(NOT(ISBLANK(ReconciliationData[[#This Row],[End_Date]])),ReconciliationData[[#This Row],[Order_Date]]&gt;ReconciliationData[[#This Row],[End_Date]]),1,0)</f>
        <v>0</v>
      </c>
      <c r="U402">
        <f>IF(AND(NOT(ISBLANK(ReconciliationData[[#This Row],[last_return_date]])),ReconciliationData[[#This Row],[last_return_date]]&gt;ReconciliationData[[#This Row],[Order_Date]]+60),1,0)</f>
        <v>0</v>
      </c>
      <c r="V402">
        <f>IF(ReconciliationData[[#This Row],[total_returned_units]]&gt;ReconciliationData[[#This Row],[ordered_units]],1,0)</f>
        <v>0</v>
      </c>
      <c r="W4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02">
        <f>ReconciliationData[[#This Row],[Billed_Units]]*ReconciliationData[[#This Row],[Billed_Price]]</f>
        <v>446.4905</v>
      </c>
      <c r="Y402">
        <f>ReconciliationData[[#This Row],[ordered_units]]*ReconciliationData[[#This Row],[List_Price]]</f>
        <v>446.4905</v>
      </c>
      <c r="Z402">
        <f>ReconciliationData[[#This Row],[billed_revenue]]-ReconciliationData[[#This Row],[expected_revenue]]</f>
        <v>0</v>
      </c>
      <c r="AA4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02" t="str">
        <f>IF(ReconciliationData[[#This Row],[severity_score]]=0,"LOW",
 IF(ReconciliationData[[#This Row],[severity_score]]&lt;=5,"MEDIUM","HIGH"))</f>
        <v>LOW</v>
      </c>
      <c r="AC402" t="str">
        <f>TEXT(ReconciliationData[[#This Row],[Order_Date]],"YYYY-MM")</f>
        <v>2024-06</v>
      </c>
    </row>
    <row r="403" spans="1:29">
      <c r="A403" t="s">
        <v>1477</v>
      </c>
      <c r="B403" s="1">
        <v>45171</v>
      </c>
      <c r="C403" t="s">
        <v>1478</v>
      </c>
      <c r="D403" t="s">
        <v>430</v>
      </c>
      <c r="E403">
        <v>178</v>
      </c>
      <c r="F403" t="s">
        <v>1479</v>
      </c>
      <c r="G403">
        <v>178</v>
      </c>
      <c r="H403">
        <v>876.32749999999999</v>
      </c>
      <c r="N403">
        <v>876.32749999999999</v>
      </c>
      <c r="O403" s="1">
        <v>45106</v>
      </c>
      <c r="P403">
        <f>IF(ISBLANK(ReconciliationData[[#This Row],[Invoice_ID]]),1,0)</f>
        <v>0</v>
      </c>
      <c r="Q403">
        <f>IF(AND(NOT(ISBLANK(ReconciliationData[[#This Row],[Billed_Units]])),ReconciliationData[[#This Row],[ordered_units]]&lt;&gt;ReconciliationData[[#This Row],[Billed_Units]]),1,0)</f>
        <v>0</v>
      </c>
      <c r="R4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3">
        <f>IF(AND(NOT(ISBLANK(ReconciliationData[[#This Row],[Contract_Price]])),ReconciliationData[[#This Row],[Billed_Price]]&lt;&gt;ReconciliationData[[#This Row],[Contract_Price]]),1,0)</f>
        <v>0</v>
      </c>
      <c r="T403">
        <f>IF(AND(NOT(ISBLANK(ReconciliationData[[#This Row],[End_Date]])),ReconciliationData[[#This Row],[Order_Date]]&gt;ReconciliationData[[#This Row],[End_Date]]),1,0)</f>
        <v>0</v>
      </c>
      <c r="U403">
        <f>IF(AND(NOT(ISBLANK(ReconciliationData[[#This Row],[last_return_date]])),ReconciliationData[[#This Row],[last_return_date]]&gt;ReconciliationData[[#This Row],[Order_Date]]+60),1,0)</f>
        <v>0</v>
      </c>
      <c r="V403">
        <f>IF(ReconciliationData[[#This Row],[total_returned_units]]&gt;ReconciliationData[[#This Row],[ordered_units]],1,0)</f>
        <v>0</v>
      </c>
      <c r="W4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03">
        <f>ReconciliationData[[#This Row],[Billed_Units]]*ReconciliationData[[#This Row],[Billed_Price]]</f>
        <v>155986.29499999998</v>
      </c>
      <c r="Y403">
        <f>ReconciliationData[[#This Row],[ordered_units]]*ReconciliationData[[#This Row],[List_Price]]</f>
        <v>155986.29499999998</v>
      </c>
      <c r="Z403">
        <f>ReconciliationData[[#This Row],[billed_revenue]]-ReconciliationData[[#This Row],[expected_revenue]]</f>
        <v>0</v>
      </c>
      <c r="AA4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03" t="str">
        <f>IF(ReconciliationData[[#This Row],[severity_score]]=0,"LOW",
 IF(ReconciliationData[[#This Row],[severity_score]]&lt;=5,"MEDIUM","HIGH"))</f>
        <v>LOW</v>
      </c>
      <c r="AC403" t="str">
        <f>TEXT(ReconciliationData[[#This Row],[Order_Date]],"YYYY-MM")</f>
        <v>2023-09</v>
      </c>
    </row>
    <row r="404" spans="1:29">
      <c r="A404" t="s">
        <v>1480</v>
      </c>
      <c r="B404" s="1">
        <v>45585</v>
      </c>
      <c r="C404" t="s">
        <v>1253</v>
      </c>
      <c r="D404" t="s">
        <v>544</v>
      </c>
      <c r="E404">
        <v>158</v>
      </c>
      <c r="F404" t="s">
        <v>1481</v>
      </c>
      <c r="G404">
        <v>158</v>
      </c>
      <c r="H404">
        <v>765.52319999999997</v>
      </c>
      <c r="N404">
        <v>765.52319999999997</v>
      </c>
      <c r="O404" s="1">
        <v>45174</v>
      </c>
      <c r="P404">
        <f>IF(ISBLANK(ReconciliationData[[#This Row],[Invoice_ID]]),1,0)</f>
        <v>0</v>
      </c>
      <c r="Q404">
        <f>IF(AND(NOT(ISBLANK(ReconciliationData[[#This Row],[Billed_Units]])),ReconciliationData[[#This Row],[ordered_units]]&lt;&gt;ReconciliationData[[#This Row],[Billed_Units]]),1,0)</f>
        <v>0</v>
      </c>
      <c r="R4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4">
        <f>IF(AND(NOT(ISBLANK(ReconciliationData[[#This Row],[Contract_Price]])),ReconciliationData[[#This Row],[Billed_Price]]&lt;&gt;ReconciliationData[[#This Row],[Contract_Price]]),1,0)</f>
        <v>0</v>
      </c>
      <c r="T404">
        <f>IF(AND(NOT(ISBLANK(ReconciliationData[[#This Row],[End_Date]])),ReconciliationData[[#This Row],[Order_Date]]&gt;ReconciliationData[[#This Row],[End_Date]]),1,0)</f>
        <v>0</v>
      </c>
      <c r="U404">
        <f>IF(AND(NOT(ISBLANK(ReconciliationData[[#This Row],[last_return_date]])),ReconciliationData[[#This Row],[last_return_date]]&gt;ReconciliationData[[#This Row],[Order_Date]]+60),1,0)</f>
        <v>0</v>
      </c>
      <c r="V404">
        <f>IF(ReconciliationData[[#This Row],[total_returned_units]]&gt;ReconciliationData[[#This Row],[ordered_units]],1,0)</f>
        <v>0</v>
      </c>
      <c r="W4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04">
        <f>ReconciliationData[[#This Row],[Billed_Units]]*ReconciliationData[[#This Row],[Billed_Price]]</f>
        <v>120952.66559999999</v>
      </c>
      <c r="Y404">
        <f>ReconciliationData[[#This Row],[ordered_units]]*ReconciliationData[[#This Row],[List_Price]]</f>
        <v>120952.66559999999</v>
      </c>
      <c r="Z404">
        <f>ReconciliationData[[#This Row],[billed_revenue]]-ReconciliationData[[#This Row],[expected_revenue]]</f>
        <v>0</v>
      </c>
      <c r="AA4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04" t="str">
        <f>IF(ReconciliationData[[#This Row],[severity_score]]=0,"LOW",
 IF(ReconciliationData[[#This Row],[severity_score]]&lt;=5,"MEDIUM","HIGH"))</f>
        <v>LOW</v>
      </c>
      <c r="AC404" t="str">
        <f>TEXT(ReconciliationData[[#This Row],[Order_Date]],"YYYY-MM")</f>
        <v>2024-10</v>
      </c>
    </row>
    <row r="405" spans="1:29">
      <c r="A405" t="s">
        <v>1482</v>
      </c>
      <c r="B405" s="1">
        <v>45128</v>
      </c>
      <c r="C405" t="s">
        <v>1483</v>
      </c>
      <c r="D405" t="s">
        <v>1385</v>
      </c>
      <c r="E405">
        <v>36</v>
      </c>
      <c r="F405" t="s">
        <v>1484</v>
      </c>
      <c r="G405">
        <v>36</v>
      </c>
      <c r="H405">
        <v>296.2912</v>
      </c>
      <c r="N405">
        <v>296.2912</v>
      </c>
      <c r="O405" s="1">
        <v>44921</v>
      </c>
      <c r="P405">
        <f>IF(ISBLANK(ReconciliationData[[#This Row],[Invoice_ID]]),1,0)</f>
        <v>0</v>
      </c>
      <c r="Q405">
        <f>IF(AND(NOT(ISBLANK(ReconciliationData[[#This Row],[Billed_Units]])),ReconciliationData[[#This Row],[ordered_units]]&lt;&gt;ReconciliationData[[#This Row],[Billed_Units]]),1,0)</f>
        <v>0</v>
      </c>
      <c r="R4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5">
        <f>IF(AND(NOT(ISBLANK(ReconciliationData[[#This Row],[Contract_Price]])),ReconciliationData[[#This Row],[Billed_Price]]&lt;&gt;ReconciliationData[[#This Row],[Contract_Price]]),1,0)</f>
        <v>0</v>
      </c>
      <c r="T405">
        <f>IF(AND(NOT(ISBLANK(ReconciliationData[[#This Row],[End_Date]])),ReconciliationData[[#This Row],[Order_Date]]&gt;ReconciliationData[[#This Row],[End_Date]]),1,0)</f>
        <v>0</v>
      </c>
      <c r="U405">
        <f>IF(AND(NOT(ISBLANK(ReconciliationData[[#This Row],[last_return_date]])),ReconciliationData[[#This Row],[last_return_date]]&gt;ReconciliationData[[#This Row],[Order_Date]]+60),1,0)</f>
        <v>0</v>
      </c>
      <c r="V405">
        <f>IF(ReconciliationData[[#This Row],[total_returned_units]]&gt;ReconciliationData[[#This Row],[ordered_units]],1,0)</f>
        <v>0</v>
      </c>
      <c r="W4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05">
        <f>ReconciliationData[[#This Row],[Billed_Units]]*ReconciliationData[[#This Row],[Billed_Price]]</f>
        <v>10666.483200000001</v>
      </c>
      <c r="Y405">
        <f>ReconciliationData[[#This Row],[ordered_units]]*ReconciliationData[[#This Row],[List_Price]]</f>
        <v>10666.483200000001</v>
      </c>
      <c r="Z405">
        <f>ReconciliationData[[#This Row],[billed_revenue]]-ReconciliationData[[#This Row],[expected_revenue]]</f>
        <v>0</v>
      </c>
      <c r="AA4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05" t="str">
        <f>IF(ReconciliationData[[#This Row],[severity_score]]=0,"LOW",
 IF(ReconciliationData[[#This Row],[severity_score]]&lt;=5,"MEDIUM","HIGH"))</f>
        <v>LOW</v>
      </c>
      <c r="AC405" t="str">
        <f>TEXT(ReconciliationData[[#This Row],[Order_Date]],"YYYY-MM")</f>
        <v>2023-07</v>
      </c>
    </row>
    <row r="406" spans="1:29">
      <c r="A406" t="s">
        <v>1485</v>
      </c>
      <c r="B406" s="1">
        <v>45454</v>
      </c>
      <c r="C406" t="s">
        <v>1486</v>
      </c>
      <c r="D406" t="s">
        <v>1487</v>
      </c>
      <c r="E406">
        <v>64</v>
      </c>
      <c r="F406" t="s">
        <v>1488</v>
      </c>
      <c r="G406">
        <v>64</v>
      </c>
      <c r="H406">
        <v>273.24680000000001</v>
      </c>
      <c r="N406">
        <v>273.24680000000001</v>
      </c>
      <c r="O406" s="1">
        <v>45103</v>
      </c>
      <c r="P406">
        <f>IF(ISBLANK(ReconciliationData[[#This Row],[Invoice_ID]]),1,0)</f>
        <v>0</v>
      </c>
      <c r="Q406">
        <f>IF(AND(NOT(ISBLANK(ReconciliationData[[#This Row],[Billed_Units]])),ReconciliationData[[#This Row],[ordered_units]]&lt;&gt;ReconciliationData[[#This Row],[Billed_Units]]),1,0)</f>
        <v>0</v>
      </c>
      <c r="R4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6">
        <f>IF(AND(NOT(ISBLANK(ReconciliationData[[#This Row],[Contract_Price]])),ReconciliationData[[#This Row],[Billed_Price]]&lt;&gt;ReconciliationData[[#This Row],[Contract_Price]]),1,0)</f>
        <v>0</v>
      </c>
      <c r="T406">
        <f>IF(AND(NOT(ISBLANK(ReconciliationData[[#This Row],[End_Date]])),ReconciliationData[[#This Row],[Order_Date]]&gt;ReconciliationData[[#This Row],[End_Date]]),1,0)</f>
        <v>0</v>
      </c>
      <c r="U406">
        <f>IF(AND(NOT(ISBLANK(ReconciliationData[[#This Row],[last_return_date]])),ReconciliationData[[#This Row],[last_return_date]]&gt;ReconciliationData[[#This Row],[Order_Date]]+60),1,0)</f>
        <v>0</v>
      </c>
      <c r="V406">
        <f>IF(ReconciliationData[[#This Row],[total_returned_units]]&gt;ReconciliationData[[#This Row],[ordered_units]],1,0)</f>
        <v>0</v>
      </c>
      <c r="W4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06">
        <f>ReconciliationData[[#This Row],[Billed_Units]]*ReconciliationData[[#This Row],[Billed_Price]]</f>
        <v>17487.7952</v>
      </c>
      <c r="Y406">
        <f>ReconciliationData[[#This Row],[ordered_units]]*ReconciliationData[[#This Row],[List_Price]]</f>
        <v>17487.7952</v>
      </c>
      <c r="Z406">
        <f>ReconciliationData[[#This Row],[billed_revenue]]-ReconciliationData[[#This Row],[expected_revenue]]</f>
        <v>0</v>
      </c>
      <c r="AA4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06" t="str">
        <f>IF(ReconciliationData[[#This Row],[severity_score]]=0,"LOW",
 IF(ReconciliationData[[#This Row],[severity_score]]&lt;=5,"MEDIUM","HIGH"))</f>
        <v>LOW</v>
      </c>
      <c r="AC406" t="str">
        <f>TEXT(ReconciliationData[[#This Row],[Order_Date]],"YYYY-MM")</f>
        <v>2024-06</v>
      </c>
    </row>
    <row r="407" spans="1:29">
      <c r="A407" t="s">
        <v>1489</v>
      </c>
      <c r="B407" s="1">
        <v>45083</v>
      </c>
      <c r="C407" t="s">
        <v>1490</v>
      </c>
      <c r="D407" t="s">
        <v>1491</v>
      </c>
      <c r="E407">
        <v>47</v>
      </c>
      <c r="F407" t="s">
        <v>1492</v>
      </c>
      <c r="G407">
        <v>47</v>
      </c>
      <c r="H407">
        <v>901.83</v>
      </c>
      <c r="N407">
        <v>901.83</v>
      </c>
      <c r="O407" s="1">
        <v>44946</v>
      </c>
      <c r="P407">
        <f>IF(ISBLANK(ReconciliationData[[#This Row],[Invoice_ID]]),1,0)</f>
        <v>0</v>
      </c>
      <c r="Q407">
        <f>IF(AND(NOT(ISBLANK(ReconciliationData[[#This Row],[Billed_Units]])),ReconciliationData[[#This Row],[ordered_units]]&lt;&gt;ReconciliationData[[#This Row],[Billed_Units]]),1,0)</f>
        <v>0</v>
      </c>
      <c r="R4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7">
        <f>IF(AND(NOT(ISBLANK(ReconciliationData[[#This Row],[Contract_Price]])),ReconciliationData[[#This Row],[Billed_Price]]&lt;&gt;ReconciliationData[[#This Row],[Contract_Price]]),1,0)</f>
        <v>0</v>
      </c>
      <c r="T407">
        <f>IF(AND(NOT(ISBLANK(ReconciliationData[[#This Row],[End_Date]])),ReconciliationData[[#This Row],[Order_Date]]&gt;ReconciliationData[[#This Row],[End_Date]]),1,0)</f>
        <v>0</v>
      </c>
      <c r="U407">
        <f>IF(AND(NOT(ISBLANK(ReconciliationData[[#This Row],[last_return_date]])),ReconciliationData[[#This Row],[last_return_date]]&gt;ReconciliationData[[#This Row],[Order_Date]]+60),1,0)</f>
        <v>0</v>
      </c>
      <c r="V407">
        <f>IF(ReconciliationData[[#This Row],[total_returned_units]]&gt;ReconciliationData[[#This Row],[ordered_units]],1,0)</f>
        <v>0</v>
      </c>
      <c r="W4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07">
        <f>ReconciliationData[[#This Row],[Billed_Units]]*ReconciliationData[[#This Row],[Billed_Price]]</f>
        <v>42386.01</v>
      </c>
      <c r="Y407">
        <f>ReconciliationData[[#This Row],[ordered_units]]*ReconciliationData[[#This Row],[List_Price]]</f>
        <v>42386.01</v>
      </c>
      <c r="Z407">
        <f>ReconciliationData[[#This Row],[billed_revenue]]-ReconciliationData[[#This Row],[expected_revenue]]</f>
        <v>0</v>
      </c>
      <c r="AA4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07" t="str">
        <f>IF(ReconciliationData[[#This Row],[severity_score]]=0,"LOW",
 IF(ReconciliationData[[#This Row],[severity_score]]&lt;=5,"MEDIUM","HIGH"))</f>
        <v>LOW</v>
      </c>
      <c r="AC407" t="str">
        <f>TEXT(ReconciliationData[[#This Row],[Order_Date]],"YYYY-MM")</f>
        <v>2023-06</v>
      </c>
    </row>
    <row r="408" spans="1:29">
      <c r="A408" t="s">
        <v>1493</v>
      </c>
      <c r="B408" s="1">
        <v>45648</v>
      </c>
      <c r="C408" t="s">
        <v>1494</v>
      </c>
      <c r="D408" t="s">
        <v>1495</v>
      </c>
      <c r="E408">
        <v>54</v>
      </c>
      <c r="F408" t="s">
        <v>1496</v>
      </c>
      <c r="G408">
        <v>54</v>
      </c>
      <c r="H408">
        <v>377.08350000000002</v>
      </c>
      <c r="I408">
        <v>5</v>
      </c>
      <c r="J408" s="1">
        <v>45343</v>
      </c>
      <c r="N408">
        <v>377.08350000000002</v>
      </c>
      <c r="O408" s="1">
        <v>45064</v>
      </c>
      <c r="P408">
        <f>IF(ISBLANK(ReconciliationData[[#This Row],[Invoice_ID]]),1,0)</f>
        <v>0</v>
      </c>
      <c r="Q408">
        <f>IF(AND(NOT(ISBLANK(ReconciliationData[[#This Row],[Billed_Units]])),ReconciliationData[[#This Row],[ordered_units]]&lt;&gt;ReconciliationData[[#This Row],[Billed_Units]]),1,0)</f>
        <v>0</v>
      </c>
      <c r="R4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8">
        <f>IF(AND(NOT(ISBLANK(ReconciliationData[[#This Row],[Contract_Price]])),ReconciliationData[[#This Row],[Billed_Price]]&lt;&gt;ReconciliationData[[#This Row],[Contract_Price]]),1,0)</f>
        <v>0</v>
      </c>
      <c r="T408">
        <f>IF(AND(NOT(ISBLANK(ReconciliationData[[#This Row],[End_Date]])),ReconciliationData[[#This Row],[Order_Date]]&gt;ReconciliationData[[#This Row],[End_Date]]),1,0)</f>
        <v>0</v>
      </c>
      <c r="U408">
        <f>IF(AND(NOT(ISBLANK(ReconciliationData[[#This Row],[last_return_date]])),ReconciliationData[[#This Row],[last_return_date]]&gt;ReconciliationData[[#This Row],[Order_Date]]+60),1,0)</f>
        <v>0</v>
      </c>
      <c r="V408">
        <f>IF(ReconciliationData[[#This Row],[total_returned_units]]&gt;ReconciliationData[[#This Row],[ordered_units]],1,0)</f>
        <v>0</v>
      </c>
      <c r="W4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08">
        <f>ReconciliationData[[#This Row],[Billed_Units]]*ReconciliationData[[#This Row],[Billed_Price]]</f>
        <v>20362.509000000002</v>
      </c>
      <c r="Y408">
        <f>ReconciliationData[[#This Row],[ordered_units]]*ReconciliationData[[#This Row],[List_Price]]</f>
        <v>20362.509000000002</v>
      </c>
      <c r="Z408">
        <f>ReconciliationData[[#This Row],[billed_revenue]]-ReconciliationData[[#This Row],[expected_revenue]]</f>
        <v>0</v>
      </c>
      <c r="AA4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08" t="str">
        <f>IF(ReconciliationData[[#This Row],[severity_score]]=0,"LOW",
 IF(ReconciliationData[[#This Row],[severity_score]]&lt;=5,"MEDIUM","HIGH"))</f>
        <v>LOW</v>
      </c>
      <c r="AC408" t="str">
        <f>TEXT(ReconciliationData[[#This Row],[Order_Date]],"YYYY-MM")</f>
        <v>2024-12</v>
      </c>
    </row>
    <row r="409" spans="1:29">
      <c r="A409" t="s">
        <v>1497</v>
      </c>
      <c r="B409" s="1">
        <v>45101</v>
      </c>
      <c r="C409" t="s">
        <v>1498</v>
      </c>
      <c r="D409" t="s">
        <v>337</v>
      </c>
      <c r="E409">
        <v>97</v>
      </c>
      <c r="F409" t="s">
        <v>1499</v>
      </c>
      <c r="G409">
        <v>92</v>
      </c>
      <c r="H409">
        <v>1040.9412</v>
      </c>
      <c r="N409">
        <v>1040.9412</v>
      </c>
      <c r="O409" s="1">
        <v>44983</v>
      </c>
      <c r="P409">
        <f>IF(ISBLANK(ReconciliationData[[#This Row],[Invoice_ID]]),1,0)</f>
        <v>0</v>
      </c>
      <c r="Q409">
        <f>IF(AND(NOT(ISBLANK(ReconciliationData[[#This Row],[Billed_Units]])),ReconciliationData[[#This Row],[ordered_units]]&lt;&gt;ReconciliationData[[#This Row],[Billed_Units]]),1,0)</f>
        <v>1</v>
      </c>
      <c r="R4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9">
        <f>IF(AND(NOT(ISBLANK(ReconciliationData[[#This Row],[Contract_Price]])),ReconciliationData[[#This Row],[Billed_Price]]&lt;&gt;ReconciliationData[[#This Row],[Contract_Price]]),1,0)</f>
        <v>0</v>
      </c>
      <c r="T409">
        <f>IF(AND(NOT(ISBLANK(ReconciliationData[[#This Row],[End_Date]])),ReconciliationData[[#This Row],[Order_Date]]&gt;ReconciliationData[[#This Row],[End_Date]]),1,0)</f>
        <v>0</v>
      </c>
      <c r="U409">
        <f>IF(AND(NOT(ISBLANK(ReconciliationData[[#This Row],[last_return_date]])),ReconciliationData[[#This Row],[last_return_date]]&gt;ReconciliationData[[#This Row],[Order_Date]]+60),1,0)</f>
        <v>0</v>
      </c>
      <c r="V409">
        <f>IF(ReconciliationData[[#This Row],[total_returned_units]]&gt;ReconciliationData[[#This Row],[ordered_units]],1,0)</f>
        <v>0</v>
      </c>
      <c r="W4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09">
        <f>ReconciliationData[[#This Row],[Billed_Units]]*ReconciliationData[[#This Row],[Billed_Price]]</f>
        <v>95766.590400000001</v>
      </c>
      <c r="Y409">
        <f>ReconciliationData[[#This Row],[ordered_units]]*ReconciliationData[[#This Row],[List_Price]]</f>
        <v>100971.29639999999</v>
      </c>
      <c r="Z409">
        <f>ReconciliationData[[#This Row],[billed_revenue]]-ReconciliationData[[#This Row],[expected_revenue]]</f>
        <v>-5204.705999999991</v>
      </c>
      <c r="AA4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409" t="str">
        <f>IF(ReconciliationData[[#This Row],[severity_score]]=0,"LOW",
 IF(ReconciliationData[[#This Row],[severity_score]]&lt;=5,"MEDIUM","HIGH"))</f>
        <v>HIGH</v>
      </c>
      <c r="AC409" t="str">
        <f>TEXT(ReconciliationData[[#This Row],[Order_Date]],"YYYY-MM")</f>
        <v>2023-06</v>
      </c>
    </row>
    <row r="410" spans="1:29">
      <c r="A410" t="s">
        <v>1500</v>
      </c>
      <c r="B410" s="1">
        <v>45062</v>
      </c>
      <c r="C410" t="s">
        <v>1501</v>
      </c>
      <c r="D410" t="s">
        <v>1502</v>
      </c>
      <c r="E410">
        <v>194</v>
      </c>
      <c r="F410" t="s">
        <v>1503</v>
      </c>
      <c r="G410">
        <v>194</v>
      </c>
      <c r="H410">
        <v>307.97520000000003</v>
      </c>
      <c r="N410">
        <v>307.97520000000003</v>
      </c>
      <c r="O410" s="1">
        <v>45029</v>
      </c>
      <c r="P410">
        <f>IF(ISBLANK(ReconciliationData[[#This Row],[Invoice_ID]]),1,0)</f>
        <v>0</v>
      </c>
      <c r="Q410">
        <f>IF(AND(NOT(ISBLANK(ReconciliationData[[#This Row],[Billed_Units]])),ReconciliationData[[#This Row],[ordered_units]]&lt;&gt;ReconciliationData[[#This Row],[Billed_Units]]),1,0)</f>
        <v>0</v>
      </c>
      <c r="R4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0">
        <f>IF(AND(NOT(ISBLANK(ReconciliationData[[#This Row],[Contract_Price]])),ReconciliationData[[#This Row],[Billed_Price]]&lt;&gt;ReconciliationData[[#This Row],[Contract_Price]]),1,0)</f>
        <v>0</v>
      </c>
      <c r="T410">
        <f>IF(AND(NOT(ISBLANK(ReconciliationData[[#This Row],[End_Date]])),ReconciliationData[[#This Row],[Order_Date]]&gt;ReconciliationData[[#This Row],[End_Date]]),1,0)</f>
        <v>0</v>
      </c>
      <c r="U410">
        <f>IF(AND(NOT(ISBLANK(ReconciliationData[[#This Row],[last_return_date]])),ReconciliationData[[#This Row],[last_return_date]]&gt;ReconciliationData[[#This Row],[Order_Date]]+60),1,0)</f>
        <v>0</v>
      </c>
      <c r="V410">
        <f>IF(ReconciliationData[[#This Row],[total_returned_units]]&gt;ReconciliationData[[#This Row],[ordered_units]],1,0)</f>
        <v>0</v>
      </c>
      <c r="W4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0">
        <f>ReconciliationData[[#This Row],[Billed_Units]]*ReconciliationData[[#This Row],[Billed_Price]]</f>
        <v>59747.188800000004</v>
      </c>
      <c r="Y410">
        <f>ReconciliationData[[#This Row],[ordered_units]]*ReconciliationData[[#This Row],[List_Price]]</f>
        <v>59747.188800000004</v>
      </c>
      <c r="Z410">
        <f>ReconciliationData[[#This Row],[billed_revenue]]-ReconciliationData[[#This Row],[expected_revenue]]</f>
        <v>0</v>
      </c>
      <c r="AA4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0" t="str">
        <f>IF(ReconciliationData[[#This Row],[severity_score]]=0,"LOW",
 IF(ReconciliationData[[#This Row],[severity_score]]&lt;=5,"MEDIUM","HIGH"))</f>
        <v>LOW</v>
      </c>
      <c r="AC410" t="str">
        <f>TEXT(ReconciliationData[[#This Row],[Order_Date]],"YYYY-MM")</f>
        <v>2023-05</v>
      </c>
    </row>
    <row r="411" spans="1:29">
      <c r="A411" t="s">
        <v>1504</v>
      </c>
      <c r="B411" s="1">
        <v>45592</v>
      </c>
      <c r="C411" t="s">
        <v>1505</v>
      </c>
      <c r="D411" t="s">
        <v>768</v>
      </c>
      <c r="E411">
        <v>187</v>
      </c>
      <c r="F411" t="s">
        <v>1506</v>
      </c>
      <c r="G411">
        <v>187</v>
      </c>
      <c r="H411">
        <v>410.02</v>
      </c>
      <c r="N411">
        <v>410.02</v>
      </c>
      <c r="O411" s="1">
        <v>45017</v>
      </c>
      <c r="P411">
        <f>IF(ISBLANK(ReconciliationData[[#This Row],[Invoice_ID]]),1,0)</f>
        <v>0</v>
      </c>
      <c r="Q411">
        <f>IF(AND(NOT(ISBLANK(ReconciliationData[[#This Row],[Billed_Units]])),ReconciliationData[[#This Row],[ordered_units]]&lt;&gt;ReconciliationData[[#This Row],[Billed_Units]]),1,0)</f>
        <v>0</v>
      </c>
      <c r="R4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1">
        <f>IF(AND(NOT(ISBLANK(ReconciliationData[[#This Row],[Contract_Price]])),ReconciliationData[[#This Row],[Billed_Price]]&lt;&gt;ReconciliationData[[#This Row],[Contract_Price]]),1,0)</f>
        <v>0</v>
      </c>
      <c r="T411">
        <f>IF(AND(NOT(ISBLANK(ReconciliationData[[#This Row],[End_Date]])),ReconciliationData[[#This Row],[Order_Date]]&gt;ReconciliationData[[#This Row],[End_Date]]),1,0)</f>
        <v>0</v>
      </c>
      <c r="U411">
        <f>IF(AND(NOT(ISBLANK(ReconciliationData[[#This Row],[last_return_date]])),ReconciliationData[[#This Row],[last_return_date]]&gt;ReconciliationData[[#This Row],[Order_Date]]+60),1,0)</f>
        <v>0</v>
      </c>
      <c r="V411">
        <f>IF(ReconciliationData[[#This Row],[total_returned_units]]&gt;ReconciliationData[[#This Row],[ordered_units]],1,0)</f>
        <v>0</v>
      </c>
      <c r="W4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1">
        <f>ReconciliationData[[#This Row],[Billed_Units]]*ReconciliationData[[#This Row],[Billed_Price]]</f>
        <v>76673.739999999991</v>
      </c>
      <c r="Y411">
        <f>ReconciliationData[[#This Row],[ordered_units]]*ReconciliationData[[#This Row],[List_Price]]</f>
        <v>76673.739999999991</v>
      </c>
      <c r="Z411">
        <f>ReconciliationData[[#This Row],[billed_revenue]]-ReconciliationData[[#This Row],[expected_revenue]]</f>
        <v>0</v>
      </c>
      <c r="AA4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1" t="str">
        <f>IF(ReconciliationData[[#This Row],[severity_score]]=0,"LOW",
 IF(ReconciliationData[[#This Row],[severity_score]]&lt;=5,"MEDIUM","HIGH"))</f>
        <v>LOW</v>
      </c>
      <c r="AC411" t="str">
        <f>TEXT(ReconciliationData[[#This Row],[Order_Date]],"YYYY-MM")</f>
        <v>2024-10</v>
      </c>
    </row>
    <row r="412" spans="1:29">
      <c r="A412" t="s">
        <v>1507</v>
      </c>
      <c r="B412" s="1">
        <v>45262</v>
      </c>
      <c r="C412" t="s">
        <v>915</v>
      </c>
      <c r="D412" t="s">
        <v>329</v>
      </c>
      <c r="E412">
        <v>78</v>
      </c>
      <c r="F412" t="s">
        <v>1508</v>
      </c>
      <c r="G412">
        <v>78</v>
      </c>
      <c r="H412">
        <v>385.42419999999998</v>
      </c>
      <c r="N412">
        <v>385.42419999999998</v>
      </c>
      <c r="O412" s="1">
        <v>45079</v>
      </c>
      <c r="P412">
        <f>IF(ISBLANK(ReconciliationData[[#This Row],[Invoice_ID]]),1,0)</f>
        <v>0</v>
      </c>
      <c r="Q412">
        <f>IF(AND(NOT(ISBLANK(ReconciliationData[[#This Row],[Billed_Units]])),ReconciliationData[[#This Row],[ordered_units]]&lt;&gt;ReconciliationData[[#This Row],[Billed_Units]]),1,0)</f>
        <v>0</v>
      </c>
      <c r="R4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2">
        <f>IF(AND(NOT(ISBLANK(ReconciliationData[[#This Row],[Contract_Price]])),ReconciliationData[[#This Row],[Billed_Price]]&lt;&gt;ReconciliationData[[#This Row],[Contract_Price]]),1,0)</f>
        <v>0</v>
      </c>
      <c r="T412">
        <f>IF(AND(NOT(ISBLANK(ReconciliationData[[#This Row],[End_Date]])),ReconciliationData[[#This Row],[Order_Date]]&gt;ReconciliationData[[#This Row],[End_Date]]),1,0)</f>
        <v>0</v>
      </c>
      <c r="U412">
        <f>IF(AND(NOT(ISBLANK(ReconciliationData[[#This Row],[last_return_date]])),ReconciliationData[[#This Row],[last_return_date]]&gt;ReconciliationData[[#This Row],[Order_Date]]+60),1,0)</f>
        <v>0</v>
      </c>
      <c r="V412">
        <f>IF(ReconciliationData[[#This Row],[total_returned_units]]&gt;ReconciliationData[[#This Row],[ordered_units]],1,0)</f>
        <v>0</v>
      </c>
      <c r="W4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2">
        <f>ReconciliationData[[#This Row],[Billed_Units]]*ReconciliationData[[#This Row],[Billed_Price]]</f>
        <v>30063.087599999999</v>
      </c>
      <c r="Y412">
        <f>ReconciliationData[[#This Row],[ordered_units]]*ReconciliationData[[#This Row],[List_Price]]</f>
        <v>30063.087599999999</v>
      </c>
      <c r="Z412">
        <f>ReconciliationData[[#This Row],[billed_revenue]]-ReconciliationData[[#This Row],[expected_revenue]]</f>
        <v>0</v>
      </c>
      <c r="AA4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2" t="str">
        <f>IF(ReconciliationData[[#This Row],[severity_score]]=0,"LOW",
 IF(ReconciliationData[[#This Row],[severity_score]]&lt;=5,"MEDIUM","HIGH"))</f>
        <v>LOW</v>
      </c>
      <c r="AC412" t="str">
        <f>TEXT(ReconciliationData[[#This Row],[Order_Date]],"YYYY-MM")</f>
        <v>2023-12</v>
      </c>
    </row>
    <row r="413" spans="1:29">
      <c r="A413" t="s">
        <v>1509</v>
      </c>
      <c r="B413" s="1">
        <v>45344</v>
      </c>
      <c r="C413" t="s">
        <v>1510</v>
      </c>
      <c r="D413" t="s">
        <v>309</v>
      </c>
      <c r="E413">
        <v>82</v>
      </c>
      <c r="F413" t="s">
        <v>1511</v>
      </c>
      <c r="G413">
        <v>82</v>
      </c>
      <c r="H413">
        <v>946.74860000000001</v>
      </c>
      <c r="N413">
        <v>946.74860000000001</v>
      </c>
      <c r="O413" s="1">
        <v>45038</v>
      </c>
      <c r="P413">
        <f>IF(ISBLANK(ReconciliationData[[#This Row],[Invoice_ID]]),1,0)</f>
        <v>0</v>
      </c>
      <c r="Q413">
        <f>IF(AND(NOT(ISBLANK(ReconciliationData[[#This Row],[Billed_Units]])),ReconciliationData[[#This Row],[ordered_units]]&lt;&gt;ReconciliationData[[#This Row],[Billed_Units]]),1,0)</f>
        <v>0</v>
      </c>
      <c r="R4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3">
        <f>IF(AND(NOT(ISBLANK(ReconciliationData[[#This Row],[Contract_Price]])),ReconciliationData[[#This Row],[Billed_Price]]&lt;&gt;ReconciliationData[[#This Row],[Contract_Price]]),1,0)</f>
        <v>0</v>
      </c>
      <c r="T413">
        <f>IF(AND(NOT(ISBLANK(ReconciliationData[[#This Row],[End_Date]])),ReconciliationData[[#This Row],[Order_Date]]&gt;ReconciliationData[[#This Row],[End_Date]]),1,0)</f>
        <v>0</v>
      </c>
      <c r="U413">
        <f>IF(AND(NOT(ISBLANK(ReconciliationData[[#This Row],[last_return_date]])),ReconciliationData[[#This Row],[last_return_date]]&gt;ReconciliationData[[#This Row],[Order_Date]]+60),1,0)</f>
        <v>0</v>
      </c>
      <c r="V413">
        <f>IF(ReconciliationData[[#This Row],[total_returned_units]]&gt;ReconciliationData[[#This Row],[ordered_units]],1,0)</f>
        <v>0</v>
      </c>
      <c r="W4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3">
        <f>ReconciliationData[[#This Row],[Billed_Units]]*ReconciliationData[[#This Row],[Billed_Price]]</f>
        <v>77633.385200000004</v>
      </c>
      <c r="Y413">
        <f>ReconciliationData[[#This Row],[ordered_units]]*ReconciliationData[[#This Row],[List_Price]]</f>
        <v>77633.385200000004</v>
      </c>
      <c r="Z413">
        <f>ReconciliationData[[#This Row],[billed_revenue]]-ReconciliationData[[#This Row],[expected_revenue]]</f>
        <v>0</v>
      </c>
      <c r="AA4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3" t="str">
        <f>IF(ReconciliationData[[#This Row],[severity_score]]=0,"LOW",
 IF(ReconciliationData[[#This Row],[severity_score]]&lt;=5,"MEDIUM","HIGH"))</f>
        <v>LOW</v>
      </c>
      <c r="AC413" t="str">
        <f>TEXT(ReconciliationData[[#This Row],[Order_Date]],"YYYY-MM")</f>
        <v>2024-02</v>
      </c>
    </row>
    <row r="414" spans="1:29">
      <c r="A414" t="s">
        <v>1512</v>
      </c>
      <c r="B414" s="1">
        <v>45637</v>
      </c>
      <c r="C414" t="s">
        <v>286</v>
      </c>
      <c r="D414" t="s">
        <v>624</v>
      </c>
      <c r="E414">
        <v>13</v>
      </c>
      <c r="F414" t="s">
        <v>1513</v>
      </c>
      <c r="G414">
        <v>13</v>
      </c>
      <c r="H414">
        <v>147.17669999999998</v>
      </c>
      <c r="I414">
        <v>9</v>
      </c>
      <c r="J414" s="1">
        <v>45095</v>
      </c>
      <c r="N414">
        <v>147.17669999999998</v>
      </c>
      <c r="O414" s="1">
        <v>45039</v>
      </c>
      <c r="P414">
        <f>IF(ISBLANK(ReconciliationData[[#This Row],[Invoice_ID]]),1,0)</f>
        <v>0</v>
      </c>
      <c r="Q414">
        <f>IF(AND(NOT(ISBLANK(ReconciliationData[[#This Row],[Billed_Units]])),ReconciliationData[[#This Row],[ordered_units]]&lt;&gt;ReconciliationData[[#This Row],[Billed_Units]]),1,0)</f>
        <v>0</v>
      </c>
      <c r="R4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4">
        <f>IF(AND(NOT(ISBLANK(ReconciliationData[[#This Row],[Contract_Price]])),ReconciliationData[[#This Row],[Billed_Price]]&lt;&gt;ReconciliationData[[#This Row],[Contract_Price]]),1,0)</f>
        <v>0</v>
      </c>
      <c r="T414">
        <f>IF(AND(NOT(ISBLANK(ReconciliationData[[#This Row],[End_Date]])),ReconciliationData[[#This Row],[Order_Date]]&gt;ReconciliationData[[#This Row],[End_Date]]),1,0)</f>
        <v>0</v>
      </c>
      <c r="U414">
        <f>IF(AND(NOT(ISBLANK(ReconciliationData[[#This Row],[last_return_date]])),ReconciliationData[[#This Row],[last_return_date]]&gt;ReconciliationData[[#This Row],[Order_Date]]+60),1,0)</f>
        <v>0</v>
      </c>
      <c r="V414">
        <f>IF(ReconciliationData[[#This Row],[total_returned_units]]&gt;ReconciliationData[[#This Row],[ordered_units]],1,0)</f>
        <v>0</v>
      </c>
      <c r="W4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4">
        <f>ReconciliationData[[#This Row],[Billed_Units]]*ReconciliationData[[#This Row],[Billed_Price]]</f>
        <v>1913.2970999999998</v>
      </c>
      <c r="Y414">
        <f>ReconciliationData[[#This Row],[ordered_units]]*ReconciliationData[[#This Row],[List_Price]]</f>
        <v>1913.2970999999998</v>
      </c>
      <c r="Z414">
        <f>ReconciliationData[[#This Row],[billed_revenue]]-ReconciliationData[[#This Row],[expected_revenue]]</f>
        <v>0</v>
      </c>
      <c r="AA4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4" t="str">
        <f>IF(ReconciliationData[[#This Row],[severity_score]]=0,"LOW",
 IF(ReconciliationData[[#This Row],[severity_score]]&lt;=5,"MEDIUM","HIGH"))</f>
        <v>LOW</v>
      </c>
      <c r="AC414" t="str">
        <f>TEXT(ReconciliationData[[#This Row],[Order_Date]],"YYYY-MM")</f>
        <v>2024-12</v>
      </c>
    </row>
    <row r="415" spans="1:29">
      <c r="A415" t="s">
        <v>1514</v>
      </c>
      <c r="B415" s="1">
        <v>45016</v>
      </c>
      <c r="C415" t="s">
        <v>1515</v>
      </c>
      <c r="D415" t="s">
        <v>441</v>
      </c>
      <c r="E415">
        <v>108</v>
      </c>
      <c r="F415" t="s">
        <v>1516</v>
      </c>
      <c r="G415">
        <v>108</v>
      </c>
      <c r="H415">
        <v>238.7328</v>
      </c>
      <c r="N415">
        <v>238.7328</v>
      </c>
      <c r="O415" s="1">
        <v>44987</v>
      </c>
      <c r="P415">
        <f>IF(ISBLANK(ReconciliationData[[#This Row],[Invoice_ID]]),1,0)</f>
        <v>0</v>
      </c>
      <c r="Q415">
        <f>IF(AND(NOT(ISBLANK(ReconciliationData[[#This Row],[Billed_Units]])),ReconciliationData[[#This Row],[ordered_units]]&lt;&gt;ReconciliationData[[#This Row],[Billed_Units]]),1,0)</f>
        <v>0</v>
      </c>
      <c r="R4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5">
        <f>IF(AND(NOT(ISBLANK(ReconciliationData[[#This Row],[Contract_Price]])),ReconciliationData[[#This Row],[Billed_Price]]&lt;&gt;ReconciliationData[[#This Row],[Contract_Price]]),1,0)</f>
        <v>0</v>
      </c>
      <c r="T415">
        <f>IF(AND(NOT(ISBLANK(ReconciliationData[[#This Row],[End_Date]])),ReconciliationData[[#This Row],[Order_Date]]&gt;ReconciliationData[[#This Row],[End_Date]]),1,0)</f>
        <v>0</v>
      </c>
      <c r="U415">
        <f>IF(AND(NOT(ISBLANK(ReconciliationData[[#This Row],[last_return_date]])),ReconciliationData[[#This Row],[last_return_date]]&gt;ReconciliationData[[#This Row],[Order_Date]]+60),1,0)</f>
        <v>0</v>
      </c>
      <c r="V415">
        <f>IF(ReconciliationData[[#This Row],[total_returned_units]]&gt;ReconciliationData[[#This Row],[ordered_units]],1,0)</f>
        <v>0</v>
      </c>
      <c r="W4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5">
        <f>ReconciliationData[[#This Row],[Billed_Units]]*ReconciliationData[[#This Row],[Billed_Price]]</f>
        <v>25783.142400000001</v>
      </c>
      <c r="Y415">
        <f>ReconciliationData[[#This Row],[ordered_units]]*ReconciliationData[[#This Row],[List_Price]]</f>
        <v>25783.142400000001</v>
      </c>
      <c r="Z415">
        <f>ReconciliationData[[#This Row],[billed_revenue]]-ReconciliationData[[#This Row],[expected_revenue]]</f>
        <v>0</v>
      </c>
      <c r="AA4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5" t="str">
        <f>IF(ReconciliationData[[#This Row],[severity_score]]=0,"LOW",
 IF(ReconciliationData[[#This Row],[severity_score]]&lt;=5,"MEDIUM","HIGH"))</f>
        <v>LOW</v>
      </c>
      <c r="AC415" t="str">
        <f>TEXT(ReconciliationData[[#This Row],[Order_Date]],"YYYY-MM")</f>
        <v>2023-03</v>
      </c>
    </row>
    <row r="416" spans="1:29">
      <c r="A416" t="s">
        <v>1517</v>
      </c>
      <c r="B416" s="1">
        <v>45417</v>
      </c>
      <c r="C416" t="s">
        <v>197</v>
      </c>
      <c r="D416" t="s">
        <v>651</v>
      </c>
      <c r="E416">
        <v>184</v>
      </c>
      <c r="F416" t="s">
        <v>1518</v>
      </c>
      <c r="G416">
        <v>184</v>
      </c>
      <c r="H416">
        <v>214.6182</v>
      </c>
      <c r="N416">
        <v>214.6182</v>
      </c>
      <c r="O416" s="1">
        <v>45116</v>
      </c>
      <c r="P416">
        <f>IF(ISBLANK(ReconciliationData[[#This Row],[Invoice_ID]]),1,0)</f>
        <v>0</v>
      </c>
      <c r="Q416">
        <f>IF(AND(NOT(ISBLANK(ReconciliationData[[#This Row],[Billed_Units]])),ReconciliationData[[#This Row],[ordered_units]]&lt;&gt;ReconciliationData[[#This Row],[Billed_Units]]),1,0)</f>
        <v>0</v>
      </c>
      <c r="R4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6">
        <f>IF(AND(NOT(ISBLANK(ReconciliationData[[#This Row],[Contract_Price]])),ReconciliationData[[#This Row],[Billed_Price]]&lt;&gt;ReconciliationData[[#This Row],[Contract_Price]]),1,0)</f>
        <v>0</v>
      </c>
      <c r="T416">
        <f>IF(AND(NOT(ISBLANK(ReconciliationData[[#This Row],[End_Date]])),ReconciliationData[[#This Row],[Order_Date]]&gt;ReconciliationData[[#This Row],[End_Date]]),1,0)</f>
        <v>0</v>
      </c>
      <c r="U416">
        <f>IF(AND(NOT(ISBLANK(ReconciliationData[[#This Row],[last_return_date]])),ReconciliationData[[#This Row],[last_return_date]]&gt;ReconciliationData[[#This Row],[Order_Date]]+60),1,0)</f>
        <v>0</v>
      </c>
      <c r="V416">
        <f>IF(ReconciliationData[[#This Row],[total_returned_units]]&gt;ReconciliationData[[#This Row],[ordered_units]],1,0)</f>
        <v>0</v>
      </c>
      <c r="W4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6">
        <f>ReconciliationData[[#This Row],[Billed_Units]]*ReconciliationData[[#This Row],[Billed_Price]]</f>
        <v>39489.748800000001</v>
      </c>
      <c r="Y416">
        <f>ReconciliationData[[#This Row],[ordered_units]]*ReconciliationData[[#This Row],[List_Price]]</f>
        <v>39489.748800000001</v>
      </c>
      <c r="Z416">
        <f>ReconciliationData[[#This Row],[billed_revenue]]-ReconciliationData[[#This Row],[expected_revenue]]</f>
        <v>0</v>
      </c>
      <c r="AA4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6" t="str">
        <f>IF(ReconciliationData[[#This Row],[severity_score]]=0,"LOW",
 IF(ReconciliationData[[#This Row],[severity_score]]&lt;=5,"MEDIUM","HIGH"))</f>
        <v>LOW</v>
      </c>
      <c r="AC416" t="str">
        <f>TEXT(ReconciliationData[[#This Row],[Order_Date]],"YYYY-MM")</f>
        <v>2024-05</v>
      </c>
    </row>
    <row r="417" spans="1:29">
      <c r="A417" t="s">
        <v>1519</v>
      </c>
      <c r="B417" s="1">
        <v>45407</v>
      </c>
      <c r="C417" t="s">
        <v>1129</v>
      </c>
      <c r="D417" t="s">
        <v>345</v>
      </c>
      <c r="E417">
        <v>32</v>
      </c>
      <c r="F417" t="s">
        <v>1520</v>
      </c>
      <c r="G417">
        <v>32</v>
      </c>
      <c r="H417">
        <v>580.38720000000001</v>
      </c>
      <c r="N417">
        <v>580.38720000000001</v>
      </c>
      <c r="O417" s="1">
        <v>45180</v>
      </c>
      <c r="P417">
        <f>IF(ISBLANK(ReconciliationData[[#This Row],[Invoice_ID]]),1,0)</f>
        <v>0</v>
      </c>
      <c r="Q417">
        <f>IF(AND(NOT(ISBLANK(ReconciliationData[[#This Row],[Billed_Units]])),ReconciliationData[[#This Row],[ordered_units]]&lt;&gt;ReconciliationData[[#This Row],[Billed_Units]]),1,0)</f>
        <v>0</v>
      </c>
      <c r="R4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7">
        <f>IF(AND(NOT(ISBLANK(ReconciliationData[[#This Row],[Contract_Price]])),ReconciliationData[[#This Row],[Billed_Price]]&lt;&gt;ReconciliationData[[#This Row],[Contract_Price]]),1,0)</f>
        <v>0</v>
      </c>
      <c r="T417">
        <f>IF(AND(NOT(ISBLANK(ReconciliationData[[#This Row],[End_Date]])),ReconciliationData[[#This Row],[Order_Date]]&gt;ReconciliationData[[#This Row],[End_Date]]),1,0)</f>
        <v>0</v>
      </c>
      <c r="U417">
        <f>IF(AND(NOT(ISBLANK(ReconciliationData[[#This Row],[last_return_date]])),ReconciliationData[[#This Row],[last_return_date]]&gt;ReconciliationData[[#This Row],[Order_Date]]+60),1,0)</f>
        <v>0</v>
      </c>
      <c r="V417">
        <f>IF(ReconciliationData[[#This Row],[total_returned_units]]&gt;ReconciliationData[[#This Row],[ordered_units]],1,0)</f>
        <v>0</v>
      </c>
      <c r="W4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7">
        <f>ReconciliationData[[#This Row],[Billed_Units]]*ReconciliationData[[#This Row],[Billed_Price]]</f>
        <v>18572.3904</v>
      </c>
      <c r="Y417">
        <f>ReconciliationData[[#This Row],[ordered_units]]*ReconciliationData[[#This Row],[List_Price]]</f>
        <v>18572.3904</v>
      </c>
      <c r="Z417">
        <f>ReconciliationData[[#This Row],[billed_revenue]]-ReconciliationData[[#This Row],[expected_revenue]]</f>
        <v>0</v>
      </c>
      <c r="AA4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7" t="str">
        <f>IF(ReconciliationData[[#This Row],[severity_score]]=0,"LOW",
 IF(ReconciliationData[[#This Row],[severity_score]]&lt;=5,"MEDIUM","HIGH"))</f>
        <v>LOW</v>
      </c>
      <c r="AC417" t="str">
        <f>TEXT(ReconciliationData[[#This Row],[Order_Date]],"YYYY-MM")</f>
        <v>2024-04</v>
      </c>
    </row>
    <row r="418" spans="1:29">
      <c r="A418" t="s">
        <v>1521</v>
      </c>
      <c r="B418" s="1">
        <v>45633</v>
      </c>
      <c r="C418" t="s">
        <v>572</v>
      </c>
      <c r="D418" t="s">
        <v>1238</v>
      </c>
      <c r="E418">
        <v>29</v>
      </c>
      <c r="F418" t="s">
        <v>1522</v>
      </c>
      <c r="G418">
        <v>29</v>
      </c>
      <c r="H418">
        <v>355.32000000000005</v>
      </c>
      <c r="N418">
        <v>355.32000000000005</v>
      </c>
      <c r="O418" s="1">
        <v>45058</v>
      </c>
      <c r="P418">
        <f>IF(ISBLANK(ReconciliationData[[#This Row],[Invoice_ID]]),1,0)</f>
        <v>0</v>
      </c>
      <c r="Q418">
        <f>IF(AND(NOT(ISBLANK(ReconciliationData[[#This Row],[Billed_Units]])),ReconciliationData[[#This Row],[ordered_units]]&lt;&gt;ReconciliationData[[#This Row],[Billed_Units]]),1,0)</f>
        <v>0</v>
      </c>
      <c r="R4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8">
        <f>IF(AND(NOT(ISBLANK(ReconciliationData[[#This Row],[Contract_Price]])),ReconciliationData[[#This Row],[Billed_Price]]&lt;&gt;ReconciliationData[[#This Row],[Contract_Price]]),1,0)</f>
        <v>0</v>
      </c>
      <c r="T418">
        <f>IF(AND(NOT(ISBLANK(ReconciliationData[[#This Row],[End_Date]])),ReconciliationData[[#This Row],[Order_Date]]&gt;ReconciliationData[[#This Row],[End_Date]]),1,0)</f>
        <v>0</v>
      </c>
      <c r="U418">
        <f>IF(AND(NOT(ISBLANK(ReconciliationData[[#This Row],[last_return_date]])),ReconciliationData[[#This Row],[last_return_date]]&gt;ReconciliationData[[#This Row],[Order_Date]]+60),1,0)</f>
        <v>0</v>
      </c>
      <c r="V418">
        <f>IF(ReconciliationData[[#This Row],[total_returned_units]]&gt;ReconciliationData[[#This Row],[ordered_units]],1,0)</f>
        <v>0</v>
      </c>
      <c r="W4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8">
        <f>ReconciliationData[[#This Row],[Billed_Units]]*ReconciliationData[[#This Row],[Billed_Price]]</f>
        <v>10304.280000000001</v>
      </c>
      <c r="Y418">
        <f>ReconciliationData[[#This Row],[ordered_units]]*ReconciliationData[[#This Row],[List_Price]]</f>
        <v>10304.280000000001</v>
      </c>
      <c r="Z418">
        <f>ReconciliationData[[#This Row],[billed_revenue]]-ReconciliationData[[#This Row],[expected_revenue]]</f>
        <v>0</v>
      </c>
      <c r="AA4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8" t="str">
        <f>IF(ReconciliationData[[#This Row],[severity_score]]=0,"LOW",
 IF(ReconciliationData[[#This Row],[severity_score]]&lt;=5,"MEDIUM","HIGH"))</f>
        <v>LOW</v>
      </c>
      <c r="AC418" t="str">
        <f>TEXT(ReconciliationData[[#This Row],[Order_Date]],"YYYY-MM")</f>
        <v>2024-12</v>
      </c>
    </row>
    <row r="419" spans="1:29">
      <c r="A419" t="s">
        <v>1523</v>
      </c>
      <c r="B419" s="1">
        <v>45260</v>
      </c>
      <c r="C419" t="s">
        <v>1524</v>
      </c>
      <c r="D419" t="s">
        <v>1525</v>
      </c>
      <c r="E419">
        <v>151</v>
      </c>
      <c r="F419" t="s">
        <v>1526</v>
      </c>
      <c r="G419">
        <v>151</v>
      </c>
      <c r="H419">
        <v>1067.6925000000001</v>
      </c>
      <c r="N419">
        <v>1067.6925000000001</v>
      </c>
      <c r="O419" s="1">
        <v>44999</v>
      </c>
      <c r="P419">
        <f>IF(ISBLANK(ReconciliationData[[#This Row],[Invoice_ID]]),1,0)</f>
        <v>0</v>
      </c>
      <c r="Q419">
        <f>IF(AND(NOT(ISBLANK(ReconciliationData[[#This Row],[Billed_Units]])),ReconciliationData[[#This Row],[ordered_units]]&lt;&gt;ReconciliationData[[#This Row],[Billed_Units]]),1,0)</f>
        <v>0</v>
      </c>
      <c r="R4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19">
        <f>IF(AND(NOT(ISBLANK(ReconciliationData[[#This Row],[Contract_Price]])),ReconciliationData[[#This Row],[Billed_Price]]&lt;&gt;ReconciliationData[[#This Row],[Contract_Price]]),1,0)</f>
        <v>0</v>
      </c>
      <c r="T419">
        <f>IF(AND(NOT(ISBLANK(ReconciliationData[[#This Row],[End_Date]])),ReconciliationData[[#This Row],[Order_Date]]&gt;ReconciliationData[[#This Row],[End_Date]]),1,0)</f>
        <v>0</v>
      </c>
      <c r="U419">
        <f>IF(AND(NOT(ISBLANK(ReconciliationData[[#This Row],[last_return_date]])),ReconciliationData[[#This Row],[last_return_date]]&gt;ReconciliationData[[#This Row],[Order_Date]]+60),1,0)</f>
        <v>0</v>
      </c>
      <c r="V419">
        <f>IF(ReconciliationData[[#This Row],[total_returned_units]]&gt;ReconciliationData[[#This Row],[ordered_units]],1,0)</f>
        <v>0</v>
      </c>
      <c r="W4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19">
        <f>ReconciliationData[[#This Row],[Billed_Units]]*ReconciliationData[[#This Row],[Billed_Price]]</f>
        <v>161221.5675</v>
      </c>
      <c r="Y419">
        <f>ReconciliationData[[#This Row],[ordered_units]]*ReconciliationData[[#This Row],[List_Price]]</f>
        <v>161221.5675</v>
      </c>
      <c r="Z419">
        <f>ReconciliationData[[#This Row],[billed_revenue]]-ReconciliationData[[#This Row],[expected_revenue]]</f>
        <v>0</v>
      </c>
      <c r="AA4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19" t="str">
        <f>IF(ReconciliationData[[#This Row],[severity_score]]=0,"LOW",
 IF(ReconciliationData[[#This Row],[severity_score]]&lt;=5,"MEDIUM","HIGH"))</f>
        <v>LOW</v>
      </c>
      <c r="AC419" t="str">
        <f>TEXT(ReconciliationData[[#This Row],[Order_Date]],"YYYY-MM")</f>
        <v>2023-11</v>
      </c>
    </row>
    <row r="420" spans="1:29">
      <c r="A420" t="s">
        <v>1527</v>
      </c>
      <c r="B420" s="1">
        <v>45154</v>
      </c>
      <c r="C420" t="s">
        <v>1064</v>
      </c>
      <c r="D420" t="s">
        <v>317</v>
      </c>
      <c r="E420">
        <v>198</v>
      </c>
      <c r="F420" t="s">
        <v>1528</v>
      </c>
      <c r="G420">
        <v>198</v>
      </c>
      <c r="H420">
        <v>1119.3012000000001</v>
      </c>
      <c r="N420">
        <v>1119.3012000000001</v>
      </c>
      <c r="O420" s="1">
        <v>45091</v>
      </c>
      <c r="P420">
        <f>IF(ISBLANK(ReconciliationData[[#This Row],[Invoice_ID]]),1,0)</f>
        <v>0</v>
      </c>
      <c r="Q420">
        <f>IF(AND(NOT(ISBLANK(ReconciliationData[[#This Row],[Billed_Units]])),ReconciliationData[[#This Row],[ordered_units]]&lt;&gt;ReconciliationData[[#This Row],[Billed_Units]]),1,0)</f>
        <v>0</v>
      </c>
      <c r="R4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20">
        <f>IF(AND(NOT(ISBLANK(ReconciliationData[[#This Row],[Contract_Price]])),ReconciliationData[[#This Row],[Billed_Price]]&lt;&gt;ReconciliationData[[#This Row],[Contract_Price]]),1,0)</f>
        <v>0</v>
      </c>
      <c r="T420">
        <f>IF(AND(NOT(ISBLANK(ReconciliationData[[#This Row],[End_Date]])),ReconciliationData[[#This Row],[Order_Date]]&gt;ReconciliationData[[#This Row],[End_Date]]),1,0)</f>
        <v>0</v>
      </c>
      <c r="U420">
        <f>IF(AND(NOT(ISBLANK(ReconciliationData[[#This Row],[last_return_date]])),ReconciliationData[[#This Row],[last_return_date]]&gt;ReconciliationData[[#This Row],[Order_Date]]+60),1,0)</f>
        <v>0</v>
      </c>
      <c r="V420">
        <f>IF(ReconciliationData[[#This Row],[total_returned_units]]&gt;ReconciliationData[[#This Row],[ordered_units]],1,0)</f>
        <v>0</v>
      </c>
      <c r="W4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20">
        <f>ReconciliationData[[#This Row],[Billed_Units]]*ReconciliationData[[#This Row],[Billed_Price]]</f>
        <v>221621.63760000002</v>
      </c>
      <c r="Y420">
        <f>ReconciliationData[[#This Row],[ordered_units]]*ReconciliationData[[#This Row],[List_Price]]</f>
        <v>221621.63760000002</v>
      </c>
      <c r="Z420">
        <f>ReconciliationData[[#This Row],[billed_revenue]]-ReconciliationData[[#This Row],[expected_revenue]]</f>
        <v>0</v>
      </c>
      <c r="AA4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20" t="str">
        <f>IF(ReconciliationData[[#This Row],[severity_score]]=0,"LOW",
 IF(ReconciliationData[[#This Row],[severity_score]]&lt;=5,"MEDIUM","HIGH"))</f>
        <v>LOW</v>
      </c>
      <c r="AC420" t="str">
        <f>TEXT(ReconciliationData[[#This Row],[Order_Date]],"YYYY-MM")</f>
        <v>2023-08</v>
      </c>
    </row>
    <row r="421" spans="1:29">
      <c r="A421" t="s">
        <v>1529</v>
      </c>
      <c r="B421" s="1">
        <v>45369</v>
      </c>
      <c r="C421" t="s">
        <v>189</v>
      </c>
      <c r="D421" t="s">
        <v>1530</v>
      </c>
      <c r="E421">
        <v>9</v>
      </c>
      <c r="F421" t="s">
        <v>1531</v>
      </c>
      <c r="G421">
        <v>9</v>
      </c>
      <c r="H421">
        <v>1131.7711000000002</v>
      </c>
      <c r="I421">
        <v>16</v>
      </c>
      <c r="J421" s="1">
        <v>45149</v>
      </c>
      <c r="N421">
        <v>1131.7711000000002</v>
      </c>
      <c r="O421" s="1">
        <v>45048</v>
      </c>
      <c r="P421">
        <f>IF(ISBLANK(ReconciliationData[[#This Row],[Invoice_ID]]),1,0)</f>
        <v>0</v>
      </c>
      <c r="Q421">
        <f>IF(AND(NOT(ISBLANK(ReconciliationData[[#This Row],[Billed_Units]])),ReconciliationData[[#This Row],[ordered_units]]&lt;&gt;ReconciliationData[[#This Row],[Billed_Units]]),1,0)</f>
        <v>0</v>
      </c>
      <c r="R4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21">
        <f>IF(AND(NOT(ISBLANK(ReconciliationData[[#This Row],[Contract_Price]])),ReconciliationData[[#This Row],[Billed_Price]]&lt;&gt;ReconciliationData[[#This Row],[Contract_Price]]),1,0)</f>
        <v>0</v>
      </c>
      <c r="T421">
        <f>IF(AND(NOT(ISBLANK(ReconciliationData[[#This Row],[End_Date]])),ReconciliationData[[#This Row],[Order_Date]]&gt;ReconciliationData[[#This Row],[End_Date]]),1,0)</f>
        <v>0</v>
      </c>
      <c r="U421">
        <f>IF(AND(NOT(ISBLANK(ReconciliationData[[#This Row],[last_return_date]])),ReconciliationData[[#This Row],[last_return_date]]&gt;ReconciliationData[[#This Row],[Order_Date]]+60),1,0)</f>
        <v>0</v>
      </c>
      <c r="V421">
        <f>IF(ReconciliationData[[#This Row],[total_returned_units]]&gt;ReconciliationData[[#This Row],[ordered_units]],1,0)</f>
        <v>1</v>
      </c>
      <c r="W4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21">
        <f>ReconciliationData[[#This Row],[Billed_Units]]*ReconciliationData[[#This Row],[Billed_Price]]</f>
        <v>10185.939900000001</v>
      </c>
      <c r="Y421">
        <f>ReconciliationData[[#This Row],[ordered_units]]*ReconciliationData[[#This Row],[List_Price]]</f>
        <v>10185.939900000001</v>
      </c>
      <c r="Z421">
        <f>ReconciliationData[[#This Row],[billed_revenue]]-ReconciliationData[[#This Row],[expected_revenue]]</f>
        <v>0</v>
      </c>
      <c r="AA4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421" t="str">
        <f>IF(ReconciliationData[[#This Row],[severity_score]]=0,"LOW",
 IF(ReconciliationData[[#This Row],[severity_score]]&lt;=5,"MEDIUM","HIGH"))</f>
        <v>MEDIUM</v>
      </c>
      <c r="AC421" t="str">
        <f>TEXT(ReconciliationData[[#This Row],[Order_Date]],"YYYY-MM")</f>
        <v>2024-03</v>
      </c>
    </row>
    <row r="422" spans="1:29">
      <c r="A422" t="s">
        <v>1532</v>
      </c>
      <c r="B422" s="1">
        <v>45625</v>
      </c>
      <c r="C422" t="s">
        <v>714</v>
      </c>
      <c r="D422" t="s">
        <v>1533</v>
      </c>
      <c r="E422">
        <v>64</v>
      </c>
      <c r="F422" t="s">
        <v>1534</v>
      </c>
      <c r="G422">
        <v>64</v>
      </c>
      <c r="H422">
        <v>952.36940000000004</v>
      </c>
      <c r="N422">
        <v>952.36940000000004</v>
      </c>
      <c r="O422" s="1">
        <v>45169</v>
      </c>
      <c r="P422">
        <f>IF(ISBLANK(ReconciliationData[[#This Row],[Invoice_ID]]),1,0)</f>
        <v>0</v>
      </c>
      <c r="Q422">
        <f>IF(AND(NOT(ISBLANK(ReconciliationData[[#This Row],[Billed_Units]])),ReconciliationData[[#This Row],[ordered_units]]&lt;&gt;ReconciliationData[[#This Row],[Billed_Units]]),1,0)</f>
        <v>0</v>
      </c>
      <c r="R4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22">
        <f>IF(AND(NOT(ISBLANK(ReconciliationData[[#This Row],[Contract_Price]])),ReconciliationData[[#This Row],[Billed_Price]]&lt;&gt;ReconciliationData[[#This Row],[Contract_Price]]),1,0)</f>
        <v>0</v>
      </c>
      <c r="T422">
        <f>IF(AND(NOT(ISBLANK(ReconciliationData[[#This Row],[End_Date]])),ReconciliationData[[#This Row],[Order_Date]]&gt;ReconciliationData[[#This Row],[End_Date]]),1,0)</f>
        <v>0</v>
      </c>
      <c r="U422">
        <f>IF(AND(NOT(ISBLANK(ReconciliationData[[#This Row],[last_return_date]])),ReconciliationData[[#This Row],[last_return_date]]&gt;ReconciliationData[[#This Row],[Order_Date]]+60),1,0)</f>
        <v>0</v>
      </c>
      <c r="V422">
        <f>IF(ReconciliationData[[#This Row],[total_returned_units]]&gt;ReconciliationData[[#This Row],[ordered_units]],1,0)</f>
        <v>0</v>
      </c>
      <c r="W4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22">
        <f>ReconciliationData[[#This Row],[Billed_Units]]*ReconciliationData[[#This Row],[Billed_Price]]</f>
        <v>60951.641600000003</v>
      </c>
      <c r="Y422">
        <f>ReconciliationData[[#This Row],[ordered_units]]*ReconciliationData[[#This Row],[List_Price]]</f>
        <v>60951.641600000003</v>
      </c>
      <c r="Z422">
        <f>ReconciliationData[[#This Row],[billed_revenue]]-ReconciliationData[[#This Row],[expected_revenue]]</f>
        <v>0</v>
      </c>
      <c r="AA4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22" t="str">
        <f>IF(ReconciliationData[[#This Row],[severity_score]]=0,"LOW",
 IF(ReconciliationData[[#This Row],[severity_score]]&lt;=5,"MEDIUM","HIGH"))</f>
        <v>LOW</v>
      </c>
      <c r="AC422" t="str">
        <f>TEXT(ReconciliationData[[#This Row],[Order_Date]],"YYYY-MM")</f>
        <v>2024-11</v>
      </c>
    </row>
    <row r="423" spans="1:29">
      <c r="A423" t="s">
        <v>1535</v>
      </c>
      <c r="B423" s="1">
        <v>45256</v>
      </c>
      <c r="C423" t="s">
        <v>1536</v>
      </c>
      <c r="D423" t="s">
        <v>1414</v>
      </c>
      <c r="E423">
        <v>186</v>
      </c>
      <c r="F423" t="s">
        <v>1537</v>
      </c>
      <c r="G423">
        <v>186</v>
      </c>
      <c r="H423">
        <v>872.7808</v>
      </c>
      <c r="N423">
        <v>872.7808</v>
      </c>
      <c r="O423" s="1">
        <v>45225</v>
      </c>
      <c r="P423">
        <f>IF(ISBLANK(ReconciliationData[[#This Row],[Invoice_ID]]),1,0)</f>
        <v>0</v>
      </c>
      <c r="Q423">
        <f>IF(AND(NOT(ISBLANK(ReconciliationData[[#This Row],[Billed_Units]])),ReconciliationData[[#This Row],[ordered_units]]&lt;&gt;ReconciliationData[[#This Row],[Billed_Units]]),1,0)</f>
        <v>0</v>
      </c>
      <c r="R4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23">
        <f>IF(AND(NOT(ISBLANK(ReconciliationData[[#This Row],[Contract_Price]])),ReconciliationData[[#This Row],[Billed_Price]]&lt;&gt;ReconciliationData[[#This Row],[Contract_Price]]),1,0)</f>
        <v>0</v>
      </c>
      <c r="T423">
        <f>IF(AND(NOT(ISBLANK(ReconciliationData[[#This Row],[End_Date]])),ReconciliationData[[#This Row],[Order_Date]]&gt;ReconciliationData[[#This Row],[End_Date]]),1,0)</f>
        <v>0</v>
      </c>
      <c r="U423">
        <f>IF(AND(NOT(ISBLANK(ReconciliationData[[#This Row],[last_return_date]])),ReconciliationData[[#This Row],[last_return_date]]&gt;ReconciliationData[[#This Row],[Order_Date]]+60),1,0)</f>
        <v>0</v>
      </c>
      <c r="V423">
        <f>IF(ReconciliationData[[#This Row],[total_returned_units]]&gt;ReconciliationData[[#This Row],[ordered_units]],1,0)</f>
        <v>0</v>
      </c>
      <c r="W4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23">
        <f>ReconciliationData[[#This Row],[Billed_Units]]*ReconciliationData[[#This Row],[Billed_Price]]</f>
        <v>162337.22880000001</v>
      </c>
      <c r="Y423">
        <f>ReconciliationData[[#This Row],[ordered_units]]*ReconciliationData[[#This Row],[List_Price]]</f>
        <v>162337.22880000001</v>
      </c>
      <c r="Z423">
        <f>ReconciliationData[[#This Row],[billed_revenue]]-ReconciliationData[[#This Row],[expected_revenue]]</f>
        <v>0</v>
      </c>
      <c r="AA4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23" t="str">
        <f>IF(ReconciliationData[[#This Row],[severity_score]]=0,"LOW",
 IF(ReconciliationData[[#This Row],[severity_score]]&lt;=5,"MEDIUM","HIGH"))</f>
        <v>LOW</v>
      </c>
      <c r="AC423" t="str">
        <f>TEXT(ReconciliationData[[#This Row],[Order_Date]],"YYYY-MM")</f>
        <v>2023-11</v>
      </c>
    </row>
    <row r="424" spans="1:29">
      <c r="A424" t="s">
        <v>1538</v>
      </c>
      <c r="B424" s="1">
        <v>44959</v>
      </c>
      <c r="C424" t="s">
        <v>1539</v>
      </c>
      <c r="D424" t="s">
        <v>1358</v>
      </c>
      <c r="E424">
        <v>82</v>
      </c>
      <c r="F424" t="s">
        <v>1540</v>
      </c>
      <c r="G424">
        <v>82</v>
      </c>
      <c r="H424">
        <v>921.76</v>
      </c>
      <c r="N424">
        <v>921.76</v>
      </c>
      <c r="O424" s="1">
        <v>44662</v>
      </c>
      <c r="P424">
        <f>IF(ISBLANK(ReconciliationData[[#This Row],[Invoice_ID]]),1,0)</f>
        <v>0</v>
      </c>
      <c r="Q424">
        <f>IF(AND(NOT(ISBLANK(ReconciliationData[[#This Row],[Billed_Units]])),ReconciliationData[[#This Row],[ordered_units]]&lt;&gt;ReconciliationData[[#This Row],[Billed_Units]]),1,0)</f>
        <v>0</v>
      </c>
      <c r="R4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24">
        <f>IF(AND(NOT(ISBLANK(ReconciliationData[[#This Row],[Contract_Price]])),ReconciliationData[[#This Row],[Billed_Price]]&lt;&gt;ReconciliationData[[#This Row],[Contract_Price]]),1,0)</f>
        <v>0</v>
      </c>
      <c r="T424">
        <f>IF(AND(NOT(ISBLANK(ReconciliationData[[#This Row],[End_Date]])),ReconciliationData[[#This Row],[Order_Date]]&gt;ReconciliationData[[#This Row],[End_Date]]),1,0)</f>
        <v>0</v>
      </c>
      <c r="U424">
        <f>IF(AND(NOT(ISBLANK(ReconciliationData[[#This Row],[last_return_date]])),ReconciliationData[[#This Row],[last_return_date]]&gt;ReconciliationData[[#This Row],[Order_Date]]+60),1,0)</f>
        <v>0</v>
      </c>
      <c r="V424">
        <f>IF(ReconciliationData[[#This Row],[total_returned_units]]&gt;ReconciliationData[[#This Row],[ordered_units]],1,0)</f>
        <v>0</v>
      </c>
      <c r="W4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24">
        <f>ReconciliationData[[#This Row],[Billed_Units]]*ReconciliationData[[#This Row],[Billed_Price]]</f>
        <v>75584.319999999992</v>
      </c>
      <c r="Y424">
        <f>ReconciliationData[[#This Row],[ordered_units]]*ReconciliationData[[#This Row],[List_Price]]</f>
        <v>75584.319999999992</v>
      </c>
      <c r="Z424">
        <f>ReconciliationData[[#This Row],[billed_revenue]]-ReconciliationData[[#This Row],[expected_revenue]]</f>
        <v>0</v>
      </c>
      <c r="AA4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24" t="str">
        <f>IF(ReconciliationData[[#This Row],[severity_score]]=0,"LOW",
 IF(ReconciliationData[[#This Row],[severity_score]]&lt;=5,"MEDIUM","HIGH"))</f>
        <v>LOW</v>
      </c>
      <c r="AC424" t="str">
        <f>TEXT(ReconciliationData[[#This Row],[Order_Date]],"YYYY-MM")</f>
        <v>2023-02</v>
      </c>
    </row>
    <row r="425" spans="1:29">
      <c r="A425" t="s">
        <v>1541</v>
      </c>
      <c r="B425" s="1">
        <v>45236</v>
      </c>
      <c r="C425" t="s">
        <v>1381</v>
      </c>
      <c r="D425" t="s">
        <v>1542</v>
      </c>
      <c r="E425">
        <v>73</v>
      </c>
      <c r="F425" t="s">
        <v>1543</v>
      </c>
      <c r="G425">
        <v>73</v>
      </c>
      <c r="H425">
        <v>402.05340000000001</v>
      </c>
      <c r="N425">
        <v>402.05340000000001</v>
      </c>
      <c r="O425" s="1">
        <v>45214</v>
      </c>
      <c r="P425">
        <f>IF(ISBLANK(ReconciliationData[[#This Row],[Invoice_ID]]),1,0)</f>
        <v>0</v>
      </c>
      <c r="Q425">
        <f>IF(AND(NOT(ISBLANK(ReconciliationData[[#This Row],[Billed_Units]])),ReconciliationData[[#This Row],[ordered_units]]&lt;&gt;ReconciliationData[[#This Row],[Billed_Units]]),1,0)</f>
        <v>0</v>
      </c>
      <c r="R4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25">
        <f>IF(AND(NOT(ISBLANK(ReconciliationData[[#This Row],[Contract_Price]])),ReconciliationData[[#This Row],[Billed_Price]]&lt;&gt;ReconciliationData[[#This Row],[Contract_Price]]),1,0)</f>
        <v>0</v>
      </c>
      <c r="T425">
        <f>IF(AND(NOT(ISBLANK(ReconciliationData[[#This Row],[End_Date]])),ReconciliationData[[#This Row],[Order_Date]]&gt;ReconciliationData[[#This Row],[End_Date]]),1,0)</f>
        <v>0</v>
      </c>
      <c r="U425">
        <f>IF(AND(NOT(ISBLANK(ReconciliationData[[#This Row],[last_return_date]])),ReconciliationData[[#This Row],[last_return_date]]&gt;ReconciliationData[[#This Row],[Order_Date]]+60),1,0)</f>
        <v>0</v>
      </c>
      <c r="V425">
        <f>IF(ReconciliationData[[#This Row],[total_returned_units]]&gt;ReconciliationData[[#This Row],[ordered_units]],1,0)</f>
        <v>0</v>
      </c>
      <c r="W4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25">
        <f>ReconciliationData[[#This Row],[Billed_Units]]*ReconciliationData[[#This Row],[Billed_Price]]</f>
        <v>29349.8982</v>
      </c>
      <c r="Y425">
        <f>ReconciliationData[[#This Row],[ordered_units]]*ReconciliationData[[#This Row],[List_Price]]</f>
        <v>29349.8982</v>
      </c>
      <c r="Z425">
        <f>ReconciliationData[[#This Row],[billed_revenue]]-ReconciliationData[[#This Row],[expected_revenue]]</f>
        <v>0</v>
      </c>
      <c r="AA4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25" t="str">
        <f>IF(ReconciliationData[[#This Row],[severity_score]]=0,"LOW",
 IF(ReconciliationData[[#This Row],[severity_score]]&lt;=5,"MEDIUM","HIGH"))</f>
        <v>LOW</v>
      </c>
      <c r="AC425" t="str">
        <f>TEXT(ReconciliationData[[#This Row],[Order_Date]],"YYYY-MM")</f>
        <v>2023-11</v>
      </c>
    </row>
    <row r="426" spans="1:29">
      <c r="A426" t="s">
        <v>1544</v>
      </c>
      <c r="B426" s="1">
        <v>45267</v>
      </c>
      <c r="C426" t="s">
        <v>1545</v>
      </c>
      <c r="D426" t="s">
        <v>321</v>
      </c>
      <c r="E426">
        <v>165</v>
      </c>
      <c r="F426" t="s">
        <v>1546</v>
      </c>
      <c r="G426">
        <v>165</v>
      </c>
      <c r="H426">
        <v>169.22900000000001</v>
      </c>
      <c r="N426">
        <v>169.22900000000001</v>
      </c>
      <c r="O426" s="1">
        <v>45039</v>
      </c>
      <c r="P426">
        <f>IF(ISBLANK(ReconciliationData[[#This Row],[Invoice_ID]]),1,0)</f>
        <v>0</v>
      </c>
      <c r="Q426">
        <f>IF(AND(NOT(ISBLANK(ReconciliationData[[#This Row],[Billed_Units]])),ReconciliationData[[#This Row],[ordered_units]]&lt;&gt;ReconciliationData[[#This Row],[Billed_Units]]),1,0)</f>
        <v>0</v>
      </c>
      <c r="R4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26">
        <f>IF(AND(NOT(ISBLANK(ReconciliationData[[#This Row],[Contract_Price]])),ReconciliationData[[#This Row],[Billed_Price]]&lt;&gt;ReconciliationData[[#This Row],[Contract_Price]]),1,0)</f>
        <v>0</v>
      </c>
      <c r="T426">
        <f>IF(AND(NOT(ISBLANK(ReconciliationData[[#This Row],[End_Date]])),ReconciliationData[[#This Row],[Order_Date]]&gt;ReconciliationData[[#This Row],[End_Date]]),1,0)</f>
        <v>0</v>
      </c>
      <c r="U426">
        <f>IF(AND(NOT(ISBLANK(ReconciliationData[[#This Row],[last_return_date]])),ReconciliationData[[#This Row],[last_return_date]]&gt;ReconciliationData[[#This Row],[Order_Date]]+60),1,0)</f>
        <v>0</v>
      </c>
      <c r="V426">
        <f>IF(ReconciliationData[[#This Row],[total_returned_units]]&gt;ReconciliationData[[#This Row],[ordered_units]],1,0)</f>
        <v>0</v>
      </c>
      <c r="W4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26">
        <f>ReconciliationData[[#This Row],[Billed_Units]]*ReconciliationData[[#This Row],[Billed_Price]]</f>
        <v>27922.785000000003</v>
      </c>
      <c r="Y426">
        <f>ReconciliationData[[#This Row],[ordered_units]]*ReconciliationData[[#This Row],[List_Price]]</f>
        <v>27922.785000000003</v>
      </c>
      <c r="Z426">
        <f>ReconciliationData[[#This Row],[billed_revenue]]-ReconciliationData[[#This Row],[expected_revenue]]</f>
        <v>0</v>
      </c>
      <c r="AA4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26" t="str">
        <f>IF(ReconciliationData[[#This Row],[severity_score]]=0,"LOW",
 IF(ReconciliationData[[#This Row],[severity_score]]&lt;=5,"MEDIUM","HIGH"))</f>
        <v>LOW</v>
      </c>
      <c r="AC426" t="str">
        <f>TEXT(ReconciliationData[[#This Row],[Order_Date]],"YYYY-MM")</f>
        <v>2023-12</v>
      </c>
    </row>
    <row r="427" spans="1:29">
      <c r="A427" t="s">
        <v>1547</v>
      </c>
      <c r="B427" s="1">
        <v>45652</v>
      </c>
      <c r="C427" t="s">
        <v>1548</v>
      </c>
      <c r="D427" t="s">
        <v>1549</v>
      </c>
      <c r="E427">
        <v>177</v>
      </c>
      <c r="F427" t="s">
        <v>1550</v>
      </c>
      <c r="G427">
        <v>177</v>
      </c>
      <c r="H427">
        <v>235.43491773571705</v>
      </c>
      <c r="N427">
        <v>234.87090000000001</v>
      </c>
      <c r="O427" s="1">
        <v>45150</v>
      </c>
      <c r="P427">
        <f>IF(ISBLANK(ReconciliationData[[#This Row],[Invoice_ID]]),1,0)</f>
        <v>0</v>
      </c>
      <c r="Q427">
        <f>IF(AND(NOT(ISBLANK(ReconciliationData[[#This Row],[Billed_Units]])),ReconciliationData[[#This Row],[ordered_units]]&lt;&gt;ReconciliationData[[#This Row],[Billed_Units]]),1,0)</f>
        <v>0</v>
      </c>
      <c r="R42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427">
        <f>IF(AND(NOT(ISBLANK(ReconciliationData[[#This Row],[Contract_Price]])),ReconciliationData[[#This Row],[Billed_Price]]&lt;&gt;ReconciliationData[[#This Row],[Contract_Price]]),1,0)</f>
        <v>0</v>
      </c>
      <c r="T427">
        <f>IF(AND(NOT(ISBLANK(ReconciliationData[[#This Row],[End_Date]])),ReconciliationData[[#This Row],[Order_Date]]&gt;ReconciliationData[[#This Row],[End_Date]]),1,0)</f>
        <v>0</v>
      </c>
      <c r="U427">
        <f>IF(AND(NOT(ISBLANK(ReconciliationData[[#This Row],[last_return_date]])),ReconciliationData[[#This Row],[last_return_date]]&gt;ReconciliationData[[#This Row],[Order_Date]]+60),1,0)</f>
        <v>0</v>
      </c>
      <c r="V427">
        <f>IF(ReconciliationData[[#This Row],[total_returned_units]]&gt;ReconciliationData[[#This Row],[ordered_units]],1,0)</f>
        <v>0</v>
      </c>
      <c r="W4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27">
        <f>ReconciliationData[[#This Row],[Billed_Units]]*ReconciliationData[[#This Row],[Billed_Price]]</f>
        <v>41671.980439221916</v>
      </c>
      <c r="Y427">
        <f>ReconciliationData[[#This Row],[ordered_units]]*ReconciliationData[[#This Row],[List_Price]]</f>
        <v>41572.149300000005</v>
      </c>
      <c r="Z427">
        <f>ReconciliationData[[#This Row],[billed_revenue]]-ReconciliationData[[#This Row],[expected_revenue]]</f>
        <v>99.831139221911144</v>
      </c>
      <c r="AA4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427" t="str">
        <f>IF(ReconciliationData[[#This Row],[severity_score]]=0,"LOW",
 IF(ReconciliationData[[#This Row],[severity_score]]&lt;=5,"MEDIUM","HIGH"))</f>
        <v>MEDIUM</v>
      </c>
      <c r="AC427" t="str">
        <f>TEXT(ReconciliationData[[#This Row],[Order_Date]],"YYYY-MM")</f>
        <v>2024-12</v>
      </c>
    </row>
    <row r="428" spans="1:29">
      <c r="A428" t="s">
        <v>1551</v>
      </c>
      <c r="B428" s="1">
        <v>45041</v>
      </c>
      <c r="C428" t="s">
        <v>1552</v>
      </c>
      <c r="D428" t="s">
        <v>468</v>
      </c>
      <c r="E428">
        <v>45</v>
      </c>
      <c r="F428" t="s">
        <v>1553</v>
      </c>
      <c r="G428">
        <v>45</v>
      </c>
      <c r="H428">
        <v>376.62</v>
      </c>
      <c r="N428">
        <v>376.62</v>
      </c>
      <c r="O428" s="1">
        <v>44747</v>
      </c>
      <c r="P428">
        <f>IF(ISBLANK(ReconciliationData[[#This Row],[Invoice_ID]]),1,0)</f>
        <v>0</v>
      </c>
      <c r="Q428">
        <f>IF(AND(NOT(ISBLANK(ReconciliationData[[#This Row],[Billed_Units]])),ReconciliationData[[#This Row],[ordered_units]]&lt;&gt;ReconciliationData[[#This Row],[Billed_Units]]),1,0)</f>
        <v>0</v>
      </c>
      <c r="R4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28">
        <f>IF(AND(NOT(ISBLANK(ReconciliationData[[#This Row],[Contract_Price]])),ReconciliationData[[#This Row],[Billed_Price]]&lt;&gt;ReconciliationData[[#This Row],[Contract_Price]]),1,0)</f>
        <v>0</v>
      </c>
      <c r="T428">
        <f>IF(AND(NOT(ISBLANK(ReconciliationData[[#This Row],[End_Date]])),ReconciliationData[[#This Row],[Order_Date]]&gt;ReconciliationData[[#This Row],[End_Date]]),1,0)</f>
        <v>0</v>
      </c>
      <c r="U428">
        <f>IF(AND(NOT(ISBLANK(ReconciliationData[[#This Row],[last_return_date]])),ReconciliationData[[#This Row],[last_return_date]]&gt;ReconciliationData[[#This Row],[Order_Date]]+60),1,0)</f>
        <v>0</v>
      </c>
      <c r="V428">
        <f>IF(ReconciliationData[[#This Row],[total_returned_units]]&gt;ReconciliationData[[#This Row],[ordered_units]],1,0)</f>
        <v>0</v>
      </c>
      <c r="W4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28">
        <f>ReconciliationData[[#This Row],[Billed_Units]]*ReconciliationData[[#This Row],[Billed_Price]]</f>
        <v>16947.900000000001</v>
      </c>
      <c r="Y428">
        <f>ReconciliationData[[#This Row],[ordered_units]]*ReconciliationData[[#This Row],[List_Price]]</f>
        <v>16947.900000000001</v>
      </c>
      <c r="Z428">
        <f>ReconciliationData[[#This Row],[billed_revenue]]-ReconciliationData[[#This Row],[expected_revenue]]</f>
        <v>0</v>
      </c>
      <c r="AA4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28" t="str">
        <f>IF(ReconciliationData[[#This Row],[severity_score]]=0,"LOW",
 IF(ReconciliationData[[#This Row],[severity_score]]&lt;=5,"MEDIUM","HIGH"))</f>
        <v>LOW</v>
      </c>
      <c r="AC428" t="str">
        <f>TEXT(ReconciliationData[[#This Row],[Order_Date]],"YYYY-MM")</f>
        <v>2023-04</v>
      </c>
    </row>
    <row r="429" spans="1:29">
      <c r="A429" t="s">
        <v>1554</v>
      </c>
      <c r="B429" s="1">
        <v>45325</v>
      </c>
      <c r="C429" t="s">
        <v>320</v>
      </c>
      <c r="D429" t="s">
        <v>1555</v>
      </c>
      <c r="E429">
        <v>127</v>
      </c>
      <c r="F429" t="s">
        <v>1556</v>
      </c>
      <c r="G429">
        <v>127</v>
      </c>
      <c r="H429">
        <v>850.16200000000003</v>
      </c>
      <c r="N429">
        <v>850.16200000000003</v>
      </c>
      <c r="O429" s="1">
        <v>45099</v>
      </c>
      <c r="P429">
        <f>IF(ISBLANK(ReconciliationData[[#This Row],[Invoice_ID]]),1,0)</f>
        <v>0</v>
      </c>
      <c r="Q429">
        <f>IF(AND(NOT(ISBLANK(ReconciliationData[[#This Row],[Billed_Units]])),ReconciliationData[[#This Row],[ordered_units]]&lt;&gt;ReconciliationData[[#This Row],[Billed_Units]]),1,0)</f>
        <v>0</v>
      </c>
      <c r="R4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29">
        <f>IF(AND(NOT(ISBLANK(ReconciliationData[[#This Row],[Contract_Price]])),ReconciliationData[[#This Row],[Billed_Price]]&lt;&gt;ReconciliationData[[#This Row],[Contract_Price]]),1,0)</f>
        <v>0</v>
      </c>
      <c r="T429">
        <f>IF(AND(NOT(ISBLANK(ReconciliationData[[#This Row],[End_Date]])),ReconciliationData[[#This Row],[Order_Date]]&gt;ReconciliationData[[#This Row],[End_Date]]),1,0)</f>
        <v>0</v>
      </c>
      <c r="U429">
        <f>IF(AND(NOT(ISBLANK(ReconciliationData[[#This Row],[last_return_date]])),ReconciliationData[[#This Row],[last_return_date]]&gt;ReconciliationData[[#This Row],[Order_Date]]+60),1,0)</f>
        <v>0</v>
      </c>
      <c r="V429">
        <f>IF(ReconciliationData[[#This Row],[total_returned_units]]&gt;ReconciliationData[[#This Row],[ordered_units]],1,0)</f>
        <v>0</v>
      </c>
      <c r="W4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29">
        <f>ReconciliationData[[#This Row],[Billed_Units]]*ReconciliationData[[#This Row],[Billed_Price]]</f>
        <v>107970.57400000001</v>
      </c>
      <c r="Y429">
        <f>ReconciliationData[[#This Row],[ordered_units]]*ReconciliationData[[#This Row],[List_Price]]</f>
        <v>107970.57400000001</v>
      </c>
      <c r="Z429">
        <f>ReconciliationData[[#This Row],[billed_revenue]]-ReconciliationData[[#This Row],[expected_revenue]]</f>
        <v>0</v>
      </c>
      <c r="AA4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29" t="str">
        <f>IF(ReconciliationData[[#This Row],[severity_score]]=0,"LOW",
 IF(ReconciliationData[[#This Row],[severity_score]]&lt;=5,"MEDIUM","HIGH"))</f>
        <v>LOW</v>
      </c>
      <c r="AC429" t="str">
        <f>TEXT(ReconciliationData[[#This Row],[Order_Date]],"YYYY-MM")</f>
        <v>2024-02</v>
      </c>
    </row>
    <row r="430" spans="1:29">
      <c r="A430" t="s">
        <v>1557</v>
      </c>
      <c r="B430" s="1">
        <v>45031</v>
      </c>
      <c r="C430" t="s">
        <v>1558</v>
      </c>
      <c r="D430" t="s">
        <v>1559</v>
      </c>
      <c r="E430">
        <v>25</v>
      </c>
      <c r="F430" t="s">
        <v>1560</v>
      </c>
      <c r="G430">
        <v>25</v>
      </c>
      <c r="H430">
        <v>1065.7722000000001</v>
      </c>
      <c r="N430">
        <v>1065.7722000000001</v>
      </c>
      <c r="O430" s="1">
        <v>44936</v>
      </c>
      <c r="P430">
        <f>IF(ISBLANK(ReconciliationData[[#This Row],[Invoice_ID]]),1,0)</f>
        <v>0</v>
      </c>
      <c r="Q430">
        <f>IF(AND(NOT(ISBLANK(ReconciliationData[[#This Row],[Billed_Units]])),ReconciliationData[[#This Row],[ordered_units]]&lt;&gt;ReconciliationData[[#This Row],[Billed_Units]]),1,0)</f>
        <v>0</v>
      </c>
      <c r="R4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0">
        <f>IF(AND(NOT(ISBLANK(ReconciliationData[[#This Row],[Contract_Price]])),ReconciliationData[[#This Row],[Billed_Price]]&lt;&gt;ReconciliationData[[#This Row],[Contract_Price]]),1,0)</f>
        <v>0</v>
      </c>
      <c r="T430">
        <f>IF(AND(NOT(ISBLANK(ReconciliationData[[#This Row],[End_Date]])),ReconciliationData[[#This Row],[Order_Date]]&gt;ReconciliationData[[#This Row],[End_Date]]),1,0)</f>
        <v>0</v>
      </c>
      <c r="U430">
        <f>IF(AND(NOT(ISBLANK(ReconciliationData[[#This Row],[last_return_date]])),ReconciliationData[[#This Row],[last_return_date]]&gt;ReconciliationData[[#This Row],[Order_Date]]+60),1,0)</f>
        <v>0</v>
      </c>
      <c r="V430">
        <f>IF(ReconciliationData[[#This Row],[total_returned_units]]&gt;ReconciliationData[[#This Row],[ordered_units]],1,0)</f>
        <v>0</v>
      </c>
      <c r="W4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30">
        <f>ReconciliationData[[#This Row],[Billed_Units]]*ReconciliationData[[#This Row],[Billed_Price]]</f>
        <v>26644.305000000004</v>
      </c>
      <c r="Y430">
        <f>ReconciliationData[[#This Row],[ordered_units]]*ReconciliationData[[#This Row],[List_Price]]</f>
        <v>26644.305000000004</v>
      </c>
      <c r="Z430">
        <f>ReconciliationData[[#This Row],[billed_revenue]]-ReconciliationData[[#This Row],[expected_revenue]]</f>
        <v>0</v>
      </c>
      <c r="AA4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30" t="str">
        <f>IF(ReconciliationData[[#This Row],[severity_score]]=0,"LOW",
 IF(ReconciliationData[[#This Row],[severity_score]]&lt;=5,"MEDIUM","HIGH"))</f>
        <v>LOW</v>
      </c>
      <c r="AC430" t="str">
        <f>TEXT(ReconciliationData[[#This Row],[Order_Date]],"YYYY-MM")</f>
        <v>2023-04</v>
      </c>
    </row>
    <row r="431" spans="1:29">
      <c r="A431" t="s">
        <v>1561</v>
      </c>
      <c r="B431" s="1">
        <v>45405</v>
      </c>
      <c r="C431" t="s">
        <v>1486</v>
      </c>
      <c r="D431" t="s">
        <v>1455</v>
      </c>
      <c r="E431">
        <v>151</v>
      </c>
      <c r="F431" t="s">
        <v>1562</v>
      </c>
      <c r="G431">
        <v>151</v>
      </c>
      <c r="H431">
        <v>556.99</v>
      </c>
      <c r="N431">
        <v>556.99</v>
      </c>
      <c r="O431" s="1">
        <v>45147</v>
      </c>
      <c r="P431">
        <f>IF(ISBLANK(ReconciliationData[[#This Row],[Invoice_ID]]),1,0)</f>
        <v>0</v>
      </c>
      <c r="Q431">
        <f>IF(AND(NOT(ISBLANK(ReconciliationData[[#This Row],[Billed_Units]])),ReconciliationData[[#This Row],[ordered_units]]&lt;&gt;ReconciliationData[[#This Row],[Billed_Units]]),1,0)</f>
        <v>0</v>
      </c>
      <c r="R4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1">
        <f>IF(AND(NOT(ISBLANK(ReconciliationData[[#This Row],[Contract_Price]])),ReconciliationData[[#This Row],[Billed_Price]]&lt;&gt;ReconciliationData[[#This Row],[Contract_Price]]),1,0)</f>
        <v>0</v>
      </c>
      <c r="T431">
        <f>IF(AND(NOT(ISBLANK(ReconciliationData[[#This Row],[End_Date]])),ReconciliationData[[#This Row],[Order_Date]]&gt;ReconciliationData[[#This Row],[End_Date]]),1,0)</f>
        <v>0</v>
      </c>
      <c r="U431">
        <f>IF(AND(NOT(ISBLANK(ReconciliationData[[#This Row],[last_return_date]])),ReconciliationData[[#This Row],[last_return_date]]&gt;ReconciliationData[[#This Row],[Order_Date]]+60),1,0)</f>
        <v>0</v>
      </c>
      <c r="V431">
        <f>IF(ReconciliationData[[#This Row],[total_returned_units]]&gt;ReconciliationData[[#This Row],[ordered_units]],1,0)</f>
        <v>0</v>
      </c>
      <c r="W4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31">
        <f>ReconciliationData[[#This Row],[Billed_Units]]*ReconciliationData[[#This Row],[Billed_Price]]</f>
        <v>84105.49</v>
      </c>
      <c r="Y431">
        <f>ReconciliationData[[#This Row],[ordered_units]]*ReconciliationData[[#This Row],[List_Price]]</f>
        <v>84105.49</v>
      </c>
      <c r="Z431">
        <f>ReconciliationData[[#This Row],[billed_revenue]]-ReconciliationData[[#This Row],[expected_revenue]]</f>
        <v>0</v>
      </c>
      <c r="AA4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31" t="str">
        <f>IF(ReconciliationData[[#This Row],[severity_score]]=0,"LOW",
 IF(ReconciliationData[[#This Row],[severity_score]]&lt;=5,"MEDIUM","HIGH"))</f>
        <v>LOW</v>
      </c>
      <c r="AC431" t="str">
        <f>TEXT(ReconciliationData[[#This Row],[Order_Date]],"YYYY-MM")</f>
        <v>2024-04</v>
      </c>
    </row>
    <row r="432" spans="1:29">
      <c r="A432" t="s">
        <v>1563</v>
      </c>
      <c r="B432" s="1">
        <v>45333</v>
      </c>
      <c r="C432" t="s">
        <v>617</v>
      </c>
      <c r="D432" t="s">
        <v>461</v>
      </c>
      <c r="E432">
        <v>87</v>
      </c>
      <c r="F432" t="s">
        <v>1564</v>
      </c>
      <c r="G432">
        <v>87</v>
      </c>
      <c r="H432">
        <v>1114.2336</v>
      </c>
      <c r="N432">
        <v>1114.2336</v>
      </c>
      <c r="O432" s="1">
        <v>45141</v>
      </c>
      <c r="P432">
        <f>IF(ISBLANK(ReconciliationData[[#This Row],[Invoice_ID]]),1,0)</f>
        <v>0</v>
      </c>
      <c r="Q432">
        <f>IF(AND(NOT(ISBLANK(ReconciliationData[[#This Row],[Billed_Units]])),ReconciliationData[[#This Row],[ordered_units]]&lt;&gt;ReconciliationData[[#This Row],[Billed_Units]]),1,0)</f>
        <v>0</v>
      </c>
      <c r="R4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2">
        <f>IF(AND(NOT(ISBLANK(ReconciliationData[[#This Row],[Contract_Price]])),ReconciliationData[[#This Row],[Billed_Price]]&lt;&gt;ReconciliationData[[#This Row],[Contract_Price]]),1,0)</f>
        <v>0</v>
      </c>
      <c r="T432">
        <f>IF(AND(NOT(ISBLANK(ReconciliationData[[#This Row],[End_Date]])),ReconciliationData[[#This Row],[Order_Date]]&gt;ReconciliationData[[#This Row],[End_Date]]),1,0)</f>
        <v>0</v>
      </c>
      <c r="U432">
        <f>IF(AND(NOT(ISBLANK(ReconciliationData[[#This Row],[last_return_date]])),ReconciliationData[[#This Row],[last_return_date]]&gt;ReconciliationData[[#This Row],[Order_Date]]+60),1,0)</f>
        <v>0</v>
      </c>
      <c r="V432">
        <f>IF(ReconciliationData[[#This Row],[total_returned_units]]&gt;ReconciliationData[[#This Row],[ordered_units]],1,0)</f>
        <v>0</v>
      </c>
      <c r="W4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32">
        <f>ReconciliationData[[#This Row],[Billed_Units]]*ReconciliationData[[#This Row],[Billed_Price]]</f>
        <v>96938.323199999999</v>
      </c>
      <c r="Y432">
        <f>ReconciliationData[[#This Row],[ordered_units]]*ReconciliationData[[#This Row],[List_Price]]</f>
        <v>96938.323199999999</v>
      </c>
      <c r="Z432">
        <f>ReconciliationData[[#This Row],[billed_revenue]]-ReconciliationData[[#This Row],[expected_revenue]]</f>
        <v>0</v>
      </c>
      <c r="AA4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32" t="str">
        <f>IF(ReconciliationData[[#This Row],[severity_score]]=0,"LOW",
 IF(ReconciliationData[[#This Row],[severity_score]]&lt;=5,"MEDIUM","HIGH"))</f>
        <v>LOW</v>
      </c>
      <c r="AC432" t="str">
        <f>TEXT(ReconciliationData[[#This Row],[Order_Date]],"YYYY-MM")</f>
        <v>2024-02</v>
      </c>
    </row>
    <row r="433" spans="1:29">
      <c r="A433" t="s">
        <v>1565</v>
      </c>
      <c r="B433" s="1">
        <v>45425</v>
      </c>
      <c r="C433" t="s">
        <v>1566</v>
      </c>
      <c r="D433" t="s">
        <v>1567</v>
      </c>
      <c r="E433">
        <v>77</v>
      </c>
      <c r="F433" t="s">
        <v>1568</v>
      </c>
      <c r="G433">
        <v>77</v>
      </c>
      <c r="H433">
        <v>799.8357000000002</v>
      </c>
      <c r="N433">
        <v>799.8357000000002</v>
      </c>
      <c r="O433" s="1">
        <v>45063</v>
      </c>
      <c r="P433">
        <f>IF(ISBLANK(ReconciliationData[[#This Row],[Invoice_ID]]),1,0)</f>
        <v>0</v>
      </c>
      <c r="Q433">
        <f>IF(AND(NOT(ISBLANK(ReconciliationData[[#This Row],[Billed_Units]])),ReconciliationData[[#This Row],[ordered_units]]&lt;&gt;ReconciliationData[[#This Row],[Billed_Units]]),1,0)</f>
        <v>0</v>
      </c>
      <c r="R4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3">
        <f>IF(AND(NOT(ISBLANK(ReconciliationData[[#This Row],[Contract_Price]])),ReconciliationData[[#This Row],[Billed_Price]]&lt;&gt;ReconciliationData[[#This Row],[Contract_Price]]),1,0)</f>
        <v>0</v>
      </c>
      <c r="T433">
        <f>IF(AND(NOT(ISBLANK(ReconciliationData[[#This Row],[End_Date]])),ReconciliationData[[#This Row],[Order_Date]]&gt;ReconciliationData[[#This Row],[End_Date]]),1,0)</f>
        <v>0</v>
      </c>
      <c r="U433">
        <f>IF(AND(NOT(ISBLANK(ReconciliationData[[#This Row],[last_return_date]])),ReconciliationData[[#This Row],[last_return_date]]&gt;ReconciliationData[[#This Row],[Order_Date]]+60),1,0)</f>
        <v>0</v>
      </c>
      <c r="V433">
        <f>IF(ReconciliationData[[#This Row],[total_returned_units]]&gt;ReconciliationData[[#This Row],[ordered_units]],1,0)</f>
        <v>0</v>
      </c>
      <c r="W4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33">
        <f>ReconciliationData[[#This Row],[Billed_Units]]*ReconciliationData[[#This Row],[Billed_Price]]</f>
        <v>61587.348900000019</v>
      </c>
      <c r="Y433">
        <f>ReconciliationData[[#This Row],[ordered_units]]*ReconciliationData[[#This Row],[List_Price]]</f>
        <v>61587.348900000019</v>
      </c>
      <c r="Z433">
        <f>ReconciliationData[[#This Row],[billed_revenue]]-ReconciliationData[[#This Row],[expected_revenue]]</f>
        <v>0</v>
      </c>
      <c r="AA4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33" t="str">
        <f>IF(ReconciliationData[[#This Row],[severity_score]]=0,"LOW",
 IF(ReconciliationData[[#This Row],[severity_score]]&lt;=5,"MEDIUM","HIGH"))</f>
        <v>LOW</v>
      </c>
      <c r="AC433" t="str">
        <f>TEXT(ReconciliationData[[#This Row],[Order_Date]],"YYYY-MM")</f>
        <v>2024-05</v>
      </c>
    </row>
    <row r="434" spans="1:29">
      <c r="A434" t="s">
        <v>1569</v>
      </c>
      <c r="B434" s="1">
        <v>45172</v>
      </c>
      <c r="C434" t="s">
        <v>1570</v>
      </c>
      <c r="D434" t="s">
        <v>1571</v>
      </c>
      <c r="E434">
        <v>197</v>
      </c>
      <c r="F434" t="s">
        <v>1572</v>
      </c>
      <c r="G434">
        <v>197</v>
      </c>
      <c r="H434">
        <v>1226.9154000000001</v>
      </c>
      <c r="I434">
        <v>6</v>
      </c>
      <c r="J434" s="1">
        <v>45095</v>
      </c>
      <c r="N434">
        <v>1226.9154000000001</v>
      </c>
      <c r="O434" s="1">
        <v>45032</v>
      </c>
      <c r="P434">
        <f>IF(ISBLANK(ReconciliationData[[#This Row],[Invoice_ID]]),1,0)</f>
        <v>0</v>
      </c>
      <c r="Q434">
        <f>IF(AND(NOT(ISBLANK(ReconciliationData[[#This Row],[Billed_Units]])),ReconciliationData[[#This Row],[ordered_units]]&lt;&gt;ReconciliationData[[#This Row],[Billed_Units]]),1,0)</f>
        <v>0</v>
      </c>
      <c r="R4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4">
        <f>IF(AND(NOT(ISBLANK(ReconciliationData[[#This Row],[Contract_Price]])),ReconciliationData[[#This Row],[Billed_Price]]&lt;&gt;ReconciliationData[[#This Row],[Contract_Price]]),1,0)</f>
        <v>0</v>
      </c>
      <c r="T434">
        <f>IF(AND(NOT(ISBLANK(ReconciliationData[[#This Row],[End_Date]])),ReconciliationData[[#This Row],[Order_Date]]&gt;ReconciliationData[[#This Row],[End_Date]]),1,0)</f>
        <v>0</v>
      </c>
      <c r="U434">
        <f>IF(AND(NOT(ISBLANK(ReconciliationData[[#This Row],[last_return_date]])),ReconciliationData[[#This Row],[last_return_date]]&gt;ReconciliationData[[#This Row],[Order_Date]]+60),1,0)</f>
        <v>0</v>
      </c>
      <c r="V434">
        <f>IF(ReconciliationData[[#This Row],[total_returned_units]]&gt;ReconciliationData[[#This Row],[ordered_units]],1,0)</f>
        <v>0</v>
      </c>
      <c r="W4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34">
        <f>ReconciliationData[[#This Row],[Billed_Units]]*ReconciliationData[[#This Row],[Billed_Price]]</f>
        <v>241702.33380000002</v>
      </c>
      <c r="Y434">
        <f>ReconciliationData[[#This Row],[ordered_units]]*ReconciliationData[[#This Row],[List_Price]]</f>
        <v>241702.33380000002</v>
      </c>
      <c r="Z434">
        <f>ReconciliationData[[#This Row],[billed_revenue]]-ReconciliationData[[#This Row],[expected_revenue]]</f>
        <v>0</v>
      </c>
      <c r="AA4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34" t="str">
        <f>IF(ReconciliationData[[#This Row],[severity_score]]=0,"LOW",
 IF(ReconciliationData[[#This Row],[severity_score]]&lt;=5,"MEDIUM","HIGH"))</f>
        <v>LOW</v>
      </c>
      <c r="AC434" t="str">
        <f>TEXT(ReconciliationData[[#This Row],[Order_Date]],"YYYY-MM")</f>
        <v>2023-09</v>
      </c>
    </row>
    <row r="435" spans="1:29">
      <c r="A435" t="s">
        <v>1573</v>
      </c>
      <c r="B435" s="1">
        <v>45270</v>
      </c>
      <c r="C435" t="s">
        <v>1574</v>
      </c>
      <c r="D435" t="s">
        <v>487</v>
      </c>
      <c r="E435">
        <v>37</v>
      </c>
      <c r="F435" t="s">
        <v>1575</v>
      </c>
      <c r="G435">
        <v>37</v>
      </c>
      <c r="H435">
        <v>280.03500000000003</v>
      </c>
      <c r="N435">
        <v>280.03500000000003</v>
      </c>
      <c r="O435" s="1">
        <v>45146</v>
      </c>
      <c r="P435">
        <f>IF(ISBLANK(ReconciliationData[[#This Row],[Invoice_ID]]),1,0)</f>
        <v>0</v>
      </c>
      <c r="Q435">
        <f>IF(AND(NOT(ISBLANK(ReconciliationData[[#This Row],[Billed_Units]])),ReconciliationData[[#This Row],[ordered_units]]&lt;&gt;ReconciliationData[[#This Row],[Billed_Units]]),1,0)</f>
        <v>0</v>
      </c>
      <c r="R4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5">
        <f>IF(AND(NOT(ISBLANK(ReconciliationData[[#This Row],[Contract_Price]])),ReconciliationData[[#This Row],[Billed_Price]]&lt;&gt;ReconciliationData[[#This Row],[Contract_Price]]),1,0)</f>
        <v>0</v>
      </c>
      <c r="T435">
        <f>IF(AND(NOT(ISBLANK(ReconciliationData[[#This Row],[End_Date]])),ReconciliationData[[#This Row],[Order_Date]]&gt;ReconciliationData[[#This Row],[End_Date]]),1,0)</f>
        <v>0</v>
      </c>
      <c r="U435">
        <f>IF(AND(NOT(ISBLANK(ReconciliationData[[#This Row],[last_return_date]])),ReconciliationData[[#This Row],[last_return_date]]&gt;ReconciliationData[[#This Row],[Order_Date]]+60),1,0)</f>
        <v>0</v>
      </c>
      <c r="V435">
        <f>IF(ReconciliationData[[#This Row],[total_returned_units]]&gt;ReconciliationData[[#This Row],[ordered_units]],1,0)</f>
        <v>0</v>
      </c>
      <c r="W4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35">
        <f>ReconciliationData[[#This Row],[Billed_Units]]*ReconciliationData[[#This Row],[Billed_Price]]</f>
        <v>10361.295</v>
      </c>
      <c r="Y435">
        <f>ReconciliationData[[#This Row],[ordered_units]]*ReconciliationData[[#This Row],[List_Price]]</f>
        <v>10361.295</v>
      </c>
      <c r="Z435">
        <f>ReconciliationData[[#This Row],[billed_revenue]]-ReconciliationData[[#This Row],[expected_revenue]]</f>
        <v>0</v>
      </c>
      <c r="AA4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35" t="str">
        <f>IF(ReconciliationData[[#This Row],[severity_score]]=0,"LOW",
 IF(ReconciliationData[[#This Row],[severity_score]]&lt;=5,"MEDIUM","HIGH"))</f>
        <v>LOW</v>
      </c>
      <c r="AC435" t="str">
        <f>TEXT(ReconciliationData[[#This Row],[Order_Date]],"YYYY-MM")</f>
        <v>2023-12</v>
      </c>
    </row>
    <row r="436" spans="1:29">
      <c r="A436" t="s">
        <v>1576</v>
      </c>
      <c r="B436" s="1">
        <v>45581</v>
      </c>
      <c r="C436" t="s">
        <v>592</v>
      </c>
      <c r="D436" t="s">
        <v>397</v>
      </c>
      <c r="E436">
        <v>1</v>
      </c>
      <c r="F436" t="s">
        <v>1577</v>
      </c>
      <c r="G436">
        <v>1</v>
      </c>
      <c r="H436">
        <v>96.6</v>
      </c>
      <c r="I436">
        <v>3</v>
      </c>
      <c r="J436" s="1">
        <v>45260</v>
      </c>
      <c r="N436">
        <v>96.6</v>
      </c>
      <c r="O436" s="1">
        <v>45105</v>
      </c>
      <c r="P436">
        <f>IF(ISBLANK(ReconciliationData[[#This Row],[Invoice_ID]]),1,0)</f>
        <v>0</v>
      </c>
      <c r="Q436">
        <f>IF(AND(NOT(ISBLANK(ReconciliationData[[#This Row],[Billed_Units]])),ReconciliationData[[#This Row],[ordered_units]]&lt;&gt;ReconciliationData[[#This Row],[Billed_Units]]),1,0)</f>
        <v>0</v>
      </c>
      <c r="R4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6">
        <f>IF(AND(NOT(ISBLANK(ReconciliationData[[#This Row],[Contract_Price]])),ReconciliationData[[#This Row],[Billed_Price]]&lt;&gt;ReconciliationData[[#This Row],[Contract_Price]]),1,0)</f>
        <v>0</v>
      </c>
      <c r="T436">
        <f>IF(AND(NOT(ISBLANK(ReconciliationData[[#This Row],[End_Date]])),ReconciliationData[[#This Row],[Order_Date]]&gt;ReconciliationData[[#This Row],[End_Date]]),1,0)</f>
        <v>0</v>
      </c>
      <c r="U436">
        <f>IF(AND(NOT(ISBLANK(ReconciliationData[[#This Row],[last_return_date]])),ReconciliationData[[#This Row],[last_return_date]]&gt;ReconciliationData[[#This Row],[Order_Date]]+60),1,0)</f>
        <v>0</v>
      </c>
      <c r="V436">
        <f>IF(ReconciliationData[[#This Row],[total_returned_units]]&gt;ReconciliationData[[#This Row],[ordered_units]],1,0)</f>
        <v>1</v>
      </c>
      <c r="W4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36">
        <f>ReconciliationData[[#This Row],[Billed_Units]]*ReconciliationData[[#This Row],[Billed_Price]]</f>
        <v>96.6</v>
      </c>
      <c r="Y436">
        <f>ReconciliationData[[#This Row],[ordered_units]]*ReconciliationData[[#This Row],[List_Price]]</f>
        <v>96.6</v>
      </c>
      <c r="Z436">
        <f>ReconciliationData[[#This Row],[billed_revenue]]-ReconciliationData[[#This Row],[expected_revenue]]</f>
        <v>0</v>
      </c>
      <c r="AA4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436" t="str">
        <f>IF(ReconciliationData[[#This Row],[severity_score]]=0,"LOW",
 IF(ReconciliationData[[#This Row],[severity_score]]&lt;=5,"MEDIUM","HIGH"))</f>
        <v>MEDIUM</v>
      </c>
      <c r="AC436" t="str">
        <f>TEXT(ReconciliationData[[#This Row],[Order_Date]],"YYYY-MM")</f>
        <v>2024-10</v>
      </c>
    </row>
    <row r="437" spans="1:29">
      <c r="A437" t="s">
        <v>1578</v>
      </c>
      <c r="B437" s="1">
        <v>45581</v>
      </c>
      <c r="C437" t="s">
        <v>1579</v>
      </c>
      <c r="D437" t="s">
        <v>1580</v>
      </c>
      <c r="E437">
        <v>79</v>
      </c>
      <c r="F437" t="s">
        <v>1581</v>
      </c>
      <c r="G437">
        <v>79</v>
      </c>
      <c r="H437">
        <v>708.51900000000001</v>
      </c>
      <c r="N437">
        <v>708.51900000000001</v>
      </c>
      <c r="O437" s="1">
        <v>45063</v>
      </c>
      <c r="P437">
        <f>IF(ISBLANK(ReconciliationData[[#This Row],[Invoice_ID]]),1,0)</f>
        <v>0</v>
      </c>
      <c r="Q437">
        <f>IF(AND(NOT(ISBLANK(ReconciliationData[[#This Row],[Billed_Units]])),ReconciliationData[[#This Row],[ordered_units]]&lt;&gt;ReconciliationData[[#This Row],[Billed_Units]]),1,0)</f>
        <v>0</v>
      </c>
      <c r="R4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7">
        <f>IF(AND(NOT(ISBLANK(ReconciliationData[[#This Row],[Contract_Price]])),ReconciliationData[[#This Row],[Billed_Price]]&lt;&gt;ReconciliationData[[#This Row],[Contract_Price]]),1,0)</f>
        <v>0</v>
      </c>
      <c r="T437">
        <f>IF(AND(NOT(ISBLANK(ReconciliationData[[#This Row],[End_Date]])),ReconciliationData[[#This Row],[Order_Date]]&gt;ReconciliationData[[#This Row],[End_Date]]),1,0)</f>
        <v>0</v>
      </c>
      <c r="U437">
        <f>IF(AND(NOT(ISBLANK(ReconciliationData[[#This Row],[last_return_date]])),ReconciliationData[[#This Row],[last_return_date]]&gt;ReconciliationData[[#This Row],[Order_Date]]+60),1,0)</f>
        <v>0</v>
      </c>
      <c r="V437">
        <f>IF(ReconciliationData[[#This Row],[total_returned_units]]&gt;ReconciliationData[[#This Row],[ordered_units]],1,0)</f>
        <v>0</v>
      </c>
      <c r="W4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37">
        <f>ReconciliationData[[#This Row],[Billed_Units]]*ReconciliationData[[#This Row],[Billed_Price]]</f>
        <v>55973.001000000004</v>
      </c>
      <c r="Y437">
        <f>ReconciliationData[[#This Row],[ordered_units]]*ReconciliationData[[#This Row],[List_Price]]</f>
        <v>55973.001000000004</v>
      </c>
      <c r="Z437">
        <f>ReconciliationData[[#This Row],[billed_revenue]]-ReconciliationData[[#This Row],[expected_revenue]]</f>
        <v>0</v>
      </c>
      <c r="AA4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37" t="str">
        <f>IF(ReconciliationData[[#This Row],[severity_score]]=0,"LOW",
 IF(ReconciliationData[[#This Row],[severity_score]]&lt;=5,"MEDIUM","HIGH"))</f>
        <v>LOW</v>
      </c>
      <c r="AC437" t="str">
        <f>TEXT(ReconciliationData[[#This Row],[Order_Date]],"YYYY-MM")</f>
        <v>2024-10</v>
      </c>
    </row>
    <row r="438" spans="1:29">
      <c r="A438" t="s">
        <v>1582</v>
      </c>
      <c r="B438" s="1">
        <v>45477</v>
      </c>
      <c r="C438" t="s">
        <v>515</v>
      </c>
      <c r="D438" t="s">
        <v>1583</v>
      </c>
      <c r="E438">
        <v>91</v>
      </c>
      <c r="F438" t="s">
        <v>1584</v>
      </c>
      <c r="G438">
        <v>89</v>
      </c>
      <c r="H438">
        <v>1182.1740000000002</v>
      </c>
      <c r="N438">
        <v>1182.1740000000002</v>
      </c>
      <c r="O438" s="1">
        <v>45130</v>
      </c>
      <c r="P438">
        <f>IF(ISBLANK(ReconciliationData[[#This Row],[Invoice_ID]]),1,0)</f>
        <v>0</v>
      </c>
      <c r="Q438">
        <f>IF(AND(NOT(ISBLANK(ReconciliationData[[#This Row],[Billed_Units]])),ReconciliationData[[#This Row],[ordered_units]]&lt;&gt;ReconciliationData[[#This Row],[Billed_Units]]),1,0)</f>
        <v>1</v>
      </c>
      <c r="R4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8">
        <f>IF(AND(NOT(ISBLANK(ReconciliationData[[#This Row],[Contract_Price]])),ReconciliationData[[#This Row],[Billed_Price]]&lt;&gt;ReconciliationData[[#This Row],[Contract_Price]]),1,0)</f>
        <v>0</v>
      </c>
      <c r="T438">
        <f>IF(AND(NOT(ISBLANK(ReconciliationData[[#This Row],[End_Date]])),ReconciliationData[[#This Row],[Order_Date]]&gt;ReconciliationData[[#This Row],[End_Date]]),1,0)</f>
        <v>0</v>
      </c>
      <c r="U438">
        <f>IF(AND(NOT(ISBLANK(ReconciliationData[[#This Row],[last_return_date]])),ReconciliationData[[#This Row],[last_return_date]]&gt;ReconciliationData[[#This Row],[Order_Date]]+60),1,0)</f>
        <v>0</v>
      </c>
      <c r="V438">
        <f>IF(ReconciliationData[[#This Row],[total_returned_units]]&gt;ReconciliationData[[#This Row],[ordered_units]],1,0)</f>
        <v>0</v>
      </c>
      <c r="W4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38">
        <f>ReconciliationData[[#This Row],[Billed_Units]]*ReconciliationData[[#This Row],[Billed_Price]]</f>
        <v>105213.48600000002</v>
      </c>
      <c r="Y438">
        <f>ReconciliationData[[#This Row],[ordered_units]]*ReconciliationData[[#This Row],[List_Price]]</f>
        <v>107577.83400000002</v>
      </c>
      <c r="Z438">
        <f>ReconciliationData[[#This Row],[billed_revenue]]-ReconciliationData[[#This Row],[expected_revenue]]</f>
        <v>-2364.3479999999981</v>
      </c>
      <c r="AA4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438" t="str">
        <f>IF(ReconciliationData[[#This Row],[severity_score]]=0,"LOW",
 IF(ReconciliationData[[#This Row],[severity_score]]&lt;=5,"MEDIUM","HIGH"))</f>
        <v>HIGH</v>
      </c>
      <c r="AC438" t="str">
        <f>TEXT(ReconciliationData[[#This Row],[Order_Date]],"YYYY-MM")</f>
        <v>2024-07</v>
      </c>
    </row>
    <row r="439" spans="1:29">
      <c r="A439" t="s">
        <v>1585</v>
      </c>
      <c r="B439" s="1">
        <v>45104</v>
      </c>
      <c r="C439" t="s">
        <v>448</v>
      </c>
      <c r="D439" t="s">
        <v>814</v>
      </c>
      <c r="E439">
        <v>173</v>
      </c>
      <c r="F439" t="s">
        <v>1586</v>
      </c>
      <c r="G439">
        <v>173</v>
      </c>
      <c r="H439">
        <v>521.54959999999994</v>
      </c>
      <c r="N439">
        <v>521.54959999999994</v>
      </c>
      <c r="O439" s="1">
        <v>44994</v>
      </c>
      <c r="P439">
        <f>IF(ISBLANK(ReconciliationData[[#This Row],[Invoice_ID]]),1,0)</f>
        <v>0</v>
      </c>
      <c r="Q439">
        <f>IF(AND(NOT(ISBLANK(ReconciliationData[[#This Row],[Billed_Units]])),ReconciliationData[[#This Row],[ordered_units]]&lt;&gt;ReconciliationData[[#This Row],[Billed_Units]]),1,0)</f>
        <v>0</v>
      </c>
      <c r="R4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39">
        <f>IF(AND(NOT(ISBLANK(ReconciliationData[[#This Row],[Contract_Price]])),ReconciliationData[[#This Row],[Billed_Price]]&lt;&gt;ReconciliationData[[#This Row],[Contract_Price]]),1,0)</f>
        <v>0</v>
      </c>
      <c r="T439">
        <f>IF(AND(NOT(ISBLANK(ReconciliationData[[#This Row],[End_Date]])),ReconciliationData[[#This Row],[Order_Date]]&gt;ReconciliationData[[#This Row],[End_Date]]),1,0)</f>
        <v>0</v>
      </c>
      <c r="U439">
        <f>IF(AND(NOT(ISBLANK(ReconciliationData[[#This Row],[last_return_date]])),ReconciliationData[[#This Row],[last_return_date]]&gt;ReconciliationData[[#This Row],[Order_Date]]+60),1,0)</f>
        <v>0</v>
      </c>
      <c r="V439">
        <f>IF(ReconciliationData[[#This Row],[total_returned_units]]&gt;ReconciliationData[[#This Row],[ordered_units]],1,0)</f>
        <v>0</v>
      </c>
      <c r="W4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39">
        <f>ReconciliationData[[#This Row],[Billed_Units]]*ReconciliationData[[#This Row],[Billed_Price]]</f>
        <v>90228.080799999996</v>
      </c>
      <c r="Y439">
        <f>ReconciliationData[[#This Row],[ordered_units]]*ReconciliationData[[#This Row],[List_Price]]</f>
        <v>90228.080799999996</v>
      </c>
      <c r="Z439">
        <f>ReconciliationData[[#This Row],[billed_revenue]]-ReconciliationData[[#This Row],[expected_revenue]]</f>
        <v>0</v>
      </c>
      <c r="AA4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39" t="str">
        <f>IF(ReconciliationData[[#This Row],[severity_score]]=0,"LOW",
 IF(ReconciliationData[[#This Row],[severity_score]]&lt;=5,"MEDIUM","HIGH"))</f>
        <v>LOW</v>
      </c>
      <c r="AC439" t="str">
        <f>TEXT(ReconciliationData[[#This Row],[Order_Date]],"YYYY-MM")</f>
        <v>2023-06</v>
      </c>
    </row>
    <row r="440" spans="1:29">
      <c r="A440" t="s">
        <v>1587</v>
      </c>
      <c r="B440" s="1">
        <v>45111</v>
      </c>
      <c r="C440" t="s">
        <v>1588</v>
      </c>
      <c r="D440" t="s">
        <v>828</v>
      </c>
      <c r="E440">
        <v>126</v>
      </c>
      <c r="F440" t="s">
        <v>1589</v>
      </c>
      <c r="G440">
        <v>126</v>
      </c>
      <c r="H440">
        <v>893.8972</v>
      </c>
      <c r="N440">
        <v>893.8972</v>
      </c>
      <c r="O440" s="1">
        <v>45049</v>
      </c>
      <c r="P440">
        <f>IF(ISBLANK(ReconciliationData[[#This Row],[Invoice_ID]]),1,0)</f>
        <v>0</v>
      </c>
      <c r="Q440">
        <f>IF(AND(NOT(ISBLANK(ReconciliationData[[#This Row],[Billed_Units]])),ReconciliationData[[#This Row],[ordered_units]]&lt;&gt;ReconciliationData[[#This Row],[Billed_Units]]),1,0)</f>
        <v>0</v>
      </c>
      <c r="R4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0">
        <f>IF(AND(NOT(ISBLANK(ReconciliationData[[#This Row],[Contract_Price]])),ReconciliationData[[#This Row],[Billed_Price]]&lt;&gt;ReconciliationData[[#This Row],[Contract_Price]]),1,0)</f>
        <v>0</v>
      </c>
      <c r="T440">
        <f>IF(AND(NOT(ISBLANK(ReconciliationData[[#This Row],[End_Date]])),ReconciliationData[[#This Row],[Order_Date]]&gt;ReconciliationData[[#This Row],[End_Date]]),1,0)</f>
        <v>0</v>
      </c>
      <c r="U440">
        <f>IF(AND(NOT(ISBLANK(ReconciliationData[[#This Row],[last_return_date]])),ReconciliationData[[#This Row],[last_return_date]]&gt;ReconciliationData[[#This Row],[Order_Date]]+60),1,0)</f>
        <v>0</v>
      </c>
      <c r="V440">
        <f>IF(ReconciliationData[[#This Row],[total_returned_units]]&gt;ReconciliationData[[#This Row],[ordered_units]],1,0)</f>
        <v>0</v>
      </c>
      <c r="W4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40">
        <f>ReconciliationData[[#This Row],[Billed_Units]]*ReconciliationData[[#This Row],[Billed_Price]]</f>
        <v>112631.0472</v>
      </c>
      <c r="Y440">
        <f>ReconciliationData[[#This Row],[ordered_units]]*ReconciliationData[[#This Row],[List_Price]]</f>
        <v>112631.0472</v>
      </c>
      <c r="Z440">
        <f>ReconciliationData[[#This Row],[billed_revenue]]-ReconciliationData[[#This Row],[expected_revenue]]</f>
        <v>0</v>
      </c>
      <c r="AA4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40" t="str">
        <f>IF(ReconciliationData[[#This Row],[severity_score]]=0,"LOW",
 IF(ReconciliationData[[#This Row],[severity_score]]&lt;=5,"MEDIUM","HIGH"))</f>
        <v>LOW</v>
      </c>
      <c r="AC440" t="str">
        <f>TEXT(ReconciliationData[[#This Row],[Order_Date]],"YYYY-MM")</f>
        <v>2023-07</v>
      </c>
    </row>
    <row r="441" spans="1:29">
      <c r="A441" t="s">
        <v>1590</v>
      </c>
      <c r="B441" s="1">
        <v>45395</v>
      </c>
      <c r="C441" t="s">
        <v>1591</v>
      </c>
      <c r="D441" t="s">
        <v>356</v>
      </c>
      <c r="E441">
        <v>107</v>
      </c>
      <c r="F441" t="s">
        <v>1592</v>
      </c>
      <c r="G441">
        <v>107</v>
      </c>
      <c r="H441">
        <v>393.40140000000002</v>
      </c>
      <c r="N441">
        <v>393.40140000000002</v>
      </c>
      <c r="O441" s="1">
        <v>45146</v>
      </c>
      <c r="P441">
        <f>IF(ISBLANK(ReconciliationData[[#This Row],[Invoice_ID]]),1,0)</f>
        <v>0</v>
      </c>
      <c r="Q441">
        <f>IF(AND(NOT(ISBLANK(ReconciliationData[[#This Row],[Billed_Units]])),ReconciliationData[[#This Row],[ordered_units]]&lt;&gt;ReconciliationData[[#This Row],[Billed_Units]]),1,0)</f>
        <v>0</v>
      </c>
      <c r="R4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1">
        <f>IF(AND(NOT(ISBLANK(ReconciliationData[[#This Row],[Contract_Price]])),ReconciliationData[[#This Row],[Billed_Price]]&lt;&gt;ReconciliationData[[#This Row],[Contract_Price]]),1,0)</f>
        <v>0</v>
      </c>
      <c r="T441">
        <f>IF(AND(NOT(ISBLANK(ReconciliationData[[#This Row],[End_Date]])),ReconciliationData[[#This Row],[Order_Date]]&gt;ReconciliationData[[#This Row],[End_Date]]),1,0)</f>
        <v>0</v>
      </c>
      <c r="U441">
        <f>IF(AND(NOT(ISBLANK(ReconciliationData[[#This Row],[last_return_date]])),ReconciliationData[[#This Row],[last_return_date]]&gt;ReconciliationData[[#This Row],[Order_Date]]+60),1,0)</f>
        <v>0</v>
      </c>
      <c r="V441">
        <f>IF(ReconciliationData[[#This Row],[total_returned_units]]&gt;ReconciliationData[[#This Row],[ordered_units]],1,0)</f>
        <v>0</v>
      </c>
      <c r="W4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41">
        <f>ReconciliationData[[#This Row],[Billed_Units]]*ReconciliationData[[#This Row],[Billed_Price]]</f>
        <v>42093.949800000002</v>
      </c>
      <c r="Y441">
        <f>ReconciliationData[[#This Row],[ordered_units]]*ReconciliationData[[#This Row],[List_Price]]</f>
        <v>42093.949800000002</v>
      </c>
      <c r="Z441">
        <f>ReconciliationData[[#This Row],[billed_revenue]]-ReconciliationData[[#This Row],[expected_revenue]]</f>
        <v>0</v>
      </c>
      <c r="AA4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41" t="str">
        <f>IF(ReconciliationData[[#This Row],[severity_score]]=0,"LOW",
 IF(ReconciliationData[[#This Row],[severity_score]]&lt;=5,"MEDIUM","HIGH"))</f>
        <v>LOW</v>
      </c>
      <c r="AC441" t="str">
        <f>TEXT(ReconciliationData[[#This Row],[Order_Date]],"YYYY-MM")</f>
        <v>2024-04</v>
      </c>
    </row>
    <row r="442" spans="1:29">
      <c r="A442" t="s">
        <v>1593</v>
      </c>
      <c r="B442" s="1">
        <v>45132</v>
      </c>
      <c r="C442" t="s">
        <v>1483</v>
      </c>
      <c r="D442" t="s">
        <v>643</v>
      </c>
      <c r="E442">
        <v>67</v>
      </c>
      <c r="F442" t="s">
        <v>1594</v>
      </c>
      <c r="G442">
        <v>67</v>
      </c>
      <c r="H442">
        <v>208.65799999999999</v>
      </c>
      <c r="N442">
        <v>208.65799999999999</v>
      </c>
      <c r="O442" s="1">
        <v>44971</v>
      </c>
      <c r="P442">
        <f>IF(ISBLANK(ReconciliationData[[#This Row],[Invoice_ID]]),1,0)</f>
        <v>0</v>
      </c>
      <c r="Q442">
        <f>IF(AND(NOT(ISBLANK(ReconciliationData[[#This Row],[Billed_Units]])),ReconciliationData[[#This Row],[ordered_units]]&lt;&gt;ReconciliationData[[#This Row],[Billed_Units]]),1,0)</f>
        <v>0</v>
      </c>
      <c r="R4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2">
        <f>IF(AND(NOT(ISBLANK(ReconciliationData[[#This Row],[Contract_Price]])),ReconciliationData[[#This Row],[Billed_Price]]&lt;&gt;ReconciliationData[[#This Row],[Contract_Price]]),1,0)</f>
        <v>0</v>
      </c>
      <c r="T442">
        <f>IF(AND(NOT(ISBLANK(ReconciliationData[[#This Row],[End_Date]])),ReconciliationData[[#This Row],[Order_Date]]&gt;ReconciliationData[[#This Row],[End_Date]]),1,0)</f>
        <v>0</v>
      </c>
      <c r="U442">
        <f>IF(AND(NOT(ISBLANK(ReconciliationData[[#This Row],[last_return_date]])),ReconciliationData[[#This Row],[last_return_date]]&gt;ReconciliationData[[#This Row],[Order_Date]]+60),1,0)</f>
        <v>0</v>
      </c>
      <c r="V442">
        <f>IF(ReconciliationData[[#This Row],[total_returned_units]]&gt;ReconciliationData[[#This Row],[ordered_units]],1,0)</f>
        <v>0</v>
      </c>
      <c r="W4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42">
        <f>ReconciliationData[[#This Row],[Billed_Units]]*ReconciliationData[[#This Row],[Billed_Price]]</f>
        <v>13980.085999999999</v>
      </c>
      <c r="Y442">
        <f>ReconciliationData[[#This Row],[ordered_units]]*ReconciliationData[[#This Row],[List_Price]]</f>
        <v>13980.085999999999</v>
      </c>
      <c r="Z442">
        <f>ReconciliationData[[#This Row],[billed_revenue]]-ReconciliationData[[#This Row],[expected_revenue]]</f>
        <v>0</v>
      </c>
      <c r="AA4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42" t="str">
        <f>IF(ReconciliationData[[#This Row],[severity_score]]=0,"LOW",
 IF(ReconciliationData[[#This Row],[severity_score]]&lt;=5,"MEDIUM","HIGH"))</f>
        <v>LOW</v>
      </c>
      <c r="AC442" t="str">
        <f>TEXT(ReconciliationData[[#This Row],[Order_Date]],"YYYY-MM")</f>
        <v>2023-07</v>
      </c>
    </row>
    <row r="443" spans="1:29">
      <c r="A443" t="s">
        <v>1595</v>
      </c>
      <c r="B443" s="1">
        <v>45429</v>
      </c>
      <c r="C443" t="s">
        <v>278</v>
      </c>
      <c r="D443" t="s">
        <v>349</v>
      </c>
      <c r="E443">
        <v>172</v>
      </c>
      <c r="F443" t="s">
        <v>1596</v>
      </c>
      <c r="G443">
        <v>172</v>
      </c>
      <c r="H443">
        <v>61.845300000000002</v>
      </c>
      <c r="N443">
        <v>61.845300000000002</v>
      </c>
      <c r="O443" s="1">
        <v>45226</v>
      </c>
      <c r="P443">
        <f>IF(ISBLANK(ReconciliationData[[#This Row],[Invoice_ID]]),1,0)</f>
        <v>0</v>
      </c>
      <c r="Q443">
        <f>IF(AND(NOT(ISBLANK(ReconciliationData[[#This Row],[Billed_Units]])),ReconciliationData[[#This Row],[ordered_units]]&lt;&gt;ReconciliationData[[#This Row],[Billed_Units]]),1,0)</f>
        <v>0</v>
      </c>
      <c r="R4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3">
        <f>IF(AND(NOT(ISBLANK(ReconciliationData[[#This Row],[Contract_Price]])),ReconciliationData[[#This Row],[Billed_Price]]&lt;&gt;ReconciliationData[[#This Row],[Contract_Price]]),1,0)</f>
        <v>0</v>
      </c>
      <c r="T443">
        <f>IF(AND(NOT(ISBLANK(ReconciliationData[[#This Row],[End_Date]])),ReconciliationData[[#This Row],[Order_Date]]&gt;ReconciliationData[[#This Row],[End_Date]]),1,0)</f>
        <v>0</v>
      </c>
      <c r="U443">
        <f>IF(AND(NOT(ISBLANK(ReconciliationData[[#This Row],[last_return_date]])),ReconciliationData[[#This Row],[last_return_date]]&gt;ReconciliationData[[#This Row],[Order_Date]]+60),1,0)</f>
        <v>0</v>
      </c>
      <c r="V443">
        <f>IF(ReconciliationData[[#This Row],[total_returned_units]]&gt;ReconciliationData[[#This Row],[ordered_units]],1,0)</f>
        <v>0</v>
      </c>
      <c r="W4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43">
        <f>ReconciliationData[[#This Row],[Billed_Units]]*ReconciliationData[[#This Row],[Billed_Price]]</f>
        <v>10637.391600000001</v>
      </c>
      <c r="Y443">
        <f>ReconciliationData[[#This Row],[ordered_units]]*ReconciliationData[[#This Row],[List_Price]]</f>
        <v>10637.391600000001</v>
      </c>
      <c r="Z443">
        <f>ReconciliationData[[#This Row],[billed_revenue]]-ReconciliationData[[#This Row],[expected_revenue]]</f>
        <v>0</v>
      </c>
      <c r="AA4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43" t="str">
        <f>IF(ReconciliationData[[#This Row],[severity_score]]=0,"LOW",
 IF(ReconciliationData[[#This Row],[severity_score]]&lt;=5,"MEDIUM","HIGH"))</f>
        <v>LOW</v>
      </c>
      <c r="AC443" t="str">
        <f>TEXT(ReconciliationData[[#This Row],[Order_Date]],"YYYY-MM")</f>
        <v>2024-05</v>
      </c>
    </row>
    <row r="444" spans="1:29">
      <c r="A444" t="s">
        <v>1597</v>
      </c>
      <c r="B444" s="1">
        <v>44983</v>
      </c>
      <c r="C444" t="s">
        <v>1598</v>
      </c>
      <c r="D444" t="s">
        <v>1495</v>
      </c>
      <c r="E444">
        <v>38</v>
      </c>
      <c r="F444" t="s">
        <v>1599</v>
      </c>
      <c r="G444">
        <v>38</v>
      </c>
      <c r="H444">
        <v>358.416</v>
      </c>
      <c r="N444">
        <v>358.416</v>
      </c>
      <c r="O444" s="1">
        <v>44824</v>
      </c>
      <c r="P444">
        <f>IF(ISBLANK(ReconciliationData[[#This Row],[Invoice_ID]]),1,0)</f>
        <v>0</v>
      </c>
      <c r="Q444">
        <f>IF(AND(NOT(ISBLANK(ReconciliationData[[#This Row],[Billed_Units]])),ReconciliationData[[#This Row],[ordered_units]]&lt;&gt;ReconciliationData[[#This Row],[Billed_Units]]),1,0)</f>
        <v>0</v>
      </c>
      <c r="R4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4">
        <f>IF(AND(NOT(ISBLANK(ReconciliationData[[#This Row],[Contract_Price]])),ReconciliationData[[#This Row],[Billed_Price]]&lt;&gt;ReconciliationData[[#This Row],[Contract_Price]]),1,0)</f>
        <v>0</v>
      </c>
      <c r="T444">
        <f>IF(AND(NOT(ISBLANK(ReconciliationData[[#This Row],[End_Date]])),ReconciliationData[[#This Row],[Order_Date]]&gt;ReconciliationData[[#This Row],[End_Date]]),1,0)</f>
        <v>0</v>
      </c>
      <c r="U444">
        <f>IF(AND(NOT(ISBLANK(ReconciliationData[[#This Row],[last_return_date]])),ReconciliationData[[#This Row],[last_return_date]]&gt;ReconciliationData[[#This Row],[Order_Date]]+60),1,0)</f>
        <v>0</v>
      </c>
      <c r="V444">
        <f>IF(ReconciliationData[[#This Row],[total_returned_units]]&gt;ReconciliationData[[#This Row],[ordered_units]],1,0)</f>
        <v>0</v>
      </c>
      <c r="W4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44">
        <f>ReconciliationData[[#This Row],[Billed_Units]]*ReconciliationData[[#This Row],[Billed_Price]]</f>
        <v>13619.807999999999</v>
      </c>
      <c r="Y444">
        <f>ReconciliationData[[#This Row],[ordered_units]]*ReconciliationData[[#This Row],[List_Price]]</f>
        <v>13619.807999999999</v>
      </c>
      <c r="Z444">
        <f>ReconciliationData[[#This Row],[billed_revenue]]-ReconciliationData[[#This Row],[expected_revenue]]</f>
        <v>0</v>
      </c>
      <c r="AA4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44" t="str">
        <f>IF(ReconciliationData[[#This Row],[severity_score]]=0,"LOW",
 IF(ReconciliationData[[#This Row],[severity_score]]&lt;=5,"MEDIUM","HIGH"))</f>
        <v>LOW</v>
      </c>
      <c r="AC444" t="str">
        <f>TEXT(ReconciliationData[[#This Row],[Order_Date]],"YYYY-MM")</f>
        <v>2023-02</v>
      </c>
    </row>
    <row r="445" spans="1:29">
      <c r="A445" t="s">
        <v>1600</v>
      </c>
      <c r="B445" s="1">
        <v>45286</v>
      </c>
      <c r="C445" t="s">
        <v>1601</v>
      </c>
      <c r="D445" t="s">
        <v>1392</v>
      </c>
      <c r="E445">
        <v>66</v>
      </c>
      <c r="F445" t="s">
        <v>1602</v>
      </c>
      <c r="G445">
        <v>66</v>
      </c>
      <c r="H445">
        <v>107.1605</v>
      </c>
      <c r="N445">
        <v>107.1605</v>
      </c>
      <c r="O445" s="1">
        <v>44970</v>
      </c>
      <c r="P445">
        <f>IF(ISBLANK(ReconciliationData[[#This Row],[Invoice_ID]]),1,0)</f>
        <v>0</v>
      </c>
      <c r="Q445">
        <f>IF(AND(NOT(ISBLANK(ReconciliationData[[#This Row],[Billed_Units]])),ReconciliationData[[#This Row],[ordered_units]]&lt;&gt;ReconciliationData[[#This Row],[Billed_Units]]),1,0)</f>
        <v>0</v>
      </c>
      <c r="R4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5">
        <f>IF(AND(NOT(ISBLANK(ReconciliationData[[#This Row],[Contract_Price]])),ReconciliationData[[#This Row],[Billed_Price]]&lt;&gt;ReconciliationData[[#This Row],[Contract_Price]]),1,0)</f>
        <v>0</v>
      </c>
      <c r="T445">
        <f>IF(AND(NOT(ISBLANK(ReconciliationData[[#This Row],[End_Date]])),ReconciliationData[[#This Row],[Order_Date]]&gt;ReconciliationData[[#This Row],[End_Date]]),1,0)</f>
        <v>0</v>
      </c>
      <c r="U445">
        <f>IF(AND(NOT(ISBLANK(ReconciliationData[[#This Row],[last_return_date]])),ReconciliationData[[#This Row],[last_return_date]]&gt;ReconciliationData[[#This Row],[Order_Date]]+60),1,0)</f>
        <v>0</v>
      </c>
      <c r="V445">
        <f>IF(ReconciliationData[[#This Row],[total_returned_units]]&gt;ReconciliationData[[#This Row],[ordered_units]],1,0)</f>
        <v>0</v>
      </c>
      <c r="W4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45">
        <f>ReconciliationData[[#This Row],[Billed_Units]]*ReconciliationData[[#This Row],[Billed_Price]]</f>
        <v>7072.5929999999998</v>
      </c>
      <c r="Y445">
        <f>ReconciliationData[[#This Row],[ordered_units]]*ReconciliationData[[#This Row],[List_Price]]</f>
        <v>7072.5929999999998</v>
      </c>
      <c r="Z445">
        <f>ReconciliationData[[#This Row],[billed_revenue]]-ReconciliationData[[#This Row],[expected_revenue]]</f>
        <v>0</v>
      </c>
      <c r="AA4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45" t="str">
        <f>IF(ReconciliationData[[#This Row],[severity_score]]=0,"LOW",
 IF(ReconciliationData[[#This Row],[severity_score]]&lt;=5,"MEDIUM","HIGH"))</f>
        <v>LOW</v>
      </c>
      <c r="AC445" t="str">
        <f>TEXT(ReconciliationData[[#This Row],[Order_Date]],"YYYY-MM")</f>
        <v>2023-12</v>
      </c>
    </row>
    <row r="446" spans="1:29">
      <c r="A446" t="s">
        <v>1603</v>
      </c>
      <c r="B446" s="1">
        <v>45280</v>
      </c>
      <c r="C446" t="s">
        <v>680</v>
      </c>
      <c r="D446" t="s">
        <v>1420</v>
      </c>
      <c r="E446">
        <v>179</v>
      </c>
      <c r="F446" t="s">
        <v>1604</v>
      </c>
      <c r="G446">
        <v>179</v>
      </c>
      <c r="H446">
        <v>77.178600000000003</v>
      </c>
      <c r="N446">
        <v>77.178600000000003</v>
      </c>
      <c r="O446" s="1">
        <v>44975</v>
      </c>
      <c r="P446">
        <f>IF(ISBLANK(ReconciliationData[[#This Row],[Invoice_ID]]),1,0)</f>
        <v>0</v>
      </c>
      <c r="Q446">
        <f>IF(AND(NOT(ISBLANK(ReconciliationData[[#This Row],[Billed_Units]])),ReconciliationData[[#This Row],[ordered_units]]&lt;&gt;ReconciliationData[[#This Row],[Billed_Units]]),1,0)</f>
        <v>0</v>
      </c>
      <c r="R4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6">
        <f>IF(AND(NOT(ISBLANK(ReconciliationData[[#This Row],[Contract_Price]])),ReconciliationData[[#This Row],[Billed_Price]]&lt;&gt;ReconciliationData[[#This Row],[Contract_Price]]),1,0)</f>
        <v>0</v>
      </c>
      <c r="T446">
        <f>IF(AND(NOT(ISBLANK(ReconciliationData[[#This Row],[End_Date]])),ReconciliationData[[#This Row],[Order_Date]]&gt;ReconciliationData[[#This Row],[End_Date]]),1,0)</f>
        <v>0</v>
      </c>
      <c r="U446">
        <f>IF(AND(NOT(ISBLANK(ReconciliationData[[#This Row],[last_return_date]])),ReconciliationData[[#This Row],[last_return_date]]&gt;ReconciliationData[[#This Row],[Order_Date]]+60),1,0)</f>
        <v>0</v>
      </c>
      <c r="V446">
        <f>IF(ReconciliationData[[#This Row],[total_returned_units]]&gt;ReconciliationData[[#This Row],[ordered_units]],1,0)</f>
        <v>0</v>
      </c>
      <c r="W4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46">
        <f>ReconciliationData[[#This Row],[Billed_Units]]*ReconciliationData[[#This Row],[Billed_Price]]</f>
        <v>13814.9694</v>
      </c>
      <c r="Y446">
        <f>ReconciliationData[[#This Row],[ordered_units]]*ReconciliationData[[#This Row],[List_Price]]</f>
        <v>13814.9694</v>
      </c>
      <c r="Z446">
        <f>ReconciliationData[[#This Row],[billed_revenue]]-ReconciliationData[[#This Row],[expected_revenue]]</f>
        <v>0</v>
      </c>
      <c r="AA4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46" t="str">
        <f>IF(ReconciliationData[[#This Row],[severity_score]]=0,"LOW",
 IF(ReconciliationData[[#This Row],[severity_score]]&lt;=5,"MEDIUM","HIGH"))</f>
        <v>LOW</v>
      </c>
      <c r="AC446" t="str">
        <f>TEXT(ReconciliationData[[#This Row],[Order_Date]],"YYYY-MM")</f>
        <v>2023-12</v>
      </c>
    </row>
    <row r="447" spans="1:29">
      <c r="A447" t="s">
        <v>1605</v>
      </c>
      <c r="B447" s="1">
        <v>45545</v>
      </c>
      <c r="C447" t="s">
        <v>1248</v>
      </c>
      <c r="D447" t="s">
        <v>1606</v>
      </c>
      <c r="E447">
        <v>42</v>
      </c>
      <c r="F447" t="s">
        <v>1607</v>
      </c>
      <c r="G447">
        <v>42</v>
      </c>
      <c r="H447">
        <v>620.22550000000001</v>
      </c>
      <c r="N447">
        <v>620.22550000000001</v>
      </c>
      <c r="O447" s="1">
        <v>45200</v>
      </c>
      <c r="P447">
        <f>IF(ISBLANK(ReconciliationData[[#This Row],[Invoice_ID]]),1,0)</f>
        <v>0</v>
      </c>
      <c r="Q447">
        <f>IF(AND(NOT(ISBLANK(ReconciliationData[[#This Row],[Billed_Units]])),ReconciliationData[[#This Row],[ordered_units]]&lt;&gt;ReconciliationData[[#This Row],[Billed_Units]]),1,0)</f>
        <v>0</v>
      </c>
      <c r="R4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7">
        <f>IF(AND(NOT(ISBLANK(ReconciliationData[[#This Row],[Contract_Price]])),ReconciliationData[[#This Row],[Billed_Price]]&lt;&gt;ReconciliationData[[#This Row],[Contract_Price]]),1,0)</f>
        <v>0</v>
      </c>
      <c r="T447">
        <f>IF(AND(NOT(ISBLANK(ReconciliationData[[#This Row],[End_Date]])),ReconciliationData[[#This Row],[Order_Date]]&gt;ReconciliationData[[#This Row],[End_Date]]),1,0)</f>
        <v>0</v>
      </c>
      <c r="U447">
        <f>IF(AND(NOT(ISBLANK(ReconciliationData[[#This Row],[last_return_date]])),ReconciliationData[[#This Row],[last_return_date]]&gt;ReconciliationData[[#This Row],[Order_Date]]+60),1,0)</f>
        <v>0</v>
      </c>
      <c r="V447">
        <f>IF(ReconciliationData[[#This Row],[total_returned_units]]&gt;ReconciliationData[[#This Row],[ordered_units]],1,0)</f>
        <v>0</v>
      </c>
      <c r="W4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47">
        <f>ReconciliationData[[#This Row],[Billed_Units]]*ReconciliationData[[#This Row],[Billed_Price]]</f>
        <v>26049.471000000001</v>
      </c>
      <c r="Y447">
        <f>ReconciliationData[[#This Row],[ordered_units]]*ReconciliationData[[#This Row],[List_Price]]</f>
        <v>26049.471000000001</v>
      </c>
      <c r="Z447">
        <f>ReconciliationData[[#This Row],[billed_revenue]]-ReconciliationData[[#This Row],[expected_revenue]]</f>
        <v>0</v>
      </c>
      <c r="AA4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47" t="str">
        <f>IF(ReconciliationData[[#This Row],[severity_score]]=0,"LOW",
 IF(ReconciliationData[[#This Row],[severity_score]]&lt;=5,"MEDIUM","HIGH"))</f>
        <v>LOW</v>
      </c>
      <c r="AC447" t="str">
        <f>TEXT(ReconciliationData[[#This Row],[Order_Date]],"YYYY-MM")</f>
        <v>2024-09</v>
      </c>
    </row>
    <row r="448" spans="1:29">
      <c r="A448" t="s">
        <v>1608</v>
      </c>
      <c r="B448" s="1">
        <v>45531</v>
      </c>
      <c r="C448" t="s">
        <v>1505</v>
      </c>
      <c r="D448" t="s">
        <v>624</v>
      </c>
      <c r="E448">
        <v>181</v>
      </c>
      <c r="F448" t="s">
        <v>1609</v>
      </c>
      <c r="G448">
        <v>181</v>
      </c>
      <c r="H448">
        <v>147.17669999999998</v>
      </c>
      <c r="N448">
        <v>147.17669999999998</v>
      </c>
      <c r="O448" s="1">
        <v>45039</v>
      </c>
      <c r="P448">
        <f>IF(ISBLANK(ReconciliationData[[#This Row],[Invoice_ID]]),1,0)</f>
        <v>0</v>
      </c>
      <c r="Q448">
        <f>IF(AND(NOT(ISBLANK(ReconciliationData[[#This Row],[Billed_Units]])),ReconciliationData[[#This Row],[ordered_units]]&lt;&gt;ReconciliationData[[#This Row],[Billed_Units]]),1,0)</f>
        <v>0</v>
      </c>
      <c r="R4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8">
        <f>IF(AND(NOT(ISBLANK(ReconciliationData[[#This Row],[Contract_Price]])),ReconciliationData[[#This Row],[Billed_Price]]&lt;&gt;ReconciliationData[[#This Row],[Contract_Price]]),1,0)</f>
        <v>0</v>
      </c>
      <c r="T448">
        <f>IF(AND(NOT(ISBLANK(ReconciliationData[[#This Row],[End_Date]])),ReconciliationData[[#This Row],[Order_Date]]&gt;ReconciliationData[[#This Row],[End_Date]]),1,0)</f>
        <v>0</v>
      </c>
      <c r="U448">
        <f>IF(AND(NOT(ISBLANK(ReconciliationData[[#This Row],[last_return_date]])),ReconciliationData[[#This Row],[last_return_date]]&gt;ReconciliationData[[#This Row],[Order_Date]]+60),1,0)</f>
        <v>0</v>
      </c>
      <c r="V448">
        <f>IF(ReconciliationData[[#This Row],[total_returned_units]]&gt;ReconciliationData[[#This Row],[ordered_units]],1,0)</f>
        <v>0</v>
      </c>
      <c r="W4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48">
        <f>ReconciliationData[[#This Row],[Billed_Units]]*ReconciliationData[[#This Row],[Billed_Price]]</f>
        <v>26638.982699999997</v>
      </c>
      <c r="Y448">
        <f>ReconciliationData[[#This Row],[ordered_units]]*ReconciliationData[[#This Row],[List_Price]]</f>
        <v>26638.982699999997</v>
      </c>
      <c r="Z448">
        <f>ReconciliationData[[#This Row],[billed_revenue]]-ReconciliationData[[#This Row],[expected_revenue]]</f>
        <v>0</v>
      </c>
      <c r="AA4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48" t="str">
        <f>IF(ReconciliationData[[#This Row],[severity_score]]=0,"LOW",
 IF(ReconciliationData[[#This Row],[severity_score]]&lt;=5,"MEDIUM","HIGH"))</f>
        <v>LOW</v>
      </c>
      <c r="AC448" t="str">
        <f>TEXT(ReconciliationData[[#This Row],[Order_Date]],"YYYY-MM")</f>
        <v>2024-08</v>
      </c>
    </row>
    <row r="449" spans="1:29">
      <c r="A449" t="s">
        <v>1610</v>
      </c>
      <c r="B449" s="1">
        <v>44960</v>
      </c>
      <c r="C449" t="s">
        <v>1588</v>
      </c>
      <c r="D449" t="s">
        <v>908</v>
      </c>
      <c r="E449">
        <v>42</v>
      </c>
      <c r="F449" t="s">
        <v>1611</v>
      </c>
      <c r="G449">
        <v>52</v>
      </c>
      <c r="H449">
        <v>560.10919999999999</v>
      </c>
      <c r="N449">
        <v>560.10919999999999</v>
      </c>
      <c r="O449" s="1">
        <v>44851</v>
      </c>
      <c r="P449">
        <f>IF(ISBLANK(ReconciliationData[[#This Row],[Invoice_ID]]),1,0)</f>
        <v>0</v>
      </c>
      <c r="Q449">
        <f>IF(AND(NOT(ISBLANK(ReconciliationData[[#This Row],[Billed_Units]])),ReconciliationData[[#This Row],[ordered_units]]&lt;&gt;ReconciliationData[[#This Row],[Billed_Units]]),1,0)</f>
        <v>1</v>
      </c>
      <c r="R4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49">
        <f>IF(AND(NOT(ISBLANK(ReconciliationData[[#This Row],[Contract_Price]])),ReconciliationData[[#This Row],[Billed_Price]]&lt;&gt;ReconciliationData[[#This Row],[Contract_Price]]),1,0)</f>
        <v>0</v>
      </c>
      <c r="T449">
        <f>IF(AND(NOT(ISBLANK(ReconciliationData[[#This Row],[End_Date]])),ReconciliationData[[#This Row],[Order_Date]]&gt;ReconciliationData[[#This Row],[End_Date]]),1,0)</f>
        <v>0</v>
      </c>
      <c r="U449">
        <f>IF(AND(NOT(ISBLANK(ReconciliationData[[#This Row],[last_return_date]])),ReconciliationData[[#This Row],[last_return_date]]&gt;ReconciliationData[[#This Row],[Order_Date]]+60),1,0)</f>
        <v>0</v>
      </c>
      <c r="V449">
        <f>IF(ReconciliationData[[#This Row],[total_returned_units]]&gt;ReconciliationData[[#This Row],[ordered_units]],1,0)</f>
        <v>0</v>
      </c>
      <c r="W4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49">
        <f>ReconciliationData[[#This Row],[Billed_Units]]*ReconciliationData[[#This Row],[Billed_Price]]</f>
        <v>29125.678400000001</v>
      </c>
      <c r="Y449">
        <f>ReconciliationData[[#This Row],[ordered_units]]*ReconciliationData[[#This Row],[List_Price]]</f>
        <v>23524.5864</v>
      </c>
      <c r="Z449">
        <f>ReconciliationData[[#This Row],[billed_revenue]]-ReconciliationData[[#This Row],[expected_revenue]]</f>
        <v>5601.0920000000006</v>
      </c>
      <c r="AA4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449" t="str">
        <f>IF(ReconciliationData[[#This Row],[severity_score]]=0,"LOW",
 IF(ReconciliationData[[#This Row],[severity_score]]&lt;=5,"MEDIUM","HIGH"))</f>
        <v>HIGH</v>
      </c>
      <c r="AC449" t="str">
        <f>TEXT(ReconciliationData[[#This Row],[Order_Date]],"YYYY-MM")</f>
        <v>2023-02</v>
      </c>
    </row>
    <row r="450" spans="1:29">
      <c r="A450" t="s">
        <v>1612</v>
      </c>
      <c r="B450" s="1">
        <v>45645</v>
      </c>
      <c r="C450" t="s">
        <v>1174</v>
      </c>
      <c r="D450" t="s">
        <v>267</v>
      </c>
      <c r="E450">
        <v>200</v>
      </c>
      <c r="F450" t="s">
        <v>1613</v>
      </c>
      <c r="G450">
        <v>200</v>
      </c>
      <c r="H450">
        <v>973.43799999999999</v>
      </c>
      <c r="N450">
        <v>973.43799999999999</v>
      </c>
      <c r="O450" s="1">
        <v>45011</v>
      </c>
      <c r="P450">
        <f>IF(ISBLANK(ReconciliationData[[#This Row],[Invoice_ID]]),1,0)</f>
        <v>0</v>
      </c>
      <c r="Q450">
        <f>IF(AND(NOT(ISBLANK(ReconciliationData[[#This Row],[Billed_Units]])),ReconciliationData[[#This Row],[ordered_units]]&lt;&gt;ReconciliationData[[#This Row],[Billed_Units]]),1,0)</f>
        <v>0</v>
      </c>
      <c r="R4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0">
        <f>IF(AND(NOT(ISBLANK(ReconciliationData[[#This Row],[Contract_Price]])),ReconciliationData[[#This Row],[Billed_Price]]&lt;&gt;ReconciliationData[[#This Row],[Contract_Price]]),1,0)</f>
        <v>0</v>
      </c>
      <c r="T450">
        <f>IF(AND(NOT(ISBLANK(ReconciliationData[[#This Row],[End_Date]])),ReconciliationData[[#This Row],[Order_Date]]&gt;ReconciliationData[[#This Row],[End_Date]]),1,0)</f>
        <v>0</v>
      </c>
      <c r="U450">
        <f>IF(AND(NOT(ISBLANK(ReconciliationData[[#This Row],[last_return_date]])),ReconciliationData[[#This Row],[last_return_date]]&gt;ReconciliationData[[#This Row],[Order_Date]]+60),1,0)</f>
        <v>0</v>
      </c>
      <c r="V450">
        <f>IF(ReconciliationData[[#This Row],[total_returned_units]]&gt;ReconciliationData[[#This Row],[ordered_units]],1,0)</f>
        <v>0</v>
      </c>
      <c r="W4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0">
        <f>ReconciliationData[[#This Row],[Billed_Units]]*ReconciliationData[[#This Row],[Billed_Price]]</f>
        <v>194687.6</v>
      </c>
      <c r="Y450">
        <f>ReconciliationData[[#This Row],[ordered_units]]*ReconciliationData[[#This Row],[List_Price]]</f>
        <v>194687.6</v>
      </c>
      <c r="Z450">
        <f>ReconciliationData[[#This Row],[billed_revenue]]-ReconciliationData[[#This Row],[expected_revenue]]</f>
        <v>0</v>
      </c>
      <c r="AA4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0" t="str">
        <f>IF(ReconciliationData[[#This Row],[severity_score]]=0,"LOW",
 IF(ReconciliationData[[#This Row],[severity_score]]&lt;=5,"MEDIUM","HIGH"))</f>
        <v>LOW</v>
      </c>
      <c r="AC450" t="str">
        <f>TEXT(ReconciliationData[[#This Row],[Order_Date]],"YYYY-MM")</f>
        <v>2024-12</v>
      </c>
    </row>
    <row r="451" spans="1:29">
      <c r="A451" t="s">
        <v>1614</v>
      </c>
      <c r="B451" s="1">
        <v>45222</v>
      </c>
      <c r="C451" t="s">
        <v>1615</v>
      </c>
      <c r="D451" t="s">
        <v>1616</v>
      </c>
      <c r="E451">
        <v>45</v>
      </c>
      <c r="F451" t="s">
        <v>1617</v>
      </c>
      <c r="G451">
        <v>45</v>
      </c>
      <c r="H451">
        <v>1137.9636</v>
      </c>
      <c r="N451">
        <v>1137.9636</v>
      </c>
      <c r="O451" s="1">
        <v>45007</v>
      </c>
      <c r="P451">
        <f>IF(ISBLANK(ReconciliationData[[#This Row],[Invoice_ID]]),1,0)</f>
        <v>0</v>
      </c>
      <c r="Q451">
        <f>IF(AND(NOT(ISBLANK(ReconciliationData[[#This Row],[Billed_Units]])),ReconciliationData[[#This Row],[ordered_units]]&lt;&gt;ReconciliationData[[#This Row],[Billed_Units]]),1,0)</f>
        <v>0</v>
      </c>
      <c r="R4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1">
        <f>IF(AND(NOT(ISBLANK(ReconciliationData[[#This Row],[Contract_Price]])),ReconciliationData[[#This Row],[Billed_Price]]&lt;&gt;ReconciliationData[[#This Row],[Contract_Price]]),1,0)</f>
        <v>0</v>
      </c>
      <c r="T451">
        <f>IF(AND(NOT(ISBLANK(ReconciliationData[[#This Row],[End_Date]])),ReconciliationData[[#This Row],[Order_Date]]&gt;ReconciliationData[[#This Row],[End_Date]]),1,0)</f>
        <v>0</v>
      </c>
      <c r="U451">
        <f>IF(AND(NOT(ISBLANK(ReconciliationData[[#This Row],[last_return_date]])),ReconciliationData[[#This Row],[last_return_date]]&gt;ReconciliationData[[#This Row],[Order_Date]]+60),1,0)</f>
        <v>0</v>
      </c>
      <c r="V451">
        <f>IF(ReconciliationData[[#This Row],[total_returned_units]]&gt;ReconciliationData[[#This Row],[ordered_units]],1,0)</f>
        <v>0</v>
      </c>
      <c r="W4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1">
        <f>ReconciliationData[[#This Row],[Billed_Units]]*ReconciliationData[[#This Row],[Billed_Price]]</f>
        <v>51208.362000000001</v>
      </c>
      <c r="Y451">
        <f>ReconciliationData[[#This Row],[ordered_units]]*ReconciliationData[[#This Row],[List_Price]]</f>
        <v>51208.362000000001</v>
      </c>
      <c r="Z451">
        <f>ReconciliationData[[#This Row],[billed_revenue]]-ReconciliationData[[#This Row],[expected_revenue]]</f>
        <v>0</v>
      </c>
      <c r="AA4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1" t="str">
        <f>IF(ReconciliationData[[#This Row],[severity_score]]=0,"LOW",
 IF(ReconciliationData[[#This Row],[severity_score]]&lt;=5,"MEDIUM","HIGH"))</f>
        <v>LOW</v>
      </c>
      <c r="AC451" t="str">
        <f>TEXT(ReconciliationData[[#This Row],[Order_Date]],"YYYY-MM")</f>
        <v>2023-10</v>
      </c>
    </row>
    <row r="452" spans="1:29">
      <c r="A452" t="s">
        <v>1618</v>
      </c>
      <c r="B452" s="1">
        <v>44992</v>
      </c>
      <c r="C452" t="s">
        <v>1141</v>
      </c>
      <c r="D452" t="s">
        <v>360</v>
      </c>
      <c r="E452">
        <v>171</v>
      </c>
      <c r="F452" t="s">
        <v>1619</v>
      </c>
      <c r="G452">
        <v>171</v>
      </c>
      <c r="H452">
        <v>456.09</v>
      </c>
      <c r="N452">
        <v>456.09</v>
      </c>
      <c r="O452" s="1">
        <v>44678</v>
      </c>
      <c r="P452">
        <f>IF(ISBLANK(ReconciliationData[[#This Row],[Invoice_ID]]),1,0)</f>
        <v>0</v>
      </c>
      <c r="Q452">
        <f>IF(AND(NOT(ISBLANK(ReconciliationData[[#This Row],[Billed_Units]])),ReconciliationData[[#This Row],[ordered_units]]&lt;&gt;ReconciliationData[[#This Row],[Billed_Units]]),1,0)</f>
        <v>0</v>
      </c>
      <c r="R4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2">
        <f>IF(AND(NOT(ISBLANK(ReconciliationData[[#This Row],[Contract_Price]])),ReconciliationData[[#This Row],[Billed_Price]]&lt;&gt;ReconciliationData[[#This Row],[Contract_Price]]),1,0)</f>
        <v>0</v>
      </c>
      <c r="T452">
        <f>IF(AND(NOT(ISBLANK(ReconciliationData[[#This Row],[End_Date]])),ReconciliationData[[#This Row],[Order_Date]]&gt;ReconciliationData[[#This Row],[End_Date]]),1,0)</f>
        <v>0</v>
      </c>
      <c r="U452">
        <f>IF(AND(NOT(ISBLANK(ReconciliationData[[#This Row],[last_return_date]])),ReconciliationData[[#This Row],[last_return_date]]&gt;ReconciliationData[[#This Row],[Order_Date]]+60),1,0)</f>
        <v>0</v>
      </c>
      <c r="V452">
        <f>IF(ReconciliationData[[#This Row],[total_returned_units]]&gt;ReconciliationData[[#This Row],[ordered_units]],1,0)</f>
        <v>0</v>
      </c>
      <c r="W4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2">
        <f>ReconciliationData[[#This Row],[Billed_Units]]*ReconciliationData[[#This Row],[Billed_Price]]</f>
        <v>77991.39</v>
      </c>
      <c r="Y452">
        <f>ReconciliationData[[#This Row],[ordered_units]]*ReconciliationData[[#This Row],[List_Price]]</f>
        <v>77991.39</v>
      </c>
      <c r="Z452">
        <f>ReconciliationData[[#This Row],[billed_revenue]]-ReconciliationData[[#This Row],[expected_revenue]]</f>
        <v>0</v>
      </c>
      <c r="AA4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2" t="str">
        <f>IF(ReconciliationData[[#This Row],[severity_score]]=0,"LOW",
 IF(ReconciliationData[[#This Row],[severity_score]]&lt;=5,"MEDIUM","HIGH"))</f>
        <v>LOW</v>
      </c>
      <c r="AC452" t="str">
        <f>TEXT(ReconciliationData[[#This Row],[Order_Date]],"YYYY-MM")</f>
        <v>2023-03</v>
      </c>
    </row>
    <row r="453" spans="1:29">
      <c r="A453" t="s">
        <v>1620</v>
      </c>
      <c r="B453" s="1">
        <v>45572</v>
      </c>
      <c r="C453" t="s">
        <v>1621</v>
      </c>
      <c r="D453" t="s">
        <v>504</v>
      </c>
      <c r="E453">
        <v>8</v>
      </c>
      <c r="F453" t="s">
        <v>1622</v>
      </c>
      <c r="G453">
        <v>8</v>
      </c>
      <c r="H453">
        <v>245.8853</v>
      </c>
      <c r="N453">
        <v>245.8853</v>
      </c>
      <c r="O453" s="1">
        <v>45025</v>
      </c>
      <c r="P453">
        <f>IF(ISBLANK(ReconciliationData[[#This Row],[Invoice_ID]]),1,0)</f>
        <v>0</v>
      </c>
      <c r="Q453">
        <f>IF(AND(NOT(ISBLANK(ReconciliationData[[#This Row],[Billed_Units]])),ReconciliationData[[#This Row],[ordered_units]]&lt;&gt;ReconciliationData[[#This Row],[Billed_Units]]),1,0)</f>
        <v>0</v>
      </c>
      <c r="R4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3">
        <f>IF(AND(NOT(ISBLANK(ReconciliationData[[#This Row],[Contract_Price]])),ReconciliationData[[#This Row],[Billed_Price]]&lt;&gt;ReconciliationData[[#This Row],[Contract_Price]]),1,0)</f>
        <v>0</v>
      </c>
      <c r="T453">
        <f>IF(AND(NOT(ISBLANK(ReconciliationData[[#This Row],[End_Date]])),ReconciliationData[[#This Row],[Order_Date]]&gt;ReconciliationData[[#This Row],[End_Date]]),1,0)</f>
        <v>0</v>
      </c>
      <c r="U453">
        <f>IF(AND(NOT(ISBLANK(ReconciliationData[[#This Row],[last_return_date]])),ReconciliationData[[#This Row],[last_return_date]]&gt;ReconciliationData[[#This Row],[Order_Date]]+60),1,0)</f>
        <v>0</v>
      </c>
      <c r="V453">
        <f>IF(ReconciliationData[[#This Row],[total_returned_units]]&gt;ReconciliationData[[#This Row],[ordered_units]],1,0)</f>
        <v>0</v>
      </c>
      <c r="W4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3">
        <f>ReconciliationData[[#This Row],[Billed_Units]]*ReconciliationData[[#This Row],[Billed_Price]]</f>
        <v>1967.0824</v>
      </c>
      <c r="Y453">
        <f>ReconciliationData[[#This Row],[ordered_units]]*ReconciliationData[[#This Row],[List_Price]]</f>
        <v>1967.0824</v>
      </c>
      <c r="Z453">
        <f>ReconciliationData[[#This Row],[billed_revenue]]-ReconciliationData[[#This Row],[expected_revenue]]</f>
        <v>0</v>
      </c>
      <c r="AA4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3" t="str">
        <f>IF(ReconciliationData[[#This Row],[severity_score]]=0,"LOW",
 IF(ReconciliationData[[#This Row],[severity_score]]&lt;=5,"MEDIUM","HIGH"))</f>
        <v>LOW</v>
      </c>
      <c r="AC453" t="str">
        <f>TEXT(ReconciliationData[[#This Row],[Order_Date]],"YYYY-MM")</f>
        <v>2024-10</v>
      </c>
    </row>
    <row r="454" spans="1:29">
      <c r="A454" t="s">
        <v>1623</v>
      </c>
      <c r="B454" s="1">
        <v>45588</v>
      </c>
      <c r="C454" t="s">
        <v>1185</v>
      </c>
      <c r="D454" t="s">
        <v>1298</v>
      </c>
      <c r="E454">
        <v>76</v>
      </c>
      <c r="F454" t="s">
        <v>1624</v>
      </c>
      <c r="G454">
        <v>76</v>
      </c>
      <c r="H454">
        <v>1099.82</v>
      </c>
      <c r="N454">
        <v>1099.82</v>
      </c>
      <c r="O454" s="1">
        <v>44962</v>
      </c>
      <c r="P454">
        <f>IF(ISBLANK(ReconciliationData[[#This Row],[Invoice_ID]]),1,0)</f>
        <v>0</v>
      </c>
      <c r="Q454">
        <f>IF(AND(NOT(ISBLANK(ReconciliationData[[#This Row],[Billed_Units]])),ReconciliationData[[#This Row],[ordered_units]]&lt;&gt;ReconciliationData[[#This Row],[Billed_Units]]),1,0)</f>
        <v>0</v>
      </c>
      <c r="R4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4">
        <f>IF(AND(NOT(ISBLANK(ReconciliationData[[#This Row],[Contract_Price]])),ReconciliationData[[#This Row],[Billed_Price]]&lt;&gt;ReconciliationData[[#This Row],[Contract_Price]]),1,0)</f>
        <v>0</v>
      </c>
      <c r="T454">
        <f>IF(AND(NOT(ISBLANK(ReconciliationData[[#This Row],[End_Date]])),ReconciliationData[[#This Row],[Order_Date]]&gt;ReconciliationData[[#This Row],[End_Date]]),1,0)</f>
        <v>0</v>
      </c>
      <c r="U454">
        <f>IF(AND(NOT(ISBLANK(ReconciliationData[[#This Row],[last_return_date]])),ReconciliationData[[#This Row],[last_return_date]]&gt;ReconciliationData[[#This Row],[Order_Date]]+60),1,0)</f>
        <v>0</v>
      </c>
      <c r="V454">
        <f>IF(ReconciliationData[[#This Row],[total_returned_units]]&gt;ReconciliationData[[#This Row],[ordered_units]],1,0)</f>
        <v>0</v>
      </c>
      <c r="W4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4">
        <f>ReconciliationData[[#This Row],[Billed_Units]]*ReconciliationData[[#This Row],[Billed_Price]]</f>
        <v>83586.319999999992</v>
      </c>
      <c r="Y454">
        <f>ReconciliationData[[#This Row],[ordered_units]]*ReconciliationData[[#This Row],[List_Price]]</f>
        <v>83586.319999999992</v>
      </c>
      <c r="Z454">
        <f>ReconciliationData[[#This Row],[billed_revenue]]-ReconciliationData[[#This Row],[expected_revenue]]</f>
        <v>0</v>
      </c>
      <c r="AA4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4" t="str">
        <f>IF(ReconciliationData[[#This Row],[severity_score]]=0,"LOW",
 IF(ReconciliationData[[#This Row],[severity_score]]&lt;=5,"MEDIUM","HIGH"))</f>
        <v>LOW</v>
      </c>
      <c r="AC454" t="str">
        <f>TEXT(ReconciliationData[[#This Row],[Order_Date]],"YYYY-MM")</f>
        <v>2024-10</v>
      </c>
    </row>
    <row r="455" spans="1:29">
      <c r="A455" t="s">
        <v>1625</v>
      </c>
      <c r="B455" s="1">
        <v>45617</v>
      </c>
      <c r="C455" t="s">
        <v>1626</v>
      </c>
      <c r="D455" t="s">
        <v>711</v>
      </c>
      <c r="E455">
        <v>9</v>
      </c>
      <c r="F455" t="s">
        <v>1627</v>
      </c>
      <c r="G455">
        <v>9</v>
      </c>
      <c r="H455">
        <v>405.98</v>
      </c>
      <c r="N455">
        <v>405.98</v>
      </c>
      <c r="O455" s="1">
        <v>45152</v>
      </c>
      <c r="P455">
        <f>IF(ISBLANK(ReconciliationData[[#This Row],[Invoice_ID]]),1,0)</f>
        <v>0</v>
      </c>
      <c r="Q455">
        <f>IF(AND(NOT(ISBLANK(ReconciliationData[[#This Row],[Billed_Units]])),ReconciliationData[[#This Row],[ordered_units]]&lt;&gt;ReconciliationData[[#This Row],[Billed_Units]]),1,0)</f>
        <v>0</v>
      </c>
      <c r="R4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5">
        <f>IF(AND(NOT(ISBLANK(ReconciliationData[[#This Row],[Contract_Price]])),ReconciliationData[[#This Row],[Billed_Price]]&lt;&gt;ReconciliationData[[#This Row],[Contract_Price]]),1,0)</f>
        <v>0</v>
      </c>
      <c r="T455">
        <f>IF(AND(NOT(ISBLANK(ReconciliationData[[#This Row],[End_Date]])),ReconciliationData[[#This Row],[Order_Date]]&gt;ReconciliationData[[#This Row],[End_Date]]),1,0)</f>
        <v>0</v>
      </c>
      <c r="U455">
        <f>IF(AND(NOT(ISBLANK(ReconciliationData[[#This Row],[last_return_date]])),ReconciliationData[[#This Row],[last_return_date]]&gt;ReconciliationData[[#This Row],[Order_Date]]+60),1,0)</f>
        <v>0</v>
      </c>
      <c r="V455">
        <f>IF(ReconciliationData[[#This Row],[total_returned_units]]&gt;ReconciliationData[[#This Row],[ordered_units]],1,0)</f>
        <v>0</v>
      </c>
      <c r="W4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5">
        <f>ReconciliationData[[#This Row],[Billed_Units]]*ReconciliationData[[#This Row],[Billed_Price]]</f>
        <v>3653.82</v>
      </c>
      <c r="Y455">
        <f>ReconciliationData[[#This Row],[ordered_units]]*ReconciliationData[[#This Row],[List_Price]]</f>
        <v>3653.82</v>
      </c>
      <c r="Z455">
        <f>ReconciliationData[[#This Row],[billed_revenue]]-ReconciliationData[[#This Row],[expected_revenue]]</f>
        <v>0</v>
      </c>
      <c r="AA4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5" t="str">
        <f>IF(ReconciliationData[[#This Row],[severity_score]]=0,"LOW",
 IF(ReconciliationData[[#This Row],[severity_score]]&lt;=5,"MEDIUM","HIGH"))</f>
        <v>LOW</v>
      </c>
      <c r="AC455" t="str">
        <f>TEXT(ReconciliationData[[#This Row],[Order_Date]],"YYYY-MM")</f>
        <v>2024-11</v>
      </c>
    </row>
    <row r="456" spans="1:29">
      <c r="A456" t="s">
        <v>1628</v>
      </c>
      <c r="B456" s="1">
        <v>45421</v>
      </c>
      <c r="C456" t="s">
        <v>627</v>
      </c>
      <c r="D456" t="s">
        <v>158</v>
      </c>
      <c r="E456">
        <v>112</v>
      </c>
      <c r="F456" t="s">
        <v>1629</v>
      </c>
      <c r="G456">
        <v>112</v>
      </c>
      <c r="H456">
        <v>700.93560000000002</v>
      </c>
      <c r="I456">
        <v>10</v>
      </c>
      <c r="J456" s="1">
        <v>45044</v>
      </c>
      <c r="N456">
        <v>700.93560000000002</v>
      </c>
      <c r="O456" s="1">
        <v>45077</v>
      </c>
      <c r="P456">
        <f>IF(ISBLANK(ReconciliationData[[#This Row],[Invoice_ID]]),1,0)</f>
        <v>0</v>
      </c>
      <c r="Q456">
        <f>IF(AND(NOT(ISBLANK(ReconciliationData[[#This Row],[Billed_Units]])),ReconciliationData[[#This Row],[ordered_units]]&lt;&gt;ReconciliationData[[#This Row],[Billed_Units]]),1,0)</f>
        <v>0</v>
      </c>
      <c r="R4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6">
        <f>IF(AND(NOT(ISBLANK(ReconciliationData[[#This Row],[Contract_Price]])),ReconciliationData[[#This Row],[Billed_Price]]&lt;&gt;ReconciliationData[[#This Row],[Contract_Price]]),1,0)</f>
        <v>0</v>
      </c>
      <c r="T456">
        <f>IF(AND(NOT(ISBLANK(ReconciliationData[[#This Row],[End_Date]])),ReconciliationData[[#This Row],[Order_Date]]&gt;ReconciliationData[[#This Row],[End_Date]]),1,0)</f>
        <v>0</v>
      </c>
      <c r="U456">
        <f>IF(AND(NOT(ISBLANK(ReconciliationData[[#This Row],[last_return_date]])),ReconciliationData[[#This Row],[last_return_date]]&gt;ReconciliationData[[#This Row],[Order_Date]]+60),1,0)</f>
        <v>0</v>
      </c>
      <c r="V456">
        <f>IF(ReconciliationData[[#This Row],[total_returned_units]]&gt;ReconciliationData[[#This Row],[ordered_units]],1,0)</f>
        <v>0</v>
      </c>
      <c r="W4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6">
        <f>ReconciliationData[[#This Row],[Billed_Units]]*ReconciliationData[[#This Row],[Billed_Price]]</f>
        <v>78504.787200000006</v>
      </c>
      <c r="Y456">
        <f>ReconciliationData[[#This Row],[ordered_units]]*ReconciliationData[[#This Row],[List_Price]]</f>
        <v>78504.787200000006</v>
      </c>
      <c r="Z456">
        <f>ReconciliationData[[#This Row],[billed_revenue]]-ReconciliationData[[#This Row],[expected_revenue]]</f>
        <v>0</v>
      </c>
      <c r="AA4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6" t="str">
        <f>IF(ReconciliationData[[#This Row],[severity_score]]=0,"LOW",
 IF(ReconciliationData[[#This Row],[severity_score]]&lt;=5,"MEDIUM","HIGH"))</f>
        <v>LOW</v>
      </c>
      <c r="AC456" t="str">
        <f>TEXT(ReconciliationData[[#This Row],[Order_Date]],"YYYY-MM")</f>
        <v>2024-05</v>
      </c>
    </row>
    <row r="457" spans="1:29">
      <c r="A457" t="s">
        <v>1630</v>
      </c>
      <c r="B457" s="1">
        <v>45428</v>
      </c>
      <c r="C457" t="s">
        <v>1631</v>
      </c>
      <c r="D457" t="s">
        <v>867</v>
      </c>
      <c r="E457">
        <v>37</v>
      </c>
      <c r="F457" t="s">
        <v>1632</v>
      </c>
      <c r="G457">
        <v>37</v>
      </c>
      <c r="H457">
        <v>1146.7456000000002</v>
      </c>
      <c r="N457">
        <v>1146.7456000000002</v>
      </c>
      <c r="O457" s="1">
        <v>45148</v>
      </c>
      <c r="P457">
        <f>IF(ISBLANK(ReconciliationData[[#This Row],[Invoice_ID]]),1,0)</f>
        <v>0</v>
      </c>
      <c r="Q457">
        <f>IF(AND(NOT(ISBLANK(ReconciliationData[[#This Row],[Billed_Units]])),ReconciliationData[[#This Row],[ordered_units]]&lt;&gt;ReconciliationData[[#This Row],[Billed_Units]]),1,0)</f>
        <v>0</v>
      </c>
      <c r="R4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7">
        <f>IF(AND(NOT(ISBLANK(ReconciliationData[[#This Row],[Contract_Price]])),ReconciliationData[[#This Row],[Billed_Price]]&lt;&gt;ReconciliationData[[#This Row],[Contract_Price]]),1,0)</f>
        <v>0</v>
      </c>
      <c r="T457">
        <f>IF(AND(NOT(ISBLANK(ReconciliationData[[#This Row],[End_Date]])),ReconciliationData[[#This Row],[Order_Date]]&gt;ReconciliationData[[#This Row],[End_Date]]),1,0)</f>
        <v>0</v>
      </c>
      <c r="U457">
        <f>IF(AND(NOT(ISBLANK(ReconciliationData[[#This Row],[last_return_date]])),ReconciliationData[[#This Row],[last_return_date]]&gt;ReconciliationData[[#This Row],[Order_Date]]+60),1,0)</f>
        <v>0</v>
      </c>
      <c r="V457">
        <f>IF(ReconciliationData[[#This Row],[total_returned_units]]&gt;ReconciliationData[[#This Row],[ordered_units]],1,0)</f>
        <v>0</v>
      </c>
      <c r="W4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7">
        <f>ReconciliationData[[#This Row],[Billed_Units]]*ReconciliationData[[#This Row],[Billed_Price]]</f>
        <v>42429.587200000009</v>
      </c>
      <c r="Y457">
        <f>ReconciliationData[[#This Row],[ordered_units]]*ReconciliationData[[#This Row],[List_Price]]</f>
        <v>42429.587200000009</v>
      </c>
      <c r="Z457">
        <f>ReconciliationData[[#This Row],[billed_revenue]]-ReconciliationData[[#This Row],[expected_revenue]]</f>
        <v>0</v>
      </c>
      <c r="AA4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7" t="str">
        <f>IF(ReconciliationData[[#This Row],[severity_score]]=0,"LOW",
 IF(ReconciliationData[[#This Row],[severity_score]]&lt;=5,"MEDIUM","HIGH"))</f>
        <v>LOW</v>
      </c>
      <c r="AC457" t="str">
        <f>TEXT(ReconciliationData[[#This Row],[Order_Date]],"YYYY-MM")</f>
        <v>2024-05</v>
      </c>
    </row>
    <row r="458" spans="1:29">
      <c r="A458" t="s">
        <v>1633</v>
      </c>
      <c r="B458" s="1">
        <v>45264</v>
      </c>
      <c r="C458" t="s">
        <v>1634</v>
      </c>
      <c r="D458" t="s">
        <v>604</v>
      </c>
      <c r="E458">
        <v>106</v>
      </c>
      <c r="F458" t="s">
        <v>1635</v>
      </c>
      <c r="G458">
        <v>106</v>
      </c>
      <c r="H458">
        <v>1072.5387000000001</v>
      </c>
      <c r="N458">
        <v>1072.5387000000001</v>
      </c>
      <c r="O458" s="1">
        <v>45023</v>
      </c>
      <c r="P458">
        <f>IF(ISBLANK(ReconciliationData[[#This Row],[Invoice_ID]]),1,0)</f>
        <v>0</v>
      </c>
      <c r="Q458">
        <f>IF(AND(NOT(ISBLANK(ReconciliationData[[#This Row],[Billed_Units]])),ReconciliationData[[#This Row],[ordered_units]]&lt;&gt;ReconciliationData[[#This Row],[Billed_Units]]),1,0)</f>
        <v>0</v>
      </c>
      <c r="R4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8">
        <f>IF(AND(NOT(ISBLANK(ReconciliationData[[#This Row],[Contract_Price]])),ReconciliationData[[#This Row],[Billed_Price]]&lt;&gt;ReconciliationData[[#This Row],[Contract_Price]]),1,0)</f>
        <v>0</v>
      </c>
      <c r="T458">
        <f>IF(AND(NOT(ISBLANK(ReconciliationData[[#This Row],[End_Date]])),ReconciliationData[[#This Row],[Order_Date]]&gt;ReconciliationData[[#This Row],[End_Date]]),1,0)</f>
        <v>0</v>
      </c>
      <c r="U458">
        <f>IF(AND(NOT(ISBLANK(ReconciliationData[[#This Row],[last_return_date]])),ReconciliationData[[#This Row],[last_return_date]]&gt;ReconciliationData[[#This Row],[Order_Date]]+60),1,0)</f>
        <v>0</v>
      </c>
      <c r="V458">
        <f>IF(ReconciliationData[[#This Row],[total_returned_units]]&gt;ReconciliationData[[#This Row],[ordered_units]],1,0)</f>
        <v>0</v>
      </c>
      <c r="W4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8">
        <f>ReconciliationData[[#This Row],[Billed_Units]]*ReconciliationData[[#This Row],[Billed_Price]]</f>
        <v>113689.10220000001</v>
      </c>
      <c r="Y458">
        <f>ReconciliationData[[#This Row],[ordered_units]]*ReconciliationData[[#This Row],[List_Price]]</f>
        <v>113689.10220000001</v>
      </c>
      <c r="Z458">
        <f>ReconciliationData[[#This Row],[billed_revenue]]-ReconciliationData[[#This Row],[expected_revenue]]</f>
        <v>0</v>
      </c>
      <c r="AA4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8" t="str">
        <f>IF(ReconciliationData[[#This Row],[severity_score]]=0,"LOW",
 IF(ReconciliationData[[#This Row],[severity_score]]&lt;=5,"MEDIUM","HIGH"))</f>
        <v>LOW</v>
      </c>
      <c r="AC458" t="str">
        <f>TEXT(ReconciliationData[[#This Row],[Order_Date]],"YYYY-MM")</f>
        <v>2023-12</v>
      </c>
    </row>
    <row r="459" spans="1:29">
      <c r="A459" t="s">
        <v>1636</v>
      </c>
      <c r="B459" s="1">
        <v>44934</v>
      </c>
      <c r="C459" t="s">
        <v>1637</v>
      </c>
      <c r="D459" t="s">
        <v>385</v>
      </c>
      <c r="E459">
        <v>104</v>
      </c>
      <c r="F459" t="s">
        <v>1638</v>
      </c>
      <c r="G459">
        <v>104</v>
      </c>
      <c r="H459">
        <v>1087.8191999999999</v>
      </c>
      <c r="N459">
        <v>1087.8191999999999</v>
      </c>
      <c r="O459" s="1">
        <v>44844</v>
      </c>
      <c r="P459">
        <f>IF(ISBLANK(ReconciliationData[[#This Row],[Invoice_ID]]),1,0)</f>
        <v>0</v>
      </c>
      <c r="Q459">
        <f>IF(AND(NOT(ISBLANK(ReconciliationData[[#This Row],[Billed_Units]])),ReconciliationData[[#This Row],[ordered_units]]&lt;&gt;ReconciliationData[[#This Row],[Billed_Units]]),1,0)</f>
        <v>0</v>
      </c>
      <c r="R4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59">
        <f>IF(AND(NOT(ISBLANK(ReconciliationData[[#This Row],[Contract_Price]])),ReconciliationData[[#This Row],[Billed_Price]]&lt;&gt;ReconciliationData[[#This Row],[Contract_Price]]),1,0)</f>
        <v>0</v>
      </c>
      <c r="T459">
        <f>IF(AND(NOT(ISBLANK(ReconciliationData[[#This Row],[End_Date]])),ReconciliationData[[#This Row],[Order_Date]]&gt;ReconciliationData[[#This Row],[End_Date]]),1,0)</f>
        <v>0</v>
      </c>
      <c r="U459">
        <f>IF(AND(NOT(ISBLANK(ReconciliationData[[#This Row],[last_return_date]])),ReconciliationData[[#This Row],[last_return_date]]&gt;ReconciliationData[[#This Row],[Order_Date]]+60),1,0)</f>
        <v>0</v>
      </c>
      <c r="V459">
        <f>IF(ReconciliationData[[#This Row],[total_returned_units]]&gt;ReconciliationData[[#This Row],[ordered_units]],1,0)</f>
        <v>0</v>
      </c>
      <c r="W4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59">
        <f>ReconciliationData[[#This Row],[Billed_Units]]*ReconciliationData[[#This Row],[Billed_Price]]</f>
        <v>113133.19679999999</v>
      </c>
      <c r="Y459">
        <f>ReconciliationData[[#This Row],[ordered_units]]*ReconciliationData[[#This Row],[List_Price]]</f>
        <v>113133.19679999999</v>
      </c>
      <c r="Z459">
        <f>ReconciliationData[[#This Row],[billed_revenue]]-ReconciliationData[[#This Row],[expected_revenue]]</f>
        <v>0</v>
      </c>
      <c r="AA4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59" t="str">
        <f>IF(ReconciliationData[[#This Row],[severity_score]]=0,"LOW",
 IF(ReconciliationData[[#This Row],[severity_score]]&lt;=5,"MEDIUM","HIGH"))</f>
        <v>LOW</v>
      </c>
      <c r="AC459" t="str">
        <f>TEXT(ReconciliationData[[#This Row],[Order_Date]],"YYYY-MM")</f>
        <v>2023-01</v>
      </c>
    </row>
    <row r="460" spans="1:29">
      <c r="A460" t="s">
        <v>1639</v>
      </c>
      <c r="B460" s="1">
        <v>45549</v>
      </c>
      <c r="C460" t="s">
        <v>1640</v>
      </c>
      <c r="D460" t="s">
        <v>341</v>
      </c>
      <c r="E460">
        <v>60</v>
      </c>
      <c r="F460" t="s">
        <v>1641</v>
      </c>
      <c r="G460">
        <v>60</v>
      </c>
      <c r="H460">
        <v>49.450800000000001</v>
      </c>
      <c r="N460">
        <v>49.450800000000001</v>
      </c>
      <c r="O460" s="1">
        <v>45168</v>
      </c>
      <c r="P460">
        <f>IF(ISBLANK(ReconciliationData[[#This Row],[Invoice_ID]]),1,0)</f>
        <v>0</v>
      </c>
      <c r="Q460">
        <f>IF(AND(NOT(ISBLANK(ReconciliationData[[#This Row],[Billed_Units]])),ReconciliationData[[#This Row],[ordered_units]]&lt;&gt;ReconciliationData[[#This Row],[Billed_Units]]),1,0)</f>
        <v>0</v>
      </c>
      <c r="R4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60">
        <f>IF(AND(NOT(ISBLANK(ReconciliationData[[#This Row],[Contract_Price]])),ReconciliationData[[#This Row],[Billed_Price]]&lt;&gt;ReconciliationData[[#This Row],[Contract_Price]]),1,0)</f>
        <v>0</v>
      </c>
      <c r="T460">
        <f>IF(AND(NOT(ISBLANK(ReconciliationData[[#This Row],[End_Date]])),ReconciliationData[[#This Row],[Order_Date]]&gt;ReconciliationData[[#This Row],[End_Date]]),1,0)</f>
        <v>0</v>
      </c>
      <c r="U460">
        <f>IF(AND(NOT(ISBLANK(ReconciliationData[[#This Row],[last_return_date]])),ReconciliationData[[#This Row],[last_return_date]]&gt;ReconciliationData[[#This Row],[Order_Date]]+60),1,0)</f>
        <v>0</v>
      </c>
      <c r="V460">
        <f>IF(ReconciliationData[[#This Row],[total_returned_units]]&gt;ReconciliationData[[#This Row],[ordered_units]],1,0)</f>
        <v>0</v>
      </c>
      <c r="W4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60">
        <f>ReconciliationData[[#This Row],[Billed_Units]]*ReconciliationData[[#This Row],[Billed_Price]]</f>
        <v>2967.0480000000002</v>
      </c>
      <c r="Y460">
        <f>ReconciliationData[[#This Row],[ordered_units]]*ReconciliationData[[#This Row],[List_Price]]</f>
        <v>2967.0480000000002</v>
      </c>
      <c r="Z460">
        <f>ReconciliationData[[#This Row],[billed_revenue]]-ReconciliationData[[#This Row],[expected_revenue]]</f>
        <v>0</v>
      </c>
      <c r="AA4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60" t="str">
        <f>IF(ReconciliationData[[#This Row],[severity_score]]=0,"LOW",
 IF(ReconciliationData[[#This Row],[severity_score]]&lt;=5,"MEDIUM","HIGH"))</f>
        <v>LOW</v>
      </c>
      <c r="AC460" t="str">
        <f>TEXT(ReconciliationData[[#This Row],[Order_Date]],"YYYY-MM")</f>
        <v>2024-09</v>
      </c>
    </row>
    <row r="461" spans="1:29">
      <c r="A461" t="s">
        <v>1642</v>
      </c>
      <c r="B461" s="1">
        <v>45613</v>
      </c>
      <c r="C461" t="s">
        <v>978</v>
      </c>
      <c r="D461" t="s">
        <v>251</v>
      </c>
      <c r="E461">
        <v>76</v>
      </c>
      <c r="F461" t="s">
        <v>1643</v>
      </c>
      <c r="G461">
        <v>76</v>
      </c>
      <c r="H461">
        <v>957.65700000000015</v>
      </c>
      <c r="N461">
        <v>957.65700000000015</v>
      </c>
      <c r="O461" s="1">
        <v>45057</v>
      </c>
      <c r="P461">
        <f>IF(ISBLANK(ReconciliationData[[#This Row],[Invoice_ID]]),1,0)</f>
        <v>0</v>
      </c>
      <c r="Q461">
        <f>IF(AND(NOT(ISBLANK(ReconciliationData[[#This Row],[Billed_Units]])),ReconciliationData[[#This Row],[ordered_units]]&lt;&gt;ReconciliationData[[#This Row],[Billed_Units]]),1,0)</f>
        <v>0</v>
      </c>
      <c r="R4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61">
        <f>IF(AND(NOT(ISBLANK(ReconciliationData[[#This Row],[Contract_Price]])),ReconciliationData[[#This Row],[Billed_Price]]&lt;&gt;ReconciliationData[[#This Row],[Contract_Price]]),1,0)</f>
        <v>0</v>
      </c>
      <c r="T461">
        <f>IF(AND(NOT(ISBLANK(ReconciliationData[[#This Row],[End_Date]])),ReconciliationData[[#This Row],[Order_Date]]&gt;ReconciliationData[[#This Row],[End_Date]]),1,0)</f>
        <v>0</v>
      </c>
      <c r="U461">
        <f>IF(AND(NOT(ISBLANK(ReconciliationData[[#This Row],[last_return_date]])),ReconciliationData[[#This Row],[last_return_date]]&gt;ReconciliationData[[#This Row],[Order_Date]]+60),1,0)</f>
        <v>0</v>
      </c>
      <c r="V461">
        <f>IF(ReconciliationData[[#This Row],[total_returned_units]]&gt;ReconciliationData[[#This Row],[ordered_units]],1,0)</f>
        <v>0</v>
      </c>
      <c r="W4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61">
        <f>ReconciliationData[[#This Row],[Billed_Units]]*ReconciliationData[[#This Row],[Billed_Price]]</f>
        <v>72781.932000000015</v>
      </c>
      <c r="Y461">
        <f>ReconciliationData[[#This Row],[ordered_units]]*ReconciliationData[[#This Row],[List_Price]]</f>
        <v>72781.932000000015</v>
      </c>
      <c r="Z461">
        <f>ReconciliationData[[#This Row],[billed_revenue]]-ReconciliationData[[#This Row],[expected_revenue]]</f>
        <v>0</v>
      </c>
      <c r="AA4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61" t="str">
        <f>IF(ReconciliationData[[#This Row],[severity_score]]=0,"LOW",
 IF(ReconciliationData[[#This Row],[severity_score]]&lt;=5,"MEDIUM","HIGH"))</f>
        <v>LOW</v>
      </c>
      <c r="AC461" t="str">
        <f>TEXT(ReconciliationData[[#This Row],[Order_Date]],"YYYY-MM")</f>
        <v>2024-11</v>
      </c>
    </row>
    <row r="462" spans="1:29">
      <c r="A462" t="s">
        <v>1644</v>
      </c>
      <c r="B462" s="1">
        <v>44944</v>
      </c>
      <c r="C462" t="s">
        <v>1645</v>
      </c>
      <c r="D462" t="s">
        <v>464</v>
      </c>
      <c r="E462">
        <v>19</v>
      </c>
      <c r="F462" t="s">
        <v>1646</v>
      </c>
      <c r="G462">
        <v>19</v>
      </c>
      <c r="H462">
        <v>709.45920000000001</v>
      </c>
      <c r="N462">
        <v>709.45920000000001</v>
      </c>
      <c r="O462" s="1">
        <v>44830</v>
      </c>
      <c r="P462">
        <f>IF(ISBLANK(ReconciliationData[[#This Row],[Invoice_ID]]),1,0)</f>
        <v>0</v>
      </c>
      <c r="Q462">
        <f>IF(AND(NOT(ISBLANK(ReconciliationData[[#This Row],[Billed_Units]])),ReconciliationData[[#This Row],[ordered_units]]&lt;&gt;ReconciliationData[[#This Row],[Billed_Units]]),1,0)</f>
        <v>0</v>
      </c>
      <c r="R4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62">
        <f>IF(AND(NOT(ISBLANK(ReconciliationData[[#This Row],[Contract_Price]])),ReconciliationData[[#This Row],[Billed_Price]]&lt;&gt;ReconciliationData[[#This Row],[Contract_Price]]),1,0)</f>
        <v>0</v>
      </c>
      <c r="T462">
        <f>IF(AND(NOT(ISBLANK(ReconciliationData[[#This Row],[End_Date]])),ReconciliationData[[#This Row],[Order_Date]]&gt;ReconciliationData[[#This Row],[End_Date]]),1,0)</f>
        <v>0</v>
      </c>
      <c r="U462">
        <f>IF(AND(NOT(ISBLANK(ReconciliationData[[#This Row],[last_return_date]])),ReconciliationData[[#This Row],[last_return_date]]&gt;ReconciliationData[[#This Row],[Order_Date]]+60),1,0)</f>
        <v>0</v>
      </c>
      <c r="V462">
        <f>IF(ReconciliationData[[#This Row],[total_returned_units]]&gt;ReconciliationData[[#This Row],[ordered_units]],1,0)</f>
        <v>0</v>
      </c>
      <c r="W4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62">
        <f>ReconciliationData[[#This Row],[Billed_Units]]*ReconciliationData[[#This Row],[Billed_Price]]</f>
        <v>13479.7248</v>
      </c>
      <c r="Y462">
        <f>ReconciliationData[[#This Row],[ordered_units]]*ReconciliationData[[#This Row],[List_Price]]</f>
        <v>13479.7248</v>
      </c>
      <c r="Z462">
        <f>ReconciliationData[[#This Row],[billed_revenue]]-ReconciliationData[[#This Row],[expected_revenue]]</f>
        <v>0</v>
      </c>
      <c r="AA4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62" t="str">
        <f>IF(ReconciliationData[[#This Row],[severity_score]]=0,"LOW",
 IF(ReconciliationData[[#This Row],[severity_score]]&lt;=5,"MEDIUM","HIGH"))</f>
        <v>LOW</v>
      </c>
      <c r="AC462" t="str">
        <f>TEXT(ReconciliationData[[#This Row],[Order_Date]],"YYYY-MM")</f>
        <v>2023-01</v>
      </c>
    </row>
    <row r="463" spans="1:29">
      <c r="A463" t="s">
        <v>1647</v>
      </c>
      <c r="B463" s="1">
        <v>45334</v>
      </c>
      <c r="C463" t="s">
        <v>1648</v>
      </c>
      <c r="D463" t="s">
        <v>610</v>
      </c>
      <c r="E463">
        <v>161</v>
      </c>
      <c r="F463" t="s">
        <v>1649</v>
      </c>
      <c r="G463">
        <v>161</v>
      </c>
      <c r="H463">
        <v>457.65019999999998</v>
      </c>
      <c r="N463">
        <v>457.65019999999998</v>
      </c>
      <c r="O463" s="1">
        <v>44950</v>
      </c>
      <c r="P463">
        <f>IF(ISBLANK(ReconciliationData[[#This Row],[Invoice_ID]]),1,0)</f>
        <v>0</v>
      </c>
      <c r="Q463">
        <f>IF(AND(NOT(ISBLANK(ReconciliationData[[#This Row],[Billed_Units]])),ReconciliationData[[#This Row],[ordered_units]]&lt;&gt;ReconciliationData[[#This Row],[Billed_Units]]),1,0)</f>
        <v>0</v>
      </c>
      <c r="R4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63">
        <f>IF(AND(NOT(ISBLANK(ReconciliationData[[#This Row],[Contract_Price]])),ReconciliationData[[#This Row],[Billed_Price]]&lt;&gt;ReconciliationData[[#This Row],[Contract_Price]]),1,0)</f>
        <v>0</v>
      </c>
      <c r="T463">
        <f>IF(AND(NOT(ISBLANK(ReconciliationData[[#This Row],[End_Date]])),ReconciliationData[[#This Row],[Order_Date]]&gt;ReconciliationData[[#This Row],[End_Date]]),1,0)</f>
        <v>0</v>
      </c>
      <c r="U463">
        <f>IF(AND(NOT(ISBLANK(ReconciliationData[[#This Row],[last_return_date]])),ReconciliationData[[#This Row],[last_return_date]]&gt;ReconciliationData[[#This Row],[Order_Date]]+60),1,0)</f>
        <v>0</v>
      </c>
      <c r="V463">
        <f>IF(ReconciliationData[[#This Row],[total_returned_units]]&gt;ReconciliationData[[#This Row],[ordered_units]],1,0)</f>
        <v>0</v>
      </c>
      <c r="W4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63">
        <f>ReconciliationData[[#This Row],[Billed_Units]]*ReconciliationData[[#This Row],[Billed_Price]]</f>
        <v>73681.682199999996</v>
      </c>
      <c r="Y463">
        <f>ReconciliationData[[#This Row],[ordered_units]]*ReconciliationData[[#This Row],[List_Price]]</f>
        <v>73681.682199999996</v>
      </c>
      <c r="Z463">
        <f>ReconciliationData[[#This Row],[billed_revenue]]-ReconciliationData[[#This Row],[expected_revenue]]</f>
        <v>0</v>
      </c>
      <c r="AA4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63" t="str">
        <f>IF(ReconciliationData[[#This Row],[severity_score]]=0,"LOW",
 IF(ReconciliationData[[#This Row],[severity_score]]&lt;=5,"MEDIUM","HIGH"))</f>
        <v>LOW</v>
      </c>
      <c r="AC463" t="str">
        <f>TEXT(ReconciliationData[[#This Row],[Order_Date]],"YYYY-MM")</f>
        <v>2024-02</v>
      </c>
    </row>
    <row r="464" spans="1:29">
      <c r="A464" t="s">
        <v>1650</v>
      </c>
      <c r="B464" s="1">
        <v>45318</v>
      </c>
      <c r="C464" t="s">
        <v>1651</v>
      </c>
      <c r="D464" t="s">
        <v>1549</v>
      </c>
      <c r="E464">
        <v>90</v>
      </c>
      <c r="F464" t="s">
        <v>1652</v>
      </c>
      <c r="G464">
        <v>90</v>
      </c>
      <c r="H464">
        <v>234.87090000000001</v>
      </c>
      <c r="N464">
        <v>234.87090000000001</v>
      </c>
      <c r="O464" s="1">
        <v>45150</v>
      </c>
      <c r="P464">
        <f>IF(ISBLANK(ReconciliationData[[#This Row],[Invoice_ID]]),1,0)</f>
        <v>0</v>
      </c>
      <c r="Q464">
        <f>IF(AND(NOT(ISBLANK(ReconciliationData[[#This Row],[Billed_Units]])),ReconciliationData[[#This Row],[ordered_units]]&lt;&gt;ReconciliationData[[#This Row],[Billed_Units]]),1,0)</f>
        <v>0</v>
      </c>
      <c r="R4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64">
        <f>IF(AND(NOT(ISBLANK(ReconciliationData[[#This Row],[Contract_Price]])),ReconciliationData[[#This Row],[Billed_Price]]&lt;&gt;ReconciliationData[[#This Row],[Contract_Price]]),1,0)</f>
        <v>0</v>
      </c>
      <c r="T464">
        <f>IF(AND(NOT(ISBLANK(ReconciliationData[[#This Row],[End_Date]])),ReconciliationData[[#This Row],[Order_Date]]&gt;ReconciliationData[[#This Row],[End_Date]]),1,0)</f>
        <v>0</v>
      </c>
      <c r="U464">
        <f>IF(AND(NOT(ISBLANK(ReconciliationData[[#This Row],[last_return_date]])),ReconciliationData[[#This Row],[last_return_date]]&gt;ReconciliationData[[#This Row],[Order_Date]]+60),1,0)</f>
        <v>0</v>
      </c>
      <c r="V464">
        <f>IF(ReconciliationData[[#This Row],[total_returned_units]]&gt;ReconciliationData[[#This Row],[ordered_units]],1,0)</f>
        <v>0</v>
      </c>
      <c r="W4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64">
        <f>ReconciliationData[[#This Row],[Billed_Units]]*ReconciliationData[[#This Row],[Billed_Price]]</f>
        <v>21138.381000000001</v>
      </c>
      <c r="Y464">
        <f>ReconciliationData[[#This Row],[ordered_units]]*ReconciliationData[[#This Row],[List_Price]]</f>
        <v>21138.381000000001</v>
      </c>
      <c r="Z464">
        <f>ReconciliationData[[#This Row],[billed_revenue]]-ReconciliationData[[#This Row],[expected_revenue]]</f>
        <v>0</v>
      </c>
      <c r="AA4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64" t="str">
        <f>IF(ReconciliationData[[#This Row],[severity_score]]=0,"LOW",
 IF(ReconciliationData[[#This Row],[severity_score]]&lt;=5,"MEDIUM","HIGH"))</f>
        <v>LOW</v>
      </c>
      <c r="AC464" t="str">
        <f>TEXT(ReconciliationData[[#This Row],[Order_Date]],"YYYY-MM")</f>
        <v>2024-01</v>
      </c>
    </row>
    <row r="465" spans="1:29">
      <c r="A465" t="s">
        <v>1653</v>
      </c>
      <c r="B465" s="1">
        <v>45008</v>
      </c>
      <c r="C465" t="s">
        <v>1168</v>
      </c>
      <c r="D465" t="s">
        <v>1654</v>
      </c>
      <c r="E465">
        <v>84</v>
      </c>
      <c r="F465" t="s">
        <v>1655</v>
      </c>
      <c r="G465">
        <v>84</v>
      </c>
      <c r="H465">
        <v>1186.07</v>
      </c>
      <c r="I465">
        <v>10</v>
      </c>
      <c r="J465" s="1">
        <v>45524</v>
      </c>
      <c r="N465">
        <v>1186.07</v>
      </c>
      <c r="O465" s="1">
        <v>44753</v>
      </c>
      <c r="P465">
        <f>IF(ISBLANK(ReconciliationData[[#This Row],[Invoice_ID]]),1,0)</f>
        <v>0</v>
      </c>
      <c r="Q465">
        <f>IF(AND(NOT(ISBLANK(ReconciliationData[[#This Row],[Billed_Units]])),ReconciliationData[[#This Row],[ordered_units]]&lt;&gt;ReconciliationData[[#This Row],[Billed_Units]]),1,0)</f>
        <v>0</v>
      </c>
      <c r="R4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65">
        <f>IF(AND(NOT(ISBLANK(ReconciliationData[[#This Row],[Contract_Price]])),ReconciliationData[[#This Row],[Billed_Price]]&lt;&gt;ReconciliationData[[#This Row],[Contract_Price]]),1,0)</f>
        <v>0</v>
      </c>
      <c r="T465">
        <f>IF(AND(NOT(ISBLANK(ReconciliationData[[#This Row],[End_Date]])),ReconciliationData[[#This Row],[Order_Date]]&gt;ReconciliationData[[#This Row],[End_Date]]),1,0)</f>
        <v>0</v>
      </c>
      <c r="U465">
        <f>IF(AND(NOT(ISBLANK(ReconciliationData[[#This Row],[last_return_date]])),ReconciliationData[[#This Row],[last_return_date]]&gt;ReconciliationData[[#This Row],[Order_Date]]+60),1,0)</f>
        <v>1</v>
      </c>
      <c r="V465">
        <f>IF(ReconciliationData[[#This Row],[total_returned_units]]&gt;ReconciliationData[[#This Row],[ordered_units]],1,0)</f>
        <v>0</v>
      </c>
      <c r="W4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65">
        <f>ReconciliationData[[#This Row],[Billed_Units]]*ReconciliationData[[#This Row],[Billed_Price]]</f>
        <v>99629.87999999999</v>
      </c>
      <c r="Y465">
        <f>ReconciliationData[[#This Row],[ordered_units]]*ReconciliationData[[#This Row],[List_Price]]</f>
        <v>99629.87999999999</v>
      </c>
      <c r="Z465">
        <f>ReconciliationData[[#This Row],[billed_revenue]]-ReconciliationData[[#This Row],[expected_revenue]]</f>
        <v>0</v>
      </c>
      <c r="AA4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465" t="str">
        <f>IF(ReconciliationData[[#This Row],[severity_score]]=0,"LOW",
 IF(ReconciliationData[[#This Row],[severity_score]]&lt;=5,"MEDIUM","HIGH"))</f>
        <v>MEDIUM</v>
      </c>
      <c r="AC465" t="str">
        <f>TEXT(ReconciliationData[[#This Row],[Order_Date]],"YYYY-MM")</f>
        <v>2023-03</v>
      </c>
    </row>
    <row r="466" spans="1:29">
      <c r="A466" t="s">
        <v>1656</v>
      </c>
      <c r="B466" s="1">
        <v>45629</v>
      </c>
      <c r="C466" t="s">
        <v>1657</v>
      </c>
      <c r="D466" t="s">
        <v>628</v>
      </c>
      <c r="E466">
        <v>34</v>
      </c>
      <c r="F466" t="s">
        <v>1658</v>
      </c>
      <c r="G466">
        <v>44</v>
      </c>
      <c r="H466">
        <v>323.33380023523085</v>
      </c>
      <c r="N466">
        <v>322.71780000000001</v>
      </c>
      <c r="O466" s="1">
        <v>45169</v>
      </c>
      <c r="P466">
        <f>IF(ISBLANK(ReconciliationData[[#This Row],[Invoice_ID]]),1,0)</f>
        <v>0</v>
      </c>
      <c r="Q466">
        <f>IF(AND(NOT(ISBLANK(ReconciliationData[[#This Row],[Billed_Units]])),ReconciliationData[[#This Row],[ordered_units]]&lt;&gt;ReconciliationData[[#This Row],[Billed_Units]]),1,0)</f>
        <v>1</v>
      </c>
      <c r="R46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466">
        <f>IF(AND(NOT(ISBLANK(ReconciliationData[[#This Row],[Contract_Price]])),ReconciliationData[[#This Row],[Billed_Price]]&lt;&gt;ReconciliationData[[#This Row],[Contract_Price]]),1,0)</f>
        <v>0</v>
      </c>
      <c r="T466">
        <f>IF(AND(NOT(ISBLANK(ReconciliationData[[#This Row],[End_Date]])),ReconciliationData[[#This Row],[Order_Date]]&gt;ReconciliationData[[#This Row],[End_Date]]),1,0)</f>
        <v>0</v>
      </c>
      <c r="U466">
        <f>IF(AND(NOT(ISBLANK(ReconciliationData[[#This Row],[last_return_date]])),ReconciliationData[[#This Row],[last_return_date]]&gt;ReconciliationData[[#This Row],[Order_Date]]+60),1,0)</f>
        <v>0</v>
      </c>
      <c r="V466">
        <f>IF(ReconciliationData[[#This Row],[total_returned_units]]&gt;ReconciliationData[[#This Row],[ordered_units]],1,0)</f>
        <v>0</v>
      </c>
      <c r="W4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66">
        <f>ReconciliationData[[#This Row],[Billed_Units]]*ReconciliationData[[#This Row],[Billed_Price]]</f>
        <v>14226.687210350157</v>
      </c>
      <c r="Y466">
        <f>ReconciliationData[[#This Row],[ordered_units]]*ReconciliationData[[#This Row],[List_Price]]</f>
        <v>10972.405200000001</v>
      </c>
      <c r="Z466">
        <f>ReconciliationData[[#This Row],[billed_revenue]]-ReconciliationData[[#This Row],[expected_revenue]]</f>
        <v>3254.2820103501563</v>
      </c>
      <c r="AA4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12</v>
      </c>
      <c r="AB466" t="str">
        <f>IF(ReconciliationData[[#This Row],[severity_score]]=0,"LOW",
 IF(ReconciliationData[[#This Row],[severity_score]]&lt;=5,"MEDIUM","HIGH"))</f>
        <v>HIGH</v>
      </c>
      <c r="AC466" t="str">
        <f>TEXT(ReconciliationData[[#This Row],[Order_Date]],"YYYY-MM")</f>
        <v>2024-12</v>
      </c>
    </row>
    <row r="467" spans="1:29">
      <c r="A467" t="s">
        <v>1659</v>
      </c>
      <c r="B467" s="1">
        <v>44940</v>
      </c>
      <c r="C467" t="s">
        <v>1660</v>
      </c>
      <c r="D467" t="s">
        <v>1354</v>
      </c>
      <c r="E467">
        <v>186</v>
      </c>
      <c r="F467" t="s">
        <v>1661</v>
      </c>
      <c r="G467">
        <v>186</v>
      </c>
      <c r="H467">
        <v>53.988499999999995</v>
      </c>
      <c r="N467">
        <v>53.988499999999995</v>
      </c>
      <c r="O467" s="1">
        <v>44884</v>
      </c>
      <c r="P467">
        <f>IF(ISBLANK(ReconciliationData[[#This Row],[Invoice_ID]]),1,0)</f>
        <v>0</v>
      </c>
      <c r="Q467">
        <f>IF(AND(NOT(ISBLANK(ReconciliationData[[#This Row],[Billed_Units]])),ReconciliationData[[#This Row],[ordered_units]]&lt;&gt;ReconciliationData[[#This Row],[Billed_Units]]),1,0)</f>
        <v>0</v>
      </c>
      <c r="R4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67">
        <f>IF(AND(NOT(ISBLANK(ReconciliationData[[#This Row],[Contract_Price]])),ReconciliationData[[#This Row],[Billed_Price]]&lt;&gt;ReconciliationData[[#This Row],[Contract_Price]]),1,0)</f>
        <v>0</v>
      </c>
      <c r="T467">
        <f>IF(AND(NOT(ISBLANK(ReconciliationData[[#This Row],[End_Date]])),ReconciliationData[[#This Row],[Order_Date]]&gt;ReconciliationData[[#This Row],[End_Date]]),1,0)</f>
        <v>0</v>
      </c>
      <c r="U467">
        <f>IF(AND(NOT(ISBLANK(ReconciliationData[[#This Row],[last_return_date]])),ReconciliationData[[#This Row],[last_return_date]]&gt;ReconciliationData[[#This Row],[Order_Date]]+60),1,0)</f>
        <v>0</v>
      </c>
      <c r="V467">
        <f>IF(ReconciliationData[[#This Row],[total_returned_units]]&gt;ReconciliationData[[#This Row],[ordered_units]],1,0)</f>
        <v>0</v>
      </c>
      <c r="W4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67">
        <f>ReconciliationData[[#This Row],[Billed_Units]]*ReconciliationData[[#This Row],[Billed_Price]]</f>
        <v>10041.860999999999</v>
      </c>
      <c r="Y467">
        <f>ReconciliationData[[#This Row],[ordered_units]]*ReconciliationData[[#This Row],[List_Price]]</f>
        <v>10041.860999999999</v>
      </c>
      <c r="Z467">
        <f>ReconciliationData[[#This Row],[billed_revenue]]-ReconciliationData[[#This Row],[expected_revenue]]</f>
        <v>0</v>
      </c>
      <c r="AA4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67" t="str">
        <f>IF(ReconciliationData[[#This Row],[severity_score]]=0,"LOW",
 IF(ReconciliationData[[#This Row],[severity_score]]&lt;=5,"MEDIUM","HIGH"))</f>
        <v>LOW</v>
      </c>
      <c r="AC467" t="str">
        <f>TEXT(ReconciliationData[[#This Row],[Order_Date]],"YYYY-MM")</f>
        <v>2023-01</v>
      </c>
    </row>
    <row r="468" spans="1:29">
      <c r="A468" t="s">
        <v>1662</v>
      </c>
      <c r="B468" s="1">
        <v>45485</v>
      </c>
      <c r="C468" t="s">
        <v>226</v>
      </c>
      <c r="D468" t="s">
        <v>1238</v>
      </c>
      <c r="E468">
        <v>149</v>
      </c>
      <c r="F468" t="s">
        <v>1663</v>
      </c>
      <c r="G468">
        <v>149</v>
      </c>
      <c r="H468">
        <v>355.32000000000005</v>
      </c>
      <c r="N468">
        <v>355.32000000000005</v>
      </c>
      <c r="O468" s="1">
        <v>45058</v>
      </c>
      <c r="P468">
        <f>IF(ISBLANK(ReconciliationData[[#This Row],[Invoice_ID]]),1,0)</f>
        <v>0</v>
      </c>
      <c r="Q468">
        <f>IF(AND(NOT(ISBLANK(ReconciliationData[[#This Row],[Billed_Units]])),ReconciliationData[[#This Row],[ordered_units]]&lt;&gt;ReconciliationData[[#This Row],[Billed_Units]]),1,0)</f>
        <v>0</v>
      </c>
      <c r="R4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68">
        <f>IF(AND(NOT(ISBLANK(ReconciliationData[[#This Row],[Contract_Price]])),ReconciliationData[[#This Row],[Billed_Price]]&lt;&gt;ReconciliationData[[#This Row],[Contract_Price]]),1,0)</f>
        <v>0</v>
      </c>
      <c r="T468">
        <f>IF(AND(NOT(ISBLANK(ReconciliationData[[#This Row],[End_Date]])),ReconciliationData[[#This Row],[Order_Date]]&gt;ReconciliationData[[#This Row],[End_Date]]),1,0)</f>
        <v>0</v>
      </c>
      <c r="U468">
        <f>IF(AND(NOT(ISBLANK(ReconciliationData[[#This Row],[last_return_date]])),ReconciliationData[[#This Row],[last_return_date]]&gt;ReconciliationData[[#This Row],[Order_Date]]+60),1,0)</f>
        <v>0</v>
      </c>
      <c r="V468">
        <f>IF(ReconciliationData[[#This Row],[total_returned_units]]&gt;ReconciliationData[[#This Row],[ordered_units]],1,0)</f>
        <v>0</v>
      </c>
      <c r="W4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68">
        <f>ReconciliationData[[#This Row],[Billed_Units]]*ReconciliationData[[#This Row],[Billed_Price]]</f>
        <v>52942.680000000008</v>
      </c>
      <c r="Y468">
        <f>ReconciliationData[[#This Row],[ordered_units]]*ReconciliationData[[#This Row],[List_Price]]</f>
        <v>52942.680000000008</v>
      </c>
      <c r="Z468">
        <f>ReconciliationData[[#This Row],[billed_revenue]]-ReconciliationData[[#This Row],[expected_revenue]]</f>
        <v>0</v>
      </c>
      <c r="AA4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68" t="str">
        <f>IF(ReconciliationData[[#This Row],[severity_score]]=0,"LOW",
 IF(ReconciliationData[[#This Row],[severity_score]]&lt;=5,"MEDIUM","HIGH"))</f>
        <v>LOW</v>
      </c>
      <c r="AC468" t="str">
        <f>TEXT(ReconciliationData[[#This Row],[Order_Date]],"YYYY-MM")</f>
        <v>2024-07</v>
      </c>
    </row>
    <row r="469" spans="1:29">
      <c r="A469" t="s">
        <v>1664</v>
      </c>
      <c r="B469" s="1">
        <v>45128</v>
      </c>
      <c r="C469" t="s">
        <v>1665</v>
      </c>
      <c r="D469" t="s">
        <v>243</v>
      </c>
      <c r="E469">
        <v>176</v>
      </c>
      <c r="F469" t="s">
        <v>1666</v>
      </c>
      <c r="G469">
        <v>176</v>
      </c>
      <c r="H469">
        <v>126.5656</v>
      </c>
      <c r="I469">
        <v>16</v>
      </c>
      <c r="J469" s="1">
        <v>45327</v>
      </c>
      <c r="N469">
        <v>126.5656</v>
      </c>
      <c r="O469" s="1">
        <v>44947</v>
      </c>
      <c r="P469">
        <f>IF(ISBLANK(ReconciliationData[[#This Row],[Invoice_ID]]),1,0)</f>
        <v>0</v>
      </c>
      <c r="Q469">
        <f>IF(AND(NOT(ISBLANK(ReconciliationData[[#This Row],[Billed_Units]])),ReconciliationData[[#This Row],[ordered_units]]&lt;&gt;ReconciliationData[[#This Row],[Billed_Units]]),1,0)</f>
        <v>0</v>
      </c>
      <c r="R4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69">
        <f>IF(AND(NOT(ISBLANK(ReconciliationData[[#This Row],[Contract_Price]])),ReconciliationData[[#This Row],[Billed_Price]]&lt;&gt;ReconciliationData[[#This Row],[Contract_Price]]),1,0)</f>
        <v>0</v>
      </c>
      <c r="T469">
        <f>IF(AND(NOT(ISBLANK(ReconciliationData[[#This Row],[End_Date]])),ReconciliationData[[#This Row],[Order_Date]]&gt;ReconciliationData[[#This Row],[End_Date]]),1,0)</f>
        <v>0</v>
      </c>
      <c r="U469">
        <f>IF(AND(NOT(ISBLANK(ReconciliationData[[#This Row],[last_return_date]])),ReconciliationData[[#This Row],[last_return_date]]&gt;ReconciliationData[[#This Row],[Order_Date]]+60),1,0)</f>
        <v>1</v>
      </c>
      <c r="V469">
        <f>IF(ReconciliationData[[#This Row],[total_returned_units]]&gt;ReconciliationData[[#This Row],[ordered_units]],1,0)</f>
        <v>0</v>
      </c>
      <c r="W4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69">
        <f>ReconciliationData[[#This Row],[Billed_Units]]*ReconciliationData[[#This Row],[Billed_Price]]</f>
        <v>22275.545600000001</v>
      </c>
      <c r="Y469">
        <f>ReconciliationData[[#This Row],[ordered_units]]*ReconciliationData[[#This Row],[List_Price]]</f>
        <v>22275.545600000001</v>
      </c>
      <c r="Z469">
        <f>ReconciliationData[[#This Row],[billed_revenue]]-ReconciliationData[[#This Row],[expected_revenue]]</f>
        <v>0</v>
      </c>
      <c r="AA4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469" t="str">
        <f>IF(ReconciliationData[[#This Row],[severity_score]]=0,"LOW",
 IF(ReconciliationData[[#This Row],[severity_score]]&lt;=5,"MEDIUM","HIGH"))</f>
        <v>MEDIUM</v>
      </c>
      <c r="AC469" t="str">
        <f>TEXT(ReconciliationData[[#This Row],[Order_Date]],"YYYY-MM")</f>
        <v>2023-07</v>
      </c>
    </row>
    <row r="470" spans="1:29">
      <c r="A470" t="s">
        <v>1667</v>
      </c>
      <c r="B470" s="1">
        <v>45219</v>
      </c>
      <c r="C470" t="s">
        <v>1168</v>
      </c>
      <c r="D470" t="s">
        <v>138</v>
      </c>
      <c r="E470">
        <v>85</v>
      </c>
      <c r="F470" t="s">
        <v>1668</v>
      </c>
      <c r="G470">
        <v>85</v>
      </c>
      <c r="H470">
        <v>444.22</v>
      </c>
      <c r="N470">
        <v>444.22</v>
      </c>
      <c r="O470" s="1">
        <v>45074</v>
      </c>
      <c r="P470">
        <f>IF(ISBLANK(ReconciliationData[[#This Row],[Invoice_ID]]),1,0)</f>
        <v>0</v>
      </c>
      <c r="Q470">
        <f>IF(AND(NOT(ISBLANK(ReconciliationData[[#This Row],[Billed_Units]])),ReconciliationData[[#This Row],[ordered_units]]&lt;&gt;ReconciliationData[[#This Row],[Billed_Units]]),1,0)</f>
        <v>0</v>
      </c>
      <c r="R4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0">
        <f>IF(AND(NOT(ISBLANK(ReconciliationData[[#This Row],[Contract_Price]])),ReconciliationData[[#This Row],[Billed_Price]]&lt;&gt;ReconciliationData[[#This Row],[Contract_Price]]),1,0)</f>
        <v>0</v>
      </c>
      <c r="T470">
        <f>IF(AND(NOT(ISBLANK(ReconciliationData[[#This Row],[End_Date]])),ReconciliationData[[#This Row],[Order_Date]]&gt;ReconciliationData[[#This Row],[End_Date]]),1,0)</f>
        <v>0</v>
      </c>
      <c r="U470">
        <f>IF(AND(NOT(ISBLANK(ReconciliationData[[#This Row],[last_return_date]])),ReconciliationData[[#This Row],[last_return_date]]&gt;ReconciliationData[[#This Row],[Order_Date]]+60),1,0)</f>
        <v>0</v>
      </c>
      <c r="V470">
        <f>IF(ReconciliationData[[#This Row],[total_returned_units]]&gt;ReconciliationData[[#This Row],[ordered_units]],1,0)</f>
        <v>0</v>
      </c>
      <c r="W4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70">
        <f>ReconciliationData[[#This Row],[Billed_Units]]*ReconciliationData[[#This Row],[Billed_Price]]</f>
        <v>37758.700000000004</v>
      </c>
      <c r="Y470">
        <f>ReconciliationData[[#This Row],[ordered_units]]*ReconciliationData[[#This Row],[List_Price]]</f>
        <v>37758.700000000004</v>
      </c>
      <c r="Z470">
        <f>ReconciliationData[[#This Row],[billed_revenue]]-ReconciliationData[[#This Row],[expected_revenue]]</f>
        <v>0</v>
      </c>
      <c r="AA4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70" t="str">
        <f>IF(ReconciliationData[[#This Row],[severity_score]]=0,"LOW",
 IF(ReconciliationData[[#This Row],[severity_score]]&lt;=5,"MEDIUM","HIGH"))</f>
        <v>LOW</v>
      </c>
      <c r="AC470" t="str">
        <f>TEXT(ReconciliationData[[#This Row],[Order_Date]],"YYYY-MM")</f>
        <v>2023-10</v>
      </c>
    </row>
    <row r="471" spans="1:29">
      <c r="A471" t="s">
        <v>1669</v>
      </c>
      <c r="B471" s="1">
        <v>45519</v>
      </c>
      <c r="C471" t="s">
        <v>1670</v>
      </c>
      <c r="D471" t="s">
        <v>1671</v>
      </c>
      <c r="E471">
        <v>139</v>
      </c>
      <c r="F471" t="s">
        <v>1672</v>
      </c>
      <c r="G471">
        <v>144</v>
      </c>
      <c r="H471">
        <v>488.43360000000007</v>
      </c>
      <c r="N471">
        <v>488.43360000000007</v>
      </c>
      <c r="O471" s="1">
        <v>45107</v>
      </c>
      <c r="P471">
        <f>IF(ISBLANK(ReconciliationData[[#This Row],[Invoice_ID]]),1,0)</f>
        <v>0</v>
      </c>
      <c r="Q471">
        <f>IF(AND(NOT(ISBLANK(ReconciliationData[[#This Row],[Billed_Units]])),ReconciliationData[[#This Row],[ordered_units]]&lt;&gt;ReconciliationData[[#This Row],[Billed_Units]]),1,0)</f>
        <v>1</v>
      </c>
      <c r="R4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1">
        <f>IF(AND(NOT(ISBLANK(ReconciliationData[[#This Row],[Contract_Price]])),ReconciliationData[[#This Row],[Billed_Price]]&lt;&gt;ReconciliationData[[#This Row],[Contract_Price]]),1,0)</f>
        <v>0</v>
      </c>
      <c r="T471">
        <f>IF(AND(NOT(ISBLANK(ReconciliationData[[#This Row],[End_Date]])),ReconciliationData[[#This Row],[Order_Date]]&gt;ReconciliationData[[#This Row],[End_Date]]),1,0)</f>
        <v>0</v>
      </c>
      <c r="U471">
        <f>IF(AND(NOT(ISBLANK(ReconciliationData[[#This Row],[last_return_date]])),ReconciliationData[[#This Row],[last_return_date]]&gt;ReconciliationData[[#This Row],[Order_Date]]+60),1,0)</f>
        <v>0</v>
      </c>
      <c r="V471">
        <f>IF(ReconciliationData[[#This Row],[total_returned_units]]&gt;ReconciliationData[[#This Row],[ordered_units]],1,0)</f>
        <v>0</v>
      </c>
      <c r="W4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71">
        <f>ReconciliationData[[#This Row],[Billed_Units]]*ReconciliationData[[#This Row],[Billed_Price]]</f>
        <v>70334.438400000014</v>
      </c>
      <c r="Y471">
        <f>ReconciliationData[[#This Row],[ordered_units]]*ReconciliationData[[#This Row],[List_Price]]</f>
        <v>67892.270400000009</v>
      </c>
      <c r="Z471">
        <f>ReconciliationData[[#This Row],[billed_revenue]]-ReconciliationData[[#This Row],[expected_revenue]]</f>
        <v>2442.1680000000051</v>
      </c>
      <c r="AA4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471" t="str">
        <f>IF(ReconciliationData[[#This Row],[severity_score]]=0,"LOW",
 IF(ReconciliationData[[#This Row],[severity_score]]&lt;=5,"MEDIUM","HIGH"))</f>
        <v>HIGH</v>
      </c>
      <c r="AC471" t="str">
        <f>TEXT(ReconciliationData[[#This Row],[Order_Date]],"YYYY-MM")</f>
        <v>2024-08</v>
      </c>
    </row>
    <row r="472" spans="1:29">
      <c r="A472" t="s">
        <v>1673</v>
      </c>
      <c r="B472" s="1">
        <v>45285</v>
      </c>
      <c r="C472" t="s">
        <v>1674</v>
      </c>
      <c r="D472" t="s">
        <v>556</v>
      </c>
      <c r="E472">
        <v>92</v>
      </c>
      <c r="F472" t="s">
        <v>1675</v>
      </c>
      <c r="G472">
        <v>92</v>
      </c>
      <c r="H472">
        <v>664.57040000000006</v>
      </c>
      <c r="N472">
        <v>664.57040000000006</v>
      </c>
      <c r="O472" s="1">
        <v>45066</v>
      </c>
      <c r="P472">
        <f>IF(ISBLANK(ReconciliationData[[#This Row],[Invoice_ID]]),1,0)</f>
        <v>0</v>
      </c>
      <c r="Q472">
        <f>IF(AND(NOT(ISBLANK(ReconciliationData[[#This Row],[Billed_Units]])),ReconciliationData[[#This Row],[ordered_units]]&lt;&gt;ReconciliationData[[#This Row],[Billed_Units]]),1,0)</f>
        <v>0</v>
      </c>
      <c r="R4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2">
        <f>IF(AND(NOT(ISBLANK(ReconciliationData[[#This Row],[Contract_Price]])),ReconciliationData[[#This Row],[Billed_Price]]&lt;&gt;ReconciliationData[[#This Row],[Contract_Price]]),1,0)</f>
        <v>0</v>
      </c>
      <c r="T472">
        <f>IF(AND(NOT(ISBLANK(ReconciliationData[[#This Row],[End_Date]])),ReconciliationData[[#This Row],[Order_Date]]&gt;ReconciliationData[[#This Row],[End_Date]]),1,0)</f>
        <v>0</v>
      </c>
      <c r="U472">
        <f>IF(AND(NOT(ISBLANK(ReconciliationData[[#This Row],[last_return_date]])),ReconciliationData[[#This Row],[last_return_date]]&gt;ReconciliationData[[#This Row],[Order_Date]]+60),1,0)</f>
        <v>0</v>
      </c>
      <c r="V472">
        <f>IF(ReconciliationData[[#This Row],[total_returned_units]]&gt;ReconciliationData[[#This Row],[ordered_units]],1,0)</f>
        <v>0</v>
      </c>
      <c r="W4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72">
        <f>ReconciliationData[[#This Row],[Billed_Units]]*ReconciliationData[[#This Row],[Billed_Price]]</f>
        <v>61140.476800000004</v>
      </c>
      <c r="Y472">
        <f>ReconciliationData[[#This Row],[ordered_units]]*ReconciliationData[[#This Row],[List_Price]]</f>
        <v>61140.476800000004</v>
      </c>
      <c r="Z472">
        <f>ReconciliationData[[#This Row],[billed_revenue]]-ReconciliationData[[#This Row],[expected_revenue]]</f>
        <v>0</v>
      </c>
      <c r="AA4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72" t="str">
        <f>IF(ReconciliationData[[#This Row],[severity_score]]=0,"LOW",
 IF(ReconciliationData[[#This Row],[severity_score]]&lt;=5,"MEDIUM","HIGH"))</f>
        <v>LOW</v>
      </c>
      <c r="AC472" t="str">
        <f>TEXT(ReconciliationData[[#This Row],[Order_Date]],"YYYY-MM")</f>
        <v>2023-12</v>
      </c>
    </row>
    <row r="473" spans="1:29">
      <c r="A473" t="s">
        <v>1676</v>
      </c>
      <c r="B473" s="1">
        <v>45449</v>
      </c>
      <c r="C473" t="s">
        <v>1016</v>
      </c>
      <c r="D473" t="s">
        <v>378</v>
      </c>
      <c r="E473">
        <v>52</v>
      </c>
      <c r="F473" t="s">
        <v>1677</v>
      </c>
      <c r="G473">
        <v>52</v>
      </c>
      <c r="H473">
        <v>601.32929999999999</v>
      </c>
      <c r="N473">
        <v>601.32929999999999</v>
      </c>
      <c r="O473" s="1">
        <v>44962</v>
      </c>
      <c r="P473">
        <f>IF(ISBLANK(ReconciliationData[[#This Row],[Invoice_ID]]),1,0)</f>
        <v>0</v>
      </c>
      <c r="Q473">
        <f>IF(AND(NOT(ISBLANK(ReconciliationData[[#This Row],[Billed_Units]])),ReconciliationData[[#This Row],[ordered_units]]&lt;&gt;ReconciliationData[[#This Row],[Billed_Units]]),1,0)</f>
        <v>0</v>
      </c>
      <c r="R4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3">
        <f>IF(AND(NOT(ISBLANK(ReconciliationData[[#This Row],[Contract_Price]])),ReconciliationData[[#This Row],[Billed_Price]]&lt;&gt;ReconciliationData[[#This Row],[Contract_Price]]),1,0)</f>
        <v>0</v>
      </c>
      <c r="T473">
        <f>IF(AND(NOT(ISBLANK(ReconciliationData[[#This Row],[End_Date]])),ReconciliationData[[#This Row],[Order_Date]]&gt;ReconciliationData[[#This Row],[End_Date]]),1,0)</f>
        <v>0</v>
      </c>
      <c r="U473">
        <f>IF(AND(NOT(ISBLANK(ReconciliationData[[#This Row],[last_return_date]])),ReconciliationData[[#This Row],[last_return_date]]&gt;ReconciliationData[[#This Row],[Order_Date]]+60),1,0)</f>
        <v>0</v>
      </c>
      <c r="V473">
        <f>IF(ReconciliationData[[#This Row],[total_returned_units]]&gt;ReconciliationData[[#This Row],[ordered_units]],1,0)</f>
        <v>0</v>
      </c>
      <c r="W4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73">
        <f>ReconciliationData[[#This Row],[Billed_Units]]*ReconciliationData[[#This Row],[Billed_Price]]</f>
        <v>31269.123599999999</v>
      </c>
      <c r="Y473">
        <f>ReconciliationData[[#This Row],[ordered_units]]*ReconciliationData[[#This Row],[List_Price]]</f>
        <v>31269.123599999999</v>
      </c>
      <c r="Z473">
        <f>ReconciliationData[[#This Row],[billed_revenue]]-ReconciliationData[[#This Row],[expected_revenue]]</f>
        <v>0</v>
      </c>
      <c r="AA4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73" t="str">
        <f>IF(ReconciliationData[[#This Row],[severity_score]]=0,"LOW",
 IF(ReconciliationData[[#This Row],[severity_score]]&lt;=5,"MEDIUM","HIGH"))</f>
        <v>LOW</v>
      </c>
      <c r="AC473" t="str">
        <f>TEXT(ReconciliationData[[#This Row],[Order_Date]],"YYYY-MM")</f>
        <v>2024-06</v>
      </c>
    </row>
    <row r="474" spans="1:29">
      <c r="A474" t="s">
        <v>1678</v>
      </c>
      <c r="B474" s="1">
        <v>45224</v>
      </c>
      <c r="C474" t="s">
        <v>1679</v>
      </c>
      <c r="D474" t="s">
        <v>624</v>
      </c>
      <c r="E474">
        <v>127</v>
      </c>
      <c r="F474" t="s">
        <v>1680</v>
      </c>
      <c r="G474">
        <v>127</v>
      </c>
      <c r="H474">
        <v>147.17669999999998</v>
      </c>
      <c r="N474">
        <v>147.17669999999998</v>
      </c>
      <c r="O474" s="1">
        <v>45039</v>
      </c>
      <c r="P474">
        <f>IF(ISBLANK(ReconciliationData[[#This Row],[Invoice_ID]]),1,0)</f>
        <v>0</v>
      </c>
      <c r="Q474">
        <f>IF(AND(NOT(ISBLANK(ReconciliationData[[#This Row],[Billed_Units]])),ReconciliationData[[#This Row],[ordered_units]]&lt;&gt;ReconciliationData[[#This Row],[Billed_Units]]),1,0)</f>
        <v>0</v>
      </c>
      <c r="R4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4">
        <f>IF(AND(NOT(ISBLANK(ReconciliationData[[#This Row],[Contract_Price]])),ReconciliationData[[#This Row],[Billed_Price]]&lt;&gt;ReconciliationData[[#This Row],[Contract_Price]]),1,0)</f>
        <v>0</v>
      </c>
      <c r="T474">
        <f>IF(AND(NOT(ISBLANK(ReconciliationData[[#This Row],[End_Date]])),ReconciliationData[[#This Row],[Order_Date]]&gt;ReconciliationData[[#This Row],[End_Date]]),1,0)</f>
        <v>0</v>
      </c>
      <c r="U474">
        <f>IF(AND(NOT(ISBLANK(ReconciliationData[[#This Row],[last_return_date]])),ReconciliationData[[#This Row],[last_return_date]]&gt;ReconciliationData[[#This Row],[Order_Date]]+60),1,0)</f>
        <v>0</v>
      </c>
      <c r="V474">
        <f>IF(ReconciliationData[[#This Row],[total_returned_units]]&gt;ReconciliationData[[#This Row],[ordered_units]],1,0)</f>
        <v>0</v>
      </c>
      <c r="W4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74">
        <f>ReconciliationData[[#This Row],[Billed_Units]]*ReconciliationData[[#This Row],[Billed_Price]]</f>
        <v>18691.440899999998</v>
      </c>
      <c r="Y474">
        <f>ReconciliationData[[#This Row],[ordered_units]]*ReconciliationData[[#This Row],[List_Price]]</f>
        <v>18691.440899999998</v>
      </c>
      <c r="Z474">
        <f>ReconciliationData[[#This Row],[billed_revenue]]-ReconciliationData[[#This Row],[expected_revenue]]</f>
        <v>0</v>
      </c>
      <c r="AA4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74" t="str">
        <f>IF(ReconciliationData[[#This Row],[severity_score]]=0,"LOW",
 IF(ReconciliationData[[#This Row],[severity_score]]&lt;=5,"MEDIUM","HIGH"))</f>
        <v>LOW</v>
      </c>
      <c r="AC474" t="str">
        <f>TEXT(ReconciliationData[[#This Row],[Order_Date]],"YYYY-MM")</f>
        <v>2023-10</v>
      </c>
    </row>
    <row r="475" spans="1:29">
      <c r="A475" t="s">
        <v>1681</v>
      </c>
      <c r="B475" s="1">
        <v>45552</v>
      </c>
      <c r="C475" t="s">
        <v>1682</v>
      </c>
      <c r="D475" t="s">
        <v>134</v>
      </c>
      <c r="E475">
        <v>80</v>
      </c>
      <c r="F475" t="s">
        <v>1683</v>
      </c>
      <c r="G475">
        <v>80</v>
      </c>
      <c r="H475">
        <v>446.4905</v>
      </c>
      <c r="N475">
        <v>446.4905</v>
      </c>
      <c r="O475" s="1">
        <v>45161</v>
      </c>
      <c r="P475">
        <f>IF(ISBLANK(ReconciliationData[[#This Row],[Invoice_ID]]),1,0)</f>
        <v>0</v>
      </c>
      <c r="Q475">
        <f>IF(AND(NOT(ISBLANK(ReconciliationData[[#This Row],[Billed_Units]])),ReconciliationData[[#This Row],[ordered_units]]&lt;&gt;ReconciliationData[[#This Row],[Billed_Units]]),1,0)</f>
        <v>0</v>
      </c>
      <c r="R4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5">
        <f>IF(AND(NOT(ISBLANK(ReconciliationData[[#This Row],[Contract_Price]])),ReconciliationData[[#This Row],[Billed_Price]]&lt;&gt;ReconciliationData[[#This Row],[Contract_Price]]),1,0)</f>
        <v>0</v>
      </c>
      <c r="T475">
        <f>IF(AND(NOT(ISBLANK(ReconciliationData[[#This Row],[End_Date]])),ReconciliationData[[#This Row],[Order_Date]]&gt;ReconciliationData[[#This Row],[End_Date]]),1,0)</f>
        <v>0</v>
      </c>
      <c r="U475">
        <f>IF(AND(NOT(ISBLANK(ReconciliationData[[#This Row],[last_return_date]])),ReconciliationData[[#This Row],[last_return_date]]&gt;ReconciliationData[[#This Row],[Order_Date]]+60),1,0)</f>
        <v>0</v>
      </c>
      <c r="V475">
        <f>IF(ReconciliationData[[#This Row],[total_returned_units]]&gt;ReconciliationData[[#This Row],[ordered_units]],1,0)</f>
        <v>0</v>
      </c>
      <c r="W4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75">
        <f>ReconciliationData[[#This Row],[Billed_Units]]*ReconciliationData[[#This Row],[Billed_Price]]</f>
        <v>35719.24</v>
      </c>
      <c r="Y475">
        <f>ReconciliationData[[#This Row],[ordered_units]]*ReconciliationData[[#This Row],[List_Price]]</f>
        <v>35719.24</v>
      </c>
      <c r="Z475">
        <f>ReconciliationData[[#This Row],[billed_revenue]]-ReconciliationData[[#This Row],[expected_revenue]]</f>
        <v>0</v>
      </c>
      <c r="AA4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75" t="str">
        <f>IF(ReconciliationData[[#This Row],[severity_score]]=0,"LOW",
 IF(ReconciliationData[[#This Row],[severity_score]]&lt;=5,"MEDIUM","HIGH"))</f>
        <v>LOW</v>
      </c>
      <c r="AC475" t="str">
        <f>TEXT(ReconciliationData[[#This Row],[Order_Date]],"YYYY-MM")</f>
        <v>2024-09</v>
      </c>
    </row>
    <row r="476" spans="1:29">
      <c r="A476" t="s">
        <v>1684</v>
      </c>
      <c r="B476" s="1">
        <v>44949</v>
      </c>
      <c r="C476" t="s">
        <v>1685</v>
      </c>
      <c r="D476" t="s">
        <v>356</v>
      </c>
      <c r="E476">
        <v>187</v>
      </c>
      <c r="F476" t="s">
        <v>1686</v>
      </c>
      <c r="G476">
        <v>187</v>
      </c>
      <c r="H476">
        <v>413.47289999999998</v>
      </c>
      <c r="N476">
        <v>413.47289999999998</v>
      </c>
      <c r="O476" s="1">
        <v>44829</v>
      </c>
      <c r="P476">
        <f>IF(ISBLANK(ReconciliationData[[#This Row],[Invoice_ID]]),1,0)</f>
        <v>0</v>
      </c>
      <c r="Q476">
        <f>IF(AND(NOT(ISBLANK(ReconciliationData[[#This Row],[Billed_Units]])),ReconciliationData[[#This Row],[ordered_units]]&lt;&gt;ReconciliationData[[#This Row],[Billed_Units]]),1,0)</f>
        <v>0</v>
      </c>
      <c r="R4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6">
        <f>IF(AND(NOT(ISBLANK(ReconciliationData[[#This Row],[Contract_Price]])),ReconciliationData[[#This Row],[Billed_Price]]&lt;&gt;ReconciliationData[[#This Row],[Contract_Price]]),1,0)</f>
        <v>0</v>
      </c>
      <c r="T476">
        <f>IF(AND(NOT(ISBLANK(ReconciliationData[[#This Row],[End_Date]])),ReconciliationData[[#This Row],[Order_Date]]&gt;ReconciliationData[[#This Row],[End_Date]]),1,0)</f>
        <v>0</v>
      </c>
      <c r="U476">
        <f>IF(AND(NOT(ISBLANK(ReconciliationData[[#This Row],[last_return_date]])),ReconciliationData[[#This Row],[last_return_date]]&gt;ReconciliationData[[#This Row],[Order_Date]]+60),1,0)</f>
        <v>0</v>
      </c>
      <c r="V476">
        <f>IF(ReconciliationData[[#This Row],[total_returned_units]]&gt;ReconciliationData[[#This Row],[ordered_units]],1,0)</f>
        <v>0</v>
      </c>
      <c r="W4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76">
        <f>ReconciliationData[[#This Row],[Billed_Units]]*ReconciliationData[[#This Row],[Billed_Price]]</f>
        <v>77319.4323</v>
      </c>
      <c r="Y476">
        <f>ReconciliationData[[#This Row],[ordered_units]]*ReconciliationData[[#This Row],[List_Price]]</f>
        <v>77319.4323</v>
      </c>
      <c r="Z476">
        <f>ReconciliationData[[#This Row],[billed_revenue]]-ReconciliationData[[#This Row],[expected_revenue]]</f>
        <v>0</v>
      </c>
      <c r="AA4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76" t="str">
        <f>IF(ReconciliationData[[#This Row],[severity_score]]=0,"LOW",
 IF(ReconciliationData[[#This Row],[severity_score]]&lt;=5,"MEDIUM","HIGH"))</f>
        <v>LOW</v>
      </c>
      <c r="AC476" t="str">
        <f>TEXT(ReconciliationData[[#This Row],[Order_Date]],"YYYY-MM")</f>
        <v>2023-01</v>
      </c>
    </row>
    <row r="477" spans="1:29">
      <c r="A477" t="s">
        <v>1687</v>
      </c>
      <c r="B477" s="1">
        <v>45513</v>
      </c>
      <c r="C477" t="s">
        <v>1688</v>
      </c>
      <c r="D477" t="s">
        <v>275</v>
      </c>
      <c r="E477">
        <v>47</v>
      </c>
      <c r="F477" t="s">
        <v>1689</v>
      </c>
      <c r="G477">
        <v>47</v>
      </c>
      <c r="H477">
        <v>397.19560000000001</v>
      </c>
      <c r="N477">
        <v>397.19560000000001</v>
      </c>
      <c r="O477" s="1">
        <v>44932</v>
      </c>
      <c r="P477">
        <f>IF(ISBLANK(ReconciliationData[[#This Row],[Invoice_ID]]),1,0)</f>
        <v>0</v>
      </c>
      <c r="Q477">
        <f>IF(AND(NOT(ISBLANK(ReconciliationData[[#This Row],[Billed_Units]])),ReconciliationData[[#This Row],[ordered_units]]&lt;&gt;ReconciliationData[[#This Row],[Billed_Units]]),1,0)</f>
        <v>0</v>
      </c>
      <c r="R4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7">
        <f>IF(AND(NOT(ISBLANK(ReconciliationData[[#This Row],[Contract_Price]])),ReconciliationData[[#This Row],[Billed_Price]]&lt;&gt;ReconciliationData[[#This Row],[Contract_Price]]),1,0)</f>
        <v>0</v>
      </c>
      <c r="T477">
        <f>IF(AND(NOT(ISBLANK(ReconciliationData[[#This Row],[End_Date]])),ReconciliationData[[#This Row],[Order_Date]]&gt;ReconciliationData[[#This Row],[End_Date]]),1,0)</f>
        <v>0</v>
      </c>
      <c r="U477">
        <f>IF(AND(NOT(ISBLANK(ReconciliationData[[#This Row],[last_return_date]])),ReconciliationData[[#This Row],[last_return_date]]&gt;ReconciliationData[[#This Row],[Order_Date]]+60),1,0)</f>
        <v>0</v>
      </c>
      <c r="V477">
        <f>IF(ReconciliationData[[#This Row],[total_returned_units]]&gt;ReconciliationData[[#This Row],[ordered_units]],1,0)</f>
        <v>0</v>
      </c>
      <c r="W4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77">
        <f>ReconciliationData[[#This Row],[Billed_Units]]*ReconciliationData[[#This Row],[Billed_Price]]</f>
        <v>18668.193200000002</v>
      </c>
      <c r="Y477">
        <f>ReconciliationData[[#This Row],[ordered_units]]*ReconciliationData[[#This Row],[List_Price]]</f>
        <v>18668.193200000002</v>
      </c>
      <c r="Z477">
        <f>ReconciliationData[[#This Row],[billed_revenue]]-ReconciliationData[[#This Row],[expected_revenue]]</f>
        <v>0</v>
      </c>
      <c r="AA4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77" t="str">
        <f>IF(ReconciliationData[[#This Row],[severity_score]]=0,"LOW",
 IF(ReconciliationData[[#This Row],[severity_score]]&lt;=5,"MEDIUM","HIGH"))</f>
        <v>LOW</v>
      </c>
      <c r="AC477" t="str">
        <f>TEXT(ReconciliationData[[#This Row],[Order_Date]],"YYYY-MM")</f>
        <v>2024-08</v>
      </c>
    </row>
    <row r="478" spans="1:29">
      <c r="A478" t="s">
        <v>1690</v>
      </c>
      <c r="B478" s="1">
        <v>45243</v>
      </c>
      <c r="C478" t="s">
        <v>1049</v>
      </c>
      <c r="D478" t="s">
        <v>1580</v>
      </c>
      <c r="E478">
        <v>12</v>
      </c>
      <c r="F478" t="s">
        <v>1691</v>
      </c>
      <c r="G478">
        <v>12</v>
      </c>
      <c r="H478">
        <v>708.51900000000001</v>
      </c>
      <c r="N478">
        <v>708.51900000000001</v>
      </c>
      <c r="O478" s="1">
        <v>45063</v>
      </c>
      <c r="P478">
        <f>IF(ISBLANK(ReconciliationData[[#This Row],[Invoice_ID]]),1,0)</f>
        <v>0</v>
      </c>
      <c r="Q478">
        <f>IF(AND(NOT(ISBLANK(ReconciliationData[[#This Row],[Billed_Units]])),ReconciliationData[[#This Row],[ordered_units]]&lt;&gt;ReconciliationData[[#This Row],[Billed_Units]]),1,0)</f>
        <v>0</v>
      </c>
      <c r="R4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8">
        <f>IF(AND(NOT(ISBLANK(ReconciliationData[[#This Row],[Contract_Price]])),ReconciliationData[[#This Row],[Billed_Price]]&lt;&gt;ReconciliationData[[#This Row],[Contract_Price]]),1,0)</f>
        <v>0</v>
      </c>
      <c r="T478">
        <f>IF(AND(NOT(ISBLANK(ReconciliationData[[#This Row],[End_Date]])),ReconciliationData[[#This Row],[Order_Date]]&gt;ReconciliationData[[#This Row],[End_Date]]),1,0)</f>
        <v>0</v>
      </c>
      <c r="U478">
        <f>IF(AND(NOT(ISBLANK(ReconciliationData[[#This Row],[last_return_date]])),ReconciliationData[[#This Row],[last_return_date]]&gt;ReconciliationData[[#This Row],[Order_Date]]+60),1,0)</f>
        <v>0</v>
      </c>
      <c r="V478">
        <f>IF(ReconciliationData[[#This Row],[total_returned_units]]&gt;ReconciliationData[[#This Row],[ordered_units]],1,0)</f>
        <v>0</v>
      </c>
      <c r="W4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78">
        <f>ReconciliationData[[#This Row],[Billed_Units]]*ReconciliationData[[#This Row],[Billed_Price]]</f>
        <v>8502.2279999999992</v>
      </c>
      <c r="Y478">
        <f>ReconciliationData[[#This Row],[ordered_units]]*ReconciliationData[[#This Row],[List_Price]]</f>
        <v>8502.2279999999992</v>
      </c>
      <c r="Z478">
        <f>ReconciliationData[[#This Row],[billed_revenue]]-ReconciliationData[[#This Row],[expected_revenue]]</f>
        <v>0</v>
      </c>
      <c r="AA4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78" t="str">
        <f>IF(ReconciliationData[[#This Row],[severity_score]]=0,"LOW",
 IF(ReconciliationData[[#This Row],[severity_score]]&lt;=5,"MEDIUM","HIGH"))</f>
        <v>LOW</v>
      </c>
      <c r="AC478" t="str">
        <f>TEXT(ReconciliationData[[#This Row],[Order_Date]],"YYYY-MM")</f>
        <v>2023-11</v>
      </c>
    </row>
    <row r="479" spans="1:29">
      <c r="A479" t="s">
        <v>1692</v>
      </c>
      <c r="B479" s="1">
        <v>45232</v>
      </c>
      <c r="C479" t="s">
        <v>1693</v>
      </c>
      <c r="D479" t="s">
        <v>604</v>
      </c>
      <c r="E479">
        <v>53</v>
      </c>
      <c r="F479" t="s">
        <v>1694</v>
      </c>
      <c r="G479">
        <v>53</v>
      </c>
      <c r="H479">
        <v>1072.5387000000001</v>
      </c>
      <c r="N479">
        <v>1072.5387000000001</v>
      </c>
      <c r="O479" s="1">
        <v>45023</v>
      </c>
      <c r="P479">
        <f>IF(ISBLANK(ReconciliationData[[#This Row],[Invoice_ID]]),1,0)</f>
        <v>0</v>
      </c>
      <c r="Q479">
        <f>IF(AND(NOT(ISBLANK(ReconciliationData[[#This Row],[Billed_Units]])),ReconciliationData[[#This Row],[ordered_units]]&lt;&gt;ReconciliationData[[#This Row],[Billed_Units]]),1,0)</f>
        <v>0</v>
      </c>
      <c r="R4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79">
        <f>IF(AND(NOT(ISBLANK(ReconciliationData[[#This Row],[Contract_Price]])),ReconciliationData[[#This Row],[Billed_Price]]&lt;&gt;ReconciliationData[[#This Row],[Contract_Price]]),1,0)</f>
        <v>0</v>
      </c>
      <c r="T479">
        <f>IF(AND(NOT(ISBLANK(ReconciliationData[[#This Row],[End_Date]])),ReconciliationData[[#This Row],[Order_Date]]&gt;ReconciliationData[[#This Row],[End_Date]]),1,0)</f>
        <v>0</v>
      </c>
      <c r="U479">
        <f>IF(AND(NOT(ISBLANK(ReconciliationData[[#This Row],[last_return_date]])),ReconciliationData[[#This Row],[last_return_date]]&gt;ReconciliationData[[#This Row],[Order_Date]]+60),1,0)</f>
        <v>0</v>
      </c>
      <c r="V479">
        <f>IF(ReconciliationData[[#This Row],[total_returned_units]]&gt;ReconciliationData[[#This Row],[ordered_units]],1,0)</f>
        <v>0</v>
      </c>
      <c r="W4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79">
        <f>ReconciliationData[[#This Row],[Billed_Units]]*ReconciliationData[[#This Row],[Billed_Price]]</f>
        <v>56844.551100000004</v>
      </c>
      <c r="Y479">
        <f>ReconciliationData[[#This Row],[ordered_units]]*ReconciliationData[[#This Row],[List_Price]]</f>
        <v>56844.551100000004</v>
      </c>
      <c r="Z479">
        <f>ReconciliationData[[#This Row],[billed_revenue]]-ReconciliationData[[#This Row],[expected_revenue]]</f>
        <v>0</v>
      </c>
      <c r="AA4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79" t="str">
        <f>IF(ReconciliationData[[#This Row],[severity_score]]=0,"LOW",
 IF(ReconciliationData[[#This Row],[severity_score]]&lt;=5,"MEDIUM","HIGH"))</f>
        <v>LOW</v>
      </c>
      <c r="AC479" t="str">
        <f>TEXT(ReconciliationData[[#This Row],[Order_Date]],"YYYY-MM")</f>
        <v>2023-11</v>
      </c>
    </row>
    <row r="480" spans="1:29">
      <c r="A480" t="s">
        <v>1695</v>
      </c>
      <c r="B480" s="1">
        <v>45081</v>
      </c>
      <c r="C480" t="s">
        <v>1696</v>
      </c>
      <c r="D480" t="s">
        <v>639</v>
      </c>
      <c r="E480">
        <v>40</v>
      </c>
      <c r="F480" t="s">
        <v>1697</v>
      </c>
      <c r="G480">
        <v>40</v>
      </c>
      <c r="H480">
        <v>945.38850000000002</v>
      </c>
      <c r="N480">
        <v>945.38850000000002</v>
      </c>
      <c r="O480" s="1">
        <v>45047</v>
      </c>
      <c r="P480">
        <f>IF(ISBLANK(ReconciliationData[[#This Row],[Invoice_ID]]),1,0)</f>
        <v>0</v>
      </c>
      <c r="Q480">
        <f>IF(AND(NOT(ISBLANK(ReconciliationData[[#This Row],[Billed_Units]])),ReconciliationData[[#This Row],[ordered_units]]&lt;&gt;ReconciliationData[[#This Row],[Billed_Units]]),1,0)</f>
        <v>0</v>
      </c>
      <c r="R4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80">
        <f>IF(AND(NOT(ISBLANK(ReconciliationData[[#This Row],[Contract_Price]])),ReconciliationData[[#This Row],[Billed_Price]]&lt;&gt;ReconciliationData[[#This Row],[Contract_Price]]),1,0)</f>
        <v>0</v>
      </c>
      <c r="T480">
        <f>IF(AND(NOT(ISBLANK(ReconciliationData[[#This Row],[End_Date]])),ReconciliationData[[#This Row],[Order_Date]]&gt;ReconciliationData[[#This Row],[End_Date]]),1,0)</f>
        <v>0</v>
      </c>
      <c r="U480">
        <f>IF(AND(NOT(ISBLANK(ReconciliationData[[#This Row],[last_return_date]])),ReconciliationData[[#This Row],[last_return_date]]&gt;ReconciliationData[[#This Row],[Order_Date]]+60),1,0)</f>
        <v>0</v>
      </c>
      <c r="V480">
        <f>IF(ReconciliationData[[#This Row],[total_returned_units]]&gt;ReconciliationData[[#This Row],[ordered_units]],1,0)</f>
        <v>0</v>
      </c>
      <c r="W4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80">
        <f>ReconciliationData[[#This Row],[Billed_Units]]*ReconciliationData[[#This Row],[Billed_Price]]</f>
        <v>37815.54</v>
      </c>
      <c r="Y480">
        <f>ReconciliationData[[#This Row],[ordered_units]]*ReconciliationData[[#This Row],[List_Price]]</f>
        <v>37815.54</v>
      </c>
      <c r="Z480">
        <f>ReconciliationData[[#This Row],[billed_revenue]]-ReconciliationData[[#This Row],[expected_revenue]]</f>
        <v>0</v>
      </c>
      <c r="AA4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80" t="str">
        <f>IF(ReconciliationData[[#This Row],[severity_score]]=0,"LOW",
 IF(ReconciliationData[[#This Row],[severity_score]]&lt;=5,"MEDIUM","HIGH"))</f>
        <v>LOW</v>
      </c>
      <c r="AC480" t="str">
        <f>TEXT(ReconciliationData[[#This Row],[Order_Date]],"YYYY-MM")</f>
        <v>2023-06</v>
      </c>
    </row>
    <row r="481" spans="1:29">
      <c r="A481" t="s">
        <v>1698</v>
      </c>
      <c r="B481" s="1">
        <v>44945</v>
      </c>
      <c r="C481" t="s">
        <v>1699</v>
      </c>
      <c r="D481" t="s">
        <v>483</v>
      </c>
      <c r="E481">
        <v>17</v>
      </c>
      <c r="F481" t="s">
        <v>1700</v>
      </c>
      <c r="G481">
        <v>17</v>
      </c>
      <c r="H481">
        <v>263.89999999999998</v>
      </c>
      <c r="N481">
        <v>263.89999999999998</v>
      </c>
      <c r="O481" s="1">
        <v>44855</v>
      </c>
      <c r="P481">
        <f>IF(ISBLANK(ReconciliationData[[#This Row],[Invoice_ID]]),1,0)</f>
        <v>0</v>
      </c>
      <c r="Q481">
        <f>IF(AND(NOT(ISBLANK(ReconciliationData[[#This Row],[Billed_Units]])),ReconciliationData[[#This Row],[ordered_units]]&lt;&gt;ReconciliationData[[#This Row],[Billed_Units]]),1,0)</f>
        <v>0</v>
      </c>
      <c r="R4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81">
        <f>IF(AND(NOT(ISBLANK(ReconciliationData[[#This Row],[Contract_Price]])),ReconciliationData[[#This Row],[Billed_Price]]&lt;&gt;ReconciliationData[[#This Row],[Contract_Price]]),1,0)</f>
        <v>0</v>
      </c>
      <c r="T481">
        <f>IF(AND(NOT(ISBLANK(ReconciliationData[[#This Row],[End_Date]])),ReconciliationData[[#This Row],[Order_Date]]&gt;ReconciliationData[[#This Row],[End_Date]]),1,0)</f>
        <v>0</v>
      </c>
      <c r="U481">
        <f>IF(AND(NOT(ISBLANK(ReconciliationData[[#This Row],[last_return_date]])),ReconciliationData[[#This Row],[last_return_date]]&gt;ReconciliationData[[#This Row],[Order_Date]]+60),1,0)</f>
        <v>0</v>
      </c>
      <c r="V481">
        <f>IF(ReconciliationData[[#This Row],[total_returned_units]]&gt;ReconciliationData[[#This Row],[ordered_units]],1,0)</f>
        <v>0</v>
      </c>
      <c r="W4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81">
        <f>ReconciliationData[[#This Row],[Billed_Units]]*ReconciliationData[[#This Row],[Billed_Price]]</f>
        <v>4486.2999999999993</v>
      </c>
      <c r="Y481">
        <f>ReconciliationData[[#This Row],[ordered_units]]*ReconciliationData[[#This Row],[List_Price]]</f>
        <v>4486.2999999999993</v>
      </c>
      <c r="Z481">
        <f>ReconciliationData[[#This Row],[billed_revenue]]-ReconciliationData[[#This Row],[expected_revenue]]</f>
        <v>0</v>
      </c>
      <c r="AA4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81" t="str">
        <f>IF(ReconciliationData[[#This Row],[severity_score]]=0,"LOW",
 IF(ReconciliationData[[#This Row],[severity_score]]&lt;=5,"MEDIUM","HIGH"))</f>
        <v>LOW</v>
      </c>
      <c r="AC481" t="str">
        <f>TEXT(ReconciliationData[[#This Row],[Order_Date]],"YYYY-MM")</f>
        <v>2023-01</v>
      </c>
    </row>
    <row r="482" spans="1:29">
      <c r="A482" t="s">
        <v>1701</v>
      </c>
      <c r="B482" s="1">
        <v>45084</v>
      </c>
      <c r="C482" t="s">
        <v>1702</v>
      </c>
      <c r="D482" t="s">
        <v>1245</v>
      </c>
      <c r="E482">
        <v>177</v>
      </c>
      <c r="F482" t="s">
        <v>1703</v>
      </c>
      <c r="G482">
        <v>177</v>
      </c>
      <c r="H482">
        <v>255.06540000000001</v>
      </c>
      <c r="N482">
        <v>255.06540000000001</v>
      </c>
      <c r="O482" s="1">
        <v>44978</v>
      </c>
      <c r="P482">
        <f>IF(ISBLANK(ReconciliationData[[#This Row],[Invoice_ID]]),1,0)</f>
        <v>0</v>
      </c>
      <c r="Q482">
        <f>IF(AND(NOT(ISBLANK(ReconciliationData[[#This Row],[Billed_Units]])),ReconciliationData[[#This Row],[ordered_units]]&lt;&gt;ReconciliationData[[#This Row],[Billed_Units]]),1,0)</f>
        <v>0</v>
      </c>
      <c r="R4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82">
        <f>IF(AND(NOT(ISBLANK(ReconciliationData[[#This Row],[Contract_Price]])),ReconciliationData[[#This Row],[Billed_Price]]&lt;&gt;ReconciliationData[[#This Row],[Contract_Price]]),1,0)</f>
        <v>0</v>
      </c>
      <c r="T482">
        <f>IF(AND(NOT(ISBLANK(ReconciliationData[[#This Row],[End_Date]])),ReconciliationData[[#This Row],[Order_Date]]&gt;ReconciliationData[[#This Row],[End_Date]]),1,0)</f>
        <v>0</v>
      </c>
      <c r="U482">
        <f>IF(AND(NOT(ISBLANK(ReconciliationData[[#This Row],[last_return_date]])),ReconciliationData[[#This Row],[last_return_date]]&gt;ReconciliationData[[#This Row],[Order_Date]]+60),1,0)</f>
        <v>0</v>
      </c>
      <c r="V482">
        <f>IF(ReconciliationData[[#This Row],[total_returned_units]]&gt;ReconciliationData[[#This Row],[ordered_units]],1,0)</f>
        <v>0</v>
      </c>
      <c r="W4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82">
        <f>ReconciliationData[[#This Row],[Billed_Units]]*ReconciliationData[[#This Row],[Billed_Price]]</f>
        <v>45146.575799999999</v>
      </c>
      <c r="Y482">
        <f>ReconciliationData[[#This Row],[ordered_units]]*ReconciliationData[[#This Row],[List_Price]]</f>
        <v>45146.575799999999</v>
      </c>
      <c r="Z482">
        <f>ReconciliationData[[#This Row],[billed_revenue]]-ReconciliationData[[#This Row],[expected_revenue]]</f>
        <v>0</v>
      </c>
      <c r="AA4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82" t="str">
        <f>IF(ReconciliationData[[#This Row],[severity_score]]=0,"LOW",
 IF(ReconciliationData[[#This Row],[severity_score]]&lt;=5,"MEDIUM","HIGH"))</f>
        <v>LOW</v>
      </c>
      <c r="AC482" t="str">
        <f>TEXT(ReconciliationData[[#This Row],[Order_Date]],"YYYY-MM")</f>
        <v>2023-06</v>
      </c>
    </row>
    <row r="483" spans="1:29">
      <c r="A483" t="s">
        <v>1704</v>
      </c>
      <c r="B483" s="1">
        <v>45584</v>
      </c>
      <c r="C483" t="s">
        <v>1705</v>
      </c>
      <c r="D483" t="s">
        <v>1706</v>
      </c>
      <c r="E483">
        <v>30</v>
      </c>
      <c r="F483" t="s">
        <v>1707</v>
      </c>
      <c r="G483">
        <v>30</v>
      </c>
      <c r="H483">
        <v>854.74350000000004</v>
      </c>
      <c r="N483">
        <v>854.74350000000004</v>
      </c>
      <c r="O483" s="1">
        <v>44984</v>
      </c>
      <c r="P483">
        <f>IF(ISBLANK(ReconciliationData[[#This Row],[Invoice_ID]]),1,0)</f>
        <v>0</v>
      </c>
      <c r="Q483">
        <f>IF(AND(NOT(ISBLANK(ReconciliationData[[#This Row],[Billed_Units]])),ReconciliationData[[#This Row],[ordered_units]]&lt;&gt;ReconciliationData[[#This Row],[Billed_Units]]),1,0)</f>
        <v>0</v>
      </c>
      <c r="R4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83">
        <f>IF(AND(NOT(ISBLANK(ReconciliationData[[#This Row],[Contract_Price]])),ReconciliationData[[#This Row],[Billed_Price]]&lt;&gt;ReconciliationData[[#This Row],[Contract_Price]]),1,0)</f>
        <v>0</v>
      </c>
      <c r="T483">
        <f>IF(AND(NOT(ISBLANK(ReconciliationData[[#This Row],[End_Date]])),ReconciliationData[[#This Row],[Order_Date]]&gt;ReconciliationData[[#This Row],[End_Date]]),1,0)</f>
        <v>0</v>
      </c>
      <c r="U483">
        <f>IF(AND(NOT(ISBLANK(ReconciliationData[[#This Row],[last_return_date]])),ReconciliationData[[#This Row],[last_return_date]]&gt;ReconciliationData[[#This Row],[Order_Date]]+60),1,0)</f>
        <v>0</v>
      </c>
      <c r="V483">
        <f>IF(ReconciliationData[[#This Row],[total_returned_units]]&gt;ReconciliationData[[#This Row],[ordered_units]],1,0)</f>
        <v>0</v>
      </c>
      <c r="W4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83">
        <f>ReconciliationData[[#This Row],[Billed_Units]]*ReconciliationData[[#This Row],[Billed_Price]]</f>
        <v>25642.305</v>
      </c>
      <c r="Y483">
        <f>ReconciliationData[[#This Row],[ordered_units]]*ReconciliationData[[#This Row],[List_Price]]</f>
        <v>25642.305</v>
      </c>
      <c r="Z483">
        <f>ReconciliationData[[#This Row],[billed_revenue]]-ReconciliationData[[#This Row],[expected_revenue]]</f>
        <v>0</v>
      </c>
      <c r="AA4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83" t="str">
        <f>IF(ReconciliationData[[#This Row],[severity_score]]=0,"LOW",
 IF(ReconciliationData[[#This Row],[severity_score]]&lt;=5,"MEDIUM","HIGH"))</f>
        <v>LOW</v>
      </c>
      <c r="AC483" t="str">
        <f>TEXT(ReconciliationData[[#This Row],[Order_Date]],"YYYY-MM")</f>
        <v>2024-10</v>
      </c>
    </row>
    <row r="484" spans="1:29">
      <c r="A484" t="s">
        <v>1708</v>
      </c>
      <c r="B484" s="1">
        <v>45154</v>
      </c>
      <c r="C484" t="s">
        <v>1709</v>
      </c>
      <c r="D484" t="s">
        <v>472</v>
      </c>
      <c r="E484">
        <v>27</v>
      </c>
      <c r="F484" t="s">
        <v>1710</v>
      </c>
      <c r="G484">
        <v>27</v>
      </c>
      <c r="H484">
        <v>730.7886000000002</v>
      </c>
      <c r="N484">
        <v>730.7886000000002</v>
      </c>
      <c r="O484" s="1">
        <v>45099</v>
      </c>
      <c r="P484">
        <f>IF(ISBLANK(ReconciliationData[[#This Row],[Invoice_ID]]),1,0)</f>
        <v>0</v>
      </c>
      <c r="Q484">
        <f>IF(AND(NOT(ISBLANK(ReconciliationData[[#This Row],[Billed_Units]])),ReconciliationData[[#This Row],[ordered_units]]&lt;&gt;ReconciliationData[[#This Row],[Billed_Units]]),1,0)</f>
        <v>0</v>
      </c>
      <c r="R4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84">
        <f>IF(AND(NOT(ISBLANK(ReconciliationData[[#This Row],[Contract_Price]])),ReconciliationData[[#This Row],[Billed_Price]]&lt;&gt;ReconciliationData[[#This Row],[Contract_Price]]),1,0)</f>
        <v>0</v>
      </c>
      <c r="T484">
        <f>IF(AND(NOT(ISBLANK(ReconciliationData[[#This Row],[End_Date]])),ReconciliationData[[#This Row],[Order_Date]]&gt;ReconciliationData[[#This Row],[End_Date]]),1,0)</f>
        <v>0</v>
      </c>
      <c r="U484">
        <f>IF(AND(NOT(ISBLANK(ReconciliationData[[#This Row],[last_return_date]])),ReconciliationData[[#This Row],[last_return_date]]&gt;ReconciliationData[[#This Row],[Order_Date]]+60),1,0)</f>
        <v>0</v>
      </c>
      <c r="V484">
        <f>IF(ReconciliationData[[#This Row],[total_returned_units]]&gt;ReconciliationData[[#This Row],[ordered_units]],1,0)</f>
        <v>0</v>
      </c>
      <c r="W4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84">
        <f>ReconciliationData[[#This Row],[Billed_Units]]*ReconciliationData[[#This Row],[Billed_Price]]</f>
        <v>19731.292200000007</v>
      </c>
      <c r="Y484">
        <f>ReconciliationData[[#This Row],[ordered_units]]*ReconciliationData[[#This Row],[List_Price]]</f>
        <v>19731.292200000007</v>
      </c>
      <c r="Z484">
        <f>ReconciliationData[[#This Row],[billed_revenue]]-ReconciliationData[[#This Row],[expected_revenue]]</f>
        <v>0</v>
      </c>
      <c r="AA4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84" t="str">
        <f>IF(ReconciliationData[[#This Row],[severity_score]]=0,"LOW",
 IF(ReconciliationData[[#This Row],[severity_score]]&lt;=5,"MEDIUM","HIGH"))</f>
        <v>LOW</v>
      </c>
      <c r="AC484" t="str">
        <f>TEXT(ReconciliationData[[#This Row],[Order_Date]],"YYYY-MM")</f>
        <v>2023-08</v>
      </c>
    </row>
    <row r="485" spans="1:29">
      <c r="A485" t="s">
        <v>1711</v>
      </c>
      <c r="B485" s="1">
        <v>45197</v>
      </c>
      <c r="C485" t="s">
        <v>359</v>
      </c>
      <c r="D485" t="s">
        <v>389</v>
      </c>
      <c r="E485">
        <v>171</v>
      </c>
      <c r="F485" t="s">
        <v>1712</v>
      </c>
      <c r="G485">
        <v>171</v>
      </c>
      <c r="H485">
        <v>759.67099910979505</v>
      </c>
      <c r="N485">
        <v>759.48969999999997</v>
      </c>
      <c r="O485" s="1">
        <v>45138</v>
      </c>
      <c r="P485">
        <f>IF(ISBLANK(ReconciliationData[[#This Row],[Invoice_ID]]),1,0)</f>
        <v>0</v>
      </c>
      <c r="Q485">
        <f>IF(AND(NOT(ISBLANK(ReconciliationData[[#This Row],[Billed_Units]])),ReconciliationData[[#This Row],[ordered_units]]&lt;&gt;ReconciliationData[[#This Row],[Billed_Units]]),1,0)</f>
        <v>0</v>
      </c>
      <c r="R48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485">
        <f>IF(AND(NOT(ISBLANK(ReconciliationData[[#This Row],[Contract_Price]])),ReconciliationData[[#This Row],[Billed_Price]]&lt;&gt;ReconciliationData[[#This Row],[Contract_Price]]),1,0)</f>
        <v>0</v>
      </c>
      <c r="T485">
        <f>IF(AND(NOT(ISBLANK(ReconciliationData[[#This Row],[End_Date]])),ReconciliationData[[#This Row],[Order_Date]]&gt;ReconciliationData[[#This Row],[End_Date]]),1,0)</f>
        <v>0</v>
      </c>
      <c r="U485">
        <f>IF(AND(NOT(ISBLANK(ReconciliationData[[#This Row],[last_return_date]])),ReconciliationData[[#This Row],[last_return_date]]&gt;ReconciliationData[[#This Row],[Order_Date]]+60),1,0)</f>
        <v>0</v>
      </c>
      <c r="V485">
        <f>IF(ReconciliationData[[#This Row],[total_returned_units]]&gt;ReconciliationData[[#This Row],[ordered_units]],1,0)</f>
        <v>0</v>
      </c>
      <c r="W4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85">
        <f>ReconciliationData[[#This Row],[Billed_Units]]*ReconciliationData[[#This Row],[Billed_Price]]</f>
        <v>129903.74084777496</v>
      </c>
      <c r="Y485">
        <f>ReconciliationData[[#This Row],[ordered_units]]*ReconciliationData[[#This Row],[List_Price]]</f>
        <v>129872.7387</v>
      </c>
      <c r="Z485">
        <f>ReconciliationData[[#This Row],[billed_revenue]]-ReconciliationData[[#This Row],[expected_revenue]]</f>
        <v>31.00214777495421</v>
      </c>
      <c r="AA4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485" t="str">
        <f>IF(ReconciliationData[[#This Row],[severity_score]]=0,"LOW",
 IF(ReconciliationData[[#This Row],[severity_score]]&lt;=5,"MEDIUM","HIGH"))</f>
        <v>MEDIUM</v>
      </c>
      <c r="AC485" t="str">
        <f>TEXT(ReconciliationData[[#This Row],[Order_Date]],"YYYY-MM")</f>
        <v>2023-09</v>
      </c>
    </row>
    <row r="486" spans="1:29">
      <c r="A486" t="s">
        <v>1713</v>
      </c>
      <c r="B486" s="1">
        <v>45459</v>
      </c>
      <c r="C486" t="s">
        <v>1501</v>
      </c>
      <c r="D486" t="s">
        <v>508</v>
      </c>
      <c r="E486">
        <v>53</v>
      </c>
      <c r="F486" t="s">
        <v>1714</v>
      </c>
      <c r="G486">
        <v>53</v>
      </c>
      <c r="H486">
        <v>443.27359999999999</v>
      </c>
      <c r="N486">
        <v>443.27359999999999</v>
      </c>
      <c r="O486" s="1">
        <v>44972</v>
      </c>
      <c r="P486">
        <f>IF(ISBLANK(ReconciliationData[[#This Row],[Invoice_ID]]),1,0)</f>
        <v>0</v>
      </c>
      <c r="Q486">
        <f>IF(AND(NOT(ISBLANK(ReconciliationData[[#This Row],[Billed_Units]])),ReconciliationData[[#This Row],[ordered_units]]&lt;&gt;ReconciliationData[[#This Row],[Billed_Units]]),1,0)</f>
        <v>0</v>
      </c>
      <c r="R4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86">
        <f>IF(AND(NOT(ISBLANK(ReconciliationData[[#This Row],[Contract_Price]])),ReconciliationData[[#This Row],[Billed_Price]]&lt;&gt;ReconciliationData[[#This Row],[Contract_Price]]),1,0)</f>
        <v>0</v>
      </c>
      <c r="T486">
        <f>IF(AND(NOT(ISBLANK(ReconciliationData[[#This Row],[End_Date]])),ReconciliationData[[#This Row],[Order_Date]]&gt;ReconciliationData[[#This Row],[End_Date]]),1,0)</f>
        <v>0</v>
      </c>
      <c r="U486">
        <f>IF(AND(NOT(ISBLANK(ReconciliationData[[#This Row],[last_return_date]])),ReconciliationData[[#This Row],[last_return_date]]&gt;ReconciliationData[[#This Row],[Order_Date]]+60),1,0)</f>
        <v>0</v>
      </c>
      <c r="V486">
        <f>IF(ReconciliationData[[#This Row],[total_returned_units]]&gt;ReconciliationData[[#This Row],[ordered_units]],1,0)</f>
        <v>0</v>
      </c>
      <c r="W4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86">
        <f>ReconciliationData[[#This Row],[Billed_Units]]*ReconciliationData[[#This Row],[Billed_Price]]</f>
        <v>23493.500799999998</v>
      </c>
      <c r="Y486">
        <f>ReconciliationData[[#This Row],[ordered_units]]*ReconciliationData[[#This Row],[List_Price]]</f>
        <v>23493.500799999998</v>
      </c>
      <c r="Z486">
        <f>ReconciliationData[[#This Row],[billed_revenue]]-ReconciliationData[[#This Row],[expected_revenue]]</f>
        <v>0</v>
      </c>
      <c r="AA4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86" t="str">
        <f>IF(ReconciliationData[[#This Row],[severity_score]]=0,"LOW",
 IF(ReconciliationData[[#This Row],[severity_score]]&lt;=5,"MEDIUM","HIGH"))</f>
        <v>LOW</v>
      </c>
      <c r="AC486" t="str">
        <f>TEXT(ReconciliationData[[#This Row],[Order_Date]],"YYYY-MM")</f>
        <v>2024-06</v>
      </c>
    </row>
    <row r="487" spans="1:29">
      <c r="A487" t="s">
        <v>1715</v>
      </c>
      <c r="B487" s="1">
        <v>45112</v>
      </c>
      <c r="C487" t="s">
        <v>1716</v>
      </c>
      <c r="D487" t="s">
        <v>1717</v>
      </c>
      <c r="E487">
        <v>133</v>
      </c>
      <c r="F487" t="s">
        <v>1718</v>
      </c>
      <c r="G487">
        <v>133</v>
      </c>
      <c r="H487">
        <v>1066.4928</v>
      </c>
      <c r="N487">
        <v>1066.4928</v>
      </c>
      <c r="O487" s="1">
        <v>44993</v>
      </c>
      <c r="P487">
        <f>IF(ISBLANK(ReconciliationData[[#This Row],[Invoice_ID]]),1,0)</f>
        <v>0</v>
      </c>
      <c r="Q487">
        <f>IF(AND(NOT(ISBLANK(ReconciliationData[[#This Row],[Billed_Units]])),ReconciliationData[[#This Row],[ordered_units]]&lt;&gt;ReconciliationData[[#This Row],[Billed_Units]]),1,0)</f>
        <v>0</v>
      </c>
      <c r="R4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87">
        <f>IF(AND(NOT(ISBLANK(ReconciliationData[[#This Row],[Contract_Price]])),ReconciliationData[[#This Row],[Billed_Price]]&lt;&gt;ReconciliationData[[#This Row],[Contract_Price]]),1,0)</f>
        <v>0</v>
      </c>
      <c r="T487">
        <f>IF(AND(NOT(ISBLANK(ReconciliationData[[#This Row],[End_Date]])),ReconciliationData[[#This Row],[Order_Date]]&gt;ReconciliationData[[#This Row],[End_Date]]),1,0)</f>
        <v>0</v>
      </c>
      <c r="U487">
        <f>IF(AND(NOT(ISBLANK(ReconciliationData[[#This Row],[last_return_date]])),ReconciliationData[[#This Row],[last_return_date]]&gt;ReconciliationData[[#This Row],[Order_Date]]+60),1,0)</f>
        <v>0</v>
      </c>
      <c r="V487">
        <f>IF(ReconciliationData[[#This Row],[total_returned_units]]&gt;ReconciliationData[[#This Row],[ordered_units]],1,0)</f>
        <v>0</v>
      </c>
      <c r="W4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87">
        <f>ReconciliationData[[#This Row],[Billed_Units]]*ReconciliationData[[#This Row],[Billed_Price]]</f>
        <v>141843.54240000001</v>
      </c>
      <c r="Y487">
        <f>ReconciliationData[[#This Row],[ordered_units]]*ReconciliationData[[#This Row],[List_Price]]</f>
        <v>141843.54240000001</v>
      </c>
      <c r="Z487">
        <f>ReconciliationData[[#This Row],[billed_revenue]]-ReconciliationData[[#This Row],[expected_revenue]]</f>
        <v>0</v>
      </c>
      <c r="AA4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87" t="str">
        <f>IF(ReconciliationData[[#This Row],[severity_score]]=0,"LOW",
 IF(ReconciliationData[[#This Row],[severity_score]]&lt;=5,"MEDIUM","HIGH"))</f>
        <v>LOW</v>
      </c>
      <c r="AC487" t="str">
        <f>TEXT(ReconciliationData[[#This Row],[Order_Date]],"YYYY-MM")</f>
        <v>2023-07</v>
      </c>
    </row>
    <row r="488" spans="1:29">
      <c r="A488" t="s">
        <v>1719</v>
      </c>
      <c r="B488" s="1">
        <v>45279</v>
      </c>
      <c r="C488" t="s">
        <v>1720</v>
      </c>
      <c r="D488" t="s">
        <v>263</v>
      </c>
      <c r="E488">
        <v>116</v>
      </c>
      <c r="F488" t="s">
        <v>1721</v>
      </c>
      <c r="G488">
        <v>116</v>
      </c>
      <c r="H488">
        <v>1147.3289</v>
      </c>
      <c r="N488">
        <v>1147.3289</v>
      </c>
      <c r="O488" s="1">
        <v>44945</v>
      </c>
      <c r="P488">
        <f>IF(ISBLANK(ReconciliationData[[#This Row],[Invoice_ID]]),1,0)</f>
        <v>0</v>
      </c>
      <c r="Q488">
        <f>IF(AND(NOT(ISBLANK(ReconciliationData[[#This Row],[Billed_Units]])),ReconciliationData[[#This Row],[ordered_units]]&lt;&gt;ReconciliationData[[#This Row],[Billed_Units]]),1,0)</f>
        <v>0</v>
      </c>
      <c r="R4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88">
        <f>IF(AND(NOT(ISBLANK(ReconciliationData[[#This Row],[Contract_Price]])),ReconciliationData[[#This Row],[Billed_Price]]&lt;&gt;ReconciliationData[[#This Row],[Contract_Price]]),1,0)</f>
        <v>0</v>
      </c>
      <c r="T488">
        <f>IF(AND(NOT(ISBLANK(ReconciliationData[[#This Row],[End_Date]])),ReconciliationData[[#This Row],[Order_Date]]&gt;ReconciliationData[[#This Row],[End_Date]]),1,0)</f>
        <v>0</v>
      </c>
      <c r="U488">
        <f>IF(AND(NOT(ISBLANK(ReconciliationData[[#This Row],[last_return_date]])),ReconciliationData[[#This Row],[last_return_date]]&gt;ReconciliationData[[#This Row],[Order_Date]]+60),1,0)</f>
        <v>0</v>
      </c>
      <c r="V488">
        <f>IF(ReconciliationData[[#This Row],[total_returned_units]]&gt;ReconciliationData[[#This Row],[ordered_units]],1,0)</f>
        <v>0</v>
      </c>
      <c r="W4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88">
        <f>ReconciliationData[[#This Row],[Billed_Units]]*ReconciliationData[[#This Row],[Billed_Price]]</f>
        <v>133090.15239999999</v>
      </c>
      <c r="Y488">
        <f>ReconciliationData[[#This Row],[ordered_units]]*ReconciliationData[[#This Row],[List_Price]]</f>
        <v>133090.15239999999</v>
      </c>
      <c r="Z488">
        <f>ReconciliationData[[#This Row],[billed_revenue]]-ReconciliationData[[#This Row],[expected_revenue]]</f>
        <v>0</v>
      </c>
      <c r="AA4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88" t="str">
        <f>IF(ReconciliationData[[#This Row],[severity_score]]=0,"LOW",
 IF(ReconciliationData[[#This Row],[severity_score]]&lt;=5,"MEDIUM","HIGH"))</f>
        <v>LOW</v>
      </c>
      <c r="AC488" t="str">
        <f>TEXT(ReconciliationData[[#This Row],[Order_Date]],"YYYY-MM")</f>
        <v>2023-12</v>
      </c>
    </row>
    <row r="489" spans="1:29">
      <c r="A489" t="s">
        <v>1722</v>
      </c>
      <c r="B489" s="1">
        <v>45064</v>
      </c>
      <c r="C489" t="s">
        <v>1723</v>
      </c>
      <c r="D489" t="s">
        <v>1294</v>
      </c>
      <c r="E489">
        <v>131</v>
      </c>
      <c r="F489" t="s">
        <v>1724</v>
      </c>
      <c r="G489">
        <v>131</v>
      </c>
      <c r="H489">
        <v>793.03560000000004</v>
      </c>
      <c r="N489">
        <v>793.03560000000004</v>
      </c>
      <c r="O489" s="1">
        <v>44892</v>
      </c>
      <c r="P489">
        <f>IF(ISBLANK(ReconciliationData[[#This Row],[Invoice_ID]]),1,0)</f>
        <v>0</v>
      </c>
      <c r="Q489">
        <f>IF(AND(NOT(ISBLANK(ReconciliationData[[#This Row],[Billed_Units]])),ReconciliationData[[#This Row],[ordered_units]]&lt;&gt;ReconciliationData[[#This Row],[Billed_Units]]),1,0)</f>
        <v>0</v>
      </c>
      <c r="R4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89">
        <f>IF(AND(NOT(ISBLANK(ReconciliationData[[#This Row],[Contract_Price]])),ReconciliationData[[#This Row],[Billed_Price]]&lt;&gt;ReconciliationData[[#This Row],[Contract_Price]]),1,0)</f>
        <v>0</v>
      </c>
      <c r="T489">
        <f>IF(AND(NOT(ISBLANK(ReconciliationData[[#This Row],[End_Date]])),ReconciliationData[[#This Row],[Order_Date]]&gt;ReconciliationData[[#This Row],[End_Date]]),1,0)</f>
        <v>0</v>
      </c>
      <c r="U489">
        <f>IF(AND(NOT(ISBLANK(ReconciliationData[[#This Row],[last_return_date]])),ReconciliationData[[#This Row],[last_return_date]]&gt;ReconciliationData[[#This Row],[Order_Date]]+60),1,0)</f>
        <v>0</v>
      </c>
      <c r="V489">
        <f>IF(ReconciliationData[[#This Row],[total_returned_units]]&gt;ReconciliationData[[#This Row],[ordered_units]],1,0)</f>
        <v>0</v>
      </c>
      <c r="W4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89">
        <f>ReconciliationData[[#This Row],[Billed_Units]]*ReconciliationData[[#This Row],[Billed_Price]]</f>
        <v>103887.6636</v>
      </c>
      <c r="Y489">
        <f>ReconciliationData[[#This Row],[ordered_units]]*ReconciliationData[[#This Row],[List_Price]]</f>
        <v>103887.6636</v>
      </c>
      <c r="Z489">
        <f>ReconciliationData[[#This Row],[billed_revenue]]-ReconciliationData[[#This Row],[expected_revenue]]</f>
        <v>0</v>
      </c>
      <c r="AA4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89" t="str">
        <f>IF(ReconciliationData[[#This Row],[severity_score]]=0,"LOW",
 IF(ReconciliationData[[#This Row],[severity_score]]&lt;=5,"MEDIUM","HIGH"))</f>
        <v>LOW</v>
      </c>
      <c r="AC489" t="str">
        <f>TEXT(ReconciliationData[[#This Row],[Order_Date]],"YYYY-MM")</f>
        <v>2023-05</v>
      </c>
    </row>
    <row r="490" spans="1:29">
      <c r="A490" t="s">
        <v>1725</v>
      </c>
      <c r="B490" s="1">
        <v>45386</v>
      </c>
      <c r="C490" t="s">
        <v>1036</v>
      </c>
      <c r="D490" t="s">
        <v>341</v>
      </c>
      <c r="E490">
        <v>189</v>
      </c>
      <c r="F490" t="s">
        <v>1726</v>
      </c>
      <c r="G490">
        <v>189</v>
      </c>
      <c r="H490">
        <v>49.450800000000001</v>
      </c>
      <c r="N490">
        <v>49.450800000000001</v>
      </c>
      <c r="O490" s="1">
        <v>45168</v>
      </c>
      <c r="P490">
        <f>IF(ISBLANK(ReconciliationData[[#This Row],[Invoice_ID]]),1,0)</f>
        <v>0</v>
      </c>
      <c r="Q490">
        <f>IF(AND(NOT(ISBLANK(ReconciliationData[[#This Row],[Billed_Units]])),ReconciliationData[[#This Row],[ordered_units]]&lt;&gt;ReconciliationData[[#This Row],[Billed_Units]]),1,0)</f>
        <v>0</v>
      </c>
      <c r="R4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0">
        <f>IF(AND(NOT(ISBLANK(ReconciliationData[[#This Row],[Contract_Price]])),ReconciliationData[[#This Row],[Billed_Price]]&lt;&gt;ReconciliationData[[#This Row],[Contract_Price]]),1,0)</f>
        <v>0</v>
      </c>
      <c r="T490">
        <f>IF(AND(NOT(ISBLANK(ReconciliationData[[#This Row],[End_Date]])),ReconciliationData[[#This Row],[Order_Date]]&gt;ReconciliationData[[#This Row],[End_Date]]),1,0)</f>
        <v>0</v>
      </c>
      <c r="U490">
        <f>IF(AND(NOT(ISBLANK(ReconciliationData[[#This Row],[last_return_date]])),ReconciliationData[[#This Row],[last_return_date]]&gt;ReconciliationData[[#This Row],[Order_Date]]+60),1,0)</f>
        <v>0</v>
      </c>
      <c r="V490">
        <f>IF(ReconciliationData[[#This Row],[total_returned_units]]&gt;ReconciliationData[[#This Row],[ordered_units]],1,0)</f>
        <v>0</v>
      </c>
      <c r="W4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90">
        <f>ReconciliationData[[#This Row],[Billed_Units]]*ReconciliationData[[#This Row],[Billed_Price]]</f>
        <v>9346.2011999999995</v>
      </c>
      <c r="Y490">
        <f>ReconciliationData[[#This Row],[ordered_units]]*ReconciliationData[[#This Row],[List_Price]]</f>
        <v>9346.2011999999995</v>
      </c>
      <c r="Z490">
        <f>ReconciliationData[[#This Row],[billed_revenue]]-ReconciliationData[[#This Row],[expected_revenue]]</f>
        <v>0</v>
      </c>
      <c r="AA4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90" t="str">
        <f>IF(ReconciliationData[[#This Row],[severity_score]]=0,"LOW",
 IF(ReconciliationData[[#This Row],[severity_score]]&lt;=5,"MEDIUM","HIGH"))</f>
        <v>LOW</v>
      </c>
      <c r="AC490" t="str">
        <f>TEXT(ReconciliationData[[#This Row],[Order_Date]],"YYYY-MM")</f>
        <v>2024-04</v>
      </c>
    </row>
    <row r="491" spans="1:29">
      <c r="A491" t="s">
        <v>1727</v>
      </c>
      <c r="B491" s="1">
        <v>45512</v>
      </c>
      <c r="C491" t="s">
        <v>1728</v>
      </c>
      <c r="D491" t="s">
        <v>408</v>
      </c>
      <c r="E491">
        <v>175</v>
      </c>
      <c r="F491" t="s">
        <v>1729</v>
      </c>
      <c r="G491">
        <v>175</v>
      </c>
      <c r="H491">
        <v>660.96040000000005</v>
      </c>
      <c r="N491">
        <v>660.96040000000005</v>
      </c>
      <c r="O491" s="1">
        <v>44947</v>
      </c>
      <c r="P491">
        <f>IF(ISBLANK(ReconciliationData[[#This Row],[Invoice_ID]]),1,0)</f>
        <v>0</v>
      </c>
      <c r="Q491">
        <f>IF(AND(NOT(ISBLANK(ReconciliationData[[#This Row],[Billed_Units]])),ReconciliationData[[#This Row],[ordered_units]]&lt;&gt;ReconciliationData[[#This Row],[Billed_Units]]),1,0)</f>
        <v>0</v>
      </c>
      <c r="R4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1">
        <f>IF(AND(NOT(ISBLANK(ReconciliationData[[#This Row],[Contract_Price]])),ReconciliationData[[#This Row],[Billed_Price]]&lt;&gt;ReconciliationData[[#This Row],[Contract_Price]]),1,0)</f>
        <v>0</v>
      </c>
      <c r="T491">
        <f>IF(AND(NOT(ISBLANK(ReconciliationData[[#This Row],[End_Date]])),ReconciliationData[[#This Row],[Order_Date]]&gt;ReconciliationData[[#This Row],[End_Date]]),1,0)</f>
        <v>0</v>
      </c>
      <c r="U491">
        <f>IF(AND(NOT(ISBLANK(ReconciliationData[[#This Row],[last_return_date]])),ReconciliationData[[#This Row],[last_return_date]]&gt;ReconciliationData[[#This Row],[Order_Date]]+60),1,0)</f>
        <v>0</v>
      </c>
      <c r="V491">
        <f>IF(ReconciliationData[[#This Row],[total_returned_units]]&gt;ReconciliationData[[#This Row],[ordered_units]],1,0)</f>
        <v>0</v>
      </c>
      <c r="W4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91">
        <f>ReconciliationData[[#This Row],[Billed_Units]]*ReconciliationData[[#This Row],[Billed_Price]]</f>
        <v>115668.07</v>
      </c>
      <c r="Y491">
        <f>ReconciliationData[[#This Row],[ordered_units]]*ReconciliationData[[#This Row],[List_Price]]</f>
        <v>115668.07</v>
      </c>
      <c r="Z491">
        <f>ReconciliationData[[#This Row],[billed_revenue]]-ReconciliationData[[#This Row],[expected_revenue]]</f>
        <v>0</v>
      </c>
      <c r="AA4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91" t="str">
        <f>IF(ReconciliationData[[#This Row],[severity_score]]=0,"LOW",
 IF(ReconciliationData[[#This Row],[severity_score]]&lt;=5,"MEDIUM","HIGH"))</f>
        <v>LOW</v>
      </c>
      <c r="AC491" t="str">
        <f>TEXT(ReconciliationData[[#This Row],[Order_Date]],"YYYY-MM")</f>
        <v>2024-08</v>
      </c>
    </row>
    <row r="492" spans="1:29">
      <c r="A492" t="s">
        <v>1730</v>
      </c>
      <c r="B492" s="1">
        <v>45039</v>
      </c>
      <c r="C492" t="s">
        <v>1731</v>
      </c>
      <c r="D492" t="s">
        <v>1382</v>
      </c>
      <c r="E492">
        <v>140</v>
      </c>
      <c r="F492" t="s">
        <v>1732</v>
      </c>
      <c r="G492">
        <v>147</v>
      </c>
      <c r="H492">
        <v>74.995199999999997</v>
      </c>
      <c r="N492">
        <v>74.995199999999997</v>
      </c>
      <c r="O492" s="1">
        <v>44816</v>
      </c>
      <c r="P492">
        <f>IF(ISBLANK(ReconciliationData[[#This Row],[Invoice_ID]]),1,0)</f>
        <v>0</v>
      </c>
      <c r="Q492">
        <f>IF(AND(NOT(ISBLANK(ReconciliationData[[#This Row],[Billed_Units]])),ReconciliationData[[#This Row],[ordered_units]]&lt;&gt;ReconciliationData[[#This Row],[Billed_Units]]),1,0)</f>
        <v>1</v>
      </c>
      <c r="R4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2">
        <f>IF(AND(NOT(ISBLANK(ReconciliationData[[#This Row],[Contract_Price]])),ReconciliationData[[#This Row],[Billed_Price]]&lt;&gt;ReconciliationData[[#This Row],[Contract_Price]]),1,0)</f>
        <v>0</v>
      </c>
      <c r="T492">
        <f>IF(AND(NOT(ISBLANK(ReconciliationData[[#This Row],[End_Date]])),ReconciliationData[[#This Row],[Order_Date]]&gt;ReconciliationData[[#This Row],[End_Date]]),1,0)</f>
        <v>0</v>
      </c>
      <c r="U492">
        <f>IF(AND(NOT(ISBLANK(ReconciliationData[[#This Row],[last_return_date]])),ReconciliationData[[#This Row],[last_return_date]]&gt;ReconciliationData[[#This Row],[Order_Date]]+60),1,0)</f>
        <v>0</v>
      </c>
      <c r="V492">
        <f>IF(ReconciliationData[[#This Row],[total_returned_units]]&gt;ReconciliationData[[#This Row],[ordered_units]],1,0)</f>
        <v>0</v>
      </c>
      <c r="W4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92">
        <f>ReconciliationData[[#This Row],[Billed_Units]]*ReconciliationData[[#This Row],[Billed_Price]]</f>
        <v>11024.294399999999</v>
      </c>
      <c r="Y492">
        <f>ReconciliationData[[#This Row],[ordered_units]]*ReconciliationData[[#This Row],[List_Price]]</f>
        <v>10499.328</v>
      </c>
      <c r="Z492">
        <f>ReconciliationData[[#This Row],[billed_revenue]]-ReconciliationData[[#This Row],[expected_revenue]]</f>
        <v>524.96639999999934</v>
      </c>
      <c r="AA4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492" t="str">
        <f>IF(ReconciliationData[[#This Row],[severity_score]]=0,"LOW",
 IF(ReconciliationData[[#This Row],[severity_score]]&lt;=5,"MEDIUM","HIGH"))</f>
        <v>HIGH</v>
      </c>
      <c r="AC492" t="str">
        <f>TEXT(ReconciliationData[[#This Row],[Order_Date]],"YYYY-MM")</f>
        <v>2023-04</v>
      </c>
    </row>
    <row r="493" spans="1:29">
      <c r="A493" t="s">
        <v>1733</v>
      </c>
      <c r="B493" s="1">
        <v>44960</v>
      </c>
      <c r="C493" t="s">
        <v>1734</v>
      </c>
      <c r="D493" t="s">
        <v>1735</v>
      </c>
      <c r="E493">
        <v>20</v>
      </c>
      <c r="F493" t="s">
        <v>1736</v>
      </c>
      <c r="G493">
        <v>21</v>
      </c>
      <c r="H493">
        <v>185.67840000000001</v>
      </c>
      <c r="N493">
        <v>185.67840000000001</v>
      </c>
      <c r="O493" s="1">
        <v>44808</v>
      </c>
      <c r="P493">
        <f>IF(ISBLANK(ReconciliationData[[#This Row],[Invoice_ID]]),1,0)</f>
        <v>0</v>
      </c>
      <c r="Q493">
        <f>IF(AND(NOT(ISBLANK(ReconciliationData[[#This Row],[Billed_Units]])),ReconciliationData[[#This Row],[ordered_units]]&lt;&gt;ReconciliationData[[#This Row],[Billed_Units]]),1,0)</f>
        <v>1</v>
      </c>
      <c r="R4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3">
        <f>IF(AND(NOT(ISBLANK(ReconciliationData[[#This Row],[Contract_Price]])),ReconciliationData[[#This Row],[Billed_Price]]&lt;&gt;ReconciliationData[[#This Row],[Contract_Price]]),1,0)</f>
        <v>0</v>
      </c>
      <c r="T493">
        <f>IF(AND(NOT(ISBLANK(ReconciliationData[[#This Row],[End_Date]])),ReconciliationData[[#This Row],[Order_Date]]&gt;ReconciliationData[[#This Row],[End_Date]]),1,0)</f>
        <v>0</v>
      </c>
      <c r="U493">
        <f>IF(AND(NOT(ISBLANK(ReconciliationData[[#This Row],[last_return_date]])),ReconciliationData[[#This Row],[last_return_date]]&gt;ReconciliationData[[#This Row],[Order_Date]]+60),1,0)</f>
        <v>0</v>
      </c>
      <c r="V493">
        <f>IF(ReconciliationData[[#This Row],[total_returned_units]]&gt;ReconciliationData[[#This Row],[ordered_units]],1,0)</f>
        <v>0</v>
      </c>
      <c r="W4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93">
        <f>ReconciliationData[[#This Row],[Billed_Units]]*ReconciliationData[[#This Row],[Billed_Price]]</f>
        <v>3899.2464</v>
      </c>
      <c r="Y493">
        <f>ReconciliationData[[#This Row],[ordered_units]]*ReconciliationData[[#This Row],[List_Price]]</f>
        <v>3713.5680000000002</v>
      </c>
      <c r="Z493">
        <f>ReconciliationData[[#This Row],[billed_revenue]]-ReconciliationData[[#This Row],[expected_revenue]]</f>
        <v>185.67839999999978</v>
      </c>
      <c r="AA4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493" t="str">
        <f>IF(ReconciliationData[[#This Row],[severity_score]]=0,"LOW",
 IF(ReconciliationData[[#This Row],[severity_score]]&lt;=5,"MEDIUM","HIGH"))</f>
        <v>MEDIUM</v>
      </c>
      <c r="AC493" t="str">
        <f>TEXT(ReconciliationData[[#This Row],[Order_Date]],"YYYY-MM")</f>
        <v>2023-02</v>
      </c>
    </row>
    <row r="494" spans="1:29">
      <c r="A494" t="s">
        <v>1737</v>
      </c>
      <c r="B494" s="1">
        <v>45578</v>
      </c>
      <c r="C494" t="s">
        <v>1738</v>
      </c>
      <c r="D494" t="s">
        <v>912</v>
      </c>
      <c r="E494">
        <v>161</v>
      </c>
      <c r="F494" t="s">
        <v>1739</v>
      </c>
      <c r="G494">
        <v>161</v>
      </c>
      <c r="H494">
        <v>376.38049999999998</v>
      </c>
      <c r="N494">
        <v>376.38049999999998</v>
      </c>
      <c r="O494" s="1">
        <v>44984</v>
      </c>
      <c r="P494">
        <f>IF(ISBLANK(ReconciliationData[[#This Row],[Invoice_ID]]),1,0)</f>
        <v>0</v>
      </c>
      <c r="Q494">
        <f>IF(AND(NOT(ISBLANK(ReconciliationData[[#This Row],[Billed_Units]])),ReconciliationData[[#This Row],[ordered_units]]&lt;&gt;ReconciliationData[[#This Row],[Billed_Units]]),1,0)</f>
        <v>0</v>
      </c>
      <c r="R4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4">
        <f>IF(AND(NOT(ISBLANK(ReconciliationData[[#This Row],[Contract_Price]])),ReconciliationData[[#This Row],[Billed_Price]]&lt;&gt;ReconciliationData[[#This Row],[Contract_Price]]),1,0)</f>
        <v>0</v>
      </c>
      <c r="T494">
        <f>IF(AND(NOT(ISBLANK(ReconciliationData[[#This Row],[End_Date]])),ReconciliationData[[#This Row],[Order_Date]]&gt;ReconciliationData[[#This Row],[End_Date]]),1,0)</f>
        <v>0</v>
      </c>
      <c r="U494">
        <f>IF(AND(NOT(ISBLANK(ReconciliationData[[#This Row],[last_return_date]])),ReconciliationData[[#This Row],[last_return_date]]&gt;ReconciliationData[[#This Row],[Order_Date]]+60),1,0)</f>
        <v>0</v>
      </c>
      <c r="V494">
        <f>IF(ReconciliationData[[#This Row],[total_returned_units]]&gt;ReconciliationData[[#This Row],[ordered_units]],1,0)</f>
        <v>0</v>
      </c>
      <c r="W4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94">
        <f>ReconciliationData[[#This Row],[Billed_Units]]*ReconciliationData[[#This Row],[Billed_Price]]</f>
        <v>60597.260499999997</v>
      </c>
      <c r="Y494">
        <f>ReconciliationData[[#This Row],[ordered_units]]*ReconciliationData[[#This Row],[List_Price]]</f>
        <v>60597.260499999997</v>
      </c>
      <c r="Z494">
        <f>ReconciliationData[[#This Row],[billed_revenue]]-ReconciliationData[[#This Row],[expected_revenue]]</f>
        <v>0</v>
      </c>
      <c r="AA4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94" t="str">
        <f>IF(ReconciliationData[[#This Row],[severity_score]]=0,"LOW",
 IF(ReconciliationData[[#This Row],[severity_score]]&lt;=5,"MEDIUM","HIGH"))</f>
        <v>LOW</v>
      </c>
      <c r="AC494" t="str">
        <f>TEXT(ReconciliationData[[#This Row],[Order_Date]],"YYYY-MM")</f>
        <v>2024-10</v>
      </c>
    </row>
    <row r="495" spans="1:29">
      <c r="A495" t="s">
        <v>1740</v>
      </c>
      <c r="B495" s="1">
        <v>45335</v>
      </c>
      <c r="C495" t="s">
        <v>1741</v>
      </c>
      <c r="D495" t="s">
        <v>1382</v>
      </c>
      <c r="E495">
        <v>27</v>
      </c>
      <c r="F495" t="s">
        <v>1742</v>
      </c>
      <c r="G495">
        <v>27</v>
      </c>
      <c r="H495">
        <v>82.026000000000025</v>
      </c>
      <c r="N495">
        <v>82.026000000000025</v>
      </c>
      <c r="O495" s="1">
        <v>45061</v>
      </c>
      <c r="P495">
        <f>IF(ISBLANK(ReconciliationData[[#This Row],[Invoice_ID]]),1,0)</f>
        <v>0</v>
      </c>
      <c r="Q495">
        <f>IF(AND(NOT(ISBLANK(ReconciliationData[[#This Row],[Billed_Units]])),ReconciliationData[[#This Row],[ordered_units]]&lt;&gt;ReconciliationData[[#This Row],[Billed_Units]]),1,0)</f>
        <v>0</v>
      </c>
      <c r="R4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5">
        <f>IF(AND(NOT(ISBLANK(ReconciliationData[[#This Row],[Contract_Price]])),ReconciliationData[[#This Row],[Billed_Price]]&lt;&gt;ReconciliationData[[#This Row],[Contract_Price]]),1,0)</f>
        <v>0</v>
      </c>
      <c r="T495">
        <f>IF(AND(NOT(ISBLANK(ReconciliationData[[#This Row],[End_Date]])),ReconciliationData[[#This Row],[Order_Date]]&gt;ReconciliationData[[#This Row],[End_Date]]),1,0)</f>
        <v>0</v>
      </c>
      <c r="U495">
        <f>IF(AND(NOT(ISBLANK(ReconciliationData[[#This Row],[last_return_date]])),ReconciliationData[[#This Row],[last_return_date]]&gt;ReconciliationData[[#This Row],[Order_Date]]+60),1,0)</f>
        <v>0</v>
      </c>
      <c r="V495">
        <f>IF(ReconciliationData[[#This Row],[total_returned_units]]&gt;ReconciliationData[[#This Row],[ordered_units]],1,0)</f>
        <v>0</v>
      </c>
      <c r="W4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95">
        <f>ReconciliationData[[#This Row],[Billed_Units]]*ReconciliationData[[#This Row],[Billed_Price]]</f>
        <v>2214.7020000000007</v>
      </c>
      <c r="Y495">
        <f>ReconciliationData[[#This Row],[ordered_units]]*ReconciliationData[[#This Row],[List_Price]]</f>
        <v>2214.7020000000007</v>
      </c>
      <c r="Z495">
        <f>ReconciliationData[[#This Row],[billed_revenue]]-ReconciliationData[[#This Row],[expected_revenue]]</f>
        <v>0</v>
      </c>
      <c r="AA4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95" t="str">
        <f>IF(ReconciliationData[[#This Row],[severity_score]]=0,"LOW",
 IF(ReconciliationData[[#This Row],[severity_score]]&lt;=5,"MEDIUM","HIGH"))</f>
        <v>LOW</v>
      </c>
      <c r="AC495" t="str">
        <f>TEXT(ReconciliationData[[#This Row],[Order_Date]],"YYYY-MM")</f>
        <v>2024-02</v>
      </c>
    </row>
    <row r="496" spans="1:29">
      <c r="A496" t="s">
        <v>1743</v>
      </c>
      <c r="B496" s="1">
        <v>45047</v>
      </c>
      <c r="C496" t="s">
        <v>1744</v>
      </c>
      <c r="D496" t="s">
        <v>1487</v>
      </c>
      <c r="E496">
        <v>15</v>
      </c>
      <c r="F496" t="s">
        <v>1745</v>
      </c>
      <c r="G496">
        <v>15</v>
      </c>
      <c r="H496">
        <v>275.82459999999998</v>
      </c>
      <c r="N496">
        <v>275.82459999999998</v>
      </c>
      <c r="O496" s="1">
        <v>45006</v>
      </c>
      <c r="P496">
        <f>IF(ISBLANK(ReconciliationData[[#This Row],[Invoice_ID]]),1,0)</f>
        <v>0</v>
      </c>
      <c r="Q496">
        <f>IF(AND(NOT(ISBLANK(ReconciliationData[[#This Row],[Billed_Units]])),ReconciliationData[[#This Row],[ordered_units]]&lt;&gt;ReconciliationData[[#This Row],[Billed_Units]]),1,0)</f>
        <v>0</v>
      </c>
      <c r="R4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6">
        <f>IF(AND(NOT(ISBLANK(ReconciliationData[[#This Row],[Contract_Price]])),ReconciliationData[[#This Row],[Billed_Price]]&lt;&gt;ReconciliationData[[#This Row],[Contract_Price]]),1,0)</f>
        <v>0</v>
      </c>
      <c r="T496">
        <f>IF(AND(NOT(ISBLANK(ReconciliationData[[#This Row],[End_Date]])),ReconciliationData[[#This Row],[Order_Date]]&gt;ReconciliationData[[#This Row],[End_Date]]),1,0)</f>
        <v>0</v>
      </c>
      <c r="U496">
        <f>IF(AND(NOT(ISBLANK(ReconciliationData[[#This Row],[last_return_date]])),ReconciliationData[[#This Row],[last_return_date]]&gt;ReconciliationData[[#This Row],[Order_Date]]+60),1,0)</f>
        <v>0</v>
      </c>
      <c r="V496">
        <f>IF(ReconciliationData[[#This Row],[total_returned_units]]&gt;ReconciliationData[[#This Row],[ordered_units]],1,0)</f>
        <v>0</v>
      </c>
      <c r="W4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96">
        <f>ReconciliationData[[#This Row],[Billed_Units]]*ReconciliationData[[#This Row],[Billed_Price]]</f>
        <v>4137.3689999999997</v>
      </c>
      <c r="Y496">
        <f>ReconciliationData[[#This Row],[ordered_units]]*ReconciliationData[[#This Row],[List_Price]]</f>
        <v>4137.3689999999997</v>
      </c>
      <c r="Z496">
        <f>ReconciliationData[[#This Row],[billed_revenue]]-ReconciliationData[[#This Row],[expected_revenue]]</f>
        <v>0</v>
      </c>
      <c r="AA4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96" t="str">
        <f>IF(ReconciliationData[[#This Row],[severity_score]]=0,"LOW",
 IF(ReconciliationData[[#This Row],[severity_score]]&lt;=5,"MEDIUM","HIGH"))</f>
        <v>LOW</v>
      </c>
      <c r="AC496" t="str">
        <f>TEXT(ReconciliationData[[#This Row],[Order_Date]],"YYYY-MM")</f>
        <v>2023-05</v>
      </c>
    </row>
    <row r="497" spans="1:29">
      <c r="A497" t="s">
        <v>1746</v>
      </c>
      <c r="B497" s="1">
        <v>45615</v>
      </c>
      <c r="C497" t="s">
        <v>1747</v>
      </c>
      <c r="D497" t="s">
        <v>259</v>
      </c>
      <c r="E497">
        <v>100</v>
      </c>
      <c r="F497" t="s">
        <v>1748</v>
      </c>
      <c r="G497">
        <v>100</v>
      </c>
      <c r="H497">
        <v>360.68479999999994</v>
      </c>
      <c r="N497">
        <v>360.68479999999994</v>
      </c>
      <c r="O497" s="1">
        <v>45072</v>
      </c>
      <c r="P497">
        <f>IF(ISBLANK(ReconciliationData[[#This Row],[Invoice_ID]]),1,0)</f>
        <v>0</v>
      </c>
      <c r="Q497">
        <f>IF(AND(NOT(ISBLANK(ReconciliationData[[#This Row],[Billed_Units]])),ReconciliationData[[#This Row],[ordered_units]]&lt;&gt;ReconciliationData[[#This Row],[Billed_Units]]),1,0)</f>
        <v>0</v>
      </c>
      <c r="R4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7">
        <f>IF(AND(NOT(ISBLANK(ReconciliationData[[#This Row],[Contract_Price]])),ReconciliationData[[#This Row],[Billed_Price]]&lt;&gt;ReconciliationData[[#This Row],[Contract_Price]]),1,0)</f>
        <v>0</v>
      </c>
      <c r="T497">
        <f>IF(AND(NOT(ISBLANK(ReconciliationData[[#This Row],[End_Date]])),ReconciliationData[[#This Row],[Order_Date]]&gt;ReconciliationData[[#This Row],[End_Date]]),1,0)</f>
        <v>0</v>
      </c>
      <c r="U497">
        <f>IF(AND(NOT(ISBLANK(ReconciliationData[[#This Row],[last_return_date]])),ReconciliationData[[#This Row],[last_return_date]]&gt;ReconciliationData[[#This Row],[Order_Date]]+60),1,0)</f>
        <v>0</v>
      </c>
      <c r="V497">
        <f>IF(ReconciliationData[[#This Row],[total_returned_units]]&gt;ReconciliationData[[#This Row],[ordered_units]],1,0)</f>
        <v>0</v>
      </c>
      <c r="W4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97">
        <f>ReconciliationData[[#This Row],[Billed_Units]]*ReconciliationData[[#This Row],[Billed_Price]]</f>
        <v>36068.479999999996</v>
      </c>
      <c r="Y497">
        <f>ReconciliationData[[#This Row],[ordered_units]]*ReconciliationData[[#This Row],[List_Price]]</f>
        <v>36068.479999999996</v>
      </c>
      <c r="Z497">
        <f>ReconciliationData[[#This Row],[billed_revenue]]-ReconciliationData[[#This Row],[expected_revenue]]</f>
        <v>0</v>
      </c>
      <c r="AA4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97" t="str">
        <f>IF(ReconciliationData[[#This Row],[severity_score]]=0,"LOW",
 IF(ReconciliationData[[#This Row],[severity_score]]&lt;=5,"MEDIUM","HIGH"))</f>
        <v>LOW</v>
      </c>
      <c r="AC497" t="str">
        <f>TEXT(ReconciliationData[[#This Row],[Order_Date]],"YYYY-MM")</f>
        <v>2024-11</v>
      </c>
    </row>
    <row r="498" spans="1:29">
      <c r="A498" t="s">
        <v>1749</v>
      </c>
      <c r="B498" s="1">
        <v>44967</v>
      </c>
      <c r="C498" t="s">
        <v>1750</v>
      </c>
      <c r="D498" t="s">
        <v>711</v>
      </c>
      <c r="E498">
        <v>168</v>
      </c>
      <c r="F498" t="s">
        <v>1751</v>
      </c>
      <c r="G498">
        <v>168</v>
      </c>
      <c r="H498">
        <v>405.98</v>
      </c>
      <c r="N498">
        <v>405.98</v>
      </c>
      <c r="O498" s="1">
        <v>44743</v>
      </c>
      <c r="P498">
        <f>IF(ISBLANK(ReconciliationData[[#This Row],[Invoice_ID]]),1,0)</f>
        <v>0</v>
      </c>
      <c r="Q498">
        <f>IF(AND(NOT(ISBLANK(ReconciliationData[[#This Row],[Billed_Units]])),ReconciliationData[[#This Row],[ordered_units]]&lt;&gt;ReconciliationData[[#This Row],[Billed_Units]]),1,0)</f>
        <v>0</v>
      </c>
      <c r="R4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8">
        <f>IF(AND(NOT(ISBLANK(ReconciliationData[[#This Row],[Contract_Price]])),ReconciliationData[[#This Row],[Billed_Price]]&lt;&gt;ReconciliationData[[#This Row],[Contract_Price]]),1,0)</f>
        <v>0</v>
      </c>
      <c r="T498">
        <f>IF(AND(NOT(ISBLANK(ReconciliationData[[#This Row],[End_Date]])),ReconciliationData[[#This Row],[Order_Date]]&gt;ReconciliationData[[#This Row],[End_Date]]),1,0)</f>
        <v>0</v>
      </c>
      <c r="U498">
        <f>IF(AND(NOT(ISBLANK(ReconciliationData[[#This Row],[last_return_date]])),ReconciliationData[[#This Row],[last_return_date]]&gt;ReconciliationData[[#This Row],[Order_Date]]+60),1,0)</f>
        <v>0</v>
      </c>
      <c r="V498">
        <f>IF(ReconciliationData[[#This Row],[total_returned_units]]&gt;ReconciliationData[[#This Row],[ordered_units]],1,0)</f>
        <v>0</v>
      </c>
      <c r="W4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98">
        <f>ReconciliationData[[#This Row],[Billed_Units]]*ReconciliationData[[#This Row],[Billed_Price]]</f>
        <v>68204.639999999999</v>
      </c>
      <c r="Y498">
        <f>ReconciliationData[[#This Row],[ordered_units]]*ReconciliationData[[#This Row],[List_Price]]</f>
        <v>68204.639999999999</v>
      </c>
      <c r="Z498">
        <f>ReconciliationData[[#This Row],[billed_revenue]]-ReconciliationData[[#This Row],[expected_revenue]]</f>
        <v>0</v>
      </c>
      <c r="AA4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98" t="str">
        <f>IF(ReconciliationData[[#This Row],[severity_score]]=0,"LOW",
 IF(ReconciliationData[[#This Row],[severity_score]]&lt;=5,"MEDIUM","HIGH"))</f>
        <v>LOW</v>
      </c>
      <c r="AC498" t="str">
        <f>TEXT(ReconciliationData[[#This Row],[Order_Date]],"YYYY-MM")</f>
        <v>2023-02</v>
      </c>
    </row>
    <row r="499" spans="1:29">
      <c r="A499" t="s">
        <v>1752</v>
      </c>
      <c r="B499" s="1">
        <v>44950</v>
      </c>
      <c r="C499" t="s">
        <v>1753</v>
      </c>
      <c r="D499" t="s">
        <v>1754</v>
      </c>
      <c r="E499">
        <v>155</v>
      </c>
      <c r="F499" t="s">
        <v>1755</v>
      </c>
      <c r="G499">
        <v>155</v>
      </c>
      <c r="H499">
        <v>1051.27</v>
      </c>
      <c r="I499">
        <v>5</v>
      </c>
      <c r="J499" s="1">
        <v>45539</v>
      </c>
      <c r="N499">
        <v>1051.27</v>
      </c>
      <c r="O499" s="1">
        <v>44593</v>
      </c>
      <c r="P499">
        <f>IF(ISBLANK(ReconciliationData[[#This Row],[Invoice_ID]]),1,0)</f>
        <v>0</v>
      </c>
      <c r="Q499">
        <f>IF(AND(NOT(ISBLANK(ReconciliationData[[#This Row],[Billed_Units]])),ReconciliationData[[#This Row],[ordered_units]]&lt;&gt;ReconciliationData[[#This Row],[Billed_Units]]),1,0)</f>
        <v>0</v>
      </c>
      <c r="R4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99">
        <f>IF(AND(NOT(ISBLANK(ReconciliationData[[#This Row],[Contract_Price]])),ReconciliationData[[#This Row],[Billed_Price]]&lt;&gt;ReconciliationData[[#This Row],[Contract_Price]]),1,0)</f>
        <v>0</v>
      </c>
      <c r="T499">
        <f>IF(AND(NOT(ISBLANK(ReconciliationData[[#This Row],[End_Date]])),ReconciliationData[[#This Row],[Order_Date]]&gt;ReconciliationData[[#This Row],[End_Date]]),1,0)</f>
        <v>0</v>
      </c>
      <c r="U499">
        <f>IF(AND(NOT(ISBLANK(ReconciliationData[[#This Row],[last_return_date]])),ReconciliationData[[#This Row],[last_return_date]]&gt;ReconciliationData[[#This Row],[Order_Date]]+60),1,0)</f>
        <v>1</v>
      </c>
      <c r="V499">
        <f>IF(ReconciliationData[[#This Row],[total_returned_units]]&gt;ReconciliationData[[#This Row],[ordered_units]],1,0)</f>
        <v>0</v>
      </c>
      <c r="W4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99">
        <f>ReconciliationData[[#This Row],[Billed_Units]]*ReconciliationData[[#This Row],[Billed_Price]]</f>
        <v>162946.85</v>
      </c>
      <c r="Y499">
        <f>ReconciliationData[[#This Row],[ordered_units]]*ReconciliationData[[#This Row],[List_Price]]</f>
        <v>162946.85</v>
      </c>
      <c r="Z499">
        <f>ReconciliationData[[#This Row],[billed_revenue]]-ReconciliationData[[#This Row],[expected_revenue]]</f>
        <v>0</v>
      </c>
      <c r="AA4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499" t="str">
        <f>IF(ReconciliationData[[#This Row],[severity_score]]=0,"LOW",
 IF(ReconciliationData[[#This Row],[severity_score]]&lt;=5,"MEDIUM","HIGH"))</f>
        <v>MEDIUM</v>
      </c>
      <c r="AC499" t="str">
        <f>TEXT(ReconciliationData[[#This Row],[Order_Date]],"YYYY-MM")</f>
        <v>2023-01</v>
      </c>
    </row>
    <row r="500" spans="1:29">
      <c r="A500" t="s">
        <v>1756</v>
      </c>
      <c r="B500" s="1">
        <v>45195</v>
      </c>
      <c r="C500" t="s">
        <v>1757</v>
      </c>
      <c r="D500" t="s">
        <v>275</v>
      </c>
      <c r="E500">
        <v>60</v>
      </c>
      <c r="F500" t="s">
        <v>1758</v>
      </c>
      <c r="G500">
        <v>60</v>
      </c>
      <c r="H500">
        <v>397.19560000000001</v>
      </c>
      <c r="N500">
        <v>397.19560000000001</v>
      </c>
      <c r="O500" s="1">
        <v>44932</v>
      </c>
      <c r="P500">
        <f>IF(ISBLANK(ReconciliationData[[#This Row],[Invoice_ID]]),1,0)</f>
        <v>0</v>
      </c>
      <c r="Q500">
        <f>IF(AND(NOT(ISBLANK(ReconciliationData[[#This Row],[Billed_Units]])),ReconciliationData[[#This Row],[ordered_units]]&lt;&gt;ReconciliationData[[#This Row],[Billed_Units]]),1,0)</f>
        <v>0</v>
      </c>
      <c r="R5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00">
        <f>IF(AND(NOT(ISBLANK(ReconciliationData[[#This Row],[Contract_Price]])),ReconciliationData[[#This Row],[Billed_Price]]&lt;&gt;ReconciliationData[[#This Row],[Contract_Price]]),1,0)</f>
        <v>0</v>
      </c>
      <c r="T500">
        <f>IF(AND(NOT(ISBLANK(ReconciliationData[[#This Row],[End_Date]])),ReconciliationData[[#This Row],[Order_Date]]&gt;ReconciliationData[[#This Row],[End_Date]]),1,0)</f>
        <v>0</v>
      </c>
      <c r="U500">
        <f>IF(AND(NOT(ISBLANK(ReconciliationData[[#This Row],[last_return_date]])),ReconciliationData[[#This Row],[last_return_date]]&gt;ReconciliationData[[#This Row],[Order_Date]]+60),1,0)</f>
        <v>0</v>
      </c>
      <c r="V500">
        <f>IF(ReconciliationData[[#This Row],[total_returned_units]]&gt;ReconciliationData[[#This Row],[ordered_units]],1,0)</f>
        <v>0</v>
      </c>
      <c r="W5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00">
        <f>ReconciliationData[[#This Row],[Billed_Units]]*ReconciliationData[[#This Row],[Billed_Price]]</f>
        <v>23831.736000000001</v>
      </c>
      <c r="Y500">
        <f>ReconciliationData[[#This Row],[ordered_units]]*ReconciliationData[[#This Row],[List_Price]]</f>
        <v>23831.736000000001</v>
      </c>
      <c r="Z500">
        <f>ReconciliationData[[#This Row],[billed_revenue]]-ReconciliationData[[#This Row],[expected_revenue]]</f>
        <v>0</v>
      </c>
      <c r="AA5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00" t="str">
        <f>IF(ReconciliationData[[#This Row],[severity_score]]=0,"LOW",
 IF(ReconciliationData[[#This Row],[severity_score]]&lt;=5,"MEDIUM","HIGH"))</f>
        <v>LOW</v>
      </c>
      <c r="AC500" t="str">
        <f>TEXT(ReconciliationData[[#This Row],[Order_Date]],"YYYY-MM")</f>
        <v>2023-09</v>
      </c>
    </row>
    <row r="501" spans="1:29">
      <c r="A501" t="s">
        <v>1759</v>
      </c>
      <c r="B501" s="1">
        <v>45143</v>
      </c>
      <c r="C501" t="s">
        <v>1760</v>
      </c>
      <c r="D501" t="s">
        <v>951</v>
      </c>
      <c r="E501">
        <v>56</v>
      </c>
      <c r="F501" t="s">
        <v>1761</v>
      </c>
      <c r="G501">
        <v>56</v>
      </c>
      <c r="H501">
        <v>577.34399999999994</v>
      </c>
      <c r="N501">
        <v>577.34399999999994</v>
      </c>
      <c r="O501" s="1">
        <v>44807</v>
      </c>
      <c r="P501">
        <f>IF(ISBLANK(ReconciliationData[[#This Row],[Invoice_ID]]),1,0)</f>
        <v>0</v>
      </c>
      <c r="Q501">
        <f>IF(AND(NOT(ISBLANK(ReconciliationData[[#This Row],[Billed_Units]])),ReconciliationData[[#This Row],[ordered_units]]&lt;&gt;ReconciliationData[[#This Row],[Billed_Units]]),1,0)</f>
        <v>0</v>
      </c>
      <c r="R5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01">
        <f>IF(AND(NOT(ISBLANK(ReconciliationData[[#This Row],[Contract_Price]])),ReconciliationData[[#This Row],[Billed_Price]]&lt;&gt;ReconciliationData[[#This Row],[Contract_Price]]),1,0)</f>
        <v>0</v>
      </c>
      <c r="T501">
        <f>IF(AND(NOT(ISBLANK(ReconciliationData[[#This Row],[End_Date]])),ReconciliationData[[#This Row],[Order_Date]]&gt;ReconciliationData[[#This Row],[End_Date]]),1,0)</f>
        <v>0</v>
      </c>
      <c r="U501">
        <f>IF(AND(NOT(ISBLANK(ReconciliationData[[#This Row],[last_return_date]])),ReconciliationData[[#This Row],[last_return_date]]&gt;ReconciliationData[[#This Row],[Order_Date]]+60),1,0)</f>
        <v>0</v>
      </c>
      <c r="V501">
        <f>IF(ReconciliationData[[#This Row],[total_returned_units]]&gt;ReconciliationData[[#This Row],[ordered_units]],1,0)</f>
        <v>0</v>
      </c>
      <c r="W5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01">
        <f>ReconciliationData[[#This Row],[Billed_Units]]*ReconciliationData[[#This Row],[Billed_Price]]</f>
        <v>32331.263999999996</v>
      </c>
      <c r="Y501">
        <f>ReconciliationData[[#This Row],[ordered_units]]*ReconciliationData[[#This Row],[List_Price]]</f>
        <v>32331.263999999996</v>
      </c>
      <c r="Z501">
        <f>ReconciliationData[[#This Row],[billed_revenue]]-ReconciliationData[[#This Row],[expected_revenue]]</f>
        <v>0</v>
      </c>
      <c r="AA5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01" t="str">
        <f>IF(ReconciliationData[[#This Row],[severity_score]]=0,"LOW",
 IF(ReconciliationData[[#This Row],[severity_score]]&lt;=5,"MEDIUM","HIGH"))</f>
        <v>LOW</v>
      </c>
      <c r="AC501" t="str">
        <f>TEXT(ReconciliationData[[#This Row],[Order_Date]],"YYYY-MM")</f>
        <v>2023-08</v>
      </c>
    </row>
    <row r="502" spans="1:29">
      <c r="A502" t="s">
        <v>1762</v>
      </c>
      <c r="B502" s="1">
        <v>45136</v>
      </c>
      <c r="C502" t="s">
        <v>894</v>
      </c>
      <c r="D502" t="s">
        <v>295</v>
      </c>
      <c r="E502">
        <v>49</v>
      </c>
      <c r="F502" t="s">
        <v>1763</v>
      </c>
      <c r="G502">
        <v>49</v>
      </c>
      <c r="H502">
        <v>838.77149999999995</v>
      </c>
      <c r="N502">
        <v>838.77149999999995</v>
      </c>
      <c r="O502" s="1">
        <v>44902</v>
      </c>
      <c r="P502">
        <f>IF(ISBLANK(ReconciliationData[[#This Row],[Invoice_ID]]),1,0)</f>
        <v>0</v>
      </c>
      <c r="Q502">
        <f>IF(AND(NOT(ISBLANK(ReconciliationData[[#This Row],[Billed_Units]])),ReconciliationData[[#This Row],[ordered_units]]&lt;&gt;ReconciliationData[[#This Row],[Billed_Units]]),1,0)</f>
        <v>0</v>
      </c>
      <c r="R5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02">
        <f>IF(AND(NOT(ISBLANK(ReconciliationData[[#This Row],[Contract_Price]])),ReconciliationData[[#This Row],[Billed_Price]]&lt;&gt;ReconciliationData[[#This Row],[Contract_Price]]),1,0)</f>
        <v>0</v>
      </c>
      <c r="T502">
        <f>IF(AND(NOT(ISBLANK(ReconciliationData[[#This Row],[End_Date]])),ReconciliationData[[#This Row],[Order_Date]]&gt;ReconciliationData[[#This Row],[End_Date]]),1,0)</f>
        <v>0</v>
      </c>
      <c r="U502">
        <f>IF(AND(NOT(ISBLANK(ReconciliationData[[#This Row],[last_return_date]])),ReconciliationData[[#This Row],[last_return_date]]&gt;ReconciliationData[[#This Row],[Order_Date]]+60),1,0)</f>
        <v>0</v>
      </c>
      <c r="V502">
        <f>IF(ReconciliationData[[#This Row],[total_returned_units]]&gt;ReconciliationData[[#This Row],[ordered_units]],1,0)</f>
        <v>0</v>
      </c>
      <c r="W5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02">
        <f>ReconciliationData[[#This Row],[Billed_Units]]*ReconciliationData[[#This Row],[Billed_Price]]</f>
        <v>41099.803499999995</v>
      </c>
      <c r="Y502">
        <f>ReconciliationData[[#This Row],[ordered_units]]*ReconciliationData[[#This Row],[List_Price]]</f>
        <v>41099.803499999995</v>
      </c>
      <c r="Z502">
        <f>ReconciliationData[[#This Row],[billed_revenue]]-ReconciliationData[[#This Row],[expected_revenue]]</f>
        <v>0</v>
      </c>
      <c r="AA5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02" t="str">
        <f>IF(ReconciliationData[[#This Row],[severity_score]]=0,"LOW",
 IF(ReconciliationData[[#This Row],[severity_score]]&lt;=5,"MEDIUM","HIGH"))</f>
        <v>LOW</v>
      </c>
      <c r="AC502" t="str">
        <f>TEXT(ReconciliationData[[#This Row],[Order_Date]],"YYYY-MM")</f>
        <v>2023-07</v>
      </c>
    </row>
    <row r="503" spans="1:29">
      <c r="A503" t="s">
        <v>1764</v>
      </c>
      <c r="B503" s="1">
        <v>45013</v>
      </c>
      <c r="C503" t="s">
        <v>1765</v>
      </c>
      <c r="D503" t="s">
        <v>610</v>
      </c>
      <c r="E503">
        <v>23</v>
      </c>
      <c r="F503" t="s">
        <v>1766</v>
      </c>
      <c r="G503">
        <v>23</v>
      </c>
      <c r="H503">
        <v>457.65019999999998</v>
      </c>
      <c r="N503">
        <v>457.65019999999998</v>
      </c>
      <c r="O503" s="1">
        <v>44950</v>
      </c>
      <c r="P503">
        <f>IF(ISBLANK(ReconciliationData[[#This Row],[Invoice_ID]]),1,0)</f>
        <v>0</v>
      </c>
      <c r="Q503">
        <f>IF(AND(NOT(ISBLANK(ReconciliationData[[#This Row],[Billed_Units]])),ReconciliationData[[#This Row],[ordered_units]]&lt;&gt;ReconciliationData[[#This Row],[Billed_Units]]),1,0)</f>
        <v>0</v>
      </c>
      <c r="R5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03">
        <f>IF(AND(NOT(ISBLANK(ReconciliationData[[#This Row],[Contract_Price]])),ReconciliationData[[#This Row],[Billed_Price]]&lt;&gt;ReconciliationData[[#This Row],[Contract_Price]]),1,0)</f>
        <v>0</v>
      </c>
      <c r="T503">
        <f>IF(AND(NOT(ISBLANK(ReconciliationData[[#This Row],[End_Date]])),ReconciliationData[[#This Row],[Order_Date]]&gt;ReconciliationData[[#This Row],[End_Date]]),1,0)</f>
        <v>0</v>
      </c>
      <c r="U503">
        <f>IF(AND(NOT(ISBLANK(ReconciliationData[[#This Row],[last_return_date]])),ReconciliationData[[#This Row],[last_return_date]]&gt;ReconciliationData[[#This Row],[Order_Date]]+60),1,0)</f>
        <v>0</v>
      </c>
      <c r="V503">
        <f>IF(ReconciliationData[[#This Row],[total_returned_units]]&gt;ReconciliationData[[#This Row],[ordered_units]],1,0)</f>
        <v>0</v>
      </c>
      <c r="W5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03">
        <f>ReconciliationData[[#This Row],[Billed_Units]]*ReconciliationData[[#This Row],[Billed_Price]]</f>
        <v>10525.954599999999</v>
      </c>
      <c r="Y503">
        <f>ReconciliationData[[#This Row],[ordered_units]]*ReconciliationData[[#This Row],[List_Price]]</f>
        <v>10525.954599999999</v>
      </c>
      <c r="Z503">
        <f>ReconciliationData[[#This Row],[billed_revenue]]-ReconciliationData[[#This Row],[expected_revenue]]</f>
        <v>0</v>
      </c>
      <c r="AA5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03" t="str">
        <f>IF(ReconciliationData[[#This Row],[severity_score]]=0,"LOW",
 IF(ReconciliationData[[#This Row],[severity_score]]&lt;=5,"MEDIUM","HIGH"))</f>
        <v>LOW</v>
      </c>
      <c r="AC503" t="str">
        <f>TEXT(ReconciliationData[[#This Row],[Order_Date]],"YYYY-MM")</f>
        <v>2023-03</v>
      </c>
    </row>
    <row r="504" spans="1:29">
      <c r="A504" t="s">
        <v>1767</v>
      </c>
      <c r="B504" s="1">
        <v>45292</v>
      </c>
      <c r="C504" t="s">
        <v>1768</v>
      </c>
      <c r="D504" t="s">
        <v>841</v>
      </c>
      <c r="E504">
        <v>65</v>
      </c>
      <c r="F504" t="s">
        <v>1769</v>
      </c>
      <c r="G504">
        <v>65</v>
      </c>
      <c r="H504">
        <v>185.5224</v>
      </c>
      <c r="N504">
        <v>185.5224</v>
      </c>
      <c r="O504" s="1">
        <v>45063</v>
      </c>
      <c r="P504">
        <f>IF(ISBLANK(ReconciliationData[[#This Row],[Invoice_ID]]),1,0)</f>
        <v>0</v>
      </c>
      <c r="Q504">
        <f>IF(AND(NOT(ISBLANK(ReconciliationData[[#This Row],[Billed_Units]])),ReconciliationData[[#This Row],[ordered_units]]&lt;&gt;ReconciliationData[[#This Row],[Billed_Units]]),1,0)</f>
        <v>0</v>
      </c>
      <c r="R5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04">
        <f>IF(AND(NOT(ISBLANK(ReconciliationData[[#This Row],[Contract_Price]])),ReconciliationData[[#This Row],[Billed_Price]]&lt;&gt;ReconciliationData[[#This Row],[Contract_Price]]),1,0)</f>
        <v>0</v>
      </c>
      <c r="T504">
        <f>IF(AND(NOT(ISBLANK(ReconciliationData[[#This Row],[End_Date]])),ReconciliationData[[#This Row],[Order_Date]]&gt;ReconciliationData[[#This Row],[End_Date]]),1,0)</f>
        <v>0</v>
      </c>
      <c r="U504">
        <f>IF(AND(NOT(ISBLANK(ReconciliationData[[#This Row],[last_return_date]])),ReconciliationData[[#This Row],[last_return_date]]&gt;ReconciliationData[[#This Row],[Order_Date]]+60),1,0)</f>
        <v>0</v>
      </c>
      <c r="V504">
        <f>IF(ReconciliationData[[#This Row],[total_returned_units]]&gt;ReconciliationData[[#This Row],[ordered_units]],1,0)</f>
        <v>0</v>
      </c>
      <c r="W5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04">
        <f>ReconciliationData[[#This Row],[Billed_Units]]*ReconciliationData[[#This Row],[Billed_Price]]</f>
        <v>12058.956</v>
      </c>
      <c r="Y504">
        <f>ReconciliationData[[#This Row],[ordered_units]]*ReconciliationData[[#This Row],[List_Price]]</f>
        <v>12058.956</v>
      </c>
      <c r="Z504">
        <f>ReconciliationData[[#This Row],[billed_revenue]]-ReconciliationData[[#This Row],[expected_revenue]]</f>
        <v>0</v>
      </c>
      <c r="AA5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04" t="str">
        <f>IF(ReconciliationData[[#This Row],[severity_score]]=0,"LOW",
 IF(ReconciliationData[[#This Row],[severity_score]]&lt;=5,"MEDIUM","HIGH"))</f>
        <v>LOW</v>
      </c>
      <c r="AC504" t="str">
        <f>TEXT(ReconciliationData[[#This Row],[Order_Date]],"YYYY-MM")</f>
        <v>2024-01</v>
      </c>
    </row>
    <row r="505" spans="1:29">
      <c r="A505" t="s">
        <v>1770</v>
      </c>
      <c r="B505" s="1">
        <v>45329</v>
      </c>
      <c r="C505" t="s">
        <v>1149</v>
      </c>
      <c r="D505" t="s">
        <v>333</v>
      </c>
      <c r="E505">
        <v>142</v>
      </c>
      <c r="F505" t="s">
        <v>1771</v>
      </c>
      <c r="G505">
        <v>142</v>
      </c>
      <c r="H505">
        <v>1144.1684</v>
      </c>
      <c r="N505">
        <v>1144.1684</v>
      </c>
      <c r="O505" s="1">
        <v>44955</v>
      </c>
      <c r="P505">
        <f>IF(ISBLANK(ReconciliationData[[#This Row],[Invoice_ID]]),1,0)</f>
        <v>0</v>
      </c>
      <c r="Q505">
        <f>IF(AND(NOT(ISBLANK(ReconciliationData[[#This Row],[Billed_Units]])),ReconciliationData[[#This Row],[ordered_units]]&lt;&gt;ReconciliationData[[#This Row],[Billed_Units]]),1,0)</f>
        <v>0</v>
      </c>
      <c r="R5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05">
        <f>IF(AND(NOT(ISBLANK(ReconciliationData[[#This Row],[Contract_Price]])),ReconciliationData[[#This Row],[Billed_Price]]&lt;&gt;ReconciliationData[[#This Row],[Contract_Price]]),1,0)</f>
        <v>0</v>
      </c>
      <c r="T505">
        <f>IF(AND(NOT(ISBLANK(ReconciliationData[[#This Row],[End_Date]])),ReconciliationData[[#This Row],[Order_Date]]&gt;ReconciliationData[[#This Row],[End_Date]]),1,0)</f>
        <v>0</v>
      </c>
      <c r="U505">
        <f>IF(AND(NOT(ISBLANK(ReconciliationData[[#This Row],[last_return_date]])),ReconciliationData[[#This Row],[last_return_date]]&gt;ReconciliationData[[#This Row],[Order_Date]]+60),1,0)</f>
        <v>0</v>
      </c>
      <c r="V505">
        <f>IF(ReconciliationData[[#This Row],[total_returned_units]]&gt;ReconciliationData[[#This Row],[ordered_units]],1,0)</f>
        <v>0</v>
      </c>
      <c r="W5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05">
        <f>ReconciliationData[[#This Row],[Billed_Units]]*ReconciliationData[[#This Row],[Billed_Price]]</f>
        <v>162471.91279999999</v>
      </c>
      <c r="Y505">
        <f>ReconciliationData[[#This Row],[ordered_units]]*ReconciliationData[[#This Row],[List_Price]]</f>
        <v>162471.91279999999</v>
      </c>
      <c r="Z505">
        <f>ReconciliationData[[#This Row],[billed_revenue]]-ReconciliationData[[#This Row],[expected_revenue]]</f>
        <v>0</v>
      </c>
      <c r="AA5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05" t="str">
        <f>IF(ReconciliationData[[#This Row],[severity_score]]=0,"LOW",
 IF(ReconciliationData[[#This Row],[severity_score]]&lt;=5,"MEDIUM","HIGH"))</f>
        <v>LOW</v>
      </c>
      <c r="AC505" t="str">
        <f>TEXT(ReconciliationData[[#This Row],[Order_Date]],"YYYY-MM")</f>
        <v>2024-02</v>
      </c>
    </row>
    <row r="506" spans="1:29">
      <c r="A506" t="s">
        <v>1772</v>
      </c>
      <c r="B506" s="1">
        <v>45435</v>
      </c>
      <c r="C506" t="s">
        <v>666</v>
      </c>
      <c r="D506" t="s">
        <v>1126</v>
      </c>
      <c r="E506">
        <v>39</v>
      </c>
      <c r="F506" t="s">
        <v>1773</v>
      </c>
      <c r="G506">
        <v>39</v>
      </c>
      <c r="H506">
        <v>926.52549999999997</v>
      </c>
      <c r="N506">
        <v>926.52549999999997</v>
      </c>
      <c r="O506" s="1">
        <v>45183</v>
      </c>
      <c r="P506">
        <f>IF(ISBLANK(ReconciliationData[[#This Row],[Invoice_ID]]),1,0)</f>
        <v>0</v>
      </c>
      <c r="Q506">
        <f>IF(AND(NOT(ISBLANK(ReconciliationData[[#This Row],[Billed_Units]])),ReconciliationData[[#This Row],[ordered_units]]&lt;&gt;ReconciliationData[[#This Row],[Billed_Units]]),1,0)</f>
        <v>0</v>
      </c>
      <c r="R5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06">
        <f>IF(AND(NOT(ISBLANK(ReconciliationData[[#This Row],[Contract_Price]])),ReconciliationData[[#This Row],[Billed_Price]]&lt;&gt;ReconciliationData[[#This Row],[Contract_Price]]),1,0)</f>
        <v>0</v>
      </c>
      <c r="T506">
        <f>IF(AND(NOT(ISBLANK(ReconciliationData[[#This Row],[End_Date]])),ReconciliationData[[#This Row],[Order_Date]]&gt;ReconciliationData[[#This Row],[End_Date]]),1,0)</f>
        <v>0</v>
      </c>
      <c r="U506">
        <f>IF(AND(NOT(ISBLANK(ReconciliationData[[#This Row],[last_return_date]])),ReconciliationData[[#This Row],[last_return_date]]&gt;ReconciliationData[[#This Row],[Order_Date]]+60),1,0)</f>
        <v>0</v>
      </c>
      <c r="V506">
        <f>IF(ReconciliationData[[#This Row],[total_returned_units]]&gt;ReconciliationData[[#This Row],[ordered_units]],1,0)</f>
        <v>0</v>
      </c>
      <c r="W5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06">
        <f>ReconciliationData[[#This Row],[Billed_Units]]*ReconciliationData[[#This Row],[Billed_Price]]</f>
        <v>36134.494500000001</v>
      </c>
      <c r="Y506">
        <f>ReconciliationData[[#This Row],[ordered_units]]*ReconciliationData[[#This Row],[List_Price]]</f>
        <v>36134.494500000001</v>
      </c>
      <c r="Z506">
        <f>ReconciliationData[[#This Row],[billed_revenue]]-ReconciliationData[[#This Row],[expected_revenue]]</f>
        <v>0</v>
      </c>
      <c r="AA5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06" t="str">
        <f>IF(ReconciliationData[[#This Row],[severity_score]]=0,"LOW",
 IF(ReconciliationData[[#This Row],[severity_score]]&lt;=5,"MEDIUM","HIGH"))</f>
        <v>LOW</v>
      </c>
      <c r="AC506" t="str">
        <f>TEXT(ReconciliationData[[#This Row],[Order_Date]],"YYYY-MM")</f>
        <v>2024-05</v>
      </c>
    </row>
    <row r="507" spans="1:29">
      <c r="A507" t="s">
        <v>1774</v>
      </c>
      <c r="B507" s="1">
        <v>45126</v>
      </c>
      <c r="C507" t="s">
        <v>756</v>
      </c>
      <c r="D507" t="s">
        <v>1775</v>
      </c>
      <c r="E507">
        <v>7</v>
      </c>
      <c r="F507" t="s">
        <v>1776</v>
      </c>
      <c r="G507">
        <v>5</v>
      </c>
      <c r="H507">
        <v>935.09519999999998</v>
      </c>
      <c r="N507">
        <v>935.09519999999998</v>
      </c>
      <c r="O507" s="1">
        <v>45009</v>
      </c>
      <c r="P507">
        <f>IF(ISBLANK(ReconciliationData[[#This Row],[Invoice_ID]]),1,0)</f>
        <v>0</v>
      </c>
      <c r="Q507">
        <f>IF(AND(NOT(ISBLANK(ReconciliationData[[#This Row],[Billed_Units]])),ReconciliationData[[#This Row],[ordered_units]]&lt;&gt;ReconciliationData[[#This Row],[Billed_Units]]),1,0)</f>
        <v>1</v>
      </c>
      <c r="R5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07">
        <f>IF(AND(NOT(ISBLANK(ReconciliationData[[#This Row],[Contract_Price]])),ReconciliationData[[#This Row],[Billed_Price]]&lt;&gt;ReconciliationData[[#This Row],[Contract_Price]]),1,0)</f>
        <v>0</v>
      </c>
      <c r="T507">
        <f>IF(AND(NOT(ISBLANK(ReconciliationData[[#This Row],[End_Date]])),ReconciliationData[[#This Row],[Order_Date]]&gt;ReconciliationData[[#This Row],[End_Date]]),1,0)</f>
        <v>0</v>
      </c>
      <c r="U507">
        <f>IF(AND(NOT(ISBLANK(ReconciliationData[[#This Row],[last_return_date]])),ReconciliationData[[#This Row],[last_return_date]]&gt;ReconciliationData[[#This Row],[Order_Date]]+60),1,0)</f>
        <v>0</v>
      </c>
      <c r="V507">
        <f>IF(ReconciliationData[[#This Row],[total_returned_units]]&gt;ReconciliationData[[#This Row],[ordered_units]],1,0)</f>
        <v>0</v>
      </c>
      <c r="W5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507">
        <f>ReconciliationData[[#This Row],[Billed_Units]]*ReconciliationData[[#This Row],[Billed_Price]]</f>
        <v>4675.4759999999997</v>
      </c>
      <c r="Y507">
        <f>ReconciliationData[[#This Row],[ordered_units]]*ReconciliationData[[#This Row],[List_Price]]</f>
        <v>6545.6664000000001</v>
      </c>
      <c r="Z507">
        <f>ReconciliationData[[#This Row],[billed_revenue]]-ReconciliationData[[#This Row],[expected_revenue]]</f>
        <v>-1870.1904000000004</v>
      </c>
      <c r="AA5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507" t="str">
        <f>IF(ReconciliationData[[#This Row],[severity_score]]=0,"LOW",
 IF(ReconciliationData[[#This Row],[severity_score]]&lt;=5,"MEDIUM","HIGH"))</f>
        <v>HIGH</v>
      </c>
      <c r="AC507" t="str">
        <f>TEXT(ReconciliationData[[#This Row],[Order_Date]],"YYYY-MM")</f>
        <v>2023-07</v>
      </c>
    </row>
    <row r="508" spans="1:29">
      <c r="A508" t="s">
        <v>1777</v>
      </c>
      <c r="B508" s="1">
        <v>45179</v>
      </c>
      <c r="C508" t="s">
        <v>1778</v>
      </c>
      <c r="D508" t="s">
        <v>1616</v>
      </c>
      <c r="E508">
        <v>63</v>
      </c>
      <c r="F508" t="s">
        <v>1779</v>
      </c>
      <c r="G508">
        <v>63</v>
      </c>
      <c r="H508">
        <v>1137.9636</v>
      </c>
      <c r="N508">
        <v>1137.9636</v>
      </c>
      <c r="O508" s="1">
        <v>45007</v>
      </c>
      <c r="P508">
        <f>IF(ISBLANK(ReconciliationData[[#This Row],[Invoice_ID]]),1,0)</f>
        <v>0</v>
      </c>
      <c r="Q508">
        <f>IF(AND(NOT(ISBLANK(ReconciliationData[[#This Row],[Billed_Units]])),ReconciliationData[[#This Row],[ordered_units]]&lt;&gt;ReconciliationData[[#This Row],[Billed_Units]]),1,0)</f>
        <v>0</v>
      </c>
      <c r="R5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08">
        <f>IF(AND(NOT(ISBLANK(ReconciliationData[[#This Row],[Contract_Price]])),ReconciliationData[[#This Row],[Billed_Price]]&lt;&gt;ReconciliationData[[#This Row],[Contract_Price]]),1,0)</f>
        <v>0</v>
      </c>
      <c r="T508">
        <f>IF(AND(NOT(ISBLANK(ReconciliationData[[#This Row],[End_Date]])),ReconciliationData[[#This Row],[Order_Date]]&gt;ReconciliationData[[#This Row],[End_Date]]),1,0)</f>
        <v>0</v>
      </c>
      <c r="U508">
        <f>IF(AND(NOT(ISBLANK(ReconciliationData[[#This Row],[last_return_date]])),ReconciliationData[[#This Row],[last_return_date]]&gt;ReconciliationData[[#This Row],[Order_Date]]+60),1,0)</f>
        <v>0</v>
      </c>
      <c r="V508">
        <f>IF(ReconciliationData[[#This Row],[total_returned_units]]&gt;ReconciliationData[[#This Row],[ordered_units]],1,0)</f>
        <v>0</v>
      </c>
      <c r="W5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08">
        <f>ReconciliationData[[#This Row],[Billed_Units]]*ReconciliationData[[#This Row],[Billed_Price]]</f>
        <v>71691.7068</v>
      </c>
      <c r="Y508">
        <f>ReconciliationData[[#This Row],[ordered_units]]*ReconciliationData[[#This Row],[List_Price]]</f>
        <v>71691.7068</v>
      </c>
      <c r="Z508">
        <f>ReconciliationData[[#This Row],[billed_revenue]]-ReconciliationData[[#This Row],[expected_revenue]]</f>
        <v>0</v>
      </c>
      <c r="AA5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08" t="str">
        <f>IF(ReconciliationData[[#This Row],[severity_score]]=0,"LOW",
 IF(ReconciliationData[[#This Row],[severity_score]]&lt;=5,"MEDIUM","HIGH"))</f>
        <v>LOW</v>
      </c>
      <c r="AC508" t="str">
        <f>TEXT(ReconciliationData[[#This Row],[Order_Date]],"YYYY-MM")</f>
        <v>2023-09</v>
      </c>
    </row>
    <row r="509" spans="1:29">
      <c r="A509" t="s">
        <v>1780</v>
      </c>
      <c r="B509" s="1">
        <v>45084</v>
      </c>
      <c r="C509" t="s">
        <v>1781</v>
      </c>
      <c r="D509" t="s">
        <v>235</v>
      </c>
      <c r="E509">
        <v>23</v>
      </c>
      <c r="F509" t="s">
        <v>1782</v>
      </c>
      <c r="G509">
        <v>23</v>
      </c>
      <c r="H509">
        <v>421.92750000000001</v>
      </c>
      <c r="N509">
        <v>421.92750000000001</v>
      </c>
      <c r="O509" s="1">
        <v>44969</v>
      </c>
      <c r="P509">
        <f>IF(ISBLANK(ReconciliationData[[#This Row],[Invoice_ID]]),1,0)</f>
        <v>0</v>
      </c>
      <c r="Q509">
        <f>IF(AND(NOT(ISBLANK(ReconciliationData[[#This Row],[Billed_Units]])),ReconciliationData[[#This Row],[ordered_units]]&lt;&gt;ReconciliationData[[#This Row],[Billed_Units]]),1,0)</f>
        <v>0</v>
      </c>
      <c r="R5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09">
        <f>IF(AND(NOT(ISBLANK(ReconciliationData[[#This Row],[Contract_Price]])),ReconciliationData[[#This Row],[Billed_Price]]&lt;&gt;ReconciliationData[[#This Row],[Contract_Price]]),1,0)</f>
        <v>0</v>
      </c>
      <c r="T509">
        <f>IF(AND(NOT(ISBLANK(ReconciliationData[[#This Row],[End_Date]])),ReconciliationData[[#This Row],[Order_Date]]&gt;ReconciliationData[[#This Row],[End_Date]]),1,0)</f>
        <v>0</v>
      </c>
      <c r="U509">
        <f>IF(AND(NOT(ISBLANK(ReconciliationData[[#This Row],[last_return_date]])),ReconciliationData[[#This Row],[last_return_date]]&gt;ReconciliationData[[#This Row],[Order_Date]]+60),1,0)</f>
        <v>0</v>
      </c>
      <c r="V509">
        <f>IF(ReconciliationData[[#This Row],[total_returned_units]]&gt;ReconciliationData[[#This Row],[ordered_units]],1,0)</f>
        <v>0</v>
      </c>
      <c r="W5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09">
        <f>ReconciliationData[[#This Row],[Billed_Units]]*ReconciliationData[[#This Row],[Billed_Price]]</f>
        <v>9704.3325000000004</v>
      </c>
      <c r="Y509">
        <f>ReconciliationData[[#This Row],[ordered_units]]*ReconciliationData[[#This Row],[List_Price]]</f>
        <v>9704.3325000000004</v>
      </c>
      <c r="Z509">
        <f>ReconciliationData[[#This Row],[billed_revenue]]-ReconciliationData[[#This Row],[expected_revenue]]</f>
        <v>0</v>
      </c>
      <c r="AA5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09" t="str">
        <f>IF(ReconciliationData[[#This Row],[severity_score]]=0,"LOW",
 IF(ReconciliationData[[#This Row],[severity_score]]&lt;=5,"MEDIUM","HIGH"))</f>
        <v>LOW</v>
      </c>
      <c r="AC509" t="str">
        <f>TEXT(ReconciliationData[[#This Row],[Order_Date]],"YYYY-MM")</f>
        <v>2023-06</v>
      </c>
    </row>
    <row r="510" spans="1:29">
      <c r="A510" t="s">
        <v>1783</v>
      </c>
      <c r="B510" s="1">
        <v>45233</v>
      </c>
      <c r="C510" t="s">
        <v>1784</v>
      </c>
      <c r="D510" t="s">
        <v>908</v>
      </c>
      <c r="E510">
        <v>1</v>
      </c>
      <c r="F510" t="s">
        <v>1785</v>
      </c>
      <c r="G510">
        <v>1</v>
      </c>
      <c r="H510">
        <v>565.82459999999992</v>
      </c>
      <c r="N510">
        <v>565.82459999999992</v>
      </c>
      <c r="O510" s="1">
        <v>45013</v>
      </c>
      <c r="P510">
        <f>IF(ISBLANK(ReconciliationData[[#This Row],[Invoice_ID]]),1,0)</f>
        <v>0</v>
      </c>
      <c r="Q510">
        <f>IF(AND(NOT(ISBLANK(ReconciliationData[[#This Row],[Billed_Units]])),ReconciliationData[[#This Row],[ordered_units]]&lt;&gt;ReconciliationData[[#This Row],[Billed_Units]]),1,0)</f>
        <v>0</v>
      </c>
      <c r="R5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0">
        <f>IF(AND(NOT(ISBLANK(ReconciliationData[[#This Row],[Contract_Price]])),ReconciliationData[[#This Row],[Billed_Price]]&lt;&gt;ReconciliationData[[#This Row],[Contract_Price]]),1,0)</f>
        <v>0</v>
      </c>
      <c r="T510">
        <f>IF(AND(NOT(ISBLANK(ReconciliationData[[#This Row],[End_Date]])),ReconciliationData[[#This Row],[Order_Date]]&gt;ReconciliationData[[#This Row],[End_Date]]),1,0)</f>
        <v>0</v>
      </c>
      <c r="U510">
        <f>IF(AND(NOT(ISBLANK(ReconciliationData[[#This Row],[last_return_date]])),ReconciliationData[[#This Row],[last_return_date]]&gt;ReconciliationData[[#This Row],[Order_Date]]+60),1,0)</f>
        <v>0</v>
      </c>
      <c r="V510">
        <f>IF(ReconciliationData[[#This Row],[total_returned_units]]&gt;ReconciliationData[[#This Row],[ordered_units]],1,0)</f>
        <v>0</v>
      </c>
      <c r="W5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0">
        <f>ReconciliationData[[#This Row],[Billed_Units]]*ReconciliationData[[#This Row],[Billed_Price]]</f>
        <v>565.82459999999992</v>
      </c>
      <c r="Y510">
        <f>ReconciliationData[[#This Row],[ordered_units]]*ReconciliationData[[#This Row],[List_Price]]</f>
        <v>565.82459999999992</v>
      </c>
      <c r="Z510">
        <f>ReconciliationData[[#This Row],[billed_revenue]]-ReconciliationData[[#This Row],[expected_revenue]]</f>
        <v>0</v>
      </c>
      <c r="AA5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0" t="str">
        <f>IF(ReconciliationData[[#This Row],[severity_score]]=0,"LOW",
 IF(ReconciliationData[[#This Row],[severity_score]]&lt;=5,"MEDIUM","HIGH"))</f>
        <v>LOW</v>
      </c>
      <c r="AC510" t="str">
        <f>TEXT(ReconciliationData[[#This Row],[Order_Date]],"YYYY-MM")</f>
        <v>2023-11</v>
      </c>
    </row>
    <row r="511" spans="1:29">
      <c r="A511" t="s">
        <v>1786</v>
      </c>
      <c r="B511" s="1">
        <v>45650</v>
      </c>
      <c r="C511" t="s">
        <v>803</v>
      </c>
      <c r="D511" t="s">
        <v>873</v>
      </c>
      <c r="E511">
        <v>103</v>
      </c>
      <c r="F511" t="s">
        <v>1787</v>
      </c>
      <c r="G511">
        <v>103</v>
      </c>
      <c r="H511">
        <v>956.41030000000001</v>
      </c>
      <c r="N511">
        <v>956.41030000000001</v>
      </c>
      <c r="O511" s="1">
        <v>45168</v>
      </c>
      <c r="P511">
        <f>IF(ISBLANK(ReconciliationData[[#This Row],[Invoice_ID]]),1,0)</f>
        <v>0</v>
      </c>
      <c r="Q511">
        <f>IF(AND(NOT(ISBLANK(ReconciliationData[[#This Row],[Billed_Units]])),ReconciliationData[[#This Row],[ordered_units]]&lt;&gt;ReconciliationData[[#This Row],[Billed_Units]]),1,0)</f>
        <v>0</v>
      </c>
      <c r="R5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1">
        <f>IF(AND(NOT(ISBLANK(ReconciliationData[[#This Row],[Contract_Price]])),ReconciliationData[[#This Row],[Billed_Price]]&lt;&gt;ReconciliationData[[#This Row],[Contract_Price]]),1,0)</f>
        <v>0</v>
      </c>
      <c r="T511">
        <f>IF(AND(NOT(ISBLANK(ReconciliationData[[#This Row],[End_Date]])),ReconciliationData[[#This Row],[Order_Date]]&gt;ReconciliationData[[#This Row],[End_Date]]),1,0)</f>
        <v>0</v>
      </c>
      <c r="U511">
        <f>IF(AND(NOT(ISBLANK(ReconciliationData[[#This Row],[last_return_date]])),ReconciliationData[[#This Row],[last_return_date]]&gt;ReconciliationData[[#This Row],[Order_Date]]+60),1,0)</f>
        <v>0</v>
      </c>
      <c r="V511">
        <f>IF(ReconciliationData[[#This Row],[total_returned_units]]&gt;ReconciliationData[[#This Row],[ordered_units]],1,0)</f>
        <v>0</v>
      </c>
      <c r="W5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1">
        <f>ReconciliationData[[#This Row],[Billed_Units]]*ReconciliationData[[#This Row],[Billed_Price]]</f>
        <v>98510.260899999994</v>
      </c>
      <c r="Y511">
        <f>ReconciliationData[[#This Row],[ordered_units]]*ReconciliationData[[#This Row],[List_Price]]</f>
        <v>98510.260899999994</v>
      </c>
      <c r="Z511">
        <f>ReconciliationData[[#This Row],[billed_revenue]]-ReconciliationData[[#This Row],[expected_revenue]]</f>
        <v>0</v>
      </c>
      <c r="AA5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1" t="str">
        <f>IF(ReconciliationData[[#This Row],[severity_score]]=0,"LOW",
 IF(ReconciliationData[[#This Row],[severity_score]]&lt;=5,"MEDIUM","HIGH"))</f>
        <v>LOW</v>
      </c>
      <c r="AC511" t="str">
        <f>TEXT(ReconciliationData[[#This Row],[Order_Date]],"YYYY-MM")</f>
        <v>2024-12</v>
      </c>
    </row>
    <row r="512" spans="1:29">
      <c r="A512" t="s">
        <v>1788</v>
      </c>
      <c r="B512" s="1">
        <v>44993</v>
      </c>
      <c r="C512" t="s">
        <v>1789</v>
      </c>
      <c r="D512" t="s">
        <v>216</v>
      </c>
      <c r="E512">
        <v>83</v>
      </c>
      <c r="F512" t="s">
        <v>1790</v>
      </c>
      <c r="G512">
        <v>83</v>
      </c>
      <c r="H512">
        <v>1046.6099999999999</v>
      </c>
      <c r="N512">
        <v>1046.6099999999999</v>
      </c>
      <c r="O512" s="1">
        <v>44940</v>
      </c>
      <c r="P512">
        <f>IF(ISBLANK(ReconciliationData[[#This Row],[Invoice_ID]]),1,0)</f>
        <v>0</v>
      </c>
      <c r="Q512">
        <f>IF(AND(NOT(ISBLANK(ReconciliationData[[#This Row],[Billed_Units]])),ReconciliationData[[#This Row],[ordered_units]]&lt;&gt;ReconciliationData[[#This Row],[Billed_Units]]),1,0)</f>
        <v>0</v>
      </c>
      <c r="R5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2">
        <f>IF(AND(NOT(ISBLANK(ReconciliationData[[#This Row],[Contract_Price]])),ReconciliationData[[#This Row],[Billed_Price]]&lt;&gt;ReconciliationData[[#This Row],[Contract_Price]]),1,0)</f>
        <v>0</v>
      </c>
      <c r="T512">
        <f>IF(AND(NOT(ISBLANK(ReconciliationData[[#This Row],[End_Date]])),ReconciliationData[[#This Row],[Order_Date]]&gt;ReconciliationData[[#This Row],[End_Date]]),1,0)</f>
        <v>0</v>
      </c>
      <c r="U512">
        <f>IF(AND(NOT(ISBLANK(ReconciliationData[[#This Row],[last_return_date]])),ReconciliationData[[#This Row],[last_return_date]]&gt;ReconciliationData[[#This Row],[Order_Date]]+60),1,0)</f>
        <v>0</v>
      </c>
      <c r="V512">
        <f>IF(ReconciliationData[[#This Row],[total_returned_units]]&gt;ReconciliationData[[#This Row],[ordered_units]],1,0)</f>
        <v>0</v>
      </c>
      <c r="W5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2">
        <f>ReconciliationData[[#This Row],[Billed_Units]]*ReconciliationData[[#This Row],[Billed_Price]]</f>
        <v>86868.62999999999</v>
      </c>
      <c r="Y512">
        <f>ReconciliationData[[#This Row],[ordered_units]]*ReconciliationData[[#This Row],[List_Price]]</f>
        <v>86868.62999999999</v>
      </c>
      <c r="Z512">
        <f>ReconciliationData[[#This Row],[billed_revenue]]-ReconciliationData[[#This Row],[expected_revenue]]</f>
        <v>0</v>
      </c>
      <c r="AA5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2" t="str">
        <f>IF(ReconciliationData[[#This Row],[severity_score]]=0,"LOW",
 IF(ReconciliationData[[#This Row],[severity_score]]&lt;=5,"MEDIUM","HIGH"))</f>
        <v>LOW</v>
      </c>
      <c r="AC512" t="str">
        <f>TEXT(ReconciliationData[[#This Row],[Order_Date]],"YYYY-MM")</f>
        <v>2023-03</v>
      </c>
    </row>
    <row r="513" spans="1:29">
      <c r="A513" t="s">
        <v>1791</v>
      </c>
      <c r="B513" s="1">
        <v>45260</v>
      </c>
      <c r="C513" t="s">
        <v>1093</v>
      </c>
      <c r="D513" t="s">
        <v>243</v>
      </c>
      <c r="E513">
        <v>25</v>
      </c>
      <c r="F513" t="s">
        <v>1792</v>
      </c>
      <c r="G513">
        <v>25</v>
      </c>
      <c r="H513">
        <v>129.17519999999999</v>
      </c>
      <c r="N513">
        <v>129.17519999999999</v>
      </c>
      <c r="O513" s="1">
        <v>45184</v>
      </c>
      <c r="P513">
        <f>IF(ISBLANK(ReconciliationData[[#This Row],[Invoice_ID]]),1,0)</f>
        <v>0</v>
      </c>
      <c r="Q513">
        <f>IF(AND(NOT(ISBLANK(ReconciliationData[[#This Row],[Billed_Units]])),ReconciliationData[[#This Row],[ordered_units]]&lt;&gt;ReconciliationData[[#This Row],[Billed_Units]]),1,0)</f>
        <v>0</v>
      </c>
      <c r="R5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3">
        <f>IF(AND(NOT(ISBLANK(ReconciliationData[[#This Row],[Contract_Price]])),ReconciliationData[[#This Row],[Billed_Price]]&lt;&gt;ReconciliationData[[#This Row],[Contract_Price]]),1,0)</f>
        <v>0</v>
      </c>
      <c r="T513">
        <f>IF(AND(NOT(ISBLANK(ReconciliationData[[#This Row],[End_Date]])),ReconciliationData[[#This Row],[Order_Date]]&gt;ReconciliationData[[#This Row],[End_Date]]),1,0)</f>
        <v>0</v>
      </c>
      <c r="U513">
        <f>IF(AND(NOT(ISBLANK(ReconciliationData[[#This Row],[last_return_date]])),ReconciliationData[[#This Row],[last_return_date]]&gt;ReconciliationData[[#This Row],[Order_Date]]+60),1,0)</f>
        <v>0</v>
      </c>
      <c r="V513">
        <f>IF(ReconciliationData[[#This Row],[total_returned_units]]&gt;ReconciliationData[[#This Row],[ordered_units]],1,0)</f>
        <v>0</v>
      </c>
      <c r="W5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3">
        <f>ReconciliationData[[#This Row],[Billed_Units]]*ReconciliationData[[#This Row],[Billed_Price]]</f>
        <v>3229.3799999999997</v>
      </c>
      <c r="Y513">
        <f>ReconciliationData[[#This Row],[ordered_units]]*ReconciliationData[[#This Row],[List_Price]]</f>
        <v>3229.3799999999997</v>
      </c>
      <c r="Z513">
        <f>ReconciliationData[[#This Row],[billed_revenue]]-ReconciliationData[[#This Row],[expected_revenue]]</f>
        <v>0</v>
      </c>
      <c r="AA5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3" t="str">
        <f>IF(ReconciliationData[[#This Row],[severity_score]]=0,"LOW",
 IF(ReconciliationData[[#This Row],[severity_score]]&lt;=5,"MEDIUM","HIGH"))</f>
        <v>LOW</v>
      </c>
      <c r="AC513" t="str">
        <f>TEXT(ReconciliationData[[#This Row],[Order_Date]],"YYYY-MM")</f>
        <v>2023-11</v>
      </c>
    </row>
    <row r="514" spans="1:29">
      <c r="A514" t="s">
        <v>1793</v>
      </c>
      <c r="B514" s="1">
        <v>45309</v>
      </c>
      <c r="C514" t="s">
        <v>1417</v>
      </c>
      <c r="D514" t="s">
        <v>1794</v>
      </c>
      <c r="E514">
        <v>127</v>
      </c>
      <c r="F514" t="s">
        <v>1795</v>
      </c>
      <c r="G514">
        <v>127</v>
      </c>
      <c r="H514">
        <v>491.10239999999999</v>
      </c>
      <c r="I514">
        <v>18</v>
      </c>
      <c r="J514" s="1">
        <v>45015</v>
      </c>
      <c r="N514">
        <v>491.10239999999999</v>
      </c>
      <c r="O514" s="1">
        <v>45187</v>
      </c>
      <c r="P514">
        <f>IF(ISBLANK(ReconciliationData[[#This Row],[Invoice_ID]]),1,0)</f>
        <v>0</v>
      </c>
      <c r="Q514">
        <f>IF(AND(NOT(ISBLANK(ReconciliationData[[#This Row],[Billed_Units]])),ReconciliationData[[#This Row],[ordered_units]]&lt;&gt;ReconciliationData[[#This Row],[Billed_Units]]),1,0)</f>
        <v>0</v>
      </c>
      <c r="R5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4">
        <f>IF(AND(NOT(ISBLANK(ReconciliationData[[#This Row],[Contract_Price]])),ReconciliationData[[#This Row],[Billed_Price]]&lt;&gt;ReconciliationData[[#This Row],[Contract_Price]]),1,0)</f>
        <v>0</v>
      </c>
      <c r="T514">
        <f>IF(AND(NOT(ISBLANK(ReconciliationData[[#This Row],[End_Date]])),ReconciliationData[[#This Row],[Order_Date]]&gt;ReconciliationData[[#This Row],[End_Date]]),1,0)</f>
        <v>0</v>
      </c>
      <c r="U514">
        <f>IF(AND(NOT(ISBLANK(ReconciliationData[[#This Row],[last_return_date]])),ReconciliationData[[#This Row],[last_return_date]]&gt;ReconciliationData[[#This Row],[Order_Date]]+60),1,0)</f>
        <v>0</v>
      </c>
      <c r="V514">
        <f>IF(ReconciliationData[[#This Row],[total_returned_units]]&gt;ReconciliationData[[#This Row],[ordered_units]],1,0)</f>
        <v>0</v>
      </c>
      <c r="W5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4">
        <f>ReconciliationData[[#This Row],[Billed_Units]]*ReconciliationData[[#This Row],[Billed_Price]]</f>
        <v>62370.004799999995</v>
      </c>
      <c r="Y514">
        <f>ReconciliationData[[#This Row],[ordered_units]]*ReconciliationData[[#This Row],[List_Price]]</f>
        <v>62370.004799999995</v>
      </c>
      <c r="Z514">
        <f>ReconciliationData[[#This Row],[billed_revenue]]-ReconciliationData[[#This Row],[expected_revenue]]</f>
        <v>0</v>
      </c>
      <c r="AA5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4" t="str">
        <f>IF(ReconciliationData[[#This Row],[severity_score]]=0,"LOW",
 IF(ReconciliationData[[#This Row],[severity_score]]&lt;=5,"MEDIUM","HIGH"))</f>
        <v>LOW</v>
      </c>
      <c r="AC514" t="str">
        <f>TEXT(ReconciliationData[[#This Row],[Order_Date]],"YYYY-MM")</f>
        <v>2024-01</v>
      </c>
    </row>
    <row r="515" spans="1:29">
      <c r="A515" t="s">
        <v>1796</v>
      </c>
      <c r="B515" s="1">
        <v>45429</v>
      </c>
      <c r="C515" t="s">
        <v>876</v>
      </c>
      <c r="D515" t="s">
        <v>537</v>
      </c>
      <c r="E515">
        <v>90</v>
      </c>
      <c r="F515" t="s">
        <v>1797</v>
      </c>
      <c r="G515">
        <v>90</v>
      </c>
      <c r="H515">
        <v>432.839</v>
      </c>
      <c r="N515">
        <v>432.839</v>
      </c>
      <c r="O515" s="1">
        <v>45048</v>
      </c>
      <c r="P515">
        <f>IF(ISBLANK(ReconciliationData[[#This Row],[Invoice_ID]]),1,0)</f>
        <v>0</v>
      </c>
      <c r="Q515">
        <f>IF(AND(NOT(ISBLANK(ReconciliationData[[#This Row],[Billed_Units]])),ReconciliationData[[#This Row],[ordered_units]]&lt;&gt;ReconciliationData[[#This Row],[Billed_Units]]),1,0)</f>
        <v>0</v>
      </c>
      <c r="R5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5">
        <f>IF(AND(NOT(ISBLANK(ReconciliationData[[#This Row],[Contract_Price]])),ReconciliationData[[#This Row],[Billed_Price]]&lt;&gt;ReconciliationData[[#This Row],[Contract_Price]]),1,0)</f>
        <v>0</v>
      </c>
      <c r="T515">
        <f>IF(AND(NOT(ISBLANK(ReconciliationData[[#This Row],[End_Date]])),ReconciliationData[[#This Row],[Order_Date]]&gt;ReconciliationData[[#This Row],[End_Date]]),1,0)</f>
        <v>0</v>
      </c>
      <c r="U515">
        <f>IF(AND(NOT(ISBLANK(ReconciliationData[[#This Row],[last_return_date]])),ReconciliationData[[#This Row],[last_return_date]]&gt;ReconciliationData[[#This Row],[Order_Date]]+60),1,0)</f>
        <v>0</v>
      </c>
      <c r="V515">
        <f>IF(ReconciliationData[[#This Row],[total_returned_units]]&gt;ReconciliationData[[#This Row],[ordered_units]],1,0)</f>
        <v>0</v>
      </c>
      <c r="W5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5">
        <f>ReconciliationData[[#This Row],[Billed_Units]]*ReconciliationData[[#This Row],[Billed_Price]]</f>
        <v>38955.51</v>
      </c>
      <c r="Y515">
        <f>ReconciliationData[[#This Row],[ordered_units]]*ReconciliationData[[#This Row],[List_Price]]</f>
        <v>38955.51</v>
      </c>
      <c r="Z515">
        <f>ReconciliationData[[#This Row],[billed_revenue]]-ReconciliationData[[#This Row],[expected_revenue]]</f>
        <v>0</v>
      </c>
      <c r="AA5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5" t="str">
        <f>IF(ReconciliationData[[#This Row],[severity_score]]=0,"LOW",
 IF(ReconciliationData[[#This Row],[severity_score]]&lt;=5,"MEDIUM","HIGH"))</f>
        <v>LOW</v>
      </c>
      <c r="AC515" t="str">
        <f>TEXT(ReconciliationData[[#This Row],[Order_Date]],"YYYY-MM")</f>
        <v>2024-05</v>
      </c>
    </row>
    <row r="516" spans="1:29">
      <c r="A516" t="s">
        <v>1798</v>
      </c>
      <c r="B516" s="1">
        <v>45612</v>
      </c>
      <c r="C516" t="s">
        <v>1637</v>
      </c>
      <c r="D516" t="s">
        <v>647</v>
      </c>
      <c r="E516">
        <v>91</v>
      </c>
      <c r="F516" t="s">
        <v>1799</v>
      </c>
      <c r="G516">
        <v>91</v>
      </c>
      <c r="H516">
        <v>279.42789999999997</v>
      </c>
      <c r="N516">
        <v>279.42789999999997</v>
      </c>
      <c r="O516" s="1">
        <v>45103</v>
      </c>
      <c r="P516">
        <f>IF(ISBLANK(ReconciliationData[[#This Row],[Invoice_ID]]),1,0)</f>
        <v>0</v>
      </c>
      <c r="Q516">
        <f>IF(AND(NOT(ISBLANK(ReconciliationData[[#This Row],[Billed_Units]])),ReconciliationData[[#This Row],[ordered_units]]&lt;&gt;ReconciliationData[[#This Row],[Billed_Units]]),1,0)</f>
        <v>0</v>
      </c>
      <c r="R5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6">
        <f>IF(AND(NOT(ISBLANK(ReconciliationData[[#This Row],[Contract_Price]])),ReconciliationData[[#This Row],[Billed_Price]]&lt;&gt;ReconciliationData[[#This Row],[Contract_Price]]),1,0)</f>
        <v>0</v>
      </c>
      <c r="T516">
        <f>IF(AND(NOT(ISBLANK(ReconciliationData[[#This Row],[End_Date]])),ReconciliationData[[#This Row],[Order_Date]]&gt;ReconciliationData[[#This Row],[End_Date]]),1,0)</f>
        <v>0</v>
      </c>
      <c r="U516">
        <f>IF(AND(NOT(ISBLANK(ReconciliationData[[#This Row],[last_return_date]])),ReconciliationData[[#This Row],[last_return_date]]&gt;ReconciliationData[[#This Row],[Order_Date]]+60),1,0)</f>
        <v>0</v>
      </c>
      <c r="V516">
        <f>IF(ReconciliationData[[#This Row],[total_returned_units]]&gt;ReconciliationData[[#This Row],[ordered_units]],1,0)</f>
        <v>0</v>
      </c>
      <c r="W5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6">
        <f>ReconciliationData[[#This Row],[Billed_Units]]*ReconciliationData[[#This Row],[Billed_Price]]</f>
        <v>25427.938899999997</v>
      </c>
      <c r="Y516">
        <f>ReconciliationData[[#This Row],[ordered_units]]*ReconciliationData[[#This Row],[List_Price]]</f>
        <v>25427.938899999997</v>
      </c>
      <c r="Z516">
        <f>ReconciliationData[[#This Row],[billed_revenue]]-ReconciliationData[[#This Row],[expected_revenue]]</f>
        <v>0</v>
      </c>
      <c r="AA5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6" t="str">
        <f>IF(ReconciliationData[[#This Row],[severity_score]]=0,"LOW",
 IF(ReconciliationData[[#This Row],[severity_score]]&lt;=5,"MEDIUM","HIGH"))</f>
        <v>LOW</v>
      </c>
      <c r="AC516" t="str">
        <f>TEXT(ReconciliationData[[#This Row],[Order_Date]],"YYYY-MM")</f>
        <v>2024-11</v>
      </c>
    </row>
    <row r="517" spans="1:29">
      <c r="A517" t="s">
        <v>1800</v>
      </c>
      <c r="B517" s="1">
        <v>45035</v>
      </c>
      <c r="C517" t="s">
        <v>1801</v>
      </c>
      <c r="D517" t="s">
        <v>1802</v>
      </c>
      <c r="E517">
        <v>196</v>
      </c>
      <c r="F517" t="s">
        <v>1803</v>
      </c>
      <c r="G517">
        <v>196</v>
      </c>
      <c r="H517">
        <v>618.54840000000002</v>
      </c>
      <c r="N517">
        <v>618.54840000000002</v>
      </c>
      <c r="O517" s="1">
        <v>44916</v>
      </c>
      <c r="P517">
        <f>IF(ISBLANK(ReconciliationData[[#This Row],[Invoice_ID]]),1,0)</f>
        <v>0</v>
      </c>
      <c r="Q517">
        <f>IF(AND(NOT(ISBLANK(ReconciliationData[[#This Row],[Billed_Units]])),ReconciliationData[[#This Row],[ordered_units]]&lt;&gt;ReconciliationData[[#This Row],[Billed_Units]]),1,0)</f>
        <v>0</v>
      </c>
      <c r="R5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7">
        <f>IF(AND(NOT(ISBLANK(ReconciliationData[[#This Row],[Contract_Price]])),ReconciliationData[[#This Row],[Billed_Price]]&lt;&gt;ReconciliationData[[#This Row],[Contract_Price]]),1,0)</f>
        <v>0</v>
      </c>
      <c r="T517">
        <f>IF(AND(NOT(ISBLANK(ReconciliationData[[#This Row],[End_Date]])),ReconciliationData[[#This Row],[Order_Date]]&gt;ReconciliationData[[#This Row],[End_Date]]),1,0)</f>
        <v>0</v>
      </c>
      <c r="U517">
        <f>IF(AND(NOT(ISBLANK(ReconciliationData[[#This Row],[last_return_date]])),ReconciliationData[[#This Row],[last_return_date]]&gt;ReconciliationData[[#This Row],[Order_Date]]+60),1,0)</f>
        <v>0</v>
      </c>
      <c r="V517">
        <f>IF(ReconciliationData[[#This Row],[total_returned_units]]&gt;ReconciliationData[[#This Row],[ordered_units]],1,0)</f>
        <v>0</v>
      </c>
      <c r="W5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7">
        <f>ReconciliationData[[#This Row],[Billed_Units]]*ReconciliationData[[#This Row],[Billed_Price]]</f>
        <v>121235.48640000001</v>
      </c>
      <c r="Y517">
        <f>ReconciliationData[[#This Row],[ordered_units]]*ReconciliationData[[#This Row],[List_Price]]</f>
        <v>121235.48640000001</v>
      </c>
      <c r="Z517">
        <f>ReconciliationData[[#This Row],[billed_revenue]]-ReconciliationData[[#This Row],[expected_revenue]]</f>
        <v>0</v>
      </c>
      <c r="AA5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7" t="str">
        <f>IF(ReconciliationData[[#This Row],[severity_score]]=0,"LOW",
 IF(ReconciliationData[[#This Row],[severity_score]]&lt;=5,"MEDIUM","HIGH"))</f>
        <v>LOW</v>
      </c>
      <c r="AC517" t="str">
        <f>TEXT(ReconciliationData[[#This Row],[Order_Date]],"YYYY-MM")</f>
        <v>2023-04</v>
      </c>
    </row>
    <row r="518" spans="1:29">
      <c r="A518" t="s">
        <v>1804</v>
      </c>
      <c r="B518" s="1">
        <v>45222</v>
      </c>
      <c r="C518" t="s">
        <v>1805</v>
      </c>
      <c r="D518" t="s">
        <v>453</v>
      </c>
      <c r="E518">
        <v>25</v>
      </c>
      <c r="F518" t="s">
        <v>1806</v>
      </c>
      <c r="G518">
        <v>25</v>
      </c>
      <c r="H518">
        <v>1184.9544000000001</v>
      </c>
      <c r="N518">
        <v>1184.9544000000001</v>
      </c>
      <c r="O518" s="1">
        <v>45171</v>
      </c>
      <c r="P518">
        <f>IF(ISBLANK(ReconciliationData[[#This Row],[Invoice_ID]]),1,0)</f>
        <v>0</v>
      </c>
      <c r="Q518">
        <f>IF(AND(NOT(ISBLANK(ReconciliationData[[#This Row],[Billed_Units]])),ReconciliationData[[#This Row],[ordered_units]]&lt;&gt;ReconciliationData[[#This Row],[Billed_Units]]),1,0)</f>
        <v>0</v>
      </c>
      <c r="R5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8">
        <f>IF(AND(NOT(ISBLANK(ReconciliationData[[#This Row],[Contract_Price]])),ReconciliationData[[#This Row],[Billed_Price]]&lt;&gt;ReconciliationData[[#This Row],[Contract_Price]]),1,0)</f>
        <v>0</v>
      </c>
      <c r="T518">
        <f>IF(AND(NOT(ISBLANK(ReconciliationData[[#This Row],[End_Date]])),ReconciliationData[[#This Row],[Order_Date]]&gt;ReconciliationData[[#This Row],[End_Date]]),1,0)</f>
        <v>0</v>
      </c>
      <c r="U518">
        <f>IF(AND(NOT(ISBLANK(ReconciliationData[[#This Row],[last_return_date]])),ReconciliationData[[#This Row],[last_return_date]]&gt;ReconciliationData[[#This Row],[Order_Date]]+60),1,0)</f>
        <v>0</v>
      </c>
      <c r="V518">
        <f>IF(ReconciliationData[[#This Row],[total_returned_units]]&gt;ReconciliationData[[#This Row],[ordered_units]],1,0)</f>
        <v>0</v>
      </c>
      <c r="W5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8">
        <f>ReconciliationData[[#This Row],[Billed_Units]]*ReconciliationData[[#This Row],[Billed_Price]]</f>
        <v>29623.86</v>
      </c>
      <c r="Y518">
        <f>ReconciliationData[[#This Row],[ordered_units]]*ReconciliationData[[#This Row],[List_Price]]</f>
        <v>29623.86</v>
      </c>
      <c r="Z518">
        <f>ReconciliationData[[#This Row],[billed_revenue]]-ReconciliationData[[#This Row],[expected_revenue]]</f>
        <v>0</v>
      </c>
      <c r="AA5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8" t="str">
        <f>IF(ReconciliationData[[#This Row],[severity_score]]=0,"LOW",
 IF(ReconciliationData[[#This Row],[severity_score]]&lt;=5,"MEDIUM","HIGH"))</f>
        <v>LOW</v>
      </c>
      <c r="AC518" t="str">
        <f>TEXT(ReconciliationData[[#This Row],[Order_Date]],"YYYY-MM")</f>
        <v>2023-10</v>
      </c>
    </row>
    <row r="519" spans="1:29">
      <c r="A519" t="s">
        <v>1807</v>
      </c>
      <c r="B519" s="1">
        <v>45137</v>
      </c>
      <c r="C519" t="s">
        <v>1808</v>
      </c>
      <c r="D519" t="s">
        <v>389</v>
      </c>
      <c r="E519">
        <v>183</v>
      </c>
      <c r="F519" t="s">
        <v>1809</v>
      </c>
      <c r="G519">
        <v>183</v>
      </c>
      <c r="H519">
        <v>782.04880000000003</v>
      </c>
      <c r="N519">
        <v>782.04880000000003</v>
      </c>
      <c r="O519" s="1">
        <v>44996</v>
      </c>
      <c r="P519">
        <f>IF(ISBLANK(ReconciliationData[[#This Row],[Invoice_ID]]),1,0)</f>
        <v>0</v>
      </c>
      <c r="Q519">
        <f>IF(AND(NOT(ISBLANK(ReconciliationData[[#This Row],[Billed_Units]])),ReconciliationData[[#This Row],[ordered_units]]&lt;&gt;ReconciliationData[[#This Row],[Billed_Units]]),1,0)</f>
        <v>0</v>
      </c>
      <c r="R5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19">
        <f>IF(AND(NOT(ISBLANK(ReconciliationData[[#This Row],[Contract_Price]])),ReconciliationData[[#This Row],[Billed_Price]]&lt;&gt;ReconciliationData[[#This Row],[Contract_Price]]),1,0)</f>
        <v>0</v>
      </c>
      <c r="T519">
        <f>IF(AND(NOT(ISBLANK(ReconciliationData[[#This Row],[End_Date]])),ReconciliationData[[#This Row],[Order_Date]]&gt;ReconciliationData[[#This Row],[End_Date]]),1,0)</f>
        <v>0</v>
      </c>
      <c r="U519">
        <f>IF(AND(NOT(ISBLANK(ReconciliationData[[#This Row],[last_return_date]])),ReconciliationData[[#This Row],[last_return_date]]&gt;ReconciliationData[[#This Row],[Order_Date]]+60),1,0)</f>
        <v>0</v>
      </c>
      <c r="V519">
        <f>IF(ReconciliationData[[#This Row],[total_returned_units]]&gt;ReconciliationData[[#This Row],[ordered_units]],1,0)</f>
        <v>0</v>
      </c>
      <c r="W5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19">
        <f>ReconciliationData[[#This Row],[Billed_Units]]*ReconciliationData[[#This Row],[Billed_Price]]</f>
        <v>143114.93040000001</v>
      </c>
      <c r="Y519">
        <f>ReconciliationData[[#This Row],[ordered_units]]*ReconciliationData[[#This Row],[List_Price]]</f>
        <v>143114.93040000001</v>
      </c>
      <c r="Z519">
        <f>ReconciliationData[[#This Row],[billed_revenue]]-ReconciliationData[[#This Row],[expected_revenue]]</f>
        <v>0</v>
      </c>
      <c r="AA5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19" t="str">
        <f>IF(ReconciliationData[[#This Row],[severity_score]]=0,"LOW",
 IF(ReconciliationData[[#This Row],[severity_score]]&lt;=5,"MEDIUM","HIGH"))</f>
        <v>LOW</v>
      </c>
      <c r="AC519" t="str">
        <f>TEXT(ReconciliationData[[#This Row],[Order_Date]],"YYYY-MM")</f>
        <v>2023-07</v>
      </c>
    </row>
    <row r="520" spans="1:29">
      <c r="A520" t="s">
        <v>1810</v>
      </c>
      <c r="B520" s="1">
        <v>45444</v>
      </c>
      <c r="C520" t="s">
        <v>1811</v>
      </c>
      <c r="D520" t="s">
        <v>1812</v>
      </c>
      <c r="E520">
        <v>138</v>
      </c>
      <c r="F520" t="s">
        <v>1813</v>
      </c>
      <c r="G520">
        <v>138</v>
      </c>
      <c r="H520">
        <v>226.88399999999999</v>
      </c>
      <c r="N520">
        <v>226.88399999999999</v>
      </c>
      <c r="O520" s="1">
        <v>45086</v>
      </c>
      <c r="P520">
        <f>IF(ISBLANK(ReconciliationData[[#This Row],[Invoice_ID]]),1,0)</f>
        <v>0</v>
      </c>
      <c r="Q520">
        <f>IF(AND(NOT(ISBLANK(ReconciliationData[[#This Row],[Billed_Units]])),ReconciliationData[[#This Row],[ordered_units]]&lt;&gt;ReconciliationData[[#This Row],[Billed_Units]]),1,0)</f>
        <v>0</v>
      </c>
      <c r="R5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0">
        <f>IF(AND(NOT(ISBLANK(ReconciliationData[[#This Row],[Contract_Price]])),ReconciliationData[[#This Row],[Billed_Price]]&lt;&gt;ReconciliationData[[#This Row],[Contract_Price]]),1,0)</f>
        <v>0</v>
      </c>
      <c r="T520">
        <f>IF(AND(NOT(ISBLANK(ReconciliationData[[#This Row],[End_Date]])),ReconciliationData[[#This Row],[Order_Date]]&gt;ReconciliationData[[#This Row],[End_Date]]),1,0)</f>
        <v>0</v>
      </c>
      <c r="U520">
        <f>IF(AND(NOT(ISBLANK(ReconciliationData[[#This Row],[last_return_date]])),ReconciliationData[[#This Row],[last_return_date]]&gt;ReconciliationData[[#This Row],[Order_Date]]+60),1,0)</f>
        <v>0</v>
      </c>
      <c r="V520">
        <f>IF(ReconciliationData[[#This Row],[total_returned_units]]&gt;ReconciliationData[[#This Row],[ordered_units]],1,0)</f>
        <v>0</v>
      </c>
      <c r="W5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0">
        <f>ReconciliationData[[#This Row],[Billed_Units]]*ReconciliationData[[#This Row],[Billed_Price]]</f>
        <v>31309.991999999998</v>
      </c>
      <c r="Y520">
        <f>ReconciliationData[[#This Row],[ordered_units]]*ReconciliationData[[#This Row],[List_Price]]</f>
        <v>31309.991999999998</v>
      </c>
      <c r="Z520">
        <f>ReconciliationData[[#This Row],[billed_revenue]]-ReconciliationData[[#This Row],[expected_revenue]]</f>
        <v>0</v>
      </c>
      <c r="AA5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0" t="str">
        <f>IF(ReconciliationData[[#This Row],[severity_score]]=0,"LOW",
 IF(ReconciliationData[[#This Row],[severity_score]]&lt;=5,"MEDIUM","HIGH"))</f>
        <v>LOW</v>
      </c>
      <c r="AC520" t="str">
        <f>TEXT(ReconciliationData[[#This Row],[Order_Date]],"YYYY-MM")</f>
        <v>2024-06</v>
      </c>
    </row>
    <row r="521" spans="1:29">
      <c r="A521" t="s">
        <v>1814</v>
      </c>
      <c r="B521" s="1">
        <v>45129</v>
      </c>
      <c r="C521" t="s">
        <v>1815</v>
      </c>
      <c r="D521" t="s">
        <v>453</v>
      </c>
      <c r="E521">
        <v>166</v>
      </c>
      <c r="F521" t="s">
        <v>1816</v>
      </c>
      <c r="G521">
        <v>166</v>
      </c>
      <c r="H521">
        <v>1138.4856</v>
      </c>
      <c r="N521">
        <v>1138.4856</v>
      </c>
      <c r="O521" s="1">
        <v>44865</v>
      </c>
      <c r="P521">
        <f>IF(ISBLANK(ReconciliationData[[#This Row],[Invoice_ID]]),1,0)</f>
        <v>0</v>
      </c>
      <c r="Q521">
        <f>IF(AND(NOT(ISBLANK(ReconciliationData[[#This Row],[Billed_Units]])),ReconciliationData[[#This Row],[ordered_units]]&lt;&gt;ReconciliationData[[#This Row],[Billed_Units]]),1,0)</f>
        <v>0</v>
      </c>
      <c r="R5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1">
        <f>IF(AND(NOT(ISBLANK(ReconciliationData[[#This Row],[Contract_Price]])),ReconciliationData[[#This Row],[Billed_Price]]&lt;&gt;ReconciliationData[[#This Row],[Contract_Price]]),1,0)</f>
        <v>0</v>
      </c>
      <c r="T521">
        <f>IF(AND(NOT(ISBLANK(ReconciliationData[[#This Row],[End_Date]])),ReconciliationData[[#This Row],[Order_Date]]&gt;ReconciliationData[[#This Row],[End_Date]]),1,0)</f>
        <v>0</v>
      </c>
      <c r="U521">
        <f>IF(AND(NOT(ISBLANK(ReconciliationData[[#This Row],[last_return_date]])),ReconciliationData[[#This Row],[last_return_date]]&gt;ReconciliationData[[#This Row],[Order_Date]]+60),1,0)</f>
        <v>0</v>
      </c>
      <c r="V521">
        <f>IF(ReconciliationData[[#This Row],[total_returned_units]]&gt;ReconciliationData[[#This Row],[ordered_units]],1,0)</f>
        <v>0</v>
      </c>
      <c r="W5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1">
        <f>ReconciliationData[[#This Row],[Billed_Units]]*ReconciliationData[[#This Row],[Billed_Price]]</f>
        <v>188988.6096</v>
      </c>
      <c r="Y521">
        <f>ReconciliationData[[#This Row],[ordered_units]]*ReconciliationData[[#This Row],[List_Price]]</f>
        <v>188988.6096</v>
      </c>
      <c r="Z521">
        <f>ReconciliationData[[#This Row],[billed_revenue]]-ReconciliationData[[#This Row],[expected_revenue]]</f>
        <v>0</v>
      </c>
      <c r="AA5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1" t="str">
        <f>IF(ReconciliationData[[#This Row],[severity_score]]=0,"LOW",
 IF(ReconciliationData[[#This Row],[severity_score]]&lt;=5,"MEDIUM","HIGH"))</f>
        <v>LOW</v>
      </c>
      <c r="AC521" t="str">
        <f>TEXT(ReconciliationData[[#This Row],[Order_Date]],"YYYY-MM")</f>
        <v>2023-07</v>
      </c>
    </row>
    <row r="522" spans="1:29">
      <c r="A522" t="s">
        <v>1817</v>
      </c>
      <c r="B522" s="1">
        <v>44969</v>
      </c>
      <c r="C522" t="s">
        <v>1818</v>
      </c>
      <c r="D522" t="s">
        <v>1094</v>
      </c>
      <c r="E522">
        <v>91</v>
      </c>
      <c r="F522" t="s">
        <v>1819</v>
      </c>
      <c r="G522">
        <v>91</v>
      </c>
      <c r="H522">
        <v>986.71040000000005</v>
      </c>
      <c r="N522">
        <v>986.71040000000005</v>
      </c>
      <c r="O522" s="1">
        <v>44892</v>
      </c>
      <c r="P522">
        <f>IF(ISBLANK(ReconciliationData[[#This Row],[Invoice_ID]]),1,0)</f>
        <v>0</v>
      </c>
      <c r="Q522">
        <f>IF(AND(NOT(ISBLANK(ReconciliationData[[#This Row],[Billed_Units]])),ReconciliationData[[#This Row],[ordered_units]]&lt;&gt;ReconciliationData[[#This Row],[Billed_Units]]),1,0)</f>
        <v>0</v>
      </c>
      <c r="R5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2">
        <f>IF(AND(NOT(ISBLANK(ReconciliationData[[#This Row],[Contract_Price]])),ReconciliationData[[#This Row],[Billed_Price]]&lt;&gt;ReconciliationData[[#This Row],[Contract_Price]]),1,0)</f>
        <v>0</v>
      </c>
      <c r="T522">
        <f>IF(AND(NOT(ISBLANK(ReconciliationData[[#This Row],[End_Date]])),ReconciliationData[[#This Row],[Order_Date]]&gt;ReconciliationData[[#This Row],[End_Date]]),1,0)</f>
        <v>0</v>
      </c>
      <c r="U522">
        <f>IF(AND(NOT(ISBLANK(ReconciliationData[[#This Row],[last_return_date]])),ReconciliationData[[#This Row],[last_return_date]]&gt;ReconciliationData[[#This Row],[Order_Date]]+60),1,0)</f>
        <v>0</v>
      </c>
      <c r="V522">
        <f>IF(ReconciliationData[[#This Row],[total_returned_units]]&gt;ReconciliationData[[#This Row],[ordered_units]],1,0)</f>
        <v>0</v>
      </c>
      <c r="W5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2">
        <f>ReconciliationData[[#This Row],[Billed_Units]]*ReconciliationData[[#This Row],[Billed_Price]]</f>
        <v>89790.646399999998</v>
      </c>
      <c r="Y522">
        <f>ReconciliationData[[#This Row],[ordered_units]]*ReconciliationData[[#This Row],[List_Price]]</f>
        <v>89790.646399999998</v>
      </c>
      <c r="Z522">
        <f>ReconciliationData[[#This Row],[billed_revenue]]-ReconciliationData[[#This Row],[expected_revenue]]</f>
        <v>0</v>
      </c>
      <c r="AA5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2" t="str">
        <f>IF(ReconciliationData[[#This Row],[severity_score]]=0,"LOW",
 IF(ReconciliationData[[#This Row],[severity_score]]&lt;=5,"MEDIUM","HIGH"))</f>
        <v>LOW</v>
      </c>
      <c r="AC522" t="str">
        <f>TEXT(ReconciliationData[[#This Row],[Order_Date]],"YYYY-MM")</f>
        <v>2023-02</v>
      </c>
    </row>
    <row r="523" spans="1:29">
      <c r="A523" t="s">
        <v>1820</v>
      </c>
      <c r="B523" s="1">
        <v>45547</v>
      </c>
      <c r="C523" t="s">
        <v>1637</v>
      </c>
      <c r="D523" t="s">
        <v>544</v>
      </c>
      <c r="E523">
        <v>16</v>
      </c>
      <c r="F523" t="s">
        <v>1821</v>
      </c>
      <c r="G523">
        <v>16</v>
      </c>
      <c r="H523">
        <v>765.52319999999997</v>
      </c>
      <c r="N523">
        <v>765.52319999999997</v>
      </c>
      <c r="O523" s="1">
        <v>45174</v>
      </c>
      <c r="P523">
        <f>IF(ISBLANK(ReconciliationData[[#This Row],[Invoice_ID]]),1,0)</f>
        <v>0</v>
      </c>
      <c r="Q523">
        <f>IF(AND(NOT(ISBLANK(ReconciliationData[[#This Row],[Billed_Units]])),ReconciliationData[[#This Row],[ordered_units]]&lt;&gt;ReconciliationData[[#This Row],[Billed_Units]]),1,0)</f>
        <v>0</v>
      </c>
      <c r="R5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3">
        <f>IF(AND(NOT(ISBLANK(ReconciliationData[[#This Row],[Contract_Price]])),ReconciliationData[[#This Row],[Billed_Price]]&lt;&gt;ReconciliationData[[#This Row],[Contract_Price]]),1,0)</f>
        <v>0</v>
      </c>
      <c r="T523">
        <f>IF(AND(NOT(ISBLANK(ReconciliationData[[#This Row],[End_Date]])),ReconciliationData[[#This Row],[Order_Date]]&gt;ReconciliationData[[#This Row],[End_Date]]),1,0)</f>
        <v>0</v>
      </c>
      <c r="U523">
        <f>IF(AND(NOT(ISBLANK(ReconciliationData[[#This Row],[last_return_date]])),ReconciliationData[[#This Row],[last_return_date]]&gt;ReconciliationData[[#This Row],[Order_Date]]+60),1,0)</f>
        <v>0</v>
      </c>
      <c r="V523">
        <f>IF(ReconciliationData[[#This Row],[total_returned_units]]&gt;ReconciliationData[[#This Row],[ordered_units]],1,0)</f>
        <v>0</v>
      </c>
      <c r="W5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3">
        <f>ReconciliationData[[#This Row],[Billed_Units]]*ReconciliationData[[#This Row],[Billed_Price]]</f>
        <v>12248.3712</v>
      </c>
      <c r="Y523">
        <f>ReconciliationData[[#This Row],[ordered_units]]*ReconciliationData[[#This Row],[List_Price]]</f>
        <v>12248.3712</v>
      </c>
      <c r="Z523">
        <f>ReconciliationData[[#This Row],[billed_revenue]]-ReconciliationData[[#This Row],[expected_revenue]]</f>
        <v>0</v>
      </c>
      <c r="AA5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3" t="str">
        <f>IF(ReconciliationData[[#This Row],[severity_score]]=0,"LOW",
 IF(ReconciliationData[[#This Row],[severity_score]]&lt;=5,"MEDIUM","HIGH"))</f>
        <v>LOW</v>
      </c>
      <c r="AC523" t="str">
        <f>TEXT(ReconciliationData[[#This Row],[Order_Date]],"YYYY-MM")</f>
        <v>2024-09</v>
      </c>
    </row>
    <row r="524" spans="1:29">
      <c r="A524" t="s">
        <v>1822</v>
      </c>
      <c r="B524" s="1">
        <v>45011</v>
      </c>
      <c r="C524" t="s">
        <v>328</v>
      </c>
      <c r="D524" t="s">
        <v>279</v>
      </c>
      <c r="E524">
        <v>166</v>
      </c>
      <c r="F524" t="s">
        <v>1823</v>
      </c>
      <c r="G524">
        <v>166</v>
      </c>
      <c r="H524">
        <v>1131.7511999999999</v>
      </c>
      <c r="N524">
        <v>1131.7511999999999</v>
      </c>
      <c r="O524" s="1">
        <v>44806</v>
      </c>
      <c r="P524">
        <f>IF(ISBLANK(ReconciliationData[[#This Row],[Invoice_ID]]),1,0)</f>
        <v>0</v>
      </c>
      <c r="Q524">
        <f>IF(AND(NOT(ISBLANK(ReconciliationData[[#This Row],[Billed_Units]])),ReconciliationData[[#This Row],[ordered_units]]&lt;&gt;ReconciliationData[[#This Row],[Billed_Units]]),1,0)</f>
        <v>0</v>
      </c>
      <c r="R5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4">
        <f>IF(AND(NOT(ISBLANK(ReconciliationData[[#This Row],[Contract_Price]])),ReconciliationData[[#This Row],[Billed_Price]]&lt;&gt;ReconciliationData[[#This Row],[Contract_Price]]),1,0)</f>
        <v>0</v>
      </c>
      <c r="T524">
        <f>IF(AND(NOT(ISBLANK(ReconciliationData[[#This Row],[End_Date]])),ReconciliationData[[#This Row],[Order_Date]]&gt;ReconciliationData[[#This Row],[End_Date]]),1,0)</f>
        <v>0</v>
      </c>
      <c r="U524">
        <f>IF(AND(NOT(ISBLANK(ReconciliationData[[#This Row],[last_return_date]])),ReconciliationData[[#This Row],[last_return_date]]&gt;ReconciliationData[[#This Row],[Order_Date]]+60),1,0)</f>
        <v>0</v>
      </c>
      <c r="V524">
        <f>IF(ReconciliationData[[#This Row],[total_returned_units]]&gt;ReconciliationData[[#This Row],[ordered_units]],1,0)</f>
        <v>0</v>
      </c>
      <c r="W5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4">
        <f>ReconciliationData[[#This Row],[Billed_Units]]*ReconciliationData[[#This Row],[Billed_Price]]</f>
        <v>187870.69919999997</v>
      </c>
      <c r="Y524">
        <f>ReconciliationData[[#This Row],[ordered_units]]*ReconciliationData[[#This Row],[List_Price]]</f>
        <v>187870.69919999997</v>
      </c>
      <c r="Z524">
        <f>ReconciliationData[[#This Row],[billed_revenue]]-ReconciliationData[[#This Row],[expected_revenue]]</f>
        <v>0</v>
      </c>
      <c r="AA5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4" t="str">
        <f>IF(ReconciliationData[[#This Row],[severity_score]]=0,"LOW",
 IF(ReconciliationData[[#This Row],[severity_score]]&lt;=5,"MEDIUM","HIGH"))</f>
        <v>LOW</v>
      </c>
      <c r="AC524" t="str">
        <f>TEXT(ReconciliationData[[#This Row],[Order_Date]],"YYYY-MM")</f>
        <v>2023-03</v>
      </c>
    </row>
    <row r="525" spans="1:29">
      <c r="A525" t="s">
        <v>1824</v>
      </c>
      <c r="B525" s="1">
        <v>45072</v>
      </c>
      <c r="C525" t="s">
        <v>1825</v>
      </c>
      <c r="D525" t="s">
        <v>548</v>
      </c>
      <c r="E525">
        <v>109</v>
      </c>
      <c r="F525" t="s">
        <v>1826</v>
      </c>
      <c r="G525">
        <v>109</v>
      </c>
      <c r="H525">
        <v>1072.1079000000002</v>
      </c>
      <c r="N525">
        <v>1072.1079000000002</v>
      </c>
      <c r="O525" s="1">
        <v>45035</v>
      </c>
      <c r="P525">
        <f>IF(ISBLANK(ReconciliationData[[#This Row],[Invoice_ID]]),1,0)</f>
        <v>0</v>
      </c>
      <c r="Q525">
        <f>IF(AND(NOT(ISBLANK(ReconciliationData[[#This Row],[Billed_Units]])),ReconciliationData[[#This Row],[ordered_units]]&lt;&gt;ReconciliationData[[#This Row],[Billed_Units]]),1,0)</f>
        <v>0</v>
      </c>
      <c r="R5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5">
        <f>IF(AND(NOT(ISBLANK(ReconciliationData[[#This Row],[Contract_Price]])),ReconciliationData[[#This Row],[Billed_Price]]&lt;&gt;ReconciliationData[[#This Row],[Contract_Price]]),1,0)</f>
        <v>0</v>
      </c>
      <c r="T525">
        <f>IF(AND(NOT(ISBLANK(ReconciliationData[[#This Row],[End_Date]])),ReconciliationData[[#This Row],[Order_Date]]&gt;ReconciliationData[[#This Row],[End_Date]]),1,0)</f>
        <v>0</v>
      </c>
      <c r="U525">
        <f>IF(AND(NOT(ISBLANK(ReconciliationData[[#This Row],[last_return_date]])),ReconciliationData[[#This Row],[last_return_date]]&gt;ReconciliationData[[#This Row],[Order_Date]]+60),1,0)</f>
        <v>0</v>
      </c>
      <c r="V525">
        <f>IF(ReconciliationData[[#This Row],[total_returned_units]]&gt;ReconciliationData[[#This Row],[ordered_units]],1,0)</f>
        <v>0</v>
      </c>
      <c r="W5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5">
        <f>ReconciliationData[[#This Row],[Billed_Units]]*ReconciliationData[[#This Row],[Billed_Price]]</f>
        <v>116859.76110000002</v>
      </c>
      <c r="Y525">
        <f>ReconciliationData[[#This Row],[ordered_units]]*ReconciliationData[[#This Row],[List_Price]]</f>
        <v>116859.76110000002</v>
      </c>
      <c r="Z525">
        <f>ReconciliationData[[#This Row],[billed_revenue]]-ReconciliationData[[#This Row],[expected_revenue]]</f>
        <v>0</v>
      </c>
      <c r="AA5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5" t="str">
        <f>IF(ReconciliationData[[#This Row],[severity_score]]=0,"LOW",
 IF(ReconciliationData[[#This Row],[severity_score]]&lt;=5,"MEDIUM","HIGH"))</f>
        <v>LOW</v>
      </c>
      <c r="AC525" t="str">
        <f>TEXT(ReconciliationData[[#This Row],[Order_Date]],"YYYY-MM")</f>
        <v>2023-05</v>
      </c>
    </row>
    <row r="526" spans="1:29">
      <c r="A526" t="s">
        <v>1827</v>
      </c>
      <c r="B526" s="1">
        <v>45349</v>
      </c>
      <c r="C526" t="s">
        <v>1828</v>
      </c>
      <c r="D526" t="s">
        <v>251</v>
      </c>
      <c r="E526">
        <v>168</v>
      </c>
      <c r="F526" t="s">
        <v>1829</v>
      </c>
      <c r="G526">
        <v>168</v>
      </c>
      <c r="H526">
        <v>957.65700000000015</v>
      </c>
      <c r="N526">
        <v>957.65700000000015</v>
      </c>
      <c r="O526" s="1">
        <v>45057</v>
      </c>
      <c r="P526">
        <f>IF(ISBLANK(ReconciliationData[[#This Row],[Invoice_ID]]),1,0)</f>
        <v>0</v>
      </c>
      <c r="Q526">
        <f>IF(AND(NOT(ISBLANK(ReconciliationData[[#This Row],[Billed_Units]])),ReconciliationData[[#This Row],[ordered_units]]&lt;&gt;ReconciliationData[[#This Row],[Billed_Units]]),1,0)</f>
        <v>0</v>
      </c>
      <c r="R5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6">
        <f>IF(AND(NOT(ISBLANK(ReconciliationData[[#This Row],[Contract_Price]])),ReconciliationData[[#This Row],[Billed_Price]]&lt;&gt;ReconciliationData[[#This Row],[Contract_Price]]),1,0)</f>
        <v>0</v>
      </c>
      <c r="T526">
        <f>IF(AND(NOT(ISBLANK(ReconciliationData[[#This Row],[End_Date]])),ReconciliationData[[#This Row],[Order_Date]]&gt;ReconciliationData[[#This Row],[End_Date]]),1,0)</f>
        <v>0</v>
      </c>
      <c r="U526">
        <f>IF(AND(NOT(ISBLANK(ReconciliationData[[#This Row],[last_return_date]])),ReconciliationData[[#This Row],[last_return_date]]&gt;ReconciliationData[[#This Row],[Order_Date]]+60),1,0)</f>
        <v>0</v>
      </c>
      <c r="V526">
        <f>IF(ReconciliationData[[#This Row],[total_returned_units]]&gt;ReconciliationData[[#This Row],[ordered_units]],1,0)</f>
        <v>0</v>
      </c>
      <c r="W5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6">
        <f>ReconciliationData[[#This Row],[Billed_Units]]*ReconciliationData[[#This Row],[Billed_Price]]</f>
        <v>160886.37600000002</v>
      </c>
      <c r="Y526">
        <f>ReconciliationData[[#This Row],[ordered_units]]*ReconciliationData[[#This Row],[List_Price]]</f>
        <v>160886.37600000002</v>
      </c>
      <c r="Z526">
        <f>ReconciliationData[[#This Row],[billed_revenue]]-ReconciliationData[[#This Row],[expected_revenue]]</f>
        <v>0</v>
      </c>
      <c r="AA5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6" t="str">
        <f>IF(ReconciliationData[[#This Row],[severity_score]]=0,"LOW",
 IF(ReconciliationData[[#This Row],[severity_score]]&lt;=5,"MEDIUM","HIGH"))</f>
        <v>LOW</v>
      </c>
      <c r="AC526" t="str">
        <f>TEXT(ReconciliationData[[#This Row],[Order_Date]],"YYYY-MM")</f>
        <v>2024-02</v>
      </c>
    </row>
    <row r="527" spans="1:29">
      <c r="A527" t="s">
        <v>1830</v>
      </c>
      <c r="B527" s="1">
        <v>45455</v>
      </c>
      <c r="C527" t="s">
        <v>1831</v>
      </c>
      <c r="D527" t="s">
        <v>944</v>
      </c>
      <c r="E527">
        <v>166</v>
      </c>
      <c r="F527" t="s">
        <v>1832</v>
      </c>
      <c r="G527">
        <v>166</v>
      </c>
      <c r="H527">
        <v>1006.8318</v>
      </c>
      <c r="N527">
        <v>1006.8318</v>
      </c>
      <c r="O527" s="1">
        <v>45204</v>
      </c>
      <c r="P527">
        <f>IF(ISBLANK(ReconciliationData[[#This Row],[Invoice_ID]]),1,0)</f>
        <v>0</v>
      </c>
      <c r="Q527">
        <f>IF(AND(NOT(ISBLANK(ReconciliationData[[#This Row],[Billed_Units]])),ReconciliationData[[#This Row],[ordered_units]]&lt;&gt;ReconciliationData[[#This Row],[Billed_Units]]),1,0)</f>
        <v>0</v>
      </c>
      <c r="R5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7">
        <f>IF(AND(NOT(ISBLANK(ReconciliationData[[#This Row],[Contract_Price]])),ReconciliationData[[#This Row],[Billed_Price]]&lt;&gt;ReconciliationData[[#This Row],[Contract_Price]]),1,0)</f>
        <v>0</v>
      </c>
      <c r="T527">
        <f>IF(AND(NOT(ISBLANK(ReconciliationData[[#This Row],[End_Date]])),ReconciliationData[[#This Row],[Order_Date]]&gt;ReconciliationData[[#This Row],[End_Date]]),1,0)</f>
        <v>0</v>
      </c>
      <c r="U527">
        <f>IF(AND(NOT(ISBLANK(ReconciliationData[[#This Row],[last_return_date]])),ReconciliationData[[#This Row],[last_return_date]]&gt;ReconciliationData[[#This Row],[Order_Date]]+60),1,0)</f>
        <v>0</v>
      </c>
      <c r="V527">
        <f>IF(ReconciliationData[[#This Row],[total_returned_units]]&gt;ReconciliationData[[#This Row],[ordered_units]],1,0)</f>
        <v>0</v>
      </c>
      <c r="W5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7">
        <f>ReconciliationData[[#This Row],[Billed_Units]]*ReconciliationData[[#This Row],[Billed_Price]]</f>
        <v>167134.07880000002</v>
      </c>
      <c r="Y527">
        <f>ReconciliationData[[#This Row],[ordered_units]]*ReconciliationData[[#This Row],[List_Price]]</f>
        <v>167134.07880000002</v>
      </c>
      <c r="Z527">
        <f>ReconciliationData[[#This Row],[billed_revenue]]-ReconciliationData[[#This Row],[expected_revenue]]</f>
        <v>0</v>
      </c>
      <c r="AA5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7" t="str">
        <f>IF(ReconciliationData[[#This Row],[severity_score]]=0,"LOW",
 IF(ReconciliationData[[#This Row],[severity_score]]&lt;=5,"MEDIUM","HIGH"))</f>
        <v>LOW</v>
      </c>
      <c r="AC527" t="str">
        <f>TEXT(ReconciliationData[[#This Row],[Order_Date]],"YYYY-MM")</f>
        <v>2024-06</v>
      </c>
    </row>
    <row r="528" spans="1:29">
      <c r="A528" t="s">
        <v>1833</v>
      </c>
      <c r="B528" s="1">
        <v>45287</v>
      </c>
      <c r="C528" t="s">
        <v>475</v>
      </c>
      <c r="D528" t="s">
        <v>997</v>
      </c>
      <c r="E528">
        <v>109</v>
      </c>
      <c r="F528" t="s">
        <v>1834</v>
      </c>
      <c r="G528">
        <v>109</v>
      </c>
      <c r="H528">
        <v>1153.4984999999999</v>
      </c>
      <c r="N528">
        <v>1153.4984999999999</v>
      </c>
      <c r="O528" s="1">
        <v>44962</v>
      </c>
      <c r="P528">
        <f>IF(ISBLANK(ReconciliationData[[#This Row],[Invoice_ID]]),1,0)</f>
        <v>0</v>
      </c>
      <c r="Q528">
        <f>IF(AND(NOT(ISBLANK(ReconciliationData[[#This Row],[Billed_Units]])),ReconciliationData[[#This Row],[ordered_units]]&lt;&gt;ReconciliationData[[#This Row],[Billed_Units]]),1,0)</f>
        <v>0</v>
      </c>
      <c r="R5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8">
        <f>IF(AND(NOT(ISBLANK(ReconciliationData[[#This Row],[Contract_Price]])),ReconciliationData[[#This Row],[Billed_Price]]&lt;&gt;ReconciliationData[[#This Row],[Contract_Price]]),1,0)</f>
        <v>0</v>
      </c>
      <c r="T528">
        <f>IF(AND(NOT(ISBLANK(ReconciliationData[[#This Row],[End_Date]])),ReconciliationData[[#This Row],[Order_Date]]&gt;ReconciliationData[[#This Row],[End_Date]]),1,0)</f>
        <v>0</v>
      </c>
      <c r="U528">
        <f>IF(AND(NOT(ISBLANK(ReconciliationData[[#This Row],[last_return_date]])),ReconciliationData[[#This Row],[last_return_date]]&gt;ReconciliationData[[#This Row],[Order_Date]]+60),1,0)</f>
        <v>0</v>
      </c>
      <c r="V528">
        <f>IF(ReconciliationData[[#This Row],[total_returned_units]]&gt;ReconciliationData[[#This Row],[ordered_units]],1,0)</f>
        <v>0</v>
      </c>
      <c r="W5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8">
        <f>ReconciliationData[[#This Row],[Billed_Units]]*ReconciliationData[[#This Row],[Billed_Price]]</f>
        <v>125731.33649999999</v>
      </c>
      <c r="Y528">
        <f>ReconciliationData[[#This Row],[ordered_units]]*ReconciliationData[[#This Row],[List_Price]]</f>
        <v>125731.33649999999</v>
      </c>
      <c r="Z528">
        <f>ReconciliationData[[#This Row],[billed_revenue]]-ReconciliationData[[#This Row],[expected_revenue]]</f>
        <v>0</v>
      </c>
      <c r="AA5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8" t="str">
        <f>IF(ReconciliationData[[#This Row],[severity_score]]=0,"LOW",
 IF(ReconciliationData[[#This Row],[severity_score]]&lt;=5,"MEDIUM","HIGH"))</f>
        <v>LOW</v>
      </c>
      <c r="AC528" t="str">
        <f>TEXT(ReconciliationData[[#This Row],[Order_Date]],"YYYY-MM")</f>
        <v>2023-12</v>
      </c>
    </row>
    <row r="529" spans="1:29">
      <c r="A529" t="s">
        <v>1835</v>
      </c>
      <c r="B529" s="1">
        <v>45395</v>
      </c>
      <c r="C529" t="s">
        <v>1027</v>
      </c>
      <c r="D529" t="s">
        <v>267</v>
      </c>
      <c r="E529">
        <v>22</v>
      </c>
      <c r="F529" t="s">
        <v>1836</v>
      </c>
      <c r="G529">
        <v>22</v>
      </c>
      <c r="H529">
        <v>973.43799999999999</v>
      </c>
      <c r="N529">
        <v>973.43799999999999</v>
      </c>
      <c r="O529" s="1">
        <v>45011</v>
      </c>
      <c r="P529">
        <f>IF(ISBLANK(ReconciliationData[[#This Row],[Invoice_ID]]),1,0)</f>
        <v>0</v>
      </c>
      <c r="Q529">
        <f>IF(AND(NOT(ISBLANK(ReconciliationData[[#This Row],[Billed_Units]])),ReconciliationData[[#This Row],[ordered_units]]&lt;&gt;ReconciliationData[[#This Row],[Billed_Units]]),1,0)</f>
        <v>0</v>
      </c>
      <c r="R5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29">
        <f>IF(AND(NOT(ISBLANK(ReconciliationData[[#This Row],[Contract_Price]])),ReconciliationData[[#This Row],[Billed_Price]]&lt;&gt;ReconciliationData[[#This Row],[Contract_Price]]),1,0)</f>
        <v>0</v>
      </c>
      <c r="T529">
        <f>IF(AND(NOT(ISBLANK(ReconciliationData[[#This Row],[End_Date]])),ReconciliationData[[#This Row],[Order_Date]]&gt;ReconciliationData[[#This Row],[End_Date]]),1,0)</f>
        <v>0</v>
      </c>
      <c r="U529">
        <f>IF(AND(NOT(ISBLANK(ReconciliationData[[#This Row],[last_return_date]])),ReconciliationData[[#This Row],[last_return_date]]&gt;ReconciliationData[[#This Row],[Order_Date]]+60),1,0)</f>
        <v>0</v>
      </c>
      <c r="V529">
        <f>IF(ReconciliationData[[#This Row],[total_returned_units]]&gt;ReconciliationData[[#This Row],[ordered_units]],1,0)</f>
        <v>0</v>
      </c>
      <c r="W5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29">
        <f>ReconciliationData[[#This Row],[Billed_Units]]*ReconciliationData[[#This Row],[Billed_Price]]</f>
        <v>21415.635999999999</v>
      </c>
      <c r="Y529">
        <f>ReconciliationData[[#This Row],[ordered_units]]*ReconciliationData[[#This Row],[List_Price]]</f>
        <v>21415.635999999999</v>
      </c>
      <c r="Z529">
        <f>ReconciliationData[[#This Row],[billed_revenue]]-ReconciliationData[[#This Row],[expected_revenue]]</f>
        <v>0</v>
      </c>
      <c r="AA5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29" t="str">
        <f>IF(ReconciliationData[[#This Row],[severity_score]]=0,"LOW",
 IF(ReconciliationData[[#This Row],[severity_score]]&lt;=5,"MEDIUM","HIGH"))</f>
        <v>LOW</v>
      </c>
      <c r="AC529" t="str">
        <f>TEXT(ReconciliationData[[#This Row],[Order_Date]],"YYYY-MM")</f>
        <v>2024-04</v>
      </c>
    </row>
    <row r="530" spans="1:29">
      <c r="A530" t="s">
        <v>1837</v>
      </c>
      <c r="B530" s="1">
        <v>45086</v>
      </c>
      <c r="C530" t="s">
        <v>1838</v>
      </c>
      <c r="D530" t="s">
        <v>341</v>
      </c>
      <c r="E530">
        <v>26</v>
      </c>
      <c r="F530" t="s">
        <v>1839</v>
      </c>
      <c r="G530">
        <v>26</v>
      </c>
      <c r="H530">
        <v>48.324927237264276</v>
      </c>
      <c r="N530">
        <v>47.936999999999998</v>
      </c>
      <c r="O530" s="1">
        <v>44934</v>
      </c>
      <c r="P530">
        <f>IF(ISBLANK(ReconciliationData[[#This Row],[Invoice_ID]]),1,0)</f>
        <v>0</v>
      </c>
      <c r="Q530">
        <f>IF(AND(NOT(ISBLANK(ReconciliationData[[#This Row],[Billed_Units]])),ReconciliationData[[#This Row],[ordered_units]]&lt;&gt;ReconciliationData[[#This Row],[Billed_Units]]),1,0)</f>
        <v>0</v>
      </c>
      <c r="R530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530">
        <f>IF(AND(NOT(ISBLANK(ReconciliationData[[#This Row],[Contract_Price]])),ReconciliationData[[#This Row],[Billed_Price]]&lt;&gt;ReconciliationData[[#This Row],[Contract_Price]]),1,0)</f>
        <v>0</v>
      </c>
      <c r="T530">
        <f>IF(AND(NOT(ISBLANK(ReconciliationData[[#This Row],[End_Date]])),ReconciliationData[[#This Row],[Order_Date]]&gt;ReconciliationData[[#This Row],[End_Date]]),1,0)</f>
        <v>0</v>
      </c>
      <c r="U530">
        <f>IF(AND(NOT(ISBLANK(ReconciliationData[[#This Row],[last_return_date]])),ReconciliationData[[#This Row],[last_return_date]]&gt;ReconciliationData[[#This Row],[Order_Date]]+60),1,0)</f>
        <v>0</v>
      </c>
      <c r="V530">
        <f>IF(ReconciliationData[[#This Row],[total_returned_units]]&gt;ReconciliationData[[#This Row],[ordered_units]],1,0)</f>
        <v>0</v>
      </c>
      <c r="W5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530">
        <f>ReconciliationData[[#This Row],[Billed_Units]]*ReconciliationData[[#This Row],[Billed_Price]]</f>
        <v>1256.4481081688712</v>
      </c>
      <c r="Y530">
        <f>ReconciliationData[[#This Row],[ordered_units]]*ReconciliationData[[#This Row],[List_Price]]</f>
        <v>1246.3619999999999</v>
      </c>
      <c r="Z530">
        <f>ReconciliationData[[#This Row],[billed_revenue]]-ReconciliationData[[#This Row],[expected_revenue]]</f>
        <v>10.086108168871306</v>
      </c>
      <c r="AA5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530" t="str">
        <f>IF(ReconciliationData[[#This Row],[severity_score]]=0,"LOW",
 IF(ReconciliationData[[#This Row],[severity_score]]&lt;=5,"MEDIUM","HIGH"))</f>
        <v>MEDIUM</v>
      </c>
      <c r="AC530" t="str">
        <f>TEXT(ReconciliationData[[#This Row],[Order_Date]],"YYYY-MM")</f>
        <v>2023-06</v>
      </c>
    </row>
    <row r="531" spans="1:29">
      <c r="A531" t="s">
        <v>1840</v>
      </c>
      <c r="B531" s="1">
        <v>45519</v>
      </c>
      <c r="C531" t="s">
        <v>1841</v>
      </c>
      <c r="D531" t="s">
        <v>1175</v>
      </c>
      <c r="E531">
        <v>52</v>
      </c>
      <c r="F531" t="s">
        <v>1842</v>
      </c>
      <c r="G531">
        <v>52</v>
      </c>
      <c r="H531">
        <v>589.66600000000005</v>
      </c>
      <c r="N531">
        <v>589.66600000000005</v>
      </c>
      <c r="O531" s="1">
        <v>45218</v>
      </c>
      <c r="P531">
        <f>IF(ISBLANK(ReconciliationData[[#This Row],[Invoice_ID]]),1,0)</f>
        <v>0</v>
      </c>
      <c r="Q531">
        <f>IF(AND(NOT(ISBLANK(ReconciliationData[[#This Row],[Billed_Units]])),ReconciliationData[[#This Row],[ordered_units]]&lt;&gt;ReconciliationData[[#This Row],[Billed_Units]]),1,0)</f>
        <v>0</v>
      </c>
      <c r="R5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31">
        <f>IF(AND(NOT(ISBLANK(ReconciliationData[[#This Row],[Contract_Price]])),ReconciliationData[[#This Row],[Billed_Price]]&lt;&gt;ReconciliationData[[#This Row],[Contract_Price]]),1,0)</f>
        <v>0</v>
      </c>
      <c r="T531">
        <f>IF(AND(NOT(ISBLANK(ReconciliationData[[#This Row],[End_Date]])),ReconciliationData[[#This Row],[Order_Date]]&gt;ReconciliationData[[#This Row],[End_Date]]),1,0)</f>
        <v>0</v>
      </c>
      <c r="U531">
        <f>IF(AND(NOT(ISBLANK(ReconciliationData[[#This Row],[last_return_date]])),ReconciliationData[[#This Row],[last_return_date]]&gt;ReconciliationData[[#This Row],[Order_Date]]+60),1,0)</f>
        <v>0</v>
      </c>
      <c r="V531">
        <f>IF(ReconciliationData[[#This Row],[total_returned_units]]&gt;ReconciliationData[[#This Row],[ordered_units]],1,0)</f>
        <v>0</v>
      </c>
      <c r="W5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31">
        <f>ReconciliationData[[#This Row],[Billed_Units]]*ReconciliationData[[#This Row],[Billed_Price]]</f>
        <v>30662.632000000001</v>
      </c>
      <c r="Y531">
        <f>ReconciliationData[[#This Row],[ordered_units]]*ReconciliationData[[#This Row],[List_Price]]</f>
        <v>30662.632000000001</v>
      </c>
      <c r="Z531">
        <f>ReconciliationData[[#This Row],[billed_revenue]]-ReconciliationData[[#This Row],[expected_revenue]]</f>
        <v>0</v>
      </c>
      <c r="AA5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31" t="str">
        <f>IF(ReconciliationData[[#This Row],[severity_score]]=0,"LOW",
 IF(ReconciliationData[[#This Row],[severity_score]]&lt;=5,"MEDIUM","HIGH"))</f>
        <v>LOW</v>
      </c>
      <c r="AC531" t="str">
        <f>TEXT(ReconciliationData[[#This Row],[Order_Date]],"YYYY-MM")</f>
        <v>2024-08</v>
      </c>
    </row>
    <row r="532" spans="1:29">
      <c r="A532" t="s">
        <v>1843</v>
      </c>
      <c r="B532" s="1">
        <v>45512</v>
      </c>
      <c r="C532" t="s">
        <v>1844</v>
      </c>
      <c r="D532" t="s">
        <v>1845</v>
      </c>
      <c r="E532">
        <v>95</v>
      </c>
      <c r="F532" t="s">
        <v>1846</v>
      </c>
      <c r="G532">
        <v>95</v>
      </c>
      <c r="H532">
        <v>901.84500000000003</v>
      </c>
      <c r="N532">
        <v>901.84500000000003</v>
      </c>
      <c r="O532" s="1">
        <v>45216</v>
      </c>
      <c r="P532">
        <f>IF(ISBLANK(ReconciliationData[[#This Row],[Invoice_ID]]),1,0)</f>
        <v>0</v>
      </c>
      <c r="Q532">
        <f>IF(AND(NOT(ISBLANK(ReconciliationData[[#This Row],[Billed_Units]])),ReconciliationData[[#This Row],[ordered_units]]&lt;&gt;ReconciliationData[[#This Row],[Billed_Units]]),1,0)</f>
        <v>0</v>
      </c>
      <c r="R5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32">
        <f>IF(AND(NOT(ISBLANK(ReconciliationData[[#This Row],[Contract_Price]])),ReconciliationData[[#This Row],[Billed_Price]]&lt;&gt;ReconciliationData[[#This Row],[Contract_Price]]),1,0)</f>
        <v>0</v>
      </c>
      <c r="T532">
        <f>IF(AND(NOT(ISBLANK(ReconciliationData[[#This Row],[End_Date]])),ReconciliationData[[#This Row],[Order_Date]]&gt;ReconciliationData[[#This Row],[End_Date]]),1,0)</f>
        <v>0</v>
      </c>
      <c r="U532">
        <f>IF(AND(NOT(ISBLANK(ReconciliationData[[#This Row],[last_return_date]])),ReconciliationData[[#This Row],[last_return_date]]&gt;ReconciliationData[[#This Row],[Order_Date]]+60),1,0)</f>
        <v>0</v>
      </c>
      <c r="V532">
        <f>IF(ReconciliationData[[#This Row],[total_returned_units]]&gt;ReconciliationData[[#This Row],[ordered_units]],1,0)</f>
        <v>0</v>
      </c>
      <c r="W5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32">
        <f>ReconciliationData[[#This Row],[Billed_Units]]*ReconciliationData[[#This Row],[Billed_Price]]</f>
        <v>85675.275000000009</v>
      </c>
      <c r="Y532">
        <f>ReconciliationData[[#This Row],[ordered_units]]*ReconciliationData[[#This Row],[List_Price]]</f>
        <v>85675.275000000009</v>
      </c>
      <c r="Z532">
        <f>ReconciliationData[[#This Row],[billed_revenue]]-ReconciliationData[[#This Row],[expected_revenue]]</f>
        <v>0</v>
      </c>
      <c r="AA5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32" t="str">
        <f>IF(ReconciliationData[[#This Row],[severity_score]]=0,"LOW",
 IF(ReconciliationData[[#This Row],[severity_score]]&lt;=5,"MEDIUM","HIGH"))</f>
        <v>LOW</v>
      </c>
      <c r="AC532" t="str">
        <f>TEXT(ReconciliationData[[#This Row],[Order_Date]],"YYYY-MM")</f>
        <v>2024-08</v>
      </c>
    </row>
    <row r="533" spans="1:29">
      <c r="A533" t="s">
        <v>1847</v>
      </c>
      <c r="B533" s="1">
        <v>45640</v>
      </c>
      <c r="C533" t="s">
        <v>1325</v>
      </c>
      <c r="D533" t="s">
        <v>1848</v>
      </c>
      <c r="E533">
        <v>193</v>
      </c>
      <c r="F533" t="s">
        <v>1849</v>
      </c>
      <c r="G533">
        <v>193</v>
      </c>
      <c r="H533">
        <v>92.962000000000003</v>
      </c>
      <c r="N533">
        <v>92.962000000000003</v>
      </c>
      <c r="O533" s="1">
        <v>45151</v>
      </c>
      <c r="P533">
        <f>IF(ISBLANK(ReconciliationData[[#This Row],[Invoice_ID]]),1,0)</f>
        <v>0</v>
      </c>
      <c r="Q533">
        <f>IF(AND(NOT(ISBLANK(ReconciliationData[[#This Row],[Billed_Units]])),ReconciliationData[[#This Row],[ordered_units]]&lt;&gt;ReconciliationData[[#This Row],[Billed_Units]]),1,0)</f>
        <v>0</v>
      </c>
      <c r="R5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33">
        <f>IF(AND(NOT(ISBLANK(ReconciliationData[[#This Row],[Contract_Price]])),ReconciliationData[[#This Row],[Billed_Price]]&lt;&gt;ReconciliationData[[#This Row],[Contract_Price]]),1,0)</f>
        <v>0</v>
      </c>
      <c r="T533">
        <f>IF(AND(NOT(ISBLANK(ReconciliationData[[#This Row],[End_Date]])),ReconciliationData[[#This Row],[Order_Date]]&gt;ReconciliationData[[#This Row],[End_Date]]),1,0)</f>
        <v>0</v>
      </c>
      <c r="U533">
        <f>IF(AND(NOT(ISBLANK(ReconciliationData[[#This Row],[last_return_date]])),ReconciliationData[[#This Row],[last_return_date]]&gt;ReconciliationData[[#This Row],[Order_Date]]+60),1,0)</f>
        <v>0</v>
      </c>
      <c r="V533">
        <f>IF(ReconciliationData[[#This Row],[total_returned_units]]&gt;ReconciliationData[[#This Row],[ordered_units]],1,0)</f>
        <v>0</v>
      </c>
      <c r="W5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33">
        <f>ReconciliationData[[#This Row],[Billed_Units]]*ReconciliationData[[#This Row],[Billed_Price]]</f>
        <v>17941.666000000001</v>
      </c>
      <c r="Y533">
        <f>ReconciliationData[[#This Row],[ordered_units]]*ReconciliationData[[#This Row],[List_Price]]</f>
        <v>17941.666000000001</v>
      </c>
      <c r="Z533">
        <f>ReconciliationData[[#This Row],[billed_revenue]]-ReconciliationData[[#This Row],[expected_revenue]]</f>
        <v>0</v>
      </c>
      <c r="AA5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33" t="str">
        <f>IF(ReconciliationData[[#This Row],[severity_score]]=0,"LOW",
 IF(ReconciliationData[[#This Row],[severity_score]]&lt;=5,"MEDIUM","HIGH"))</f>
        <v>LOW</v>
      </c>
      <c r="AC533" t="str">
        <f>TEXT(ReconciliationData[[#This Row],[Order_Date]],"YYYY-MM")</f>
        <v>2024-12</v>
      </c>
    </row>
    <row r="534" spans="1:29">
      <c r="A534" t="s">
        <v>1850</v>
      </c>
      <c r="B534" s="1">
        <v>45449</v>
      </c>
      <c r="C534" t="s">
        <v>1851</v>
      </c>
      <c r="D534" t="s">
        <v>223</v>
      </c>
      <c r="E534">
        <v>83</v>
      </c>
      <c r="F534" t="s">
        <v>1852</v>
      </c>
      <c r="G534">
        <v>83</v>
      </c>
      <c r="H534">
        <v>561.4076</v>
      </c>
      <c r="N534">
        <v>561.4076</v>
      </c>
      <c r="O534" s="1">
        <v>45006</v>
      </c>
      <c r="P534">
        <f>IF(ISBLANK(ReconciliationData[[#This Row],[Invoice_ID]]),1,0)</f>
        <v>0</v>
      </c>
      <c r="Q534">
        <f>IF(AND(NOT(ISBLANK(ReconciliationData[[#This Row],[Billed_Units]])),ReconciliationData[[#This Row],[ordered_units]]&lt;&gt;ReconciliationData[[#This Row],[Billed_Units]]),1,0)</f>
        <v>0</v>
      </c>
      <c r="R5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34">
        <f>IF(AND(NOT(ISBLANK(ReconciliationData[[#This Row],[Contract_Price]])),ReconciliationData[[#This Row],[Billed_Price]]&lt;&gt;ReconciliationData[[#This Row],[Contract_Price]]),1,0)</f>
        <v>0</v>
      </c>
      <c r="T534">
        <f>IF(AND(NOT(ISBLANK(ReconciliationData[[#This Row],[End_Date]])),ReconciliationData[[#This Row],[Order_Date]]&gt;ReconciliationData[[#This Row],[End_Date]]),1,0)</f>
        <v>0</v>
      </c>
      <c r="U534">
        <f>IF(AND(NOT(ISBLANK(ReconciliationData[[#This Row],[last_return_date]])),ReconciliationData[[#This Row],[last_return_date]]&gt;ReconciliationData[[#This Row],[Order_Date]]+60),1,0)</f>
        <v>0</v>
      </c>
      <c r="V534">
        <f>IF(ReconciliationData[[#This Row],[total_returned_units]]&gt;ReconciliationData[[#This Row],[ordered_units]],1,0)</f>
        <v>0</v>
      </c>
      <c r="W5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34">
        <f>ReconciliationData[[#This Row],[Billed_Units]]*ReconciliationData[[#This Row],[Billed_Price]]</f>
        <v>46596.830800000003</v>
      </c>
      <c r="Y534">
        <f>ReconciliationData[[#This Row],[ordered_units]]*ReconciliationData[[#This Row],[List_Price]]</f>
        <v>46596.830800000003</v>
      </c>
      <c r="Z534">
        <f>ReconciliationData[[#This Row],[billed_revenue]]-ReconciliationData[[#This Row],[expected_revenue]]</f>
        <v>0</v>
      </c>
      <c r="AA5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34" t="str">
        <f>IF(ReconciliationData[[#This Row],[severity_score]]=0,"LOW",
 IF(ReconciliationData[[#This Row],[severity_score]]&lt;=5,"MEDIUM","HIGH"))</f>
        <v>LOW</v>
      </c>
      <c r="AC534" t="str">
        <f>TEXT(ReconciliationData[[#This Row],[Order_Date]],"YYYY-MM")</f>
        <v>2024-06</v>
      </c>
    </row>
    <row r="535" spans="1:29">
      <c r="A535" t="s">
        <v>1853</v>
      </c>
      <c r="B535" s="1">
        <v>45582</v>
      </c>
      <c r="C535" t="s">
        <v>1765</v>
      </c>
      <c r="D535" t="s">
        <v>1432</v>
      </c>
      <c r="E535">
        <v>47</v>
      </c>
      <c r="F535" t="s">
        <v>1854</v>
      </c>
      <c r="G535">
        <v>47</v>
      </c>
      <c r="H535">
        <v>828.36189999999999</v>
      </c>
      <c r="N535">
        <v>828.36189999999999</v>
      </c>
      <c r="O535" s="1">
        <v>45137</v>
      </c>
      <c r="P535">
        <f>IF(ISBLANK(ReconciliationData[[#This Row],[Invoice_ID]]),1,0)</f>
        <v>0</v>
      </c>
      <c r="Q535">
        <f>IF(AND(NOT(ISBLANK(ReconciliationData[[#This Row],[Billed_Units]])),ReconciliationData[[#This Row],[ordered_units]]&lt;&gt;ReconciliationData[[#This Row],[Billed_Units]]),1,0)</f>
        <v>0</v>
      </c>
      <c r="R5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35">
        <f>IF(AND(NOT(ISBLANK(ReconciliationData[[#This Row],[Contract_Price]])),ReconciliationData[[#This Row],[Billed_Price]]&lt;&gt;ReconciliationData[[#This Row],[Contract_Price]]),1,0)</f>
        <v>0</v>
      </c>
      <c r="T535">
        <f>IF(AND(NOT(ISBLANK(ReconciliationData[[#This Row],[End_Date]])),ReconciliationData[[#This Row],[Order_Date]]&gt;ReconciliationData[[#This Row],[End_Date]]),1,0)</f>
        <v>0</v>
      </c>
      <c r="U535">
        <f>IF(AND(NOT(ISBLANK(ReconciliationData[[#This Row],[last_return_date]])),ReconciliationData[[#This Row],[last_return_date]]&gt;ReconciliationData[[#This Row],[Order_Date]]+60),1,0)</f>
        <v>0</v>
      </c>
      <c r="V535">
        <f>IF(ReconciliationData[[#This Row],[total_returned_units]]&gt;ReconciliationData[[#This Row],[ordered_units]],1,0)</f>
        <v>0</v>
      </c>
      <c r="W5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35">
        <f>ReconciliationData[[#This Row],[Billed_Units]]*ReconciliationData[[#This Row],[Billed_Price]]</f>
        <v>38933.009299999998</v>
      </c>
      <c r="Y535">
        <f>ReconciliationData[[#This Row],[ordered_units]]*ReconciliationData[[#This Row],[List_Price]]</f>
        <v>38933.009299999998</v>
      </c>
      <c r="Z535">
        <f>ReconciliationData[[#This Row],[billed_revenue]]-ReconciliationData[[#This Row],[expected_revenue]]</f>
        <v>0</v>
      </c>
      <c r="AA5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35" t="str">
        <f>IF(ReconciliationData[[#This Row],[severity_score]]=0,"LOW",
 IF(ReconciliationData[[#This Row],[severity_score]]&lt;=5,"MEDIUM","HIGH"))</f>
        <v>LOW</v>
      </c>
      <c r="AC535" t="str">
        <f>TEXT(ReconciliationData[[#This Row],[Order_Date]],"YYYY-MM")</f>
        <v>2024-10</v>
      </c>
    </row>
    <row r="536" spans="1:29">
      <c r="A536" t="s">
        <v>1855</v>
      </c>
      <c r="B536" s="1">
        <v>45547</v>
      </c>
      <c r="C536" t="s">
        <v>1856</v>
      </c>
      <c r="D536" t="s">
        <v>604</v>
      </c>
      <c r="E536">
        <v>20</v>
      </c>
      <c r="F536" t="s">
        <v>1857</v>
      </c>
      <c r="G536">
        <v>20</v>
      </c>
      <c r="H536">
        <v>1072.5387000000001</v>
      </c>
      <c r="N536">
        <v>1072.5387000000001</v>
      </c>
      <c r="O536" s="1">
        <v>45023</v>
      </c>
      <c r="P536">
        <f>IF(ISBLANK(ReconciliationData[[#This Row],[Invoice_ID]]),1,0)</f>
        <v>0</v>
      </c>
      <c r="Q536">
        <f>IF(AND(NOT(ISBLANK(ReconciliationData[[#This Row],[Billed_Units]])),ReconciliationData[[#This Row],[ordered_units]]&lt;&gt;ReconciliationData[[#This Row],[Billed_Units]]),1,0)</f>
        <v>0</v>
      </c>
      <c r="R5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36">
        <f>IF(AND(NOT(ISBLANK(ReconciliationData[[#This Row],[Contract_Price]])),ReconciliationData[[#This Row],[Billed_Price]]&lt;&gt;ReconciliationData[[#This Row],[Contract_Price]]),1,0)</f>
        <v>0</v>
      </c>
      <c r="T536">
        <f>IF(AND(NOT(ISBLANK(ReconciliationData[[#This Row],[End_Date]])),ReconciliationData[[#This Row],[Order_Date]]&gt;ReconciliationData[[#This Row],[End_Date]]),1,0)</f>
        <v>0</v>
      </c>
      <c r="U536">
        <f>IF(AND(NOT(ISBLANK(ReconciliationData[[#This Row],[last_return_date]])),ReconciliationData[[#This Row],[last_return_date]]&gt;ReconciliationData[[#This Row],[Order_Date]]+60),1,0)</f>
        <v>0</v>
      </c>
      <c r="V536">
        <f>IF(ReconciliationData[[#This Row],[total_returned_units]]&gt;ReconciliationData[[#This Row],[ordered_units]],1,0)</f>
        <v>0</v>
      </c>
      <c r="W5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36">
        <f>ReconciliationData[[#This Row],[Billed_Units]]*ReconciliationData[[#This Row],[Billed_Price]]</f>
        <v>21450.774000000001</v>
      </c>
      <c r="Y536">
        <f>ReconciliationData[[#This Row],[ordered_units]]*ReconciliationData[[#This Row],[List_Price]]</f>
        <v>21450.774000000001</v>
      </c>
      <c r="Z536">
        <f>ReconciliationData[[#This Row],[billed_revenue]]-ReconciliationData[[#This Row],[expected_revenue]]</f>
        <v>0</v>
      </c>
      <c r="AA5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36" t="str">
        <f>IF(ReconciliationData[[#This Row],[severity_score]]=0,"LOW",
 IF(ReconciliationData[[#This Row],[severity_score]]&lt;=5,"MEDIUM","HIGH"))</f>
        <v>LOW</v>
      </c>
      <c r="AC536" t="str">
        <f>TEXT(ReconciliationData[[#This Row],[Order_Date]],"YYYY-MM")</f>
        <v>2024-09</v>
      </c>
    </row>
    <row r="537" spans="1:29">
      <c r="A537" t="s">
        <v>1858</v>
      </c>
      <c r="B537" s="1">
        <v>45156</v>
      </c>
      <c r="C537" t="s">
        <v>328</v>
      </c>
      <c r="D537" t="s">
        <v>1362</v>
      </c>
      <c r="E537">
        <v>140</v>
      </c>
      <c r="F537" t="s">
        <v>1859</v>
      </c>
      <c r="G537">
        <v>140</v>
      </c>
      <c r="H537">
        <v>82.749600000000015</v>
      </c>
      <c r="N537">
        <v>82.749600000000015</v>
      </c>
      <c r="O537" s="1">
        <v>45068</v>
      </c>
      <c r="P537">
        <f>IF(ISBLANK(ReconciliationData[[#This Row],[Invoice_ID]]),1,0)</f>
        <v>0</v>
      </c>
      <c r="Q537">
        <f>IF(AND(NOT(ISBLANK(ReconciliationData[[#This Row],[Billed_Units]])),ReconciliationData[[#This Row],[ordered_units]]&lt;&gt;ReconciliationData[[#This Row],[Billed_Units]]),1,0)</f>
        <v>0</v>
      </c>
      <c r="R5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37">
        <f>IF(AND(NOT(ISBLANK(ReconciliationData[[#This Row],[Contract_Price]])),ReconciliationData[[#This Row],[Billed_Price]]&lt;&gt;ReconciliationData[[#This Row],[Contract_Price]]),1,0)</f>
        <v>0</v>
      </c>
      <c r="T537">
        <f>IF(AND(NOT(ISBLANK(ReconciliationData[[#This Row],[End_Date]])),ReconciliationData[[#This Row],[Order_Date]]&gt;ReconciliationData[[#This Row],[End_Date]]),1,0)</f>
        <v>0</v>
      </c>
      <c r="U537">
        <f>IF(AND(NOT(ISBLANK(ReconciliationData[[#This Row],[last_return_date]])),ReconciliationData[[#This Row],[last_return_date]]&gt;ReconciliationData[[#This Row],[Order_Date]]+60),1,0)</f>
        <v>0</v>
      </c>
      <c r="V537">
        <f>IF(ReconciliationData[[#This Row],[total_returned_units]]&gt;ReconciliationData[[#This Row],[ordered_units]],1,0)</f>
        <v>0</v>
      </c>
      <c r="W5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37">
        <f>ReconciliationData[[#This Row],[Billed_Units]]*ReconciliationData[[#This Row],[Billed_Price]]</f>
        <v>11584.944000000001</v>
      </c>
      <c r="Y537">
        <f>ReconciliationData[[#This Row],[ordered_units]]*ReconciliationData[[#This Row],[List_Price]]</f>
        <v>11584.944000000001</v>
      </c>
      <c r="Z537">
        <f>ReconciliationData[[#This Row],[billed_revenue]]-ReconciliationData[[#This Row],[expected_revenue]]</f>
        <v>0</v>
      </c>
      <c r="AA5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37" t="str">
        <f>IF(ReconciliationData[[#This Row],[severity_score]]=0,"LOW",
 IF(ReconciliationData[[#This Row],[severity_score]]&lt;=5,"MEDIUM","HIGH"))</f>
        <v>LOW</v>
      </c>
      <c r="AC537" t="str">
        <f>TEXT(ReconciliationData[[#This Row],[Order_Date]],"YYYY-MM")</f>
        <v>2023-08</v>
      </c>
    </row>
    <row r="538" spans="1:29">
      <c r="A538" t="s">
        <v>1860</v>
      </c>
      <c r="B538" s="1">
        <v>45541</v>
      </c>
      <c r="C538" t="s">
        <v>1861</v>
      </c>
      <c r="D538" t="s">
        <v>1362</v>
      </c>
      <c r="E538">
        <v>185</v>
      </c>
      <c r="F538" t="s">
        <v>1862</v>
      </c>
      <c r="G538">
        <v>185</v>
      </c>
      <c r="H538">
        <v>82.749600000000015</v>
      </c>
      <c r="N538">
        <v>82.749600000000015</v>
      </c>
      <c r="O538" s="1">
        <v>45068</v>
      </c>
      <c r="P538">
        <f>IF(ISBLANK(ReconciliationData[[#This Row],[Invoice_ID]]),1,0)</f>
        <v>0</v>
      </c>
      <c r="Q538">
        <f>IF(AND(NOT(ISBLANK(ReconciliationData[[#This Row],[Billed_Units]])),ReconciliationData[[#This Row],[ordered_units]]&lt;&gt;ReconciliationData[[#This Row],[Billed_Units]]),1,0)</f>
        <v>0</v>
      </c>
      <c r="R5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38">
        <f>IF(AND(NOT(ISBLANK(ReconciliationData[[#This Row],[Contract_Price]])),ReconciliationData[[#This Row],[Billed_Price]]&lt;&gt;ReconciliationData[[#This Row],[Contract_Price]]),1,0)</f>
        <v>0</v>
      </c>
      <c r="T538">
        <f>IF(AND(NOT(ISBLANK(ReconciliationData[[#This Row],[End_Date]])),ReconciliationData[[#This Row],[Order_Date]]&gt;ReconciliationData[[#This Row],[End_Date]]),1,0)</f>
        <v>0</v>
      </c>
      <c r="U538">
        <f>IF(AND(NOT(ISBLANK(ReconciliationData[[#This Row],[last_return_date]])),ReconciliationData[[#This Row],[last_return_date]]&gt;ReconciliationData[[#This Row],[Order_Date]]+60),1,0)</f>
        <v>0</v>
      </c>
      <c r="V538">
        <f>IF(ReconciliationData[[#This Row],[total_returned_units]]&gt;ReconciliationData[[#This Row],[ordered_units]],1,0)</f>
        <v>0</v>
      </c>
      <c r="W5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38">
        <f>ReconciliationData[[#This Row],[Billed_Units]]*ReconciliationData[[#This Row],[Billed_Price]]</f>
        <v>15308.676000000003</v>
      </c>
      <c r="Y538">
        <f>ReconciliationData[[#This Row],[ordered_units]]*ReconciliationData[[#This Row],[List_Price]]</f>
        <v>15308.676000000003</v>
      </c>
      <c r="Z538">
        <f>ReconciliationData[[#This Row],[billed_revenue]]-ReconciliationData[[#This Row],[expected_revenue]]</f>
        <v>0</v>
      </c>
      <c r="AA5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38" t="str">
        <f>IF(ReconciliationData[[#This Row],[severity_score]]=0,"LOW",
 IF(ReconciliationData[[#This Row],[severity_score]]&lt;=5,"MEDIUM","HIGH"))</f>
        <v>LOW</v>
      </c>
      <c r="AC538" t="str">
        <f>TEXT(ReconciliationData[[#This Row],[Order_Date]],"YYYY-MM")</f>
        <v>2024-09</v>
      </c>
    </row>
    <row r="539" spans="1:29">
      <c r="A539" t="s">
        <v>1863</v>
      </c>
      <c r="B539" s="1">
        <v>45214</v>
      </c>
      <c r="C539" t="s">
        <v>1615</v>
      </c>
      <c r="D539" t="s">
        <v>775</v>
      </c>
      <c r="E539">
        <v>11</v>
      </c>
      <c r="F539" t="s">
        <v>1864</v>
      </c>
      <c r="G539">
        <v>11</v>
      </c>
      <c r="H539">
        <v>1231.8180000000002</v>
      </c>
      <c r="N539">
        <v>1231.8180000000002</v>
      </c>
      <c r="O539" s="1">
        <v>45048</v>
      </c>
      <c r="P539">
        <f>IF(ISBLANK(ReconciliationData[[#This Row],[Invoice_ID]]),1,0)</f>
        <v>0</v>
      </c>
      <c r="Q539">
        <f>IF(AND(NOT(ISBLANK(ReconciliationData[[#This Row],[Billed_Units]])),ReconciliationData[[#This Row],[ordered_units]]&lt;&gt;ReconciliationData[[#This Row],[Billed_Units]]),1,0)</f>
        <v>0</v>
      </c>
      <c r="R5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39">
        <f>IF(AND(NOT(ISBLANK(ReconciliationData[[#This Row],[Contract_Price]])),ReconciliationData[[#This Row],[Billed_Price]]&lt;&gt;ReconciliationData[[#This Row],[Contract_Price]]),1,0)</f>
        <v>0</v>
      </c>
      <c r="T539">
        <f>IF(AND(NOT(ISBLANK(ReconciliationData[[#This Row],[End_Date]])),ReconciliationData[[#This Row],[Order_Date]]&gt;ReconciliationData[[#This Row],[End_Date]]),1,0)</f>
        <v>0</v>
      </c>
      <c r="U539">
        <f>IF(AND(NOT(ISBLANK(ReconciliationData[[#This Row],[last_return_date]])),ReconciliationData[[#This Row],[last_return_date]]&gt;ReconciliationData[[#This Row],[Order_Date]]+60),1,0)</f>
        <v>0</v>
      </c>
      <c r="V539">
        <f>IF(ReconciliationData[[#This Row],[total_returned_units]]&gt;ReconciliationData[[#This Row],[ordered_units]],1,0)</f>
        <v>0</v>
      </c>
      <c r="W5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39">
        <f>ReconciliationData[[#This Row],[Billed_Units]]*ReconciliationData[[#This Row],[Billed_Price]]</f>
        <v>13549.998000000003</v>
      </c>
      <c r="Y539">
        <f>ReconciliationData[[#This Row],[ordered_units]]*ReconciliationData[[#This Row],[List_Price]]</f>
        <v>13549.998000000003</v>
      </c>
      <c r="Z539">
        <f>ReconciliationData[[#This Row],[billed_revenue]]-ReconciliationData[[#This Row],[expected_revenue]]</f>
        <v>0</v>
      </c>
      <c r="AA5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39" t="str">
        <f>IF(ReconciliationData[[#This Row],[severity_score]]=0,"LOW",
 IF(ReconciliationData[[#This Row],[severity_score]]&lt;=5,"MEDIUM","HIGH"))</f>
        <v>LOW</v>
      </c>
      <c r="AC539" t="str">
        <f>TEXT(ReconciliationData[[#This Row],[Order_Date]],"YYYY-MM")</f>
        <v>2023-10</v>
      </c>
    </row>
    <row r="540" spans="1:29">
      <c r="A540" t="s">
        <v>1865</v>
      </c>
      <c r="B540" s="1">
        <v>45420</v>
      </c>
      <c r="C540" t="s">
        <v>1866</v>
      </c>
      <c r="D540" t="s">
        <v>821</v>
      </c>
      <c r="E540">
        <v>38</v>
      </c>
      <c r="F540" t="s">
        <v>1867</v>
      </c>
      <c r="G540">
        <v>38</v>
      </c>
      <c r="H540">
        <v>785.89</v>
      </c>
      <c r="N540">
        <v>785.89</v>
      </c>
      <c r="O540" s="1">
        <v>44989</v>
      </c>
      <c r="P540">
        <f>IF(ISBLANK(ReconciliationData[[#This Row],[Invoice_ID]]),1,0)</f>
        <v>0</v>
      </c>
      <c r="Q540">
        <f>IF(AND(NOT(ISBLANK(ReconciliationData[[#This Row],[Billed_Units]])),ReconciliationData[[#This Row],[ordered_units]]&lt;&gt;ReconciliationData[[#This Row],[Billed_Units]]),1,0)</f>
        <v>0</v>
      </c>
      <c r="R5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0">
        <f>IF(AND(NOT(ISBLANK(ReconciliationData[[#This Row],[Contract_Price]])),ReconciliationData[[#This Row],[Billed_Price]]&lt;&gt;ReconciliationData[[#This Row],[Contract_Price]]),1,0)</f>
        <v>0</v>
      </c>
      <c r="T540">
        <f>IF(AND(NOT(ISBLANK(ReconciliationData[[#This Row],[End_Date]])),ReconciliationData[[#This Row],[Order_Date]]&gt;ReconciliationData[[#This Row],[End_Date]]),1,0)</f>
        <v>0</v>
      </c>
      <c r="U540">
        <f>IF(AND(NOT(ISBLANK(ReconciliationData[[#This Row],[last_return_date]])),ReconciliationData[[#This Row],[last_return_date]]&gt;ReconciliationData[[#This Row],[Order_Date]]+60),1,0)</f>
        <v>0</v>
      </c>
      <c r="V540">
        <f>IF(ReconciliationData[[#This Row],[total_returned_units]]&gt;ReconciliationData[[#This Row],[ordered_units]],1,0)</f>
        <v>0</v>
      </c>
      <c r="W5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40">
        <f>ReconciliationData[[#This Row],[Billed_Units]]*ReconciliationData[[#This Row],[Billed_Price]]</f>
        <v>29863.82</v>
      </c>
      <c r="Y540">
        <f>ReconciliationData[[#This Row],[ordered_units]]*ReconciliationData[[#This Row],[List_Price]]</f>
        <v>29863.82</v>
      </c>
      <c r="Z540">
        <f>ReconciliationData[[#This Row],[billed_revenue]]-ReconciliationData[[#This Row],[expected_revenue]]</f>
        <v>0</v>
      </c>
      <c r="AA5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40" t="str">
        <f>IF(ReconciliationData[[#This Row],[severity_score]]=0,"LOW",
 IF(ReconciliationData[[#This Row],[severity_score]]&lt;=5,"MEDIUM","HIGH"))</f>
        <v>LOW</v>
      </c>
      <c r="AC540" t="str">
        <f>TEXT(ReconciliationData[[#This Row],[Order_Date]],"YYYY-MM")</f>
        <v>2024-05</v>
      </c>
    </row>
    <row r="541" spans="1:29">
      <c r="A541" t="s">
        <v>1868</v>
      </c>
      <c r="B541" s="1">
        <v>45314</v>
      </c>
      <c r="C541" t="s">
        <v>1545</v>
      </c>
      <c r="D541" t="s">
        <v>1869</v>
      </c>
      <c r="E541">
        <v>25</v>
      </c>
      <c r="F541" t="s">
        <v>1870</v>
      </c>
      <c r="G541">
        <v>33</v>
      </c>
      <c r="H541">
        <v>75.504800000000003</v>
      </c>
      <c r="N541">
        <v>75.504800000000003</v>
      </c>
      <c r="O541" s="1">
        <v>45080</v>
      </c>
      <c r="P541">
        <f>IF(ISBLANK(ReconciliationData[[#This Row],[Invoice_ID]]),1,0)</f>
        <v>0</v>
      </c>
      <c r="Q541">
        <f>IF(AND(NOT(ISBLANK(ReconciliationData[[#This Row],[Billed_Units]])),ReconciliationData[[#This Row],[ordered_units]]&lt;&gt;ReconciliationData[[#This Row],[Billed_Units]]),1,0)</f>
        <v>1</v>
      </c>
      <c r="R5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1">
        <f>IF(AND(NOT(ISBLANK(ReconciliationData[[#This Row],[Contract_Price]])),ReconciliationData[[#This Row],[Billed_Price]]&lt;&gt;ReconciliationData[[#This Row],[Contract_Price]]),1,0)</f>
        <v>0</v>
      </c>
      <c r="T541">
        <f>IF(AND(NOT(ISBLANK(ReconciliationData[[#This Row],[End_Date]])),ReconciliationData[[#This Row],[Order_Date]]&gt;ReconciliationData[[#This Row],[End_Date]]),1,0)</f>
        <v>0</v>
      </c>
      <c r="U541">
        <f>IF(AND(NOT(ISBLANK(ReconciliationData[[#This Row],[last_return_date]])),ReconciliationData[[#This Row],[last_return_date]]&gt;ReconciliationData[[#This Row],[Order_Date]]+60),1,0)</f>
        <v>0</v>
      </c>
      <c r="V541">
        <f>IF(ReconciliationData[[#This Row],[total_returned_units]]&gt;ReconciliationData[[#This Row],[ordered_units]],1,0)</f>
        <v>0</v>
      </c>
      <c r="W5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541">
        <f>ReconciliationData[[#This Row],[Billed_Units]]*ReconciliationData[[#This Row],[Billed_Price]]</f>
        <v>2491.6584000000003</v>
      </c>
      <c r="Y541">
        <f>ReconciliationData[[#This Row],[ordered_units]]*ReconciliationData[[#This Row],[List_Price]]</f>
        <v>1887.6200000000001</v>
      </c>
      <c r="Z541">
        <f>ReconciliationData[[#This Row],[billed_revenue]]-ReconciliationData[[#This Row],[expected_revenue]]</f>
        <v>604.03840000000014</v>
      </c>
      <c r="AA5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541" t="str">
        <f>IF(ReconciliationData[[#This Row],[severity_score]]=0,"LOW",
 IF(ReconciliationData[[#This Row],[severity_score]]&lt;=5,"MEDIUM","HIGH"))</f>
        <v>HIGH</v>
      </c>
      <c r="AC541" t="str">
        <f>TEXT(ReconciliationData[[#This Row],[Order_Date]],"YYYY-MM")</f>
        <v>2024-01</v>
      </c>
    </row>
    <row r="542" spans="1:29">
      <c r="A542" t="s">
        <v>1871</v>
      </c>
      <c r="B542" s="1">
        <v>45611</v>
      </c>
      <c r="C542" t="s">
        <v>1872</v>
      </c>
      <c r="D542" t="s">
        <v>500</v>
      </c>
      <c r="E542">
        <v>18</v>
      </c>
      <c r="F542" t="s">
        <v>1873</v>
      </c>
      <c r="G542">
        <v>18</v>
      </c>
      <c r="H542">
        <v>1086.3648000000001</v>
      </c>
      <c r="N542">
        <v>1086.3648000000001</v>
      </c>
      <c r="O542" s="1">
        <v>44940</v>
      </c>
      <c r="P542">
        <f>IF(ISBLANK(ReconciliationData[[#This Row],[Invoice_ID]]),1,0)</f>
        <v>0</v>
      </c>
      <c r="Q542">
        <f>IF(AND(NOT(ISBLANK(ReconciliationData[[#This Row],[Billed_Units]])),ReconciliationData[[#This Row],[ordered_units]]&lt;&gt;ReconciliationData[[#This Row],[Billed_Units]]),1,0)</f>
        <v>0</v>
      </c>
      <c r="R5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2">
        <f>IF(AND(NOT(ISBLANK(ReconciliationData[[#This Row],[Contract_Price]])),ReconciliationData[[#This Row],[Billed_Price]]&lt;&gt;ReconciliationData[[#This Row],[Contract_Price]]),1,0)</f>
        <v>0</v>
      </c>
      <c r="T542">
        <f>IF(AND(NOT(ISBLANK(ReconciliationData[[#This Row],[End_Date]])),ReconciliationData[[#This Row],[Order_Date]]&gt;ReconciliationData[[#This Row],[End_Date]]),1,0)</f>
        <v>0</v>
      </c>
      <c r="U542">
        <f>IF(AND(NOT(ISBLANK(ReconciliationData[[#This Row],[last_return_date]])),ReconciliationData[[#This Row],[last_return_date]]&gt;ReconciliationData[[#This Row],[Order_Date]]+60),1,0)</f>
        <v>0</v>
      </c>
      <c r="V542">
        <f>IF(ReconciliationData[[#This Row],[total_returned_units]]&gt;ReconciliationData[[#This Row],[ordered_units]],1,0)</f>
        <v>0</v>
      </c>
      <c r="W5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42">
        <f>ReconciliationData[[#This Row],[Billed_Units]]*ReconciliationData[[#This Row],[Billed_Price]]</f>
        <v>19554.5664</v>
      </c>
      <c r="Y542">
        <f>ReconciliationData[[#This Row],[ordered_units]]*ReconciliationData[[#This Row],[List_Price]]</f>
        <v>19554.5664</v>
      </c>
      <c r="Z542">
        <f>ReconciliationData[[#This Row],[billed_revenue]]-ReconciliationData[[#This Row],[expected_revenue]]</f>
        <v>0</v>
      </c>
      <c r="AA5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42" t="str">
        <f>IF(ReconciliationData[[#This Row],[severity_score]]=0,"LOW",
 IF(ReconciliationData[[#This Row],[severity_score]]&lt;=5,"MEDIUM","HIGH"))</f>
        <v>LOW</v>
      </c>
      <c r="AC542" t="str">
        <f>TEXT(ReconciliationData[[#This Row],[Order_Date]],"YYYY-MM")</f>
        <v>2024-11</v>
      </c>
    </row>
    <row r="543" spans="1:29">
      <c r="A543" t="s">
        <v>1874</v>
      </c>
      <c r="B543" s="1">
        <v>45107</v>
      </c>
      <c r="C543" t="s">
        <v>1875</v>
      </c>
      <c r="D543" t="s">
        <v>287</v>
      </c>
      <c r="E543">
        <v>156</v>
      </c>
      <c r="F543" t="s">
        <v>1876</v>
      </c>
      <c r="G543">
        <v>156</v>
      </c>
      <c r="H543">
        <v>690.84160000000008</v>
      </c>
      <c r="N543">
        <v>690.84160000000008</v>
      </c>
      <c r="O543" s="1">
        <v>45051</v>
      </c>
      <c r="P543">
        <f>IF(ISBLANK(ReconciliationData[[#This Row],[Invoice_ID]]),1,0)</f>
        <v>0</v>
      </c>
      <c r="Q543">
        <f>IF(AND(NOT(ISBLANK(ReconciliationData[[#This Row],[Billed_Units]])),ReconciliationData[[#This Row],[ordered_units]]&lt;&gt;ReconciliationData[[#This Row],[Billed_Units]]),1,0)</f>
        <v>0</v>
      </c>
      <c r="R5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3">
        <f>IF(AND(NOT(ISBLANK(ReconciliationData[[#This Row],[Contract_Price]])),ReconciliationData[[#This Row],[Billed_Price]]&lt;&gt;ReconciliationData[[#This Row],[Contract_Price]]),1,0)</f>
        <v>0</v>
      </c>
      <c r="T543">
        <f>IF(AND(NOT(ISBLANK(ReconciliationData[[#This Row],[End_Date]])),ReconciliationData[[#This Row],[Order_Date]]&gt;ReconciliationData[[#This Row],[End_Date]]),1,0)</f>
        <v>0</v>
      </c>
      <c r="U543">
        <f>IF(AND(NOT(ISBLANK(ReconciliationData[[#This Row],[last_return_date]])),ReconciliationData[[#This Row],[last_return_date]]&gt;ReconciliationData[[#This Row],[Order_Date]]+60),1,0)</f>
        <v>0</v>
      </c>
      <c r="V543">
        <f>IF(ReconciliationData[[#This Row],[total_returned_units]]&gt;ReconciliationData[[#This Row],[ordered_units]],1,0)</f>
        <v>0</v>
      </c>
      <c r="W5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43">
        <f>ReconciliationData[[#This Row],[Billed_Units]]*ReconciliationData[[#This Row],[Billed_Price]]</f>
        <v>107771.28960000002</v>
      </c>
      <c r="Y543">
        <f>ReconciliationData[[#This Row],[ordered_units]]*ReconciliationData[[#This Row],[List_Price]]</f>
        <v>107771.28960000002</v>
      </c>
      <c r="Z543">
        <f>ReconciliationData[[#This Row],[billed_revenue]]-ReconciliationData[[#This Row],[expected_revenue]]</f>
        <v>0</v>
      </c>
      <c r="AA5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43" t="str">
        <f>IF(ReconciliationData[[#This Row],[severity_score]]=0,"LOW",
 IF(ReconciliationData[[#This Row],[severity_score]]&lt;=5,"MEDIUM","HIGH"))</f>
        <v>LOW</v>
      </c>
      <c r="AC543" t="str">
        <f>TEXT(ReconciliationData[[#This Row],[Order_Date]],"YYYY-MM")</f>
        <v>2023-06</v>
      </c>
    </row>
    <row r="544" spans="1:29">
      <c r="A544" t="s">
        <v>1877</v>
      </c>
      <c r="B544" s="1">
        <v>45474</v>
      </c>
      <c r="C544" t="s">
        <v>1391</v>
      </c>
      <c r="D544" t="s">
        <v>1878</v>
      </c>
      <c r="E544">
        <v>68</v>
      </c>
      <c r="F544" t="s">
        <v>1879</v>
      </c>
      <c r="G544">
        <v>68</v>
      </c>
      <c r="H544">
        <v>681.36959999999999</v>
      </c>
      <c r="N544">
        <v>681.36959999999999</v>
      </c>
      <c r="O544" s="1">
        <v>45095</v>
      </c>
      <c r="P544">
        <f>IF(ISBLANK(ReconciliationData[[#This Row],[Invoice_ID]]),1,0)</f>
        <v>0</v>
      </c>
      <c r="Q544">
        <f>IF(AND(NOT(ISBLANK(ReconciliationData[[#This Row],[Billed_Units]])),ReconciliationData[[#This Row],[ordered_units]]&lt;&gt;ReconciliationData[[#This Row],[Billed_Units]]),1,0)</f>
        <v>0</v>
      </c>
      <c r="R5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4">
        <f>IF(AND(NOT(ISBLANK(ReconciliationData[[#This Row],[Contract_Price]])),ReconciliationData[[#This Row],[Billed_Price]]&lt;&gt;ReconciliationData[[#This Row],[Contract_Price]]),1,0)</f>
        <v>0</v>
      </c>
      <c r="T544">
        <f>IF(AND(NOT(ISBLANK(ReconciliationData[[#This Row],[End_Date]])),ReconciliationData[[#This Row],[Order_Date]]&gt;ReconciliationData[[#This Row],[End_Date]]),1,0)</f>
        <v>0</v>
      </c>
      <c r="U544">
        <f>IF(AND(NOT(ISBLANK(ReconciliationData[[#This Row],[last_return_date]])),ReconciliationData[[#This Row],[last_return_date]]&gt;ReconciliationData[[#This Row],[Order_Date]]+60),1,0)</f>
        <v>0</v>
      </c>
      <c r="V544">
        <f>IF(ReconciliationData[[#This Row],[total_returned_units]]&gt;ReconciliationData[[#This Row],[ordered_units]],1,0)</f>
        <v>0</v>
      </c>
      <c r="W5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44">
        <f>ReconciliationData[[#This Row],[Billed_Units]]*ReconciliationData[[#This Row],[Billed_Price]]</f>
        <v>46333.132799999999</v>
      </c>
      <c r="Y544">
        <f>ReconciliationData[[#This Row],[ordered_units]]*ReconciliationData[[#This Row],[List_Price]]</f>
        <v>46333.132799999999</v>
      </c>
      <c r="Z544">
        <f>ReconciliationData[[#This Row],[billed_revenue]]-ReconciliationData[[#This Row],[expected_revenue]]</f>
        <v>0</v>
      </c>
      <c r="AA5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44" t="str">
        <f>IF(ReconciliationData[[#This Row],[severity_score]]=0,"LOW",
 IF(ReconciliationData[[#This Row],[severity_score]]&lt;=5,"MEDIUM","HIGH"))</f>
        <v>LOW</v>
      </c>
      <c r="AC544" t="str">
        <f>TEXT(ReconciliationData[[#This Row],[Order_Date]],"YYYY-MM")</f>
        <v>2024-07</v>
      </c>
    </row>
    <row r="545" spans="1:29">
      <c r="A545" t="s">
        <v>1880</v>
      </c>
      <c r="B545" s="1">
        <v>45086</v>
      </c>
      <c r="C545" t="s">
        <v>460</v>
      </c>
      <c r="D545" t="s">
        <v>1616</v>
      </c>
      <c r="E545">
        <v>38</v>
      </c>
      <c r="F545" t="s">
        <v>1881</v>
      </c>
      <c r="G545">
        <v>38</v>
      </c>
      <c r="H545">
        <v>1137.9636</v>
      </c>
      <c r="N545">
        <v>1137.9636</v>
      </c>
      <c r="O545" s="1">
        <v>45007</v>
      </c>
      <c r="P545">
        <f>IF(ISBLANK(ReconciliationData[[#This Row],[Invoice_ID]]),1,0)</f>
        <v>0</v>
      </c>
      <c r="Q545">
        <f>IF(AND(NOT(ISBLANK(ReconciliationData[[#This Row],[Billed_Units]])),ReconciliationData[[#This Row],[ordered_units]]&lt;&gt;ReconciliationData[[#This Row],[Billed_Units]]),1,0)</f>
        <v>0</v>
      </c>
      <c r="R5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5">
        <f>IF(AND(NOT(ISBLANK(ReconciliationData[[#This Row],[Contract_Price]])),ReconciliationData[[#This Row],[Billed_Price]]&lt;&gt;ReconciliationData[[#This Row],[Contract_Price]]),1,0)</f>
        <v>0</v>
      </c>
      <c r="T545">
        <f>IF(AND(NOT(ISBLANK(ReconciliationData[[#This Row],[End_Date]])),ReconciliationData[[#This Row],[Order_Date]]&gt;ReconciliationData[[#This Row],[End_Date]]),1,0)</f>
        <v>0</v>
      </c>
      <c r="U545">
        <f>IF(AND(NOT(ISBLANK(ReconciliationData[[#This Row],[last_return_date]])),ReconciliationData[[#This Row],[last_return_date]]&gt;ReconciliationData[[#This Row],[Order_Date]]+60),1,0)</f>
        <v>0</v>
      </c>
      <c r="V545">
        <f>IF(ReconciliationData[[#This Row],[total_returned_units]]&gt;ReconciliationData[[#This Row],[ordered_units]],1,0)</f>
        <v>0</v>
      </c>
      <c r="W5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45">
        <f>ReconciliationData[[#This Row],[Billed_Units]]*ReconciliationData[[#This Row],[Billed_Price]]</f>
        <v>43242.616800000003</v>
      </c>
      <c r="Y545">
        <f>ReconciliationData[[#This Row],[ordered_units]]*ReconciliationData[[#This Row],[List_Price]]</f>
        <v>43242.616800000003</v>
      </c>
      <c r="Z545">
        <f>ReconciliationData[[#This Row],[billed_revenue]]-ReconciliationData[[#This Row],[expected_revenue]]</f>
        <v>0</v>
      </c>
      <c r="AA5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45" t="str">
        <f>IF(ReconciliationData[[#This Row],[severity_score]]=0,"LOW",
 IF(ReconciliationData[[#This Row],[severity_score]]&lt;=5,"MEDIUM","HIGH"))</f>
        <v>LOW</v>
      </c>
      <c r="AC545" t="str">
        <f>TEXT(ReconciliationData[[#This Row],[Order_Date]],"YYYY-MM")</f>
        <v>2023-06</v>
      </c>
    </row>
    <row r="546" spans="1:29">
      <c r="A546" t="s">
        <v>1882</v>
      </c>
      <c r="B546" s="1">
        <v>45646</v>
      </c>
      <c r="C546" t="s">
        <v>1883</v>
      </c>
      <c r="D546" t="s">
        <v>694</v>
      </c>
      <c r="E546">
        <v>53</v>
      </c>
      <c r="F546" t="s">
        <v>1884</v>
      </c>
      <c r="G546">
        <v>53</v>
      </c>
      <c r="H546">
        <v>618.375</v>
      </c>
      <c r="N546">
        <v>618.375</v>
      </c>
      <c r="O546" s="1">
        <v>45124</v>
      </c>
      <c r="P546">
        <f>IF(ISBLANK(ReconciliationData[[#This Row],[Invoice_ID]]),1,0)</f>
        <v>0</v>
      </c>
      <c r="Q546">
        <f>IF(AND(NOT(ISBLANK(ReconciliationData[[#This Row],[Billed_Units]])),ReconciliationData[[#This Row],[ordered_units]]&lt;&gt;ReconciliationData[[#This Row],[Billed_Units]]),1,0)</f>
        <v>0</v>
      </c>
      <c r="R5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6">
        <f>IF(AND(NOT(ISBLANK(ReconciliationData[[#This Row],[Contract_Price]])),ReconciliationData[[#This Row],[Billed_Price]]&lt;&gt;ReconciliationData[[#This Row],[Contract_Price]]),1,0)</f>
        <v>0</v>
      </c>
      <c r="T546">
        <f>IF(AND(NOT(ISBLANK(ReconciliationData[[#This Row],[End_Date]])),ReconciliationData[[#This Row],[Order_Date]]&gt;ReconciliationData[[#This Row],[End_Date]]),1,0)</f>
        <v>0</v>
      </c>
      <c r="U546">
        <f>IF(AND(NOT(ISBLANK(ReconciliationData[[#This Row],[last_return_date]])),ReconciliationData[[#This Row],[last_return_date]]&gt;ReconciliationData[[#This Row],[Order_Date]]+60),1,0)</f>
        <v>0</v>
      </c>
      <c r="V546">
        <f>IF(ReconciliationData[[#This Row],[total_returned_units]]&gt;ReconciliationData[[#This Row],[ordered_units]],1,0)</f>
        <v>0</v>
      </c>
      <c r="W5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46">
        <f>ReconciliationData[[#This Row],[Billed_Units]]*ReconciliationData[[#This Row],[Billed_Price]]</f>
        <v>32773.875</v>
      </c>
      <c r="Y546">
        <f>ReconciliationData[[#This Row],[ordered_units]]*ReconciliationData[[#This Row],[List_Price]]</f>
        <v>32773.875</v>
      </c>
      <c r="Z546">
        <f>ReconciliationData[[#This Row],[billed_revenue]]-ReconciliationData[[#This Row],[expected_revenue]]</f>
        <v>0</v>
      </c>
      <c r="AA5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46" t="str">
        <f>IF(ReconciliationData[[#This Row],[severity_score]]=0,"LOW",
 IF(ReconciliationData[[#This Row],[severity_score]]&lt;=5,"MEDIUM","HIGH"))</f>
        <v>LOW</v>
      </c>
      <c r="AC546" t="str">
        <f>TEXT(ReconciliationData[[#This Row],[Order_Date]],"YYYY-MM")</f>
        <v>2024-12</v>
      </c>
    </row>
    <row r="547" spans="1:29">
      <c r="A547" t="s">
        <v>1885</v>
      </c>
      <c r="B547" s="1">
        <v>45462</v>
      </c>
      <c r="C547" t="s">
        <v>478</v>
      </c>
      <c r="D547" t="s">
        <v>1886</v>
      </c>
      <c r="E547">
        <v>37</v>
      </c>
      <c r="F547" t="s">
        <v>1887</v>
      </c>
      <c r="G547">
        <v>37</v>
      </c>
      <c r="H547">
        <v>1092.5376000000001</v>
      </c>
      <c r="N547">
        <v>1092.5376000000001</v>
      </c>
      <c r="O547" s="1">
        <v>44996</v>
      </c>
      <c r="P547">
        <f>IF(ISBLANK(ReconciliationData[[#This Row],[Invoice_ID]]),1,0)</f>
        <v>0</v>
      </c>
      <c r="Q547">
        <f>IF(AND(NOT(ISBLANK(ReconciliationData[[#This Row],[Billed_Units]])),ReconciliationData[[#This Row],[ordered_units]]&lt;&gt;ReconciliationData[[#This Row],[Billed_Units]]),1,0)</f>
        <v>0</v>
      </c>
      <c r="R5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7">
        <f>IF(AND(NOT(ISBLANK(ReconciliationData[[#This Row],[Contract_Price]])),ReconciliationData[[#This Row],[Billed_Price]]&lt;&gt;ReconciliationData[[#This Row],[Contract_Price]]),1,0)</f>
        <v>0</v>
      </c>
      <c r="T547">
        <f>IF(AND(NOT(ISBLANK(ReconciliationData[[#This Row],[End_Date]])),ReconciliationData[[#This Row],[Order_Date]]&gt;ReconciliationData[[#This Row],[End_Date]]),1,0)</f>
        <v>0</v>
      </c>
      <c r="U547">
        <f>IF(AND(NOT(ISBLANK(ReconciliationData[[#This Row],[last_return_date]])),ReconciliationData[[#This Row],[last_return_date]]&gt;ReconciliationData[[#This Row],[Order_Date]]+60),1,0)</f>
        <v>0</v>
      </c>
      <c r="V547">
        <f>IF(ReconciliationData[[#This Row],[total_returned_units]]&gt;ReconciliationData[[#This Row],[ordered_units]],1,0)</f>
        <v>0</v>
      </c>
      <c r="W5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47">
        <f>ReconciliationData[[#This Row],[Billed_Units]]*ReconciliationData[[#This Row],[Billed_Price]]</f>
        <v>40423.891200000005</v>
      </c>
      <c r="Y547">
        <f>ReconciliationData[[#This Row],[ordered_units]]*ReconciliationData[[#This Row],[List_Price]]</f>
        <v>40423.891200000005</v>
      </c>
      <c r="Z547">
        <f>ReconciliationData[[#This Row],[billed_revenue]]-ReconciliationData[[#This Row],[expected_revenue]]</f>
        <v>0</v>
      </c>
      <c r="AA5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47" t="str">
        <f>IF(ReconciliationData[[#This Row],[severity_score]]=0,"LOW",
 IF(ReconciliationData[[#This Row],[severity_score]]&lt;=5,"MEDIUM","HIGH"))</f>
        <v>LOW</v>
      </c>
      <c r="AC547" t="str">
        <f>TEXT(ReconciliationData[[#This Row],[Order_Date]],"YYYY-MM")</f>
        <v>2024-06</v>
      </c>
    </row>
    <row r="548" spans="1:29">
      <c r="A548" t="s">
        <v>1888</v>
      </c>
      <c r="B548" s="1">
        <v>45238</v>
      </c>
      <c r="C548" t="s">
        <v>1889</v>
      </c>
      <c r="D548" t="s">
        <v>1616</v>
      </c>
      <c r="E548">
        <v>33</v>
      </c>
      <c r="F548" t="s">
        <v>1890</v>
      </c>
      <c r="G548">
        <v>33</v>
      </c>
      <c r="H548">
        <v>1137.9636</v>
      </c>
      <c r="N548">
        <v>1137.9636</v>
      </c>
      <c r="O548" s="1">
        <v>45007</v>
      </c>
      <c r="P548">
        <f>IF(ISBLANK(ReconciliationData[[#This Row],[Invoice_ID]]),1,0)</f>
        <v>0</v>
      </c>
      <c r="Q548">
        <f>IF(AND(NOT(ISBLANK(ReconciliationData[[#This Row],[Billed_Units]])),ReconciliationData[[#This Row],[ordered_units]]&lt;&gt;ReconciliationData[[#This Row],[Billed_Units]]),1,0)</f>
        <v>0</v>
      </c>
      <c r="R5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8">
        <f>IF(AND(NOT(ISBLANK(ReconciliationData[[#This Row],[Contract_Price]])),ReconciliationData[[#This Row],[Billed_Price]]&lt;&gt;ReconciliationData[[#This Row],[Contract_Price]]),1,0)</f>
        <v>0</v>
      </c>
      <c r="T548">
        <f>IF(AND(NOT(ISBLANK(ReconciliationData[[#This Row],[End_Date]])),ReconciliationData[[#This Row],[Order_Date]]&gt;ReconciliationData[[#This Row],[End_Date]]),1,0)</f>
        <v>0</v>
      </c>
      <c r="U548">
        <f>IF(AND(NOT(ISBLANK(ReconciliationData[[#This Row],[last_return_date]])),ReconciliationData[[#This Row],[last_return_date]]&gt;ReconciliationData[[#This Row],[Order_Date]]+60),1,0)</f>
        <v>0</v>
      </c>
      <c r="V548">
        <f>IF(ReconciliationData[[#This Row],[total_returned_units]]&gt;ReconciliationData[[#This Row],[ordered_units]],1,0)</f>
        <v>0</v>
      </c>
      <c r="W5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48">
        <f>ReconciliationData[[#This Row],[Billed_Units]]*ReconciliationData[[#This Row],[Billed_Price]]</f>
        <v>37552.798800000004</v>
      </c>
      <c r="Y548">
        <f>ReconciliationData[[#This Row],[ordered_units]]*ReconciliationData[[#This Row],[List_Price]]</f>
        <v>37552.798800000004</v>
      </c>
      <c r="Z548">
        <f>ReconciliationData[[#This Row],[billed_revenue]]-ReconciliationData[[#This Row],[expected_revenue]]</f>
        <v>0</v>
      </c>
      <c r="AA5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48" t="str">
        <f>IF(ReconciliationData[[#This Row],[severity_score]]=0,"LOW",
 IF(ReconciliationData[[#This Row],[severity_score]]&lt;=5,"MEDIUM","HIGH"))</f>
        <v>LOW</v>
      </c>
      <c r="AC548" t="str">
        <f>TEXT(ReconciliationData[[#This Row],[Order_Date]],"YYYY-MM")</f>
        <v>2023-11</v>
      </c>
    </row>
    <row r="549" spans="1:29">
      <c r="A549" t="s">
        <v>1891</v>
      </c>
      <c r="B549" s="1">
        <v>45472</v>
      </c>
      <c r="C549" t="s">
        <v>145</v>
      </c>
      <c r="D549" t="s">
        <v>1362</v>
      </c>
      <c r="E549">
        <v>200</v>
      </c>
      <c r="F549" t="s">
        <v>1892</v>
      </c>
      <c r="G549">
        <v>210</v>
      </c>
      <c r="H549">
        <v>82.749600000000015</v>
      </c>
      <c r="N549">
        <v>82.749600000000015</v>
      </c>
      <c r="O549" s="1">
        <v>45068</v>
      </c>
      <c r="P549">
        <f>IF(ISBLANK(ReconciliationData[[#This Row],[Invoice_ID]]),1,0)</f>
        <v>0</v>
      </c>
      <c r="Q549">
        <f>IF(AND(NOT(ISBLANK(ReconciliationData[[#This Row],[Billed_Units]])),ReconciliationData[[#This Row],[ordered_units]]&lt;&gt;ReconciliationData[[#This Row],[Billed_Units]]),1,0)</f>
        <v>1</v>
      </c>
      <c r="R5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49">
        <f>IF(AND(NOT(ISBLANK(ReconciliationData[[#This Row],[Contract_Price]])),ReconciliationData[[#This Row],[Billed_Price]]&lt;&gt;ReconciliationData[[#This Row],[Contract_Price]]),1,0)</f>
        <v>0</v>
      </c>
      <c r="T549">
        <f>IF(AND(NOT(ISBLANK(ReconciliationData[[#This Row],[End_Date]])),ReconciliationData[[#This Row],[Order_Date]]&gt;ReconciliationData[[#This Row],[End_Date]]),1,0)</f>
        <v>0</v>
      </c>
      <c r="U549">
        <f>IF(AND(NOT(ISBLANK(ReconciliationData[[#This Row],[last_return_date]])),ReconciliationData[[#This Row],[last_return_date]]&gt;ReconciliationData[[#This Row],[Order_Date]]+60),1,0)</f>
        <v>0</v>
      </c>
      <c r="V549">
        <f>IF(ReconciliationData[[#This Row],[total_returned_units]]&gt;ReconciliationData[[#This Row],[ordered_units]],1,0)</f>
        <v>0</v>
      </c>
      <c r="W5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549">
        <f>ReconciliationData[[#This Row],[Billed_Units]]*ReconciliationData[[#This Row],[Billed_Price]]</f>
        <v>17377.416000000005</v>
      </c>
      <c r="Y549">
        <f>ReconciliationData[[#This Row],[ordered_units]]*ReconciliationData[[#This Row],[List_Price]]</f>
        <v>16549.920000000002</v>
      </c>
      <c r="Z549">
        <f>ReconciliationData[[#This Row],[billed_revenue]]-ReconciliationData[[#This Row],[expected_revenue]]</f>
        <v>827.49600000000282</v>
      </c>
      <c r="AA5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549" t="str">
        <f>IF(ReconciliationData[[#This Row],[severity_score]]=0,"LOW",
 IF(ReconciliationData[[#This Row],[severity_score]]&lt;=5,"MEDIUM","HIGH"))</f>
        <v>HIGH</v>
      </c>
      <c r="AC549" t="str">
        <f>TEXT(ReconciliationData[[#This Row],[Order_Date]],"YYYY-MM")</f>
        <v>2024-06</v>
      </c>
    </row>
    <row r="550" spans="1:29">
      <c r="A550" t="s">
        <v>1893</v>
      </c>
      <c r="B550" s="1">
        <v>45592</v>
      </c>
      <c r="C550" t="s">
        <v>1674</v>
      </c>
      <c r="D550" t="s">
        <v>325</v>
      </c>
      <c r="E550">
        <v>90</v>
      </c>
      <c r="F550" t="s">
        <v>1894</v>
      </c>
      <c r="G550">
        <v>90</v>
      </c>
      <c r="H550">
        <v>509.36320000000001</v>
      </c>
      <c r="N550">
        <v>509.36320000000001</v>
      </c>
      <c r="O550" s="1">
        <v>45171</v>
      </c>
      <c r="P550">
        <f>IF(ISBLANK(ReconciliationData[[#This Row],[Invoice_ID]]),1,0)</f>
        <v>0</v>
      </c>
      <c r="Q550">
        <f>IF(AND(NOT(ISBLANK(ReconciliationData[[#This Row],[Billed_Units]])),ReconciliationData[[#This Row],[ordered_units]]&lt;&gt;ReconciliationData[[#This Row],[Billed_Units]]),1,0)</f>
        <v>0</v>
      </c>
      <c r="R5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0">
        <f>IF(AND(NOT(ISBLANK(ReconciliationData[[#This Row],[Contract_Price]])),ReconciliationData[[#This Row],[Billed_Price]]&lt;&gt;ReconciliationData[[#This Row],[Contract_Price]]),1,0)</f>
        <v>0</v>
      </c>
      <c r="T550">
        <f>IF(AND(NOT(ISBLANK(ReconciliationData[[#This Row],[End_Date]])),ReconciliationData[[#This Row],[Order_Date]]&gt;ReconciliationData[[#This Row],[End_Date]]),1,0)</f>
        <v>0</v>
      </c>
      <c r="U550">
        <f>IF(AND(NOT(ISBLANK(ReconciliationData[[#This Row],[last_return_date]])),ReconciliationData[[#This Row],[last_return_date]]&gt;ReconciliationData[[#This Row],[Order_Date]]+60),1,0)</f>
        <v>0</v>
      </c>
      <c r="V550">
        <f>IF(ReconciliationData[[#This Row],[total_returned_units]]&gt;ReconciliationData[[#This Row],[ordered_units]],1,0)</f>
        <v>0</v>
      </c>
      <c r="W5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50">
        <f>ReconciliationData[[#This Row],[Billed_Units]]*ReconciliationData[[#This Row],[Billed_Price]]</f>
        <v>45842.688000000002</v>
      </c>
      <c r="Y550">
        <f>ReconciliationData[[#This Row],[ordered_units]]*ReconciliationData[[#This Row],[List_Price]]</f>
        <v>45842.688000000002</v>
      </c>
      <c r="Z550">
        <f>ReconciliationData[[#This Row],[billed_revenue]]-ReconciliationData[[#This Row],[expected_revenue]]</f>
        <v>0</v>
      </c>
      <c r="AA5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50" t="str">
        <f>IF(ReconciliationData[[#This Row],[severity_score]]=0,"LOW",
 IF(ReconciliationData[[#This Row],[severity_score]]&lt;=5,"MEDIUM","HIGH"))</f>
        <v>LOW</v>
      </c>
      <c r="AC550" t="str">
        <f>TEXT(ReconciliationData[[#This Row],[Order_Date]],"YYYY-MM")</f>
        <v>2024-10</v>
      </c>
    </row>
    <row r="551" spans="1:29">
      <c r="A551" t="s">
        <v>1895</v>
      </c>
      <c r="B551" s="1">
        <v>45614</v>
      </c>
      <c r="C551" t="s">
        <v>1896</v>
      </c>
      <c r="D551" t="s">
        <v>166</v>
      </c>
      <c r="E551">
        <v>129</v>
      </c>
      <c r="F551" t="s">
        <v>1897</v>
      </c>
      <c r="G551">
        <v>129</v>
      </c>
      <c r="H551">
        <v>376.82319999999999</v>
      </c>
      <c r="N551">
        <v>376.82319999999999</v>
      </c>
      <c r="O551" s="1">
        <v>45171</v>
      </c>
      <c r="P551">
        <f>IF(ISBLANK(ReconciliationData[[#This Row],[Invoice_ID]]),1,0)</f>
        <v>0</v>
      </c>
      <c r="Q551">
        <f>IF(AND(NOT(ISBLANK(ReconciliationData[[#This Row],[Billed_Units]])),ReconciliationData[[#This Row],[ordered_units]]&lt;&gt;ReconciliationData[[#This Row],[Billed_Units]]),1,0)</f>
        <v>0</v>
      </c>
      <c r="R5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1">
        <f>IF(AND(NOT(ISBLANK(ReconciliationData[[#This Row],[Contract_Price]])),ReconciliationData[[#This Row],[Billed_Price]]&lt;&gt;ReconciliationData[[#This Row],[Contract_Price]]),1,0)</f>
        <v>0</v>
      </c>
      <c r="T551">
        <f>IF(AND(NOT(ISBLANK(ReconciliationData[[#This Row],[End_Date]])),ReconciliationData[[#This Row],[Order_Date]]&gt;ReconciliationData[[#This Row],[End_Date]]),1,0)</f>
        <v>0</v>
      </c>
      <c r="U551">
        <f>IF(AND(NOT(ISBLANK(ReconciliationData[[#This Row],[last_return_date]])),ReconciliationData[[#This Row],[last_return_date]]&gt;ReconciliationData[[#This Row],[Order_Date]]+60),1,0)</f>
        <v>0</v>
      </c>
      <c r="V551">
        <f>IF(ReconciliationData[[#This Row],[total_returned_units]]&gt;ReconciliationData[[#This Row],[ordered_units]],1,0)</f>
        <v>0</v>
      </c>
      <c r="W5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51">
        <f>ReconciliationData[[#This Row],[Billed_Units]]*ReconciliationData[[#This Row],[Billed_Price]]</f>
        <v>48610.192799999997</v>
      </c>
      <c r="Y551">
        <f>ReconciliationData[[#This Row],[ordered_units]]*ReconciliationData[[#This Row],[List_Price]]</f>
        <v>48610.192799999997</v>
      </c>
      <c r="Z551">
        <f>ReconciliationData[[#This Row],[billed_revenue]]-ReconciliationData[[#This Row],[expected_revenue]]</f>
        <v>0</v>
      </c>
      <c r="AA5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51" t="str">
        <f>IF(ReconciliationData[[#This Row],[severity_score]]=0,"LOW",
 IF(ReconciliationData[[#This Row],[severity_score]]&lt;=5,"MEDIUM","HIGH"))</f>
        <v>LOW</v>
      </c>
      <c r="AC551" t="str">
        <f>TEXT(ReconciliationData[[#This Row],[Order_Date]],"YYYY-MM")</f>
        <v>2024-11</v>
      </c>
    </row>
    <row r="552" spans="1:29">
      <c r="A552" t="s">
        <v>1898</v>
      </c>
      <c r="B552" s="1">
        <v>45481</v>
      </c>
      <c r="C552" t="s">
        <v>1006</v>
      </c>
      <c r="D552" t="s">
        <v>313</v>
      </c>
      <c r="E552">
        <v>135</v>
      </c>
      <c r="F552" t="s">
        <v>1899</v>
      </c>
      <c r="G552">
        <v>135</v>
      </c>
      <c r="H552">
        <v>1190.6054999999999</v>
      </c>
      <c r="N552">
        <v>1190.6054999999999</v>
      </c>
      <c r="O552" s="1">
        <v>44984</v>
      </c>
      <c r="P552">
        <f>IF(ISBLANK(ReconciliationData[[#This Row],[Invoice_ID]]),1,0)</f>
        <v>0</v>
      </c>
      <c r="Q552">
        <f>IF(AND(NOT(ISBLANK(ReconciliationData[[#This Row],[Billed_Units]])),ReconciliationData[[#This Row],[ordered_units]]&lt;&gt;ReconciliationData[[#This Row],[Billed_Units]]),1,0)</f>
        <v>0</v>
      </c>
      <c r="R5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2">
        <f>IF(AND(NOT(ISBLANK(ReconciliationData[[#This Row],[Contract_Price]])),ReconciliationData[[#This Row],[Billed_Price]]&lt;&gt;ReconciliationData[[#This Row],[Contract_Price]]),1,0)</f>
        <v>0</v>
      </c>
      <c r="T552">
        <f>IF(AND(NOT(ISBLANK(ReconciliationData[[#This Row],[End_Date]])),ReconciliationData[[#This Row],[Order_Date]]&gt;ReconciliationData[[#This Row],[End_Date]]),1,0)</f>
        <v>0</v>
      </c>
      <c r="U552">
        <f>IF(AND(NOT(ISBLANK(ReconciliationData[[#This Row],[last_return_date]])),ReconciliationData[[#This Row],[last_return_date]]&gt;ReconciliationData[[#This Row],[Order_Date]]+60),1,0)</f>
        <v>0</v>
      </c>
      <c r="V552">
        <f>IF(ReconciliationData[[#This Row],[total_returned_units]]&gt;ReconciliationData[[#This Row],[ordered_units]],1,0)</f>
        <v>0</v>
      </c>
      <c r="W5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52">
        <f>ReconciliationData[[#This Row],[Billed_Units]]*ReconciliationData[[#This Row],[Billed_Price]]</f>
        <v>160731.74249999999</v>
      </c>
      <c r="Y552">
        <f>ReconciliationData[[#This Row],[ordered_units]]*ReconciliationData[[#This Row],[List_Price]]</f>
        <v>160731.74249999999</v>
      </c>
      <c r="Z552">
        <f>ReconciliationData[[#This Row],[billed_revenue]]-ReconciliationData[[#This Row],[expected_revenue]]</f>
        <v>0</v>
      </c>
      <c r="AA5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52" t="str">
        <f>IF(ReconciliationData[[#This Row],[severity_score]]=0,"LOW",
 IF(ReconciliationData[[#This Row],[severity_score]]&lt;=5,"MEDIUM","HIGH"))</f>
        <v>LOW</v>
      </c>
      <c r="AC552" t="str">
        <f>TEXT(ReconciliationData[[#This Row],[Order_Date]],"YYYY-MM")</f>
        <v>2024-07</v>
      </c>
    </row>
    <row r="553" spans="1:29">
      <c r="A553" t="s">
        <v>1900</v>
      </c>
      <c r="B553" s="1">
        <v>45635</v>
      </c>
      <c r="C553" t="s">
        <v>161</v>
      </c>
      <c r="D553" t="s">
        <v>1420</v>
      </c>
      <c r="E553">
        <v>16</v>
      </c>
      <c r="F553" t="s">
        <v>1901</v>
      </c>
      <c r="G553">
        <v>16</v>
      </c>
      <c r="H553">
        <v>77.178600000000003</v>
      </c>
      <c r="N553">
        <v>77.178600000000003</v>
      </c>
      <c r="O553" s="1">
        <v>44975</v>
      </c>
      <c r="P553">
        <f>IF(ISBLANK(ReconciliationData[[#This Row],[Invoice_ID]]),1,0)</f>
        <v>0</v>
      </c>
      <c r="Q553">
        <f>IF(AND(NOT(ISBLANK(ReconciliationData[[#This Row],[Billed_Units]])),ReconciliationData[[#This Row],[ordered_units]]&lt;&gt;ReconciliationData[[#This Row],[Billed_Units]]),1,0)</f>
        <v>0</v>
      </c>
      <c r="R5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3">
        <f>IF(AND(NOT(ISBLANK(ReconciliationData[[#This Row],[Contract_Price]])),ReconciliationData[[#This Row],[Billed_Price]]&lt;&gt;ReconciliationData[[#This Row],[Contract_Price]]),1,0)</f>
        <v>0</v>
      </c>
      <c r="T553">
        <f>IF(AND(NOT(ISBLANK(ReconciliationData[[#This Row],[End_Date]])),ReconciliationData[[#This Row],[Order_Date]]&gt;ReconciliationData[[#This Row],[End_Date]]),1,0)</f>
        <v>0</v>
      </c>
      <c r="U553">
        <f>IF(AND(NOT(ISBLANK(ReconciliationData[[#This Row],[last_return_date]])),ReconciliationData[[#This Row],[last_return_date]]&gt;ReconciliationData[[#This Row],[Order_Date]]+60),1,0)</f>
        <v>0</v>
      </c>
      <c r="V553">
        <f>IF(ReconciliationData[[#This Row],[total_returned_units]]&gt;ReconciliationData[[#This Row],[ordered_units]],1,0)</f>
        <v>0</v>
      </c>
      <c r="W5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53">
        <f>ReconciliationData[[#This Row],[Billed_Units]]*ReconciliationData[[#This Row],[Billed_Price]]</f>
        <v>1234.8576</v>
      </c>
      <c r="Y553">
        <f>ReconciliationData[[#This Row],[ordered_units]]*ReconciliationData[[#This Row],[List_Price]]</f>
        <v>1234.8576</v>
      </c>
      <c r="Z553">
        <f>ReconciliationData[[#This Row],[billed_revenue]]-ReconciliationData[[#This Row],[expected_revenue]]</f>
        <v>0</v>
      </c>
      <c r="AA5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53" t="str">
        <f>IF(ReconciliationData[[#This Row],[severity_score]]=0,"LOW",
 IF(ReconciliationData[[#This Row],[severity_score]]&lt;=5,"MEDIUM","HIGH"))</f>
        <v>LOW</v>
      </c>
      <c r="AC553" t="str">
        <f>TEXT(ReconciliationData[[#This Row],[Order_Date]],"YYYY-MM")</f>
        <v>2024-12</v>
      </c>
    </row>
    <row r="554" spans="1:29">
      <c r="A554" t="s">
        <v>1902</v>
      </c>
      <c r="B554" s="1">
        <v>45390</v>
      </c>
      <c r="C554" t="s">
        <v>620</v>
      </c>
      <c r="D554" t="s">
        <v>711</v>
      </c>
      <c r="E554">
        <v>65</v>
      </c>
      <c r="F554" t="s">
        <v>1903</v>
      </c>
      <c r="G554">
        <v>65</v>
      </c>
      <c r="H554">
        <v>405.98</v>
      </c>
      <c r="N554">
        <v>405.98</v>
      </c>
      <c r="O554" s="1">
        <v>45152</v>
      </c>
      <c r="P554">
        <f>IF(ISBLANK(ReconciliationData[[#This Row],[Invoice_ID]]),1,0)</f>
        <v>0</v>
      </c>
      <c r="Q554">
        <f>IF(AND(NOT(ISBLANK(ReconciliationData[[#This Row],[Billed_Units]])),ReconciliationData[[#This Row],[ordered_units]]&lt;&gt;ReconciliationData[[#This Row],[Billed_Units]]),1,0)</f>
        <v>0</v>
      </c>
      <c r="R5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4">
        <f>IF(AND(NOT(ISBLANK(ReconciliationData[[#This Row],[Contract_Price]])),ReconciliationData[[#This Row],[Billed_Price]]&lt;&gt;ReconciliationData[[#This Row],[Contract_Price]]),1,0)</f>
        <v>0</v>
      </c>
      <c r="T554">
        <f>IF(AND(NOT(ISBLANK(ReconciliationData[[#This Row],[End_Date]])),ReconciliationData[[#This Row],[Order_Date]]&gt;ReconciliationData[[#This Row],[End_Date]]),1,0)</f>
        <v>0</v>
      </c>
      <c r="U554">
        <f>IF(AND(NOT(ISBLANK(ReconciliationData[[#This Row],[last_return_date]])),ReconciliationData[[#This Row],[last_return_date]]&gt;ReconciliationData[[#This Row],[Order_Date]]+60),1,0)</f>
        <v>0</v>
      </c>
      <c r="V554">
        <f>IF(ReconciliationData[[#This Row],[total_returned_units]]&gt;ReconciliationData[[#This Row],[ordered_units]],1,0)</f>
        <v>0</v>
      </c>
      <c r="W5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54">
        <f>ReconciliationData[[#This Row],[Billed_Units]]*ReconciliationData[[#This Row],[Billed_Price]]</f>
        <v>26388.7</v>
      </c>
      <c r="Y554">
        <f>ReconciliationData[[#This Row],[ordered_units]]*ReconciliationData[[#This Row],[List_Price]]</f>
        <v>26388.7</v>
      </c>
      <c r="Z554">
        <f>ReconciliationData[[#This Row],[billed_revenue]]-ReconciliationData[[#This Row],[expected_revenue]]</f>
        <v>0</v>
      </c>
      <c r="AA5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54" t="str">
        <f>IF(ReconciliationData[[#This Row],[severity_score]]=0,"LOW",
 IF(ReconciliationData[[#This Row],[severity_score]]&lt;=5,"MEDIUM","HIGH"))</f>
        <v>LOW</v>
      </c>
      <c r="AC554" t="str">
        <f>TEXT(ReconciliationData[[#This Row],[Order_Date]],"YYYY-MM")</f>
        <v>2024-04</v>
      </c>
    </row>
    <row r="555" spans="1:29">
      <c r="A555" t="s">
        <v>1904</v>
      </c>
      <c r="B555" s="1">
        <v>45488</v>
      </c>
      <c r="C555" t="s">
        <v>1905</v>
      </c>
      <c r="D555" t="s">
        <v>537</v>
      </c>
      <c r="E555">
        <v>59</v>
      </c>
      <c r="F555" t="s">
        <v>1906</v>
      </c>
      <c r="G555">
        <v>59</v>
      </c>
      <c r="H555">
        <v>432.839</v>
      </c>
      <c r="N555">
        <v>432.839</v>
      </c>
      <c r="O555" s="1">
        <v>45048</v>
      </c>
      <c r="P555">
        <f>IF(ISBLANK(ReconciliationData[[#This Row],[Invoice_ID]]),1,0)</f>
        <v>0</v>
      </c>
      <c r="Q555">
        <f>IF(AND(NOT(ISBLANK(ReconciliationData[[#This Row],[Billed_Units]])),ReconciliationData[[#This Row],[ordered_units]]&lt;&gt;ReconciliationData[[#This Row],[Billed_Units]]),1,0)</f>
        <v>0</v>
      </c>
      <c r="R5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5">
        <f>IF(AND(NOT(ISBLANK(ReconciliationData[[#This Row],[Contract_Price]])),ReconciliationData[[#This Row],[Billed_Price]]&lt;&gt;ReconciliationData[[#This Row],[Contract_Price]]),1,0)</f>
        <v>0</v>
      </c>
      <c r="T555">
        <f>IF(AND(NOT(ISBLANK(ReconciliationData[[#This Row],[End_Date]])),ReconciliationData[[#This Row],[Order_Date]]&gt;ReconciliationData[[#This Row],[End_Date]]),1,0)</f>
        <v>0</v>
      </c>
      <c r="U555">
        <f>IF(AND(NOT(ISBLANK(ReconciliationData[[#This Row],[last_return_date]])),ReconciliationData[[#This Row],[last_return_date]]&gt;ReconciliationData[[#This Row],[Order_Date]]+60),1,0)</f>
        <v>0</v>
      </c>
      <c r="V555">
        <f>IF(ReconciliationData[[#This Row],[total_returned_units]]&gt;ReconciliationData[[#This Row],[ordered_units]],1,0)</f>
        <v>0</v>
      </c>
      <c r="W5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55">
        <f>ReconciliationData[[#This Row],[Billed_Units]]*ReconciliationData[[#This Row],[Billed_Price]]</f>
        <v>25537.501</v>
      </c>
      <c r="Y555">
        <f>ReconciliationData[[#This Row],[ordered_units]]*ReconciliationData[[#This Row],[List_Price]]</f>
        <v>25537.501</v>
      </c>
      <c r="Z555">
        <f>ReconciliationData[[#This Row],[billed_revenue]]-ReconciliationData[[#This Row],[expected_revenue]]</f>
        <v>0</v>
      </c>
      <c r="AA5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55" t="str">
        <f>IF(ReconciliationData[[#This Row],[severity_score]]=0,"LOW",
 IF(ReconciliationData[[#This Row],[severity_score]]&lt;=5,"MEDIUM","HIGH"))</f>
        <v>LOW</v>
      </c>
      <c r="AC555" t="str">
        <f>TEXT(ReconciliationData[[#This Row],[Order_Date]],"YYYY-MM")</f>
        <v>2024-07</v>
      </c>
    </row>
    <row r="556" spans="1:29">
      <c r="A556" t="s">
        <v>1907</v>
      </c>
      <c r="B556" s="1">
        <v>45094</v>
      </c>
      <c r="C556" t="s">
        <v>1908</v>
      </c>
      <c r="D556" t="s">
        <v>393</v>
      </c>
      <c r="E556">
        <v>19</v>
      </c>
      <c r="F556" t="s">
        <v>1909</v>
      </c>
      <c r="G556">
        <v>19</v>
      </c>
      <c r="H556">
        <v>1080.0740000000001</v>
      </c>
      <c r="N556">
        <v>1080.0740000000001</v>
      </c>
      <c r="O556" s="1">
        <v>45058</v>
      </c>
      <c r="P556">
        <f>IF(ISBLANK(ReconciliationData[[#This Row],[Invoice_ID]]),1,0)</f>
        <v>0</v>
      </c>
      <c r="Q556">
        <f>IF(AND(NOT(ISBLANK(ReconciliationData[[#This Row],[Billed_Units]])),ReconciliationData[[#This Row],[ordered_units]]&lt;&gt;ReconciliationData[[#This Row],[Billed_Units]]),1,0)</f>
        <v>0</v>
      </c>
      <c r="R5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6">
        <f>IF(AND(NOT(ISBLANK(ReconciliationData[[#This Row],[Contract_Price]])),ReconciliationData[[#This Row],[Billed_Price]]&lt;&gt;ReconciliationData[[#This Row],[Contract_Price]]),1,0)</f>
        <v>0</v>
      </c>
      <c r="T556">
        <f>IF(AND(NOT(ISBLANK(ReconciliationData[[#This Row],[End_Date]])),ReconciliationData[[#This Row],[Order_Date]]&gt;ReconciliationData[[#This Row],[End_Date]]),1,0)</f>
        <v>0</v>
      </c>
      <c r="U556">
        <f>IF(AND(NOT(ISBLANK(ReconciliationData[[#This Row],[last_return_date]])),ReconciliationData[[#This Row],[last_return_date]]&gt;ReconciliationData[[#This Row],[Order_Date]]+60),1,0)</f>
        <v>0</v>
      </c>
      <c r="V556">
        <f>IF(ReconciliationData[[#This Row],[total_returned_units]]&gt;ReconciliationData[[#This Row],[ordered_units]],1,0)</f>
        <v>0</v>
      </c>
      <c r="W5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56">
        <f>ReconciliationData[[#This Row],[Billed_Units]]*ReconciliationData[[#This Row],[Billed_Price]]</f>
        <v>20521.406000000003</v>
      </c>
      <c r="Y556">
        <f>ReconciliationData[[#This Row],[ordered_units]]*ReconciliationData[[#This Row],[List_Price]]</f>
        <v>20521.406000000003</v>
      </c>
      <c r="Z556">
        <f>ReconciliationData[[#This Row],[billed_revenue]]-ReconciliationData[[#This Row],[expected_revenue]]</f>
        <v>0</v>
      </c>
      <c r="AA5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56" t="str">
        <f>IF(ReconciliationData[[#This Row],[severity_score]]=0,"LOW",
 IF(ReconciliationData[[#This Row],[severity_score]]&lt;=5,"MEDIUM","HIGH"))</f>
        <v>LOW</v>
      </c>
      <c r="AC556" t="str">
        <f>TEXT(ReconciliationData[[#This Row],[Order_Date]],"YYYY-MM")</f>
        <v>2023-06</v>
      </c>
    </row>
    <row r="557" spans="1:29">
      <c r="A557" t="s">
        <v>1910</v>
      </c>
      <c r="B557" s="1">
        <v>45583</v>
      </c>
      <c r="C557" t="s">
        <v>1911</v>
      </c>
      <c r="D557" t="s">
        <v>385</v>
      </c>
      <c r="E557">
        <v>29</v>
      </c>
      <c r="F557" t="s">
        <v>1912</v>
      </c>
      <c r="G557">
        <v>29</v>
      </c>
      <c r="H557">
        <v>1087.8191999999999</v>
      </c>
      <c r="N557">
        <v>1087.8191999999999</v>
      </c>
      <c r="O557" s="1">
        <v>45160</v>
      </c>
      <c r="P557">
        <f>IF(ISBLANK(ReconciliationData[[#This Row],[Invoice_ID]]),1,0)</f>
        <v>0</v>
      </c>
      <c r="Q557">
        <f>IF(AND(NOT(ISBLANK(ReconciliationData[[#This Row],[Billed_Units]])),ReconciliationData[[#This Row],[ordered_units]]&lt;&gt;ReconciliationData[[#This Row],[Billed_Units]]),1,0)</f>
        <v>0</v>
      </c>
      <c r="R5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7">
        <f>IF(AND(NOT(ISBLANK(ReconciliationData[[#This Row],[Contract_Price]])),ReconciliationData[[#This Row],[Billed_Price]]&lt;&gt;ReconciliationData[[#This Row],[Contract_Price]]),1,0)</f>
        <v>0</v>
      </c>
      <c r="T557">
        <f>IF(AND(NOT(ISBLANK(ReconciliationData[[#This Row],[End_Date]])),ReconciliationData[[#This Row],[Order_Date]]&gt;ReconciliationData[[#This Row],[End_Date]]),1,0)</f>
        <v>0</v>
      </c>
      <c r="U557">
        <f>IF(AND(NOT(ISBLANK(ReconciliationData[[#This Row],[last_return_date]])),ReconciliationData[[#This Row],[last_return_date]]&gt;ReconciliationData[[#This Row],[Order_Date]]+60),1,0)</f>
        <v>0</v>
      </c>
      <c r="V557">
        <f>IF(ReconciliationData[[#This Row],[total_returned_units]]&gt;ReconciliationData[[#This Row],[ordered_units]],1,0)</f>
        <v>0</v>
      </c>
      <c r="W5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57">
        <f>ReconciliationData[[#This Row],[Billed_Units]]*ReconciliationData[[#This Row],[Billed_Price]]</f>
        <v>31546.756799999996</v>
      </c>
      <c r="Y557">
        <f>ReconciliationData[[#This Row],[ordered_units]]*ReconciliationData[[#This Row],[List_Price]]</f>
        <v>31546.756799999996</v>
      </c>
      <c r="Z557">
        <f>ReconciliationData[[#This Row],[billed_revenue]]-ReconciliationData[[#This Row],[expected_revenue]]</f>
        <v>0</v>
      </c>
      <c r="AA5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57" t="str">
        <f>IF(ReconciliationData[[#This Row],[severity_score]]=0,"LOW",
 IF(ReconciliationData[[#This Row],[severity_score]]&lt;=5,"MEDIUM","HIGH"))</f>
        <v>LOW</v>
      </c>
      <c r="AC557" t="str">
        <f>TEXT(ReconciliationData[[#This Row],[Order_Date]],"YYYY-MM")</f>
        <v>2024-10</v>
      </c>
    </row>
    <row r="558" spans="1:29">
      <c r="A558" t="s">
        <v>1913</v>
      </c>
      <c r="B558" s="1">
        <v>45022</v>
      </c>
      <c r="C558" t="s">
        <v>710</v>
      </c>
      <c r="D558" t="s">
        <v>504</v>
      </c>
      <c r="E558">
        <v>71</v>
      </c>
      <c r="F558" t="s">
        <v>1914</v>
      </c>
      <c r="G558">
        <v>71</v>
      </c>
      <c r="H558">
        <v>266.16450000000003</v>
      </c>
      <c r="N558">
        <v>266.16450000000003</v>
      </c>
      <c r="O558" s="1">
        <v>44765</v>
      </c>
      <c r="P558">
        <f>IF(ISBLANK(ReconciliationData[[#This Row],[Invoice_ID]]),1,0)</f>
        <v>0</v>
      </c>
      <c r="Q558">
        <f>IF(AND(NOT(ISBLANK(ReconciliationData[[#This Row],[Billed_Units]])),ReconciliationData[[#This Row],[ordered_units]]&lt;&gt;ReconciliationData[[#This Row],[Billed_Units]]),1,0)</f>
        <v>0</v>
      </c>
      <c r="R5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8">
        <f>IF(AND(NOT(ISBLANK(ReconciliationData[[#This Row],[Contract_Price]])),ReconciliationData[[#This Row],[Billed_Price]]&lt;&gt;ReconciliationData[[#This Row],[Contract_Price]]),1,0)</f>
        <v>0</v>
      </c>
      <c r="T558">
        <f>IF(AND(NOT(ISBLANK(ReconciliationData[[#This Row],[End_Date]])),ReconciliationData[[#This Row],[Order_Date]]&gt;ReconciliationData[[#This Row],[End_Date]]),1,0)</f>
        <v>0</v>
      </c>
      <c r="U558">
        <f>IF(AND(NOT(ISBLANK(ReconciliationData[[#This Row],[last_return_date]])),ReconciliationData[[#This Row],[last_return_date]]&gt;ReconciliationData[[#This Row],[Order_Date]]+60),1,0)</f>
        <v>0</v>
      </c>
      <c r="V558">
        <f>IF(ReconciliationData[[#This Row],[total_returned_units]]&gt;ReconciliationData[[#This Row],[ordered_units]],1,0)</f>
        <v>0</v>
      </c>
      <c r="W5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58">
        <f>ReconciliationData[[#This Row],[Billed_Units]]*ReconciliationData[[#This Row],[Billed_Price]]</f>
        <v>18897.679500000002</v>
      </c>
      <c r="Y558">
        <f>ReconciliationData[[#This Row],[ordered_units]]*ReconciliationData[[#This Row],[List_Price]]</f>
        <v>18897.679500000002</v>
      </c>
      <c r="Z558">
        <f>ReconciliationData[[#This Row],[billed_revenue]]-ReconciliationData[[#This Row],[expected_revenue]]</f>
        <v>0</v>
      </c>
      <c r="AA5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58" t="str">
        <f>IF(ReconciliationData[[#This Row],[severity_score]]=0,"LOW",
 IF(ReconciliationData[[#This Row],[severity_score]]&lt;=5,"MEDIUM","HIGH"))</f>
        <v>LOW</v>
      </c>
      <c r="AC558" t="str">
        <f>TEXT(ReconciliationData[[#This Row],[Order_Date]],"YYYY-MM")</f>
        <v>2023-04</v>
      </c>
    </row>
    <row r="559" spans="1:29">
      <c r="A559" t="s">
        <v>1915</v>
      </c>
      <c r="B559" s="1">
        <v>45010</v>
      </c>
      <c r="C559" t="s">
        <v>1598</v>
      </c>
      <c r="D559" t="s">
        <v>404</v>
      </c>
      <c r="E559">
        <v>172</v>
      </c>
      <c r="F559" t="s">
        <v>1916</v>
      </c>
      <c r="G559">
        <v>174</v>
      </c>
      <c r="H559">
        <v>1129.6166000000001</v>
      </c>
      <c r="N559">
        <v>1129.6166000000001</v>
      </c>
      <c r="O559" s="1">
        <v>44960</v>
      </c>
      <c r="P559">
        <f>IF(ISBLANK(ReconciliationData[[#This Row],[Invoice_ID]]),1,0)</f>
        <v>0</v>
      </c>
      <c r="Q559">
        <f>IF(AND(NOT(ISBLANK(ReconciliationData[[#This Row],[Billed_Units]])),ReconciliationData[[#This Row],[ordered_units]]&lt;&gt;ReconciliationData[[#This Row],[Billed_Units]]),1,0)</f>
        <v>1</v>
      </c>
      <c r="R5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59">
        <f>IF(AND(NOT(ISBLANK(ReconciliationData[[#This Row],[Contract_Price]])),ReconciliationData[[#This Row],[Billed_Price]]&lt;&gt;ReconciliationData[[#This Row],[Contract_Price]]),1,0)</f>
        <v>0</v>
      </c>
      <c r="T559">
        <f>IF(AND(NOT(ISBLANK(ReconciliationData[[#This Row],[End_Date]])),ReconciliationData[[#This Row],[Order_Date]]&gt;ReconciliationData[[#This Row],[End_Date]]),1,0)</f>
        <v>0</v>
      </c>
      <c r="U559">
        <f>IF(AND(NOT(ISBLANK(ReconciliationData[[#This Row],[last_return_date]])),ReconciliationData[[#This Row],[last_return_date]]&gt;ReconciliationData[[#This Row],[Order_Date]]+60),1,0)</f>
        <v>0</v>
      </c>
      <c r="V559">
        <f>IF(ReconciliationData[[#This Row],[total_returned_units]]&gt;ReconciliationData[[#This Row],[ordered_units]],1,0)</f>
        <v>0</v>
      </c>
      <c r="W5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559">
        <f>ReconciliationData[[#This Row],[Billed_Units]]*ReconciliationData[[#This Row],[Billed_Price]]</f>
        <v>196553.28840000002</v>
      </c>
      <c r="Y559">
        <f>ReconciliationData[[#This Row],[ordered_units]]*ReconciliationData[[#This Row],[List_Price]]</f>
        <v>194294.0552</v>
      </c>
      <c r="Z559">
        <f>ReconciliationData[[#This Row],[billed_revenue]]-ReconciliationData[[#This Row],[expected_revenue]]</f>
        <v>2259.233200000017</v>
      </c>
      <c r="AA5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559" t="str">
        <f>IF(ReconciliationData[[#This Row],[severity_score]]=0,"LOW",
 IF(ReconciliationData[[#This Row],[severity_score]]&lt;=5,"MEDIUM","HIGH"))</f>
        <v>HIGH</v>
      </c>
      <c r="AC559" t="str">
        <f>TEXT(ReconciliationData[[#This Row],[Order_Date]],"YYYY-MM")</f>
        <v>2023-03</v>
      </c>
    </row>
    <row r="560" spans="1:29">
      <c r="A560" t="s">
        <v>1917</v>
      </c>
      <c r="B560" s="1">
        <v>45381</v>
      </c>
      <c r="C560" t="s">
        <v>1321</v>
      </c>
      <c r="D560" t="s">
        <v>832</v>
      </c>
      <c r="E560">
        <v>31</v>
      </c>
      <c r="F560" t="s">
        <v>1918</v>
      </c>
      <c r="G560">
        <v>31</v>
      </c>
      <c r="H560">
        <v>324.52350000000001</v>
      </c>
      <c r="N560">
        <v>324.52350000000001</v>
      </c>
      <c r="O560" s="1">
        <v>45100</v>
      </c>
      <c r="P560">
        <f>IF(ISBLANK(ReconciliationData[[#This Row],[Invoice_ID]]),1,0)</f>
        <v>0</v>
      </c>
      <c r="Q560">
        <f>IF(AND(NOT(ISBLANK(ReconciliationData[[#This Row],[Billed_Units]])),ReconciliationData[[#This Row],[ordered_units]]&lt;&gt;ReconciliationData[[#This Row],[Billed_Units]]),1,0)</f>
        <v>0</v>
      </c>
      <c r="R5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0">
        <f>IF(AND(NOT(ISBLANK(ReconciliationData[[#This Row],[Contract_Price]])),ReconciliationData[[#This Row],[Billed_Price]]&lt;&gt;ReconciliationData[[#This Row],[Contract_Price]]),1,0)</f>
        <v>0</v>
      </c>
      <c r="T560">
        <f>IF(AND(NOT(ISBLANK(ReconciliationData[[#This Row],[End_Date]])),ReconciliationData[[#This Row],[Order_Date]]&gt;ReconciliationData[[#This Row],[End_Date]]),1,0)</f>
        <v>0</v>
      </c>
      <c r="U560">
        <f>IF(AND(NOT(ISBLANK(ReconciliationData[[#This Row],[last_return_date]])),ReconciliationData[[#This Row],[last_return_date]]&gt;ReconciliationData[[#This Row],[Order_Date]]+60),1,0)</f>
        <v>0</v>
      </c>
      <c r="V560">
        <f>IF(ReconciliationData[[#This Row],[total_returned_units]]&gt;ReconciliationData[[#This Row],[ordered_units]],1,0)</f>
        <v>0</v>
      </c>
      <c r="W5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60">
        <f>ReconciliationData[[#This Row],[Billed_Units]]*ReconciliationData[[#This Row],[Billed_Price]]</f>
        <v>10060.228500000001</v>
      </c>
      <c r="Y560">
        <f>ReconciliationData[[#This Row],[ordered_units]]*ReconciliationData[[#This Row],[List_Price]]</f>
        <v>10060.228500000001</v>
      </c>
      <c r="Z560">
        <f>ReconciliationData[[#This Row],[billed_revenue]]-ReconciliationData[[#This Row],[expected_revenue]]</f>
        <v>0</v>
      </c>
      <c r="AA5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60" t="str">
        <f>IF(ReconciliationData[[#This Row],[severity_score]]=0,"LOW",
 IF(ReconciliationData[[#This Row],[severity_score]]&lt;=5,"MEDIUM","HIGH"))</f>
        <v>LOW</v>
      </c>
      <c r="AC560" t="str">
        <f>TEXT(ReconciliationData[[#This Row],[Order_Date]],"YYYY-MM")</f>
        <v>2024-03</v>
      </c>
    </row>
    <row r="561" spans="1:29">
      <c r="A561" t="s">
        <v>1919</v>
      </c>
      <c r="B561" s="1">
        <v>45641</v>
      </c>
      <c r="C561" t="s">
        <v>1920</v>
      </c>
      <c r="D561" t="s">
        <v>419</v>
      </c>
      <c r="E561">
        <v>174</v>
      </c>
      <c r="F561" t="s">
        <v>1921</v>
      </c>
      <c r="G561">
        <v>174</v>
      </c>
      <c r="H561">
        <v>1016.9848</v>
      </c>
      <c r="N561">
        <v>1016.9848</v>
      </c>
      <c r="O561" s="1">
        <v>45033</v>
      </c>
      <c r="P561">
        <f>IF(ISBLANK(ReconciliationData[[#This Row],[Invoice_ID]]),1,0)</f>
        <v>0</v>
      </c>
      <c r="Q561">
        <f>IF(AND(NOT(ISBLANK(ReconciliationData[[#This Row],[Billed_Units]])),ReconciliationData[[#This Row],[ordered_units]]&lt;&gt;ReconciliationData[[#This Row],[Billed_Units]]),1,0)</f>
        <v>0</v>
      </c>
      <c r="R5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1">
        <f>IF(AND(NOT(ISBLANK(ReconciliationData[[#This Row],[Contract_Price]])),ReconciliationData[[#This Row],[Billed_Price]]&lt;&gt;ReconciliationData[[#This Row],[Contract_Price]]),1,0)</f>
        <v>0</v>
      </c>
      <c r="T561">
        <f>IF(AND(NOT(ISBLANK(ReconciliationData[[#This Row],[End_Date]])),ReconciliationData[[#This Row],[Order_Date]]&gt;ReconciliationData[[#This Row],[End_Date]]),1,0)</f>
        <v>0</v>
      </c>
      <c r="U561">
        <f>IF(AND(NOT(ISBLANK(ReconciliationData[[#This Row],[last_return_date]])),ReconciliationData[[#This Row],[last_return_date]]&gt;ReconciliationData[[#This Row],[Order_Date]]+60),1,0)</f>
        <v>0</v>
      </c>
      <c r="V561">
        <f>IF(ReconciliationData[[#This Row],[total_returned_units]]&gt;ReconciliationData[[#This Row],[ordered_units]],1,0)</f>
        <v>0</v>
      </c>
      <c r="W5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61">
        <f>ReconciliationData[[#This Row],[Billed_Units]]*ReconciliationData[[#This Row],[Billed_Price]]</f>
        <v>176955.35519999999</v>
      </c>
      <c r="Y561">
        <f>ReconciliationData[[#This Row],[ordered_units]]*ReconciliationData[[#This Row],[List_Price]]</f>
        <v>176955.35519999999</v>
      </c>
      <c r="Z561">
        <f>ReconciliationData[[#This Row],[billed_revenue]]-ReconciliationData[[#This Row],[expected_revenue]]</f>
        <v>0</v>
      </c>
      <c r="AA5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61" t="str">
        <f>IF(ReconciliationData[[#This Row],[severity_score]]=0,"LOW",
 IF(ReconciliationData[[#This Row],[severity_score]]&lt;=5,"MEDIUM","HIGH"))</f>
        <v>LOW</v>
      </c>
      <c r="AC561" t="str">
        <f>TEXT(ReconciliationData[[#This Row],[Order_Date]],"YYYY-MM")</f>
        <v>2024-12</v>
      </c>
    </row>
    <row r="562" spans="1:29">
      <c r="A562" t="s">
        <v>1922</v>
      </c>
      <c r="B562" s="1">
        <v>45198</v>
      </c>
      <c r="C562" t="s">
        <v>316</v>
      </c>
      <c r="D562" t="s">
        <v>490</v>
      </c>
      <c r="E562">
        <v>144</v>
      </c>
      <c r="F562" t="s">
        <v>1923</v>
      </c>
      <c r="G562">
        <v>144</v>
      </c>
      <c r="H562">
        <v>1157.6343999999999</v>
      </c>
      <c r="N562">
        <v>1157.6343999999999</v>
      </c>
      <c r="O562" s="1">
        <v>44959</v>
      </c>
      <c r="P562">
        <f>IF(ISBLANK(ReconciliationData[[#This Row],[Invoice_ID]]),1,0)</f>
        <v>0</v>
      </c>
      <c r="Q562">
        <f>IF(AND(NOT(ISBLANK(ReconciliationData[[#This Row],[Billed_Units]])),ReconciliationData[[#This Row],[ordered_units]]&lt;&gt;ReconciliationData[[#This Row],[Billed_Units]]),1,0)</f>
        <v>0</v>
      </c>
      <c r="R5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2">
        <f>IF(AND(NOT(ISBLANK(ReconciliationData[[#This Row],[Contract_Price]])),ReconciliationData[[#This Row],[Billed_Price]]&lt;&gt;ReconciliationData[[#This Row],[Contract_Price]]),1,0)</f>
        <v>0</v>
      </c>
      <c r="T562">
        <f>IF(AND(NOT(ISBLANK(ReconciliationData[[#This Row],[End_Date]])),ReconciliationData[[#This Row],[Order_Date]]&gt;ReconciliationData[[#This Row],[End_Date]]),1,0)</f>
        <v>0</v>
      </c>
      <c r="U562">
        <f>IF(AND(NOT(ISBLANK(ReconciliationData[[#This Row],[last_return_date]])),ReconciliationData[[#This Row],[last_return_date]]&gt;ReconciliationData[[#This Row],[Order_Date]]+60),1,0)</f>
        <v>0</v>
      </c>
      <c r="V562">
        <f>IF(ReconciliationData[[#This Row],[total_returned_units]]&gt;ReconciliationData[[#This Row],[ordered_units]],1,0)</f>
        <v>0</v>
      </c>
      <c r="W5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62">
        <f>ReconciliationData[[#This Row],[Billed_Units]]*ReconciliationData[[#This Row],[Billed_Price]]</f>
        <v>166699.35359999997</v>
      </c>
      <c r="Y562">
        <f>ReconciliationData[[#This Row],[ordered_units]]*ReconciliationData[[#This Row],[List_Price]]</f>
        <v>166699.35359999997</v>
      </c>
      <c r="Z562">
        <f>ReconciliationData[[#This Row],[billed_revenue]]-ReconciliationData[[#This Row],[expected_revenue]]</f>
        <v>0</v>
      </c>
      <c r="AA5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62" t="str">
        <f>IF(ReconciliationData[[#This Row],[severity_score]]=0,"LOW",
 IF(ReconciliationData[[#This Row],[severity_score]]&lt;=5,"MEDIUM","HIGH"))</f>
        <v>LOW</v>
      </c>
      <c r="AC562" t="str">
        <f>TEXT(ReconciliationData[[#This Row],[Order_Date]],"YYYY-MM")</f>
        <v>2023-09</v>
      </c>
    </row>
    <row r="563" spans="1:29">
      <c r="A563" t="s">
        <v>1924</v>
      </c>
      <c r="B563" s="1">
        <v>45019</v>
      </c>
      <c r="C563" t="s">
        <v>1925</v>
      </c>
      <c r="D563" t="s">
        <v>1294</v>
      </c>
      <c r="E563">
        <v>8</v>
      </c>
      <c r="F563" t="s">
        <v>1926</v>
      </c>
      <c r="G563">
        <v>8</v>
      </c>
      <c r="H563">
        <v>793.03560000000004</v>
      </c>
      <c r="N563">
        <v>793.03560000000004</v>
      </c>
      <c r="O563" s="1">
        <v>44892</v>
      </c>
      <c r="P563">
        <f>IF(ISBLANK(ReconciliationData[[#This Row],[Invoice_ID]]),1,0)</f>
        <v>0</v>
      </c>
      <c r="Q563">
        <f>IF(AND(NOT(ISBLANK(ReconciliationData[[#This Row],[Billed_Units]])),ReconciliationData[[#This Row],[ordered_units]]&lt;&gt;ReconciliationData[[#This Row],[Billed_Units]]),1,0)</f>
        <v>0</v>
      </c>
      <c r="R5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3">
        <f>IF(AND(NOT(ISBLANK(ReconciliationData[[#This Row],[Contract_Price]])),ReconciliationData[[#This Row],[Billed_Price]]&lt;&gt;ReconciliationData[[#This Row],[Contract_Price]]),1,0)</f>
        <v>0</v>
      </c>
      <c r="T563">
        <f>IF(AND(NOT(ISBLANK(ReconciliationData[[#This Row],[End_Date]])),ReconciliationData[[#This Row],[Order_Date]]&gt;ReconciliationData[[#This Row],[End_Date]]),1,0)</f>
        <v>0</v>
      </c>
      <c r="U563">
        <f>IF(AND(NOT(ISBLANK(ReconciliationData[[#This Row],[last_return_date]])),ReconciliationData[[#This Row],[last_return_date]]&gt;ReconciliationData[[#This Row],[Order_Date]]+60),1,0)</f>
        <v>0</v>
      </c>
      <c r="V563">
        <f>IF(ReconciliationData[[#This Row],[total_returned_units]]&gt;ReconciliationData[[#This Row],[ordered_units]],1,0)</f>
        <v>0</v>
      </c>
      <c r="W5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63">
        <f>ReconciliationData[[#This Row],[Billed_Units]]*ReconciliationData[[#This Row],[Billed_Price]]</f>
        <v>6344.2848000000004</v>
      </c>
      <c r="Y563">
        <f>ReconciliationData[[#This Row],[ordered_units]]*ReconciliationData[[#This Row],[List_Price]]</f>
        <v>6344.2848000000004</v>
      </c>
      <c r="Z563">
        <f>ReconciliationData[[#This Row],[billed_revenue]]-ReconciliationData[[#This Row],[expected_revenue]]</f>
        <v>0</v>
      </c>
      <c r="AA5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63" t="str">
        <f>IF(ReconciliationData[[#This Row],[severity_score]]=0,"LOW",
 IF(ReconciliationData[[#This Row],[severity_score]]&lt;=5,"MEDIUM","HIGH"))</f>
        <v>LOW</v>
      </c>
      <c r="AC563" t="str">
        <f>TEXT(ReconciliationData[[#This Row],[Order_Date]],"YYYY-MM")</f>
        <v>2023-04</v>
      </c>
    </row>
    <row r="564" spans="1:29">
      <c r="A564" t="s">
        <v>1927</v>
      </c>
      <c r="B564" s="1">
        <v>45569</v>
      </c>
      <c r="C564" t="s">
        <v>1928</v>
      </c>
      <c r="D564" t="s">
        <v>1003</v>
      </c>
      <c r="E564">
        <v>187</v>
      </c>
      <c r="F564" t="s">
        <v>1929</v>
      </c>
      <c r="G564">
        <v>187</v>
      </c>
      <c r="H564">
        <v>825.13580000000002</v>
      </c>
      <c r="N564">
        <v>825.13580000000002</v>
      </c>
      <c r="O564" s="1">
        <v>44998</v>
      </c>
      <c r="P564">
        <f>IF(ISBLANK(ReconciliationData[[#This Row],[Invoice_ID]]),1,0)</f>
        <v>0</v>
      </c>
      <c r="Q564">
        <f>IF(AND(NOT(ISBLANK(ReconciliationData[[#This Row],[Billed_Units]])),ReconciliationData[[#This Row],[ordered_units]]&lt;&gt;ReconciliationData[[#This Row],[Billed_Units]]),1,0)</f>
        <v>0</v>
      </c>
      <c r="R5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4">
        <f>IF(AND(NOT(ISBLANK(ReconciliationData[[#This Row],[Contract_Price]])),ReconciliationData[[#This Row],[Billed_Price]]&lt;&gt;ReconciliationData[[#This Row],[Contract_Price]]),1,0)</f>
        <v>0</v>
      </c>
      <c r="T564">
        <f>IF(AND(NOT(ISBLANK(ReconciliationData[[#This Row],[End_Date]])),ReconciliationData[[#This Row],[Order_Date]]&gt;ReconciliationData[[#This Row],[End_Date]]),1,0)</f>
        <v>0</v>
      </c>
      <c r="U564">
        <f>IF(AND(NOT(ISBLANK(ReconciliationData[[#This Row],[last_return_date]])),ReconciliationData[[#This Row],[last_return_date]]&gt;ReconciliationData[[#This Row],[Order_Date]]+60),1,0)</f>
        <v>0</v>
      </c>
      <c r="V564">
        <f>IF(ReconciliationData[[#This Row],[total_returned_units]]&gt;ReconciliationData[[#This Row],[ordered_units]],1,0)</f>
        <v>0</v>
      </c>
      <c r="W5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64">
        <f>ReconciliationData[[#This Row],[Billed_Units]]*ReconciliationData[[#This Row],[Billed_Price]]</f>
        <v>154300.3946</v>
      </c>
      <c r="Y564">
        <f>ReconciliationData[[#This Row],[ordered_units]]*ReconciliationData[[#This Row],[List_Price]]</f>
        <v>154300.3946</v>
      </c>
      <c r="Z564">
        <f>ReconciliationData[[#This Row],[billed_revenue]]-ReconciliationData[[#This Row],[expected_revenue]]</f>
        <v>0</v>
      </c>
      <c r="AA5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64" t="str">
        <f>IF(ReconciliationData[[#This Row],[severity_score]]=0,"LOW",
 IF(ReconciliationData[[#This Row],[severity_score]]&lt;=5,"MEDIUM","HIGH"))</f>
        <v>LOW</v>
      </c>
      <c r="AC564" t="str">
        <f>TEXT(ReconciliationData[[#This Row],[Order_Date]],"YYYY-MM")</f>
        <v>2024-10</v>
      </c>
    </row>
    <row r="565" spans="1:29">
      <c r="A565" t="s">
        <v>1930</v>
      </c>
      <c r="B565" s="1">
        <v>45379</v>
      </c>
      <c r="C565" t="s">
        <v>1505</v>
      </c>
      <c r="D565" t="s">
        <v>1396</v>
      </c>
      <c r="E565">
        <v>124</v>
      </c>
      <c r="F565" t="s">
        <v>1931</v>
      </c>
      <c r="G565">
        <v>124</v>
      </c>
      <c r="H565">
        <v>880.66300000000001</v>
      </c>
      <c r="I565">
        <v>6</v>
      </c>
      <c r="J565" s="1">
        <v>45327</v>
      </c>
      <c r="N565">
        <v>880.66300000000001</v>
      </c>
      <c r="O565" s="1">
        <v>44966</v>
      </c>
      <c r="P565">
        <f>IF(ISBLANK(ReconciliationData[[#This Row],[Invoice_ID]]),1,0)</f>
        <v>0</v>
      </c>
      <c r="Q565">
        <f>IF(AND(NOT(ISBLANK(ReconciliationData[[#This Row],[Billed_Units]])),ReconciliationData[[#This Row],[ordered_units]]&lt;&gt;ReconciliationData[[#This Row],[Billed_Units]]),1,0)</f>
        <v>0</v>
      </c>
      <c r="R5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5">
        <f>IF(AND(NOT(ISBLANK(ReconciliationData[[#This Row],[Contract_Price]])),ReconciliationData[[#This Row],[Billed_Price]]&lt;&gt;ReconciliationData[[#This Row],[Contract_Price]]),1,0)</f>
        <v>0</v>
      </c>
      <c r="T565">
        <f>IF(AND(NOT(ISBLANK(ReconciliationData[[#This Row],[End_Date]])),ReconciliationData[[#This Row],[Order_Date]]&gt;ReconciliationData[[#This Row],[End_Date]]),1,0)</f>
        <v>0</v>
      </c>
      <c r="U565">
        <f>IF(AND(NOT(ISBLANK(ReconciliationData[[#This Row],[last_return_date]])),ReconciliationData[[#This Row],[last_return_date]]&gt;ReconciliationData[[#This Row],[Order_Date]]+60),1,0)</f>
        <v>0</v>
      </c>
      <c r="V565">
        <f>IF(ReconciliationData[[#This Row],[total_returned_units]]&gt;ReconciliationData[[#This Row],[ordered_units]],1,0)</f>
        <v>0</v>
      </c>
      <c r="W5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65">
        <f>ReconciliationData[[#This Row],[Billed_Units]]*ReconciliationData[[#This Row],[Billed_Price]]</f>
        <v>109202.212</v>
      </c>
      <c r="Y565">
        <f>ReconciliationData[[#This Row],[ordered_units]]*ReconciliationData[[#This Row],[List_Price]]</f>
        <v>109202.212</v>
      </c>
      <c r="Z565">
        <f>ReconciliationData[[#This Row],[billed_revenue]]-ReconciliationData[[#This Row],[expected_revenue]]</f>
        <v>0</v>
      </c>
      <c r="AA5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65" t="str">
        <f>IF(ReconciliationData[[#This Row],[severity_score]]=0,"LOW",
 IF(ReconciliationData[[#This Row],[severity_score]]&lt;=5,"MEDIUM","HIGH"))</f>
        <v>LOW</v>
      </c>
      <c r="AC565" t="str">
        <f>TEXT(ReconciliationData[[#This Row],[Order_Date]],"YYYY-MM")</f>
        <v>2024-03</v>
      </c>
    </row>
    <row r="566" spans="1:29">
      <c r="A566" t="s">
        <v>1932</v>
      </c>
      <c r="B566" s="1">
        <v>45276</v>
      </c>
      <c r="C566" t="s">
        <v>1545</v>
      </c>
      <c r="D566" t="s">
        <v>1933</v>
      </c>
      <c r="E566">
        <v>66</v>
      </c>
      <c r="F566" t="s">
        <v>1934</v>
      </c>
      <c r="G566">
        <v>66</v>
      </c>
      <c r="H566">
        <v>571.49840000000006</v>
      </c>
      <c r="N566">
        <v>571.49840000000006</v>
      </c>
      <c r="O566" s="1">
        <v>45071</v>
      </c>
      <c r="P566">
        <f>IF(ISBLANK(ReconciliationData[[#This Row],[Invoice_ID]]),1,0)</f>
        <v>0</v>
      </c>
      <c r="Q566">
        <f>IF(AND(NOT(ISBLANK(ReconciliationData[[#This Row],[Billed_Units]])),ReconciliationData[[#This Row],[ordered_units]]&lt;&gt;ReconciliationData[[#This Row],[Billed_Units]]),1,0)</f>
        <v>0</v>
      </c>
      <c r="R5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6">
        <f>IF(AND(NOT(ISBLANK(ReconciliationData[[#This Row],[Contract_Price]])),ReconciliationData[[#This Row],[Billed_Price]]&lt;&gt;ReconciliationData[[#This Row],[Contract_Price]]),1,0)</f>
        <v>0</v>
      </c>
      <c r="T566">
        <f>IF(AND(NOT(ISBLANK(ReconciliationData[[#This Row],[End_Date]])),ReconciliationData[[#This Row],[Order_Date]]&gt;ReconciliationData[[#This Row],[End_Date]]),1,0)</f>
        <v>0</v>
      </c>
      <c r="U566">
        <f>IF(AND(NOT(ISBLANK(ReconciliationData[[#This Row],[last_return_date]])),ReconciliationData[[#This Row],[last_return_date]]&gt;ReconciliationData[[#This Row],[Order_Date]]+60),1,0)</f>
        <v>0</v>
      </c>
      <c r="V566">
        <f>IF(ReconciliationData[[#This Row],[total_returned_units]]&gt;ReconciliationData[[#This Row],[ordered_units]],1,0)</f>
        <v>0</v>
      </c>
      <c r="W5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66">
        <f>ReconciliationData[[#This Row],[Billed_Units]]*ReconciliationData[[#This Row],[Billed_Price]]</f>
        <v>37718.894400000005</v>
      </c>
      <c r="Y566">
        <f>ReconciliationData[[#This Row],[ordered_units]]*ReconciliationData[[#This Row],[List_Price]]</f>
        <v>37718.894400000005</v>
      </c>
      <c r="Z566">
        <f>ReconciliationData[[#This Row],[billed_revenue]]-ReconciliationData[[#This Row],[expected_revenue]]</f>
        <v>0</v>
      </c>
      <c r="AA5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66" t="str">
        <f>IF(ReconciliationData[[#This Row],[severity_score]]=0,"LOW",
 IF(ReconciliationData[[#This Row],[severity_score]]&lt;=5,"MEDIUM","HIGH"))</f>
        <v>LOW</v>
      </c>
      <c r="AC566" t="str">
        <f>TEXT(ReconciliationData[[#This Row],[Order_Date]],"YYYY-MM")</f>
        <v>2023-12</v>
      </c>
    </row>
    <row r="567" spans="1:29">
      <c r="A567" t="s">
        <v>1935</v>
      </c>
      <c r="B567" s="1">
        <v>45470</v>
      </c>
      <c r="C567" t="s">
        <v>1936</v>
      </c>
      <c r="D567" t="s">
        <v>190</v>
      </c>
      <c r="E567">
        <v>138</v>
      </c>
      <c r="F567" t="s">
        <v>1937</v>
      </c>
      <c r="G567">
        <v>138</v>
      </c>
      <c r="H567">
        <v>265.44960000000003</v>
      </c>
      <c r="N567">
        <v>265.44960000000003</v>
      </c>
      <c r="O567" s="1">
        <v>44999</v>
      </c>
      <c r="P567">
        <f>IF(ISBLANK(ReconciliationData[[#This Row],[Invoice_ID]]),1,0)</f>
        <v>0</v>
      </c>
      <c r="Q567">
        <f>IF(AND(NOT(ISBLANK(ReconciliationData[[#This Row],[Billed_Units]])),ReconciliationData[[#This Row],[ordered_units]]&lt;&gt;ReconciliationData[[#This Row],[Billed_Units]]),1,0)</f>
        <v>0</v>
      </c>
      <c r="R5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7">
        <f>IF(AND(NOT(ISBLANK(ReconciliationData[[#This Row],[Contract_Price]])),ReconciliationData[[#This Row],[Billed_Price]]&lt;&gt;ReconciliationData[[#This Row],[Contract_Price]]),1,0)</f>
        <v>0</v>
      </c>
      <c r="T567">
        <f>IF(AND(NOT(ISBLANK(ReconciliationData[[#This Row],[End_Date]])),ReconciliationData[[#This Row],[Order_Date]]&gt;ReconciliationData[[#This Row],[End_Date]]),1,0)</f>
        <v>0</v>
      </c>
      <c r="U567">
        <f>IF(AND(NOT(ISBLANK(ReconciliationData[[#This Row],[last_return_date]])),ReconciliationData[[#This Row],[last_return_date]]&gt;ReconciliationData[[#This Row],[Order_Date]]+60),1,0)</f>
        <v>0</v>
      </c>
      <c r="V567">
        <f>IF(ReconciliationData[[#This Row],[total_returned_units]]&gt;ReconciliationData[[#This Row],[ordered_units]],1,0)</f>
        <v>0</v>
      </c>
      <c r="W5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67">
        <f>ReconciliationData[[#This Row],[Billed_Units]]*ReconciliationData[[#This Row],[Billed_Price]]</f>
        <v>36632.044800000003</v>
      </c>
      <c r="Y567">
        <f>ReconciliationData[[#This Row],[ordered_units]]*ReconciliationData[[#This Row],[List_Price]]</f>
        <v>36632.044800000003</v>
      </c>
      <c r="Z567">
        <f>ReconciliationData[[#This Row],[billed_revenue]]-ReconciliationData[[#This Row],[expected_revenue]]</f>
        <v>0</v>
      </c>
      <c r="AA5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67" t="str">
        <f>IF(ReconciliationData[[#This Row],[severity_score]]=0,"LOW",
 IF(ReconciliationData[[#This Row],[severity_score]]&lt;=5,"MEDIUM","HIGH"))</f>
        <v>LOW</v>
      </c>
      <c r="AC567" t="str">
        <f>TEXT(ReconciliationData[[#This Row],[Order_Date]],"YYYY-MM")</f>
        <v>2024-06</v>
      </c>
    </row>
    <row r="568" spans="1:29">
      <c r="A568" t="s">
        <v>1938</v>
      </c>
      <c r="B568" s="1">
        <v>45088</v>
      </c>
      <c r="C568" t="s">
        <v>452</v>
      </c>
      <c r="D568" t="s">
        <v>841</v>
      </c>
      <c r="E568">
        <v>162</v>
      </c>
      <c r="F568" t="s">
        <v>1939</v>
      </c>
      <c r="G568">
        <v>162</v>
      </c>
      <c r="H568">
        <v>185.5224</v>
      </c>
      <c r="N568">
        <v>185.5224</v>
      </c>
      <c r="O568" s="1">
        <v>45063</v>
      </c>
      <c r="P568">
        <f>IF(ISBLANK(ReconciliationData[[#This Row],[Invoice_ID]]),1,0)</f>
        <v>0</v>
      </c>
      <c r="Q568">
        <f>IF(AND(NOT(ISBLANK(ReconciliationData[[#This Row],[Billed_Units]])),ReconciliationData[[#This Row],[ordered_units]]&lt;&gt;ReconciliationData[[#This Row],[Billed_Units]]),1,0)</f>
        <v>0</v>
      </c>
      <c r="R5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8">
        <f>IF(AND(NOT(ISBLANK(ReconciliationData[[#This Row],[Contract_Price]])),ReconciliationData[[#This Row],[Billed_Price]]&lt;&gt;ReconciliationData[[#This Row],[Contract_Price]]),1,0)</f>
        <v>0</v>
      </c>
      <c r="T568">
        <f>IF(AND(NOT(ISBLANK(ReconciliationData[[#This Row],[End_Date]])),ReconciliationData[[#This Row],[Order_Date]]&gt;ReconciliationData[[#This Row],[End_Date]]),1,0)</f>
        <v>0</v>
      </c>
      <c r="U568">
        <f>IF(AND(NOT(ISBLANK(ReconciliationData[[#This Row],[last_return_date]])),ReconciliationData[[#This Row],[last_return_date]]&gt;ReconciliationData[[#This Row],[Order_Date]]+60),1,0)</f>
        <v>0</v>
      </c>
      <c r="V568">
        <f>IF(ReconciliationData[[#This Row],[total_returned_units]]&gt;ReconciliationData[[#This Row],[ordered_units]],1,0)</f>
        <v>0</v>
      </c>
      <c r="W5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68">
        <f>ReconciliationData[[#This Row],[Billed_Units]]*ReconciliationData[[#This Row],[Billed_Price]]</f>
        <v>30054.628800000002</v>
      </c>
      <c r="Y568">
        <f>ReconciliationData[[#This Row],[ordered_units]]*ReconciliationData[[#This Row],[List_Price]]</f>
        <v>30054.628800000002</v>
      </c>
      <c r="Z568">
        <f>ReconciliationData[[#This Row],[billed_revenue]]-ReconciliationData[[#This Row],[expected_revenue]]</f>
        <v>0</v>
      </c>
      <c r="AA5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68" t="str">
        <f>IF(ReconciliationData[[#This Row],[severity_score]]=0,"LOW",
 IF(ReconciliationData[[#This Row],[severity_score]]&lt;=5,"MEDIUM","HIGH"))</f>
        <v>LOW</v>
      </c>
      <c r="AC568" t="str">
        <f>TEXT(ReconciliationData[[#This Row],[Order_Date]],"YYYY-MM")</f>
        <v>2023-06</v>
      </c>
    </row>
    <row r="569" spans="1:29">
      <c r="A569" t="s">
        <v>1940</v>
      </c>
      <c r="B569" s="1">
        <v>45148</v>
      </c>
      <c r="C569" t="s">
        <v>1941</v>
      </c>
      <c r="D569" t="s">
        <v>283</v>
      </c>
      <c r="E569">
        <v>179</v>
      </c>
      <c r="F569" t="s">
        <v>1942</v>
      </c>
      <c r="G569">
        <v>179</v>
      </c>
      <c r="H569">
        <v>415.70589999999999</v>
      </c>
      <c r="N569">
        <v>415.70589999999999</v>
      </c>
      <c r="O569" s="1">
        <v>44989</v>
      </c>
      <c r="P569">
        <f>IF(ISBLANK(ReconciliationData[[#This Row],[Invoice_ID]]),1,0)</f>
        <v>0</v>
      </c>
      <c r="Q569">
        <f>IF(AND(NOT(ISBLANK(ReconciliationData[[#This Row],[Billed_Units]])),ReconciliationData[[#This Row],[ordered_units]]&lt;&gt;ReconciliationData[[#This Row],[Billed_Units]]),1,0)</f>
        <v>0</v>
      </c>
      <c r="R5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69">
        <f>IF(AND(NOT(ISBLANK(ReconciliationData[[#This Row],[Contract_Price]])),ReconciliationData[[#This Row],[Billed_Price]]&lt;&gt;ReconciliationData[[#This Row],[Contract_Price]]),1,0)</f>
        <v>0</v>
      </c>
      <c r="T569">
        <f>IF(AND(NOT(ISBLANK(ReconciliationData[[#This Row],[End_Date]])),ReconciliationData[[#This Row],[Order_Date]]&gt;ReconciliationData[[#This Row],[End_Date]]),1,0)</f>
        <v>0</v>
      </c>
      <c r="U569">
        <f>IF(AND(NOT(ISBLANK(ReconciliationData[[#This Row],[last_return_date]])),ReconciliationData[[#This Row],[last_return_date]]&gt;ReconciliationData[[#This Row],[Order_Date]]+60),1,0)</f>
        <v>0</v>
      </c>
      <c r="V569">
        <f>IF(ReconciliationData[[#This Row],[total_returned_units]]&gt;ReconciliationData[[#This Row],[ordered_units]],1,0)</f>
        <v>0</v>
      </c>
      <c r="W5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69">
        <f>ReconciliationData[[#This Row],[Billed_Units]]*ReconciliationData[[#This Row],[Billed_Price]]</f>
        <v>74411.356100000005</v>
      </c>
      <c r="Y569">
        <f>ReconciliationData[[#This Row],[ordered_units]]*ReconciliationData[[#This Row],[List_Price]]</f>
        <v>74411.356100000005</v>
      </c>
      <c r="Z569">
        <f>ReconciliationData[[#This Row],[billed_revenue]]-ReconciliationData[[#This Row],[expected_revenue]]</f>
        <v>0</v>
      </c>
      <c r="AA5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69" t="str">
        <f>IF(ReconciliationData[[#This Row],[severity_score]]=0,"LOW",
 IF(ReconciliationData[[#This Row],[severity_score]]&lt;=5,"MEDIUM","HIGH"))</f>
        <v>LOW</v>
      </c>
      <c r="AC569" t="str">
        <f>TEXT(ReconciliationData[[#This Row],[Order_Date]],"YYYY-MM")</f>
        <v>2023-08</v>
      </c>
    </row>
    <row r="570" spans="1:29">
      <c r="A570" t="s">
        <v>1943</v>
      </c>
      <c r="B570" s="1">
        <v>45095</v>
      </c>
      <c r="C570" t="s">
        <v>1944</v>
      </c>
      <c r="D570" t="s">
        <v>1945</v>
      </c>
      <c r="E570">
        <v>75</v>
      </c>
      <c r="F570" t="s">
        <v>1946</v>
      </c>
      <c r="G570">
        <v>79</v>
      </c>
      <c r="H570">
        <v>1178.6880000000001</v>
      </c>
      <c r="N570">
        <v>1178.6880000000001</v>
      </c>
      <c r="O570" s="1">
        <v>44930</v>
      </c>
      <c r="P570">
        <f>IF(ISBLANK(ReconciliationData[[#This Row],[Invoice_ID]]),1,0)</f>
        <v>0</v>
      </c>
      <c r="Q570">
        <f>IF(AND(NOT(ISBLANK(ReconciliationData[[#This Row],[Billed_Units]])),ReconciliationData[[#This Row],[ordered_units]]&lt;&gt;ReconciliationData[[#This Row],[Billed_Units]]),1,0)</f>
        <v>1</v>
      </c>
      <c r="R5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0">
        <f>IF(AND(NOT(ISBLANK(ReconciliationData[[#This Row],[Contract_Price]])),ReconciliationData[[#This Row],[Billed_Price]]&lt;&gt;ReconciliationData[[#This Row],[Contract_Price]]),1,0)</f>
        <v>0</v>
      </c>
      <c r="T570">
        <f>IF(AND(NOT(ISBLANK(ReconciliationData[[#This Row],[End_Date]])),ReconciliationData[[#This Row],[Order_Date]]&gt;ReconciliationData[[#This Row],[End_Date]]),1,0)</f>
        <v>0</v>
      </c>
      <c r="U570">
        <f>IF(AND(NOT(ISBLANK(ReconciliationData[[#This Row],[last_return_date]])),ReconciliationData[[#This Row],[last_return_date]]&gt;ReconciliationData[[#This Row],[Order_Date]]+60),1,0)</f>
        <v>0</v>
      </c>
      <c r="V570">
        <f>IF(ReconciliationData[[#This Row],[total_returned_units]]&gt;ReconciliationData[[#This Row],[ordered_units]],1,0)</f>
        <v>0</v>
      </c>
      <c r="W5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570">
        <f>ReconciliationData[[#This Row],[Billed_Units]]*ReconciliationData[[#This Row],[Billed_Price]]</f>
        <v>93116.352000000014</v>
      </c>
      <c r="Y570">
        <f>ReconciliationData[[#This Row],[ordered_units]]*ReconciliationData[[#This Row],[List_Price]]</f>
        <v>88401.600000000006</v>
      </c>
      <c r="Z570">
        <f>ReconciliationData[[#This Row],[billed_revenue]]-ReconciliationData[[#This Row],[expected_revenue]]</f>
        <v>4714.7520000000077</v>
      </c>
      <c r="AA5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570" t="str">
        <f>IF(ReconciliationData[[#This Row],[severity_score]]=0,"LOW",
 IF(ReconciliationData[[#This Row],[severity_score]]&lt;=5,"MEDIUM","HIGH"))</f>
        <v>HIGH</v>
      </c>
      <c r="AC570" t="str">
        <f>TEXT(ReconciliationData[[#This Row],[Order_Date]],"YYYY-MM")</f>
        <v>2023-06</v>
      </c>
    </row>
    <row r="571" spans="1:29">
      <c r="A571" t="s">
        <v>1947</v>
      </c>
      <c r="B571" s="1">
        <v>45002</v>
      </c>
      <c r="C571" t="s">
        <v>1948</v>
      </c>
      <c r="D571" t="s">
        <v>775</v>
      </c>
      <c r="E571">
        <v>27</v>
      </c>
      <c r="F571" t="s">
        <v>1949</v>
      </c>
      <c r="G571">
        <v>27</v>
      </c>
      <c r="H571">
        <v>1173.1600000000001</v>
      </c>
      <c r="N571">
        <v>1173.1600000000001</v>
      </c>
      <c r="O571" s="1">
        <v>44692</v>
      </c>
      <c r="P571">
        <f>IF(ISBLANK(ReconciliationData[[#This Row],[Invoice_ID]]),1,0)</f>
        <v>0</v>
      </c>
      <c r="Q571">
        <f>IF(AND(NOT(ISBLANK(ReconciliationData[[#This Row],[Billed_Units]])),ReconciliationData[[#This Row],[ordered_units]]&lt;&gt;ReconciliationData[[#This Row],[Billed_Units]]),1,0)</f>
        <v>0</v>
      </c>
      <c r="R5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1">
        <f>IF(AND(NOT(ISBLANK(ReconciliationData[[#This Row],[Contract_Price]])),ReconciliationData[[#This Row],[Billed_Price]]&lt;&gt;ReconciliationData[[#This Row],[Contract_Price]]),1,0)</f>
        <v>0</v>
      </c>
      <c r="T571">
        <f>IF(AND(NOT(ISBLANK(ReconciliationData[[#This Row],[End_Date]])),ReconciliationData[[#This Row],[Order_Date]]&gt;ReconciliationData[[#This Row],[End_Date]]),1,0)</f>
        <v>0</v>
      </c>
      <c r="U571">
        <f>IF(AND(NOT(ISBLANK(ReconciliationData[[#This Row],[last_return_date]])),ReconciliationData[[#This Row],[last_return_date]]&gt;ReconciliationData[[#This Row],[Order_Date]]+60),1,0)</f>
        <v>0</v>
      </c>
      <c r="V571">
        <f>IF(ReconciliationData[[#This Row],[total_returned_units]]&gt;ReconciliationData[[#This Row],[ordered_units]],1,0)</f>
        <v>0</v>
      </c>
      <c r="W5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71">
        <f>ReconciliationData[[#This Row],[Billed_Units]]*ReconciliationData[[#This Row],[Billed_Price]]</f>
        <v>31675.320000000003</v>
      </c>
      <c r="Y571">
        <f>ReconciliationData[[#This Row],[ordered_units]]*ReconciliationData[[#This Row],[List_Price]]</f>
        <v>31675.320000000003</v>
      </c>
      <c r="Z571">
        <f>ReconciliationData[[#This Row],[billed_revenue]]-ReconciliationData[[#This Row],[expected_revenue]]</f>
        <v>0</v>
      </c>
      <c r="AA5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71" t="str">
        <f>IF(ReconciliationData[[#This Row],[severity_score]]=0,"LOW",
 IF(ReconciliationData[[#This Row],[severity_score]]&lt;=5,"MEDIUM","HIGH"))</f>
        <v>LOW</v>
      </c>
      <c r="AC571" t="str">
        <f>TEXT(ReconciliationData[[#This Row],[Order_Date]],"YYYY-MM")</f>
        <v>2023-03</v>
      </c>
    </row>
    <row r="572" spans="1:29">
      <c r="A572" t="s">
        <v>1950</v>
      </c>
      <c r="B572" s="1">
        <v>45248</v>
      </c>
      <c r="C572" t="s">
        <v>173</v>
      </c>
      <c r="D572" t="s">
        <v>162</v>
      </c>
      <c r="E572">
        <v>98</v>
      </c>
      <c r="F572" t="s">
        <v>1951</v>
      </c>
      <c r="G572">
        <v>98</v>
      </c>
      <c r="H572">
        <v>510.91840000000002</v>
      </c>
      <c r="N572">
        <v>510.91840000000002</v>
      </c>
      <c r="O572" s="1">
        <v>44981</v>
      </c>
      <c r="P572">
        <f>IF(ISBLANK(ReconciliationData[[#This Row],[Invoice_ID]]),1,0)</f>
        <v>0</v>
      </c>
      <c r="Q572">
        <f>IF(AND(NOT(ISBLANK(ReconciliationData[[#This Row],[Billed_Units]])),ReconciliationData[[#This Row],[ordered_units]]&lt;&gt;ReconciliationData[[#This Row],[Billed_Units]]),1,0)</f>
        <v>0</v>
      </c>
      <c r="R5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2">
        <f>IF(AND(NOT(ISBLANK(ReconciliationData[[#This Row],[Contract_Price]])),ReconciliationData[[#This Row],[Billed_Price]]&lt;&gt;ReconciliationData[[#This Row],[Contract_Price]]),1,0)</f>
        <v>0</v>
      </c>
      <c r="T572">
        <f>IF(AND(NOT(ISBLANK(ReconciliationData[[#This Row],[End_Date]])),ReconciliationData[[#This Row],[Order_Date]]&gt;ReconciliationData[[#This Row],[End_Date]]),1,0)</f>
        <v>0</v>
      </c>
      <c r="U572">
        <f>IF(AND(NOT(ISBLANK(ReconciliationData[[#This Row],[last_return_date]])),ReconciliationData[[#This Row],[last_return_date]]&gt;ReconciliationData[[#This Row],[Order_Date]]+60),1,0)</f>
        <v>0</v>
      </c>
      <c r="V572">
        <f>IF(ReconciliationData[[#This Row],[total_returned_units]]&gt;ReconciliationData[[#This Row],[ordered_units]],1,0)</f>
        <v>0</v>
      </c>
      <c r="W5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72">
        <f>ReconciliationData[[#This Row],[Billed_Units]]*ReconciliationData[[#This Row],[Billed_Price]]</f>
        <v>50070.003199999999</v>
      </c>
      <c r="Y572">
        <f>ReconciliationData[[#This Row],[ordered_units]]*ReconciliationData[[#This Row],[List_Price]]</f>
        <v>50070.003199999999</v>
      </c>
      <c r="Z572">
        <f>ReconciliationData[[#This Row],[billed_revenue]]-ReconciliationData[[#This Row],[expected_revenue]]</f>
        <v>0</v>
      </c>
      <c r="AA5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72" t="str">
        <f>IF(ReconciliationData[[#This Row],[severity_score]]=0,"LOW",
 IF(ReconciliationData[[#This Row],[severity_score]]&lt;=5,"MEDIUM","HIGH"))</f>
        <v>LOW</v>
      </c>
      <c r="AC572" t="str">
        <f>TEXT(ReconciliationData[[#This Row],[Order_Date]],"YYYY-MM")</f>
        <v>2023-11</v>
      </c>
    </row>
    <row r="573" spans="1:29">
      <c r="A573" t="s">
        <v>1952</v>
      </c>
      <c r="B573" s="1">
        <v>45472</v>
      </c>
      <c r="C573" t="s">
        <v>1953</v>
      </c>
      <c r="D573" t="s">
        <v>194</v>
      </c>
      <c r="E573">
        <v>110</v>
      </c>
      <c r="F573" t="s">
        <v>1954</v>
      </c>
      <c r="G573">
        <v>110</v>
      </c>
      <c r="H573">
        <v>1039.0536</v>
      </c>
      <c r="N573">
        <v>1039.0536</v>
      </c>
      <c r="O573" s="1">
        <v>45054</v>
      </c>
      <c r="P573">
        <f>IF(ISBLANK(ReconciliationData[[#This Row],[Invoice_ID]]),1,0)</f>
        <v>0</v>
      </c>
      <c r="Q573">
        <f>IF(AND(NOT(ISBLANK(ReconciliationData[[#This Row],[Billed_Units]])),ReconciliationData[[#This Row],[ordered_units]]&lt;&gt;ReconciliationData[[#This Row],[Billed_Units]]),1,0)</f>
        <v>0</v>
      </c>
      <c r="R5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3">
        <f>IF(AND(NOT(ISBLANK(ReconciliationData[[#This Row],[Contract_Price]])),ReconciliationData[[#This Row],[Billed_Price]]&lt;&gt;ReconciliationData[[#This Row],[Contract_Price]]),1,0)</f>
        <v>0</v>
      </c>
      <c r="T573">
        <f>IF(AND(NOT(ISBLANK(ReconciliationData[[#This Row],[End_Date]])),ReconciliationData[[#This Row],[Order_Date]]&gt;ReconciliationData[[#This Row],[End_Date]]),1,0)</f>
        <v>0</v>
      </c>
      <c r="U573">
        <f>IF(AND(NOT(ISBLANK(ReconciliationData[[#This Row],[last_return_date]])),ReconciliationData[[#This Row],[last_return_date]]&gt;ReconciliationData[[#This Row],[Order_Date]]+60),1,0)</f>
        <v>0</v>
      </c>
      <c r="V573">
        <f>IF(ReconciliationData[[#This Row],[total_returned_units]]&gt;ReconciliationData[[#This Row],[ordered_units]],1,0)</f>
        <v>0</v>
      </c>
      <c r="W5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73">
        <f>ReconciliationData[[#This Row],[Billed_Units]]*ReconciliationData[[#This Row],[Billed_Price]]</f>
        <v>114295.89599999999</v>
      </c>
      <c r="Y573">
        <f>ReconciliationData[[#This Row],[ordered_units]]*ReconciliationData[[#This Row],[List_Price]]</f>
        <v>114295.89599999999</v>
      </c>
      <c r="Z573">
        <f>ReconciliationData[[#This Row],[billed_revenue]]-ReconciliationData[[#This Row],[expected_revenue]]</f>
        <v>0</v>
      </c>
      <c r="AA5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73" t="str">
        <f>IF(ReconciliationData[[#This Row],[severity_score]]=0,"LOW",
 IF(ReconciliationData[[#This Row],[severity_score]]&lt;=5,"MEDIUM","HIGH"))</f>
        <v>LOW</v>
      </c>
      <c r="AC573" t="str">
        <f>TEXT(ReconciliationData[[#This Row],[Order_Date]],"YYYY-MM")</f>
        <v>2024-06</v>
      </c>
    </row>
    <row r="574" spans="1:29">
      <c r="A574" t="s">
        <v>1955</v>
      </c>
      <c r="B574" s="1">
        <v>45200</v>
      </c>
      <c r="C574" t="s">
        <v>1831</v>
      </c>
      <c r="D574" t="s">
        <v>313</v>
      </c>
      <c r="E574">
        <v>109</v>
      </c>
      <c r="F574" t="s">
        <v>1956</v>
      </c>
      <c r="G574">
        <v>109</v>
      </c>
      <c r="H574">
        <v>1190.6054999999999</v>
      </c>
      <c r="N574">
        <v>1190.6054999999999</v>
      </c>
      <c r="O574" s="1">
        <v>44984</v>
      </c>
      <c r="P574">
        <f>IF(ISBLANK(ReconciliationData[[#This Row],[Invoice_ID]]),1,0)</f>
        <v>0</v>
      </c>
      <c r="Q574">
        <f>IF(AND(NOT(ISBLANK(ReconciliationData[[#This Row],[Billed_Units]])),ReconciliationData[[#This Row],[ordered_units]]&lt;&gt;ReconciliationData[[#This Row],[Billed_Units]]),1,0)</f>
        <v>0</v>
      </c>
      <c r="R5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4">
        <f>IF(AND(NOT(ISBLANK(ReconciliationData[[#This Row],[Contract_Price]])),ReconciliationData[[#This Row],[Billed_Price]]&lt;&gt;ReconciliationData[[#This Row],[Contract_Price]]),1,0)</f>
        <v>0</v>
      </c>
      <c r="T574">
        <f>IF(AND(NOT(ISBLANK(ReconciliationData[[#This Row],[End_Date]])),ReconciliationData[[#This Row],[Order_Date]]&gt;ReconciliationData[[#This Row],[End_Date]]),1,0)</f>
        <v>0</v>
      </c>
      <c r="U574">
        <f>IF(AND(NOT(ISBLANK(ReconciliationData[[#This Row],[last_return_date]])),ReconciliationData[[#This Row],[last_return_date]]&gt;ReconciliationData[[#This Row],[Order_Date]]+60),1,0)</f>
        <v>0</v>
      </c>
      <c r="V574">
        <f>IF(ReconciliationData[[#This Row],[total_returned_units]]&gt;ReconciliationData[[#This Row],[ordered_units]],1,0)</f>
        <v>0</v>
      </c>
      <c r="W5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74">
        <f>ReconciliationData[[#This Row],[Billed_Units]]*ReconciliationData[[#This Row],[Billed_Price]]</f>
        <v>129775.99949999999</v>
      </c>
      <c r="Y574">
        <f>ReconciliationData[[#This Row],[ordered_units]]*ReconciliationData[[#This Row],[List_Price]]</f>
        <v>129775.99949999999</v>
      </c>
      <c r="Z574">
        <f>ReconciliationData[[#This Row],[billed_revenue]]-ReconciliationData[[#This Row],[expected_revenue]]</f>
        <v>0</v>
      </c>
      <c r="AA5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74" t="str">
        <f>IF(ReconciliationData[[#This Row],[severity_score]]=0,"LOW",
 IF(ReconciliationData[[#This Row],[severity_score]]&lt;=5,"MEDIUM","HIGH"))</f>
        <v>LOW</v>
      </c>
      <c r="AC574" t="str">
        <f>TEXT(ReconciliationData[[#This Row],[Order_Date]],"YYYY-MM")</f>
        <v>2023-10</v>
      </c>
    </row>
    <row r="575" spans="1:29">
      <c r="A575" t="s">
        <v>1957</v>
      </c>
      <c r="B575" s="1">
        <v>45471</v>
      </c>
      <c r="C575" t="s">
        <v>1958</v>
      </c>
      <c r="D575" t="s">
        <v>1088</v>
      </c>
      <c r="E575">
        <v>138</v>
      </c>
      <c r="F575" t="s">
        <v>1959</v>
      </c>
      <c r="G575">
        <v>137</v>
      </c>
      <c r="H575">
        <v>72.63</v>
      </c>
      <c r="N575">
        <v>72.63</v>
      </c>
      <c r="O575" s="1">
        <v>44956</v>
      </c>
      <c r="P575">
        <f>IF(ISBLANK(ReconciliationData[[#This Row],[Invoice_ID]]),1,0)</f>
        <v>0</v>
      </c>
      <c r="Q575">
        <f>IF(AND(NOT(ISBLANK(ReconciliationData[[#This Row],[Billed_Units]])),ReconciliationData[[#This Row],[ordered_units]]&lt;&gt;ReconciliationData[[#This Row],[Billed_Units]]),1,0)</f>
        <v>1</v>
      </c>
      <c r="R5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5">
        <f>IF(AND(NOT(ISBLANK(ReconciliationData[[#This Row],[Contract_Price]])),ReconciliationData[[#This Row],[Billed_Price]]&lt;&gt;ReconciliationData[[#This Row],[Contract_Price]]),1,0)</f>
        <v>0</v>
      </c>
      <c r="T575">
        <f>IF(AND(NOT(ISBLANK(ReconciliationData[[#This Row],[End_Date]])),ReconciliationData[[#This Row],[Order_Date]]&gt;ReconciliationData[[#This Row],[End_Date]]),1,0)</f>
        <v>0</v>
      </c>
      <c r="U575">
        <f>IF(AND(NOT(ISBLANK(ReconciliationData[[#This Row],[last_return_date]])),ReconciliationData[[#This Row],[last_return_date]]&gt;ReconciliationData[[#This Row],[Order_Date]]+60),1,0)</f>
        <v>0</v>
      </c>
      <c r="V575">
        <f>IF(ReconciliationData[[#This Row],[total_returned_units]]&gt;ReconciliationData[[#This Row],[ordered_units]],1,0)</f>
        <v>0</v>
      </c>
      <c r="W5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575">
        <f>ReconciliationData[[#This Row],[Billed_Units]]*ReconciliationData[[#This Row],[Billed_Price]]</f>
        <v>9950.31</v>
      </c>
      <c r="Y575">
        <f>ReconciliationData[[#This Row],[ordered_units]]*ReconciliationData[[#This Row],[List_Price]]</f>
        <v>10022.939999999999</v>
      </c>
      <c r="Z575">
        <f>ReconciliationData[[#This Row],[billed_revenue]]-ReconciliationData[[#This Row],[expected_revenue]]</f>
        <v>-72.6299999999992</v>
      </c>
      <c r="AA5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575" t="str">
        <f>IF(ReconciliationData[[#This Row],[severity_score]]=0,"LOW",
 IF(ReconciliationData[[#This Row],[severity_score]]&lt;=5,"MEDIUM","HIGH"))</f>
        <v>MEDIUM</v>
      </c>
      <c r="AC575" t="str">
        <f>TEXT(ReconciliationData[[#This Row],[Order_Date]],"YYYY-MM")</f>
        <v>2024-06</v>
      </c>
    </row>
    <row r="576" spans="1:29">
      <c r="A576" t="s">
        <v>1960</v>
      </c>
      <c r="B576" s="1">
        <v>45385</v>
      </c>
      <c r="C576" t="s">
        <v>551</v>
      </c>
      <c r="D576" t="s">
        <v>1961</v>
      </c>
      <c r="E576">
        <v>60</v>
      </c>
      <c r="F576" t="s">
        <v>1962</v>
      </c>
      <c r="G576">
        <v>60</v>
      </c>
      <c r="H576">
        <v>717.0471</v>
      </c>
      <c r="N576">
        <v>717.0471</v>
      </c>
      <c r="O576" s="1">
        <v>44984</v>
      </c>
      <c r="P576">
        <f>IF(ISBLANK(ReconciliationData[[#This Row],[Invoice_ID]]),1,0)</f>
        <v>0</v>
      </c>
      <c r="Q576">
        <f>IF(AND(NOT(ISBLANK(ReconciliationData[[#This Row],[Billed_Units]])),ReconciliationData[[#This Row],[ordered_units]]&lt;&gt;ReconciliationData[[#This Row],[Billed_Units]]),1,0)</f>
        <v>0</v>
      </c>
      <c r="R5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6">
        <f>IF(AND(NOT(ISBLANK(ReconciliationData[[#This Row],[Contract_Price]])),ReconciliationData[[#This Row],[Billed_Price]]&lt;&gt;ReconciliationData[[#This Row],[Contract_Price]]),1,0)</f>
        <v>0</v>
      </c>
      <c r="T576">
        <f>IF(AND(NOT(ISBLANK(ReconciliationData[[#This Row],[End_Date]])),ReconciliationData[[#This Row],[Order_Date]]&gt;ReconciliationData[[#This Row],[End_Date]]),1,0)</f>
        <v>0</v>
      </c>
      <c r="U576">
        <f>IF(AND(NOT(ISBLANK(ReconciliationData[[#This Row],[last_return_date]])),ReconciliationData[[#This Row],[last_return_date]]&gt;ReconciliationData[[#This Row],[Order_Date]]+60),1,0)</f>
        <v>0</v>
      </c>
      <c r="V576">
        <f>IF(ReconciliationData[[#This Row],[total_returned_units]]&gt;ReconciliationData[[#This Row],[ordered_units]],1,0)</f>
        <v>0</v>
      </c>
      <c r="W5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76">
        <f>ReconciliationData[[#This Row],[Billed_Units]]*ReconciliationData[[#This Row],[Billed_Price]]</f>
        <v>43022.826000000001</v>
      </c>
      <c r="Y576">
        <f>ReconciliationData[[#This Row],[ordered_units]]*ReconciliationData[[#This Row],[List_Price]]</f>
        <v>43022.826000000001</v>
      </c>
      <c r="Z576">
        <f>ReconciliationData[[#This Row],[billed_revenue]]-ReconciliationData[[#This Row],[expected_revenue]]</f>
        <v>0</v>
      </c>
      <c r="AA5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76" t="str">
        <f>IF(ReconciliationData[[#This Row],[severity_score]]=0,"LOW",
 IF(ReconciliationData[[#This Row],[severity_score]]&lt;=5,"MEDIUM","HIGH"))</f>
        <v>LOW</v>
      </c>
      <c r="AC576" t="str">
        <f>TEXT(ReconciliationData[[#This Row],[Order_Date]],"YYYY-MM")</f>
        <v>2024-04</v>
      </c>
    </row>
    <row r="577" spans="1:29">
      <c r="A577" t="s">
        <v>1963</v>
      </c>
      <c r="B577" s="1">
        <v>45072</v>
      </c>
      <c r="C577" t="s">
        <v>1964</v>
      </c>
      <c r="D577" t="s">
        <v>722</v>
      </c>
      <c r="E577">
        <v>73</v>
      </c>
      <c r="F577" t="s">
        <v>1965</v>
      </c>
      <c r="G577">
        <v>73</v>
      </c>
      <c r="H577">
        <v>343.34190000000001</v>
      </c>
      <c r="N577">
        <v>343.34190000000001</v>
      </c>
      <c r="O577" s="1">
        <v>44836</v>
      </c>
      <c r="P577">
        <f>IF(ISBLANK(ReconciliationData[[#This Row],[Invoice_ID]]),1,0)</f>
        <v>0</v>
      </c>
      <c r="Q577">
        <f>IF(AND(NOT(ISBLANK(ReconciliationData[[#This Row],[Billed_Units]])),ReconciliationData[[#This Row],[ordered_units]]&lt;&gt;ReconciliationData[[#This Row],[Billed_Units]]),1,0)</f>
        <v>0</v>
      </c>
      <c r="R5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7">
        <f>IF(AND(NOT(ISBLANK(ReconciliationData[[#This Row],[Contract_Price]])),ReconciliationData[[#This Row],[Billed_Price]]&lt;&gt;ReconciliationData[[#This Row],[Contract_Price]]),1,0)</f>
        <v>0</v>
      </c>
      <c r="T577">
        <f>IF(AND(NOT(ISBLANK(ReconciliationData[[#This Row],[End_Date]])),ReconciliationData[[#This Row],[Order_Date]]&gt;ReconciliationData[[#This Row],[End_Date]]),1,0)</f>
        <v>0</v>
      </c>
      <c r="U577">
        <f>IF(AND(NOT(ISBLANK(ReconciliationData[[#This Row],[last_return_date]])),ReconciliationData[[#This Row],[last_return_date]]&gt;ReconciliationData[[#This Row],[Order_Date]]+60),1,0)</f>
        <v>0</v>
      </c>
      <c r="V577">
        <f>IF(ReconciliationData[[#This Row],[total_returned_units]]&gt;ReconciliationData[[#This Row],[ordered_units]],1,0)</f>
        <v>0</v>
      </c>
      <c r="W5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77">
        <f>ReconciliationData[[#This Row],[Billed_Units]]*ReconciliationData[[#This Row],[Billed_Price]]</f>
        <v>25063.958699999999</v>
      </c>
      <c r="Y577">
        <f>ReconciliationData[[#This Row],[ordered_units]]*ReconciliationData[[#This Row],[List_Price]]</f>
        <v>25063.958699999999</v>
      </c>
      <c r="Z577">
        <f>ReconciliationData[[#This Row],[billed_revenue]]-ReconciliationData[[#This Row],[expected_revenue]]</f>
        <v>0</v>
      </c>
      <c r="AA5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77" t="str">
        <f>IF(ReconciliationData[[#This Row],[severity_score]]=0,"LOW",
 IF(ReconciliationData[[#This Row],[severity_score]]&lt;=5,"MEDIUM","HIGH"))</f>
        <v>LOW</v>
      </c>
      <c r="AC577" t="str">
        <f>TEXT(ReconciliationData[[#This Row],[Order_Date]],"YYYY-MM")</f>
        <v>2023-05</v>
      </c>
    </row>
    <row r="578" spans="1:29">
      <c r="A578" t="s">
        <v>1966</v>
      </c>
      <c r="B578" s="1">
        <v>45003</v>
      </c>
      <c r="C578" t="s">
        <v>1967</v>
      </c>
      <c r="D578" t="s">
        <v>490</v>
      </c>
      <c r="E578">
        <v>118</v>
      </c>
      <c r="F578" t="s">
        <v>1968</v>
      </c>
      <c r="G578">
        <v>118</v>
      </c>
      <c r="H578">
        <v>1157.6343999999999</v>
      </c>
      <c r="N578">
        <v>1157.6343999999999</v>
      </c>
      <c r="O578" s="1">
        <v>44959</v>
      </c>
      <c r="P578">
        <f>IF(ISBLANK(ReconciliationData[[#This Row],[Invoice_ID]]),1,0)</f>
        <v>0</v>
      </c>
      <c r="Q578">
        <f>IF(AND(NOT(ISBLANK(ReconciliationData[[#This Row],[Billed_Units]])),ReconciliationData[[#This Row],[ordered_units]]&lt;&gt;ReconciliationData[[#This Row],[Billed_Units]]),1,0)</f>
        <v>0</v>
      </c>
      <c r="R5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8">
        <f>IF(AND(NOT(ISBLANK(ReconciliationData[[#This Row],[Contract_Price]])),ReconciliationData[[#This Row],[Billed_Price]]&lt;&gt;ReconciliationData[[#This Row],[Contract_Price]]),1,0)</f>
        <v>0</v>
      </c>
      <c r="T578">
        <f>IF(AND(NOT(ISBLANK(ReconciliationData[[#This Row],[End_Date]])),ReconciliationData[[#This Row],[Order_Date]]&gt;ReconciliationData[[#This Row],[End_Date]]),1,0)</f>
        <v>0</v>
      </c>
      <c r="U578">
        <f>IF(AND(NOT(ISBLANK(ReconciliationData[[#This Row],[last_return_date]])),ReconciliationData[[#This Row],[last_return_date]]&gt;ReconciliationData[[#This Row],[Order_Date]]+60),1,0)</f>
        <v>0</v>
      </c>
      <c r="V578">
        <f>IF(ReconciliationData[[#This Row],[total_returned_units]]&gt;ReconciliationData[[#This Row],[ordered_units]],1,0)</f>
        <v>0</v>
      </c>
      <c r="W5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78">
        <f>ReconciliationData[[#This Row],[Billed_Units]]*ReconciliationData[[#This Row],[Billed_Price]]</f>
        <v>136600.85919999998</v>
      </c>
      <c r="Y578">
        <f>ReconciliationData[[#This Row],[ordered_units]]*ReconciliationData[[#This Row],[List_Price]]</f>
        <v>136600.85919999998</v>
      </c>
      <c r="Z578">
        <f>ReconciliationData[[#This Row],[billed_revenue]]-ReconciliationData[[#This Row],[expected_revenue]]</f>
        <v>0</v>
      </c>
      <c r="AA5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78" t="str">
        <f>IF(ReconciliationData[[#This Row],[severity_score]]=0,"LOW",
 IF(ReconciliationData[[#This Row],[severity_score]]&lt;=5,"MEDIUM","HIGH"))</f>
        <v>LOW</v>
      </c>
      <c r="AC578" t="str">
        <f>TEXT(ReconciliationData[[#This Row],[Order_Date]],"YYYY-MM")</f>
        <v>2023-03</v>
      </c>
    </row>
    <row r="579" spans="1:29">
      <c r="A579" t="s">
        <v>1969</v>
      </c>
      <c r="B579" s="1">
        <v>45128</v>
      </c>
      <c r="C579" t="s">
        <v>1970</v>
      </c>
      <c r="D579" t="s">
        <v>299</v>
      </c>
      <c r="E579">
        <v>58</v>
      </c>
      <c r="F579" t="s">
        <v>1971</v>
      </c>
      <c r="G579">
        <v>58</v>
      </c>
      <c r="H579">
        <v>182.4273</v>
      </c>
      <c r="N579">
        <v>182.4273</v>
      </c>
      <c r="O579" s="1">
        <v>44989</v>
      </c>
      <c r="P579">
        <f>IF(ISBLANK(ReconciliationData[[#This Row],[Invoice_ID]]),1,0)</f>
        <v>0</v>
      </c>
      <c r="Q579">
        <f>IF(AND(NOT(ISBLANK(ReconciliationData[[#This Row],[Billed_Units]])),ReconciliationData[[#This Row],[ordered_units]]&lt;&gt;ReconciliationData[[#This Row],[Billed_Units]]),1,0)</f>
        <v>0</v>
      </c>
      <c r="R5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79">
        <f>IF(AND(NOT(ISBLANK(ReconciliationData[[#This Row],[Contract_Price]])),ReconciliationData[[#This Row],[Billed_Price]]&lt;&gt;ReconciliationData[[#This Row],[Contract_Price]]),1,0)</f>
        <v>0</v>
      </c>
      <c r="T579">
        <f>IF(AND(NOT(ISBLANK(ReconciliationData[[#This Row],[End_Date]])),ReconciliationData[[#This Row],[Order_Date]]&gt;ReconciliationData[[#This Row],[End_Date]]),1,0)</f>
        <v>0</v>
      </c>
      <c r="U579">
        <f>IF(AND(NOT(ISBLANK(ReconciliationData[[#This Row],[last_return_date]])),ReconciliationData[[#This Row],[last_return_date]]&gt;ReconciliationData[[#This Row],[Order_Date]]+60),1,0)</f>
        <v>0</v>
      </c>
      <c r="V579">
        <f>IF(ReconciliationData[[#This Row],[total_returned_units]]&gt;ReconciliationData[[#This Row],[ordered_units]],1,0)</f>
        <v>0</v>
      </c>
      <c r="W5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79">
        <f>ReconciliationData[[#This Row],[Billed_Units]]*ReconciliationData[[#This Row],[Billed_Price]]</f>
        <v>10580.7834</v>
      </c>
      <c r="Y579">
        <f>ReconciliationData[[#This Row],[ordered_units]]*ReconciliationData[[#This Row],[List_Price]]</f>
        <v>10580.7834</v>
      </c>
      <c r="Z579">
        <f>ReconciliationData[[#This Row],[billed_revenue]]-ReconciliationData[[#This Row],[expected_revenue]]</f>
        <v>0</v>
      </c>
      <c r="AA5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79" t="str">
        <f>IF(ReconciliationData[[#This Row],[severity_score]]=0,"LOW",
 IF(ReconciliationData[[#This Row],[severity_score]]&lt;=5,"MEDIUM","HIGH"))</f>
        <v>LOW</v>
      </c>
      <c r="AC579" t="str">
        <f>TEXT(ReconciliationData[[#This Row],[Order_Date]],"YYYY-MM")</f>
        <v>2023-07</v>
      </c>
    </row>
    <row r="580" spans="1:29">
      <c r="A580" t="s">
        <v>1972</v>
      </c>
      <c r="B580" s="1">
        <v>45144</v>
      </c>
      <c r="C580" t="s">
        <v>950</v>
      </c>
      <c r="D580" t="s">
        <v>962</v>
      </c>
      <c r="E580">
        <v>170</v>
      </c>
      <c r="F580" t="s">
        <v>1973</v>
      </c>
      <c r="G580">
        <v>170</v>
      </c>
      <c r="H580">
        <v>709.52</v>
      </c>
      <c r="N580">
        <v>709.52</v>
      </c>
      <c r="O580" s="1">
        <v>44952</v>
      </c>
      <c r="P580">
        <f>IF(ISBLANK(ReconciliationData[[#This Row],[Invoice_ID]]),1,0)</f>
        <v>0</v>
      </c>
      <c r="Q580">
        <f>IF(AND(NOT(ISBLANK(ReconciliationData[[#This Row],[Billed_Units]])),ReconciliationData[[#This Row],[ordered_units]]&lt;&gt;ReconciliationData[[#This Row],[Billed_Units]]),1,0)</f>
        <v>0</v>
      </c>
      <c r="R5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0">
        <f>IF(AND(NOT(ISBLANK(ReconciliationData[[#This Row],[Contract_Price]])),ReconciliationData[[#This Row],[Billed_Price]]&lt;&gt;ReconciliationData[[#This Row],[Contract_Price]]),1,0)</f>
        <v>0</v>
      </c>
      <c r="T580">
        <f>IF(AND(NOT(ISBLANK(ReconciliationData[[#This Row],[End_Date]])),ReconciliationData[[#This Row],[Order_Date]]&gt;ReconciliationData[[#This Row],[End_Date]]),1,0)</f>
        <v>0</v>
      </c>
      <c r="U580">
        <f>IF(AND(NOT(ISBLANK(ReconciliationData[[#This Row],[last_return_date]])),ReconciliationData[[#This Row],[last_return_date]]&gt;ReconciliationData[[#This Row],[Order_Date]]+60),1,0)</f>
        <v>0</v>
      </c>
      <c r="V580">
        <f>IF(ReconciliationData[[#This Row],[total_returned_units]]&gt;ReconciliationData[[#This Row],[ordered_units]],1,0)</f>
        <v>0</v>
      </c>
      <c r="W5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0">
        <f>ReconciliationData[[#This Row],[Billed_Units]]*ReconciliationData[[#This Row],[Billed_Price]]</f>
        <v>120618.4</v>
      </c>
      <c r="Y580">
        <f>ReconciliationData[[#This Row],[ordered_units]]*ReconciliationData[[#This Row],[List_Price]]</f>
        <v>120618.4</v>
      </c>
      <c r="Z580">
        <f>ReconciliationData[[#This Row],[billed_revenue]]-ReconciliationData[[#This Row],[expected_revenue]]</f>
        <v>0</v>
      </c>
      <c r="AA5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0" t="str">
        <f>IF(ReconciliationData[[#This Row],[severity_score]]=0,"LOW",
 IF(ReconciliationData[[#This Row],[severity_score]]&lt;=5,"MEDIUM","HIGH"))</f>
        <v>LOW</v>
      </c>
      <c r="AC580" t="str">
        <f>TEXT(ReconciliationData[[#This Row],[Order_Date]],"YYYY-MM")</f>
        <v>2023-08</v>
      </c>
    </row>
    <row r="581" spans="1:29">
      <c r="A581" t="s">
        <v>1974</v>
      </c>
      <c r="B581" s="1">
        <v>44986</v>
      </c>
      <c r="C581" t="s">
        <v>1975</v>
      </c>
      <c r="D581" t="s">
        <v>581</v>
      </c>
      <c r="E581">
        <v>86</v>
      </c>
      <c r="F581" t="s">
        <v>1976</v>
      </c>
      <c r="G581">
        <v>86</v>
      </c>
      <c r="H581">
        <v>770.54579999999999</v>
      </c>
      <c r="N581">
        <v>770.54579999999999</v>
      </c>
      <c r="O581" s="1">
        <v>44869</v>
      </c>
      <c r="P581">
        <f>IF(ISBLANK(ReconciliationData[[#This Row],[Invoice_ID]]),1,0)</f>
        <v>0</v>
      </c>
      <c r="Q581">
        <f>IF(AND(NOT(ISBLANK(ReconciliationData[[#This Row],[Billed_Units]])),ReconciliationData[[#This Row],[ordered_units]]&lt;&gt;ReconciliationData[[#This Row],[Billed_Units]]),1,0)</f>
        <v>0</v>
      </c>
      <c r="R5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1">
        <f>IF(AND(NOT(ISBLANK(ReconciliationData[[#This Row],[Contract_Price]])),ReconciliationData[[#This Row],[Billed_Price]]&lt;&gt;ReconciliationData[[#This Row],[Contract_Price]]),1,0)</f>
        <v>0</v>
      </c>
      <c r="T581">
        <f>IF(AND(NOT(ISBLANK(ReconciliationData[[#This Row],[End_Date]])),ReconciliationData[[#This Row],[Order_Date]]&gt;ReconciliationData[[#This Row],[End_Date]]),1,0)</f>
        <v>0</v>
      </c>
      <c r="U581">
        <f>IF(AND(NOT(ISBLANK(ReconciliationData[[#This Row],[last_return_date]])),ReconciliationData[[#This Row],[last_return_date]]&gt;ReconciliationData[[#This Row],[Order_Date]]+60),1,0)</f>
        <v>0</v>
      </c>
      <c r="V581">
        <f>IF(ReconciliationData[[#This Row],[total_returned_units]]&gt;ReconciliationData[[#This Row],[ordered_units]],1,0)</f>
        <v>0</v>
      </c>
      <c r="W5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1">
        <f>ReconciliationData[[#This Row],[Billed_Units]]*ReconciliationData[[#This Row],[Billed_Price]]</f>
        <v>66266.938800000004</v>
      </c>
      <c r="Y581">
        <f>ReconciliationData[[#This Row],[ordered_units]]*ReconciliationData[[#This Row],[List_Price]]</f>
        <v>66266.938800000004</v>
      </c>
      <c r="Z581">
        <f>ReconciliationData[[#This Row],[billed_revenue]]-ReconciliationData[[#This Row],[expected_revenue]]</f>
        <v>0</v>
      </c>
      <c r="AA5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1" t="str">
        <f>IF(ReconciliationData[[#This Row],[severity_score]]=0,"LOW",
 IF(ReconciliationData[[#This Row],[severity_score]]&lt;=5,"MEDIUM","HIGH"))</f>
        <v>LOW</v>
      </c>
      <c r="AC581" t="str">
        <f>TEXT(ReconciliationData[[#This Row],[Order_Date]],"YYYY-MM")</f>
        <v>2023-03</v>
      </c>
    </row>
    <row r="582" spans="1:29">
      <c r="A582" t="s">
        <v>1977</v>
      </c>
      <c r="B582" s="1">
        <v>45257</v>
      </c>
      <c r="C582" t="s">
        <v>1778</v>
      </c>
      <c r="D582" t="s">
        <v>389</v>
      </c>
      <c r="E582">
        <v>45</v>
      </c>
      <c r="F582" t="s">
        <v>1978</v>
      </c>
      <c r="G582">
        <v>45</v>
      </c>
      <c r="H582">
        <v>759.48969999999997</v>
      </c>
      <c r="N582">
        <v>759.48969999999997</v>
      </c>
      <c r="O582" s="1">
        <v>45138</v>
      </c>
      <c r="P582">
        <f>IF(ISBLANK(ReconciliationData[[#This Row],[Invoice_ID]]),1,0)</f>
        <v>0</v>
      </c>
      <c r="Q582">
        <f>IF(AND(NOT(ISBLANK(ReconciliationData[[#This Row],[Billed_Units]])),ReconciliationData[[#This Row],[ordered_units]]&lt;&gt;ReconciliationData[[#This Row],[Billed_Units]]),1,0)</f>
        <v>0</v>
      </c>
      <c r="R5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2">
        <f>IF(AND(NOT(ISBLANK(ReconciliationData[[#This Row],[Contract_Price]])),ReconciliationData[[#This Row],[Billed_Price]]&lt;&gt;ReconciliationData[[#This Row],[Contract_Price]]),1,0)</f>
        <v>0</v>
      </c>
      <c r="T582">
        <f>IF(AND(NOT(ISBLANK(ReconciliationData[[#This Row],[End_Date]])),ReconciliationData[[#This Row],[Order_Date]]&gt;ReconciliationData[[#This Row],[End_Date]]),1,0)</f>
        <v>0</v>
      </c>
      <c r="U582">
        <f>IF(AND(NOT(ISBLANK(ReconciliationData[[#This Row],[last_return_date]])),ReconciliationData[[#This Row],[last_return_date]]&gt;ReconciliationData[[#This Row],[Order_Date]]+60),1,0)</f>
        <v>0</v>
      </c>
      <c r="V582">
        <f>IF(ReconciliationData[[#This Row],[total_returned_units]]&gt;ReconciliationData[[#This Row],[ordered_units]],1,0)</f>
        <v>0</v>
      </c>
      <c r="W5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2">
        <f>ReconciliationData[[#This Row],[Billed_Units]]*ReconciliationData[[#This Row],[Billed_Price]]</f>
        <v>34177.036500000002</v>
      </c>
      <c r="Y582">
        <f>ReconciliationData[[#This Row],[ordered_units]]*ReconciliationData[[#This Row],[List_Price]]</f>
        <v>34177.036500000002</v>
      </c>
      <c r="Z582">
        <f>ReconciliationData[[#This Row],[billed_revenue]]-ReconciliationData[[#This Row],[expected_revenue]]</f>
        <v>0</v>
      </c>
      <c r="AA5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2" t="str">
        <f>IF(ReconciliationData[[#This Row],[severity_score]]=0,"LOW",
 IF(ReconciliationData[[#This Row],[severity_score]]&lt;=5,"MEDIUM","HIGH"))</f>
        <v>LOW</v>
      </c>
      <c r="AC582" t="str">
        <f>TEXT(ReconciliationData[[#This Row],[Order_Date]],"YYYY-MM")</f>
        <v>2023-11</v>
      </c>
    </row>
    <row r="583" spans="1:29">
      <c r="A583" t="s">
        <v>1979</v>
      </c>
      <c r="B583" s="1">
        <v>45432</v>
      </c>
      <c r="C583" t="s">
        <v>555</v>
      </c>
      <c r="D583" t="s">
        <v>1470</v>
      </c>
      <c r="E583">
        <v>116</v>
      </c>
      <c r="F583" t="s">
        <v>1980</v>
      </c>
      <c r="G583">
        <v>116</v>
      </c>
      <c r="H583">
        <v>690.05370000000005</v>
      </c>
      <c r="I583">
        <v>9</v>
      </c>
      <c r="J583" s="1">
        <v>45098</v>
      </c>
      <c r="N583">
        <v>690.05370000000005</v>
      </c>
      <c r="O583" s="1">
        <v>44976</v>
      </c>
      <c r="P583">
        <f>IF(ISBLANK(ReconciliationData[[#This Row],[Invoice_ID]]),1,0)</f>
        <v>0</v>
      </c>
      <c r="Q583">
        <f>IF(AND(NOT(ISBLANK(ReconciliationData[[#This Row],[Billed_Units]])),ReconciliationData[[#This Row],[ordered_units]]&lt;&gt;ReconciliationData[[#This Row],[Billed_Units]]),1,0)</f>
        <v>0</v>
      </c>
      <c r="R5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3">
        <f>IF(AND(NOT(ISBLANK(ReconciliationData[[#This Row],[Contract_Price]])),ReconciliationData[[#This Row],[Billed_Price]]&lt;&gt;ReconciliationData[[#This Row],[Contract_Price]]),1,0)</f>
        <v>0</v>
      </c>
      <c r="T583">
        <f>IF(AND(NOT(ISBLANK(ReconciliationData[[#This Row],[End_Date]])),ReconciliationData[[#This Row],[Order_Date]]&gt;ReconciliationData[[#This Row],[End_Date]]),1,0)</f>
        <v>0</v>
      </c>
      <c r="U583">
        <f>IF(AND(NOT(ISBLANK(ReconciliationData[[#This Row],[last_return_date]])),ReconciliationData[[#This Row],[last_return_date]]&gt;ReconciliationData[[#This Row],[Order_Date]]+60),1,0)</f>
        <v>0</v>
      </c>
      <c r="V583">
        <f>IF(ReconciliationData[[#This Row],[total_returned_units]]&gt;ReconciliationData[[#This Row],[ordered_units]],1,0)</f>
        <v>0</v>
      </c>
      <c r="W5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3">
        <f>ReconciliationData[[#This Row],[Billed_Units]]*ReconciliationData[[#This Row],[Billed_Price]]</f>
        <v>80046.229200000002</v>
      </c>
      <c r="Y583">
        <f>ReconciliationData[[#This Row],[ordered_units]]*ReconciliationData[[#This Row],[List_Price]]</f>
        <v>80046.229200000002</v>
      </c>
      <c r="Z583">
        <f>ReconciliationData[[#This Row],[billed_revenue]]-ReconciliationData[[#This Row],[expected_revenue]]</f>
        <v>0</v>
      </c>
      <c r="AA5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3" t="str">
        <f>IF(ReconciliationData[[#This Row],[severity_score]]=0,"LOW",
 IF(ReconciliationData[[#This Row],[severity_score]]&lt;=5,"MEDIUM","HIGH"))</f>
        <v>LOW</v>
      </c>
      <c r="AC583" t="str">
        <f>TEXT(ReconciliationData[[#This Row],[Order_Date]],"YYYY-MM")</f>
        <v>2024-05</v>
      </c>
    </row>
    <row r="584" spans="1:29">
      <c r="A584" t="s">
        <v>1981</v>
      </c>
      <c r="B584" s="1">
        <v>45532</v>
      </c>
      <c r="C584" t="s">
        <v>418</v>
      </c>
      <c r="D584" t="s">
        <v>1238</v>
      </c>
      <c r="E584">
        <v>85</v>
      </c>
      <c r="F584" t="s">
        <v>1982</v>
      </c>
      <c r="G584">
        <v>85</v>
      </c>
      <c r="H584">
        <v>355.32000000000005</v>
      </c>
      <c r="N584">
        <v>355.32000000000005</v>
      </c>
      <c r="O584" s="1">
        <v>45058</v>
      </c>
      <c r="P584">
        <f>IF(ISBLANK(ReconciliationData[[#This Row],[Invoice_ID]]),1,0)</f>
        <v>0</v>
      </c>
      <c r="Q584">
        <f>IF(AND(NOT(ISBLANK(ReconciliationData[[#This Row],[Billed_Units]])),ReconciliationData[[#This Row],[ordered_units]]&lt;&gt;ReconciliationData[[#This Row],[Billed_Units]]),1,0)</f>
        <v>0</v>
      </c>
      <c r="R5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4">
        <f>IF(AND(NOT(ISBLANK(ReconciliationData[[#This Row],[Contract_Price]])),ReconciliationData[[#This Row],[Billed_Price]]&lt;&gt;ReconciliationData[[#This Row],[Contract_Price]]),1,0)</f>
        <v>0</v>
      </c>
      <c r="T584">
        <f>IF(AND(NOT(ISBLANK(ReconciliationData[[#This Row],[End_Date]])),ReconciliationData[[#This Row],[Order_Date]]&gt;ReconciliationData[[#This Row],[End_Date]]),1,0)</f>
        <v>0</v>
      </c>
      <c r="U584">
        <f>IF(AND(NOT(ISBLANK(ReconciliationData[[#This Row],[last_return_date]])),ReconciliationData[[#This Row],[last_return_date]]&gt;ReconciliationData[[#This Row],[Order_Date]]+60),1,0)</f>
        <v>0</v>
      </c>
      <c r="V584">
        <f>IF(ReconciliationData[[#This Row],[total_returned_units]]&gt;ReconciliationData[[#This Row],[ordered_units]],1,0)</f>
        <v>0</v>
      </c>
      <c r="W5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4">
        <f>ReconciliationData[[#This Row],[Billed_Units]]*ReconciliationData[[#This Row],[Billed_Price]]</f>
        <v>30202.200000000004</v>
      </c>
      <c r="Y584">
        <f>ReconciliationData[[#This Row],[ordered_units]]*ReconciliationData[[#This Row],[List_Price]]</f>
        <v>30202.200000000004</v>
      </c>
      <c r="Z584">
        <f>ReconciliationData[[#This Row],[billed_revenue]]-ReconciliationData[[#This Row],[expected_revenue]]</f>
        <v>0</v>
      </c>
      <c r="AA5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4" t="str">
        <f>IF(ReconciliationData[[#This Row],[severity_score]]=0,"LOW",
 IF(ReconciliationData[[#This Row],[severity_score]]&lt;=5,"MEDIUM","HIGH"))</f>
        <v>LOW</v>
      </c>
      <c r="AC584" t="str">
        <f>TEXT(ReconciliationData[[#This Row],[Order_Date]],"YYYY-MM")</f>
        <v>2024-08</v>
      </c>
    </row>
    <row r="585" spans="1:29">
      <c r="A585" t="s">
        <v>1983</v>
      </c>
      <c r="B585" s="1">
        <v>45440</v>
      </c>
      <c r="C585" t="s">
        <v>1984</v>
      </c>
      <c r="D585" t="s">
        <v>1333</v>
      </c>
      <c r="E585">
        <v>53</v>
      </c>
      <c r="F585" t="s">
        <v>1985</v>
      </c>
      <c r="G585">
        <v>53</v>
      </c>
      <c r="H585">
        <v>418.93040000000002</v>
      </c>
      <c r="N585">
        <v>418.93040000000002</v>
      </c>
      <c r="O585" s="1">
        <v>45214</v>
      </c>
      <c r="P585">
        <f>IF(ISBLANK(ReconciliationData[[#This Row],[Invoice_ID]]),1,0)</f>
        <v>0</v>
      </c>
      <c r="Q585">
        <f>IF(AND(NOT(ISBLANK(ReconciliationData[[#This Row],[Billed_Units]])),ReconciliationData[[#This Row],[ordered_units]]&lt;&gt;ReconciliationData[[#This Row],[Billed_Units]]),1,0)</f>
        <v>0</v>
      </c>
      <c r="R5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5">
        <f>IF(AND(NOT(ISBLANK(ReconciliationData[[#This Row],[Contract_Price]])),ReconciliationData[[#This Row],[Billed_Price]]&lt;&gt;ReconciliationData[[#This Row],[Contract_Price]]),1,0)</f>
        <v>0</v>
      </c>
      <c r="T585">
        <f>IF(AND(NOT(ISBLANK(ReconciliationData[[#This Row],[End_Date]])),ReconciliationData[[#This Row],[Order_Date]]&gt;ReconciliationData[[#This Row],[End_Date]]),1,0)</f>
        <v>0</v>
      </c>
      <c r="U585">
        <f>IF(AND(NOT(ISBLANK(ReconciliationData[[#This Row],[last_return_date]])),ReconciliationData[[#This Row],[last_return_date]]&gt;ReconciliationData[[#This Row],[Order_Date]]+60),1,0)</f>
        <v>0</v>
      </c>
      <c r="V585">
        <f>IF(ReconciliationData[[#This Row],[total_returned_units]]&gt;ReconciliationData[[#This Row],[ordered_units]],1,0)</f>
        <v>0</v>
      </c>
      <c r="W5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5">
        <f>ReconciliationData[[#This Row],[Billed_Units]]*ReconciliationData[[#This Row],[Billed_Price]]</f>
        <v>22203.3112</v>
      </c>
      <c r="Y585">
        <f>ReconciliationData[[#This Row],[ordered_units]]*ReconciliationData[[#This Row],[List_Price]]</f>
        <v>22203.3112</v>
      </c>
      <c r="Z585">
        <f>ReconciliationData[[#This Row],[billed_revenue]]-ReconciliationData[[#This Row],[expected_revenue]]</f>
        <v>0</v>
      </c>
      <c r="AA5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5" t="str">
        <f>IF(ReconciliationData[[#This Row],[severity_score]]=0,"LOW",
 IF(ReconciliationData[[#This Row],[severity_score]]&lt;=5,"MEDIUM","HIGH"))</f>
        <v>LOW</v>
      </c>
      <c r="AC585" t="str">
        <f>TEXT(ReconciliationData[[#This Row],[Order_Date]],"YYYY-MM")</f>
        <v>2024-05</v>
      </c>
    </row>
    <row r="586" spans="1:29">
      <c r="A586" t="s">
        <v>1986</v>
      </c>
      <c r="B586" s="1">
        <v>45336</v>
      </c>
      <c r="C586" t="s">
        <v>1987</v>
      </c>
      <c r="D586" t="s">
        <v>1315</v>
      </c>
      <c r="E586">
        <v>133</v>
      </c>
      <c r="F586" t="s">
        <v>1988</v>
      </c>
      <c r="G586">
        <v>133</v>
      </c>
      <c r="H586">
        <v>334.24649999999997</v>
      </c>
      <c r="N586">
        <v>334.24649999999997</v>
      </c>
      <c r="O586" s="1">
        <v>45125</v>
      </c>
      <c r="P586">
        <f>IF(ISBLANK(ReconciliationData[[#This Row],[Invoice_ID]]),1,0)</f>
        <v>0</v>
      </c>
      <c r="Q586">
        <f>IF(AND(NOT(ISBLANK(ReconciliationData[[#This Row],[Billed_Units]])),ReconciliationData[[#This Row],[ordered_units]]&lt;&gt;ReconciliationData[[#This Row],[Billed_Units]]),1,0)</f>
        <v>0</v>
      </c>
      <c r="R5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6">
        <f>IF(AND(NOT(ISBLANK(ReconciliationData[[#This Row],[Contract_Price]])),ReconciliationData[[#This Row],[Billed_Price]]&lt;&gt;ReconciliationData[[#This Row],[Contract_Price]]),1,0)</f>
        <v>0</v>
      </c>
      <c r="T586">
        <f>IF(AND(NOT(ISBLANK(ReconciliationData[[#This Row],[End_Date]])),ReconciliationData[[#This Row],[Order_Date]]&gt;ReconciliationData[[#This Row],[End_Date]]),1,0)</f>
        <v>0</v>
      </c>
      <c r="U586">
        <f>IF(AND(NOT(ISBLANK(ReconciliationData[[#This Row],[last_return_date]])),ReconciliationData[[#This Row],[last_return_date]]&gt;ReconciliationData[[#This Row],[Order_Date]]+60),1,0)</f>
        <v>0</v>
      </c>
      <c r="V586">
        <f>IF(ReconciliationData[[#This Row],[total_returned_units]]&gt;ReconciliationData[[#This Row],[ordered_units]],1,0)</f>
        <v>0</v>
      </c>
      <c r="W5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6">
        <f>ReconciliationData[[#This Row],[Billed_Units]]*ReconciliationData[[#This Row],[Billed_Price]]</f>
        <v>44454.784499999994</v>
      </c>
      <c r="Y586">
        <f>ReconciliationData[[#This Row],[ordered_units]]*ReconciliationData[[#This Row],[List_Price]]</f>
        <v>44454.784499999994</v>
      </c>
      <c r="Z586">
        <f>ReconciliationData[[#This Row],[billed_revenue]]-ReconciliationData[[#This Row],[expected_revenue]]</f>
        <v>0</v>
      </c>
      <c r="AA5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6" t="str">
        <f>IF(ReconciliationData[[#This Row],[severity_score]]=0,"LOW",
 IF(ReconciliationData[[#This Row],[severity_score]]&lt;=5,"MEDIUM","HIGH"))</f>
        <v>LOW</v>
      </c>
      <c r="AC586" t="str">
        <f>TEXT(ReconciliationData[[#This Row],[Order_Date]],"YYYY-MM")</f>
        <v>2024-02</v>
      </c>
    </row>
    <row r="587" spans="1:29">
      <c r="A587" t="s">
        <v>1989</v>
      </c>
      <c r="B587" s="1">
        <v>45268</v>
      </c>
      <c r="C587" t="s">
        <v>1990</v>
      </c>
      <c r="D587" t="s">
        <v>628</v>
      </c>
      <c r="E587">
        <v>146</v>
      </c>
      <c r="F587" t="s">
        <v>1991</v>
      </c>
      <c r="G587">
        <v>146</v>
      </c>
      <c r="H587">
        <v>322.71780000000001</v>
      </c>
      <c r="N587">
        <v>322.71780000000001</v>
      </c>
      <c r="O587" s="1">
        <v>45169</v>
      </c>
      <c r="P587">
        <f>IF(ISBLANK(ReconciliationData[[#This Row],[Invoice_ID]]),1,0)</f>
        <v>0</v>
      </c>
      <c r="Q587">
        <f>IF(AND(NOT(ISBLANK(ReconciliationData[[#This Row],[Billed_Units]])),ReconciliationData[[#This Row],[ordered_units]]&lt;&gt;ReconciliationData[[#This Row],[Billed_Units]]),1,0)</f>
        <v>0</v>
      </c>
      <c r="R5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7">
        <f>IF(AND(NOT(ISBLANK(ReconciliationData[[#This Row],[Contract_Price]])),ReconciliationData[[#This Row],[Billed_Price]]&lt;&gt;ReconciliationData[[#This Row],[Contract_Price]]),1,0)</f>
        <v>0</v>
      </c>
      <c r="T587">
        <f>IF(AND(NOT(ISBLANK(ReconciliationData[[#This Row],[End_Date]])),ReconciliationData[[#This Row],[Order_Date]]&gt;ReconciliationData[[#This Row],[End_Date]]),1,0)</f>
        <v>0</v>
      </c>
      <c r="U587">
        <f>IF(AND(NOT(ISBLANK(ReconciliationData[[#This Row],[last_return_date]])),ReconciliationData[[#This Row],[last_return_date]]&gt;ReconciliationData[[#This Row],[Order_Date]]+60),1,0)</f>
        <v>0</v>
      </c>
      <c r="V587">
        <f>IF(ReconciliationData[[#This Row],[total_returned_units]]&gt;ReconciliationData[[#This Row],[ordered_units]],1,0)</f>
        <v>0</v>
      </c>
      <c r="W5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7">
        <f>ReconciliationData[[#This Row],[Billed_Units]]*ReconciliationData[[#This Row],[Billed_Price]]</f>
        <v>47116.798800000004</v>
      </c>
      <c r="Y587">
        <f>ReconciliationData[[#This Row],[ordered_units]]*ReconciliationData[[#This Row],[List_Price]]</f>
        <v>47116.798800000004</v>
      </c>
      <c r="Z587">
        <f>ReconciliationData[[#This Row],[billed_revenue]]-ReconciliationData[[#This Row],[expected_revenue]]</f>
        <v>0</v>
      </c>
      <c r="AA5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7" t="str">
        <f>IF(ReconciliationData[[#This Row],[severity_score]]=0,"LOW",
 IF(ReconciliationData[[#This Row],[severity_score]]&lt;=5,"MEDIUM","HIGH"))</f>
        <v>LOW</v>
      </c>
      <c r="AC587" t="str">
        <f>TEXT(ReconciliationData[[#This Row],[Order_Date]],"YYYY-MM")</f>
        <v>2023-12</v>
      </c>
    </row>
    <row r="588" spans="1:29">
      <c r="A588" t="s">
        <v>1992</v>
      </c>
      <c r="B588" s="1">
        <v>45373</v>
      </c>
      <c r="C588" t="s">
        <v>1993</v>
      </c>
      <c r="D588" t="s">
        <v>1994</v>
      </c>
      <c r="E588">
        <v>81</v>
      </c>
      <c r="F588" t="s">
        <v>1995</v>
      </c>
      <c r="G588">
        <v>81</v>
      </c>
      <c r="H588">
        <v>296.17460000000005</v>
      </c>
      <c r="N588">
        <v>296.17460000000005</v>
      </c>
      <c r="O588" s="1">
        <v>45194</v>
      </c>
      <c r="P588">
        <f>IF(ISBLANK(ReconciliationData[[#This Row],[Invoice_ID]]),1,0)</f>
        <v>0</v>
      </c>
      <c r="Q588">
        <f>IF(AND(NOT(ISBLANK(ReconciliationData[[#This Row],[Billed_Units]])),ReconciliationData[[#This Row],[ordered_units]]&lt;&gt;ReconciliationData[[#This Row],[Billed_Units]]),1,0)</f>
        <v>0</v>
      </c>
      <c r="R5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8">
        <f>IF(AND(NOT(ISBLANK(ReconciliationData[[#This Row],[Contract_Price]])),ReconciliationData[[#This Row],[Billed_Price]]&lt;&gt;ReconciliationData[[#This Row],[Contract_Price]]),1,0)</f>
        <v>0</v>
      </c>
      <c r="T588">
        <f>IF(AND(NOT(ISBLANK(ReconciliationData[[#This Row],[End_Date]])),ReconciliationData[[#This Row],[Order_Date]]&gt;ReconciliationData[[#This Row],[End_Date]]),1,0)</f>
        <v>0</v>
      </c>
      <c r="U588">
        <f>IF(AND(NOT(ISBLANK(ReconciliationData[[#This Row],[last_return_date]])),ReconciliationData[[#This Row],[last_return_date]]&gt;ReconciliationData[[#This Row],[Order_Date]]+60),1,0)</f>
        <v>0</v>
      </c>
      <c r="V588">
        <f>IF(ReconciliationData[[#This Row],[total_returned_units]]&gt;ReconciliationData[[#This Row],[ordered_units]],1,0)</f>
        <v>0</v>
      </c>
      <c r="W5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8">
        <f>ReconciliationData[[#This Row],[Billed_Units]]*ReconciliationData[[#This Row],[Billed_Price]]</f>
        <v>23990.142600000003</v>
      </c>
      <c r="Y588">
        <f>ReconciliationData[[#This Row],[ordered_units]]*ReconciliationData[[#This Row],[List_Price]]</f>
        <v>23990.142600000003</v>
      </c>
      <c r="Z588">
        <f>ReconciliationData[[#This Row],[billed_revenue]]-ReconciliationData[[#This Row],[expected_revenue]]</f>
        <v>0</v>
      </c>
      <c r="AA5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8" t="str">
        <f>IF(ReconciliationData[[#This Row],[severity_score]]=0,"LOW",
 IF(ReconciliationData[[#This Row],[severity_score]]&lt;=5,"MEDIUM","HIGH"))</f>
        <v>LOW</v>
      </c>
      <c r="AC588" t="str">
        <f>TEXT(ReconciliationData[[#This Row],[Order_Date]],"YYYY-MM")</f>
        <v>2024-03</v>
      </c>
    </row>
    <row r="589" spans="1:29">
      <c r="A589" t="s">
        <v>1996</v>
      </c>
      <c r="B589" s="1">
        <v>45371</v>
      </c>
      <c r="C589" t="s">
        <v>1997</v>
      </c>
      <c r="D589" t="s">
        <v>1848</v>
      </c>
      <c r="E589">
        <v>120</v>
      </c>
      <c r="F589" t="s">
        <v>1998</v>
      </c>
      <c r="G589">
        <v>120</v>
      </c>
      <c r="H589">
        <v>92.962000000000003</v>
      </c>
      <c r="N589">
        <v>92.962000000000003</v>
      </c>
      <c r="O589" s="1">
        <v>45151</v>
      </c>
      <c r="P589">
        <f>IF(ISBLANK(ReconciliationData[[#This Row],[Invoice_ID]]),1,0)</f>
        <v>0</v>
      </c>
      <c r="Q589">
        <f>IF(AND(NOT(ISBLANK(ReconciliationData[[#This Row],[Billed_Units]])),ReconciliationData[[#This Row],[ordered_units]]&lt;&gt;ReconciliationData[[#This Row],[Billed_Units]]),1,0)</f>
        <v>0</v>
      </c>
      <c r="R5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89">
        <f>IF(AND(NOT(ISBLANK(ReconciliationData[[#This Row],[Contract_Price]])),ReconciliationData[[#This Row],[Billed_Price]]&lt;&gt;ReconciliationData[[#This Row],[Contract_Price]]),1,0)</f>
        <v>0</v>
      </c>
      <c r="T589">
        <f>IF(AND(NOT(ISBLANK(ReconciliationData[[#This Row],[End_Date]])),ReconciliationData[[#This Row],[Order_Date]]&gt;ReconciliationData[[#This Row],[End_Date]]),1,0)</f>
        <v>0</v>
      </c>
      <c r="U589">
        <f>IF(AND(NOT(ISBLANK(ReconciliationData[[#This Row],[last_return_date]])),ReconciliationData[[#This Row],[last_return_date]]&gt;ReconciliationData[[#This Row],[Order_Date]]+60),1,0)</f>
        <v>0</v>
      </c>
      <c r="V589">
        <f>IF(ReconciliationData[[#This Row],[total_returned_units]]&gt;ReconciliationData[[#This Row],[ordered_units]],1,0)</f>
        <v>0</v>
      </c>
      <c r="W5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89">
        <f>ReconciliationData[[#This Row],[Billed_Units]]*ReconciliationData[[#This Row],[Billed_Price]]</f>
        <v>11155.44</v>
      </c>
      <c r="Y589">
        <f>ReconciliationData[[#This Row],[ordered_units]]*ReconciliationData[[#This Row],[List_Price]]</f>
        <v>11155.44</v>
      </c>
      <c r="Z589">
        <f>ReconciliationData[[#This Row],[billed_revenue]]-ReconciliationData[[#This Row],[expected_revenue]]</f>
        <v>0</v>
      </c>
      <c r="AA5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89" t="str">
        <f>IF(ReconciliationData[[#This Row],[severity_score]]=0,"LOW",
 IF(ReconciliationData[[#This Row],[severity_score]]&lt;=5,"MEDIUM","HIGH"))</f>
        <v>LOW</v>
      </c>
      <c r="AC589" t="str">
        <f>TEXT(ReconciliationData[[#This Row],[Order_Date]],"YYYY-MM")</f>
        <v>2024-03</v>
      </c>
    </row>
    <row r="590" spans="1:29">
      <c r="A590" t="s">
        <v>1999</v>
      </c>
      <c r="B590" s="1">
        <v>45521</v>
      </c>
      <c r="C590" t="s">
        <v>2000</v>
      </c>
      <c r="D590" t="s">
        <v>412</v>
      </c>
      <c r="E590">
        <v>59</v>
      </c>
      <c r="F590" t="s">
        <v>2001</v>
      </c>
      <c r="G590">
        <v>59</v>
      </c>
      <c r="H590">
        <v>1160.5650000000001</v>
      </c>
      <c r="N590">
        <v>1160.5650000000001</v>
      </c>
      <c r="O590" s="1">
        <v>45055</v>
      </c>
      <c r="P590">
        <f>IF(ISBLANK(ReconciliationData[[#This Row],[Invoice_ID]]),1,0)</f>
        <v>0</v>
      </c>
      <c r="Q590">
        <f>IF(AND(NOT(ISBLANK(ReconciliationData[[#This Row],[Billed_Units]])),ReconciliationData[[#This Row],[ordered_units]]&lt;&gt;ReconciliationData[[#This Row],[Billed_Units]]),1,0)</f>
        <v>0</v>
      </c>
      <c r="R5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0">
        <f>IF(AND(NOT(ISBLANK(ReconciliationData[[#This Row],[Contract_Price]])),ReconciliationData[[#This Row],[Billed_Price]]&lt;&gt;ReconciliationData[[#This Row],[Contract_Price]]),1,0)</f>
        <v>0</v>
      </c>
      <c r="T590">
        <f>IF(AND(NOT(ISBLANK(ReconciliationData[[#This Row],[End_Date]])),ReconciliationData[[#This Row],[Order_Date]]&gt;ReconciliationData[[#This Row],[End_Date]]),1,0)</f>
        <v>0</v>
      </c>
      <c r="U590">
        <f>IF(AND(NOT(ISBLANK(ReconciliationData[[#This Row],[last_return_date]])),ReconciliationData[[#This Row],[last_return_date]]&gt;ReconciliationData[[#This Row],[Order_Date]]+60),1,0)</f>
        <v>0</v>
      </c>
      <c r="V590">
        <f>IF(ReconciliationData[[#This Row],[total_returned_units]]&gt;ReconciliationData[[#This Row],[ordered_units]],1,0)</f>
        <v>0</v>
      </c>
      <c r="W5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0">
        <f>ReconciliationData[[#This Row],[Billed_Units]]*ReconciliationData[[#This Row],[Billed_Price]]</f>
        <v>68473.335000000006</v>
      </c>
      <c r="Y590">
        <f>ReconciliationData[[#This Row],[ordered_units]]*ReconciliationData[[#This Row],[List_Price]]</f>
        <v>68473.335000000006</v>
      </c>
      <c r="Z590">
        <f>ReconciliationData[[#This Row],[billed_revenue]]-ReconciliationData[[#This Row],[expected_revenue]]</f>
        <v>0</v>
      </c>
      <c r="AA5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0" t="str">
        <f>IF(ReconciliationData[[#This Row],[severity_score]]=0,"LOW",
 IF(ReconciliationData[[#This Row],[severity_score]]&lt;=5,"MEDIUM","HIGH"))</f>
        <v>LOW</v>
      </c>
      <c r="AC590" t="str">
        <f>TEXT(ReconciliationData[[#This Row],[Order_Date]],"YYYY-MM")</f>
        <v>2024-08</v>
      </c>
    </row>
    <row r="591" spans="1:29">
      <c r="A591" t="s">
        <v>2002</v>
      </c>
      <c r="B591" s="1">
        <v>45393</v>
      </c>
      <c r="C591" t="s">
        <v>1185</v>
      </c>
      <c r="D591" t="s">
        <v>1533</v>
      </c>
      <c r="E591">
        <v>36</v>
      </c>
      <c r="F591" t="s">
        <v>2003</v>
      </c>
      <c r="G591">
        <v>36</v>
      </c>
      <c r="H591">
        <v>952.36940000000004</v>
      </c>
      <c r="N591">
        <v>952.36940000000004</v>
      </c>
      <c r="O591" s="1">
        <v>45169</v>
      </c>
      <c r="P591">
        <f>IF(ISBLANK(ReconciliationData[[#This Row],[Invoice_ID]]),1,0)</f>
        <v>0</v>
      </c>
      <c r="Q591">
        <f>IF(AND(NOT(ISBLANK(ReconciliationData[[#This Row],[Billed_Units]])),ReconciliationData[[#This Row],[ordered_units]]&lt;&gt;ReconciliationData[[#This Row],[Billed_Units]]),1,0)</f>
        <v>0</v>
      </c>
      <c r="R5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1">
        <f>IF(AND(NOT(ISBLANK(ReconciliationData[[#This Row],[Contract_Price]])),ReconciliationData[[#This Row],[Billed_Price]]&lt;&gt;ReconciliationData[[#This Row],[Contract_Price]]),1,0)</f>
        <v>0</v>
      </c>
      <c r="T591">
        <f>IF(AND(NOT(ISBLANK(ReconciliationData[[#This Row],[End_Date]])),ReconciliationData[[#This Row],[Order_Date]]&gt;ReconciliationData[[#This Row],[End_Date]]),1,0)</f>
        <v>0</v>
      </c>
      <c r="U591">
        <f>IF(AND(NOT(ISBLANK(ReconciliationData[[#This Row],[last_return_date]])),ReconciliationData[[#This Row],[last_return_date]]&gt;ReconciliationData[[#This Row],[Order_Date]]+60),1,0)</f>
        <v>0</v>
      </c>
      <c r="V591">
        <f>IF(ReconciliationData[[#This Row],[total_returned_units]]&gt;ReconciliationData[[#This Row],[ordered_units]],1,0)</f>
        <v>0</v>
      </c>
      <c r="W5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1">
        <f>ReconciliationData[[#This Row],[Billed_Units]]*ReconciliationData[[#This Row],[Billed_Price]]</f>
        <v>34285.2984</v>
      </c>
      <c r="Y591">
        <f>ReconciliationData[[#This Row],[ordered_units]]*ReconciliationData[[#This Row],[List_Price]]</f>
        <v>34285.2984</v>
      </c>
      <c r="Z591">
        <f>ReconciliationData[[#This Row],[billed_revenue]]-ReconciliationData[[#This Row],[expected_revenue]]</f>
        <v>0</v>
      </c>
      <c r="AA5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1" t="str">
        <f>IF(ReconciliationData[[#This Row],[severity_score]]=0,"LOW",
 IF(ReconciliationData[[#This Row],[severity_score]]&lt;=5,"MEDIUM","HIGH"))</f>
        <v>LOW</v>
      </c>
      <c r="AC591" t="str">
        <f>TEXT(ReconciliationData[[#This Row],[Order_Date]],"YYYY-MM")</f>
        <v>2024-04</v>
      </c>
    </row>
    <row r="592" spans="1:29">
      <c r="A592" t="s">
        <v>2004</v>
      </c>
      <c r="B592" s="1">
        <v>45295</v>
      </c>
      <c r="C592" t="s">
        <v>2005</v>
      </c>
      <c r="D592" t="s">
        <v>1305</v>
      </c>
      <c r="E592">
        <v>101</v>
      </c>
      <c r="F592" t="s">
        <v>2006</v>
      </c>
      <c r="G592">
        <v>101</v>
      </c>
      <c r="H592">
        <v>250.3184</v>
      </c>
      <c r="N592">
        <v>250.3184</v>
      </c>
      <c r="O592" s="1">
        <v>45212</v>
      </c>
      <c r="P592">
        <f>IF(ISBLANK(ReconciliationData[[#This Row],[Invoice_ID]]),1,0)</f>
        <v>0</v>
      </c>
      <c r="Q592">
        <f>IF(AND(NOT(ISBLANK(ReconciliationData[[#This Row],[Billed_Units]])),ReconciliationData[[#This Row],[ordered_units]]&lt;&gt;ReconciliationData[[#This Row],[Billed_Units]]),1,0)</f>
        <v>0</v>
      </c>
      <c r="R5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2">
        <f>IF(AND(NOT(ISBLANK(ReconciliationData[[#This Row],[Contract_Price]])),ReconciliationData[[#This Row],[Billed_Price]]&lt;&gt;ReconciliationData[[#This Row],[Contract_Price]]),1,0)</f>
        <v>0</v>
      </c>
      <c r="T592">
        <f>IF(AND(NOT(ISBLANK(ReconciliationData[[#This Row],[End_Date]])),ReconciliationData[[#This Row],[Order_Date]]&gt;ReconciliationData[[#This Row],[End_Date]]),1,0)</f>
        <v>0</v>
      </c>
      <c r="U592">
        <f>IF(AND(NOT(ISBLANK(ReconciliationData[[#This Row],[last_return_date]])),ReconciliationData[[#This Row],[last_return_date]]&gt;ReconciliationData[[#This Row],[Order_Date]]+60),1,0)</f>
        <v>0</v>
      </c>
      <c r="V592">
        <f>IF(ReconciliationData[[#This Row],[total_returned_units]]&gt;ReconciliationData[[#This Row],[ordered_units]],1,0)</f>
        <v>0</v>
      </c>
      <c r="W5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2">
        <f>ReconciliationData[[#This Row],[Billed_Units]]*ReconciliationData[[#This Row],[Billed_Price]]</f>
        <v>25282.1584</v>
      </c>
      <c r="Y592">
        <f>ReconciliationData[[#This Row],[ordered_units]]*ReconciliationData[[#This Row],[List_Price]]</f>
        <v>25282.1584</v>
      </c>
      <c r="Z592">
        <f>ReconciliationData[[#This Row],[billed_revenue]]-ReconciliationData[[#This Row],[expected_revenue]]</f>
        <v>0</v>
      </c>
      <c r="AA5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2" t="str">
        <f>IF(ReconciliationData[[#This Row],[severity_score]]=0,"LOW",
 IF(ReconciliationData[[#This Row],[severity_score]]&lt;=5,"MEDIUM","HIGH"))</f>
        <v>LOW</v>
      </c>
      <c r="AC592" t="str">
        <f>TEXT(ReconciliationData[[#This Row],[Order_Date]],"YYYY-MM")</f>
        <v>2024-01</v>
      </c>
    </row>
    <row r="593" spans="1:29">
      <c r="A593" t="s">
        <v>2007</v>
      </c>
      <c r="B593" s="1">
        <v>45307</v>
      </c>
      <c r="C593" t="s">
        <v>1429</v>
      </c>
      <c r="D593" t="s">
        <v>404</v>
      </c>
      <c r="E593">
        <v>50</v>
      </c>
      <c r="F593" t="s">
        <v>2008</v>
      </c>
      <c r="G593">
        <v>50</v>
      </c>
      <c r="H593">
        <v>1129.6166000000001</v>
      </c>
      <c r="N593">
        <v>1129.6166000000001</v>
      </c>
      <c r="O593" s="1">
        <v>44960</v>
      </c>
      <c r="P593">
        <f>IF(ISBLANK(ReconciliationData[[#This Row],[Invoice_ID]]),1,0)</f>
        <v>0</v>
      </c>
      <c r="Q593">
        <f>IF(AND(NOT(ISBLANK(ReconciliationData[[#This Row],[Billed_Units]])),ReconciliationData[[#This Row],[ordered_units]]&lt;&gt;ReconciliationData[[#This Row],[Billed_Units]]),1,0)</f>
        <v>0</v>
      </c>
      <c r="R5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3">
        <f>IF(AND(NOT(ISBLANK(ReconciliationData[[#This Row],[Contract_Price]])),ReconciliationData[[#This Row],[Billed_Price]]&lt;&gt;ReconciliationData[[#This Row],[Contract_Price]]),1,0)</f>
        <v>0</v>
      </c>
      <c r="T593">
        <f>IF(AND(NOT(ISBLANK(ReconciliationData[[#This Row],[End_Date]])),ReconciliationData[[#This Row],[Order_Date]]&gt;ReconciliationData[[#This Row],[End_Date]]),1,0)</f>
        <v>0</v>
      </c>
      <c r="U593">
        <f>IF(AND(NOT(ISBLANK(ReconciliationData[[#This Row],[last_return_date]])),ReconciliationData[[#This Row],[last_return_date]]&gt;ReconciliationData[[#This Row],[Order_Date]]+60),1,0)</f>
        <v>0</v>
      </c>
      <c r="V593">
        <f>IF(ReconciliationData[[#This Row],[total_returned_units]]&gt;ReconciliationData[[#This Row],[ordered_units]],1,0)</f>
        <v>0</v>
      </c>
      <c r="W5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3">
        <f>ReconciliationData[[#This Row],[Billed_Units]]*ReconciliationData[[#This Row],[Billed_Price]]</f>
        <v>56480.83</v>
      </c>
      <c r="Y593">
        <f>ReconciliationData[[#This Row],[ordered_units]]*ReconciliationData[[#This Row],[List_Price]]</f>
        <v>56480.83</v>
      </c>
      <c r="Z593">
        <f>ReconciliationData[[#This Row],[billed_revenue]]-ReconciliationData[[#This Row],[expected_revenue]]</f>
        <v>0</v>
      </c>
      <c r="AA5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3" t="str">
        <f>IF(ReconciliationData[[#This Row],[severity_score]]=0,"LOW",
 IF(ReconciliationData[[#This Row],[severity_score]]&lt;=5,"MEDIUM","HIGH"))</f>
        <v>LOW</v>
      </c>
      <c r="AC593" t="str">
        <f>TEXT(ReconciliationData[[#This Row],[Order_Date]],"YYYY-MM")</f>
        <v>2024-01</v>
      </c>
    </row>
    <row r="594" spans="1:29">
      <c r="A594" t="s">
        <v>2009</v>
      </c>
      <c r="B594" s="1">
        <v>45344</v>
      </c>
      <c r="C594" t="s">
        <v>2010</v>
      </c>
      <c r="D594" t="s">
        <v>1869</v>
      </c>
      <c r="E594">
        <v>91</v>
      </c>
      <c r="F594" t="s">
        <v>2011</v>
      </c>
      <c r="G594">
        <v>91</v>
      </c>
      <c r="H594">
        <v>75.504800000000003</v>
      </c>
      <c r="I594">
        <v>8</v>
      </c>
      <c r="J594" s="1">
        <v>45177</v>
      </c>
      <c r="N594">
        <v>75.504800000000003</v>
      </c>
      <c r="O594" s="1">
        <v>45080</v>
      </c>
      <c r="P594">
        <f>IF(ISBLANK(ReconciliationData[[#This Row],[Invoice_ID]]),1,0)</f>
        <v>0</v>
      </c>
      <c r="Q594">
        <f>IF(AND(NOT(ISBLANK(ReconciliationData[[#This Row],[Billed_Units]])),ReconciliationData[[#This Row],[ordered_units]]&lt;&gt;ReconciliationData[[#This Row],[Billed_Units]]),1,0)</f>
        <v>0</v>
      </c>
      <c r="R5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4">
        <f>IF(AND(NOT(ISBLANK(ReconciliationData[[#This Row],[Contract_Price]])),ReconciliationData[[#This Row],[Billed_Price]]&lt;&gt;ReconciliationData[[#This Row],[Contract_Price]]),1,0)</f>
        <v>0</v>
      </c>
      <c r="T594">
        <f>IF(AND(NOT(ISBLANK(ReconciliationData[[#This Row],[End_Date]])),ReconciliationData[[#This Row],[Order_Date]]&gt;ReconciliationData[[#This Row],[End_Date]]),1,0)</f>
        <v>0</v>
      </c>
      <c r="U594">
        <f>IF(AND(NOT(ISBLANK(ReconciliationData[[#This Row],[last_return_date]])),ReconciliationData[[#This Row],[last_return_date]]&gt;ReconciliationData[[#This Row],[Order_Date]]+60),1,0)</f>
        <v>0</v>
      </c>
      <c r="V594">
        <f>IF(ReconciliationData[[#This Row],[total_returned_units]]&gt;ReconciliationData[[#This Row],[ordered_units]],1,0)</f>
        <v>0</v>
      </c>
      <c r="W5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4">
        <f>ReconciliationData[[#This Row],[Billed_Units]]*ReconciliationData[[#This Row],[Billed_Price]]</f>
        <v>6870.9368000000004</v>
      </c>
      <c r="Y594">
        <f>ReconciliationData[[#This Row],[ordered_units]]*ReconciliationData[[#This Row],[List_Price]]</f>
        <v>6870.9368000000004</v>
      </c>
      <c r="Z594">
        <f>ReconciliationData[[#This Row],[billed_revenue]]-ReconciliationData[[#This Row],[expected_revenue]]</f>
        <v>0</v>
      </c>
      <c r="AA5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4" t="str">
        <f>IF(ReconciliationData[[#This Row],[severity_score]]=0,"LOW",
 IF(ReconciliationData[[#This Row],[severity_score]]&lt;=5,"MEDIUM","HIGH"))</f>
        <v>LOW</v>
      </c>
      <c r="AC594" t="str">
        <f>TEXT(ReconciliationData[[#This Row],[Order_Date]],"YYYY-MM")</f>
        <v>2024-02</v>
      </c>
    </row>
    <row r="595" spans="1:29">
      <c r="A595" t="s">
        <v>2012</v>
      </c>
      <c r="B595" s="1">
        <v>45284</v>
      </c>
      <c r="C595" t="s">
        <v>703</v>
      </c>
      <c r="D595" t="s">
        <v>1420</v>
      </c>
      <c r="E595">
        <v>20</v>
      </c>
      <c r="F595" t="s">
        <v>2013</v>
      </c>
      <c r="G595">
        <v>20</v>
      </c>
      <c r="H595">
        <v>77.178600000000003</v>
      </c>
      <c r="N595">
        <v>77.178600000000003</v>
      </c>
      <c r="O595" s="1">
        <v>44975</v>
      </c>
      <c r="P595">
        <f>IF(ISBLANK(ReconciliationData[[#This Row],[Invoice_ID]]),1,0)</f>
        <v>0</v>
      </c>
      <c r="Q595">
        <f>IF(AND(NOT(ISBLANK(ReconciliationData[[#This Row],[Billed_Units]])),ReconciliationData[[#This Row],[ordered_units]]&lt;&gt;ReconciliationData[[#This Row],[Billed_Units]]),1,0)</f>
        <v>0</v>
      </c>
      <c r="R5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5">
        <f>IF(AND(NOT(ISBLANK(ReconciliationData[[#This Row],[Contract_Price]])),ReconciliationData[[#This Row],[Billed_Price]]&lt;&gt;ReconciliationData[[#This Row],[Contract_Price]]),1,0)</f>
        <v>0</v>
      </c>
      <c r="T595">
        <f>IF(AND(NOT(ISBLANK(ReconciliationData[[#This Row],[End_Date]])),ReconciliationData[[#This Row],[Order_Date]]&gt;ReconciliationData[[#This Row],[End_Date]]),1,0)</f>
        <v>0</v>
      </c>
      <c r="U595">
        <f>IF(AND(NOT(ISBLANK(ReconciliationData[[#This Row],[last_return_date]])),ReconciliationData[[#This Row],[last_return_date]]&gt;ReconciliationData[[#This Row],[Order_Date]]+60),1,0)</f>
        <v>0</v>
      </c>
      <c r="V595">
        <f>IF(ReconciliationData[[#This Row],[total_returned_units]]&gt;ReconciliationData[[#This Row],[ordered_units]],1,0)</f>
        <v>0</v>
      </c>
      <c r="W5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5">
        <f>ReconciliationData[[#This Row],[Billed_Units]]*ReconciliationData[[#This Row],[Billed_Price]]</f>
        <v>1543.5720000000001</v>
      </c>
      <c r="Y595">
        <f>ReconciliationData[[#This Row],[ordered_units]]*ReconciliationData[[#This Row],[List_Price]]</f>
        <v>1543.5720000000001</v>
      </c>
      <c r="Z595">
        <f>ReconciliationData[[#This Row],[billed_revenue]]-ReconciliationData[[#This Row],[expected_revenue]]</f>
        <v>0</v>
      </c>
      <c r="AA5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5" t="str">
        <f>IF(ReconciliationData[[#This Row],[severity_score]]=0,"LOW",
 IF(ReconciliationData[[#This Row],[severity_score]]&lt;=5,"MEDIUM","HIGH"))</f>
        <v>LOW</v>
      </c>
      <c r="AC595" t="str">
        <f>TEXT(ReconciliationData[[#This Row],[Order_Date]],"YYYY-MM")</f>
        <v>2023-12</v>
      </c>
    </row>
    <row r="596" spans="1:29">
      <c r="A596" t="s">
        <v>2014</v>
      </c>
      <c r="B596" s="1">
        <v>45532</v>
      </c>
      <c r="C596" t="s">
        <v>2015</v>
      </c>
      <c r="D596" t="s">
        <v>807</v>
      </c>
      <c r="E596">
        <v>175</v>
      </c>
      <c r="F596" t="s">
        <v>2016</v>
      </c>
      <c r="G596">
        <v>175</v>
      </c>
      <c r="H596">
        <v>383.63</v>
      </c>
      <c r="N596">
        <v>383.63</v>
      </c>
      <c r="O596" s="1">
        <v>45200</v>
      </c>
      <c r="P596">
        <f>IF(ISBLANK(ReconciliationData[[#This Row],[Invoice_ID]]),1,0)</f>
        <v>0</v>
      </c>
      <c r="Q596">
        <f>IF(AND(NOT(ISBLANK(ReconciliationData[[#This Row],[Billed_Units]])),ReconciliationData[[#This Row],[ordered_units]]&lt;&gt;ReconciliationData[[#This Row],[Billed_Units]]),1,0)</f>
        <v>0</v>
      </c>
      <c r="R5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6">
        <f>IF(AND(NOT(ISBLANK(ReconciliationData[[#This Row],[Contract_Price]])),ReconciliationData[[#This Row],[Billed_Price]]&lt;&gt;ReconciliationData[[#This Row],[Contract_Price]]),1,0)</f>
        <v>0</v>
      </c>
      <c r="T596">
        <f>IF(AND(NOT(ISBLANK(ReconciliationData[[#This Row],[End_Date]])),ReconciliationData[[#This Row],[Order_Date]]&gt;ReconciliationData[[#This Row],[End_Date]]),1,0)</f>
        <v>0</v>
      </c>
      <c r="U596">
        <f>IF(AND(NOT(ISBLANK(ReconciliationData[[#This Row],[last_return_date]])),ReconciliationData[[#This Row],[last_return_date]]&gt;ReconciliationData[[#This Row],[Order_Date]]+60),1,0)</f>
        <v>0</v>
      </c>
      <c r="V596">
        <f>IF(ReconciliationData[[#This Row],[total_returned_units]]&gt;ReconciliationData[[#This Row],[ordered_units]],1,0)</f>
        <v>0</v>
      </c>
      <c r="W5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6">
        <f>ReconciliationData[[#This Row],[Billed_Units]]*ReconciliationData[[#This Row],[Billed_Price]]</f>
        <v>67135.25</v>
      </c>
      <c r="Y596">
        <f>ReconciliationData[[#This Row],[ordered_units]]*ReconciliationData[[#This Row],[List_Price]]</f>
        <v>67135.25</v>
      </c>
      <c r="Z596">
        <f>ReconciliationData[[#This Row],[billed_revenue]]-ReconciliationData[[#This Row],[expected_revenue]]</f>
        <v>0</v>
      </c>
      <c r="AA5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6" t="str">
        <f>IF(ReconciliationData[[#This Row],[severity_score]]=0,"LOW",
 IF(ReconciliationData[[#This Row],[severity_score]]&lt;=5,"MEDIUM","HIGH"))</f>
        <v>LOW</v>
      </c>
      <c r="AC596" t="str">
        <f>TEXT(ReconciliationData[[#This Row],[Order_Date]],"YYYY-MM")</f>
        <v>2024-08</v>
      </c>
    </row>
    <row r="597" spans="1:29">
      <c r="A597" t="s">
        <v>2017</v>
      </c>
      <c r="B597" s="1">
        <v>45609</v>
      </c>
      <c r="C597" t="s">
        <v>2018</v>
      </c>
      <c r="D597" t="s">
        <v>1298</v>
      </c>
      <c r="E597">
        <v>96</v>
      </c>
      <c r="F597" t="s">
        <v>2019</v>
      </c>
      <c r="G597">
        <v>96</v>
      </c>
      <c r="H597">
        <v>1099.82</v>
      </c>
      <c r="N597">
        <v>1099.82</v>
      </c>
      <c r="O597" s="1">
        <v>44962</v>
      </c>
      <c r="P597">
        <f>IF(ISBLANK(ReconciliationData[[#This Row],[Invoice_ID]]),1,0)</f>
        <v>0</v>
      </c>
      <c r="Q597">
        <f>IF(AND(NOT(ISBLANK(ReconciliationData[[#This Row],[Billed_Units]])),ReconciliationData[[#This Row],[ordered_units]]&lt;&gt;ReconciliationData[[#This Row],[Billed_Units]]),1,0)</f>
        <v>0</v>
      </c>
      <c r="R5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7">
        <f>IF(AND(NOT(ISBLANK(ReconciliationData[[#This Row],[Contract_Price]])),ReconciliationData[[#This Row],[Billed_Price]]&lt;&gt;ReconciliationData[[#This Row],[Contract_Price]]),1,0)</f>
        <v>0</v>
      </c>
      <c r="T597">
        <f>IF(AND(NOT(ISBLANK(ReconciliationData[[#This Row],[End_Date]])),ReconciliationData[[#This Row],[Order_Date]]&gt;ReconciliationData[[#This Row],[End_Date]]),1,0)</f>
        <v>0</v>
      </c>
      <c r="U597">
        <f>IF(AND(NOT(ISBLANK(ReconciliationData[[#This Row],[last_return_date]])),ReconciliationData[[#This Row],[last_return_date]]&gt;ReconciliationData[[#This Row],[Order_Date]]+60),1,0)</f>
        <v>0</v>
      </c>
      <c r="V597">
        <f>IF(ReconciliationData[[#This Row],[total_returned_units]]&gt;ReconciliationData[[#This Row],[ordered_units]],1,0)</f>
        <v>0</v>
      </c>
      <c r="W5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7">
        <f>ReconciliationData[[#This Row],[Billed_Units]]*ReconciliationData[[#This Row],[Billed_Price]]</f>
        <v>105582.72</v>
      </c>
      <c r="Y597">
        <f>ReconciliationData[[#This Row],[ordered_units]]*ReconciliationData[[#This Row],[List_Price]]</f>
        <v>105582.72</v>
      </c>
      <c r="Z597">
        <f>ReconciliationData[[#This Row],[billed_revenue]]-ReconciliationData[[#This Row],[expected_revenue]]</f>
        <v>0</v>
      </c>
      <c r="AA5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7" t="str">
        <f>IF(ReconciliationData[[#This Row],[severity_score]]=0,"LOW",
 IF(ReconciliationData[[#This Row],[severity_score]]&lt;=5,"MEDIUM","HIGH"))</f>
        <v>LOW</v>
      </c>
      <c r="AC597" t="str">
        <f>TEXT(ReconciliationData[[#This Row],[Order_Date]],"YYYY-MM")</f>
        <v>2024-11</v>
      </c>
    </row>
    <row r="598" spans="1:29">
      <c r="A598" t="s">
        <v>2020</v>
      </c>
      <c r="B598" s="1">
        <v>45632</v>
      </c>
      <c r="C598" t="s">
        <v>141</v>
      </c>
      <c r="D598" t="s">
        <v>1322</v>
      </c>
      <c r="E598">
        <v>75</v>
      </c>
      <c r="F598" t="s">
        <v>2021</v>
      </c>
      <c r="G598">
        <v>75</v>
      </c>
      <c r="H598">
        <v>69.45</v>
      </c>
      <c r="N598">
        <v>69.45</v>
      </c>
      <c r="O598" s="1">
        <v>45169</v>
      </c>
      <c r="P598">
        <f>IF(ISBLANK(ReconciliationData[[#This Row],[Invoice_ID]]),1,0)</f>
        <v>0</v>
      </c>
      <c r="Q598">
        <f>IF(AND(NOT(ISBLANK(ReconciliationData[[#This Row],[Billed_Units]])),ReconciliationData[[#This Row],[ordered_units]]&lt;&gt;ReconciliationData[[#This Row],[Billed_Units]]),1,0)</f>
        <v>0</v>
      </c>
      <c r="R5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8">
        <f>IF(AND(NOT(ISBLANK(ReconciliationData[[#This Row],[Contract_Price]])),ReconciliationData[[#This Row],[Billed_Price]]&lt;&gt;ReconciliationData[[#This Row],[Contract_Price]]),1,0)</f>
        <v>0</v>
      </c>
      <c r="T598">
        <f>IF(AND(NOT(ISBLANK(ReconciliationData[[#This Row],[End_Date]])),ReconciliationData[[#This Row],[Order_Date]]&gt;ReconciliationData[[#This Row],[End_Date]]),1,0)</f>
        <v>0</v>
      </c>
      <c r="U598">
        <f>IF(AND(NOT(ISBLANK(ReconciliationData[[#This Row],[last_return_date]])),ReconciliationData[[#This Row],[last_return_date]]&gt;ReconciliationData[[#This Row],[Order_Date]]+60),1,0)</f>
        <v>0</v>
      </c>
      <c r="V598">
        <f>IF(ReconciliationData[[#This Row],[total_returned_units]]&gt;ReconciliationData[[#This Row],[ordered_units]],1,0)</f>
        <v>0</v>
      </c>
      <c r="W5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8">
        <f>ReconciliationData[[#This Row],[Billed_Units]]*ReconciliationData[[#This Row],[Billed_Price]]</f>
        <v>5208.75</v>
      </c>
      <c r="Y598">
        <f>ReconciliationData[[#This Row],[ordered_units]]*ReconciliationData[[#This Row],[List_Price]]</f>
        <v>5208.75</v>
      </c>
      <c r="Z598">
        <f>ReconciliationData[[#This Row],[billed_revenue]]-ReconciliationData[[#This Row],[expected_revenue]]</f>
        <v>0</v>
      </c>
      <c r="AA5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8" t="str">
        <f>IF(ReconciliationData[[#This Row],[severity_score]]=0,"LOW",
 IF(ReconciliationData[[#This Row],[severity_score]]&lt;=5,"MEDIUM","HIGH"))</f>
        <v>LOW</v>
      </c>
      <c r="AC598" t="str">
        <f>TEXT(ReconciliationData[[#This Row],[Order_Date]],"YYYY-MM")</f>
        <v>2024-12</v>
      </c>
    </row>
    <row r="599" spans="1:29">
      <c r="A599" t="s">
        <v>2022</v>
      </c>
      <c r="B599" s="1">
        <v>45278</v>
      </c>
      <c r="C599" t="s">
        <v>482</v>
      </c>
      <c r="D599" t="s">
        <v>2023</v>
      </c>
      <c r="E599">
        <v>3</v>
      </c>
      <c r="F599" t="s">
        <v>2024</v>
      </c>
      <c r="G599">
        <v>3</v>
      </c>
      <c r="H599">
        <v>510.27839999999998</v>
      </c>
      <c r="N599">
        <v>510.27839999999998</v>
      </c>
      <c r="O599" s="1">
        <v>45127</v>
      </c>
      <c r="P599">
        <f>IF(ISBLANK(ReconciliationData[[#This Row],[Invoice_ID]]),1,0)</f>
        <v>0</v>
      </c>
      <c r="Q599">
        <f>IF(AND(NOT(ISBLANK(ReconciliationData[[#This Row],[Billed_Units]])),ReconciliationData[[#This Row],[ordered_units]]&lt;&gt;ReconciliationData[[#This Row],[Billed_Units]]),1,0)</f>
        <v>0</v>
      </c>
      <c r="R5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599">
        <f>IF(AND(NOT(ISBLANK(ReconciliationData[[#This Row],[Contract_Price]])),ReconciliationData[[#This Row],[Billed_Price]]&lt;&gt;ReconciliationData[[#This Row],[Contract_Price]]),1,0)</f>
        <v>0</v>
      </c>
      <c r="T599">
        <f>IF(AND(NOT(ISBLANK(ReconciliationData[[#This Row],[End_Date]])),ReconciliationData[[#This Row],[Order_Date]]&gt;ReconciliationData[[#This Row],[End_Date]]),1,0)</f>
        <v>0</v>
      </c>
      <c r="U599">
        <f>IF(AND(NOT(ISBLANK(ReconciliationData[[#This Row],[last_return_date]])),ReconciliationData[[#This Row],[last_return_date]]&gt;ReconciliationData[[#This Row],[Order_Date]]+60),1,0)</f>
        <v>0</v>
      </c>
      <c r="V599">
        <f>IF(ReconciliationData[[#This Row],[total_returned_units]]&gt;ReconciliationData[[#This Row],[ordered_units]],1,0)</f>
        <v>0</v>
      </c>
      <c r="W5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599">
        <f>ReconciliationData[[#This Row],[Billed_Units]]*ReconciliationData[[#This Row],[Billed_Price]]</f>
        <v>1530.8352</v>
      </c>
      <c r="Y599">
        <f>ReconciliationData[[#This Row],[ordered_units]]*ReconciliationData[[#This Row],[List_Price]]</f>
        <v>1530.8352</v>
      </c>
      <c r="Z599">
        <f>ReconciliationData[[#This Row],[billed_revenue]]-ReconciliationData[[#This Row],[expected_revenue]]</f>
        <v>0</v>
      </c>
      <c r="AA5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599" t="str">
        <f>IF(ReconciliationData[[#This Row],[severity_score]]=0,"LOW",
 IF(ReconciliationData[[#This Row],[severity_score]]&lt;=5,"MEDIUM","HIGH"))</f>
        <v>LOW</v>
      </c>
      <c r="AC599" t="str">
        <f>TEXT(ReconciliationData[[#This Row],[Order_Date]],"YYYY-MM")</f>
        <v>2023-12</v>
      </c>
    </row>
    <row r="600" spans="1:29">
      <c r="A600" t="s">
        <v>2025</v>
      </c>
      <c r="B600" s="1">
        <v>44988</v>
      </c>
      <c r="C600" t="s">
        <v>617</v>
      </c>
      <c r="D600" t="s">
        <v>1555</v>
      </c>
      <c r="E600">
        <v>140</v>
      </c>
      <c r="F600" t="s">
        <v>2026</v>
      </c>
      <c r="G600">
        <v>140</v>
      </c>
      <c r="H600">
        <v>874.92399999999998</v>
      </c>
      <c r="N600">
        <v>874.92399999999998</v>
      </c>
      <c r="O600" s="1">
        <v>44966</v>
      </c>
      <c r="P600">
        <f>IF(ISBLANK(ReconciliationData[[#This Row],[Invoice_ID]]),1,0)</f>
        <v>0</v>
      </c>
      <c r="Q600">
        <f>IF(AND(NOT(ISBLANK(ReconciliationData[[#This Row],[Billed_Units]])),ReconciliationData[[#This Row],[ordered_units]]&lt;&gt;ReconciliationData[[#This Row],[Billed_Units]]),1,0)</f>
        <v>0</v>
      </c>
      <c r="R6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00">
        <f>IF(AND(NOT(ISBLANK(ReconciliationData[[#This Row],[Contract_Price]])),ReconciliationData[[#This Row],[Billed_Price]]&lt;&gt;ReconciliationData[[#This Row],[Contract_Price]]),1,0)</f>
        <v>0</v>
      </c>
      <c r="T600">
        <f>IF(AND(NOT(ISBLANK(ReconciliationData[[#This Row],[End_Date]])),ReconciliationData[[#This Row],[Order_Date]]&gt;ReconciliationData[[#This Row],[End_Date]]),1,0)</f>
        <v>0</v>
      </c>
      <c r="U600">
        <f>IF(AND(NOT(ISBLANK(ReconciliationData[[#This Row],[last_return_date]])),ReconciliationData[[#This Row],[last_return_date]]&gt;ReconciliationData[[#This Row],[Order_Date]]+60),1,0)</f>
        <v>0</v>
      </c>
      <c r="V600">
        <f>IF(ReconciliationData[[#This Row],[total_returned_units]]&gt;ReconciliationData[[#This Row],[ordered_units]],1,0)</f>
        <v>0</v>
      </c>
      <c r="W6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00">
        <f>ReconciliationData[[#This Row],[Billed_Units]]*ReconciliationData[[#This Row],[Billed_Price]]</f>
        <v>122489.36</v>
      </c>
      <c r="Y600">
        <f>ReconciliationData[[#This Row],[ordered_units]]*ReconciliationData[[#This Row],[List_Price]]</f>
        <v>122489.36</v>
      </c>
      <c r="Z600">
        <f>ReconciliationData[[#This Row],[billed_revenue]]-ReconciliationData[[#This Row],[expected_revenue]]</f>
        <v>0</v>
      </c>
      <c r="AA6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00" t="str">
        <f>IF(ReconciliationData[[#This Row],[severity_score]]=0,"LOW",
 IF(ReconciliationData[[#This Row],[severity_score]]&lt;=5,"MEDIUM","HIGH"))</f>
        <v>LOW</v>
      </c>
      <c r="AC600" t="str">
        <f>TEXT(ReconciliationData[[#This Row],[Order_Date]],"YYYY-MM")</f>
        <v>2023-03</v>
      </c>
    </row>
    <row r="601" spans="1:29">
      <c r="A601" t="s">
        <v>2027</v>
      </c>
      <c r="B601" s="1">
        <v>45077</v>
      </c>
      <c r="C601" t="s">
        <v>2028</v>
      </c>
      <c r="D601" t="s">
        <v>1382</v>
      </c>
      <c r="E601">
        <v>87</v>
      </c>
      <c r="F601" t="s">
        <v>2029</v>
      </c>
      <c r="G601">
        <v>87</v>
      </c>
      <c r="H601">
        <v>82.026000000000025</v>
      </c>
      <c r="N601">
        <v>82.026000000000025</v>
      </c>
      <c r="O601" s="1">
        <v>45061</v>
      </c>
      <c r="P601">
        <f>IF(ISBLANK(ReconciliationData[[#This Row],[Invoice_ID]]),1,0)</f>
        <v>0</v>
      </c>
      <c r="Q601">
        <f>IF(AND(NOT(ISBLANK(ReconciliationData[[#This Row],[Billed_Units]])),ReconciliationData[[#This Row],[ordered_units]]&lt;&gt;ReconciliationData[[#This Row],[Billed_Units]]),1,0)</f>
        <v>0</v>
      </c>
      <c r="R6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01">
        <f>IF(AND(NOT(ISBLANK(ReconciliationData[[#This Row],[Contract_Price]])),ReconciliationData[[#This Row],[Billed_Price]]&lt;&gt;ReconciliationData[[#This Row],[Contract_Price]]),1,0)</f>
        <v>0</v>
      </c>
      <c r="T601">
        <f>IF(AND(NOT(ISBLANK(ReconciliationData[[#This Row],[End_Date]])),ReconciliationData[[#This Row],[Order_Date]]&gt;ReconciliationData[[#This Row],[End_Date]]),1,0)</f>
        <v>0</v>
      </c>
      <c r="U601">
        <f>IF(AND(NOT(ISBLANK(ReconciliationData[[#This Row],[last_return_date]])),ReconciliationData[[#This Row],[last_return_date]]&gt;ReconciliationData[[#This Row],[Order_Date]]+60),1,0)</f>
        <v>0</v>
      </c>
      <c r="V601">
        <f>IF(ReconciliationData[[#This Row],[total_returned_units]]&gt;ReconciliationData[[#This Row],[ordered_units]],1,0)</f>
        <v>0</v>
      </c>
      <c r="W6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01">
        <f>ReconciliationData[[#This Row],[Billed_Units]]*ReconciliationData[[#This Row],[Billed_Price]]</f>
        <v>7136.2620000000024</v>
      </c>
      <c r="Y601">
        <f>ReconciliationData[[#This Row],[ordered_units]]*ReconciliationData[[#This Row],[List_Price]]</f>
        <v>7136.2620000000024</v>
      </c>
      <c r="Z601">
        <f>ReconciliationData[[#This Row],[billed_revenue]]-ReconciliationData[[#This Row],[expected_revenue]]</f>
        <v>0</v>
      </c>
      <c r="AA6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01" t="str">
        <f>IF(ReconciliationData[[#This Row],[severity_score]]=0,"LOW",
 IF(ReconciliationData[[#This Row],[severity_score]]&lt;=5,"MEDIUM","HIGH"))</f>
        <v>LOW</v>
      </c>
      <c r="AC601" t="str">
        <f>TEXT(ReconciliationData[[#This Row],[Order_Date]],"YYYY-MM")</f>
        <v>2023-05</v>
      </c>
    </row>
    <row r="602" spans="1:29">
      <c r="A602" t="s">
        <v>2030</v>
      </c>
      <c r="B602" s="1">
        <v>45598</v>
      </c>
      <c r="C602" t="s">
        <v>2031</v>
      </c>
      <c r="D602" t="s">
        <v>883</v>
      </c>
      <c r="E602">
        <v>7</v>
      </c>
      <c r="F602" t="s">
        <v>2032</v>
      </c>
      <c r="G602">
        <v>7</v>
      </c>
      <c r="H602">
        <v>403.01909999999998</v>
      </c>
      <c r="N602">
        <v>403.01909999999998</v>
      </c>
      <c r="O602" s="1">
        <v>45056</v>
      </c>
      <c r="P602">
        <f>IF(ISBLANK(ReconciliationData[[#This Row],[Invoice_ID]]),1,0)</f>
        <v>0</v>
      </c>
      <c r="Q602">
        <f>IF(AND(NOT(ISBLANK(ReconciliationData[[#This Row],[Billed_Units]])),ReconciliationData[[#This Row],[ordered_units]]&lt;&gt;ReconciliationData[[#This Row],[Billed_Units]]),1,0)</f>
        <v>0</v>
      </c>
      <c r="R6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02">
        <f>IF(AND(NOT(ISBLANK(ReconciliationData[[#This Row],[Contract_Price]])),ReconciliationData[[#This Row],[Billed_Price]]&lt;&gt;ReconciliationData[[#This Row],[Contract_Price]]),1,0)</f>
        <v>0</v>
      </c>
      <c r="T602">
        <f>IF(AND(NOT(ISBLANK(ReconciliationData[[#This Row],[End_Date]])),ReconciliationData[[#This Row],[Order_Date]]&gt;ReconciliationData[[#This Row],[End_Date]]),1,0)</f>
        <v>0</v>
      </c>
      <c r="U602">
        <f>IF(AND(NOT(ISBLANK(ReconciliationData[[#This Row],[last_return_date]])),ReconciliationData[[#This Row],[last_return_date]]&gt;ReconciliationData[[#This Row],[Order_Date]]+60),1,0)</f>
        <v>0</v>
      </c>
      <c r="V602">
        <f>IF(ReconciliationData[[#This Row],[total_returned_units]]&gt;ReconciliationData[[#This Row],[ordered_units]],1,0)</f>
        <v>0</v>
      </c>
      <c r="W6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02">
        <f>ReconciliationData[[#This Row],[Billed_Units]]*ReconciliationData[[#This Row],[Billed_Price]]</f>
        <v>2821.1336999999999</v>
      </c>
      <c r="Y602">
        <f>ReconciliationData[[#This Row],[ordered_units]]*ReconciliationData[[#This Row],[List_Price]]</f>
        <v>2821.1336999999999</v>
      </c>
      <c r="Z602">
        <f>ReconciliationData[[#This Row],[billed_revenue]]-ReconciliationData[[#This Row],[expected_revenue]]</f>
        <v>0</v>
      </c>
      <c r="AA6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02" t="str">
        <f>IF(ReconciliationData[[#This Row],[severity_score]]=0,"LOW",
 IF(ReconciliationData[[#This Row],[severity_score]]&lt;=5,"MEDIUM","HIGH"))</f>
        <v>LOW</v>
      </c>
      <c r="AC602" t="str">
        <f>TEXT(ReconciliationData[[#This Row],[Order_Date]],"YYYY-MM")</f>
        <v>2024-11</v>
      </c>
    </row>
    <row r="603" spans="1:29">
      <c r="A603" t="s">
        <v>2033</v>
      </c>
      <c r="B603" s="1">
        <v>45224</v>
      </c>
      <c r="C603" t="s">
        <v>2034</v>
      </c>
      <c r="D603" t="s">
        <v>2035</v>
      </c>
      <c r="E603">
        <v>25</v>
      </c>
      <c r="F603" t="s">
        <v>2036</v>
      </c>
      <c r="G603">
        <v>25</v>
      </c>
      <c r="H603">
        <v>1160.71</v>
      </c>
      <c r="N603">
        <v>1160.71</v>
      </c>
      <c r="O603" s="1">
        <v>44964</v>
      </c>
      <c r="P603">
        <f>IF(ISBLANK(ReconciliationData[[#This Row],[Invoice_ID]]),1,0)</f>
        <v>0</v>
      </c>
      <c r="Q603">
        <f>IF(AND(NOT(ISBLANK(ReconciliationData[[#This Row],[Billed_Units]])),ReconciliationData[[#This Row],[ordered_units]]&lt;&gt;ReconciliationData[[#This Row],[Billed_Units]]),1,0)</f>
        <v>0</v>
      </c>
      <c r="R6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03">
        <f>IF(AND(NOT(ISBLANK(ReconciliationData[[#This Row],[Contract_Price]])),ReconciliationData[[#This Row],[Billed_Price]]&lt;&gt;ReconciliationData[[#This Row],[Contract_Price]]),1,0)</f>
        <v>0</v>
      </c>
      <c r="T603">
        <f>IF(AND(NOT(ISBLANK(ReconciliationData[[#This Row],[End_Date]])),ReconciliationData[[#This Row],[Order_Date]]&gt;ReconciliationData[[#This Row],[End_Date]]),1,0)</f>
        <v>0</v>
      </c>
      <c r="U603">
        <f>IF(AND(NOT(ISBLANK(ReconciliationData[[#This Row],[last_return_date]])),ReconciliationData[[#This Row],[last_return_date]]&gt;ReconciliationData[[#This Row],[Order_Date]]+60),1,0)</f>
        <v>0</v>
      </c>
      <c r="V603">
        <f>IF(ReconciliationData[[#This Row],[total_returned_units]]&gt;ReconciliationData[[#This Row],[ordered_units]],1,0)</f>
        <v>0</v>
      </c>
      <c r="W6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03">
        <f>ReconciliationData[[#This Row],[Billed_Units]]*ReconciliationData[[#This Row],[Billed_Price]]</f>
        <v>29017.75</v>
      </c>
      <c r="Y603">
        <f>ReconciliationData[[#This Row],[ordered_units]]*ReconciliationData[[#This Row],[List_Price]]</f>
        <v>29017.75</v>
      </c>
      <c r="Z603">
        <f>ReconciliationData[[#This Row],[billed_revenue]]-ReconciliationData[[#This Row],[expected_revenue]]</f>
        <v>0</v>
      </c>
      <c r="AA6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03" t="str">
        <f>IF(ReconciliationData[[#This Row],[severity_score]]=0,"LOW",
 IF(ReconciliationData[[#This Row],[severity_score]]&lt;=5,"MEDIUM","HIGH"))</f>
        <v>LOW</v>
      </c>
      <c r="AC603" t="str">
        <f>TEXT(ReconciliationData[[#This Row],[Order_Date]],"YYYY-MM")</f>
        <v>2023-10</v>
      </c>
    </row>
    <row r="604" spans="1:29">
      <c r="A604" t="s">
        <v>2037</v>
      </c>
      <c r="B604" s="1">
        <v>45347</v>
      </c>
      <c r="C604" t="s">
        <v>2038</v>
      </c>
      <c r="D604" t="s">
        <v>533</v>
      </c>
      <c r="E604">
        <v>157</v>
      </c>
      <c r="F604" t="s">
        <v>2039</v>
      </c>
      <c r="G604">
        <v>163</v>
      </c>
      <c r="H604">
        <v>833.73500000000001</v>
      </c>
      <c r="N604">
        <v>833.73500000000001</v>
      </c>
      <c r="O604" s="1">
        <v>45167</v>
      </c>
      <c r="P604">
        <f>IF(ISBLANK(ReconciliationData[[#This Row],[Invoice_ID]]),1,0)</f>
        <v>0</v>
      </c>
      <c r="Q604">
        <f>IF(AND(NOT(ISBLANK(ReconciliationData[[#This Row],[Billed_Units]])),ReconciliationData[[#This Row],[ordered_units]]&lt;&gt;ReconciliationData[[#This Row],[Billed_Units]]),1,0)</f>
        <v>1</v>
      </c>
      <c r="R6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04">
        <f>IF(AND(NOT(ISBLANK(ReconciliationData[[#This Row],[Contract_Price]])),ReconciliationData[[#This Row],[Billed_Price]]&lt;&gt;ReconciliationData[[#This Row],[Contract_Price]]),1,0)</f>
        <v>0</v>
      </c>
      <c r="T604">
        <f>IF(AND(NOT(ISBLANK(ReconciliationData[[#This Row],[End_Date]])),ReconciliationData[[#This Row],[Order_Date]]&gt;ReconciliationData[[#This Row],[End_Date]]),1,0)</f>
        <v>0</v>
      </c>
      <c r="U604">
        <f>IF(AND(NOT(ISBLANK(ReconciliationData[[#This Row],[last_return_date]])),ReconciliationData[[#This Row],[last_return_date]]&gt;ReconciliationData[[#This Row],[Order_Date]]+60),1,0)</f>
        <v>0</v>
      </c>
      <c r="V604">
        <f>IF(ReconciliationData[[#This Row],[total_returned_units]]&gt;ReconciliationData[[#This Row],[ordered_units]],1,0)</f>
        <v>0</v>
      </c>
      <c r="W6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04">
        <f>ReconciliationData[[#This Row],[Billed_Units]]*ReconciliationData[[#This Row],[Billed_Price]]</f>
        <v>135898.80499999999</v>
      </c>
      <c r="Y604">
        <f>ReconciliationData[[#This Row],[ordered_units]]*ReconciliationData[[#This Row],[List_Price]]</f>
        <v>130896.395</v>
      </c>
      <c r="Z604">
        <f>ReconciliationData[[#This Row],[billed_revenue]]-ReconciliationData[[#This Row],[expected_revenue]]</f>
        <v>5002.4099999999889</v>
      </c>
      <c r="AA6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604" t="str">
        <f>IF(ReconciliationData[[#This Row],[severity_score]]=0,"LOW",
 IF(ReconciliationData[[#This Row],[severity_score]]&lt;=5,"MEDIUM","HIGH"))</f>
        <v>HIGH</v>
      </c>
      <c r="AC604" t="str">
        <f>TEXT(ReconciliationData[[#This Row],[Order_Date]],"YYYY-MM")</f>
        <v>2024-02</v>
      </c>
    </row>
    <row r="605" spans="1:29">
      <c r="A605" t="s">
        <v>2040</v>
      </c>
      <c r="B605" s="1">
        <v>45251</v>
      </c>
      <c r="C605" t="s">
        <v>559</v>
      </c>
      <c r="D605" t="s">
        <v>1487</v>
      </c>
      <c r="E605">
        <v>65</v>
      </c>
      <c r="F605" t="s">
        <v>2041</v>
      </c>
      <c r="G605">
        <v>75</v>
      </c>
      <c r="H605">
        <v>273.2716709263957</v>
      </c>
      <c r="N605">
        <v>273.24680000000001</v>
      </c>
      <c r="O605" s="1">
        <v>45103</v>
      </c>
      <c r="P605">
        <f>IF(ISBLANK(ReconciliationData[[#This Row],[Invoice_ID]]),1,0)</f>
        <v>0</v>
      </c>
      <c r="Q605">
        <f>IF(AND(NOT(ISBLANK(ReconciliationData[[#This Row],[Billed_Units]])),ReconciliationData[[#This Row],[ordered_units]]&lt;&gt;ReconciliationData[[#This Row],[Billed_Units]]),1,0)</f>
        <v>1</v>
      </c>
      <c r="R60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605">
        <f>IF(AND(NOT(ISBLANK(ReconciliationData[[#This Row],[Contract_Price]])),ReconciliationData[[#This Row],[Billed_Price]]&lt;&gt;ReconciliationData[[#This Row],[Contract_Price]]),1,0)</f>
        <v>0</v>
      </c>
      <c r="T605">
        <f>IF(AND(NOT(ISBLANK(ReconciliationData[[#This Row],[End_Date]])),ReconciliationData[[#This Row],[Order_Date]]&gt;ReconciliationData[[#This Row],[End_Date]]),1,0)</f>
        <v>0</v>
      </c>
      <c r="U605">
        <f>IF(AND(NOT(ISBLANK(ReconciliationData[[#This Row],[last_return_date]])),ReconciliationData[[#This Row],[last_return_date]]&gt;ReconciliationData[[#This Row],[Order_Date]]+60),1,0)</f>
        <v>0</v>
      </c>
      <c r="V605">
        <f>IF(ReconciliationData[[#This Row],[total_returned_units]]&gt;ReconciliationData[[#This Row],[ordered_units]],1,0)</f>
        <v>0</v>
      </c>
      <c r="W6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05">
        <f>ReconciliationData[[#This Row],[Billed_Units]]*ReconciliationData[[#This Row],[Billed_Price]]</f>
        <v>20495.375319479677</v>
      </c>
      <c r="Y605">
        <f>ReconciliationData[[#This Row],[ordered_units]]*ReconciliationData[[#This Row],[List_Price]]</f>
        <v>17761.042000000001</v>
      </c>
      <c r="Z605">
        <f>ReconciliationData[[#This Row],[billed_revenue]]-ReconciliationData[[#This Row],[expected_revenue]]</f>
        <v>2734.333319479676</v>
      </c>
      <c r="AA6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12</v>
      </c>
      <c r="AB605" t="str">
        <f>IF(ReconciliationData[[#This Row],[severity_score]]=0,"LOW",
 IF(ReconciliationData[[#This Row],[severity_score]]&lt;=5,"MEDIUM","HIGH"))</f>
        <v>HIGH</v>
      </c>
      <c r="AC605" t="str">
        <f>TEXT(ReconciliationData[[#This Row],[Order_Date]],"YYYY-MM")</f>
        <v>2023-11</v>
      </c>
    </row>
    <row r="606" spans="1:29">
      <c r="A606" t="s">
        <v>2042</v>
      </c>
      <c r="B606" s="1">
        <v>45111</v>
      </c>
      <c r="C606" t="s">
        <v>1178</v>
      </c>
      <c r="D606" t="s">
        <v>1285</v>
      </c>
      <c r="E606">
        <v>15</v>
      </c>
      <c r="F606" t="s">
        <v>2043</v>
      </c>
      <c r="G606">
        <v>15</v>
      </c>
      <c r="H606">
        <v>399.4169</v>
      </c>
      <c r="N606">
        <v>399.4169</v>
      </c>
      <c r="O606" s="1">
        <v>45020</v>
      </c>
      <c r="P606">
        <f>IF(ISBLANK(ReconciliationData[[#This Row],[Invoice_ID]]),1,0)</f>
        <v>0</v>
      </c>
      <c r="Q606">
        <f>IF(AND(NOT(ISBLANK(ReconciliationData[[#This Row],[Billed_Units]])),ReconciliationData[[#This Row],[ordered_units]]&lt;&gt;ReconciliationData[[#This Row],[Billed_Units]]),1,0)</f>
        <v>0</v>
      </c>
      <c r="R6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06">
        <f>IF(AND(NOT(ISBLANK(ReconciliationData[[#This Row],[Contract_Price]])),ReconciliationData[[#This Row],[Billed_Price]]&lt;&gt;ReconciliationData[[#This Row],[Contract_Price]]),1,0)</f>
        <v>0</v>
      </c>
      <c r="T606">
        <f>IF(AND(NOT(ISBLANK(ReconciliationData[[#This Row],[End_Date]])),ReconciliationData[[#This Row],[Order_Date]]&gt;ReconciliationData[[#This Row],[End_Date]]),1,0)</f>
        <v>0</v>
      </c>
      <c r="U606">
        <f>IF(AND(NOT(ISBLANK(ReconciliationData[[#This Row],[last_return_date]])),ReconciliationData[[#This Row],[last_return_date]]&gt;ReconciliationData[[#This Row],[Order_Date]]+60),1,0)</f>
        <v>0</v>
      </c>
      <c r="V606">
        <f>IF(ReconciliationData[[#This Row],[total_returned_units]]&gt;ReconciliationData[[#This Row],[ordered_units]],1,0)</f>
        <v>0</v>
      </c>
      <c r="W6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06">
        <f>ReconciliationData[[#This Row],[Billed_Units]]*ReconciliationData[[#This Row],[Billed_Price]]</f>
        <v>5991.2534999999998</v>
      </c>
      <c r="Y606">
        <f>ReconciliationData[[#This Row],[ordered_units]]*ReconciliationData[[#This Row],[List_Price]]</f>
        <v>5991.2534999999998</v>
      </c>
      <c r="Z606">
        <f>ReconciliationData[[#This Row],[billed_revenue]]-ReconciliationData[[#This Row],[expected_revenue]]</f>
        <v>0</v>
      </c>
      <c r="AA6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06" t="str">
        <f>IF(ReconciliationData[[#This Row],[severity_score]]=0,"LOW",
 IF(ReconciliationData[[#This Row],[severity_score]]&lt;=5,"MEDIUM","HIGH"))</f>
        <v>LOW</v>
      </c>
      <c r="AC606" t="str">
        <f>TEXT(ReconciliationData[[#This Row],[Order_Date]],"YYYY-MM")</f>
        <v>2023-07</v>
      </c>
    </row>
    <row r="607" spans="1:29">
      <c r="A607" t="s">
        <v>2044</v>
      </c>
      <c r="B607" s="1">
        <v>45350</v>
      </c>
      <c r="C607" t="s">
        <v>1682</v>
      </c>
      <c r="D607" t="s">
        <v>2045</v>
      </c>
      <c r="E607">
        <v>164</v>
      </c>
      <c r="F607" t="s">
        <v>2046</v>
      </c>
      <c r="G607">
        <v>164</v>
      </c>
      <c r="H607">
        <v>990.72749999999996</v>
      </c>
      <c r="N607">
        <v>990.72749999999996</v>
      </c>
      <c r="O607" s="1">
        <v>45068</v>
      </c>
      <c r="P607">
        <f>IF(ISBLANK(ReconciliationData[[#This Row],[Invoice_ID]]),1,0)</f>
        <v>0</v>
      </c>
      <c r="Q607">
        <f>IF(AND(NOT(ISBLANK(ReconciliationData[[#This Row],[Billed_Units]])),ReconciliationData[[#This Row],[ordered_units]]&lt;&gt;ReconciliationData[[#This Row],[Billed_Units]]),1,0)</f>
        <v>0</v>
      </c>
      <c r="R6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07">
        <f>IF(AND(NOT(ISBLANK(ReconciliationData[[#This Row],[Contract_Price]])),ReconciliationData[[#This Row],[Billed_Price]]&lt;&gt;ReconciliationData[[#This Row],[Contract_Price]]),1,0)</f>
        <v>0</v>
      </c>
      <c r="T607">
        <f>IF(AND(NOT(ISBLANK(ReconciliationData[[#This Row],[End_Date]])),ReconciliationData[[#This Row],[Order_Date]]&gt;ReconciliationData[[#This Row],[End_Date]]),1,0)</f>
        <v>0</v>
      </c>
      <c r="U607">
        <f>IF(AND(NOT(ISBLANK(ReconciliationData[[#This Row],[last_return_date]])),ReconciliationData[[#This Row],[last_return_date]]&gt;ReconciliationData[[#This Row],[Order_Date]]+60),1,0)</f>
        <v>0</v>
      </c>
      <c r="V607">
        <f>IF(ReconciliationData[[#This Row],[total_returned_units]]&gt;ReconciliationData[[#This Row],[ordered_units]],1,0)</f>
        <v>0</v>
      </c>
      <c r="W6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07">
        <f>ReconciliationData[[#This Row],[Billed_Units]]*ReconciliationData[[#This Row],[Billed_Price]]</f>
        <v>162479.31</v>
      </c>
      <c r="Y607">
        <f>ReconciliationData[[#This Row],[ordered_units]]*ReconciliationData[[#This Row],[List_Price]]</f>
        <v>162479.31</v>
      </c>
      <c r="Z607">
        <f>ReconciliationData[[#This Row],[billed_revenue]]-ReconciliationData[[#This Row],[expected_revenue]]</f>
        <v>0</v>
      </c>
      <c r="AA6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07" t="str">
        <f>IF(ReconciliationData[[#This Row],[severity_score]]=0,"LOW",
 IF(ReconciliationData[[#This Row],[severity_score]]&lt;=5,"MEDIUM","HIGH"))</f>
        <v>LOW</v>
      </c>
      <c r="AC607" t="str">
        <f>TEXT(ReconciliationData[[#This Row],[Order_Date]],"YYYY-MM")</f>
        <v>2024-02</v>
      </c>
    </row>
    <row r="608" spans="1:29">
      <c r="A608" t="s">
        <v>2047</v>
      </c>
      <c r="B608" s="1">
        <v>45633</v>
      </c>
      <c r="C608" t="s">
        <v>728</v>
      </c>
      <c r="D608" t="s">
        <v>969</v>
      </c>
      <c r="E608">
        <v>147</v>
      </c>
      <c r="F608" t="s">
        <v>2048</v>
      </c>
      <c r="G608">
        <v>147</v>
      </c>
      <c r="H608">
        <v>991.99</v>
      </c>
      <c r="N608">
        <v>991.99</v>
      </c>
      <c r="O608" s="1">
        <v>44976</v>
      </c>
      <c r="P608">
        <f>IF(ISBLANK(ReconciliationData[[#This Row],[Invoice_ID]]),1,0)</f>
        <v>0</v>
      </c>
      <c r="Q608">
        <f>IF(AND(NOT(ISBLANK(ReconciliationData[[#This Row],[Billed_Units]])),ReconciliationData[[#This Row],[ordered_units]]&lt;&gt;ReconciliationData[[#This Row],[Billed_Units]]),1,0)</f>
        <v>0</v>
      </c>
      <c r="R6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08">
        <f>IF(AND(NOT(ISBLANK(ReconciliationData[[#This Row],[Contract_Price]])),ReconciliationData[[#This Row],[Billed_Price]]&lt;&gt;ReconciliationData[[#This Row],[Contract_Price]]),1,0)</f>
        <v>0</v>
      </c>
      <c r="T608">
        <f>IF(AND(NOT(ISBLANK(ReconciliationData[[#This Row],[End_Date]])),ReconciliationData[[#This Row],[Order_Date]]&gt;ReconciliationData[[#This Row],[End_Date]]),1,0)</f>
        <v>0</v>
      </c>
      <c r="U608">
        <f>IF(AND(NOT(ISBLANK(ReconciliationData[[#This Row],[last_return_date]])),ReconciliationData[[#This Row],[last_return_date]]&gt;ReconciliationData[[#This Row],[Order_Date]]+60),1,0)</f>
        <v>0</v>
      </c>
      <c r="V608">
        <f>IF(ReconciliationData[[#This Row],[total_returned_units]]&gt;ReconciliationData[[#This Row],[ordered_units]],1,0)</f>
        <v>0</v>
      </c>
      <c r="W6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08">
        <f>ReconciliationData[[#This Row],[Billed_Units]]*ReconciliationData[[#This Row],[Billed_Price]]</f>
        <v>145822.53</v>
      </c>
      <c r="Y608">
        <f>ReconciliationData[[#This Row],[ordered_units]]*ReconciliationData[[#This Row],[List_Price]]</f>
        <v>145822.53</v>
      </c>
      <c r="Z608">
        <f>ReconciliationData[[#This Row],[billed_revenue]]-ReconciliationData[[#This Row],[expected_revenue]]</f>
        <v>0</v>
      </c>
      <c r="AA6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08" t="str">
        <f>IF(ReconciliationData[[#This Row],[severity_score]]=0,"LOW",
 IF(ReconciliationData[[#This Row],[severity_score]]&lt;=5,"MEDIUM","HIGH"))</f>
        <v>LOW</v>
      </c>
      <c r="AC608" t="str">
        <f>TEXT(ReconciliationData[[#This Row],[Order_Date]],"YYYY-MM")</f>
        <v>2024-12</v>
      </c>
    </row>
    <row r="609" spans="1:29">
      <c r="A609" t="s">
        <v>2049</v>
      </c>
      <c r="B609" s="1">
        <v>45379</v>
      </c>
      <c r="C609" t="s">
        <v>1101</v>
      </c>
      <c r="D609" t="s">
        <v>2050</v>
      </c>
      <c r="E609">
        <v>133</v>
      </c>
      <c r="F609" t="s">
        <v>2051</v>
      </c>
      <c r="G609">
        <v>133</v>
      </c>
      <c r="H609">
        <v>994.85640000000001</v>
      </c>
      <c r="N609">
        <v>994.85640000000001</v>
      </c>
      <c r="O609" s="1">
        <v>45149</v>
      </c>
      <c r="P609">
        <f>IF(ISBLANK(ReconciliationData[[#This Row],[Invoice_ID]]),1,0)</f>
        <v>0</v>
      </c>
      <c r="Q609">
        <f>IF(AND(NOT(ISBLANK(ReconciliationData[[#This Row],[Billed_Units]])),ReconciliationData[[#This Row],[ordered_units]]&lt;&gt;ReconciliationData[[#This Row],[Billed_Units]]),1,0)</f>
        <v>0</v>
      </c>
      <c r="R6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09">
        <f>IF(AND(NOT(ISBLANK(ReconciliationData[[#This Row],[Contract_Price]])),ReconciliationData[[#This Row],[Billed_Price]]&lt;&gt;ReconciliationData[[#This Row],[Contract_Price]]),1,0)</f>
        <v>0</v>
      </c>
      <c r="T609">
        <f>IF(AND(NOT(ISBLANK(ReconciliationData[[#This Row],[End_Date]])),ReconciliationData[[#This Row],[Order_Date]]&gt;ReconciliationData[[#This Row],[End_Date]]),1,0)</f>
        <v>0</v>
      </c>
      <c r="U609">
        <f>IF(AND(NOT(ISBLANK(ReconciliationData[[#This Row],[last_return_date]])),ReconciliationData[[#This Row],[last_return_date]]&gt;ReconciliationData[[#This Row],[Order_Date]]+60),1,0)</f>
        <v>0</v>
      </c>
      <c r="V609">
        <f>IF(ReconciliationData[[#This Row],[total_returned_units]]&gt;ReconciliationData[[#This Row],[ordered_units]],1,0)</f>
        <v>0</v>
      </c>
      <c r="W6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09">
        <f>ReconciliationData[[#This Row],[Billed_Units]]*ReconciliationData[[#This Row],[Billed_Price]]</f>
        <v>132315.90119999999</v>
      </c>
      <c r="Y609">
        <f>ReconciliationData[[#This Row],[ordered_units]]*ReconciliationData[[#This Row],[List_Price]]</f>
        <v>132315.90119999999</v>
      </c>
      <c r="Z609">
        <f>ReconciliationData[[#This Row],[billed_revenue]]-ReconciliationData[[#This Row],[expected_revenue]]</f>
        <v>0</v>
      </c>
      <c r="AA6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09" t="str">
        <f>IF(ReconciliationData[[#This Row],[severity_score]]=0,"LOW",
 IF(ReconciliationData[[#This Row],[severity_score]]&lt;=5,"MEDIUM","HIGH"))</f>
        <v>LOW</v>
      </c>
      <c r="AC609" t="str">
        <f>TEXT(ReconciliationData[[#This Row],[Order_Date]],"YYYY-MM")</f>
        <v>2024-03</v>
      </c>
    </row>
    <row r="610" spans="1:29">
      <c r="A610" t="s">
        <v>2052</v>
      </c>
      <c r="B610" s="1">
        <v>45159</v>
      </c>
      <c r="C610" t="s">
        <v>803</v>
      </c>
      <c r="D610" t="s">
        <v>1007</v>
      </c>
      <c r="E610">
        <v>24</v>
      </c>
      <c r="F610" t="s">
        <v>2053</v>
      </c>
      <c r="G610">
        <v>24</v>
      </c>
      <c r="H610">
        <v>121.13</v>
      </c>
      <c r="N610">
        <v>121.13</v>
      </c>
      <c r="O610" s="1">
        <v>44957</v>
      </c>
      <c r="P610">
        <f>IF(ISBLANK(ReconciliationData[[#This Row],[Invoice_ID]]),1,0)</f>
        <v>0</v>
      </c>
      <c r="Q610">
        <f>IF(AND(NOT(ISBLANK(ReconciliationData[[#This Row],[Billed_Units]])),ReconciliationData[[#This Row],[ordered_units]]&lt;&gt;ReconciliationData[[#This Row],[Billed_Units]]),1,0)</f>
        <v>0</v>
      </c>
      <c r="R6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10">
        <f>IF(AND(NOT(ISBLANK(ReconciliationData[[#This Row],[Contract_Price]])),ReconciliationData[[#This Row],[Billed_Price]]&lt;&gt;ReconciliationData[[#This Row],[Contract_Price]]),1,0)</f>
        <v>0</v>
      </c>
      <c r="T610">
        <f>IF(AND(NOT(ISBLANK(ReconciliationData[[#This Row],[End_Date]])),ReconciliationData[[#This Row],[Order_Date]]&gt;ReconciliationData[[#This Row],[End_Date]]),1,0)</f>
        <v>0</v>
      </c>
      <c r="U610">
        <f>IF(AND(NOT(ISBLANK(ReconciliationData[[#This Row],[last_return_date]])),ReconciliationData[[#This Row],[last_return_date]]&gt;ReconciliationData[[#This Row],[Order_Date]]+60),1,0)</f>
        <v>0</v>
      </c>
      <c r="V610">
        <f>IF(ReconciliationData[[#This Row],[total_returned_units]]&gt;ReconciliationData[[#This Row],[ordered_units]],1,0)</f>
        <v>0</v>
      </c>
      <c r="W6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10">
        <f>ReconciliationData[[#This Row],[Billed_Units]]*ReconciliationData[[#This Row],[Billed_Price]]</f>
        <v>2907.12</v>
      </c>
      <c r="Y610">
        <f>ReconciliationData[[#This Row],[ordered_units]]*ReconciliationData[[#This Row],[List_Price]]</f>
        <v>2907.12</v>
      </c>
      <c r="Z610">
        <f>ReconciliationData[[#This Row],[billed_revenue]]-ReconciliationData[[#This Row],[expected_revenue]]</f>
        <v>0</v>
      </c>
      <c r="AA6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10" t="str">
        <f>IF(ReconciliationData[[#This Row],[severity_score]]=0,"LOW",
 IF(ReconciliationData[[#This Row],[severity_score]]&lt;=5,"MEDIUM","HIGH"))</f>
        <v>LOW</v>
      </c>
      <c r="AC610" t="str">
        <f>TEXT(ReconciliationData[[#This Row],[Order_Date]],"YYYY-MM")</f>
        <v>2023-08</v>
      </c>
    </row>
    <row r="611" spans="1:29">
      <c r="A611" t="s">
        <v>2054</v>
      </c>
      <c r="B611" s="1">
        <v>45160</v>
      </c>
      <c r="C611" t="s">
        <v>1016</v>
      </c>
      <c r="D611" t="s">
        <v>604</v>
      </c>
      <c r="E611">
        <v>178</v>
      </c>
      <c r="F611" t="s">
        <v>2055</v>
      </c>
      <c r="G611">
        <v>178</v>
      </c>
      <c r="H611">
        <v>1072.5387000000001</v>
      </c>
      <c r="N611">
        <v>1072.5387000000001</v>
      </c>
      <c r="O611" s="1">
        <v>45023</v>
      </c>
      <c r="P611">
        <f>IF(ISBLANK(ReconciliationData[[#This Row],[Invoice_ID]]),1,0)</f>
        <v>0</v>
      </c>
      <c r="Q611">
        <f>IF(AND(NOT(ISBLANK(ReconciliationData[[#This Row],[Billed_Units]])),ReconciliationData[[#This Row],[ordered_units]]&lt;&gt;ReconciliationData[[#This Row],[Billed_Units]]),1,0)</f>
        <v>0</v>
      </c>
      <c r="R6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11">
        <f>IF(AND(NOT(ISBLANK(ReconciliationData[[#This Row],[Contract_Price]])),ReconciliationData[[#This Row],[Billed_Price]]&lt;&gt;ReconciliationData[[#This Row],[Contract_Price]]),1,0)</f>
        <v>0</v>
      </c>
      <c r="T611">
        <f>IF(AND(NOT(ISBLANK(ReconciliationData[[#This Row],[End_Date]])),ReconciliationData[[#This Row],[Order_Date]]&gt;ReconciliationData[[#This Row],[End_Date]]),1,0)</f>
        <v>0</v>
      </c>
      <c r="U611">
        <f>IF(AND(NOT(ISBLANK(ReconciliationData[[#This Row],[last_return_date]])),ReconciliationData[[#This Row],[last_return_date]]&gt;ReconciliationData[[#This Row],[Order_Date]]+60),1,0)</f>
        <v>0</v>
      </c>
      <c r="V611">
        <f>IF(ReconciliationData[[#This Row],[total_returned_units]]&gt;ReconciliationData[[#This Row],[ordered_units]],1,0)</f>
        <v>0</v>
      </c>
      <c r="W6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11">
        <f>ReconciliationData[[#This Row],[Billed_Units]]*ReconciliationData[[#This Row],[Billed_Price]]</f>
        <v>190911.88860000001</v>
      </c>
      <c r="Y611">
        <f>ReconciliationData[[#This Row],[ordered_units]]*ReconciliationData[[#This Row],[List_Price]]</f>
        <v>190911.88860000001</v>
      </c>
      <c r="Z611">
        <f>ReconciliationData[[#This Row],[billed_revenue]]-ReconciliationData[[#This Row],[expected_revenue]]</f>
        <v>0</v>
      </c>
      <c r="AA6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11" t="str">
        <f>IF(ReconciliationData[[#This Row],[severity_score]]=0,"LOW",
 IF(ReconciliationData[[#This Row],[severity_score]]&lt;=5,"MEDIUM","HIGH"))</f>
        <v>LOW</v>
      </c>
      <c r="AC611" t="str">
        <f>TEXT(ReconciliationData[[#This Row],[Order_Date]],"YYYY-MM")</f>
        <v>2023-08</v>
      </c>
    </row>
    <row r="612" spans="1:29">
      <c r="A612" t="s">
        <v>2056</v>
      </c>
      <c r="B612" s="1">
        <v>45635</v>
      </c>
      <c r="C612" t="s">
        <v>817</v>
      </c>
      <c r="D612" t="s">
        <v>2050</v>
      </c>
      <c r="E612">
        <v>54</v>
      </c>
      <c r="F612" t="s">
        <v>2057</v>
      </c>
      <c r="G612">
        <v>54</v>
      </c>
      <c r="H612">
        <v>995.57294721109804</v>
      </c>
      <c r="N612">
        <v>994.85640000000001</v>
      </c>
      <c r="O612" s="1">
        <v>45149</v>
      </c>
      <c r="P612">
        <f>IF(ISBLANK(ReconciliationData[[#This Row],[Invoice_ID]]),1,0)</f>
        <v>0</v>
      </c>
      <c r="Q612">
        <f>IF(AND(NOT(ISBLANK(ReconciliationData[[#This Row],[Billed_Units]])),ReconciliationData[[#This Row],[ordered_units]]&lt;&gt;ReconciliationData[[#This Row],[Billed_Units]]),1,0)</f>
        <v>0</v>
      </c>
      <c r="R61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612">
        <f>IF(AND(NOT(ISBLANK(ReconciliationData[[#This Row],[Contract_Price]])),ReconciliationData[[#This Row],[Billed_Price]]&lt;&gt;ReconciliationData[[#This Row],[Contract_Price]]),1,0)</f>
        <v>0</v>
      </c>
      <c r="T612">
        <f>IF(AND(NOT(ISBLANK(ReconciliationData[[#This Row],[End_Date]])),ReconciliationData[[#This Row],[Order_Date]]&gt;ReconciliationData[[#This Row],[End_Date]]),1,0)</f>
        <v>0</v>
      </c>
      <c r="U612">
        <f>IF(AND(NOT(ISBLANK(ReconciliationData[[#This Row],[last_return_date]])),ReconciliationData[[#This Row],[last_return_date]]&gt;ReconciliationData[[#This Row],[Order_Date]]+60),1,0)</f>
        <v>0</v>
      </c>
      <c r="V612">
        <f>IF(ReconciliationData[[#This Row],[total_returned_units]]&gt;ReconciliationData[[#This Row],[ordered_units]],1,0)</f>
        <v>0</v>
      </c>
      <c r="W6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12">
        <f>ReconciliationData[[#This Row],[Billed_Units]]*ReconciliationData[[#This Row],[Billed_Price]]</f>
        <v>53760.939149399295</v>
      </c>
      <c r="Y612">
        <f>ReconciliationData[[#This Row],[ordered_units]]*ReconciliationData[[#This Row],[List_Price]]</f>
        <v>53722.245600000002</v>
      </c>
      <c r="Z612">
        <f>ReconciliationData[[#This Row],[billed_revenue]]-ReconciliationData[[#This Row],[expected_revenue]]</f>
        <v>38.693549399293261</v>
      </c>
      <c r="AA6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612" t="str">
        <f>IF(ReconciliationData[[#This Row],[severity_score]]=0,"LOW",
 IF(ReconciliationData[[#This Row],[severity_score]]&lt;=5,"MEDIUM","HIGH"))</f>
        <v>MEDIUM</v>
      </c>
      <c r="AC612" t="str">
        <f>TEXT(ReconciliationData[[#This Row],[Order_Date]],"YYYY-MM")</f>
        <v>2024-12</v>
      </c>
    </row>
    <row r="613" spans="1:29">
      <c r="A613" t="s">
        <v>2058</v>
      </c>
      <c r="B613" s="1">
        <v>45132</v>
      </c>
      <c r="C613" t="s">
        <v>961</v>
      </c>
      <c r="D613" t="s">
        <v>216</v>
      </c>
      <c r="E613">
        <v>174</v>
      </c>
      <c r="F613" t="s">
        <v>2059</v>
      </c>
      <c r="G613">
        <v>174</v>
      </c>
      <c r="H613">
        <v>1046.6099999999999</v>
      </c>
      <c r="N613">
        <v>1046.6099999999999</v>
      </c>
      <c r="O613" s="1">
        <v>44940</v>
      </c>
      <c r="P613">
        <f>IF(ISBLANK(ReconciliationData[[#This Row],[Invoice_ID]]),1,0)</f>
        <v>0</v>
      </c>
      <c r="Q613">
        <f>IF(AND(NOT(ISBLANK(ReconciliationData[[#This Row],[Billed_Units]])),ReconciliationData[[#This Row],[ordered_units]]&lt;&gt;ReconciliationData[[#This Row],[Billed_Units]]),1,0)</f>
        <v>0</v>
      </c>
      <c r="R6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13">
        <f>IF(AND(NOT(ISBLANK(ReconciliationData[[#This Row],[Contract_Price]])),ReconciliationData[[#This Row],[Billed_Price]]&lt;&gt;ReconciliationData[[#This Row],[Contract_Price]]),1,0)</f>
        <v>0</v>
      </c>
      <c r="T613">
        <f>IF(AND(NOT(ISBLANK(ReconciliationData[[#This Row],[End_Date]])),ReconciliationData[[#This Row],[Order_Date]]&gt;ReconciliationData[[#This Row],[End_Date]]),1,0)</f>
        <v>0</v>
      </c>
      <c r="U613">
        <f>IF(AND(NOT(ISBLANK(ReconciliationData[[#This Row],[last_return_date]])),ReconciliationData[[#This Row],[last_return_date]]&gt;ReconciliationData[[#This Row],[Order_Date]]+60),1,0)</f>
        <v>0</v>
      </c>
      <c r="V613">
        <f>IF(ReconciliationData[[#This Row],[total_returned_units]]&gt;ReconciliationData[[#This Row],[ordered_units]],1,0)</f>
        <v>0</v>
      </c>
      <c r="W6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13">
        <f>ReconciliationData[[#This Row],[Billed_Units]]*ReconciliationData[[#This Row],[Billed_Price]]</f>
        <v>182110.13999999998</v>
      </c>
      <c r="Y613">
        <f>ReconciliationData[[#This Row],[ordered_units]]*ReconciliationData[[#This Row],[List_Price]]</f>
        <v>182110.13999999998</v>
      </c>
      <c r="Z613">
        <f>ReconciliationData[[#This Row],[billed_revenue]]-ReconciliationData[[#This Row],[expected_revenue]]</f>
        <v>0</v>
      </c>
      <c r="AA6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13" t="str">
        <f>IF(ReconciliationData[[#This Row],[severity_score]]=0,"LOW",
 IF(ReconciliationData[[#This Row],[severity_score]]&lt;=5,"MEDIUM","HIGH"))</f>
        <v>LOW</v>
      </c>
      <c r="AC613" t="str">
        <f>TEXT(ReconciliationData[[#This Row],[Order_Date]],"YYYY-MM")</f>
        <v>2023-07</v>
      </c>
    </row>
    <row r="614" spans="1:29">
      <c r="A614" t="s">
        <v>2060</v>
      </c>
      <c r="B614" s="1">
        <v>45089</v>
      </c>
      <c r="C614" t="s">
        <v>2018</v>
      </c>
      <c r="D614" t="s">
        <v>2023</v>
      </c>
      <c r="E614">
        <v>182</v>
      </c>
      <c r="F614" t="s">
        <v>2061</v>
      </c>
      <c r="G614">
        <v>186</v>
      </c>
      <c r="H614">
        <v>486.65440000000001</v>
      </c>
      <c r="N614">
        <v>486.65440000000001</v>
      </c>
      <c r="O614" s="1">
        <v>44763</v>
      </c>
      <c r="P614">
        <f>IF(ISBLANK(ReconciliationData[[#This Row],[Invoice_ID]]),1,0)</f>
        <v>0</v>
      </c>
      <c r="Q614">
        <f>IF(AND(NOT(ISBLANK(ReconciliationData[[#This Row],[Billed_Units]])),ReconciliationData[[#This Row],[ordered_units]]&lt;&gt;ReconciliationData[[#This Row],[Billed_Units]]),1,0)</f>
        <v>1</v>
      </c>
      <c r="R6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14">
        <f>IF(AND(NOT(ISBLANK(ReconciliationData[[#This Row],[Contract_Price]])),ReconciliationData[[#This Row],[Billed_Price]]&lt;&gt;ReconciliationData[[#This Row],[Contract_Price]]),1,0)</f>
        <v>0</v>
      </c>
      <c r="T614">
        <f>IF(AND(NOT(ISBLANK(ReconciliationData[[#This Row],[End_Date]])),ReconciliationData[[#This Row],[Order_Date]]&gt;ReconciliationData[[#This Row],[End_Date]]),1,0)</f>
        <v>0</v>
      </c>
      <c r="U614">
        <f>IF(AND(NOT(ISBLANK(ReconciliationData[[#This Row],[last_return_date]])),ReconciliationData[[#This Row],[last_return_date]]&gt;ReconciliationData[[#This Row],[Order_Date]]+60),1,0)</f>
        <v>0</v>
      </c>
      <c r="V614">
        <f>IF(ReconciliationData[[#This Row],[total_returned_units]]&gt;ReconciliationData[[#This Row],[ordered_units]],1,0)</f>
        <v>0</v>
      </c>
      <c r="W6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14">
        <f>ReconciliationData[[#This Row],[Billed_Units]]*ReconciliationData[[#This Row],[Billed_Price]]</f>
        <v>90517.718399999998</v>
      </c>
      <c r="Y614">
        <f>ReconciliationData[[#This Row],[ordered_units]]*ReconciliationData[[#This Row],[List_Price]]</f>
        <v>88571.1008</v>
      </c>
      <c r="Z614">
        <f>ReconciliationData[[#This Row],[billed_revenue]]-ReconciliationData[[#This Row],[expected_revenue]]</f>
        <v>1946.6175999999978</v>
      </c>
      <c r="AA6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614" t="str">
        <f>IF(ReconciliationData[[#This Row],[severity_score]]=0,"LOW",
 IF(ReconciliationData[[#This Row],[severity_score]]&lt;=5,"MEDIUM","HIGH"))</f>
        <v>HIGH</v>
      </c>
      <c r="AC614" t="str">
        <f>TEXT(ReconciliationData[[#This Row],[Order_Date]],"YYYY-MM")</f>
        <v>2023-06</v>
      </c>
    </row>
    <row r="615" spans="1:29">
      <c r="A615" t="s">
        <v>2062</v>
      </c>
      <c r="B615" s="1">
        <v>45570</v>
      </c>
      <c r="C615" t="s">
        <v>2063</v>
      </c>
      <c r="D615" t="s">
        <v>2064</v>
      </c>
      <c r="E615">
        <v>90</v>
      </c>
      <c r="F615" t="s">
        <v>2065</v>
      </c>
      <c r="G615">
        <v>90</v>
      </c>
      <c r="H615">
        <v>251.7122</v>
      </c>
      <c r="N615">
        <v>251.7122</v>
      </c>
      <c r="O615" s="1">
        <v>45088</v>
      </c>
      <c r="P615">
        <f>IF(ISBLANK(ReconciliationData[[#This Row],[Invoice_ID]]),1,0)</f>
        <v>0</v>
      </c>
      <c r="Q615">
        <f>IF(AND(NOT(ISBLANK(ReconciliationData[[#This Row],[Billed_Units]])),ReconciliationData[[#This Row],[ordered_units]]&lt;&gt;ReconciliationData[[#This Row],[Billed_Units]]),1,0)</f>
        <v>0</v>
      </c>
      <c r="R6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15">
        <f>IF(AND(NOT(ISBLANK(ReconciliationData[[#This Row],[Contract_Price]])),ReconciliationData[[#This Row],[Billed_Price]]&lt;&gt;ReconciliationData[[#This Row],[Contract_Price]]),1,0)</f>
        <v>0</v>
      </c>
      <c r="T615">
        <f>IF(AND(NOT(ISBLANK(ReconciliationData[[#This Row],[End_Date]])),ReconciliationData[[#This Row],[Order_Date]]&gt;ReconciliationData[[#This Row],[End_Date]]),1,0)</f>
        <v>0</v>
      </c>
      <c r="U615">
        <f>IF(AND(NOT(ISBLANK(ReconciliationData[[#This Row],[last_return_date]])),ReconciliationData[[#This Row],[last_return_date]]&gt;ReconciliationData[[#This Row],[Order_Date]]+60),1,0)</f>
        <v>0</v>
      </c>
      <c r="V615">
        <f>IF(ReconciliationData[[#This Row],[total_returned_units]]&gt;ReconciliationData[[#This Row],[ordered_units]],1,0)</f>
        <v>0</v>
      </c>
      <c r="W6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15">
        <f>ReconciliationData[[#This Row],[Billed_Units]]*ReconciliationData[[#This Row],[Billed_Price]]</f>
        <v>22654.097999999998</v>
      </c>
      <c r="Y615">
        <f>ReconciliationData[[#This Row],[ordered_units]]*ReconciliationData[[#This Row],[List_Price]]</f>
        <v>22654.097999999998</v>
      </c>
      <c r="Z615">
        <f>ReconciliationData[[#This Row],[billed_revenue]]-ReconciliationData[[#This Row],[expected_revenue]]</f>
        <v>0</v>
      </c>
      <c r="AA6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15" t="str">
        <f>IF(ReconciliationData[[#This Row],[severity_score]]=0,"LOW",
 IF(ReconciliationData[[#This Row],[severity_score]]&lt;=5,"MEDIUM","HIGH"))</f>
        <v>LOW</v>
      </c>
      <c r="AC615" t="str">
        <f>TEXT(ReconciliationData[[#This Row],[Order_Date]],"YYYY-MM")</f>
        <v>2024-10</v>
      </c>
    </row>
    <row r="616" spans="1:29">
      <c r="A616" t="s">
        <v>2066</v>
      </c>
      <c r="B616" s="1">
        <v>45341</v>
      </c>
      <c r="C616" t="s">
        <v>2067</v>
      </c>
      <c r="D616" t="s">
        <v>1392</v>
      </c>
      <c r="E616">
        <v>138</v>
      </c>
      <c r="F616" t="s">
        <v>2068</v>
      </c>
      <c r="G616">
        <v>138</v>
      </c>
      <c r="H616">
        <v>107.1605</v>
      </c>
      <c r="N616">
        <v>107.1605</v>
      </c>
      <c r="O616" s="1">
        <v>44970</v>
      </c>
      <c r="P616">
        <f>IF(ISBLANK(ReconciliationData[[#This Row],[Invoice_ID]]),1,0)</f>
        <v>0</v>
      </c>
      <c r="Q616">
        <f>IF(AND(NOT(ISBLANK(ReconciliationData[[#This Row],[Billed_Units]])),ReconciliationData[[#This Row],[ordered_units]]&lt;&gt;ReconciliationData[[#This Row],[Billed_Units]]),1,0)</f>
        <v>0</v>
      </c>
      <c r="R6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16">
        <f>IF(AND(NOT(ISBLANK(ReconciliationData[[#This Row],[Contract_Price]])),ReconciliationData[[#This Row],[Billed_Price]]&lt;&gt;ReconciliationData[[#This Row],[Contract_Price]]),1,0)</f>
        <v>0</v>
      </c>
      <c r="T616">
        <f>IF(AND(NOT(ISBLANK(ReconciliationData[[#This Row],[End_Date]])),ReconciliationData[[#This Row],[Order_Date]]&gt;ReconciliationData[[#This Row],[End_Date]]),1,0)</f>
        <v>0</v>
      </c>
      <c r="U616">
        <f>IF(AND(NOT(ISBLANK(ReconciliationData[[#This Row],[last_return_date]])),ReconciliationData[[#This Row],[last_return_date]]&gt;ReconciliationData[[#This Row],[Order_Date]]+60),1,0)</f>
        <v>0</v>
      </c>
      <c r="V616">
        <f>IF(ReconciliationData[[#This Row],[total_returned_units]]&gt;ReconciliationData[[#This Row],[ordered_units]],1,0)</f>
        <v>0</v>
      </c>
      <c r="W6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16">
        <f>ReconciliationData[[#This Row],[Billed_Units]]*ReconciliationData[[#This Row],[Billed_Price]]</f>
        <v>14788.148999999999</v>
      </c>
      <c r="Y616">
        <f>ReconciliationData[[#This Row],[ordered_units]]*ReconciliationData[[#This Row],[List_Price]]</f>
        <v>14788.148999999999</v>
      </c>
      <c r="Z616">
        <f>ReconciliationData[[#This Row],[billed_revenue]]-ReconciliationData[[#This Row],[expected_revenue]]</f>
        <v>0</v>
      </c>
      <c r="AA6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16" t="str">
        <f>IF(ReconciliationData[[#This Row],[severity_score]]=0,"LOW",
 IF(ReconciliationData[[#This Row],[severity_score]]&lt;=5,"MEDIUM","HIGH"))</f>
        <v>LOW</v>
      </c>
      <c r="AC616" t="str">
        <f>TEXT(ReconciliationData[[#This Row],[Order_Date]],"YYYY-MM")</f>
        <v>2024-02</v>
      </c>
    </row>
    <row r="617" spans="1:29">
      <c r="A617" t="s">
        <v>2069</v>
      </c>
      <c r="B617" s="1">
        <v>44966</v>
      </c>
      <c r="C617" t="s">
        <v>1053</v>
      </c>
      <c r="D617" t="s">
        <v>694</v>
      </c>
      <c r="E617">
        <v>130</v>
      </c>
      <c r="F617" t="s">
        <v>2070</v>
      </c>
      <c r="G617">
        <v>130</v>
      </c>
      <c r="H617">
        <v>650.25</v>
      </c>
      <c r="N617">
        <v>650.25</v>
      </c>
      <c r="O617" s="1">
        <v>44878</v>
      </c>
      <c r="P617">
        <f>IF(ISBLANK(ReconciliationData[[#This Row],[Invoice_ID]]),1,0)</f>
        <v>0</v>
      </c>
      <c r="Q617">
        <f>IF(AND(NOT(ISBLANK(ReconciliationData[[#This Row],[Billed_Units]])),ReconciliationData[[#This Row],[ordered_units]]&lt;&gt;ReconciliationData[[#This Row],[Billed_Units]]),1,0)</f>
        <v>0</v>
      </c>
      <c r="R6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17">
        <f>IF(AND(NOT(ISBLANK(ReconciliationData[[#This Row],[Contract_Price]])),ReconciliationData[[#This Row],[Billed_Price]]&lt;&gt;ReconciliationData[[#This Row],[Contract_Price]]),1,0)</f>
        <v>0</v>
      </c>
      <c r="T617">
        <f>IF(AND(NOT(ISBLANK(ReconciliationData[[#This Row],[End_Date]])),ReconciliationData[[#This Row],[Order_Date]]&gt;ReconciliationData[[#This Row],[End_Date]]),1,0)</f>
        <v>0</v>
      </c>
      <c r="U617">
        <f>IF(AND(NOT(ISBLANK(ReconciliationData[[#This Row],[last_return_date]])),ReconciliationData[[#This Row],[last_return_date]]&gt;ReconciliationData[[#This Row],[Order_Date]]+60),1,0)</f>
        <v>0</v>
      </c>
      <c r="V617">
        <f>IF(ReconciliationData[[#This Row],[total_returned_units]]&gt;ReconciliationData[[#This Row],[ordered_units]],1,0)</f>
        <v>0</v>
      </c>
      <c r="W6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17">
        <f>ReconciliationData[[#This Row],[Billed_Units]]*ReconciliationData[[#This Row],[Billed_Price]]</f>
        <v>84532.5</v>
      </c>
      <c r="Y617">
        <f>ReconciliationData[[#This Row],[ordered_units]]*ReconciliationData[[#This Row],[List_Price]]</f>
        <v>84532.5</v>
      </c>
      <c r="Z617">
        <f>ReconciliationData[[#This Row],[billed_revenue]]-ReconciliationData[[#This Row],[expected_revenue]]</f>
        <v>0</v>
      </c>
      <c r="AA6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17" t="str">
        <f>IF(ReconciliationData[[#This Row],[severity_score]]=0,"LOW",
 IF(ReconciliationData[[#This Row],[severity_score]]&lt;=5,"MEDIUM","HIGH"))</f>
        <v>LOW</v>
      </c>
      <c r="AC617" t="str">
        <f>TEXT(ReconciliationData[[#This Row],[Order_Date]],"YYYY-MM")</f>
        <v>2023-02</v>
      </c>
    </row>
    <row r="618" spans="1:29">
      <c r="A618" t="s">
        <v>2071</v>
      </c>
      <c r="B618" s="1">
        <v>44939</v>
      </c>
      <c r="C618" t="s">
        <v>1747</v>
      </c>
      <c r="D618" t="s">
        <v>1057</v>
      </c>
      <c r="E618">
        <v>177</v>
      </c>
      <c r="F618" t="s">
        <v>2072</v>
      </c>
      <c r="G618">
        <v>177</v>
      </c>
      <c r="H618">
        <v>212.07900000000001</v>
      </c>
      <c r="N618">
        <v>212.07900000000001</v>
      </c>
      <c r="O618" s="1">
        <v>44862</v>
      </c>
      <c r="P618">
        <f>IF(ISBLANK(ReconciliationData[[#This Row],[Invoice_ID]]),1,0)</f>
        <v>0</v>
      </c>
      <c r="Q618">
        <f>IF(AND(NOT(ISBLANK(ReconciliationData[[#This Row],[Billed_Units]])),ReconciliationData[[#This Row],[ordered_units]]&lt;&gt;ReconciliationData[[#This Row],[Billed_Units]]),1,0)</f>
        <v>0</v>
      </c>
      <c r="R6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18">
        <f>IF(AND(NOT(ISBLANK(ReconciliationData[[#This Row],[Contract_Price]])),ReconciliationData[[#This Row],[Billed_Price]]&lt;&gt;ReconciliationData[[#This Row],[Contract_Price]]),1,0)</f>
        <v>0</v>
      </c>
      <c r="T618">
        <f>IF(AND(NOT(ISBLANK(ReconciliationData[[#This Row],[End_Date]])),ReconciliationData[[#This Row],[Order_Date]]&gt;ReconciliationData[[#This Row],[End_Date]]),1,0)</f>
        <v>0</v>
      </c>
      <c r="U618">
        <f>IF(AND(NOT(ISBLANK(ReconciliationData[[#This Row],[last_return_date]])),ReconciliationData[[#This Row],[last_return_date]]&gt;ReconciliationData[[#This Row],[Order_Date]]+60),1,0)</f>
        <v>0</v>
      </c>
      <c r="V618">
        <f>IF(ReconciliationData[[#This Row],[total_returned_units]]&gt;ReconciliationData[[#This Row],[ordered_units]],1,0)</f>
        <v>0</v>
      </c>
      <c r="W6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18">
        <f>ReconciliationData[[#This Row],[Billed_Units]]*ReconciliationData[[#This Row],[Billed_Price]]</f>
        <v>37537.983</v>
      </c>
      <c r="Y618">
        <f>ReconciliationData[[#This Row],[ordered_units]]*ReconciliationData[[#This Row],[List_Price]]</f>
        <v>37537.983</v>
      </c>
      <c r="Z618">
        <f>ReconciliationData[[#This Row],[billed_revenue]]-ReconciliationData[[#This Row],[expected_revenue]]</f>
        <v>0</v>
      </c>
      <c r="AA6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18" t="str">
        <f>IF(ReconciliationData[[#This Row],[severity_score]]=0,"LOW",
 IF(ReconciliationData[[#This Row],[severity_score]]&lt;=5,"MEDIUM","HIGH"))</f>
        <v>LOW</v>
      </c>
      <c r="AC618" t="str">
        <f>TEXT(ReconciliationData[[#This Row],[Order_Date]],"YYYY-MM")</f>
        <v>2023-01</v>
      </c>
    </row>
    <row r="619" spans="1:29">
      <c r="A619" t="s">
        <v>2073</v>
      </c>
      <c r="B619" s="1">
        <v>45185</v>
      </c>
      <c r="C619" t="s">
        <v>1781</v>
      </c>
      <c r="D619" t="s">
        <v>548</v>
      </c>
      <c r="E619">
        <v>105</v>
      </c>
      <c r="F619" t="s">
        <v>2074</v>
      </c>
      <c r="G619">
        <v>105</v>
      </c>
      <c r="H619">
        <v>1072.1079000000002</v>
      </c>
      <c r="N619">
        <v>1072.1079000000002</v>
      </c>
      <c r="O619" s="1">
        <v>45035</v>
      </c>
      <c r="P619">
        <f>IF(ISBLANK(ReconciliationData[[#This Row],[Invoice_ID]]),1,0)</f>
        <v>0</v>
      </c>
      <c r="Q619">
        <f>IF(AND(NOT(ISBLANK(ReconciliationData[[#This Row],[Billed_Units]])),ReconciliationData[[#This Row],[ordered_units]]&lt;&gt;ReconciliationData[[#This Row],[Billed_Units]]),1,0)</f>
        <v>0</v>
      </c>
      <c r="R6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19">
        <f>IF(AND(NOT(ISBLANK(ReconciliationData[[#This Row],[Contract_Price]])),ReconciliationData[[#This Row],[Billed_Price]]&lt;&gt;ReconciliationData[[#This Row],[Contract_Price]]),1,0)</f>
        <v>0</v>
      </c>
      <c r="T619">
        <f>IF(AND(NOT(ISBLANK(ReconciliationData[[#This Row],[End_Date]])),ReconciliationData[[#This Row],[Order_Date]]&gt;ReconciliationData[[#This Row],[End_Date]]),1,0)</f>
        <v>0</v>
      </c>
      <c r="U619">
        <f>IF(AND(NOT(ISBLANK(ReconciliationData[[#This Row],[last_return_date]])),ReconciliationData[[#This Row],[last_return_date]]&gt;ReconciliationData[[#This Row],[Order_Date]]+60),1,0)</f>
        <v>0</v>
      </c>
      <c r="V619">
        <f>IF(ReconciliationData[[#This Row],[total_returned_units]]&gt;ReconciliationData[[#This Row],[ordered_units]],1,0)</f>
        <v>0</v>
      </c>
      <c r="W6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19">
        <f>ReconciliationData[[#This Row],[Billed_Units]]*ReconciliationData[[#This Row],[Billed_Price]]</f>
        <v>112571.32950000002</v>
      </c>
      <c r="Y619">
        <f>ReconciliationData[[#This Row],[ordered_units]]*ReconciliationData[[#This Row],[List_Price]]</f>
        <v>112571.32950000002</v>
      </c>
      <c r="Z619">
        <f>ReconciliationData[[#This Row],[billed_revenue]]-ReconciliationData[[#This Row],[expected_revenue]]</f>
        <v>0</v>
      </c>
      <c r="AA6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19" t="str">
        <f>IF(ReconciliationData[[#This Row],[severity_score]]=0,"LOW",
 IF(ReconciliationData[[#This Row],[severity_score]]&lt;=5,"MEDIUM","HIGH"))</f>
        <v>LOW</v>
      </c>
      <c r="AC619" t="str">
        <f>TEXT(ReconciliationData[[#This Row],[Order_Date]],"YYYY-MM")</f>
        <v>2023-09</v>
      </c>
    </row>
    <row r="620" spans="1:29">
      <c r="A620" t="s">
        <v>2075</v>
      </c>
      <c r="B620" s="1">
        <v>45580</v>
      </c>
      <c r="C620" t="s">
        <v>1403</v>
      </c>
      <c r="D620" t="s">
        <v>2050</v>
      </c>
      <c r="E620">
        <v>5</v>
      </c>
      <c r="F620" t="s">
        <v>2076</v>
      </c>
      <c r="G620">
        <v>5</v>
      </c>
      <c r="H620">
        <v>994.85640000000001</v>
      </c>
      <c r="N620">
        <v>994.85640000000001</v>
      </c>
      <c r="O620" s="1">
        <v>45149</v>
      </c>
      <c r="P620">
        <f>IF(ISBLANK(ReconciliationData[[#This Row],[Invoice_ID]]),1,0)</f>
        <v>0</v>
      </c>
      <c r="Q620">
        <f>IF(AND(NOT(ISBLANK(ReconciliationData[[#This Row],[Billed_Units]])),ReconciliationData[[#This Row],[ordered_units]]&lt;&gt;ReconciliationData[[#This Row],[Billed_Units]]),1,0)</f>
        <v>0</v>
      </c>
      <c r="R6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0">
        <f>IF(AND(NOT(ISBLANK(ReconciliationData[[#This Row],[Contract_Price]])),ReconciliationData[[#This Row],[Billed_Price]]&lt;&gt;ReconciliationData[[#This Row],[Contract_Price]]),1,0)</f>
        <v>0</v>
      </c>
      <c r="T620">
        <f>IF(AND(NOT(ISBLANK(ReconciliationData[[#This Row],[End_Date]])),ReconciliationData[[#This Row],[Order_Date]]&gt;ReconciliationData[[#This Row],[End_Date]]),1,0)</f>
        <v>0</v>
      </c>
      <c r="U620">
        <f>IF(AND(NOT(ISBLANK(ReconciliationData[[#This Row],[last_return_date]])),ReconciliationData[[#This Row],[last_return_date]]&gt;ReconciliationData[[#This Row],[Order_Date]]+60),1,0)</f>
        <v>0</v>
      </c>
      <c r="V620">
        <f>IF(ReconciliationData[[#This Row],[total_returned_units]]&gt;ReconciliationData[[#This Row],[ordered_units]],1,0)</f>
        <v>0</v>
      </c>
      <c r="W6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0">
        <f>ReconciliationData[[#This Row],[Billed_Units]]*ReconciliationData[[#This Row],[Billed_Price]]</f>
        <v>4974.2820000000002</v>
      </c>
      <c r="Y620">
        <f>ReconciliationData[[#This Row],[ordered_units]]*ReconciliationData[[#This Row],[List_Price]]</f>
        <v>4974.2820000000002</v>
      </c>
      <c r="Z620">
        <f>ReconciliationData[[#This Row],[billed_revenue]]-ReconciliationData[[#This Row],[expected_revenue]]</f>
        <v>0</v>
      </c>
      <c r="AA6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0" t="str">
        <f>IF(ReconciliationData[[#This Row],[severity_score]]=0,"LOW",
 IF(ReconciliationData[[#This Row],[severity_score]]&lt;=5,"MEDIUM","HIGH"))</f>
        <v>LOW</v>
      </c>
      <c r="AC620" t="str">
        <f>TEXT(ReconciliationData[[#This Row],[Order_Date]],"YYYY-MM")</f>
        <v>2024-10</v>
      </c>
    </row>
    <row r="621" spans="1:29">
      <c r="A621" t="s">
        <v>2077</v>
      </c>
      <c r="B621" s="1">
        <v>45502</v>
      </c>
      <c r="C621" t="s">
        <v>1505</v>
      </c>
      <c r="D621" t="s">
        <v>223</v>
      </c>
      <c r="E621">
        <v>14</v>
      </c>
      <c r="F621" t="s">
        <v>2078</v>
      </c>
      <c r="G621">
        <v>14</v>
      </c>
      <c r="H621">
        <v>561.4076</v>
      </c>
      <c r="N621">
        <v>561.4076</v>
      </c>
      <c r="O621" s="1">
        <v>45006</v>
      </c>
      <c r="P621">
        <f>IF(ISBLANK(ReconciliationData[[#This Row],[Invoice_ID]]),1,0)</f>
        <v>0</v>
      </c>
      <c r="Q621">
        <f>IF(AND(NOT(ISBLANK(ReconciliationData[[#This Row],[Billed_Units]])),ReconciliationData[[#This Row],[ordered_units]]&lt;&gt;ReconciliationData[[#This Row],[Billed_Units]]),1,0)</f>
        <v>0</v>
      </c>
      <c r="R6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1">
        <f>IF(AND(NOT(ISBLANK(ReconciliationData[[#This Row],[Contract_Price]])),ReconciliationData[[#This Row],[Billed_Price]]&lt;&gt;ReconciliationData[[#This Row],[Contract_Price]]),1,0)</f>
        <v>0</v>
      </c>
      <c r="T621">
        <f>IF(AND(NOT(ISBLANK(ReconciliationData[[#This Row],[End_Date]])),ReconciliationData[[#This Row],[Order_Date]]&gt;ReconciliationData[[#This Row],[End_Date]]),1,0)</f>
        <v>0</v>
      </c>
      <c r="U621">
        <f>IF(AND(NOT(ISBLANK(ReconciliationData[[#This Row],[last_return_date]])),ReconciliationData[[#This Row],[last_return_date]]&gt;ReconciliationData[[#This Row],[Order_Date]]+60),1,0)</f>
        <v>0</v>
      </c>
      <c r="V621">
        <f>IF(ReconciliationData[[#This Row],[total_returned_units]]&gt;ReconciliationData[[#This Row],[ordered_units]],1,0)</f>
        <v>0</v>
      </c>
      <c r="W6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1">
        <f>ReconciliationData[[#This Row],[Billed_Units]]*ReconciliationData[[#This Row],[Billed_Price]]</f>
        <v>7859.7064</v>
      </c>
      <c r="Y621">
        <f>ReconciliationData[[#This Row],[ordered_units]]*ReconciliationData[[#This Row],[List_Price]]</f>
        <v>7859.7064</v>
      </c>
      <c r="Z621">
        <f>ReconciliationData[[#This Row],[billed_revenue]]-ReconciliationData[[#This Row],[expected_revenue]]</f>
        <v>0</v>
      </c>
      <c r="AA6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1" t="str">
        <f>IF(ReconciliationData[[#This Row],[severity_score]]=0,"LOW",
 IF(ReconciliationData[[#This Row],[severity_score]]&lt;=5,"MEDIUM","HIGH"))</f>
        <v>LOW</v>
      </c>
      <c r="AC621" t="str">
        <f>TEXT(ReconciliationData[[#This Row],[Order_Date]],"YYYY-MM")</f>
        <v>2024-07</v>
      </c>
    </row>
    <row r="622" spans="1:29">
      <c r="A622" t="s">
        <v>2079</v>
      </c>
      <c r="B622" s="1">
        <v>45143</v>
      </c>
      <c r="C622" t="s">
        <v>1168</v>
      </c>
      <c r="D622" t="s">
        <v>944</v>
      </c>
      <c r="E622">
        <v>56</v>
      </c>
      <c r="F622" t="s">
        <v>2080</v>
      </c>
      <c r="G622">
        <v>56</v>
      </c>
      <c r="H622">
        <v>1016.7027</v>
      </c>
      <c r="N622">
        <v>1016.7027</v>
      </c>
      <c r="O622" s="1">
        <v>44955</v>
      </c>
      <c r="P622">
        <f>IF(ISBLANK(ReconciliationData[[#This Row],[Invoice_ID]]),1,0)</f>
        <v>0</v>
      </c>
      <c r="Q622">
        <f>IF(AND(NOT(ISBLANK(ReconciliationData[[#This Row],[Billed_Units]])),ReconciliationData[[#This Row],[ordered_units]]&lt;&gt;ReconciliationData[[#This Row],[Billed_Units]]),1,0)</f>
        <v>0</v>
      </c>
      <c r="R6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2">
        <f>IF(AND(NOT(ISBLANK(ReconciliationData[[#This Row],[Contract_Price]])),ReconciliationData[[#This Row],[Billed_Price]]&lt;&gt;ReconciliationData[[#This Row],[Contract_Price]]),1,0)</f>
        <v>0</v>
      </c>
      <c r="T622">
        <f>IF(AND(NOT(ISBLANK(ReconciliationData[[#This Row],[End_Date]])),ReconciliationData[[#This Row],[Order_Date]]&gt;ReconciliationData[[#This Row],[End_Date]]),1,0)</f>
        <v>0</v>
      </c>
      <c r="U622">
        <f>IF(AND(NOT(ISBLANK(ReconciliationData[[#This Row],[last_return_date]])),ReconciliationData[[#This Row],[last_return_date]]&gt;ReconciliationData[[#This Row],[Order_Date]]+60),1,0)</f>
        <v>0</v>
      </c>
      <c r="V622">
        <f>IF(ReconciliationData[[#This Row],[total_returned_units]]&gt;ReconciliationData[[#This Row],[ordered_units]],1,0)</f>
        <v>0</v>
      </c>
      <c r="W6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2">
        <f>ReconciliationData[[#This Row],[Billed_Units]]*ReconciliationData[[#This Row],[Billed_Price]]</f>
        <v>56935.351200000005</v>
      </c>
      <c r="Y622">
        <f>ReconciliationData[[#This Row],[ordered_units]]*ReconciliationData[[#This Row],[List_Price]]</f>
        <v>56935.351200000005</v>
      </c>
      <c r="Z622">
        <f>ReconciliationData[[#This Row],[billed_revenue]]-ReconciliationData[[#This Row],[expected_revenue]]</f>
        <v>0</v>
      </c>
      <c r="AA6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2" t="str">
        <f>IF(ReconciliationData[[#This Row],[severity_score]]=0,"LOW",
 IF(ReconciliationData[[#This Row],[severity_score]]&lt;=5,"MEDIUM","HIGH"))</f>
        <v>LOW</v>
      </c>
      <c r="AC622" t="str">
        <f>TEXT(ReconciliationData[[#This Row],[Order_Date]],"YYYY-MM")</f>
        <v>2023-08</v>
      </c>
    </row>
    <row r="623" spans="1:29">
      <c r="A623" t="s">
        <v>2081</v>
      </c>
      <c r="B623" s="1">
        <v>45517</v>
      </c>
      <c r="C623" t="s">
        <v>2010</v>
      </c>
      <c r="D623" t="s">
        <v>468</v>
      </c>
      <c r="E623">
        <v>102</v>
      </c>
      <c r="F623" t="s">
        <v>2082</v>
      </c>
      <c r="G623">
        <v>102</v>
      </c>
      <c r="H623">
        <v>372.85379999999998</v>
      </c>
      <c r="I623">
        <v>12</v>
      </c>
      <c r="J623" s="1">
        <v>45470</v>
      </c>
      <c r="N623">
        <v>372.85379999999998</v>
      </c>
      <c r="O623" s="1">
        <v>45175</v>
      </c>
      <c r="P623">
        <f>IF(ISBLANK(ReconciliationData[[#This Row],[Invoice_ID]]),1,0)</f>
        <v>0</v>
      </c>
      <c r="Q623">
        <f>IF(AND(NOT(ISBLANK(ReconciliationData[[#This Row],[Billed_Units]])),ReconciliationData[[#This Row],[ordered_units]]&lt;&gt;ReconciliationData[[#This Row],[Billed_Units]]),1,0)</f>
        <v>0</v>
      </c>
      <c r="R6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3">
        <f>IF(AND(NOT(ISBLANK(ReconciliationData[[#This Row],[Contract_Price]])),ReconciliationData[[#This Row],[Billed_Price]]&lt;&gt;ReconciliationData[[#This Row],[Contract_Price]]),1,0)</f>
        <v>0</v>
      </c>
      <c r="T623">
        <f>IF(AND(NOT(ISBLANK(ReconciliationData[[#This Row],[End_Date]])),ReconciliationData[[#This Row],[Order_Date]]&gt;ReconciliationData[[#This Row],[End_Date]]),1,0)</f>
        <v>0</v>
      </c>
      <c r="U623">
        <f>IF(AND(NOT(ISBLANK(ReconciliationData[[#This Row],[last_return_date]])),ReconciliationData[[#This Row],[last_return_date]]&gt;ReconciliationData[[#This Row],[Order_Date]]+60),1,0)</f>
        <v>0</v>
      </c>
      <c r="V623">
        <f>IF(ReconciliationData[[#This Row],[total_returned_units]]&gt;ReconciliationData[[#This Row],[ordered_units]],1,0)</f>
        <v>0</v>
      </c>
      <c r="W6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3">
        <f>ReconciliationData[[#This Row],[Billed_Units]]*ReconciliationData[[#This Row],[Billed_Price]]</f>
        <v>38031.087599999999</v>
      </c>
      <c r="Y623">
        <f>ReconciliationData[[#This Row],[ordered_units]]*ReconciliationData[[#This Row],[List_Price]]</f>
        <v>38031.087599999999</v>
      </c>
      <c r="Z623">
        <f>ReconciliationData[[#This Row],[billed_revenue]]-ReconciliationData[[#This Row],[expected_revenue]]</f>
        <v>0</v>
      </c>
      <c r="AA6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3" t="str">
        <f>IF(ReconciliationData[[#This Row],[severity_score]]=0,"LOW",
 IF(ReconciliationData[[#This Row],[severity_score]]&lt;=5,"MEDIUM","HIGH"))</f>
        <v>LOW</v>
      </c>
      <c r="AC623" t="str">
        <f>TEXT(ReconciliationData[[#This Row],[Order_Date]],"YYYY-MM")</f>
        <v>2024-08</v>
      </c>
    </row>
    <row r="624" spans="1:29">
      <c r="A624" t="s">
        <v>2083</v>
      </c>
      <c r="B624" s="1">
        <v>45179</v>
      </c>
      <c r="C624" t="s">
        <v>258</v>
      </c>
      <c r="D624" t="s">
        <v>1533</v>
      </c>
      <c r="E624">
        <v>139</v>
      </c>
      <c r="F624" t="s">
        <v>2084</v>
      </c>
      <c r="G624">
        <v>139</v>
      </c>
      <c r="H624">
        <v>952.36940000000004</v>
      </c>
      <c r="N624">
        <v>952.36940000000004</v>
      </c>
      <c r="O624" s="1">
        <v>45169</v>
      </c>
      <c r="P624">
        <f>IF(ISBLANK(ReconciliationData[[#This Row],[Invoice_ID]]),1,0)</f>
        <v>0</v>
      </c>
      <c r="Q624">
        <f>IF(AND(NOT(ISBLANK(ReconciliationData[[#This Row],[Billed_Units]])),ReconciliationData[[#This Row],[ordered_units]]&lt;&gt;ReconciliationData[[#This Row],[Billed_Units]]),1,0)</f>
        <v>0</v>
      </c>
      <c r="R6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4">
        <f>IF(AND(NOT(ISBLANK(ReconciliationData[[#This Row],[Contract_Price]])),ReconciliationData[[#This Row],[Billed_Price]]&lt;&gt;ReconciliationData[[#This Row],[Contract_Price]]),1,0)</f>
        <v>0</v>
      </c>
      <c r="T624">
        <f>IF(AND(NOT(ISBLANK(ReconciliationData[[#This Row],[End_Date]])),ReconciliationData[[#This Row],[Order_Date]]&gt;ReconciliationData[[#This Row],[End_Date]]),1,0)</f>
        <v>0</v>
      </c>
      <c r="U624">
        <f>IF(AND(NOT(ISBLANK(ReconciliationData[[#This Row],[last_return_date]])),ReconciliationData[[#This Row],[last_return_date]]&gt;ReconciliationData[[#This Row],[Order_Date]]+60),1,0)</f>
        <v>0</v>
      </c>
      <c r="V624">
        <f>IF(ReconciliationData[[#This Row],[total_returned_units]]&gt;ReconciliationData[[#This Row],[ordered_units]],1,0)</f>
        <v>0</v>
      </c>
      <c r="W6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4">
        <f>ReconciliationData[[#This Row],[Billed_Units]]*ReconciliationData[[#This Row],[Billed_Price]]</f>
        <v>132379.34660000002</v>
      </c>
      <c r="Y624">
        <f>ReconciliationData[[#This Row],[ordered_units]]*ReconciliationData[[#This Row],[List_Price]]</f>
        <v>132379.34660000002</v>
      </c>
      <c r="Z624">
        <f>ReconciliationData[[#This Row],[billed_revenue]]-ReconciliationData[[#This Row],[expected_revenue]]</f>
        <v>0</v>
      </c>
      <c r="AA6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4" t="str">
        <f>IF(ReconciliationData[[#This Row],[severity_score]]=0,"LOW",
 IF(ReconciliationData[[#This Row],[severity_score]]&lt;=5,"MEDIUM","HIGH"))</f>
        <v>LOW</v>
      </c>
      <c r="AC624" t="str">
        <f>TEXT(ReconciliationData[[#This Row],[Order_Date]],"YYYY-MM")</f>
        <v>2023-09</v>
      </c>
    </row>
    <row r="625" spans="1:29">
      <c r="A625" t="s">
        <v>2085</v>
      </c>
      <c r="B625" s="1">
        <v>44954</v>
      </c>
      <c r="C625" t="s">
        <v>2086</v>
      </c>
      <c r="D625" t="s">
        <v>1802</v>
      </c>
      <c r="E625">
        <v>154</v>
      </c>
      <c r="F625" t="s">
        <v>2087</v>
      </c>
      <c r="G625">
        <v>154</v>
      </c>
      <c r="H625">
        <v>618.54840000000002</v>
      </c>
      <c r="N625">
        <v>618.54840000000002</v>
      </c>
      <c r="O625" s="1">
        <v>44916</v>
      </c>
      <c r="P625">
        <f>IF(ISBLANK(ReconciliationData[[#This Row],[Invoice_ID]]),1,0)</f>
        <v>0</v>
      </c>
      <c r="Q625">
        <f>IF(AND(NOT(ISBLANK(ReconciliationData[[#This Row],[Billed_Units]])),ReconciliationData[[#This Row],[ordered_units]]&lt;&gt;ReconciliationData[[#This Row],[Billed_Units]]),1,0)</f>
        <v>0</v>
      </c>
      <c r="R6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5">
        <f>IF(AND(NOT(ISBLANK(ReconciliationData[[#This Row],[Contract_Price]])),ReconciliationData[[#This Row],[Billed_Price]]&lt;&gt;ReconciliationData[[#This Row],[Contract_Price]]),1,0)</f>
        <v>0</v>
      </c>
      <c r="T625">
        <f>IF(AND(NOT(ISBLANK(ReconciliationData[[#This Row],[End_Date]])),ReconciliationData[[#This Row],[Order_Date]]&gt;ReconciliationData[[#This Row],[End_Date]]),1,0)</f>
        <v>0</v>
      </c>
      <c r="U625">
        <f>IF(AND(NOT(ISBLANK(ReconciliationData[[#This Row],[last_return_date]])),ReconciliationData[[#This Row],[last_return_date]]&gt;ReconciliationData[[#This Row],[Order_Date]]+60),1,0)</f>
        <v>0</v>
      </c>
      <c r="V625">
        <f>IF(ReconciliationData[[#This Row],[total_returned_units]]&gt;ReconciliationData[[#This Row],[ordered_units]],1,0)</f>
        <v>0</v>
      </c>
      <c r="W6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5">
        <f>ReconciliationData[[#This Row],[Billed_Units]]*ReconciliationData[[#This Row],[Billed_Price]]</f>
        <v>95256.453600000008</v>
      </c>
      <c r="Y625">
        <f>ReconciliationData[[#This Row],[ordered_units]]*ReconciliationData[[#This Row],[List_Price]]</f>
        <v>95256.453600000008</v>
      </c>
      <c r="Z625">
        <f>ReconciliationData[[#This Row],[billed_revenue]]-ReconciliationData[[#This Row],[expected_revenue]]</f>
        <v>0</v>
      </c>
      <c r="AA6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5" t="str">
        <f>IF(ReconciliationData[[#This Row],[severity_score]]=0,"LOW",
 IF(ReconciliationData[[#This Row],[severity_score]]&lt;=5,"MEDIUM","HIGH"))</f>
        <v>LOW</v>
      </c>
      <c r="AC625" t="str">
        <f>TEXT(ReconciliationData[[#This Row],[Order_Date]],"YYYY-MM")</f>
        <v>2023-01</v>
      </c>
    </row>
    <row r="626" spans="1:29">
      <c r="A626" t="s">
        <v>2088</v>
      </c>
      <c r="B626" s="1">
        <v>45243</v>
      </c>
      <c r="C626" t="s">
        <v>638</v>
      </c>
      <c r="D626" t="s">
        <v>1030</v>
      </c>
      <c r="E626">
        <v>178</v>
      </c>
      <c r="F626" t="s">
        <v>2089</v>
      </c>
      <c r="G626">
        <v>178</v>
      </c>
      <c r="H626">
        <v>370.82850000000002</v>
      </c>
      <c r="N626">
        <v>370.82850000000002</v>
      </c>
      <c r="O626" s="1">
        <v>45187</v>
      </c>
      <c r="P626">
        <f>IF(ISBLANK(ReconciliationData[[#This Row],[Invoice_ID]]),1,0)</f>
        <v>0</v>
      </c>
      <c r="Q626">
        <f>IF(AND(NOT(ISBLANK(ReconciliationData[[#This Row],[Billed_Units]])),ReconciliationData[[#This Row],[ordered_units]]&lt;&gt;ReconciliationData[[#This Row],[Billed_Units]]),1,0)</f>
        <v>0</v>
      </c>
      <c r="R6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6">
        <f>IF(AND(NOT(ISBLANK(ReconciliationData[[#This Row],[Contract_Price]])),ReconciliationData[[#This Row],[Billed_Price]]&lt;&gt;ReconciliationData[[#This Row],[Contract_Price]]),1,0)</f>
        <v>0</v>
      </c>
      <c r="T626">
        <f>IF(AND(NOT(ISBLANK(ReconciliationData[[#This Row],[End_Date]])),ReconciliationData[[#This Row],[Order_Date]]&gt;ReconciliationData[[#This Row],[End_Date]]),1,0)</f>
        <v>0</v>
      </c>
      <c r="U626">
        <f>IF(AND(NOT(ISBLANK(ReconciliationData[[#This Row],[last_return_date]])),ReconciliationData[[#This Row],[last_return_date]]&gt;ReconciliationData[[#This Row],[Order_Date]]+60),1,0)</f>
        <v>0</v>
      </c>
      <c r="V626">
        <f>IF(ReconciliationData[[#This Row],[total_returned_units]]&gt;ReconciliationData[[#This Row],[ordered_units]],1,0)</f>
        <v>0</v>
      </c>
      <c r="W6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6">
        <f>ReconciliationData[[#This Row],[Billed_Units]]*ReconciliationData[[#This Row],[Billed_Price]]</f>
        <v>66007.472999999998</v>
      </c>
      <c r="Y626">
        <f>ReconciliationData[[#This Row],[ordered_units]]*ReconciliationData[[#This Row],[List_Price]]</f>
        <v>66007.472999999998</v>
      </c>
      <c r="Z626">
        <f>ReconciliationData[[#This Row],[billed_revenue]]-ReconciliationData[[#This Row],[expected_revenue]]</f>
        <v>0</v>
      </c>
      <c r="AA6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6" t="str">
        <f>IF(ReconciliationData[[#This Row],[severity_score]]=0,"LOW",
 IF(ReconciliationData[[#This Row],[severity_score]]&lt;=5,"MEDIUM","HIGH"))</f>
        <v>LOW</v>
      </c>
      <c r="AC626" t="str">
        <f>TEXT(ReconciliationData[[#This Row],[Order_Date]],"YYYY-MM")</f>
        <v>2023-11</v>
      </c>
    </row>
    <row r="627" spans="1:29">
      <c r="A627" t="s">
        <v>2090</v>
      </c>
      <c r="B627" s="1">
        <v>45189</v>
      </c>
      <c r="C627" t="s">
        <v>2091</v>
      </c>
      <c r="D627" t="s">
        <v>366</v>
      </c>
      <c r="E627">
        <v>74</v>
      </c>
      <c r="F627" t="s">
        <v>2092</v>
      </c>
      <c r="G627">
        <v>74</v>
      </c>
      <c r="H627">
        <v>499.17750000000001</v>
      </c>
      <c r="N627">
        <v>499.17750000000001</v>
      </c>
      <c r="O627" s="1">
        <v>45123</v>
      </c>
      <c r="P627">
        <f>IF(ISBLANK(ReconciliationData[[#This Row],[Invoice_ID]]),1,0)</f>
        <v>0</v>
      </c>
      <c r="Q627">
        <f>IF(AND(NOT(ISBLANK(ReconciliationData[[#This Row],[Billed_Units]])),ReconciliationData[[#This Row],[ordered_units]]&lt;&gt;ReconciliationData[[#This Row],[Billed_Units]]),1,0)</f>
        <v>0</v>
      </c>
      <c r="R6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7">
        <f>IF(AND(NOT(ISBLANK(ReconciliationData[[#This Row],[Contract_Price]])),ReconciliationData[[#This Row],[Billed_Price]]&lt;&gt;ReconciliationData[[#This Row],[Contract_Price]]),1,0)</f>
        <v>0</v>
      </c>
      <c r="T627">
        <f>IF(AND(NOT(ISBLANK(ReconciliationData[[#This Row],[End_Date]])),ReconciliationData[[#This Row],[Order_Date]]&gt;ReconciliationData[[#This Row],[End_Date]]),1,0)</f>
        <v>0</v>
      </c>
      <c r="U627">
        <f>IF(AND(NOT(ISBLANK(ReconciliationData[[#This Row],[last_return_date]])),ReconciliationData[[#This Row],[last_return_date]]&gt;ReconciliationData[[#This Row],[Order_Date]]+60),1,0)</f>
        <v>0</v>
      </c>
      <c r="V627">
        <f>IF(ReconciliationData[[#This Row],[total_returned_units]]&gt;ReconciliationData[[#This Row],[ordered_units]],1,0)</f>
        <v>0</v>
      </c>
      <c r="W6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7">
        <f>ReconciliationData[[#This Row],[Billed_Units]]*ReconciliationData[[#This Row],[Billed_Price]]</f>
        <v>36939.135000000002</v>
      </c>
      <c r="Y627">
        <f>ReconciliationData[[#This Row],[ordered_units]]*ReconciliationData[[#This Row],[List_Price]]</f>
        <v>36939.135000000002</v>
      </c>
      <c r="Z627">
        <f>ReconciliationData[[#This Row],[billed_revenue]]-ReconciliationData[[#This Row],[expected_revenue]]</f>
        <v>0</v>
      </c>
      <c r="AA6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7" t="str">
        <f>IF(ReconciliationData[[#This Row],[severity_score]]=0,"LOW",
 IF(ReconciliationData[[#This Row],[severity_score]]&lt;=5,"MEDIUM","HIGH"))</f>
        <v>LOW</v>
      </c>
      <c r="AC627" t="str">
        <f>TEXT(ReconciliationData[[#This Row],[Order_Date]],"YYYY-MM")</f>
        <v>2023-09</v>
      </c>
    </row>
    <row r="628" spans="1:29">
      <c r="A628" t="s">
        <v>2093</v>
      </c>
      <c r="B628" s="1">
        <v>45247</v>
      </c>
      <c r="C628" t="s">
        <v>2094</v>
      </c>
      <c r="D628" t="s">
        <v>529</v>
      </c>
      <c r="E628">
        <v>197</v>
      </c>
      <c r="F628" t="s">
        <v>2095</v>
      </c>
      <c r="G628">
        <v>197</v>
      </c>
      <c r="H628">
        <v>560.37830000000008</v>
      </c>
      <c r="N628">
        <v>560.37830000000008</v>
      </c>
      <c r="O628" s="1">
        <v>45089</v>
      </c>
      <c r="P628">
        <f>IF(ISBLANK(ReconciliationData[[#This Row],[Invoice_ID]]),1,0)</f>
        <v>0</v>
      </c>
      <c r="Q628">
        <f>IF(AND(NOT(ISBLANK(ReconciliationData[[#This Row],[Billed_Units]])),ReconciliationData[[#This Row],[ordered_units]]&lt;&gt;ReconciliationData[[#This Row],[Billed_Units]]),1,0)</f>
        <v>0</v>
      </c>
      <c r="R6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8">
        <f>IF(AND(NOT(ISBLANK(ReconciliationData[[#This Row],[Contract_Price]])),ReconciliationData[[#This Row],[Billed_Price]]&lt;&gt;ReconciliationData[[#This Row],[Contract_Price]]),1,0)</f>
        <v>0</v>
      </c>
      <c r="T628">
        <f>IF(AND(NOT(ISBLANK(ReconciliationData[[#This Row],[End_Date]])),ReconciliationData[[#This Row],[Order_Date]]&gt;ReconciliationData[[#This Row],[End_Date]]),1,0)</f>
        <v>0</v>
      </c>
      <c r="U628">
        <f>IF(AND(NOT(ISBLANK(ReconciliationData[[#This Row],[last_return_date]])),ReconciliationData[[#This Row],[last_return_date]]&gt;ReconciliationData[[#This Row],[Order_Date]]+60),1,0)</f>
        <v>0</v>
      </c>
      <c r="V628">
        <f>IF(ReconciliationData[[#This Row],[total_returned_units]]&gt;ReconciliationData[[#This Row],[ordered_units]],1,0)</f>
        <v>0</v>
      </c>
      <c r="W6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8">
        <f>ReconciliationData[[#This Row],[Billed_Units]]*ReconciliationData[[#This Row],[Billed_Price]]</f>
        <v>110394.52510000001</v>
      </c>
      <c r="Y628">
        <f>ReconciliationData[[#This Row],[ordered_units]]*ReconciliationData[[#This Row],[List_Price]]</f>
        <v>110394.52510000001</v>
      </c>
      <c r="Z628">
        <f>ReconciliationData[[#This Row],[billed_revenue]]-ReconciliationData[[#This Row],[expected_revenue]]</f>
        <v>0</v>
      </c>
      <c r="AA6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8" t="str">
        <f>IF(ReconciliationData[[#This Row],[severity_score]]=0,"LOW",
 IF(ReconciliationData[[#This Row],[severity_score]]&lt;=5,"MEDIUM","HIGH"))</f>
        <v>LOW</v>
      </c>
      <c r="AC628" t="str">
        <f>TEXT(ReconciliationData[[#This Row],[Order_Date]],"YYYY-MM")</f>
        <v>2023-11</v>
      </c>
    </row>
    <row r="629" spans="1:29">
      <c r="A629" t="s">
        <v>2096</v>
      </c>
      <c r="B629" s="1">
        <v>45493</v>
      </c>
      <c r="C629" t="s">
        <v>1196</v>
      </c>
      <c r="D629" t="s">
        <v>2097</v>
      </c>
      <c r="E629">
        <v>39</v>
      </c>
      <c r="F629" t="s">
        <v>2098</v>
      </c>
      <c r="G629">
        <v>39</v>
      </c>
      <c r="H629">
        <v>599.90620000000001</v>
      </c>
      <c r="N629">
        <v>599.90620000000001</v>
      </c>
      <c r="O629" s="1">
        <v>45060</v>
      </c>
      <c r="P629">
        <f>IF(ISBLANK(ReconciliationData[[#This Row],[Invoice_ID]]),1,0)</f>
        <v>0</v>
      </c>
      <c r="Q629">
        <f>IF(AND(NOT(ISBLANK(ReconciliationData[[#This Row],[Billed_Units]])),ReconciliationData[[#This Row],[ordered_units]]&lt;&gt;ReconciliationData[[#This Row],[Billed_Units]]),1,0)</f>
        <v>0</v>
      </c>
      <c r="R6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29">
        <f>IF(AND(NOT(ISBLANK(ReconciliationData[[#This Row],[Contract_Price]])),ReconciliationData[[#This Row],[Billed_Price]]&lt;&gt;ReconciliationData[[#This Row],[Contract_Price]]),1,0)</f>
        <v>0</v>
      </c>
      <c r="T629">
        <f>IF(AND(NOT(ISBLANK(ReconciliationData[[#This Row],[End_Date]])),ReconciliationData[[#This Row],[Order_Date]]&gt;ReconciliationData[[#This Row],[End_Date]]),1,0)</f>
        <v>0</v>
      </c>
      <c r="U629">
        <f>IF(AND(NOT(ISBLANK(ReconciliationData[[#This Row],[last_return_date]])),ReconciliationData[[#This Row],[last_return_date]]&gt;ReconciliationData[[#This Row],[Order_Date]]+60),1,0)</f>
        <v>0</v>
      </c>
      <c r="V629">
        <f>IF(ReconciliationData[[#This Row],[total_returned_units]]&gt;ReconciliationData[[#This Row],[ordered_units]],1,0)</f>
        <v>0</v>
      </c>
      <c r="W6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29">
        <f>ReconciliationData[[#This Row],[Billed_Units]]*ReconciliationData[[#This Row],[Billed_Price]]</f>
        <v>23396.341800000002</v>
      </c>
      <c r="Y629">
        <f>ReconciliationData[[#This Row],[ordered_units]]*ReconciliationData[[#This Row],[List_Price]]</f>
        <v>23396.341800000002</v>
      </c>
      <c r="Z629">
        <f>ReconciliationData[[#This Row],[billed_revenue]]-ReconciliationData[[#This Row],[expected_revenue]]</f>
        <v>0</v>
      </c>
      <c r="AA6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29" t="str">
        <f>IF(ReconciliationData[[#This Row],[severity_score]]=0,"LOW",
 IF(ReconciliationData[[#This Row],[severity_score]]&lt;=5,"MEDIUM","HIGH"))</f>
        <v>LOW</v>
      </c>
      <c r="AC629" t="str">
        <f>TEXT(ReconciliationData[[#This Row],[Order_Date]],"YYYY-MM")</f>
        <v>2024-07</v>
      </c>
    </row>
    <row r="630" spans="1:29">
      <c r="A630" t="s">
        <v>2099</v>
      </c>
      <c r="B630" s="1">
        <v>45248</v>
      </c>
      <c r="C630" t="s">
        <v>2100</v>
      </c>
      <c r="D630" t="s">
        <v>2101</v>
      </c>
      <c r="E630">
        <v>81</v>
      </c>
      <c r="F630" t="s">
        <v>2102</v>
      </c>
      <c r="G630">
        <v>81</v>
      </c>
      <c r="H630">
        <v>230.7345</v>
      </c>
      <c r="N630">
        <v>230.7345</v>
      </c>
      <c r="O630" s="1">
        <v>45142</v>
      </c>
      <c r="P630">
        <f>IF(ISBLANK(ReconciliationData[[#This Row],[Invoice_ID]]),1,0)</f>
        <v>0</v>
      </c>
      <c r="Q630">
        <f>IF(AND(NOT(ISBLANK(ReconciliationData[[#This Row],[Billed_Units]])),ReconciliationData[[#This Row],[ordered_units]]&lt;&gt;ReconciliationData[[#This Row],[Billed_Units]]),1,0)</f>
        <v>0</v>
      </c>
      <c r="R6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0">
        <f>IF(AND(NOT(ISBLANK(ReconciliationData[[#This Row],[Contract_Price]])),ReconciliationData[[#This Row],[Billed_Price]]&lt;&gt;ReconciliationData[[#This Row],[Contract_Price]]),1,0)</f>
        <v>0</v>
      </c>
      <c r="T630">
        <f>IF(AND(NOT(ISBLANK(ReconciliationData[[#This Row],[End_Date]])),ReconciliationData[[#This Row],[Order_Date]]&gt;ReconciliationData[[#This Row],[End_Date]]),1,0)</f>
        <v>0</v>
      </c>
      <c r="U630">
        <f>IF(AND(NOT(ISBLANK(ReconciliationData[[#This Row],[last_return_date]])),ReconciliationData[[#This Row],[last_return_date]]&gt;ReconciliationData[[#This Row],[Order_Date]]+60),1,0)</f>
        <v>0</v>
      </c>
      <c r="V630">
        <f>IF(ReconciliationData[[#This Row],[total_returned_units]]&gt;ReconciliationData[[#This Row],[ordered_units]],1,0)</f>
        <v>0</v>
      </c>
      <c r="W6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0">
        <f>ReconciliationData[[#This Row],[Billed_Units]]*ReconciliationData[[#This Row],[Billed_Price]]</f>
        <v>18689.494500000001</v>
      </c>
      <c r="Y630">
        <f>ReconciliationData[[#This Row],[ordered_units]]*ReconciliationData[[#This Row],[List_Price]]</f>
        <v>18689.494500000001</v>
      </c>
      <c r="Z630">
        <f>ReconciliationData[[#This Row],[billed_revenue]]-ReconciliationData[[#This Row],[expected_revenue]]</f>
        <v>0</v>
      </c>
      <c r="AA6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0" t="str">
        <f>IF(ReconciliationData[[#This Row],[severity_score]]=0,"LOW",
 IF(ReconciliationData[[#This Row],[severity_score]]&lt;=5,"MEDIUM","HIGH"))</f>
        <v>LOW</v>
      </c>
      <c r="AC630" t="str">
        <f>TEXT(ReconciliationData[[#This Row],[Order_Date]],"YYYY-MM")</f>
        <v>2023-11</v>
      </c>
    </row>
    <row r="631" spans="1:29">
      <c r="A631" t="s">
        <v>2103</v>
      </c>
      <c r="B631" s="1">
        <v>45147</v>
      </c>
      <c r="C631" t="s">
        <v>2104</v>
      </c>
      <c r="D631" t="s">
        <v>937</v>
      </c>
      <c r="E631">
        <v>43</v>
      </c>
      <c r="F631" t="s">
        <v>2105</v>
      </c>
      <c r="G631">
        <v>43</v>
      </c>
      <c r="H631">
        <v>431.81990000000002</v>
      </c>
      <c r="N631">
        <v>431.81990000000002</v>
      </c>
      <c r="O631" s="1">
        <v>44807</v>
      </c>
      <c r="P631">
        <f>IF(ISBLANK(ReconciliationData[[#This Row],[Invoice_ID]]),1,0)</f>
        <v>0</v>
      </c>
      <c r="Q631">
        <f>IF(AND(NOT(ISBLANK(ReconciliationData[[#This Row],[Billed_Units]])),ReconciliationData[[#This Row],[ordered_units]]&lt;&gt;ReconciliationData[[#This Row],[Billed_Units]]),1,0)</f>
        <v>0</v>
      </c>
      <c r="R6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1">
        <f>IF(AND(NOT(ISBLANK(ReconciliationData[[#This Row],[Contract_Price]])),ReconciliationData[[#This Row],[Billed_Price]]&lt;&gt;ReconciliationData[[#This Row],[Contract_Price]]),1,0)</f>
        <v>0</v>
      </c>
      <c r="T631">
        <f>IF(AND(NOT(ISBLANK(ReconciliationData[[#This Row],[End_Date]])),ReconciliationData[[#This Row],[Order_Date]]&gt;ReconciliationData[[#This Row],[End_Date]]),1,0)</f>
        <v>0</v>
      </c>
      <c r="U631">
        <f>IF(AND(NOT(ISBLANK(ReconciliationData[[#This Row],[last_return_date]])),ReconciliationData[[#This Row],[last_return_date]]&gt;ReconciliationData[[#This Row],[Order_Date]]+60),1,0)</f>
        <v>0</v>
      </c>
      <c r="V631">
        <f>IF(ReconciliationData[[#This Row],[total_returned_units]]&gt;ReconciliationData[[#This Row],[ordered_units]],1,0)</f>
        <v>0</v>
      </c>
      <c r="W6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1">
        <f>ReconciliationData[[#This Row],[Billed_Units]]*ReconciliationData[[#This Row],[Billed_Price]]</f>
        <v>18568.255700000002</v>
      </c>
      <c r="Y631">
        <f>ReconciliationData[[#This Row],[ordered_units]]*ReconciliationData[[#This Row],[List_Price]]</f>
        <v>18568.255700000002</v>
      </c>
      <c r="Z631">
        <f>ReconciliationData[[#This Row],[billed_revenue]]-ReconciliationData[[#This Row],[expected_revenue]]</f>
        <v>0</v>
      </c>
      <c r="AA6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1" t="str">
        <f>IF(ReconciliationData[[#This Row],[severity_score]]=0,"LOW",
 IF(ReconciliationData[[#This Row],[severity_score]]&lt;=5,"MEDIUM","HIGH"))</f>
        <v>LOW</v>
      </c>
      <c r="AC631" t="str">
        <f>TEXT(ReconciliationData[[#This Row],[Order_Date]],"YYYY-MM")</f>
        <v>2023-08</v>
      </c>
    </row>
    <row r="632" spans="1:29">
      <c r="A632" t="s">
        <v>2106</v>
      </c>
      <c r="B632" s="1">
        <v>44994</v>
      </c>
      <c r="C632" t="s">
        <v>1458</v>
      </c>
      <c r="D632" t="s">
        <v>564</v>
      </c>
      <c r="E632">
        <v>57</v>
      </c>
      <c r="F632" t="s">
        <v>2107</v>
      </c>
      <c r="G632">
        <v>57</v>
      </c>
      <c r="H632">
        <v>1148.73</v>
      </c>
      <c r="N632">
        <v>1148.73</v>
      </c>
      <c r="O632" s="1">
        <v>44749</v>
      </c>
      <c r="P632">
        <f>IF(ISBLANK(ReconciliationData[[#This Row],[Invoice_ID]]),1,0)</f>
        <v>0</v>
      </c>
      <c r="Q632">
        <f>IF(AND(NOT(ISBLANK(ReconciliationData[[#This Row],[Billed_Units]])),ReconciliationData[[#This Row],[ordered_units]]&lt;&gt;ReconciliationData[[#This Row],[Billed_Units]]),1,0)</f>
        <v>0</v>
      </c>
      <c r="R6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2">
        <f>IF(AND(NOT(ISBLANK(ReconciliationData[[#This Row],[Contract_Price]])),ReconciliationData[[#This Row],[Billed_Price]]&lt;&gt;ReconciliationData[[#This Row],[Contract_Price]]),1,0)</f>
        <v>0</v>
      </c>
      <c r="T632">
        <f>IF(AND(NOT(ISBLANK(ReconciliationData[[#This Row],[End_Date]])),ReconciliationData[[#This Row],[Order_Date]]&gt;ReconciliationData[[#This Row],[End_Date]]),1,0)</f>
        <v>0</v>
      </c>
      <c r="U632">
        <f>IF(AND(NOT(ISBLANK(ReconciliationData[[#This Row],[last_return_date]])),ReconciliationData[[#This Row],[last_return_date]]&gt;ReconciliationData[[#This Row],[Order_Date]]+60),1,0)</f>
        <v>0</v>
      </c>
      <c r="V632">
        <f>IF(ReconciliationData[[#This Row],[total_returned_units]]&gt;ReconciliationData[[#This Row],[ordered_units]],1,0)</f>
        <v>0</v>
      </c>
      <c r="W6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2">
        <f>ReconciliationData[[#This Row],[Billed_Units]]*ReconciliationData[[#This Row],[Billed_Price]]</f>
        <v>65477.61</v>
      </c>
      <c r="Y632">
        <f>ReconciliationData[[#This Row],[ordered_units]]*ReconciliationData[[#This Row],[List_Price]]</f>
        <v>65477.61</v>
      </c>
      <c r="Z632">
        <f>ReconciliationData[[#This Row],[billed_revenue]]-ReconciliationData[[#This Row],[expected_revenue]]</f>
        <v>0</v>
      </c>
      <c r="AA6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2" t="str">
        <f>IF(ReconciliationData[[#This Row],[severity_score]]=0,"LOW",
 IF(ReconciliationData[[#This Row],[severity_score]]&lt;=5,"MEDIUM","HIGH"))</f>
        <v>LOW</v>
      </c>
      <c r="AC632" t="str">
        <f>TEXT(ReconciliationData[[#This Row],[Order_Date]],"YYYY-MM")</f>
        <v>2023-03</v>
      </c>
    </row>
    <row r="633" spans="1:29">
      <c r="A633" t="s">
        <v>2108</v>
      </c>
      <c r="B633" s="1">
        <v>45468</v>
      </c>
      <c r="C633" t="s">
        <v>1410</v>
      </c>
      <c r="D633" t="s">
        <v>1706</v>
      </c>
      <c r="E633">
        <v>42</v>
      </c>
      <c r="F633" t="s">
        <v>2109</v>
      </c>
      <c r="G633">
        <v>42</v>
      </c>
      <c r="H633">
        <v>854.74350000000004</v>
      </c>
      <c r="N633">
        <v>854.74350000000004</v>
      </c>
      <c r="O633" s="1">
        <v>44984</v>
      </c>
      <c r="P633">
        <f>IF(ISBLANK(ReconciliationData[[#This Row],[Invoice_ID]]),1,0)</f>
        <v>0</v>
      </c>
      <c r="Q633">
        <f>IF(AND(NOT(ISBLANK(ReconciliationData[[#This Row],[Billed_Units]])),ReconciliationData[[#This Row],[ordered_units]]&lt;&gt;ReconciliationData[[#This Row],[Billed_Units]]),1,0)</f>
        <v>0</v>
      </c>
      <c r="R6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3">
        <f>IF(AND(NOT(ISBLANK(ReconciliationData[[#This Row],[Contract_Price]])),ReconciliationData[[#This Row],[Billed_Price]]&lt;&gt;ReconciliationData[[#This Row],[Contract_Price]]),1,0)</f>
        <v>0</v>
      </c>
      <c r="T633">
        <f>IF(AND(NOT(ISBLANK(ReconciliationData[[#This Row],[End_Date]])),ReconciliationData[[#This Row],[Order_Date]]&gt;ReconciliationData[[#This Row],[End_Date]]),1,0)</f>
        <v>0</v>
      </c>
      <c r="U633">
        <f>IF(AND(NOT(ISBLANK(ReconciliationData[[#This Row],[last_return_date]])),ReconciliationData[[#This Row],[last_return_date]]&gt;ReconciliationData[[#This Row],[Order_Date]]+60),1,0)</f>
        <v>0</v>
      </c>
      <c r="V633">
        <f>IF(ReconciliationData[[#This Row],[total_returned_units]]&gt;ReconciliationData[[#This Row],[ordered_units]],1,0)</f>
        <v>0</v>
      </c>
      <c r="W6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3">
        <f>ReconciliationData[[#This Row],[Billed_Units]]*ReconciliationData[[#This Row],[Billed_Price]]</f>
        <v>35899.226999999999</v>
      </c>
      <c r="Y633">
        <f>ReconciliationData[[#This Row],[ordered_units]]*ReconciliationData[[#This Row],[List_Price]]</f>
        <v>35899.226999999999</v>
      </c>
      <c r="Z633">
        <f>ReconciliationData[[#This Row],[billed_revenue]]-ReconciliationData[[#This Row],[expected_revenue]]</f>
        <v>0</v>
      </c>
      <c r="AA6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3" t="str">
        <f>IF(ReconciliationData[[#This Row],[severity_score]]=0,"LOW",
 IF(ReconciliationData[[#This Row],[severity_score]]&lt;=5,"MEDIUM","HIGH"))</f>
        <v>LOW</v>
      </c>
      <c r="AC633" t="str">
        <f>TEXT(ReconciliationData[[#This Row],[Order_Date]],"YYYY-MM")</f>
        <v>2024-06</v>
      </c>
    </row>
    <row r="634" spans="1:29">
      <c r="A634" t="s">
        <v>2110</v>
      </c>
      <c r="B634" s="1">
        <v>45478</v>
      </c>
      <c r="C634" t="s">
        <v>403</v>
      </c>
      <c r="D634" t="s">
        <v>1037</v>
      </c>
      <c r="E634">
        <v>194</v>
      </c>
      <c r="F634" t="s">
        <v>2111</v>
      </c>
      <c r="G634">
        <v>194</v>
      </c>
      <c r="H634">
        <v>539.57150000000001</v>
      </c>
      <c r="N634">
        <v>539.57150000000001</v>
      </c>
      <c r="O634" s="1">
        <v>45191</v>
      </c>
      <c r="P634">
        <f>IF(ISBLANK(ReconciliationData[[#This Row],[Invoice_ID]]),1,0)</f>
        <v>0</v>
      </c>
      <c r="Q634">
        <f>IF(AND(NOT(ISBLANK(ReconciliationData[[#This Row],[Billed_Units]])),ReconciliationData[[#This Row],[ordered_units]]&lt;&gt;ReconciliationData[[#This Row],[Billed_Units]]),1,0)</f>
        <v>0</v>
      </c>
      <c r="R6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4">
        <f>IF(AND(NOT(ISBLANK(ReconciliationData[[#This Row],[Contract_Price]])),ReconciliationData[[#This Row],[Billed_Price]]&lt;&gt;ReconciliationData[[#This Row],[Contract_Price]]),1,0)</f>
        <v>0</v>
      </c>
      <c r="T634">
        <f>IF(AND(NOT(ISBLANK(ReconciliationData[[#This Row],[End_Date]])),ReconciliationData[[#This Row],[Order_Date]]&gt;ReconciliationData[[#This Row],[End_Date]]),1,0)</f>
        <v>0</v>
      </c>
      <c r="U634">
        <f>IF(AND(NOT(ISBLANK(ReconciliationData[[#This Row],[last_return_date]])),ReconciliationData[[#This Row],[last_return_date]]&gt;ReconciliationData[[#This Row],[Order_Date]]+60),1,0)</f>
        <v>0</v>
      </c>
      <c r="V634">
        <f>IF(ReconciliationData[[#This Row],[total_returned_units]]&gt;ReconciliationData[[#This Row],[ordered_units]],1,0)</f>
        <v>0</v>
      </c>
      <c r="W6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4">
        <f>ReconciliationData[[#This Row],[Billed_Units]]*ReconciliationData[[#This Row],[Billed_Price]]</f>
        <v>104676.871</v>
      </c>
      <c r="Y634">
        <f>ReconciliationData[[#This Row],[ordered_units]]*ReconciliationData[[#This Row],[List_Price]]</f>
        <v>104676.871</v>
      </c>
      <c r="Z634">
        <f>ReconciliationData[[#This Row],[billed_revenue]]-ReconciliationData[[#This Row],[expected_revenue]]</f>
        <v>0</v>
      </c>
      <c r="AA6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4" t="str">
        <f>IF(ReconciliationData[[#This Row],[severity_score]]=0,"LOW",
 IF(ReconciliationData[[#This Row],[severity_score]]&lt;=5,"MEDIUM","HIGH"))</f>
        <v>LOW</v>
      </c>
      <c r="AC634" t="str">
        <f>TEXT(ReconciliationData[[#This Row],[Order_Date]],"YYYY-MM")</f>
        <v>2024-07</v>
      </c>
    </row>
    <row r="635" spans="1:29">
      <c r="A635" t="s">
        <v>2112</v>
      </c>
      <c r="B635" s="1">
        <v>45025</v>
      </c>
      <c r="C635" t="s">
        <v>2113</v>
      </c>
      <c r="D635" t="s">
        <v>610</v>
      </c>
      <c r="E635">
        <v>129</v>
      </c>
      <c r="F635" t="s">
        <v>2114</v>
      </c>
      <c r="G635">
        <v>129</v>
      </c>
      <c r="H635">
        <v>457.65019999999998</v>
      </c>
      <c r="N635">
        <v>457.65019999999998</v>
      </c>
      <c r="O635" s="1">
        <v>44950</v>
      </c>
      <c r="P635">
        <f>IF(ISBLANK(ReconciliationData[[#This Row],[Invoice_ID]]),1,0)</f>
        <v>0</v>
      </c>
      <c r="Q635">
        <f>IF(AND(NOT(ISBLANK(ReconciliationData[[#This Row],[Billed_Units]])),ReconciliationData[[#This Row],[ordered_units]]&lt;&gt;ReconciliationData[[#This Row],[Billed_Units]]),1,0)</f>
        <v>0</v>
      </c>
      <c r="R6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5">
        <f>IF(AND(NOT(ISBLANK(ReconciliationData[[#This Row],[Contract_Price]])),ReconciliationData[[#This Row],[Billed_Price]]&lt;&gt;ReconciliationData[[#This Row],[Contract_Price]]),1,0)</f>
        <v>0</v>
      </c>
      <c r="T635">
        <f>IF(AND(NOT(ISBLANK(ReconciliationData[[#This Row],[End_Date]])),ReconciliationData[[#This Row],[Order_Date]]&gt;ReconciliationData[[#This Row],[End_Date]]),1,0)</f>
        <v>0</v>
      </c>
      <c r="U635">
        <f>IF(AND(NOT(ISBLANK(ReconciliationData[[#This Row],[last_return_date]])),ReconciliationData[[#This Row],[last_return_date]]&gt;ReconciliationData[[#This Row],[Order_Date]]+60),1,0)</f>
        <v>0</v>
      </c>
      <c r="V635">
        <f>IF(ReconciliationData[[#This Row],[total_returned_units]]&gt;ReconciliationData[[#This Row],[ordered_units]],1,0)</f>
        <v>0</v>
      </c>
      <c r="W6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5">
        <f>ReconciliationData[[#This Row],[Billed_Units]]*ReconciliationData[[#This Row],[Billed_Price]]</f>
        <v>59036.875799999994</v>
      </c>
      <c r="Y635">
        <f>ReconciliationData[[#This Row],[ordered_units]]*ReconciliationData[[#This Row],[List_Price]]</f>
        <v>59036.875799999994</v>
      </c>
      <c r="Z635">
        <f>ReconciliationData[[#This Row],[billed_revenue]]-ReconciliationData[[#This Row],[expected_revenue]]</f>
        <v>0</v>
      </c>
      <c r="AA6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5" t="str">
        <f>IF(ReconciliationData[[#This Row],[severity_score]]=0,"LOW",
 IF(ReconciliationData[[#This Row],[severity_score]]&lt;=5,"MEDIUM","HIGH"))</f>
        <v>LOW</v>
      </c>
      <c r="AC635" t="str">
        <f>TEXT(ReconciliationData[[#This Row],[Order_Date]],"YYYY-MM")</f>
        <v>2023-04</v>
      </c>
    </row>
    <row r="636" spans="1:29">
      <c r="A636" t="s">
        <v>2115</v>
      </c>
      <c r="B636" s="1">
        <v>45268</v>
      </c>
      <c r="C636" t="s">
        <v>1702</v>
      </c>
      <c r="D636" t="s">
        <v>1171</v>
      </c>
      <c r="E636">
        <v>148</v>
      </c>
      <c r="F636" t="s">
        <v>2116</v>
      </c>
      <c r="G636">
        <v>148</v>
      </c>
      <c r="H636">
        <v>435.57279999999997</v>
      </c>
      <c r="N636">
        <v>435.57279999999997</v>
      </c>
      <c r="O636" s="1">
        <v>45159</v>
      </c>
      <c r="P636">
        <f>IF(ISBLANK(ReconciliationData[[#This Row],[Invoice_ID]]),1,0)</f>
        <v>0</v>
      </c>
      <c r="Q636">
        <f>IF(AND(NOT(ISBLANK(ReconciliationData[[#This Row],[Billed_Units]])),ReconciliationData[[#This Row],[ordered_units]]&lt;&gt;ReconciliationData[[#This Row],[Billed_Units]]),1,0)</f>
        <v>0</v>
      </c>
      <c r="R6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6">
        <f>IF(AND(NOT(ISBLANK(ReconciliationData[[#This Row],[Contract_Price]])),ReconciliationData[[#This Row],[Billed_Price]]&lt;&gt;ReconciliationData[[#This Row],[Contract_Price]]),1,0)</f>
        <v>0</v>
      </c>
      <c r="T636">
        <f>IF(AND(NOT(ISBLANK(ReconciliationData[[#This Row],[End_Date]])),ReconciliationData[[#This Row],[Order_Date]]&gt;ReconciliationData[[#This Row],[End_Date]]),1,0)</f>
        <v>0</v>
      </c>
      <c r="U636">
        <f>IF(AND(NOT(ISBLANK(ReconciliationData[[#This Row],[last_return_date]])),ReconciliationData[[#This Row],[last_return_date]]&gt;ReconciliationData[[#This Row],[Order_Date]]+60),1,0)</f>
        <v>0</v>
      </c>
      <c r="V636">
        <f>IF(ReconciliationData[[#This Row],[total_returned_units]]&gt;ReconciliationData[[#This Row],[ordered_units]],1,0)</f>
        <v>0</v>
      </c>
      <c r="W6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6">
        <f>ReconciliationData[[#This Row],[Billed_Units]]*ReconciliationData[[#This Row],[Billed_Price]]</f>
        <v>64464.774399999995</v>
      </c>
      <c r="Y636">
        <f>ReconciliationData[[#This Row],[ordered_units]]*ReconciliationData[[#This Row],[List_Price]]</f>
        <v>64464.774399999995</v>
      </c>
      <c r="Z636">
        <f>ReconciliationData[[#This Row],[billed_revenue]]-ReconciliationData[[#This Row],[expected_revenue]]</f>
        <v>0</v>
      </c>
      <c r="AA6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6" t="str">
        <f>IF(ReconciliationData[[#This Row],[severity_score]]=0,"LOW",
 IF(ReconciliationData[[#This Row],[severity_score]]&lt;=5,"MEDIUM","HIGH"))</f>
        <v>LOW</v>
      </c>
      <c r="AC636" t="str">
        <f>TEXT(ReconciliationData[[#This Row],[Order_Date]],"YYYY-MM")</f>
        <v>2023-12</v>
      </c>
    </row>
    <row r="637" spans="1:29">
      <c r="A637" t="s">
        <v>2117</v>
      </c>
      <c r="B637" s="1">
        <v>45157</v>
      </c>
      <c r="C637" t="s">
        <v>1552</v>
      </c>
      <c r="D637" t="s">
        <v>923</v>
      </c>
      <c r="E637">
        <v>150</v>
      </c>
      <c r="F637" t="s">
        <v>2118</v>
      </c>
      <c r="G637">
        <v>150</v>
      </c>
      <c r="H637">
        <v>754.20799999999997</v>
      </c>
      <c r="N637">
        <v>754.20799999999997</v>
      </c>
      <c r="O637" s="1">
        <v>45069</v>
      </c>
      <c r="P637">
        <f>IF(ISBLANK(ReconciliationData[[#This Row],[Invoice_ID]]),1,0)</f>
        <v>0</v>
      </c>
      <c r="Q637">
        <f>IF(AND(NOT(ISBLANK(ReconciliationData[[#This Row],[Billed_Units]])),ReconciliationData[[#This Row],[ordered_units]]&lt;&gt;ReconciliationData[[#This Row],[Billed_Units]]),1,0)</f>
        <v>0</v>
      </c>
      <c r="R6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7">
        <f>IF(AND(NOT(ISBLANK(ReconciliationData[[#This Row],[Contract_Price]])),ReconciliationData[[#This Row],[Billed_Price]]&lt;&gt;ReconciliationData[[#This Row],[Contract_Price]]),1,0)</f>
        <v>0</v>
      </c>
      <c r="T637">
        <f>IF(AND(NOT(ISBLANK(ReconciliationData[[#This Row],[End_Date]])),ReconciliationData[[#This Row],[Order_Date]]&gt;ReconciliationData[[#This Row],[End_Date]]),1,0)</f>
        <v>0</v>
      </c>
      <c r="U637">
        <f>IF(AND(NOT(ISBLANK(ReconciliationData[[#This Row],[last_return_date]])),ReconciliationData[[#This Row],[last_return_date]]&gt;ReconciliationData[[#This Row],[Order_Date]]+60),1,0)</f>
        <v>0</v>
      </c>
      <c r="V637">
        <f>IF(ReconciliationData[[#This Row],[total_returned_units]]&gt;ReconciliationData[[#This Row],[ordered_units]],1,0)</f>
        <v>0</v>
      </c>
      <c r="W6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7">
        <f>ReconciliationData[[#This Row],[Billed_Units]]*ReconciliationData[[#This Row],[Billed_Price]]</f>
        <v>113131.2</v>
      </c>
      <c r="Y637">
        <f>ReconciliationData[[#This Row],[ordered_units]]*ReconciliationData[[#This Row],[List_Price]]</f>
        <v>113131.2</v>
      </c>
      <c r="Z637">
        <f>ReconciliationData[[#This Row],[billed_revenue]]-ReconciliationData[[#This Row],[expected_revenue]]</f>
        <v>0</v>
      </c>
      <c r="AA6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7" t="str">
        <f>IF(ReconciliationData[[#This Row],[severity_score]]=0,"LOW",
 IF(ReconciliationData[[#This Row],[severity_score]]&lt;=5,"MEDIUM","HIGH"))</f>
        <v>LOW</v>
      </c>
      <c r="AC637" t="str">
        <f>TEXT(ReconciliationData[[#This Row],[Order_Date]],"YYYY-MM")</f>
        <v>2023-08</v>
      </c>
    </row>
    <row r="638" spans="1:29">
      <c r="A638" t="s">
        <v>2119</v>
      </c>
      <c r="B638" s="1">
        <v>45117</v>
      </c>
      <c r="C638" t="s">
        <v>2120</v>
      </c>
      <c r="D638" t="s">
        <v>1671</v>
      </c>
      <c r="E638">
        <v>187</v>
      </c>
      <c r="F638" t="s">
        <v>2121</v>
      </c>
      <c r="G638">
        <v>187</v>
      </c>
      <c r="H638">
        <v>488.43360000000007</v>
      </c>
      <c r="N638">
        <v>488.43360000000007</v>
      </c>
      <c r="O638" s="1">
        <v>45107</v>
      </c>
      <c r="P638">
        <f>IF(ISBLANK(ReconciliationData[[#This Row],[Invoice_ID]]),1,0)</f>
        <v>0</v>
      </c>
      <c r="Q638">
        <f>IF(AND(NOT(ISBLANK(ReconciliationData[[#This Row],[Billed_Units]])),ReconciliationData[[#This Row],[ordered_units]]&lt;&gt;ReconciliationData[[#This Row],[Billed_Units]]),1,0)</f>
        <v>0</v>
      </c>
      <c r="R6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8">
        <f>IF(AND(NOT(ISBLANK(ReconciliationData[[#This Row],[Contract_Price]])),ReconciliationData[[#This Row],[Billed_Price]]&lt;&gt;ReconciliationData[[#This Row],[Contract_Price]]),1,0)</f>
        <v>0</v>
      </c>
      <c r="T638">
        <f>IF(AND(NOT(ISBLANK(ReconciliationData[[#This Row],[End_Date]])),ReconciliationData[[#This Row],[Order_Date]]&gt;ReconciliationData[[#This Row],[End_Date]]),1,0)</f>
        <v>0</v>
      </c>
      <c r="U638">
        <f>IF(AND(NOT(ISBLANK(ReconciliationData[[#This Row],[last_return_date]])),ReconciliationData[[#This Row],[last_return_date]]&gt;ReconciliationData[[#This Row],[Order_Date]]+60),1,0)</f>
        <v>0</v>
      </c>
      <c r="V638">
        <f>IF(ReconciliationData[[#This Row],[total_returned_units]]&gt;ReconciliationData[[#This Row],[ordered_units]],1,0)</f>
        <v>0</v>
      </c>
      <c r="W6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8">
        <f>ReconciliationData[[#This Row],[Billed_Units]]*ReconciliationData[[#This Row],[Billed_Price]]</f>
        <v>91337.083200000008</v>
      </c>
      <c r="Y638">
        <f>ReconciliationData[[#This Row],[ordered_units]]*ReconciliationData[[#This Row],[List_Price]]</f>
        <v>91337.083200000008</v>
      </c>
      <c r="Z638">
        <f>ReconciliationData[[#This Row],[billed_revenue]]-ReconciliationData[[#This Row],[expected_revenue]]</f>
        <v>0</v>
      </c>
      <c r="AA6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8" t="str">
        <f>IF(ReconciliationData[[#This Row],[severity_score]]=0,"LOW",
 IF(ReconciliationData[[#This Row],[severity_score]]&lt;=5,"MEDIUM","HIGH"))</f>
        <v>LOW</v>
      </c>
      <c r="AC638" t="str">
        <f>TEXT(ReconciliationData[[#This Row],[Order_Date]],"YYYY-MM")</f>
        <v>2023-07</v>
      </c>
    </row>
    <row r="639" spans="1:29">
      <c r="A639" t="s">
        <v>2122</v>
      </c>
      <c r="B639" s="1">
        <v>45230</v>
      </c>
      <c r="C639" t="s">
        <v>2123</v>
      </c>
      <c r="D639" t="s">
        <v>1309</v>
      </c>
      <c r="E639">
        <v>100</v>
      </c>
      <c r="F639" t="s">
        <v>2124</v>
      </c>
      <c r="G639">
        <v>100</v>
      </c>
      <c r="H639">
        <v>906.88919999999996</v>
      </c>
      <c r="N639">
        <v>906.88919999999996</v>
      </c>
      <c r="O639" s="1">
        <v>44991</v>
      </c>
      <c r="P639">
        <f>IF(ISBLANK(ReconciliationData[[#This Row],[Invoice_ID]]),1,0)</f>
        <v>0</v>
      </c>
      <c r="Q639">
        <f>IF(AND(NOT(ISBLANK(ReconciliationData[[#This Row],[Billed_Units]])),ReconciliationData[[#This Row],[ordered_units]]&lt;&gt;ReconciliationData[[#This Row],[Billed_Units]]),1,0)</f>
        <v>0</v>
      </c>
      <c r="R6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39">
        <f>IF(AND(NOT(ISBLANK(ReconciliationData[[#This Row],[Contract_Price]])),ReconciliationData[[#This Row],[Billed_Price]]&lt;&gt;ReconciliationData[[#This Row],[Contract_Price]]),1,0)</f>
        <v>0</v>
      </c>
      <c r="T639">
        <f>IF(AND(NOT(ISBLANK(ReconciliationData[[#This Row],[End_Date]])),ReconciliationData[[#This Row],[Order_Date]]&gt;ReconciliationData[[#This Row],[End_Date]]),1,0)</f>
        <v>0</v>
      </c>
      <c r="U639">
        <f>IF(AND(NOT(ISBLANK(ReconciliationData[[#This Row],[last_return_date]])),ReconciliationData[[#This Row],[last_return_date]]&gt;ReconciliationData[[#This Row],[Order_Date]]+60),1,0)</f>
        <v>0</v>
      </c>
      <c r="V639">
        <f>IF(ReconciliationData[[#This Row],[total_returned_units]]&gt;ReconciliationData[[#This Row],[ordered_units]],1,0)</f>
        <v>0</v>
      </c>
      <c r="W6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39">
        <f>ReconciliationData[[#This Row],[Billed_Units]]*ReconciliationData[[#This Row],[Billed_Price]]</f>
        <v>90688.92</v>
      </c>
      <c r="Y639">
        <f>ReconciliationData[[#This Row],[ordered_units]]*ReconciliationData[[#This Row],[List_Price]]</f>
        <v>90688.92</v>
      </c>
      <c r="Z639">
        <f>ReconciliationData[[#This Row],[billed_revenue]]-ReconciliationData[[#This Row],[expected_revenue]]</f>
        <v>0</v>
      </c>
      <c r="AA6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39" t="str">
        <f>IF(ReconciliationData[[#This Row],[severity_score]]=0,"LOW",
 IF(ReconciliationData[[#This Row],[severity_score]]&lt;=5,"MEDIUM","HIGH"))</f>
        <v>LOW</v>
      </c>
      <c r="AC639" t="str">
        <f>TEXT(ReconciliationData[[#This Row],[Order_Date]],"YYYY-MM")</f>
        <v>2023-10</v>
      </c>
    </row>
    <row r="640" spans="1:29">
      <c r="A640" t="s">
        <v>2125</v>
      </c>
      <c r="B640" s="1">
        <v>45353</v>
      </c>
      <c r="C640" t="s">
        <v>2126</v>
      </c>
      <c r="D640" t="s">
        <v>490</v>
      </c>
      <c r="E640">
        <v>51</v>
      </c>
      <c r="F640" t="s">
        <v>2127</v>
      </c>
      <c r="G640">
        <v>51</v>
      </c>
      <c r="H640">
        <v>1157.6343999999999</v>
      </c>
      <c r="N640">
        <v>1157.6343999999999</v>
      </c>
      <c r="O640" s="1">
        <v>44959</v>
      </c>
      <c r="P640">
        <f>IF(ISBLANK(ReconciliationData[[#This Row],[Invoice_ID]]),1,0)</f>
        <v>0</v>
      </c>
      <c r="Q640">
        <f>IF(AND(NOT(ISBLANK(ReconciliationData[[#This Row],[Billed_Units]])),ReconciliationData[[#This Row],[ordered_units]]&lt;&gt;ReconciliationData[[#This Row],[Billed_Units]]),1,0)</f>
        <v>0</v>
      </c>
      <c r="R6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0">
        <f>IF(AND(NOT(ISBLANK(ReconciliationData[[#This Row],[Contract_Price]])),ReconciliationData[[#This Row],[Billed_Price]]&lt;&gt;ReconciliationData[[#This Row],[Contract_Price]]),1,0)</f>
        <v>0</v>
      </c>
      <c r="T640">
        <f>IF(AND(NOT(ISBLANK(ReconciliationData[[#This Row],[End_Date]])),ReconciliationData[[#This Row],[Order_Date]]&gt;ReconciliationData[[#This Row],[End_Date]]),1,0)</f>
        <v>0</v>
      </c>
      <c r="U640">
        <f>IF(AND(NOT(ISBLANK(ReconciliationData[[#This Row],[last_return_date]])),ReconciliationData[[#This Row],[last_return_date]]&gt;ReconciliationData[[#This Row],[Order_Date]]+60),1,0)</f>
        <v>0</v>
      </c>
      <c r="V640">
        <f>IF(ReconciliationData[[#This Row],[total_returned_units]]&gt;ReconciliationData[[#This Row],[ordered_units]],1,0)</f>
        <v>0</v>
      </c>
      <c r="W6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0">
        <f>ReconciliationData[[#This Row],[Billed_Units]]*ReconciliationData[[#This Row],[Billed_Price]]</f>
        <v>59039.354399999997</v>
      </c>
      <c r="Y640">
        <f>ReconciliationData[[#This Row],[ordered_units]]*ReconciliationData[[#This Row],[List_Price]]</f>
        <v>59039.354399999997</v>
      </c>
      <c r="Z640">
        <f>ReconciliationData[[#This Row],[billed_revenue]]-ReconciliationData[[#This Row],[expected_revenue]]</f>
        <v>0</v>
      </c>
      <c r="AA6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0" t="str">
        <f>IF(ReconciliationData[[#This Row],[severity_score]]=0,"LOW",
 IF(ReconciliationData[[#This Row],[severity_score]]&lt;=5,"MEDIUM","HIGH"))</f>
        <v>LOW</v>
      </c>
      <c r="AC640" t="str">
        <f>TEXT(ReconciliationData[[#This Row],[Order_Date]],"YYYY-MM")</f>
        <v>2024-03</v>
      </c>
    </row>
    <row r="641" spans="1:29">
      <c r="A641" t="s">
        <v>2128</v>
      </c>
      <c r="B641" s="1">
        <v>45352</v>
      </c>
      <c r="C641" t="s">
        <v>1505</v>
      </c>
      <c r="D641" t="s">
        <v>891</v>
      </c>
      <c r="E641">
        <v>21</v>
      </c>
      <c r="F641" t="s">
        <v>2129</v>
      </c>
      <c r="G641">
        <v>21</v>
      </c>
      <c r="H641">
        <v>680.30940000000021</v>
      </c>
      <c r="N641">
        <v>680.30940000000021</v>
      </c>
      <c r="O641" s="1">
        <v>44934</v>
      </c>
      <c r="P641">
        <f>IF(ISBLANK(ReconciliationData[[#This Row],[Invoice_ID]]),1,0)</f>
        <v>0</v>
      </c>
      <c r="Q641">
        <f>IF(AND(NOT(ISBLANK(ReconciliationData[[#This Row],[Billed_Units]])),ReconciliationData[[#This Row],[ordered_units]]&lt;&gt;ReconciliationData[[#This Row],[Billed_Units]]),1,0)</f>
        <v>0</v>
      </c>
      <c r="R6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1">
        <f>IF(AND(NOT(ISBLANK(ReconciliationData[[#This Row],[Contract_Price]])),ReconciliationData[[#This Row],[Billed_Price]]&lt;&gt;ReconciliationData[[#This Row],[Contract_Price]]),1,0)</f>
        <v>0</v>
      </c>
      <c r="T641">
        <f>IF(AND(NOT(ISBLANK(ReconciliationData[[#This Row],[End_Date]])),ReconciliationData[[#This Row],[Order_Date]]&gt;ReconciliationData[[#This Row],[End_Date]]),1,0)</f>
        <v>0</v>
      </c>
      <c r="U641">
        <f>IF(AND(NOT(ISBLANK(ReconciliationData[[#This Row],[last_return_date]])),ReconciliationData[[#This Row],[last_return_date]]&gt;ReconciliationData[[#This Row],[Order_Date]]+60),1,0)</f>
        <v>0</v>
      </c>
      <c r="V641">
        <f>IF(ReconciliationData[[#This Row],[total_returned_units]]&gt;ReconciliationData[[#This Row],[ordered_units]],1,0)</f>
        <v>0</v>
      </c>
      <c r="W6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1">
        <f>ReconciliationData[[#This Row],[Billed_Units]]*ReconciliationData[[#This Row],[Billed_Price]]</f>
        <v>14286.497400000004</v>
      </c>
      <c r="Y641">
        <f>ReconciliationData[[#This Row],[ordered_units]]*ReconciliationData[[#This Row],[List_Price]]</f>
        <v>14286.497400000004</v>
      </c>
      <c r="Z641">
        <f>ReconciliationData[[#This Row],[billed_revenue]]-ReconciliationData[[#This Row],[expected_revenue]]</f>
        <v>0</v>
      </c>
      <c r="AA6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1" t="str">
        <f>IF(ReconciliationData[[#This Row],[severity_score]]=0,"LOW",
 IF(ReconciliationData[[#This Row],[severity_score]]&lt;=5,"MEDIUM","HIGH"))</f>
        <v>LOW</v>
      </c>
      <c r="AC641" t="str">
        <f>TEXT(ReconciliationData[[#This Row],[Order_Date]],"YYYY-MM")</f>
        <v>2024-03</v>
      </c>
    </row>
    <row r="642" spans="1:29">
      <c r="A642" t="s">
        <v>2130</v>
      </c>
      <c r="B642" s="1">
        <v>45131</v>
      </c>
      <c r="C642" t="s">
        <v>2131</v>
      </c>
      <c r="D642" t="s">
        <v>445</v>
      </c>
      <c r="E642">
        <v>75</v>
      </c>
      <c r="F642" t="s">
        <v>2132</v>
      </c>
      <c r="G642">
        <v>75</v>
      </c>
      <c r="H642">
        <v>791.35360000000003</v>
      </c>
      <c r="N642">
        <v>791.35360000000003</v>
      </c>
      <c r="O642" s="1">
        <v>45097</v>
      </c>
      <c r="P642">
        <f>IF(ISBLANK(ReconciliationData[[#This Row],[Invoice_ID]]),1,0)</f>
        <v>0</v>
      </c>
      <c r="Q642">
        <f>IF(AND(NOT(ISBLANK(ReconciliationData[[#This Row],[Billed_Units]])),ReconciliationData[[#This Row],[ordered_units]]&lt;&gt;ReconciliationData[[#This Row],[Billed_Units]]),1,0)</f>
        <v>0</v>
      </c>
      <c r="R6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2">
        <f>IF(AND(NOT(ISBLANK(ReconciliationData[[#This Row],[Contract_Price]])),ReconciliationData[[#This Row],[Billed_Price]]&lt;&gt;ReconciliationData[[#This Row],[Contract_Price]]),1,0)</f>
        <v>0</v>
      </c>
      <c r="T642">
        <f>IF(AND(NOT(ISBLANK(ReconciliationData[[#This Row],[End_Date]])),ReconciliationData[[#This Row],[Order_Date]]&gt;ReconciliationData[[#This Row],[End_Date]]),1,0)</f>
        <v>0</v>
      </c>
      <c r="U642">
        <f>IF(AND(NOT(ISBLANK(ReconciliationData[[#This Row],[last_return_date]])),ReconciliationData[[#This Row],[last_return_date]]&gt;ReconciliationData[[#This Row],[Order_Date]]+60),1,0)</f>
        <v>0</v>
      </c>
      <c r="V642">
        <f>IF(ReconciliationData[[#This Row],[total_returned_units]]&gt;ReconciliationData[[#This Row],[ordered_units]],1,0)</f>
        <v>0</v>
      </c>
      <c r="W6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2">
        <f>ReconciliationData[[#This Row],[Billed_Units]]*ReconciliationData[[#This Row],[Billed_Price]]</f>
        <v>59351.520000000004</v>
      </c>
      <c r="Y642">
        <f>ReconciliationData[[#This Row],[ordered_units]]*ReconciliationData[[#This Row],[List_Price]]</f>
        <v>59351.520000000004</v>
      </c>
      <c r="Z642">
        <f>ReconciliationData[[#This Row],[billed_revenue]]-ReconciliationData[[#This Row],[expected_revenue]]</f>
        <v>0</v>
      </c>
      <c r="AA6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2" t="str">
        <f>IF(ReconciliationData[[#This Row],[severity_score]]=0,"LOW",
 IF(ReconciliationData[[#This Row],[severity_score]]&lt;=5,"MEDIUM","HIGH"))</f>
        <v>LOW</v>
      </c>
      <c r="AC642" t="str">
        <f>TEXT(ReconciliationData[[#This Row],[Order_Date]],"YYYY-MM")</f>
        <v>2023-07</v>
      </c>
    </row>
    <row r="643" spans="1:29">
      <c r="A643" t="s">
        <v>2133</v>
      </c>
      <c r="B643" s="1">
        <v>45115</v>
      </c>
      <c r="C643" t="s">
        <v>2134</v>
      </c>
      <c r="D643" t="s">
        <v>263</v>
      </c>
      <c r="E643">
        <v>82</v>
      </c>
      <c r="F643" t="s">
        <v>2135</v>
      </c>
      <c r="G643">
        <v>82</v>
      </c>
      <c r="H643">
        <v>1147.3289</v>
      </c>
      <c r="N643">
        <v>1147.3289</v>
      </c>
      <c r="O643" s="1">
        <v>44945</v>
      </c>
      <c r="P643">
        <f>IF(ISBLANK(ReconciliationData[[#This Row],[Invoice_ID]]),1,0)</f>
        <v>0</v>
      </c>
      <c r="Q643">
        <f>IF(AND(NOT(ISBLANK(ReconciliationData[[#This Row],[Billed_Units]])),ReconciliationData[[#This Row],[ordered_units]]&lt;&gt;ReconciliationData[[#This Row],[Billed_Units]]),1,0)</f>
        <v>0</v>
      </c>
      <c r="R6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3">
        <f>IF(AND(NOT(ISBLANK(ReconciliationData[[#This Row],[Contract_Price]])),ReconciliationData[[#This Row],[Billed_Price]]&lt;&gt;ReconciliationData[[#This Row],[Contract_Price]]),1,0)</f>
        <v>0</v>
      </c>
      <c r="T643">
        <f>IF(AND(NOT(ISBLANK(ReconciliationData[[#This Row],[End_Date]])),ReconciliationData[[#This Row],[Order_Date]]&gt;ReconciliationData[[#This Row],[End_Date]]),1,0)</f>
        <v>0</v>
      </c>
      <c r="U643">
        <f>IF(AND(NOT(ISBLANK(ReconciliationData[[#This Row],[last_return_date]])),ReconciliationData[[#This Row],[last_return_date]]&gt;ReconciliationData[[#This Row],[Order_Date]]+60),1,0)</f>
        <v>0</v>
      </c>
      <c r="V643">
        <f>IF(ReconciliationData[[#This Row],[total_returned_units]]&gt;ReconciliationData[[#This Row],[ordered_units]],1,0)</f>
        <v>0</v>
      </c>
      <c r="W6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3">
        <f>ReconciliationData[[#This Row],[Billed_Units]]*ReconciliationData[[#This Row],[Billed_Price]]</f>
        <v>94080.969799999992</v>
      </c>
      <c r="Y643">
        <f>ReconciliationData[[#This Row],[ordered_units]]*ReconciliationData[[#This Row],[List_Price]]</f>
        <v>94080.969799999992</v>
      </c>
      <c r="Z643">
        <f>ReconciliationData[[#This Row],[billed_revenue]]-ReconciliationData[[#This Row],[expected_revenue]]</f>
        <v>0</v>
      </c>
      <c r="AA6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3" t="str">
        <f>IF(ReconciliationData[[#This Row],[severity_score]]=0,"LOW",
 IF(ReconciliationData[[#This Row],[severity_score]]&lt;=5,"MEDIUM","HIGH"))</f>
        <v>LOW</v>
      </c>
      <c r="AC643" t="str">
        <f>TEXT(ReconciliationData[[#This Row],[Order_Date]],"YYYY-MM")</f>
        <v>2023-07</v>
      </c>
    </row>
    <row r="644" spans="1:29">
      <c r="A644" t="s">
        <v>2136</v>
      </c>
      <c r="B644" s="1">
        <v>45104</v>
      </c>
      <c r="C644" t="s">
        <v>1588</v>
      </c>
      <c r="D644" t="s">
        <v>349</v>
      </c>
      <c r="E644">
        <v>101</v>
      </c>
      <c r="F644" t="s">
        <v>2137</v>
      </c>
      <c r="G644">
        <v>101</v>
      </c>
      <c r="H644">
        <v>63.7194</v>
      </c>
      <c r="N644">
        <v>63.7194</v>
      </c>
      <c r="O644" s="1">
        <v>44867</v>
      </c>
      <c r="P644">
        <f>IF(ISBLANK(ReconciliationData[[#This Row],[Invoice_ID]]),1,0)</f>
        <v>0</v>
      </c>
      <c r="Q644">
        <f>IF(AND(NOT(ISBLANK(ReconciliationData[[#This Row],[Billed_Units]])),ReconciliationData[[#This Row],[ordered_units]]&lt;&gt;ReconciliationData[[#This Row],[Billed_Units]]),1,0)</f>
        <v>0</v>
      </c>
      <c r="R6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4">
        <f>IF(AND(NOT(ISBLANK(ReconciliationData[[#This Row],[Contract_Price]])),ReconciliationData[[#This Row],[Billed_Price]]&lt;&gt;ReconciliationData[[#This Row],[Contract_Price]]),1,0)</f>
        <v>0</v>
      </c>
      <c r="T644">
        <f>IF(AND(NOT(ISBLANK(ReconciliationData[[#This Row],[End_Date]])),ReconciliationData[[#This Row],[Order_Date]]&gt;ReconciliationData[[#This Row],[End_Date]]),1,0)</f>
        <v>0</v>
      </c>
      <c r="U644">
        <f>IF(AND(NOT(ISBLANK(ReconciliationData[[#This Row],[last_return_date]])),ReconciliationData[[#This Row],[last_return_date]]&gt;ReconciliationData[[#This Row],[Order_Date]]+60),1,0)</f>
        <v>0</v>
      </c>
      <c r="V644">
        <f>IF(ReconciliationData[[#This Row],[total_returned_units]]&gt;ReconciliationData[[#This Row],[ordered_units]],1,0)</f>
        <v>0</v>
      </c>
      <c r="W6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4">
        <f>ReconciliationData[[#This Row],[Billed_Units]]*ReconciliationData[[#This Row],[Billed_Price]]</f>
        <v>6435.6594000000005</v>
      </c>
      <c r="Y644">
        <f>ReconciliationData[[#This Row],[ordered_units]]*ReconciliationData[[#This Row],[List_Price]]</f>
        <v>6435.6594000000005</v>
      </c>
      <c r="Z644">
        <f>ReconciliationData[[#This Row],[billed_revenue]]-ReconciliationData[[#This Row],[expected_revenue]]</f>
        <v>0</v>
      </c>
      <c r="AA6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4" t="str">
        <f>IF(ReconciliationData[[#This Row],[severity_score]]=0,"LOW",
 IF(ReconciliationData[[#This Row],[severity_score]]&lt;=5,"MEDIUM","HIGH"))</f>
        <v>LOW</v>
      </c>
      <c r="AC644" t="str">
        <f>TEXT(ReconciliationData[[#This Row],[Order_Date]],"YYYY-MM")</f>
        <v>2023-06</v>
      </c>
    </row>
    <row r="645" spans="1:29">
      <c r="A645" t="s">
        <v>2138</v>
      </c>
      <c r="B645" s="1">
        <v>45601</v>
      </c>
      <c r="C645" t="s">
        <v>145</v>
      </c>
      <c r="D645" t="s">
        <v>1525</v>
      </c>
      <c r="E645">
        <v>197</v>
      </c>
      <c r="F645" t="s">
        <v>2139</v>
      </c>
      <c r="G645">
        <v>197</v>
      </c>
      <c r="H645">
        <v>1067.6925000000001</v>
      </c>
      <c r="N645">
        <v>1067.6925000000001</v>
      </c>
      <c r="O645" s="1">
        <v>44999</v>
      </c>
      <c r="P645">
        <f>IF(ISBLANK(ReconciliationData[[#This Row],[Invoice_ID]]),1,0)</f>
        <v>0</v>
      </c>
      <c r="Q645">
        <f>IF(AND(NOT(ISBLANK(ReconciliationData[[#This Row],[Billed_Units]])),ReconciliationData[[#This Row],[ordered_units]]&lt;&gt;ReconciliationData[[#This Row],[Billed_Units]]),1,0)</f>
        <v>0</v>
      </c>
      <c r="R6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5">
        <f>IF(AND(NOT(ISBLANK(ReconciliationData[[#This Row],[Contract_Price]])),ReconciliationData[[#This Row],[Billed_Price]]&lt;&gt;ReconciliationData[[#This Row],[Contract_Price]]),1,0)</f>
        <v>0</v>
      </c>
      <c r="T645">
        <f>IF(AND(NOT(ISBLANK(ReconciliationData[[#This Row],[End_Date]])),ReconciliationData[[#This Row],[Order_Date]]&gt;ReconciliationData[[#This Row],[End_Date]]),1,0)</f>
        <v>0</v>
      </c>
      <c r="U645">
        <f>IF(AND(NOT(ISBLANK(ReconciliationData[[#This Row],[last_return_date]])),ReconciliationData[[#This Row],[last_return_date]]&gt;ReconciliationData[[#This Row],[Order_Date]]+60),1,0)</f>
        <v>0</v>
      </c>
      <c r="V645">
        <f>IF(ReconciliationData[[#This Row],[total_returned_units]]&gt;ReconciliationData[[#This Row],[ordered_units]],1,0)</f>
        <v>0</v>
      </c>
      <c r="W6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5">
        <f>ReconciliationData[[#This Row],[Billed_Units]]*ReconciliationData[[#This Row],[Billed_Price]]</f>
        <v>210335.42250000002</v>
      </c>
      <c r="Y645">
        <f>ReconciliationData[[#This Row],[ordered_units]]*ReconciliationData[[#This Row],[List_Price]]</f>
        <v>210335.42250000002</v>
      </c>
      <c r="Z645">
        <f>ReconciliationData[[#This Row],[billed_revenue]]-ReconciliationData[[#This Row],[expected_revenue]]</f>
        <v>0</v>
      </c>
      <c r="AA6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5" t="str">
        <f>IF(ReconciliationData[[#This Row],[severity_score]]=0,"LOW",
 IF(ReconciliationData[[#This Row],[severity_score]]&lt;=5,"MEDIUM","HIGH"))</f>
        <v>LOW</v>
      </c>
      <c r="AC645" t="str">
        <f>TEXT(ReconciliationData[[#This Row],[Order_Date]],"YYYY-MM")</f>
        <v>2024-11</v>
      </c>
    </row>
    <row r="646" spans="1:29">
      <c r="A646" t="s">
        <v>2140</v>
      </c>
      <c r="B646" s="1">
        <v>45200</v>
      </c>
      <c r="C646" t="s">
        <v>584</v>
      </c>
      <c r="D646" t="s">
        <v>639</v>
      </c>
      <c r="E646">
        <v>172</v>
      </c>
      <c r="F646" t="s">
        <v>2141</v>
      </c>
      <c r="G646">
        <v>172</v>
      </c>
      <c r="H646">
        <v>945.38850000000002</v>
      </c>
      <c r="N646">
        <v>945.38850000000002</v>
      </c>
      <c r="O646" s="1">
        <v>45047</v>
      </c>
      <c r="P646">
        <f>IF(ISBLANK(ReconciliationData[[#This Row],[Invoice_ID]]),1,0)</f>
        <v>0</v>
      </c>
      <c r="Q646">
        <f>IF(AND(NOT(ISBLANK(ReconciliationData[[#This Row],[Billed_Units]])),ReconciliationData[[#This Row],[ordered_units]]&lt;&gt;ReconciliationData[[#This Row],[Billed_Units]]),1,0)</f>
        <v>0</v>
      </c>
      <c r="R6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6">
        <f>IF(AND(NOT(ISBLANK(ReconciliationData[[#This Row],[Contract_Price]])),ReconciliationData[[#This Row],[Billed_Price]]&lt;&gt;ReconciliationData[[#This Row],[Contract_Price]]),1,0)</f>
        <v>0</v>
      </c>
      <c r="T646">
        <f>IF(AND(NOT(ISBLANK(ReconciliationData[[#This Row],[End_Date]])),ReconciliationData[[#This Row],[Order_Date]]&gt;ReconciliationData[[#This Row],[End_Date]]),1,0)</f>
        <v>0</v>
      </c>
      <c r="U646">
        <f>IF(AND(NOT(ISBLANK(ReconciliationData[[#This Row],[last_return_date]])),ReconciliationData[[#This Row],[last_return_date]]&gt;ReconciliationData[[#This Row],[Order_Date]]+60),1,0)</f>
        <v>0</v>
      </c>
      <c r="V646">
        <f>IF(ReconciliationData[[#This Row],[total_returned_units]]&gt;ReconciliationData[[#This Row],[ordered_units]],1,0)</f>
        <v>0</v>
      </c>
      <c r="W6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6">
        <f>ReconciliationData[[#This Row],[Billed_Units]]*ReconciliationData[[#This Row],[Billed_Price]]</f>
        <v>162606.82200000001</v>
      </c>
      <c r="Y646">
        <f>ReconciliationData[[#This Row],[ordered_units]]*ReconciliationData[[#This Row],[List_Price]]</f>
        <v>162606.82200000001</v>
      </c>
      <c r="Z646">
        <f>ReconciliationData[[#This Row],[billed_revenue]]-ReconciliationData[[#This Row],[expected_revenue]]</f>
        <v>0</v>
      </c>
      <c r="AA6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6" t="str">
        <f>IF(ReconciliationData[[#This Row],[severity_score]]=0,"LOW",
 IF(ReconciliationData[[#This Row],[severity_score]]&lt;=5,"MEDIUM","HIGH"))</f>
        <v>LOW</v>
      </c>
      <c r="AC646" t="str">
        <f>TEXT(ReconciliationData[[#This Row],[Order_Date]],"YYYY-MM")</f>
        <v>2023-10</v>
      </c>
    </row>
    <row r="647" spans="1:29">
      <c r="A647" t="s">
        <v>2142</v>
      </c>
      <c r="B647" s="1">
        <v>45185</v>
      </c>
      <c r="C647" t="s">
        <v>2143</v>
      </c>
      <c r="D647" t="s">
        <v>231</v>
      </c>
      <c r="E647">
        <v>115</v>
      </c>
      <c r="F647" t="s">
        <v>2144</v>
      </c>
      <c r="G647">
        <v>115</v>
      </c>
      <c r="H647">
        <v>77.398200000000003</v>
      </c>
      <c r="N647">
        <v>77.398200000000003</v>
      </c>
      <c r="O647" s="1">
        <v>45032</v>
      </c>
      <c r="P647">
        <f>IF(ISBLANK(ReconciliationData[[#This Row],[Invoice_ID]]),1,0)</f>
        <v>0</v>
      </c>
      <c r="Q647">
        <f>IF(AND(NOT(ISBLANK(ReconciliationData[[#This Row],[Billed_Units]])),ReconciliationData[[#This Row],[ordered_units]]&lt;&gt;ReconciliationData[[#This Row],[Billed_Units]]),1,0)</f>
        <v>0</v>
      </c>
      <c r="R6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7">
        <f>IF(AND(NOT(ISBLANK(ReconciliationData[[#This Row],[Contract_Price]])),ReconciliationData[[#This Row],[Billed_Price]]&lt;&gt;ReconciliationData[[#This Row],[Contract_Price]]),1,0)</f>
        <v>0</v>
      </c>
      <c r="T647">
        <f>IF(AND(NOT(ISBLANK(ReconciliationData[[#This Row],[End_Date]])),ReconciliationData[[#This Row],[Order_Date]]&gt;ReconciliationData[[#This Row],[End_Date]]),1,0)</f>
        <v>0</v>
      </c>
      <c r="U647">
        <f>IF(AND(NOT(ISBLANK(ReconciliationData[[#This Row],[last_return_date]])),ReconciliationData[[#This Row],[last_return_date]]&gt;ReconciliationData[[#This Row],[Order_Date]]+60),1,0)</f>
        <v>0</v>
      </c>
      <c r="V647">
        <f>IF(ReconciliationData[[#This Row],[total_returned_units]]&gt;ReconciliationData[[#This Row],[ordered_units]],1,0)</f>
        <v>0</v>
      </c>
      <c r="W6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7">
        <f>ReconciliationData[[#This Row],[Billed_Units]]*ReconciliationData[[#This Row],[Billed_Price]]</f>
        <v>8900.7929999999997</v>
      </c>
      <c r="Y647">
        <f>ReconciliationData[[#This Row],[ordered_units]]*ReconciliationData[[#This Row],[List_Price]]</f>
        <v>8900.7929999999997</v>
      </c>
      <c r="Z647">
        <f>ReconciliationData[[#This Row],[billed_revenue]]-ReconciliationData[[#This Row],[expected_revenue]]</f>
        <v>0</v>
      </c>
      <c r="AA6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7" t="str">
        <f>IF(ReconciliationData[[#This Row],[severity_score]]=0,"LOW",
 IF(ReconciliationData[[#This Row],[severity_score]]&lt;=5,"MEDIUM","HIGH"))</f>
        <v>LOW</v>
      </c>
      <c r="AC647" t="str">
        <f>TEXT(ReconciliationData[[#This Row],[Order_Date]],"YYYY-MM")</f>
        <v>2023-09</v>
      </c>
    </row>
    <row r="648" spans="1:29">
      <c r="A648" t="s">
        <v>2145</v>
      </c>
      <c r="B648" s="1">
        <v>45551</v>
      </c>
      <c r="C648" t="s">
        <v>521</v>
      </c>
      <c r="D648" t="s">
        <v>1285</v>
      </c>
      <c r="E648">
        <v>99</v>
      </c>
      <c r="F648" t="s">
        <v>2146</v>
      </c>
      <c r="G648">
        <v>99</v>
      </c>
      <c r="H648">
        <v>415.8877</v>
      </c>
      <c r="N648">
        <v>415.8877</v>
      </c>
      <c r="O648" s="1">
        <v>45146</v>
      </c>
      <c r="P648">
        <f>IF(ISBLANK(ReconciliationData[[#This Row],[Invoice_ID]]),1,0)</f>
        <v>0</v>
      </c>
      <c r="Q648">
        <f>IF(AND(NOT(ISBLANK(ReconciliationData[[#This Row],[Billed_Units]])),ReconciliationData[[#This Row],[ordered_units]]&lt;&gt;ReconciliationData[[#This Row],[Billed_Units]]),1,0)</f>
        <v>0</v>
      </c>
      <c r="R6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8">
        <f>IF(AND(NOT(ISBLANK(ReconciliationData[[#This Row],[Contract_Price]])),ReconciliationData[[#This Row],[Billed_Price]]&lt;&gt;ReconciliationData[[#This Row],[Contract_Price]]),1,0)</f>
        <v>0</v>
      </c>
      <c r="T648">
        <f>IF(AND(NOT(ISBLANK(ReconciliationData[[#This Row],[End_Date]])),ReconciliationData[[#This Row],[Order_Date]]&gt;ReconciliationData[[#This Row],[End_Date]]),1,0)</f>
        <v>0</v>
      </c>
      <c r="U648">
        <f>IF(AND(NOT(ISBLANK(ReconciliationData[[#This Row],[last_return_date]])),ReconciliationData[[#This Row],[last_return_date]]&gt;ReconciliationData[[#This Row],[Order_Date]]+60),1,0)</f>
        <v>0</v>
      </c>
      <c r="V648">
        <f>IF(ReconciliationData[[#This Row],[total_returned_units]]&gt;ReconciliationData[[#This Row],[ordered_units]],1,0)</f>
        <v>0</v>
      </c>
      <c r="W6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8">
        <f>ReconciliationData[[#This Row],[Billed_Units]]*ReconciliationData[[#This Row],[Billed_Price]]</f>
        <v>41172.882299999997</v>
      </c>
      <c r="Y648">
        <f>ReconciliationData[[#This Row],[ordered_units]]*ReconciliationData[[#This Row],[List_Price]]</f>
        <v>41172.882299999997</v>
      </c>
      <c r="Z648">
        <f>ReconciliationData[[#This Row],[billed_revenue]]-ReconciliationData[[#This Row],[expected_revenue]]</f>
        <v>0</v>
      </c>
      <c r="AA6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8" t="str">
        <f>IF(ReconciliationData[[#This Row],[severity_score]]=0,"LOW",
 IF(ReconciliationData[[#This Row],[severity_score]]&lt;=5,"MEDIUM","HIGH"))</f>
        <v>LOW</v>
      </c>
      <c r="AC648" t="str">
        <f>TEXT(ReconciliationData[[#This Row],[Order_Date]],"YYYY-MM")</f>
        <v>2024-09</v>
      </c>
    </row>
    <row r="649" spans="1:29">
      <c r="A649" t="s">
        <v>2147</v>
      </c>
      <c r="B649" s="1">
        <v>45562</v>
      </c>
      <c r="C649" t="s">
        <v>1925</v>
      </c>
      <c r="D649" t="s">
        <v>891</v>
      </c>
      <c r="E649">
        <v>35</v>
      </c>
      <c r="F649" t="s">
        <v>2148</v>
      </c>
      <c r="G649">
        <v>35</v>
      </c>
      <c r="H649">
        <v>680.30940000000021</v>
      </c>
      <c r="N649">
        <v>680.30940000000021</v>
      </c>
      <c r="O649" s="1">
        <v>44934</v>
      </c>
      <c r="P649">
        <f>IF(ISBLANK(ReconciliationData[[#This Row],[Invoice_ID]]),1,0)</f>
        <v>0</v>
      </c>
      <c r="Q649">
        <f>IF(AND(NOT(ISBLANK(ReconciliationData[[#This Row],[Billed_Units]])),ReconciliationData[[#This Row],[ordered_units]]&lt;&gt;ReconciliationData[[#This Row],[Billed_Units]]),1,0)</f>
        <v>0</v>
      </c>
      <c r="R6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49">
        <f>IF(AND(NOT(ISBLANK(ReconciliationData[[#This Row],[Contract_Price]])),ReconciliationData[[#This Row],[Billed_Price]]&lt;&gt;ReconciliationData[[#This Row],[Contract_Price]]),1,0)</f>
        <v>0</v>
      </c>
      <c r="T649">
        <f>IF(AND(NOT(ISBLANK(ReconciliationData[[#This Row],[End_Date]])),ReconciliationData[[#This Row],[Order_Date]]&gt;ReconciliationData[[#This Row],[End_Date]]),1,0)</f>
        <v>0</v>
      </c>
      <c r="U649">
        <f>IF(AND(NOT(ISBLANK(ReconciliationData[[#This Row],[last_return_date]])),ReconciliationData[[#This Row],[last_return_date]]&gt;ReconciliationData[[#This Row],[Order_Date]]+60),1,0)</f>
        <v>0</v>
      </c>
      <c r="V649">
        <f>IF(ReconciliationData[[#This Row],[total_returned_units]]&gt;ReconciliationData[[#This Row],[ordered_units]],1,0)</f>
        <v>0</v>
      </c>
      <c r="W6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49">
        <f>ReconciliationData[[#This Row],[Billed_Units]]*ReconciliationData[[#This Row],[Billed_Price]]</f>
        <v>23810.829000000009</v>
      </c>
      <c r="Y649">
        <f>ReconciliationData[[#This Row],[ordered_units]]*ReconciliationData[[#This Row],[List_Price]]</f>
        <v>23810.829000000009</v>
      </c>
      <c r="Z649">
        <f>ReconciliationData[[#This Row],[billed_revenue]]-ReconciliationData[[#This Row],[expected_revenue]]</f>
        <v>0</v>
      </c>
      <c r="AA6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49" t="str">
        <f>IF(ReconciliationData[[#This Row],[severity_score]]=0,"LOW",
 IF(ReconciliationData[[#This Row],[severity_score]]&lt;=5,"MEDIUM","HIGH"))</f>
        <v>LOW</v>
      </c>
      <c r="AC649" t="str">
        <f>TEXT(ReconciliationData[[#This Row],[Order_Date]],"YYYY-MM")</f>
        <v>2024-09</v>
      </c>
    </row>
    <row r="650" spans="1:29">
      <c r="A650" t="s">
        <v>2149</v>
      </c>
      <c r="B650" s="1">
        <v>45474</v>
      </c>
      <c r="C650" t="s">
        <v>2104</v>
      </c>
      <c r="D650" t="s">
        <v>381</v>
      </c>
      <c r="E650">
        <v>105</v>
      </c>
      <c r="F650" t="s">
        <v>2150</v>
      </c>
      <c r="G650">
        <v>105</v>
      </c>
      <c r="H650">
        <v>942.54840000000013</v>
      </c>
      <c r="N650">
        <v>942.54840000000013</v>
      </c>
      <c r="O650" s="1">
        <v>45086</v>
      </c>
      <c r="P650">
        <f>IF(ISBLANK(ReconciliationData[[#This Row],[Invoice_ID]]),1,0)</f>
        <v>0</v>
      </c>
      <c r="Q650">
        <f>IF(AND(NOT(ISBLANK(ReconciliationData[[#This Row],[Billed_Units]])),ReconciliationData[[#This Row],[ordered_units]]&lt;&gt;ReconciliationData[[#This Row],[Billed_Units]]),1,0)</f>
        <v>0</v>
      </c>
      <c r="R6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0">
        <f>IF(AND(NOT(ISBLANK(ReconciliationData[[#This Row],[Contract_Price]])),ReconciliationData[[#This Row],[Billed_Price]]&lt;&gt;ReconciliationData[[#This Row],[Contract_Price]]),1,0)</f>
        <v>0</v>
      </c>
      <c r="T650">
        <f>IF(AND(NOT(ISBLANK(ReconciliationData[[#This Row],[End_Date]])),ReconciliationData[[#This Row],[Order_Date]]&gt;ReconciliationData[[#This Row],[End_Date]]),1,0)</f>
        <v>0</v>
      </c>
      <c r="U650">
        <f>IF(AND(NOT(ISBLANK(ReconciliationData[[#This Row],[last_return_date]])),ReconciliationData[[#This Row],[last_return_date]]&gt;ReconciliationData[[#This Row],[Order_Date]]+60),1,0)</f>
        <v>0</v>
      </c>
      <c r="V650">
        <f>IF(ReconciliationData[[#This Row],[total_returned_units]]&gt;ReconciliationData[[#This Row],[ordered_units]],1,0)</f>
        <v>0</v>
      </c>
      <c r="W6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0">
        <f>ReconciliationData[[#This Row],[Billed_Units]]*ReconciliationData[[#This Row],[Billed_Price]]</f>
        <v>98967.582000000009</v>
      </c>
      <c r="Y650">
        <f>ReconciliationData[[#This Row],[ordered_units]]*ReconciliationData[[#This Row],[List_Price]]</f>
        <v>98967.582000000009</v>
      </c>
      <c r="Z650">
        <f>ReconciliationData[[#This Row],[billed_revenue]]-ReconciliationData[[#This Row],[expected_revenue]]</f>
        <v>0</v>
      </c>
      <c r="AA6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0" t="str">
        <f>IF(ReconciliationData[[#This Row],[severity_score]]=0,"LOW",
 IF(ReconciliationData[[#This Row],[severity_score]]&lt;=5,"MEDIUM","HIGH"))</f>
        <v>LOW</v>
      </c>
      <c r="AC650" t="str">
        <f>TEXT(ReconciliationData[[#This Row],[Order_Date]],"YYYY-MM")</f>
        <v>2024-07</v>
      </c>
    </row>
    <row r="651" spans="1:29">
      <c r="A651" t="s">
        <v>2151</v>
      </c>
      <c r="B651" s="1">
        <v>45155</v>
      </c>
      <c r="C651" t="s">
        <v>2152</v>
      </c>
      <c r="D651" t="s">
        <v>1171</v>
      </c>
      <c r="E651">
        <v>92</v>
      </c>
      <c r="F651" t="s">
        <v>2153</v>
      </c>
      <c r="G651">
        <v>92</v>
      </c>
      <c r="H651">
        <v>452.32560000000001</v>
      </c>
      <c r="I651">
        <v>5</v>
      </c>
      <c r="J651" s="1">
        <v>45018</v>
      </c>
      <c r="N651">
        <v>452.32560000000001</v>
      </c>
      <c r="O651" s="1">
        <v>44883</v>
      </c>
      <c r="P651">
        <f>IF(ISBLANK(ReconciliationData[[#This Row],[Invoice_ID]]),1,0)</f>
        <v>0</v>
      </c>
      <c r="Q651">
        <f>IF(AND(NOT(ISBLANK(ReconciliationData[[#This Row],[Billed_Units]])),ReconciliationData[[#This Row],[ordered_units]]&lt;&gt;ReconciliationData[[#This Row],[Billed_Units]]),1,0)</f>
        <v>0</v>
      </c>
      <c r="R6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1">
        <f>IF(AND(NOT(ISBLANK(ReconciliationData[[#This Row],[Contract_Price]])),ReconciliationData[[#This Row],[Billed_Price]]&lt;&gt;ReconciliationData[[#This Row],[Contract_Price]]),1,0)</f>
        <v>0</v>
      </c>
      <c r="T651">
        <f>IF(AND(NOT(ISBLANK(ReconciliationData[[#This Row],[End_Date]])),ReconciliationData[[#This Row],[Order_Date]]&gt;ReconciliationData[[#This Row],[End_Date]]),1,0)</f>
        <v>0</v>
      </c>
      <c r="U651">
        <f>IF(AND(NOT(ISBLANK(ReconciliationData[[#This Row],[last_return_date]])),ReconciliationData[[#This Row],[last_return_date]]&gt;ReconciliationData[[#This Row],[Order_Date]]+60),1,0)</f>
        <v>0</v>
      </c>
      <c r="V651">
        <f>IF(ReconciliationData[[#This Row],[total_returned_units]]&gt;ReconciliationData[[#This Row],[ordered_units]],1,0)</f>
        <v>0</v>
      </c>
      <c r="W6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1">
        <f>ReconciliationData[[#This Row],[Billed_Units]]*ReconciliationData[[#This Row],[Billed_Price]]</f>
        <v>41613.955200000004</v>
      </c>
      <c r="Y651">
        <f>ReconciliationData[[#This Row],[ordered_units]]*ReconciliationData[[#This Row],[List_Price]]</f>
        <v>41613.955200000004</v>
      </c>
      <c r="Z651">
        <f>ReconciliationData[[#This Row],[billed_revenue]]-ReconciliationData[[#This Row],[expected_revenue]]</f>
        <v>0</v>
      </c>
      <c r="AA6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1" t="str">
        <f>IF(ReconciliationData[[#This Row],[severity_score]]=0,"LOW",
 IF(ReconciliationData[[#This Row],[severity_score]]&lt;=5,"MEDIUM","HIGH"))</f>
        <v>LOW</v>
      </c>
      <c r="AC651" t="str">
        <f>TEXT(ReconciliationData[[#This Row],[Order_Date]],"YYYY-MM")</f>
        <v>2023-08</v>
      </c>
    </row>
    <row r="652" spans="1:29">
      <c r="A652" t="s">
        <v>2154</v>
      </c>
      <c r="B652" s="1">
        <v>45165</v>
      </c>
      <c r="C652" t="s">
        <v>950</v>
      </c>
      <c r="D652" t="s">
        <v>898</v>
      </c>
      <c r="E652">
        <v>70</v>
      </c>
      <c r="F652" t="s">
        <v>2155</v>
      </c>
      <c r="G652">
        <v>70</v>
      </c>
      <c r="H652">
        <v>744.98490000000004</v>
      </c>
      <c r="N652">
        <v>744.98490000000004</v>
      </c>
      <c r="O652" s="1">
        <v>45138</v>
      </c>
      <c r="P652">
        <f>IF(ISBLANK(ReconciliationData[[#This Row],[Invoice_ID]]),1,0)</f>
        <v>0</v>
      </c>
      <c r="Q652">
        <f>IF(AND(NOT(ISBLANK(ReconciliationData[[#This Row],[Billed_Units]])),ReconciliationData[[#This Row],[ordered_units]]&lt;&gt;ReconciliationData[[#This Row],[Billed_Units]]),1,0)</f>
        <v>0</v>
      </c>
      <c r="R6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2">
        <f>IF(AND(NOT(ISBLANK(ReconciliationData[[#This Row],[Contract_Price]])),ReconciliationData[[#This Row],[Billed_Price]]&lt;&gt;ReconciliationData[[#This Row],[Contract_Price]]),1,0)</f>
        <v>0</v>
      </c>
      <c r="T652">
        <f>IF(AND(NOT(ISBLANK(ReconciliationData[[#This Row],[End_Date]])),ReconciliationData[[#This Row],[Order_Date]]&gt;ReconciliationData[[#This Row],[End_Date]]),1,0)</f>
        <v>0</v>
      </c>
      <c r="U652">
        <f>IF(AND(NOT(ISBLANK(ReconciliationData[[#This Row],[last_return_date]])),ReconciliationData[[#This Row],[last_return_date]]&gt;ReconciliationData[[#This Row],[Order_Date]]+60),1,0)</f>
        <v>0</v>
      </c>
      <c r="V652">
        <f>IF(ReconciliationData[[#This Row],[total_returned_units]]&gt;ReconciliationData[[#This Row],[ordered_units]],1,0)</f>
        <v>0</v>
      </c>
      <c r="W6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2">
        <f>ReconciliationData[[#This Row],[Billed_Units]]*ReconciliationData[[#This Row],[Billed_Price]]</f>
        <v>52148.942999999999</v>
      </c>
      <c r="Y652">
        <f>ReconciliationData[[#This Row],[ordered_units]]*ReconciliationData[[#This Row],[List_Price]]</f>
        <v>52148.942999999999</v>
      </c>
      <c r="Z652">
        <f>ReconciliationData[[#This Row],[billed_revenue]]-ReconciliationData[[#This Row],[expected_revenue]]</f>
        <v>0</v>
      </c>
      <c r="AA6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2" t="str">
        <f>IF(ReconciliationData[[#This Row],[severity_score]]=0,"LOW",
 IF(ReconciliationData[[#This Row],[severity_score]]&lt;=5,"MEDIUM","HIGH"))</f>
        <v>LOW</v>
      </c>
      <c r="AC652" t="str">
        <f>TEXT(ReconciliationData[[#This Row],[Order_Date]],"YYYY-MM")</f>
        <v>2023-08</v>
      </c>
    </row>
    <row r="653" spans="1:29">
      <c r="A653" t="s">
        <v>2156</v>
      </c>
      <c r="B653" s="1">
        <v>45131</v>
      </c>
      <c r="C653" t="s">
        <v>2157</v>
      </c>
      <c r="D653" t="s">
        <v>707</v>
      </c>
      <c r="E653">
        <v>189</v>
      </c>
      <c r="F653" t="s">
        <v>2158</v>
      </c>
      <c r="G653">
        <v>189</v>
      </c>
      <c r="H653">
        <v>381.97550000000001</v>
      </c>
      <c r="N653">
        <v>381.97550000000001</v>
      </c>
      <c r="O653" s="1">
        <v>45065</v>
      </c>
      <c r="P653">
        <f>IF(ISBLANK(ReconciliationData[[#This Row],[Invoice_ID]]),1,0)</f>
        <v>0</v>
      </c>
      <c r="Q653">
        <f>IF(AND(NOT(ISBLANK(ReconciliationData[[#This Row],[Billed_Units]])),ReconciliationData[[#This Row],[ordered_units]]&lt;&gt;ReconciliationData[[#This Row],[Billed_Units]]),1,0)</f>
        <v>0</v>
      </c>
      <c r="R6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3">
        <f>IF(AND(NOT(ISBLANK(ReconciliationData[[#This Row],[Contract_Price]])),ReconciliationData[[#This Row],[Billed_Price]]&lt;&gt;ReconciliationData[[#This Row],[Contract_Price]]),1,0)</f>
        <v>0</v>
      </c>
      <c r="T653">
        <f>IF(AND(NOT(ISBLANK(ReconciliationData[[#This Row],[End_Date]])),ReconciliationData[[#This Row],[Order_Date]]&gt;ReconciliationData[[#This Row],[End_Date]]),1,0)</f>
        <v>0</v>
      </c>
      <c r="U653">
        <f>IF(AND(NOT(ISBLANK(ReconciliationData[[#This Row],[last_return_date]])),ReconciliationData[[#This Row],[last_return_date]]&gt;ReconciliationData[[#This Row],[Order_Date]]+60),1,0)</f>
        <v>0</v>
      </c>
      <c r="V653">
        <f>IF(ReconciliationData[[#This Row],[total_returned_units]]&gt;ReconciliationData[[#This Row],[ordered_units]],1,0)</f>
        <v>0</v>
      </c>
      <c r="W6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3">
        <f>ReconciliationData[[#This Row],[Billed_Units]]*ReconciliationData[[#This Row],[Billed_Price]]</f>
        <v>72193.369500000001</v>
      </c>
      <c r="Y653">
        <f>ReconciliationData[[#This Row],[ordered_units]]*ReconciliationData[[#This Row],[List_Price]]</f>
        <v>72193.369500000001</v>
      </c>
      <c r="Z653">
        <f>ReconciliationData[[#This Row],[billed_revenue]]-ReconciliationData[[#This Row],[expected_revenue]]</f>
        <v>0</v>
      </c>
      <c r="AA6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3" t="str">
        <f>IF(ReconciliationData[[#This Row],[severity_score]]=0,"LOW",
 IF(ReconciliationData[[#This Row],[severity_score]]&lt;=5,"MEDIUM","HIGH"))</f>
        <v>LOW</v>
      </c>
      <c r="AC653" t="str">
        <f>TEXT(ReconciliationData[[#This Row],[Order_Date]],"YYYY-MM")</f>
        <v>2023-07</v>
      </c>
    </row>
    <row r="654" spans="1:29">
      <c r="A654" t="s">
        <v>2159</v>
      </c>
      <c r="B654" s="1">
        <v>45591</v>
      </c>
      <c r="C654" t="s">
        <v>1709</v>
      </c>
      <c r="D654" t="s">
        <v>490</v>
      </c>
      <c r="E654">
        <v>135</v>
      </c>
      <c r="F654" t="s">
        <v>2160</v>
      </c>
      <c r="G654">
        <v>135</v>
      </c>
      <c r="H654">
        <v>1157.6343999999999</v>
      </c>
      <c r="N654">
        <v>1157.6343999999999</v>
      </c>
      <c r="O654" s="1">
        <v>44959</v>
      </c>
      <c r="P654">
        <f>IF(ISBLANK(ReconciliationData[[#This Row],[Invoice_ID]]),1,0)</f>
        <v>0</v>
      </c>
      <c r="Q654">
        <f>IF(AND(NOT(ISBLANK(ReconciliationData[[#This Row],[Billed_Units]])),ReconciliationData[[#This Row],[ordered_units]]&lt;&gt;ReconciliationData[[#This Row],[Billed_Units]]),1,0)</f>
        <v>0</v>
      </c>
      <c r="R6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4">
        <f>IF(AND(NOT(ISBLANK(ReconciliationData[[#This Row],[Contract_Price]])),ReconciliationData[[#This Row],[Billed_Price]]&lt;&gt;ReconciliationData[[#This Row],[Contract_Price]]),1,0)</f>
        <v>0</v>
      </c>
      <c r="T654">
        <f>IF(AND(NOT(ISBLANK(ReconciliationData[[#This Row],[End_Date]])),ReconciliationData[[#This Row],[Order_Date]]&gt;ReconciliationData[[#This Row],[End_Date]]),1,0)</f>
        <v>0</v>
      </c>
      <c r="U654">
        <f>IF(AND(NOT(ISBLANK(ReconciliationData[[#This Row],[last_return_date]])),ReconciliationData[[#This Row],[last_return_date]]&gt;ReconciliationData[[#This Row],[Order_Date]]+60),1,0)</f>
        <v>0</v>
      </c>
      <c r="V654">
        <f>IF(ReconciliationData[[#This Row],[total_returned_units]]&gt;ReconciliationData[[#This Row],[ordered_units]],1,0)</f>
        <v>0</v>
      </c>
      <c r="W6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4">
        <f>ReconciliationData[[#This Row],[Billed_Units]]*ReconciliationData[[#This Row],[Billed_Price]]</f>
        <v>156280.644</v>
      </c>
      <c r="Y654">
        <f>ReconciliationData[[#This Row],[ordered_units]]*ReconciliationData[[#This Row],[List_Price]]</f>
        <v>156280.644</v>
      </c>
      <c r="Z654">
        <f>ReconciliationData[[#This Row],[billed_revenue]]-ReconciliationData[[#This Row],[expected_revenue]]</f>
        <v>0</v>
      </c>
      <c r="AA6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4" t="str">
        <f>IF(ReconciliationData[[#This Row],[severity_score]]=0,"LOW",
 IF(ReconciliationData[[#This Row],[severity_score]]&lt;=5,"MEDIUM","HIGH"))</f>
        <v>LOW</v>
      </c>
      <c r="AC654" t="str">
        <f>TEXT(ReconciliationData[[#This Row],[Order_Date]],"YYYY-MM")</f>
        <v>2024-10</v>
      </c>
    </row>
    <row r="655" spans="1:29">
      <c r="A655" t="s">
        <v>2161</v>
      </c>
      <c r="B655" s="1">
        <v>45233</v>
      </c>
      <c r="C655" t="s">
        <v>2162</v>
      </c>
      <c r="D655" t="s">
        <v>430</v>
      </c>
      <c r="E655">
        <v>126</v>
      </c>
      <c r="F655" t="s">
        <v>2163</v>
      </c>
      <c r="G655">
        <v>126</v>
      </c>
      <c r="H655">
        <v>876.32749999999999</v>
      </c>
      <c r="N655">
        <v>876.32749999999999</v>
      </c>
      <c r="O655" s="1">
        <v>45106</v>
      </c>
      <c r="P655">
        <f>IF(ISBLANK(ReconciliationData[[#This Row],[Invoice_ID]]),1,0)</f>
        <v>0</v>
      </c>
      <c r="Q655">
        <f>IF(AND(NOT(ISBLANK(ReconciliationData[[#This Row],[Billed_Units]])),ReconciliationData[[#This Row],[ordered_units]]&lt;&gt;ReconciliationData[[#This Row],[Billed_Units]]),1,0)</f>
        <v>0</v>
      </c>
      <c r="R6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5">
        <f>IF(AND(NOT(ISBLANK(ReconciliationData[[#This Row],[Contract_Price]])),ReconciliationData[[#This Row],[Billed_Price]]&lt;&gt;ReconciliationData[[#This Row],[Contract_Price]]),1,0)</f>
        <v>0</v>
      </c>
      <c r="T655">
        <f>IF(AND(NOT(ISBLANK(ReconciliationData[[#This Row],[End_Date]])),ReconciliationData[[#This Row],[Order_Date]]&gt;ReconciliationData[[#This Row],[End_Date]]),1,0)</f>
        <v>0</v>
      </c>
      <c r="U655">
        <f>IF(AND(NOT(ISBLANK(ReconciliationData[[#This Row],[last_return_date]])),ReconciliationData[[#This Row],[last_return_date]]&gt;ReconciliationData[[#This Row],[Order_Date]]+60),1,0)</f>
        <v>0</v>
      </c>
      <c r="V655">
        <f>IF(ReconciliationData[[#This Row],[total_returned_units]]&gt;ReconciliationData[[#This Row],[ordered_units]],1,0)</f>
        <v>0</v>
      </c>
      <c r="W6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5">
        <f>ReconciliationData[[#This Row],[Billed_Units]]*ReconciliationData[[#This Row],[Billed_Price]]</f>
        <v>110417.265</v>
      </c>
      <c r="Y655">
        <f>ReconciliationData[[#This Row],[ordered_units]]*ReconciliationData[[#This Row],[List_Price]]</f>
        <v>110417.265</v>
      </c>
      <c r="Z655">
        <f>ReconciliationData[[#This Row],[billed_revenue]]-ReconciliationData[[#This Row],[expected_revenue]]</f>
        <v>0</v>
      </c>
      <c r="AA6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5" t="str">
        <f>IF(ReconciliationData[[#This Row],[severity_score]]=0,"LOW",
 IF(ReconciliationData[[#This Row],[severity_score]]&lt;=5,"MEDIUM","HIGH"))</f>
        <v>LOW</v>
      </c>
      <c r="AC655" t="str">
        <f>TEXT(ReconciliationData[[#This Row],[Order_Date]],"YYYY-MM")</f>
        <v>2023-11</v>
      </c>
    </row>
    <row r="656" spans="1:29">
      <c r="A656" t="s">
        <v>2164</v>
      </c>
      <c r="B656" s="1">
        <v>45198</v>
      </c>
      <c r="C656" t="s">
        <v>2165</v>
      </c>
      <c r="D656" t="s">
        <v>684</v>
      </c>
      <c r="E656">
        <v>31</v>
      </c>
      <c r="F656" t="s">
        <v>2166</v>
      </c>
      <c r="G656">
        <v>31</v>
      </c>
      <c r="H656">
        <v>75.620999999999995</v>
      </c>
      <c r="N656">
        <v>75.620999999999995</v>
      </c>
      <c r="O656" s="1">
        <v>45108</v>
      </c>
      <c r="P656">
        <f>IF(ISBLANK(ReconciliationData[[#This Row],[Invoice_ID]]),1,0)</f>
        <v>0</v>
      </c>
      <c r="Q656">
        <f>IF(AND(NOT(ISBLANK(ReconciliationData[[#This Row],[Billed_Units]])),ReconciliationData[[#This Row],[ordered_units]]&lt;&gt;ReconciliationData[[#This Row],[Billed_Units]]),1,0)</f>
        <v>0</v>
      </c>
      <c r="R6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6">
        <f>IF(AND(NOT(ISBLANK(ReconciliationData[[#This Row],[Contract_Price]])),ReconciliationData[[#This Row],[Billed_Price]]&lt;&gt;ReconciliationData[[#This Row],[Contract_Price]]),1,0)</f>
        <v>0</v>
      </c>
      <c r="T656">
        <f>IF(AND(NOT(ISBLANK(ReconciliationData[[#This Row],[End_Date]])),ReconciliationData[[#This Row],[Order_Date]]&gt;ReconciliationData[[#This Row],[End_Date]]),1,0)</f>
        <v>0</v>
      </c>
      <c r="U656">
        <f>IF(AND(NOT(ISBLANK(ReconciliationData[[#This Row],[last_return_date]])),ReconciliationData[[#This Row],[last_return_date]]&gt;ReconciliationData[[#This Row],[Order_Date]]+60),1,0)</f>
        <v>0</v>
      </c>
      <c r="V656">
        <f>IF(ReconciliationData[[#This Row],[total_returned_units]]&gt;ReconciliationData[[#This Row],[ordered_units]],1,0)</f>
        <v>0</v>
      </c>
      <c r="W6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6">
        <f>ReconciliationData[[#This Row],[Billed_Units]]*ReconciliationData[[#This Row],[Billed_Price]]</f>
        <v>2344.2509999999997</v>
      </c>
      <c r="Y656">
        <f>ReconciliationData[[#This Row],[ordered_units]]*ReconciliationData[[#This Row],[List_Price]]</f>
        <v>2344.2509999999997</v>
      </c>
      <c r="Z656">
        <f>ReconciliationData[[#This Row],[billed_revenue]]-ReconciliationData[[#This Row],[expected_revenue]]</f>
        <v>0</v>
      </c>
      <c r="AA6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6" t="str">
        <f>IF(ReconciliationData[[#This Row],[severity_score]]=0,"LOW",
 IF(ReconciliationData[[#This Row],[severity_score]]&lt;=5,"MEDIUM","HIGH"))</f>
        <v>LOW</v>
      </c>
      <c r="AC656" t="str">
        <f>TEXT(ReconciliationData[[#This Row],[Order_Date]],"YYYY-MM")</f>
        <v>2023-09</v>
      </c>
    </row>
    <row r="657" spans="1:29">
      <c r="A657" t="s">
        <v>2167</v>
      </c>
      <c r="B657" s="1">
        <v>45645</v>
      </c>
      <c r="C657" t="s">
        <v>2168</v>
      </c>
      <c r="D657" t="s">
        <v>393</v>
      </c>
      <c r="E657">
        <v>180</v>
      </c>
      <c r="F657" t="s">
        <v>2169</v>
      </c>
      <c r="G657">
        <v>180</v>
      </c>
      <c r="H657">
        <v>1080.0740000000001</v>
      </c>
      <c r="N657">
        <v>1080.0740000000001</v>
      </c>
      <c r="O657" s="1">
        <v>45058</v>
      </c>
      <c r="P657">
        <f>IF(ISBLANK(ReconciliationData[[#This Row],[Invoice_ID]]),1,0)</f>
        <v>0</v>
      </c>
      <c r="Q657">
        <f>IF(AND(NOT(ISBLANK(ReconciliationData[[#This Row],[Billed_Units]])),ReconciliationData[[#This Row],[ordered_units]]&lt;&gt;ReconciliationData[[#This Row],[Billed_Units]]),1,0)</f>
        <v>0</v>
      </c>
      <c r="R6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7">
        <f>IF(AND(NOT(ISBLANK(ReconciliationData[[#This Row],[Contract_Price]])),ReconciliationData[[#This Row],[Billed_Price]]&lt;&gt;ReconciliationData[[#This Row],[Contract_Price]]),1,0)</f>
        <v>0</v>
      </c>
      <c r="T657">
        <f>IF(AND(NOT(ISBLANK(ReconciliationData[[#This Row],[End_Date]])),ReconciliationData[[#This Row],[Order_Date]]&gt;ReconciliationData[[#This Row],[End_Date]]),1,0)</f>
        <v>0</v>
      </c>
      <c r="U657">
        <f>IF(AND(NOT(ISBLANK(ReconciliationData[[#This Row],[last_return_date]])),ReconciliationData[[#This Row],[last_return_date]]&gt;ReconciliationData[[#This Row],[Order_Date]]+60),1,0)</f>
        <v>0</v>
      </c>
      <c r="V657">
        <f>IF(ReconciliationData[[#This Row],[total_returned_units]]&gt;ReconciliationData[[#This Row],[ordered_units]],1,0)</f>
        <v>0</v>
      </c>
      <c r="W6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7">
        <f>ReconciliationData[[#This Row],[Billed_Units]]*ReconciliationData[[#This Row],[Billed_Price]]</f>
        <v>194413.32</v>
      </c>
      <c r="Y657">
        <f>ReconciliationData[[#This Row],[ordered_units]]*ReconciliationData[[#This Row],[List_Price]]</f>
        <v>194413.32</v>
      </c>
      <c r="Z657">
        <f>ReconciliationData[[#This Row],[billed_revenue]]-ReconciliationData[[#This Row],[expected_revenue]]</f>
        <v>0</v>
      </c>
      <c r="AA6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7" t="str">
        <f>IF(ReconciliationData[[#This Row],[severity_score]]=0,"LOW",
 IF(ReconciliationData[[#This Row],[severity_score]]&lt;=5,"MEDIUM","HIGH"))</f>
        <v>LOW</v>
      </c>
      <c r="AC657" t="str">
        <f>TEXT(ReconciliationData[[#This Row],[Order_Date]],"YYYY-MM")</f>
        <v>2024-12</v>
      </c>
    </row>
    <row r="658" spans="1:29">
      <c r="A658" t="s">
        <v>2170</v>
      </c>
      <c r="B658" s="1">
        <v>45363</v>
      </c>
      <c r="C658" t="s">
        <v>242</v>
      </c>
      <c r="D658" t="s">
        <v>873</v>
      </c>
      <c r="E658">
        <v>177</v>
      </c>
      <c r="F658" t="s">
        <v>2171</v>
      </c>
      <c r="G658">
        <v>177</v>
      </c>
      <c r="H658">
        <v>956.41030000000001</v>
      </c>
      <c r="N658">
        <v>956.41030000000001</v>
      </c>
      <c r="O658" s="1">
        <v>45168</v>
      </c>
      <c r="P658">
        <f>IF(ISBLANK(ReconciliationData[[#This Row],[Invoice_ID]]),1,0)</f>
        <v>0</v>
      </c>
      <c r="Q658">
        <f>IF(AND(NOT(ISBLANK(ReconciliationData[[#This Row],[Billed_Units]])),ReconciliationData[[#This Row],[ordered_units]]&lt;&gt;ReconciliationData[[#This Row],[Billed_Units]]),1,0)</f>
        <v>0</v>
      </c>
      <c r="R6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8">
        <f>IF(AND(NOT(ISBLANK(ReconciliationData[[#This Row],[Contract_Price]])),ReconciliationData[[#This Row],[Billed_Price]]&lt;&gt;ReconciliationData[[#This Row],[Contract_Price]]),1,0)</f>
        <v>0</v>
      </c>
      <c r="T658">
        <f>IF(AND(NOT(ISBLANK(ReconciliationData[[#This Row],[End_Date]])),ReconciliationData[[#This Row],[Order_Date]]&gt;ReconciliationData[[#This Row],[End_Date]]),1,0)</f>
        <v>0</v>
      </c>
      <c r="U658">
        <f>IF(AND(NOT(ISBLANK(ReconciliationData[[#This Row],[last_return_date]])),ReconciliationData[[#This Row],[last_return_date]]&gt;ReconciliationData[[#This Row],[Order_Date]]+60),1,0)</f>
        <v>0</v>
      </c>
      <c r="V658">
        <f>IF(ReconciliationData[[#This Row],[total_returned_units]]&gt;ReconciliationData[[#This Row],[ordered_units]],1,0)</f>
        <v>0</v>
      </c>
      <c r="W6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8">
        <f>ReconciliationData[[#This Row],[Billed_Units]]*ReconciliationData[[#This Row],[Billed_Price]]</f>
        <v>169284.6231</v>
      </c>
      <c r="Y658">
        <f>ReconciliationData[[#This Row],[ordered_units]]*ReconciliationData[[#This Row],[List_Price]]</f>
        <v>169284.6231</v>
      </c>
      <c r="Z658">
        <f>ReconciliationData[[#This Row],[billed_revenue]]-ReconciliationData[[#This Row],[expected_revenue]]</f>
        <v>0</v>
      </c>
      <c r="AA6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8" t="str">
        <f>IF(ReconciliationData[[#This Row],[severity_score]]=0,"LOW",
 IF(ReconciliationData[[#This Row],[severity_score]]&lt;=5,"MEDIUM","HIGH"))</f>
        <v>LOW</v>
      </c>
      <c r="AC658" t="str">
        <f>TEXT(ReconciliationData[[#This Row],[Order_Date]],"YYYY-MM")</f>
        <v>2024-03</v>
      </c>
    </row>
    <row r="659" spans="1:29">
      <c r="A659" t="s">
        <v>2172</v>
      </c>
      <c r="B659" s="1">
        <v>45249</v>
      </c>
      <c r="C659" t="s">
        <v>1948</v>
      </c>
      <c r="D659" t="s">
        <v>908</v>
      </c>
      <c r="E659">
        <v>21</v>
      </c>
      <c r="F659" t="s">
        <v>2173</v>
      </c>
      <c r="G659">
        <v>21</v>
      </c>
      <c r="H659">
        <v>565.82459999999992</v>
      </c>
      <c r="N659">
        <v>565.82459999999992</v>
      </c>
      <c r="O659" s="1">
        <v>45013</v>
      </c>
      <c r="P659">
        <f>IF(ISBLANK(ReconciliationData[[#This Row],[Invoice_ID]]),1,0)</f>
        <v>0</v>
      </c>
      <c r="Q659">
        <f>IF(AND(NOT(ISBLANK(ReconciliationData[[#This Row],[Billed_Units]])),ReconciliationData[[#This Row],[ordered_units]]&lt;&gt;ReconciliationData[[#This Row],[Billed_Units]]),1,0)</f>
        <v>0</v>
      </c>
      <c r="R6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59">
        <f>IF(AND(NOT(ISBLANK(ReconciliationData[[#This Row],[Contract_Price]])),ReconciliationData[[#This Row],[Billed_Price]]&lt;&gt;ReconciliationData[[#This Row],[Contract_Price]]),1,0)</f>
        <v>0</v>
      </c>
      <c r="T659">
        <f>IF(AND(NOT(ISBLANK(ReconciliationData[[#This Row],[End_Date]])),ReconciliationData[[#This Row],[Order_Date]]&gt;ReconciliationData[[#This Row],[End_Date]]),1,0)</f>
        <v>0</v>
      </c>
      <c r="U659">
        <f>IF(AND(NOT(ISBLANK(ReconciliationData[[#This Row],[last_return_date]])),ReconciliationData[[#This Row],[last_return_date]]&gt;ReconciliationData[[#This Row],[Order_Date]]+60),1,0)</f>
        <v>0</v>
      </c>
      <c r="V659">
        <f>IF(ReconciliationData[[#This Row],[total_returned_units]]&gt;ReconciliationData[[#This Row],[ordered_units]],1,0)</f>
        <v>0</v>
      </c>
      <c r="W6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59">
        <f>ReconciliationData[[#This Row],[Billed_Units]]*ReconciliationData[[#This Row],[Billed_Price]]</f>
        <v>11882.316599999998</v>
      </c>
      <c r="Y659">
        <f>ReconciliationData[[#This Row],[ordered_units]]*ReconciliationData[[#This Row],[List_Price]]</f>
        <v>11882.316599999998</v>
      </c>
      <c r="Z659">
        <f>ReconciliationData[[#This Row],[billed_revenue]]-ReconciliationData[[#This Row],[expected_revenue]]</f>
        <v>0</v>
      </c>
      <c r="AA6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59" t="str">
        <f>IF(ReconciliationData[[#This Row],[severity_score]]=0,"LOW",
 IF(ReconciliationData[[#This Row],[severity_score]]&lt;=5,"MEDIUM","HIGH"))</f>
        <v>LOW</v>
      </c>
      <c r="AC659" t="str">
        <f>TEXT(ReconciliationData[[#This Row],[Order_Date]],"YYYY-MM")</f>
        <v>2023-11</v>
      </c>
    </row>
    <row r="660" spans="1:29">
      <c r="A660" t="s">
        <v>2174</v>
      </c>
      <c r="B660" s="1">
        <v>45034</v>
      </c>
      <c r="C660" t="s">
        <v>2175</v>
      </c>
      <c r="D660" t="s">
        <v>2050</v>
      </c>
      <c r="E660">
        <v>86</v>
      </c>
      <c r="F660" t="s">
        <v>2176</v>
      </c>
      <c r="G660">
        <v>93</v>
      </c>
      <c r="H660">
        <v>956.22119999999995</v>
      </c>
      <c r="N660">
        <v>956.22119999999995</v>
      </c>
      <c r="O660" s="1">
        <v>44906</v>
      </c>
      <c r="P660">
        <f>IF(ISBLANK(ReconciliationData[[#This Row],[Invoice_ID]]),1,0)</f>
        <v>0</v>
      </c>
      <c r="Q660">
        <f>IF(AND(NOT(ISBLANK(ReconciliationData[[#This Row],[Billed_Units]])),ReconciliationData[[#This Row],[ordered_units]]&lt;&gt;ReconciliationData[[#This Row],[Billed_Units]]),1,0)</f>
        <v>1</v>
      </c>
      <c r="R6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60">
        <f>IF(AND(NOT(ISBLANK(ReconciliationData[[#This Row],[Contract_Price]])),ReconciliationData[[#This Row],[Billed_Price]]&lt;&gt;ReconciliationData[[#This Row],[Contract_Price]]),1,0)</f>
        <v>0</v>
      </c>
      <c r="T660">
        <f>IF(AND(NOT(ISBLANK(ReconciliationData[[#This Row],[End_Date]])),ReconciliationData[[#This Row],[Order_Date]]&gt;ReconciliationData[[#This Row],[End_Date]]),1,0)</f>
        <v>0</v>
      </c>
      <c r="U660">
        <f>IF(AND(NOT(ISBLANK(ReconciliationData[[#This Row],[last_return_date]])),ReconciliationData[[#This Row],[last_return_date]]&gt;ReconciliationData[[#This Row],[Order_Date]]+60),1,0)</f>
        <v>0</v>
      </c>
      <c r="V660">
        <f>IF(ReconciliationData[[#This Row],[total_returned_units]]&gt;ReconciliationData[[#This Row],[ordered_units]],1,0)</f>
        <v>0</v>
      </c>
      <c r="W6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60">
        <f>ReconciliationData[[#This Row],[Billed_Units]]*ReconciliationData[[#This Row],[Billed_Price]]</f>
        <v>88928.571599999996</v>
      </c>
      <c r="Y660">
        <f>ReconciliationData[[#This Row],[ordered_units]]*ReconciliationData[[#This Row],[List_Price]]</f>
        <v>82235.023199999996</v>
      </c>
      <c r="Z660">
        <f>ReconciliationData[[#This Row],[billed_revenue]]-ReconciliationData[[#This Row],[expected_revenue]]</f>
        <v>6693.5483999999997</v>
      </c>
      <c r="AA6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660" t="str">
        <f>IF(ReconciliationData[[#This Row],[severity_score]]=0,"LOW",
 IF(ReconciliationData[[#This Row],[severity_score]]&lt;=5,"MEDIUM","HIGH"))</f>
        <v>HIGH</v>
      </c>
      <c r="AC660" t="str">
        <f>TEXT(ReconciliationData[[#This Row],[Order_Date]],"YYYY-MM")</f>
        <v>2023-04</v>
      </c>
    </row>
    <row r="661" spans="1:29">
      <c r="A661" t="s">
        <v>2177</v>
      </c>
      <c r="B661" s="1">
        <v>45090</v>
      </c>
      <c r="C661" t="s">
        <v>336</v>
      </c>
      <c r="D661" t="s">
        <v>341</v>
      </c>
      <c r="E661">
        <v>167</v>
      </c>
      <c r="F661" t="s">
        <v>2178</v>
      </c>
      <c r="G661">
        <v>167</v>
      </c>
      <c r="H661">
        <v>47.936999999999998</v>
      </c>
      <c r="N661">
        <v>47.936999999999998</v>
      </c>
      <c r="O661" s="1">
        <v>44934</v>
      </c>
      <c r="P661">
        <f>IF(ISBLANK(ReconciliationData[[#This Row],[Invoice_ID]]),1,0)</f>
        <v>0</v>
      </c>
      <c r="Q661">
        <f>IF(AND(NOT(ISBLANK(ReconciliationData[[#This Row],[Billed_Units]])),ReconciliationData[[#This Row],[ordered_units]]&lt;&gt;ReconciliationData[[#This Row],[Billed_Units]]),1,0)</f>
        <v>0</v>
      </c>
      <c r="R6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61">
        <f>IF(AND(NOT(ISBLANK(ReconciliationData[[#This Row],[Contract_Price]])),ReconciliationData[[#This Row],[Billed_Price]]&lt;&gt;ReconciliationData[[#This Row],[Contract_Price]]),1,0)</f>
        <v>0</v>
      </c>
      <c r="T661">
        <f>IF(AND(NOT(ISBLANK(ReconciliationData[[#This Row],[End_Date]])),ReconciliationData[[#This Row],[Order_Date]]&gt;ReconciliationData[[#This Row],[End_Date]]),1,0)</f>
        <v>0</v>
      </c>
      <c r="U661">
        <f>IF(AND(NOT(ISBLANK(ReconciliationData[[#This Row],[last_return_date]])),ReconciliationData[[#This Row],[last_return_date]]&gt;ReconciliationData[[#This Row],[Order_Date]]+60),1,0)</f>
        <v>0</v>
      </c>
      <c r="V661">
        <f>IF(ReconciliationData[[#This Row],[total_returned_units]]&gt;ReconciliationData[[#This Row],[ordered_units]],1,0)</f>
        <v>0</v>
      </c>
      <c r="W6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61">
        <f>ReconciliationData[[#This Row],[Billed_Units]]*ReconciliationData[[#This Row],[Billed_Price]]</f>
        <v>8005.4789999999994</v>
      </c>
      <c r="Y661">
        <f>ReconciliationData[[#This Row],[ordered_units]]*ReconciliationData[[#This Row],[List_Price]]</f>
        <v>8005.4789999999994</v>
      </c>
      <c r="Z661">
        <f>ReconciliationData[[#This Row],[billed_revenue]]-ReconciliationData[[#This Row],[expected_revenue]]</f>
        <v>0</v>
      </c>
      <c r="AA6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61" t="str">
        <f>IF(ReconciliationData[[#This Row],[severity_score]]=0,"LOW",
 IF(ReconciliationData[[#This Row],[severity_score]]&lt;=5,"MEDIUM","HIGH"))</f>
        <v>LOW</v>
      </c>
      <c r="AC661" t="str">
        <f>TEXT(ReconciliationData[[#This Row],[Order_Date]],"YYYY-MM")</f>
        <v>2023-06</v>
      </c>
    </row>
    <row r="662" spans="1:29">
      <c r="A662" t="s">
        <v>2179</v>
      </c>
      <c r="B662" s="1">
        <v>45445</v>
      </c>
      <c r="C662" t="s">
        <v>365</v>
      </c>
      <c r="D662" t="s">
        <v>325</v>
      </c>
      <c r="E662">
        <v>7</v>
      </c>
      <c r="F662" t="s">
        <v>2180</v>
      </c>
      <c r="G662">
        <v>7</v>
      </c>
      <c r="H662">
        <v>509.36320000000001</v>
      </c>
      <c r="N662">
        <v>509.36320000000001</v>
      </c>
      <c r="O662" s="1">
        <v>45171</v>
      </c>
      <c r="P662">
        <f>IF(ISBLANK(ReconciliationData[[#This Row],[Invoice_ID]]),1,0)</f>
        <v>0</v>
      </c>
      <c r="Q662">
        <f>IF(AND(NOT(ISBLANK(ReconciliationData[[#This Row],[Billed_Units]])),ReconciliationData[[#This Row],[ordered_units]]&lt;&gt;ReconciliationData[[#This Row],[Billed_Units]]),1,0)</f>
        <v>0</v>
      </c>
      <c r="R6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62">
        <f>IF(AND(NOT(ISBLANK(ReconciliationData[[#This Row],[Contract_Price]])),ReconciliationData[[#This Row],[Billed_Price]]&lt;&gt;ReconciliationData[[#This Row],[Contract_Price]]),1,0)</f>
        <v>0</v>
      </c>
      <c r="T662">
        <f>IF(AND(NOT(ISBLANK(ReconciliationData[[#This Row],[End_Date]])),ReconciliationData[[#This Row],[Order_Date]]&gt;ReconciliationData[[#This Row],[End_Date]]),1,0)</f>
        <v>0</v>
      </c>
      <c r="U662">
        <f>IF(AND(NOT(ISBLANK(ReconciliationData[[#This Row],[last_return_date]])),ReconciliationData[[#This Row],[last_return_date]]&gt;ReconciliationData[[#This Row],[Order_Date]]+60),1,0)</f>
        <v>0</v>
      </c>
      <c r="V662">
        <f>IF(ReconciliationData[[#This Row],[total_returned_units]]&gt;ReconciliationData[[#This Row],[ordered_units]],1,0)</f>
        <v>0</v>
      </c>
      <c r="W6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62">
        <f>ReconciliationData[[#This Row],[Billed_Units]]*ReconciliationData[[#This Row],[Billed_Price]]</f>
        <v>3565.5424000000003</v>
      </c>
      <c r="Y662">
        <f>ReconciliationData[[#This Row],[ordered_units]]*ReconciliationData[[#This Row],[List_Price]]</f>
        <v>3565.5424000000003</v>
      </c>
      <c r="Z662">
        <f>ReconciliationData[[#This Row],[billed_revenue]]-ReconciliationData[[#This Row],[expected_revenue]]</f>
        <v>0</v>
      </c>
      <c r="AA6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62" t="str">
        <f>IF(ReconciliationData[[#This Row],[severity_score]]=0,"LOW",
 IF(ReconciliationData[[#This Row],[severity_score]]&lt;=5,"MEDIUM","HIGH"))</f>
        <v>LOW</v>
      </c>
      <c r="AC662" t="str">
        <f>TEXT(ReconciliationData[[#This Row],[Order_Date]],"YYYY-MM")</f>
        <v>2024-06</v>
      </c>
    </row>
    <row r="663" spans="1:29">
      <c r="A663" t="s">
        <v>2181</v>
      </c>
      <c r="B663" s="1">
        <v>45453</v>
      </c>
      <c r="C663" t="s">
        <v>1345</v>
      </c>
      <c r="D663" t="s">
        <v>182</v>
      </c>
      <c r="E663">
        <v>64</v>
      </c>
      <c r="F663" t="s">
        <v>2182</v>
      </c>
      <c r="G663">
        <v>64</v>
      </c>
      <c r="H663">
        <v>689.58720000000005</v>
      </c>
      <c r="N663">
        <v>689.58720000000005</v>
      </c>
      <c r="O663" s="1">
        <v>45224</v>
      </c>
      <c r="P663">
        <f>IF(ISBLANK(ReconciliationData[[#This Row],[Invoice_ID]]),1,0)</f>
        <v>0</v>
      </c>
      <c r="Q663">
        <f>IF(AND(NOT(ISBLANK(ReconciliationData[[#This Row],[Billed_Units]])),ReconciliationData[[#This Row],[ordered_units]]&lt;&gt;ReconciliationData[[#This Row],[Billed_Units]]),1,0)</f>
        <v>0</v>
      </c>
      <c r="R6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63">
        <f>IF(AND(NOT(ISBLANK(ReconciliationData[[#This Row],[Contract_Price]])),ReconciliationData[[#This Row],[Billed_Price]]&lt;&gt;ReconciliationData[[#This Row],[Contract_Price]]),1,0)</f>
        <v>0</v>
      </c>
      <c r="T663">
        <f>IF(AND(NOT(ISBLANK(ReconciliationData[[#This Row],[End_Date]])),ReconciliationData[[#This Row],[Order_Date]]&gt;ReconciliationData[[#This Row],[End_Date]]),1,0)</f>
        <v>0</v>
      </c>
      <c r="U663">
        <f>IF(AND(NOT(ISBLANK(ReconciliationData[[#This Row],[last_return_date]])),ReconciliationData[[#This Row],[last_return_date]]&gt;ReconciliationData[[#This Row],[Order_Date]]+60),1,0)</f>
        <v>0</v>
      </c>
      <c r="V663">
        <f>IF(ReconciliationData[[#This Row],[total_returned_units]]&gt;ReconciliationData[[#This Row],[ordered_units]],1,0)</f>
        <v>0</v>
      </c>
      <c r="W6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63">
        <f>ReconciliationData[[#This Row],[Billed_Units]]*ReconciliationData[[#This Row],[Billed_Price]]</f>
        <v>44133.580800000003</v>
      </c>
      <c r="Y663">
        <f>ReconciliationData[[#This Row],[ordered_units]]*ReconciliationData[[#This Row],[List_Price]]</f>
        <v>44133.580800000003</v>
      </c>
      <c r="Z663">
        <f>ReconciliationData[[#This Row],[billed_revenue]]-ReconciliationData[[#This Row],[expected_revenue]]</f>
        <v>0</v>
      </c>
      <c r="AA6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63" t="str">
        <f>IF(ReconciliationData[[#This Row],[severity_score]]=0,"LOW",
 IF(ReconciliationData[[#This Row],[severity_score]]&lt;=5,"MEDIUM","HIGH"))</f>
        <v>LOW</v>
      </c>
      <c r="AC663" t="str">
        <f>TEXT(ReconciliationData[[#This Row],[Order_Date]],"YYYY-MM")</f>
        <v>2024-06</v>
      </c>
    </row>
    <row r="664" spans="1:29">
      <c r="A664" t="s">
        <v>2183</v>
      </c>
      <c r="B664" s="1">
        <v>44949</v>
      </c>
      <c r="C664" t="s">
        <v>1545</v>
      </c>
      <c r="D664" t="s">
        <v>154</v>
      </c>
      <c r="E664">
        <v>51</v>
      </c>
      <c r="F664" t="s">
        <v>2184</v>
      </c>
      <c r="G664">
        <v>59</v>
      </c>
      <c r="H664">
        <v>1058.8501976609243</v>
      </c>
      <c r="N664">
        <v>1058.3499999999999</v>
      </c>
      <c r="O664" s="1">
        <v>44734</v>
      </c>
      <c r="P664">
        <f>IF(ISBLANK(ReconciliationData[[#This Row],[Invoice_ID]]),1,0)</f>
        <v>0</v>
      </c>
      <c r="Q664">
        <f>IF(AND(NOT(ISBLANK(ReconciliationData[[#This Row],[Billed_Units]])),ReconciliationData[[#This Row],[ordered_units]]&lt;&gt;ReconciliationData[[#This Row],[Billed_Units]]),1,0)</f>
        <v>1</v>
      </c>
      <c r="R66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664">
        <f>IF(AND(NOT(ISBLANK(ReconciliationData[[#This Row],[Contract_Price]])),ReconciliationData[[#This Row],[Billed_Price]]&lt;&gt;ReconciliationData[[#This Row],[Contract_Price]]),1,0)</f>
        <v>0</v>
      </c>
      <c r="T664">
        <f>IF(AND(NOT(ISBLANK(ReconciliationData[[#This Row],[End_Date]])),ReconciliationData[[#This Row],[Order_Date]]&gt;ReconciliationData[[#This Row],[End_Date]]),1,0)</f>
        <v>0</v>
      </c>
      <c r="U664">
        <f>IF(AND(NOT(ISBLANK(ReconciliationData[[#This Row],[last_return_date]])),ReconciliationData[[#This Row],[last_return_date]]&gt;ReconciliationData[[#This Row],[Order_Date]]+60),1,0)</f>
        <v>0</v>
      </c>
      <c r="V664">
        <f>IF(ReconciliationData[[#This Row],[total_returned_units]]&gt;ReconciliationData[[#This Row],[ordered_units]],1,0)</f>
        <v>0</v>
      </c>
      <c r="W6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64">
        <f>ReconciliationData[[#This Row],[Billed_Units]]*ReconciliationData[[#This Row],[Billed_Price]]</f>
        <v>62472.161661994534</v>
      </c>
      <c r="Y664">
        <f>ReconciliationData[[#This Row],[ordered_units]]*ReconciliationData[[#This Row],[List_Price]]</f>
        <v>53975.85</v>
      </c>
      <c r="Z664">
        <f>ReconciliationData[[#This Row],[billed_revenue]]-ReconciliationData[[#This Row],[expected_revenue]]</f>
        <v>8496.3116619945358</v>
      </c>
      <c r="AA6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12</v>
      </c>
      <c r="AB664" t="str">
        <f>IF(ReconciliationData[[#This Row],[severity_score]]=0,"LOW",
 IF(ReconciliationData[[#This Row],[severity_score]]&lt;=5,"MEDIUM","HIGH"))</f>
        <v>HIGH</v>
      </c>
      <c r="AC664" t="str">
        <f>TEXT(ReconciliationData[[#This Row],[Order_Date]],"YYYY-MM")</f>
        <v>2023-01</v>
      </c>
    </row>
    <row r="665" spans="1:29">
      <c r="A665" t="s">
        <v>2185</v>
      </c>
      <c r="B665" s="1">
        <v>45332</v>
      </c>
      <c r="C665" t="s">
        <v>2186</v>
      </c>
      <c r="D665" t="s">
        <v>2187</v>
      </c>
      <c r="E665">
        <v>43</v>
      </c>
      <c r="F665" t="s">
        <v>2188</v>
      </c>
      <c r="G665">
        <v>43</v>
      </c>
      <c r="H665">
        <v>223.6044</v>
      </c>
      <c r="N665">
        <v>223.6044</v>
      </c>
      <c r="O665" s="1">
        <v>45091</v>
      </c>
      <c r="P665">
        <f>IF(ISBLANK(ReconciliationData[[#This Row],[Invoice_ID]]),1,0)</f>
        <v>0</v>
      </c>
      <c r="Q665">
        <f>IF(AND(NOT(ISBLANK(ReconciliationData[[#This Row],[Billed_Units]])),ReconciliationData[[#This Row],[ordered_units]]&lt;&gt;ReconciliationData[[#This Row],[Billed_Units]]),1,0)</f>
        <v>0</v>
      </c>
      <c r="R6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65">
        <f>IF(AND(NOT(ISBLANK(ReconciliationData[[#This Row],[Contract_Price]])),ReconciliationData[[#This Row],[Billed_Price]]&lt;&gt;ReconciliationData[[#This Row],[Contract_Price]]),1,0)</f>
        <v>0</v>
      </c>
      <c r="T665">
        <f>IF(AND(NOT(ISBLANK(ReconciliationData[[#This Row],[End_Date]])),ReconciliationData[[#This Row],[Order_Date]]&gt;ReconciliationData[[#This Row],[End_Date]]),1,0)</f>
        <v>0</v>
      </c>
      <c r="U665">
        <f>IF(AND(NOT(ISBLANK(ReconciliationData[[#This Row],[last_return_date]])),ReconciliationData[[#This Row],[last_return_date]]&gt;ReconciliationData[[#This Row],[Order_Date]]+60),1,0)</f>
        <v>0</v>
      </c>
      <c r="V665">
        <f>IF(ReconciliationData[[#This Row],[total_returned_units]]&gt;ReconciliationData[[#This Row],[ordered_units]],1,0)</f>
        <v>0</v>
      </c>
      <c r="W6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65">
        <f>ReconciliationData[[#This Row],[Billed_Units]]*ReconciliationData[[#This Row],[Billed_Price]]</f>
        <v>9614.9892</v>
      </c>
      <c r="Y665">
        <f>ReconciliationData[[#This Row],[ordered_units]]*ReconciliationData[[#This Row],[List_Price]]</f>
        <v>9614.9892</v>
      </c>
      <c r="Z665">
        <f>ReconciliationData[[#This Row],[billed_revenue]]-ReconciliationData[[#This Row],[expected_revenue]]</f>
        <v>0</v>
      </c>
      <c r="AA6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65" t="str">
        <f>IF(ReconciliationData[[#This Row],[severity_score]]=0,"LOW",
 IF(ReconciliationData[[#This Row],[severity_score]]&lt;=5,"MEDIUM","HIGH"))</f>
        <v>LOW</v>
      </c>
      <c r="AC665" t="str">
        <f>TEXT(ReconciliationData[[#This Row],[Order_Date]],"YYYY-MM")</f>
        <v>2024-02</v>
      </c>
    </row>
    <row r="666" spans="1:29">
      <c r="A666" t="s">
        <v>2189</v>
      </c>
      <c r="B666" s="1">
        <v>45472</v>
      </c>
      <c r="C666" t="s">
        <v>2190</v>
      </c>
      <c r="D666" t="s">
        <v>1088</v>
      </c>
      <c r="E666">
        <v>26</v>
      </c>
      <c r="F666" t="s">
        <v>2191</v>
      </c>
      <c r="G666">
        <v>26</v>
      </c>
      <c r="H666">
        <v>72.63</v>
      </c>
      <c r="N666">
        <v>72.63</v>
      </c>
      <c r="O666" s="1">
        <v>44956</v>
      </c>
      <c r="P666">
        <f>IF(ISBLANK(ReconciliationData[[#This Row],[Invoice_ID]]),1,0)</f>
        <v>0</v>
      </c>
      <c r="Q666">
        <f>IF(AND(NOT(ISBLANK(ReconciliationData[[#This Row],[Billed_Units]])),ReconciliationData[[#This Row],[ordered_units]]&lt;&gt;ReconciliationData[[#This Row],[Billed_Units]]),1,0)</f>
        <v>0</v>
      </c>
      <c r="R6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66">
        <f>IF(AND(NOT(ISBLANK(ReconciliationData[[#This Row],[Contract_Price]])),ReconciliationData[[#This Row],[Billed_Price]]&lt;&gt;ReconciliationData[[#This Row],[Contract_Price]]),1,0)</f>
        <v>0</v>
      </c>
      <c r="T666">
        <f>IF(AND(NOT(ISBLANK(ReconciliationData[[#This Row],[End_Date]])),ReconciliationData[[#This Row],[Order_Date]]&gt;ReconciliationData[[#This Row],[End_Date]]),1,0)</f>
        <v>0</v>
      </c>
      <c r="U666">
        <f>IF(AND(NOT(ISBLANK(ReconciliationData[[#This Row],[last_return_date]])),ReconciliationData[[#This Row],[last_return_date]]&gt;ReconciliationData[[#This Row],[Order_Date]]+60),1,0)</f>
        <v>0</v>
      </c>
      <c r="V666">
        <f>IF(ReconciliationData[[#This Row],[total_returned_units]]&gt;ReconciliationData[[#This Row],[ordered_units]],1,0)</f>
        <v>0</v>
      </c>
      <c r="W6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66">
        <f>ReconciliationData[[#This Row],[Billed_Units]]*ReconciliationData[[#This Row],[Billed_Price]]</f>
        <v>1888.3799999999999</v>
      </c>
      <c r="Y666">
        <f>ReconciliationData[[#This Row],[ordered_units]]*ReconciliationData[[#This Row],[List_Price]]</f>
        <v>1888.3799999999999</v>
      </c>
      <c r="Z666">
        <f>ReconciliationData[[#This Row],[billed_revenue]]-ReconciliationData[[#This Row],[expected_revenue]]</f>
        <v>0</v>
      </c>
      <c r="AA6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66" t="str">
        <f>IF(ReconciliationData[[#This Row],[severity_score]]=0,"LOW",
 IF(ReconciliationData[[#This Row],[severity_score]]&lt;=5,"MEDIUM","HIGH"))</f>
        <v>LOW</v>
      </c>
      <c r="AC666" t="str">
        <f>TEXT(ReconciliationData[[#This Row],[Order_Date]],"YYYY-MM")</f>
        <v>2024-06</v>
      </c>
    </row>
    <row r="667" spans="1:29">
      <c r="A667" t="s">
        <v>2192</v>
      </c>
      <c r="B667" s="1">
        <v>45178</v>
      </c>
      <c r="C667" t="s">
        <v>2104</v>
      </c>
      <c r="D667" t="s">
        <v>231</v>
      </c>
      <c r="E667">
        <v>38</v>
      </c>
      <c r="F667" t="s">
        <v>2193</v>
      </c>
      <c r="G667">
        <v>38</v>
      </c>
      <c r="H667">
        <v>77.398200000000003</v>
      </c>
      <c r="N667">
        <v>77.398200000000003</v>
      </c>
      <c r="O667" s="1">
        <v>45032</v>
      </c>
      <c r="P667">
        <f>IF(ISBLANK(ReconciliationData[[#This Row],[Invoice_ID]]),1,0)</f>
        <v>0</v>
      </c>
      <c r="Q667">
        <f>IF(AND(NOT(ISBLANK(ReconciliationData[[#This Row],[Billed_Units]])),ReconciliationData[[#This Row],[ordered_units]]&lt;&gt;ReconciliationData[[#This Row],[Billed_Units]]),1,0)</f>
        <v>0</v>
      </c>
      <c r="R6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67">
        <f>IF(AND(NOT(ISBLANK(ReconciliationData[[#This Row],[Contract_Price]])),ReconciliationData[[#This Row],[Billed_Price]]&lt;&gt;ReconciliationData[[#This Row],[Contract_Price]]),1,0)</f>
        <v>0</v>
      </c>
      <c r="T667">
        <f>IF(AND(NOT(ISBLANK(ReconciliationData[[#This Row],[End_Date]])),ReconciliationData[[#This Row],[Order_Date]]&gt;ReconciliationData[[#This Row],[End_Date]]),1,0)</f>
        <v>0</v>
      </c>
      <c r="U667">
        <f>IF(AND(NOT(ISBLANK(ReconciliationData[[#This Row],[last_return_date]])),ReconciliationData[[#This Row],[last_return_date]]&gt;ReconciliationData[[#This Row],[Order_Date]]+60),1,0)</f>
        <v>0</v>
      </c>
      <c r="V667">
        <f>IF(ReconciliationData[[#This Row],[total_returned_units]]&gt;ReconciliationData[[#This Row],[ordered_units]],1,0)</f>
        <v>0</v>
      </c>
      <c r="W6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67">
        <f>ReconciliationData[[#This Row],[Billed_Units]]*ReconciliationData[[#This Row],[Billed_Price]]</f>
        <v>2941.1316000000002</v>
      </c>
      <c r="Y667">
        <f>ReconciliationData[[#This Row],[ordered_units]]*ReconciliationData[[#This Row],[List_Price]]</f>
        <v>2941.1316000000002</v>
      </c>
      <c r="Z667">
        <f>ReconciliationData[[#This Row],[billed_revenue]]-ReconciliationData[[#This Row],[expected_revenue]]</f>
        <v>0</v>
      </c>
      <c r="AA6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67" t="str">
        <f>IF(ReconciliationData[[#This Row],[severity_score]]=0,"LOW",
 IF(ReconciliationData[[#This Row],[severity_score]]&lt;=5,"MEDIUM","HIGH"))</f>
        <v>LOW</v>
      </c>
      <c r="AC667" t="str">
        <f>TEXT(ReconciliationData[[#This Row],[Order_Date]],"YYYY-MM")</f>
        <v>2023-09</v>
      </c>
    </row>
    <row r="668" spans="1:29">
      <c r="A668" t="s">
        <v>2194</v>
      </c>
      <c r="B668" s="1">
        <v>45412</v>
      </c>
      <c r="C668" t="s">
        <v>1818</v>
      </c>
      <c r="D668" t="s">
        <v>1315</v>
      </c>
      <c r="E668">
        <v>191</v>
      </c>
      <c r="F668" t="s">
        <v>2195</v>
      </c>
      <c r="G668">
        <v>191</v>
      </c>
      <c r="H668">
        <v>334.24649999999997</v>
      </c>
      <c r="N668">
        <v>334.24649999999997</v>
      </c>
      <c r="O668" s="1">
        <v>45125</v>
      </c>
      <c r="P668">
        <f>IF(ISBLANK(ReconciliationData[[#This Row],[Invoice_ID]]),1,0)</f>
        <v>0</v>
      </c>
      <c r="Q668">
        <f>IF(AND(NOT(ISBLANK(ReconciliationData[[#This Row],[Billed_Units]])),ReconciliationData[[#This Row],[ordered_units]]&lt;&gt;ReconciliationData[[#This Row],[Billed_Units]]),1,0)</f>
        <v>0</v>
      </c>
      <c r="R6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68">
        <f>IF(AND(NOT(ISBLANK(ReconciliationData[[#This Row],[Contract_Price]])),ReconciliationData[[#This Row],[Billed_Price]]&lt;&gt;ReconciliationData[[#This Row],[Contract_Price]]),1,0)</f>
        <v>0</v>
      </c>
      <c r="T668">
        <f>IF(AND(NOT(ISBLANK(ReconciliationData[[#This Row],[End_Date]])),ReconciliationData[[#This Row],[Order_Date]]&gt;ReconciliationData[[#This Row],[End_Date]]),1,0)</f>
        <v>0</v>
      </c>
      <c r="U668">
        <f>IF(AND(NOT(ISBLANK(ReconciliationData[[#This Row],[last_return_date]])),ReconciliationData[[#This Row],[last_return_date]]&gt;ReconciliationData[[#This Row],[Order_Date]]+60),1,0)</f>
        <v>0</v>
      </c>
      <c r="V668">
        <f>IF(ReconciliationData[[#This Row],[total_returned_units]]&gt;ReconciliationData[[#This Row],[ordered_units]],1,0)</f>
        <v>0</v>
      </c>
      <c r="W6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68">
        <f>ReconciliationData[[#This Row],[Billed_Units]]*ReconciliationData[[#This Row],[Billed_Price]]</f>
        <v>63841.081499999993</v>
      </c>
      <c r="Y668">
        <f>ReconciliationData[[#This Row],[ordered_units]]*ReconciliationData[[#This Row],[List_Price]]</f>
        <v>63841.081499999993</v>
      </c>
      <c r="Z668">
        <f>ReconciliationData[[#This Row],[billed_revenue]]-ReconciliationData[[#This Row],[expected_revenue]]</f>
        <v>0</v>
      </c>
      <c r="AA6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68" t="str">
        <f>IF(ReconciliationData[[#This Row],[severity_score]]=0,"LOW",
 IF(ReconciliationData[[#This Row],[severity_score]]&lt;=5,"MEDIUM","HIGH"))</f>
        <v>LOW</v>
      </c>
      <c r="AC668" t="str">
        <f>TEXT(ReconciliationData[[#This Row],[Order_Date]],"YYYY-MM")</f>
        <v>2024-04</v>
      </c>
    </row>
    <row r="669" spans="1:29">
      <c r="A669" t="s">
        <v>2196</v>
      </c>
      <c r="B669" s="1">
        <v>45039</v>
      </c>
      <c r="C669" t="s">
        <v>2197</v>
      </c>
      <c r="D669" t="s">
        <v>434</v>
      </c>
      <c r="E669">
        <v>54</v>
      </c>
      <c r="F669" t="s">
        <v>2198</v>
      </c>
      <c r="G669">
        <v>54</v>
      </c>
      <c r="H669">
        <v>72.858600000000024</v>
      </c>
      <c r="N669">
        <v>72.858600000000024</v>
      </c>
      <c r="O669" s="1">
        <v>44882</v>
      </c>
      <c r="P669">
        <f>IF(ISBLANK(ReconciliationData[[#This Row],[Invoice_ID]]),1,0)</f>
        <v>0</v>
      </c>
      <c r="Q669">
        <f>IF(AND(NOT(ISBLANK(ReconciliationData[[#This Row],[Billed_Units]])),ReconciliationData[[#This Row],[ordered_units]]&lt;&gt;ReconciliationData[[#This Row],[Billed_Units]]),1,0)</f>
        <v>0</v>
      </c>
      <c r="R6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69">
        <f>IF(AND(NOT(ISBLANK(ReconciliationData[[#This Row],[Contract_Price]])),ReconciliationData[[#This Row],[Billed_Price]]&lt;&gt;ReconciliationData[[#This Row],[Contract_Price]]),1,0)</f>
        <v>0</v>
      </c>
      <c r="T669">
        <f>IF(AND(NOT(ISBLANK(ReconciliationData[[#This Row],[End_Date]])),ReconciliationData[[#This Row],[Order_Date]]&gt;ReconciliationData[[#This Row],[End_Date]]),1,0)</f>
        <v>0</v>
      </c>
      <c r="U669">
        <f>IF(AND(NOT(ISBLANK(ReconciliationData[[#This Row],[last_return_date]])),ReconciliationData[[#This Row],[last_return_date]]&gt;ReconciliationData[[#This Row],[Order_Date]]+60),1,0)</f>
        <v>0</v>
      </c>
      <c r="V669">
        <f>IF(ReconciliationData[[#This Row],[total_returned_units]]&gt;ReconciliationData[[#This Row],[ordered_units]],1,0)</f>
        <v>0</v>
      </c>
      <c r="W6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69">
        <f>ReconciliationData[[#This Row],[Billed_Units]]*ReconciliationData[[#This Row],[Billed_Price]]</f>
        <v>3934.3644000000013</v>
      </c>
      <c r="Y669">
        <f>ReconciliationData[[#This Row],[ordered_units]]*ReconciliationData[[#This Row],[List_Price]]</f>
        <v>3934.3644000000013</v>
      </c>
      <c r="Z669">
        <f>ReconciliationData[[#This Row],[billed_revenue]]-ReconciliationData[[#This Row],[expected_revenue]]</f>
        <v>0</v>
      </c>
      <c r="AA6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69" t="str">
        <f>IF(ReconciliationData[[#This Row],[severity_score]]=0,"LOW",
 IF(ReconciliationData[[#This Row],[severity_score]]&lt;=5,"MEDIUM","HIGH"))</f>
        <v>LOW</v>
      </c>
      <c r="AC669" t="str">
        <f>TEXT(ReconciliationData[[#This Row],[Order_Date]],"YYYY-MM")</f>
        <v>2023-04</v>
      </c>
    </row>
    <row r="670" spans="1:29">
      <c r="A670" t="s">
        <v>2199</v>
      </c>
      <c r="B670" s="1">
        <v>45075</v>
      </c>
      <c r="C670" t="s">
        <v>2200</v>
      </c>
      <c r="D670" t="s">
        <v>529</v>
      </c>
      <c r="E670">
        <v>36</v>
      </c>
      <c r="F670" t="s">
        <v>2201</v>
      </c>
      <c r="G670">
        <v>36</v>
      </c>
      <c r="H670">
        <v>599.21640000000014</v>
      </c>
      <c r="N670">
        <v>599.21640000000014</v>
      </c>
      <c r="O670" s="1">
        <v>45055</v>
      </c>
      <c r="P670">
        <f>IF(ISBLANK(ReconciliationData[[#This Row],[Invoice_ID]]),1,0)</f>
        <v>0</v>
      </c>
      <c r="Q670">
        <f>IF(AND(NOT(ISBLANK(ReconciliationData[[#This Row],[Billed_Units]])),ReconciliationData[[#This Row],[ordered_units]]&lt;&gt;ReconciliationData[[#This Row],[Billed_Units]]),1,0)</f>
        <v>0</v>
      </c>
      <c r="R6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0">
        <f>IF(AND(NOT(ISBLANK(ReconciliationData[[#This Row],[Contract_Price]])),ReconciliationData[[#This Row],[Billed_Price]]&lt;&gt;ReconciliationData[[#This Row],[Contract_Price]]),1,0)</f>
        <v>0</v>
      </c>
      <c r="T670">
        <f>IF(AND(NOT(ISBLANK(ReconciliationData[[#This Row],[End_Date]])),ReconciliationData[[#This Row],[Order_Date]]&gt;ReconciliationData[[#This Row],[End_Date]]),1,0)</f>
        <v>0</v>
      </c>
      <c r="U670">
        <f>IF(AND(NOT(ISBLANK(ReconciliationData[[#This Row],[last_return_date]])),ReconciliationData[[#This Row],[last_return_date]]&gt;ReconciliationData[[#This Row],[Order_Date]]+60),1,0)</f>
        <v>0</v>
      </c>
      <c r="V670">
        <f>IF(ReconciliationData[[#This Row],[total_returned_units]]&gt;ReconciliationData[[#This Row],[ordered_units]],1,0)</f>
        <v>0</v>
      </c>
      <c r="W6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70">
        <f>ReconciliationData[[#This Row],[Billed_Units]]*ReconciliationData[[#This Row],[Billed_Price]]</f>
        <v>21571.790400000005</v>
      </c>
      <c r="Y670">
        <f>ReconciliationData[[#This Row],[ordered_units]]*ReconciliationData[[#This Row],[List_Price]]</f>
        <v>21571.790400000005</v>
      </c>
      <c r="Z670">
        <f>ReconciliationData[[#This Row],[billed_revenue]]-ReconciliationData[[#This Row],[expected_revenue]]</f>
        <v>0</v>
      </c>
      <c r="AA6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70" t="str">
        <f>IF(ReconciliationData[[#This Row],[severity_score]]=0,"LOW",
 IF(ReconciliationData[[#This Row],[severity_score]]&lt;=5,"MEDIUM","HIGH"))</f>
        <v>LOW</v>
      </c>
      <c r="AC670" t="str">
        <f>TEXT(ReconciliationData[[#This Row],[Order_Date]],"YYYY-MM")</f>
        <v>2023-05</v>
      </c>
    </row>
    <row r="671" spans="1:29">
      <c r="A671" t="s">
        <v>2202</v>
      </c>
      <c r="B671" s="1">
        <v>45526</v>
      </c>
      <c r="C671" t="s">
        <v>352</v>
      </c>
      <c r="D671" t="s">
        <v>389</v>
      </c>
      <c r="E671">
        <v>97</v>
      </c>
      <c r="F671" t="s">
        <v>2203</v>
      </c>
      <c r="G671">
        <v>94</v>
      </c>
      <c r="H671">
        <v>759.48969999999997</v>
      </c>
      <c r="N671">
        <v>759.48969999999997</v>
      </c>
      <c r="O671" s="1">
        <v>45138</v>
      </c>
      <c r="P671">
        <f>IF(ISBLANK(ReconciliationData[[#This Row],[Invoice_ID]]),1,0)</f>
        <v>0</v>
      </c>
      <c r="Q671">
        <f>IF(AND(NOT(ISBLANK(ReconciliationData[[#This Row],[Billed_Units]])),ReconciliationData[[#This Row],[ordered_units]]&lt;&gt;ReconciliationData[[#This Row],[Billed_Units]]),1,0)</f>
        <v>1</v>
      </c>
      <c r="R6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1">
        <f>IF(AND(NOT(ISBLANK(ReconciliationData[[#This Row],[Contract_Price]])),ReconciliationData[[#This Row],[Billed_Price]]&lt;&gt;ReconciliationData[[#This Row],[Contract_Price]]),1,0)</f>
        <v>0</v>
      </c>
      <c r="T671">
        <f>IF(AND(NOT(ISBLANK(ReconciliationData[[#This Row],[End_Date]])),ReconciliationData[[#This Row],[Order_Date]]&gt;ReconciliationData[[#This Row],[End_Date]]),1,0)</f>
        <v>0</v>
      </c>
      <c r="U671">
        <f>IF(AND(NOT(ISBLANK(ReconciliationData[[#This Row],[last_return_date]])),ReconciliationData[[#This Row],[last_return_date]]&gt;ReconciliationData[[#This Row],[Order_Date]]+60),1,0)</f>
        <v>0</v>
      </c>
      <c r="V671">
        <f>IF(ReconciliationData[[#This Row],[total_returned_units]]&gt;ReconciliationData[[#This Row],[ordered_units]],1,0)</f>
        <v>0</v>
      </c>
      <c r="W6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71">
        <f>ReconciliationData[[#This Row],[Billed_Units]]*ReconciliationData[[#This Row],[Billed_Price]]</f>
        <v>71392.031799999997</v>
      </c>
      <c r="Y671">
        <f>ReconciliationData[[#This Row],[ordered_units]]*ReconciliationData[[#This Row],[List_Price]]</f>
        <v>73670.500899999999</v>
      </c>
      <c r="Z671">
        <f>ReconciliationData[[#This Row],[billed_revenue]]-ReconciliationData[[#This Row],[expected_revenue]]</f>
        <v>-2278.4691000000021</v>
      </c>
      <c r="AA6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671" t="str">
        <f>IF(ReconciliationData[[#This Row],[severity_score]]=0,"LOW",
 IF(ReconciliationData[[#This Row],[severity_score]]&lt;=5,"MEDIUM","HIGH"))</f>
        <v>HIGH</v>
      </c>
      <c r="AC671" t="str">
        <f>TEXT(ReconciliationData[[#This Row],[Order_Date]],"YYYY-MM")</f>
        <v>2024-08</v>
      </c>
    </row>
    <row r="672" spans="1:29">
      <c r="A672" t="s">
        <v>2204</v>
      </c>
      <c r="B672" s="1">
        <v>45041</v>
      </c>
      <c r="C672" t="s">
        <v>559</v>
      </c>
      <c r="D672" t="s">
        <v>468</v>
      </c>
      <c r="E672">
        <v>139</v>
      </c>
      <c r="F672" t="s">
        <v>2205</v>
      </c>
      <c r="G672">
        <v>139</v>
      </c>
      <c r="H672">
        <v>376.62</v>
      </c>
      <c r="N672">
        <v>376.62</v>
      </c>
      <c r="O672" s="1">
        <v>44747</v>
      </c>
      <c r="P672">
        <f>IF(ISBLANK(ReconciliationData[[#This Row],[Invoice_ID]]),1,0)</f>
        <v>0</v>
      </c>
      <c r="Q672">
        <f>IF(AND(NOT(ISBLANK(ReconciliationData[[#This Row],[Billed_Units]])),ReconciliationData[[#This Row],[ordered_units]]&lt;&gt;ReconciliationData[[#This Row],[Billed_Units]]),1,0)</f>
        <v>0</v>
      </c>
      <c r="R6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2">
        <f>IF(AND(NOT(ISBLANK(ReconciliationData[[#This Row],[Contract_Price]])),ReconciliationData[[#This Row],[Billed_Price]]&lt;&gt;ReconciliationData[[#This Row],[Contract_Price]]),1,0)</f>
        <v>0</v>
      </c>
      <c r="T672">
        <f>IF(AND(NOT(ISBLANK(ReconciliationData[[#This Row],[End_Date]])),ReconciliationData[[#This Row],[Order_Date]]&gt;ReconciliationData[[#This Row],[End_Date]]),1,0)</f>
        <v>0</v>
      </c>
      <c r="U672">
        <f>IF(AND(NOT(ISBLANK(ReconciliationData[[#This Row],[last_return_date]])),ReconciliationData[[#This Row],[last_return_date]]&gt;ReconciliationData[[#This Row],[Order_Date]]+60),1,0)</f>
        <v>0</v>
      </c>
      <c r="V672">
        <f>IF(ReconciliationData[[#This Row],[total_returned_units]]&gt;ReconciliationData[[#This Row],[ordered_units]],1,0)</f>
        <v>0</v>
      </c>
      <c r="W6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72">
        <f>ReconciliationData[[#This Row],[Billed_Units]]*ReconciliationData[[#This Row],[Billed_Price]]</f>
        <v>52350.18</v>
      </c>
      <c r="Y672">
        <f>ReconciliationData[[#This Row],[ordered_units]]*ReconciliationData[[#This Row],[List_Price]]</f>
        <v>52350.18</v>
      </c>
      <c r="Z672">
        <f>ReconciliationData[[#This Row],[billed_revenue]]-ReconciliationData[[#This Row],[expected_revenue]]</f>
        <v>0</v>
      </c>
      <c r="AA6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72" t="str">
        <f>IF(ReconciliationData[[#This Row],[severity_score]]=0,"LOW",
 IF(ReconciliationData[[#This Row],[severity_score]]&lt;=5,"MEDIUM","HIGH"))</f>
        <v>LOW</v>
      </c>
      <c r="AC672" t="str">
        <f>TEXT(ReconciliationData[[#This Row],[Order_Date]],"YYYY-MM")</f>
        <v>2023-04</v>
      </c>
    </row>
    <row r="673" spans="1:29">
      <c r="A673" t="s">
        <v>2206</v>
      </c>
      <c r="B673" s="1">
        <v>45592</v>
      </c>
      <c r="C673" t="s">
        <v>2207</v>
      </c>
      <c r="D673" t="s">
        <v>1533</v>
      </c>
      <c r="E673">
        <v>29</v>
      </c>
      <c r="F673" t="s">
        <v>2208</v>
      </c>
      <c r="G673">
        <v>29</v>
      </c>
      <c r="H673">
        <v>952.36940000000004</v>
      </c>
      <c r="I673">
        <v>18</v>
      </c>
      <c r="J673" s="1">
        <v>45042</v>
      </c>
      <c r="N673">
        <v>952.36940000000004</v>
      </c>
      <c r="O673" s="1">
        <v>45169</v>
      </c>
      <c r="P673">
        <f>IF(ISBLANK(ReconciliationData[[#This Row],[Invoice_ID]]),1,0)</f>
        <v>0</v>
      </c>
      <c r="Q673">
        <f>IF(AND(NOT(ISBLANK(ReconciliationData[[#This Row],[Billed_Units]])),ReconciliationData[[#This Row],[ordered_units]]&lt;&gt;ReconciliationData[[#This Row],[Billed_Units]]),1,0)</f>
        <v>0</v>
      </c>
      <c r="R6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3">
        <f>IF(AND(NOT(ISBLANK(ReconciliationData[[#This Row],[Contract_Price]])),ReconciliationData[[#This Row],[Billed_Price]]&lt;&gt;ReconciliationData[[#This Row],[Contract_Price]]),1,0)</f>
        <v>0</v>
      </c>
      <c r="T673">
        <f>IF(AND(NOT(ISBLANK(ReconciliationData[[#This Row],[End_Date]])),ReconciliationData[[#This Row],[Order_Date]]&gt;ReconciliationData[[#This Row],[End_Date]]),1,0)</f>
        <v>0</v>
      </c>
      <c r="U673">
        <f>IF(AND(NOT(ISBLANK(ReconciliationData[[#This Row],[last_return_date]])),ReconciliationData[[#This Row],[last_return_date]]&gt;ReconciliationData[[#This Row],[Order_Date]]+60),1,0)</f>
        <v>0</v>
      </c>
      <c r="V673">
        <f>IF(ReconciliationData[[#This Row],[total_returned_units]]&gt;ReconciliationData[[#This Row],[ordered_units]],1,0)</f>
        <v>0</v>
      </c>
      <c r="W6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73">
        <f>ReconciliationData[[#This Row],[Billed_Units]]*ReconciliationData[[#This Row],[Billed_Price]]</f>
        <v>27618.712600000003</v>
      </c>
      <c r="Y673">
        <f>ReconciliationData[[#This Row],[ordered_units]]*ReconciliationData[[#This Row],[List_Price]]</f>
        <v>27618.712600000003</v>
      </c>
      <c r="Z673">
        <f>ReconciliationData[[#This Row],[billed_revenue]]-ReconciliationData[[#This Row],[expected_revenue]]</f>
        <v>0</v>
      </c>
      <c r="AA6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73" t="str">
        <f>IF(ReconciliationData[[#This Row],[severity_score]]=0,"LOW",
 IF(ReconciliationData[[#This Row],[severity_score]]&lt;=5,"MEDIUM","HIGH"))</f>
        <v>LOW</v>
      </c>
      <c r="AC673" t="str">
        <f>TEXT(ReconciliationData[[#This Row],[Order_Date]],"YYYY-MM")</f>
        <v>2024-10</v>
      </c>
    </row>
    <row r="674" spans="1:29">
      <c r="A674" t="s">
        <v>2209</v>
      </c>
      <c r="B674" s="1">
        <v>45033</v>
      </c>
      <c r="C674" t="s">
        <v>2210</v>
      </c>
      <c r="D674" t="s">
        <v>1358</v>
      </c>
      <c r="E674">
        <v>69</v>
      </c>
      <c r="F674" t="s">
        <v>2211</v>
      </c>
      <c r="G674">
        <v>69</v>
      </c>
      <c r="H674">
        <v>921.76</v>
      </c>
      <c r="I674">
        <v>7</v>
      </c>
      <c r="J674" s="1">
        <v>45355</v>
      </c>
      <c r="N674">
        <v>921.76</v>
      </c>
      <c r="O674" s="1">
        <v>44662</v>
      </c>
      <c r="P674">
        <f>IF(ISBLANK(ReconciliationData[[#This Row],[Invoice_ID]]),1,0)</f>
        <v>0</v>
      </c>
      <c r="Q674">
        <f>IF(AND(NOT(ISBLANK(ReconciliationData[[#This Row],[Billed_Units]])),ReconciliationData[[#This Row],[ordered_units]]&lt;&gt;ReconciliationData[[#This Row],[Billed_Units]]),1,0)</f>
        <v>0</v>
      </c>
      <c r="R6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4">
        <f>IF(AND(NOT(ISBLANK(ReconciliationData[[#This Row],[Contract_Price]])),ReconciliationData[[#This Row],[Billed_Price]]&lt;&gt;ReconciliationData[[#This Row],[Contract_Price]]),1,0)</f>
        <v>0</v>
      </c>
      <c r="T674">
        <f>IF(AND(NOT(ISBLANK(ReconciliationData[[#This Row],[End_Date]])),ReconciliationData[[#This Row],[Order_Date]]&gt;ReconciliationData[[#This Row],[End_Date]]),1,0)</f>
        <v>0</v>
      </c>
      <c r="U674">
        <f>IF(AND(NOT(ISBLANK(ReconciliationData[[#This Row],[last_return_date]])),ReconciliationData[[#This Row],[last_return_date]]&gt;ReconciliationData[[#This Row],[Order_Date]]+60),1,0)</f>
        <v>1</v>
      </c>
      <c r="V674">
        <f>IF(ReconciliationData[[#This Row],[total_returned_units]]&gt;ReconciliationData[[#This Row],[ordered_units]],1,0)</f>
        <v>0</v>
      </c>
      <c r="W6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74">
        <f>ReconciliationData[[#This Row],[Billed_Units]]*ReconciliationData[[#This Row],[Billed_Price]]</f>
        <v>63601.440000000002</v>
      </c>
      <c r="Y674">
        <f>ReconciliationData[[#This Row],[ordered_units]]*ReconciliationData[[#This Row],[List_Price]]</f>
        <v>63601.440000000002</v>
      </c>
      <c r="Z674">
        <f>ReconciliationData[[#This Row],[billed_revenue]]-ReconciliationData[[#This Row],[expected_revenue]]</f>
        <v>0</v>
      </c>
      <c r="AA6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674" t="str">
        <f>IF(ReconciliationData[[#This Row],[severity_score]]=0,"LOW",
 IF(ReconciliationData[[#This Row],[severity_score]]&lt;=5,"MEDIUM","HIGH"))</f>
        <v>MEDIUM</v>
      </c>
      <c r="AC674" t="str">
        <f>TEXT(ReconciliationData[[#This Row],[Order_Date]],"YYYY-MM")</f>
        <v>2023-04</v>
      </c>
    </row>
    <row r="675" spans="1:29">
      <c r="A675" t="s">
        <v>2212</v>
      </c>
      <c r="B675" s="1">
        <v>44956</v>
      </c>
      <c r="C675" t="s">
        <v>2015</v>
      </c>
      <c r="D675" t="s">
        <v>423</v>
      </c>
      <c r="E675">
        <v>143</v>
      </c>
      <c r="F675" t="s">
        <v>2213</v>
      </c>
      <c r="G675">
        <v>143</v>
      </c>
      <c r="H675">
        <v>157.13</v>
      </c>
      <c r="I675">
        <v>17</v>
      </c>
      <c r="J675" s="1">
        <v>45340</v>
      </c>
      <c r="N675">
        <v>157.13</v>
      </c>
      <c r="O675" s="1">
        <v>44741</v>
      </c>
      <c r="P675">
        <f>IF(ISBLANK(ReconciliationData[[#This Row],[Invoice_ID]]),1,0)</f>
        <v>0</v>
      </c>
      <c r="Q675">
        <f>IF(AND(NOT(ISBLANK(ReconciliationData[[#This Row],[Billed_Units]])),ReconciliationData[[#This Row],[ordered_units]]&lt;&gt;ReconciliationData[[#This Row],[Billed_Units]]),1,0)</f>
        <v>0</v>
      </c>
      <c r="R6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5">
        <f>IF(AND(NOT(ISBLANK(ReconciliationData[[#This Row],[Contract_Price]])),ReconciliationData[[#This Row],[Billed_Price]]&lt;&gt;ReconciliationData[[#This Row],[Contract_Price]]),1,0)</f>
        <v>0</v>
      </c>
      <c r="T675">
        <f>IF(AND(NOT(ISBLANK(ReconciliationData[[#This Row],[End_Date]])),ReconciliationData[[#This Row],[Order_Date]]&gt;ReconciliationData[[#This Row],[End_Date]]),1,0)</f>
        <v>0</v>
      </c>
      <c r="U675">
        <f>IF(AND(NOT(ISBLANK(ReconciliationData[[#This Row],[last_return_date]])),ReconciliationData[[#This Row],[last_return_date]]&gt;ReconciliationData[[#This Row],[Order_Date]]+60),1,0)</f>
        <v>1</v>
      </c>
      <c r="V675">
        <f>IF(ReconciliationData[[#This Row],[total_returned_units]]&gt;ReconciliationData[[#This Row],[ordered_units]],1,0)</f>
        <v>0</v>
      </c>
      <c r="W6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75">
        <f>ReconciliationData[[#This Row],[Billed_Units]]*ReconciliationData[[#This Row],[Billed_Price]]</f>
        <v>22469.59</v>
      </c>
      <c r="Y675">
        <f>ReconciliationData[[#This Row],[ordered_units]]*ReconciliationData[[#This Row],[List_Price]]</f>
        <v>22469.59</v>
      </c>
      <c r="Z675">
        <f>ReconciliationData[[#This Row],[billed_revenue]]-ReconciliationData[[#This Row],[expected_revenue]]</f>
        <v>0</v>
      </c>
      <c r="AA6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675" t="str">
        <f>IF(ReconciliationData[[#This Row],[severity_score]]=0,"LOW",
 IF(ReconciliationData[[#This Row],[severity_score]]&lt;=5,"MEDIUM","HIGH"))</f>
        <v>MEDIUM</v>
      </c>
      <c r="AC675" t="str">
        <f>TEXT(ReconciliationData[[#This Row],[Order_Date]],"YYYY-MM")</f>
        <v>2023-01</v>
      </c>
    </row>
    <row r="676" spans="1:29">
      <c r="A676" t="s">
        <v>2214</v>
      </c>
      <c r="B676" s="1">
        <v>45416</v>
      </c>
      <c r="C676" t="s">
        <v>838</v>
      </c>
      <c r="D676" t="s">
        <v>873</v>
      </c>
      <c r="E676">
        <v>162</v>
      </c>
      <c r="F676" t="s">
        <v>2215</v>
      </c>
      <c r="G676">
        <v>162</v>
      </c>
      <c r="H676">
        <v>956.41030000000001</v>
      </c>
      <c r="I676">
        <v>8</v>
      </c>
      <c r="J676" s="1">
        <v>45518</v>
      </c>
      <c r="N676">
        <v>956.41030000000001</v>
      </c>
      <c r="O676" s="1">
        <v>45168</v>
      </c>
      <c r="P676">
        <f>IF(ISBLANK(ReconciliationData[[#This Row],[Invoice_ID]]),1,0)</f>
        <v>0</v>
      </c>
      <c r="Q676">
        <f>IF(AND(NOT(ISBLANK(ReconciliationData[[#This Row],[Billed_Units]])),ReconciliationData[[#This Row],[ordered_units]]&lt;&gt;ReconciliationData[[#This Row],[Billed_Units]]),1,0)</f>
        <v>0</v>
      </c>
      <c r="R6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6">
        <f>IF(AND(NOT(ISBLANK(ReconciliationData[[#This Row],[Contract_Price]])),ReconciliationData[[#This Row],[Billed_Price]]&lt;&gt;ReconciliationData[[#This Row],[Contract_Price]]),1,0)</f>
        <v>0</v>
      </c>
      <c r="T676">
        <f>IF(AND(NOT(ISBLANK(ReconciliationData[[#This Row],[End_Date]])),ReconciliationData[[#This Row],[Order_Date]]&gt;ReconciliationData[[#This Row],[End_Date]]),1,0)</f>
        <v>0</v>
      </c>
      <c r="U676">
        <f>IF(AND(NOT(ISBLANK(ReconciliationData[[#This Row],[last_return_date]])),ReconciliationData[[#This Row],[last_return_date]]&gt;ReconciliationData[[#This Row],[Order_Date]]+60),1,0)</f>
        <v>1</v>
      </c>
      <c r="V676">
        <f>IF(ReconciliationData[[#This Row],[total_returned_units]]&gt;ReconciliationData[[#This Row],[ordered_units]],1,0)</f>
        <v>0</v>
      </c>
      <c r="W6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76">
        <f>ReconciliationData[[#This Row],[Billed_Units]]*ReconciliationData[[#This Row],[Billed_Price]]</f>
        <v>154938.46859999999</v>
      </c>
      <c r="Y676">
        <f>ReconciliationData[[#This Row],[ordered_units]]*ReconciliationData[[#This Row],[List_Price]]</f>
        <v>154938.46859999999</v>
      </c>
      <c r="Z676">
        <f>ReconciliationData[[#This Row],[billed_revenue]]-ReconciliationData[[#This Row],[expected_revenue]]</f>
        <v>0</v>
      </c>
      <c r="AA6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676" t="str">
        <f>IF(ReconciliationData[[#This Row],[severity_score]]=0,"LOW",
 IF(ReconciliationData[[#This Row],[severity_score]]&lt;=5,"MEDIUM","HIGH"))</f>
        <v>MEDIUM</v>
      </c>
      <c r="AC676" t="str">
        <f>TEXT(ReconciliationData[[#This Row],[Order_Date]],"YYYY-MM")</f>
        <v>2024-05</v>
      </c>
    </row>
    <row r="677" spans="1:29">
      <c r="A677" t="s">
        <v>2216</v>
      </c>
      <c r="B677" s="1">
        <v>45444</v>
      </c>
      <c r="C677" t="s">
        <v>2217</v>
      </c>
      <c r="D677" t="s">
        <v>768</v>
      </c>
      <c r="E677">
        <v>128</v>
      </c>
      <c r="F677" t="s">
        <v>2218</v>
      </c>
      <c r="G677">
        <v>126</v>
      </c>
      <c r="H677">
        <v>410.02</v>
      </c>
      <c r="N677">
        <v>410.02</v>
      </c>
      <c r="O677" s="1">
        <v>45017</v>
      </c>
      <c r="P677">
        <f>IF(ISBLANK(ReconciliationData[[#This Row],[Invoice_ID]]),1,0)</f>
        <v>0</v>
      </c>
      <c r="Q677">
        <f>IF(AND(NOT(ISBLANK(ReconciliationData[[#This Row],[Billed_Units]])),ReconciliationData[[#This Row],[ordered_units]]&lt;&gt;ReconciliationData[[#This Row],[Billed_Units]]),1,0)</f>
        <v>1</v>
      </c>
      <c r="R6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7">
        <f>IF(AND(NOT(ISBLANK(ReconciliationData[[#This Row],[Contract_Price]])),ReconciliationData[[#This Row],[Billed_Price]]&lt;&gt;ReconciliationData[[#This Row],[Contract_Price]]),1,0)</f>
        <v>0</v>
      </c>
      <c r="T677">
        <f>IF(AND(NOT(ISBLANK(ReconciliationData[[#This Row],[End_Date]])),ReconciliationData[[#This Row],[Order_Date]]&gt;ReconciliationData[[#This Row],[End_Date]]),1,0)</f>
        <v>0</v>
      </c>
      <c r="U677">
        <f>IF(AND(NOT(ISBLANK(ReconciliationData[[#This Row],[last_return_date]])),ReconciliationData[[#This Row],[last_return_date]]&gt;ReconciliationData[[#This Row],[Order_Date]]+60),1,0)</f>
        <v>0</v>
      </c>
      <c r="V677">
        <f>IF(ReconciliationData[[#This Row],[total_returned_units]]&gt;ReconciliationData[[#This Row],[ordered_units]],1,0)</f>
        <v>0</v>
      </c>
      <c r="W6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677">
        <f>ReconciliationData[[#This Row],[Billed_Units]]*ReconciliationData[[#This Row],[Billed_Price]]</f>
        <v>51662.52</v>
      </c>
      <c r="Y677">
        <f>ReconciliationData[[#This Row],[ordered_units]]*ReconciliationData[[#This Row],[List_Price]]</f>
        <v>52482.559999999998</v>
      </c>
      <c r="Z677">
        <f>ReconciliationData[[#This Row],[billed_revenue]]-ReconciliationData[[#This Row],[expected_revenue]]</f>
        <v>-820.04000000000087</v>
      </c>
      <c r="AA6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677" t="str">
        <f>IF(ReconciliationData[[#This Row],[severity_score]]=0,"LOW",
 IF(ReconciliationData[[#This Row],[severity_score]]&lt;=5,"MEDIUM","HIGH"))</f>
        <v>HIGH</v>
      </c>
      <c r="AC677" t="str">
        <f>TEXT(ReconciliationData[[#This Row],[Order_Date]],"YYYY-MM")</f>
        <v>2024-06</v>
      </c>
    </row>
    <row r="678" spans="1:29">
      <c r="A678" t="s">
        <v>2219</v>
      </c>
      <c r="B678" s="1">
        <v>44956</v>
      </c>
      <c r="C678" t="s">
        <v>1851</v>
      </c>
      <c r="D678" t="s">
        <v>548</v>
      </c>
      <c r="E678">
        <v>123</v>
      </c>
      <c r="F678" t="s">
        <v>2220</v>
      </c>
      <c r="G678">
        <v>123</v>
      </c>
      <c r="H678">
        <v>951.87149999999997</v>
      </c>
      <c r="N678">
        <v>951.87149999999997</v>
      </c>
      <c r="O678" s="1">
        <v>44887</v>
      </c>
      <c r="P678">
        <f>IF(ISBLANK(ReconciliationData[[#This Row],[Invoice_ID]]),1,0)</f>
        <v>0</v>
      </c>
      <c r="Q678">
        <f>IF(AND(NOT(ISBLANK(ReconciliationData[[#This Row],[Billed_Units]])),ReconciliationData[[#This Row],[ordered_units]]&lt;&gt;ReconciliationData[[#This Row],[Billed_Units]]),1,0)</f>
        <v>0</v>
      </c>
      <c r="R6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8">
        <f>IF(AND(NOT(ISBLANK(ReconciliationData[[#This Row],[Contract_Price]])),ReconciliationData[[#This Row],[Billed_Price]]&lt;&gt;ReconciliationData[[#This Row],[Contract_Price]]),1,0)</f>
        <v>0</v>
      </c>
      <c r="T678">
        <f>IF(AND(NOT(ISBLANK(ReconciliationData[[#This Row],[End_Date]])),ReconciliationData[[#This Row],[Order_Date]]&gt;ReconciliationData[[#This Row],[End_Date]]),1,0)</f>
        <v>0</v>
      </c>
      <c r="U678">
        <f>IF(AND(NOT(ISBLANK(ReconciliationData[[#This Row],[last_return_date]])),ReconciliationData[[#This Row],[last_return_date]]&gt;ReconciliationData[[#This Row],[Order_Date]]+60),1,0)</f>
        <v>0</v>
      </c>
      <c r="V678">
        <f>IF(ReconciliationData[[#This Row],[total_returned_units]]&gt;ReconciliationData[[#This Row],[ordered_units]],1,0)</f>
        <v>0</v>
      </c>
      <c r="W6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78">
        <f>ReconciliationData[[#This Row],[Billed_Units]]*ReconciliationData[[#This Row],[Billed_Price]]</f>
        <v>117080.1945</v>
      </c>
      <c r="Y678">
        <f>ReconciliationData[[#This Row],[ordered_units]]*ReconciliationData[[#This Row],[List_Price]]</f>
        <v>117080.1945</v>
      </c>
      <c r="Z678">
        <f>ReconciliationData[[#This Row],[billed_revenue]]-ReconciliationData[[#This Row],[expected_revenue]]</f>
        <v>0</v>
      </c>
      <c r="AA6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78" t="str">
        <f>IF(ReconciliationData[[#This Row],[severity_score]]=0,"LOW",
 IF(ReconciliationData[[#This Row],[severity_score]]&lt;=5,"MEDIUM","HIGH"))</f>
        <v>LOW</v>
      </c>
      <c r="AC678" t="str">
        <f>TEXT(ReconciliationData[[#This Row],[Order_Date]],"YYYY-MM")</f>
        <v>2023-01</v>
      </c>
    </row>
    <row r="679" spans="1:29">
      <c r="A679" t="s">
        <v>2221</v>
      </c>
      <c r="B679" s="1">
        <v>45198</v>
      </c>
      <c r="C679" t="s">
        <v>1801</v>
      </c>
      <c r="D679" t="s">
        <v>856</v>
      </c>
      <c r="E679">
        <v>44</v>
      </c>
      <c r="F679" t="s">
        <v>2222</v>
      </c>
      <c r="G679">
        <v>44</v>
      </c>
      <c r="H679">
        <v>1195.6769999999999</v>
      </c>
      <c r="N679">
        <v>1195.6769999999999</v>
      </c>
      <c r="O679" s="1">
        <v>45010</v>
      </c>
      <c r="P679">
        <f>IF(ISBLANK(ReconciliationData[[#This Row],[Invoice_ID]]),1,0)</f>
        <v>0</v>
      </c>
      <c r="Q679">
        <f>IF(AND(NOT(ISBLANK(ReconciliationData[[#This Row],[Billed_Units]])),ReconciliationData[[#This Row],[ordered_units]]&lt;&gt;ReconciliationData[[#This Row],[Billed_Units]]),1,0)</f>
        <v>0</v>
      </c>
      <c r="R6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79">
        <f>IF(AND(NOT(ISBLANK(ReconciliationData[[#This Row],[Contract_Price]])),ReconciliationData[[#This Row],[Billed_Price]]&lt;&gt;ReconciliationData[[#This Row],[Contract_Price]]),1,0)</f>
        <v>0</v>
      </c>
      <c r="T679">
        <f>IF(AND(NOT(ISBLANK(ReconciliationData[[#This Row],[End_Date]])),ReconciliationData[[#This Row],[Order_Date]]&gt;ReconciliationData[[#This Row],[End_Date]]),1,0)</f>
        <v>0</v>
      </c>
      <c r="U679">
        <f>IF(AND(NOT(ISBLANK(ReconciliationData[[#This Row],[last_return_date]])),ReconciliationData[[#This Row],[last_return_date]]&gt;ReconciliationData[[#This Row],[Order_Date]]+60),1,0)</f>
        <v>0</v>
      </c>
      <c r="V679">
        <f>IF(ReconciliationData[[#This Row],[total_returned_units]]&gt;ReconciliationData[[#This Row],[ordered_units]],1,0)</f>
        <v>0</v>
      </c>
      <c r="W6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79">
        <f>ReconciliationData[[#This Row],[Billed_Units]]*ReconciliationData[[#This Row],[Billed_Price]]</f>
        <v>52609.787999999993</v>
      </c>
      <c r="Y679">
        <f>ReconciliationData[[#This Row],[ordered_units]]*ReconciliationData[[#This Row],[List_Price]]</f>
        <v>52609.787999999993</v>
      </c>
      <c r="Z679">
        <f>ReconciliationData[[#This Row],[billed_revenue]]-ReconciliationData[[#This Row],[expected_revenue]]</f>
        <v>0</v>
      </c>
      <c r="AA6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79" t="str">
        <f>IF(ReconciliationData[[#This Row],[severity_score]]=0,"LOW",
 IF(ReconciliationData[[#This Row],[severity_score]]&lt;=5,"MEDIUM","HIGH"))</f>
        <v>LOW</v>
      </c>
      <c r="AC679" t="str">
        <f>TEXT(ReconciliationData[[#This Row],[Order_Date]],"YYYY-MM")</f>
        <v>2023-09</v>
      </c>
    </row>
    <row r="680" spans="1:29">
      <c r="A680" t="s">
        <v>2223</v>
      </c>
      <c r="B680" s="1">
        <v>45572</v>
      </c>
      <c r="C680" t="s">
        <v>771</v>
      </c>
      <c r="D680" t="s">
        <v>548</v>
      </c>
      <c r="E680">
        <v>117</v>
      </c>
      <c r="F680" t="s">
        <v>2224</v>
      </c>
      <c r="G680">
        <v>117</v>
      </c>
      <c r="H680">
        <v>1072.1079000000002</v>
      </c>
      <c r="N680">
        <v>1072.1079000000002</v>
      </c>
      <c r="O680" s="1">
        <v>45035</v>
      </c>
      <c r="P680">
        <f>IF(ISBLANK(ReconciliationData[[#This Row],[Invoice_ID]]),1,0)</f>
        <v>0</v>
      </c>
      <c r="Q680">
        <f>IF(AND(NOT(ISBLANK(ReconciliationData[[#This Row],[Billed_Units]])),ReconciliationData[[#This Row],[ordered_units]]&lt;&gt;ReconciliationData[[#This Row],[Billed_Units]]),1,0)</f>
        <v>0</v>
      </c>
      <c r="R6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0">
        <f>IF(AND(NOT(ISBLANK(ReconciliationData[[#This Row],[Contract_Price]])),ReconciliationData[[#This Row],[Billed_Price]]&lt;&gt;ReconciliationData[[#This Row],[Contract_Price]]),1,0)</f>
        <v>0</v>
      </c>
      <c r="T680">
        <f>IF(AND(NOT(ISBLANK(ReconciliationData[[#This Row],[End_Date]])),ReconciliationData[[#This Row],[Order_Date]]&gt;ReconciliationData[[#This Row],[End_Date]]),1,0)</f>
        <v>0</v>
      </c>
      <c r="U680">
        <f>IF(AND(NOT(ISBLANK(ReconciliationData[[#This Row],[last_return_date]])),ReconciliationData[[#This Row],[last_return_date]]&gt;ReconciliationData[[#This Row],[Order_Date]]+60),1,0)</f>
        <v>0</v>
      </c>
      <c r="V680">
        <f>IF(ReconciliationData[[#This Row],[total_returned_units]]&gt;ReconciliationData[[#This Row],[ordered_units]],1,0)</f>
        <v>0</v>
      </c>
      <c r="W6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0">
        <f>ReconciliationData[[#This Row],[Billed_Units]]*ReconciliationData[[#This Row],[Billed_Price]]</f>
        <v>125436.62430000002</v>
      </c>
      <c r="Y680">
        <f>ReconciliationData[[#This Row],[ordered_units]]*ReconciliationData[[#This Row],[List_Price]]</f>
        <v>125436.62430000002</v>
      </c>
      <c r="Z680">
        <f>ReconciliationData[[#This Row],[billed_revenue]]-ReconciliationData[[#This Row],[expected_revenue]]</f>
        <v>0</v>
      </c>
      <c r="AA6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0" t="str">
        <f>IF(ReconciliationData[[#This Row],[severity_score]]=0,"LOW",
 IF(ReconciliationData[[#This Row],[severity_score]]&lt;=5,"MEDIUM","HIGH"))</f>
        <v>LOW</v>
      </c>
      <c r="AC680" t="str">
        <f>TEXT(ReconciliationData[[#This Row],[Order_Date]],"YYYY-MM")</f>
        <v>2024-10</v>
      </c>
    </row>
    <row r="681" spans="1:29">
      <c r="A681" t="s">
        <v>2225</v>
      </c>
      <c r="B681" s="1">
        <v>45323</v>
      </c>
      <c r="C681" t="s">
        <v>631</v>
      </c>
      <c r="D681" t="s">
        <v>908</v>
      </c>
      <c r="E681">
        <v>194</v>
      </c>
      <c r="F681" t="s">
        <v>2226</v>
      </c>
      <c r="G681">
        <v>194</v>
      </c>
      <c r="H681">
        <v>565.82459999999992</v>
      </c>
      <c r="N681">
        <v>565.82459999999992</v>
      </c>
      <c r="O681" s="1">
        <v>45013</v>
      </c>
      <c r="P681">
        <f>IF(ISBLANK(ReconciliationData[[#This Row],[Invoice_ID]]),1,0)</f>
        <v>0</v>
      </c>
      <c r="Q681">
        <f>IF(AND(NOT(ISBLANK(ReconciliationData[[#This Row],[Billed_Units]])),ReconciliationData[[#This Row],[ordered_units]]&lt;&gt;ReconciliationData[[#This Row],[Billed_Units]]),1,0)</f>
        <v>0</v>
      </c>
      <c r="R6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1">
        <f>IF(AND(NOT(ISBLANK(ReconciliationData[[#This Row],[Contract_Price]])),ReconciliationData[[#This Row],[Billed_Price]]&lt;&gt;ReconciliationData[[#This Row],[Contract_Price]]),1,0)</f>
        <v>0</v>
      </c>
      <c r="T681">
        <f>IF(AND(NOT(ISBLANK(ReconciliationData[[#This Row],[End_Date]])),ReconciliationData[[#This Row],[Order_Date]]&gt;ReconciliationData[[#This Row],[End_Date]]),1,0)</f>
        <v>0</v>
      </c>
      <c r="U681">
        <f>IF(AND(NOT(ISBLANK(ReconciliationData[[#This Row],[last_return_date]])),ReconciliationData[[#This Row],[last_return_date]]&gt;ReconciliationData[[#This Row],[Order_Date]]+60),1,0)</f>
        <v>0</v>
      </c>
      <c r="V681">
        <f>IF(ReconciliationData[[#This Row],[total_returned_units]]&gt;ReconciliationData[[#This Row],[ordered_units]],1,0)</f>
        <v>0</v>
      </c>
      <c r="W6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1">
        <f>ReconciliationData[[#This Row],[Billed_Units]]*ReconciliationData[[#This Row],[Billed_Price]]</f>
        <v>109769.97239999998</v>
      </c>
      <c r="Y681">
        <f>ReconciliationData[[#This Row],[ordered_units]]*ReconciliationData[[#This Row],[List_Price]]</f>
        <v>109769.97239999998</v>
      </c>
      <c r="Z681">
        <f>ReconciliationData[[#This Row],[billed_revenue]]-ReconciliationData[[#This Row],[expected_revenue]]</f>
        <v>0</v>
      </c>
      <c r="AA6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1" t="str">
        <f>IF(ReconciliationData[[#This Row],[severity_score]]=0,"LOW",
 IF(ReconciliationData[[#This Row],[severity_score]]&lt;=5,"MEDIUM","HIGH"))</f>
        <v>LOW</v>
      </c>
      <c r="AC681" t="str">
        <f>TEXT(ReconciliationData[[#This Row],[Order_Date]],"YYYY-MM")</f>
        <v>2024-02</v>
      </c>
    </row>
    <row r="682" spans="1:29">
      <c r="A682" t="s">
        <v>2227</v>
      </c>
      <c r="B682" s="1">
        <v>45087</v>
      </c>
      <c r="C682" t="s">
        <v>2228</v>
      </c>
      <c r="D682" t="s">
        <v>1322</v>
      </c>
      <c r="E682">
        <v>196</v>
      </c>
      <c r="F682" t="s">
        <v>2229</v>
      </c>
      <c r="G682">
        <v>196</v>
      </c>
      <c r="H682">
        <v>74.311500000000009</v>
      </c>
      <c r="N682">
        <v>74.311500000000009</v>
      </c>
      <c r="O682" s="1">
        <v>44996</v>
      </c>
      <c r="P682">
        <f>IF(ISBLANK(ReconciliationData[[#This Row],[Invoice_ID]]),1,0)</f>
        <v>0</v>
      </c>
      <c r="Q682">
        <f>IF(AND(NOT(ISBLANK(ReconciliationData[[#This Row],[Billed_Units]])),ReconciliationData[[#This Row],[ordered_units]]&lt;&gt;ReconciliationData[[#This Row],[Billed_Units]]),1,0)</f>
        <v>0</v>
      </c>
      <c r="R6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2">
        <f>IF(AND(NOT(ISBLANK(ReconciliationData[[#This Row],[Contract_Price]])),ReconciliationData[[#This Row],[Billed_Price]]&lt;&gt;ReconciliationData[[#This Row],[Contract_Price]]),1,0)</f>
        <v>0</v>
      </c>
      <c r="T682">
        <f>IF(AND(NOT(ISBLANK(ReconciliationData[[#This Row],[End_Date]])),ReconciliationData[[#This Row],[Order_Date]]&gt;ReconciliationData[[#This Row],[End_Date]]),1,0)</f>
        <v>0</v>
      </c>
      <c r="U682">
        <f>IF(AND(NOT(ISBLANK(ReconciliationData[[#This Row],[last_return_date]])),ReconciliationData[[#This Row],[last_return_date]]&gt;ReconciliationData[[#This Row],[Order_Date]]+60),1,0)</f>
        <v>0</v>
      </c>
      <c r="V682">
        <f>IF(ReconciliationData[[#This Row],[total_returned_units]]&gt;ReconciliationData[[#This Row],[ordered_units]],1,0)</f>
        <v>0</v>
      </c>
      <c r="W6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2">
        <f>ReconciliationData[[#This Row],[Billed_Units]]*ReconciliationData[[#This Row],[Billed_Price]]</f>
        <v>14565.054000000002</v>
      </c>
      <c r="Y682">
        <f>ReconciliationData[[#This Row],[ordered_units]]*ReconciliationData[[#This Row],[List_Price]]</f>
        <v>14565.054000000002</v>
      </c>
      <c r="Z682">
        <f>ReconciliationData[[#This Row],[billed_revenue]]-ReconciliationData[[#This Row],[expected_revenue]]</f>
        <v>0</v>
      </c>
      <c r="AA6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2" t="str">
        <f>IF(ReconciliationData[[#This Row],[severity_score]]=0,"LOW",
 IF(ReconciliationData[[#This Row],[severity_score]]&lt;=5,"MEDIUM","HIGH"))</f>
        <v>LOW</v>
      </c>
      <c r="AC682" t="str">
        <f>TEXT(ReconciliationData[[#This Row],[Order_Date]],"YYYY-MM")</f>
        <v>2023-06</v>
      </c>
    </row>
    <row r="683" spans="1:29">
      <c r="A683" t="s">
        <v>2230</v>
      </c>
      <c r="B683" s="1">
        <v>45127</v>
      </c>
      <c r="C683" t="s">
        <v>2231</v>
      </c>
      <c r="D683" t="s">
        <v>1392</v>
      </c>
      <c r="E683">
        <v>108</v>
      </c>
      <c r="F683" t="s">
        <v>2232</v>
      </c>
      <c r="G683">
        <v>108</v>
      </c>
      <c r="H683">
        <v>107.1605</v>
      </c>
      <c r="N683">
        <v>107.1605</v>
      </c>
      <c r="O683" s="1">
        <v>44970</v>
      </c>
      <c r="P683">
        <f>IF(ISBLANK(ReconciliationData[[#This Row],[Invoice_ID]]),1,0)</f>
        <v>0</v>
      </c>
      <c r="Q683">
        <f>IF(AND(NOT(ISBLANK(ReconciliationData[[#This Row],[Billed_Units]])),ReconciliationData[[#This Row],[ordered_units]]&lt;&gt;ReconciliationData[[#This Row],[Billed_Units]]),1,0)</f>
        <v>0</v>
      </c>
      <c r="R6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3">
        <f>IF(AND(NOT(ISBLANK(ReconciliationData[[#This Row],[Contract_Price]])),ReconciliationData[[#This Row],[Billed_Price]]&lt;&gt;ReconciliationData[[#This Row],[Contract_Price]]),1,0)</f>
        <v>0</v>
      </c>
      <c r="T683">
        <f>IF(AND(NOT(ISBLANK(ReconciliationData[[#This Row],[End_Date]])),ReconciliationData[[#This Row],[Order_Date]]&gt;ReconciliationData[[#This Row],[End_Date]]),1,0)</f>
        <v>0</v>
      </c>
      <c r="U683">
        <f>IF(AND(NOT(ISBLANK(ReconciliationData[[#This Row],[last_return_date]])),ReconciliationData[[#This Row],[last_return_date]]&gt;ReconciliationData[[#This Row],[Order_Date]]+60),1,0)</f>
        <v>0</v>
      </c>
      <c r="V683">
        <f>IF(ReconciliationData[[#This Row],[total_returned_units]]&gt;ReconciliationData[[#This Row],[ordered_units]],1,0)</f>
        <v>0</v>
      </c>
      <c r="W6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3">
        <f>ReconciliationData[[#This Row],[Billed_Units]]*ReconciliationData[[#This Row],[Billed_Price]]</f>
        <v>11573.334000000001</v>
      </c>
      <c r="Y683">
        <f>ReconciliationData[[#This Row],[ordered_units]]*ReconciliationData[[#This Row],[List_Price]]</f>
        <v>11573.334000000001</v>
      </c>
      <c r="Z683">
        <f>ReconciliationData[[#This Row],[billed_revenue]]-ReconciliationData[[#This Row],[expected_revenue]]</f>
        <v>0</v>
      </c>
      <c r="AA6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3" t="str">
        <f>IF(ReconciliationData[[#This Row],[severity_score]]=0,"LOW",
 IF(ReconciliationData[[#This Row],[severity_score]]&lt;=5,"MEDIUM","HIGH"))</f>
        <v>LOW</v>
      </c>
      <c r="AC683" t="str">
        <f>TEXT(ReconciliationData[[#This Row],[Order_Date]],"YYYY-MM")</f>
        <v>2023-07</v>
      </c>
    </row>
    <row r="684" spans="1:29">
      <c r="A684" t="s">
        <v>2233</v>
      </c>
      <c r="B684" s="1">
        <v>45189</v>
      </c>
      <c r="C684" t="s">
        <v>1161</v>
      </c>
      <c r="D684" t="s">
        <v>449</v>
      </c>
      <c r="E684">
        <v>152</v>
      </c>
      <c r="F684" t="s">
        <v>2234</v>
      </c>
      <c r="G684">
        <v>152</v>
      </c>
      <c r="H684">
        <v>1006.5033</v>
      </c>
      <c r="N684">
        <v>1006.5033</v>
      </c>
      <c r="O684" s="1">
        <v>45123</v>
      </c>
      <c r="P684">
        <f>IF(ISBLANK(ReconciliationData[[#This Row],[Invoice_ID]]),1,0)</f>
        <v>0</v>
      </c>
      <c r="Q684">
        <f>IF(AND(NOT(ISBLANK(ReconciliationData[[#This Row],[Billed_Units]])),ReconciliationData[[#This Row],[ordered_units]]&lt;&gt;ReconciliationData[[#This Row],[Billed_Units]]),1,0)</f>
        <v>0</v>
      </c>
      <c r="R6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4">
        <f>IF(AND(NOT(ISBLANK(ReconciliationData[[#This Row],[Contract_Price]])),ReconciliationData[[#This Row],[Billed_Price]]&lt;&gt;ReconciliationData[[#This Row],[Contract_Price]]),1,0)</f>
        <v>0</v>
      </c>
      <c r="T684">
        <f>IF(AND(NOT(ISBLANK(ReconciliationData[[#This Row],[End_Date]])),ReconciliationData[[#This Row],[Order_Date]]&gt;ReconciliationData[[#This Row],[End_Date]]),1,0)</f>
        <v>0</v>
      </c>
      <c r="U684">
        <f>IF(AND(NOT(ISBLANK(ReconciliationData[[#This Row],[last_return_date]])),ReconciliationData[[#This Row],[last_return_date]]&gt;ReconciliationData[[#This Row],[Order_Date]]+60),1,0)</f>
        <v>0</v>
      </c>
      <c r="V684">
        <f>IF(ReconciliationData[[#This Row],[total_returned_units]]&gt;ReconciliationData[[#This Row],[ordered_units]],1,0)</f>
        <v>0</v>
      </c>
      <c r="W6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4">
        <f>ReconciliationData[[#This Row],[Billed_Units]]*ReconciliationData[[#This Row],[Billed_Price]]</f>
        <v>152988.50159999999</v>
      </c>
      <c r="Y684">
        <f>ReconciliationData[[#This Row],[ordered_units]]*ReconciliationData[[#This Row],[List_Price]]</f>
        <v>152988.50159999999</v>
      </c>
      <c r="Z684">
        <f>ReconciliationData[[#This Row],[billed_revenue]]-ReconciliationData[[#This Row],[expected_revenue]]</f>
        <v>0</v>
      </c>
      <c r="AA6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4" t="str">
        <f>IF(ReconciliationData[[#This Row],[severity_score]]=0,"LOW",
 IF(ReconciliationData[[#This Row],[severity_score]]&lt;=5,"MEDIUM","HIGH"))</f>
        <v>LOW</v>
      </c>
      <c r="AC684" t="str">
        <f>TEXT(ReconciliationData[[#This Row],[Order_Date]],"YYYY-MM")</f>
        <v>2023-09</v>
      </c>
    </row>
    <row r="685" spans="1:29">
      <c r="A685" t="s">
        <v>2235</v>
      </c>
      <c r="B685" s="1">
        <v>45329</v>
      </c>
      <c r="C685" t="s">
        <v>763</v>
      </c>
      <c r="D685" t="s">
        <v>166</v>
      </c>
      <c r="E685">
        <v>7</v>
      </c>
      <c r="F685" t="s">
        <v>2236</v>
      </c>
      <c r="G685">
        <v>7</v>
      </c>
      <c r="H685">
        <v>376.82319999999999</v>
      </c>
      <c r="N685">
        <v>376.82319999999999</v>
      </c>
      <c r="O685" s="1">
        <v>45171</v>
      </c>
      <c r="P685">
        <f>IF(ISBLANK(ReconciliationData[[#This Row],[Invoice_ID]]),1,0)</f>
        <v>0</v>
      </c>
      <c r="Q685">
        <f>IF(AND(NOT(ISBLANK(ReconciliationData[[#This Row],[Billed_Units]])),ReconciliationData[[#This Row],[ordered_units]]&lt;&gt;ReconciliationData[[#This Row],[Billed_Units]]),1,0)</f>
        <v>0</v>
      </c>
      <c r="R6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5">
        <f>IF(AND(NOT(ISBLANK(ReconciliationData[[#This Row],[Contract_Price]])),ReconciliationData[[#This Row],[Billed_Price]]&lt;&gt;ReconciliationData[[#This Row],[Contract_Price]]),1,0)</f>
        <v>0</v>
      </c>
      <c r="T685">
        <f>IF(AND(NOT(ISBLANK(ReconciliationData[[#This Row],[End_Date]])),ReconciliationData[[#This Row],[Order_Date]]&gt;ReconciliationData[[#This Row],[End_Date]]),1,0)</f>
        <v>0</v>
      </c>
      <c r="U685">
        <f>IF(AND(NOT(ISBLANK(ReconciliationData[[#This Row],[last_return_date]])),ReconciliationData[[#This Row],[last_return_date]]&gt;ReconciliationData[[#This Row],[Order_Date]]+60),1,0)</f>
        <v>0</v>
      </c>
      <c r="V685">
        <f>IF(ReconciliationData[[#This Row],[total_returned_units]]&gt;ReconciliationData[[#This Row],[ordered_units]],1,0)</f>
        <v>0</v>
      </c>
      <c r="W6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5">
        <f>ReconciliationData[[#This Row],[Billed_Units]]*ReconciliationData[[#This Row],[Billed_Price]]</f>
        <v>2637.7624000000001</v>
      </c>
      <c r="Y685">
        <f>ReconciliationData[[#This Row],[ordered_units]]*ReconciliationData[[#This Row],[List_Price]]</f>
        <v>2637.7624000000001</v>
      </c>
      <c r="Z685">
        <f>ReconciliationData[[#This Row],[billed_revenue]]-ReconciliationData[[#This Row],[expected_revenue]]</f>
        <v>0</v>
      </c>
      <c r="AA6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5" t="str">
        <f>IF(ReconciliationData[[#This Row],[severity_score]]=0,"LOW",
 IF(ReconciliationData[[#This Row],[severity_score]]&lt;=5,"MEDIUM","HIGH"))</f>
        <v>LOW</v>
      </c>
      <c r="AC685" t="str">
        <f>TEXT(ReconciliationData[[#This Row],[Order_Date]],"YYYY-MM")</f>
        <v>2024-02</v>
      </c>
    </row>
    <row r="686" spans="1:29">
      <c r="A686" t="s">
        <v>2237</v>
      </c>
      <c r="B686" s="1">
        <v>45302</v>
      </c>
      <c r="C686" t="s">
        <v>2031</v>
      </c>
      <c r="D686" t="s">
        <v>1003</v>
      </c>
      <c r="E686">
        <v>100</v>
      </c>
      <c r="F686" t="s">
        <v>2238</v>
      </c>
      <c r="G686">
        <v>100</v>
      </c>
      <c r="H686">
        <v>825.13580000000002</v>
      </c>
      <c r="N686">
        <v>825.13580000000002</v>
      </c>
      <c r="O686" s="1">
        <v>44998</v>
      </c>
      <c r="P686">
        <f>IF(ISBLANK(ReconciliationData[[#This Row],[Invoice_ID]]),1,0)</f>
        <v>0</v>
      </c>
      <c r="Q686">
        <f>IF(AND(NOT(ISBLANK(ReconciliationData[[#This Row],[Billed_Units]])),ReconciliationData[[#This Row],[ordered_units]]&lt;&gt;ReconciliationData[[#This Row],[Billed_Units]]),1,0)</f>
        <v>0</v>
      </c>
      <c r="R6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6">
        <f>IF(AND(NOT(ISBLANK(ReconciliationData[[#This Row],[Contract_Price]])),ReconciliationData[[#This Row],[Billed_Price]]&lt;&gt;ReconciliationData[[#This Row],[Contract_Price]]),1,0)</f>
        <v>0</v>
      </c>
      <c r="T686">
        <f>IF(AND(NOT(ISBLANK(ReconciliationData[[#This Row],[End_Date]])),ReconciliationData[[#This Row],[Order_Date]]&gt;ReconciliationData[[#This Row],[End_Date]]),1,0)</f>
        <v>0</v>
      </c>
      <c r="U686">
        <f>IF(AND(NOT(ISBLANK(ReconciliationData[[#This Row],[last_return_date]])),ReconciliationData[[#This Row],[last_return_date]]&gt;ReconciliationData[[#This Row],[Order_Date]]+60),1,0)</f>
        <v>0</v>
      </c>
      <c r="V686">
        <f>IF(ReconciliationData[[#This Row],[total_returned_units]]&gt;ReconciliationData[[#This Row],[ordered_units]],1,0)</f>
        <v>0</v>
      </c>
      <c r="W6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6">
        <f>ReconciliationData[[#This Row],[Billed_Units]]*ReconciliationData[[#This Row],[Billed_Price]]</f>
        <v>82513.58</v>
      </c>
      <c r="Y686">
        <f>ReconciliationData[[#This Row],[ordered_units]]*ReconciliationData[[#This Row],[List_Price]]</f>
        <v>82513.58</v>
      </c>
      <c r="Z686">
        <f>ReconciliationData[[#This Row],[billed_revenue]]-ReconciliationData[[#This Row],[expected_revenue]]</f>
        <v>0</v>
      </c>
      <c r="AA6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6" t="str">
        <f>IF(ReconciliationData[[#This Row],[severity_score]]=0,"LOW",
 IF(ReconciliationData[[#This Row],[severity_score]]&lt;=5,"MEDIUM","HIGH"))</f>
        <v>LOW</v>
      </c>
      <c r="AC686" t="str">
        <f>TEXT(ReconciliationData[[#This Row],[Order_Date]],"YYYY-MM")</f>
        <v>2024-01</v>
      </c>
    </row>
    <row r="687" spans="1:29">
      <c r="A687" t="s">
        <v>2239</v>
      </c>
      <c r="B687" s="1">
        <v>45099</v>
      </c>
      <c r="C687" t="s">
        <v>1670</v>
      </c>
      <c r="D687" t="s">
        <v>552</v>
      </c>
      <c r="E687">
        <v>135</v>
      </c>
      <c r="F687" t="s">
        <v>2240</v>
      </c>
      <c r="G687">
        <v>135</v>
      </c>
      <c r="H687">
        <v>442.15679999999998</v>
      </c>
      <c r="N687">
        <v>442.15679999999998</v>
      </c>
      <c r="O687" s="1">
        <v>44832</v>
      </c>
      <c r="P687">
        <f>IF(ISBLANK(ReconciliationData[[#This Row],[Invoice_ID]]),1,0)</f>
        <v>0</v>
      </c>
      <c r="Q687">
        <f>IF(AND(NOT(ISBLANK(ReconciliationData[[#This Row],[Billed_Units]])),ReconciliationData[[#This Row],[ordered_units]]&lt;&gt;ReconciliationData[[#This Row],[Billed_Units]]),1,0)</f>
        <v>0</v>
      </c>
      <c r="R6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7">
        <f>IF(AND(NOT(ISBLANK(ReconciliationData[[#This Row],[Contract_Price]])),ReconciliationData[[#This Row],[Billed_Price]]&lt;&gt;ReconciliationData[[#This Row],[Contract_Price]]),1,0)</f>
        <v>0</v>
      </c>
      <c r="T687">
        <f>IF(AND(NOT(ISBLANK(ReconciliationData[[#This Row],[End_Date]])),ReconciliationData[[#This Row],[Order_Date]]&gt;ReconciliationData[[#This Row],[End_Date]]),1,0)</f>
        <v>0</v>
      </c>
      <c r="U687">
        <f>IF(AND(NOT(ISBLANK(ReconciliationData[[#This Row],[last_return_date]])),ReconciliationData[[#This Row],[last_return_date]]&gt;ReconciliationData[[#This Row],[Order_Date]]+60),1,0)</f>
        <v>0</v>
      </c>
      <c r="V687">
        <f>IF(ReconciliationData[[#This Row],[total_returned_units]]&gt;ReconciliationData[[#This Row],[ordered_units]],1,0)</f>
        <v>0</v>
      </c>
      <c r="W6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7">
        <f>ReconciliationData[[#This Row],[Billed_Units]]*ReconciliationData[[#This Row],[Billed_Price]]</f>
        <v>59691.167999999998</v>
      </c>
      <c r="Y687">
        <f>ReconciliationData[[#This Row],[ordered_units]]*ReconciliationData[[#This Row],[List_Price]]</f>
        <v>59691.167999999998</v>
      </c>
      <c r="Z687">
        <f>ReconciliationData[[#This Row],[billed_revenue]]-ReconciliationData[[#This Row],[expected_revenue]]</f>
        <v>0</v>
      </c>
      <c r="AA6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7" t="str">
        <f>IF(ReconciliationData[[#This Row],[severity_score]]=0,"LOW",
 IF(ReconciliationData[[#This Row],[severity_score]]&lt;=5,"MEDIUM","HIGH"))</f>
        <v>LOW</v>
      </c>
      <c r="AC687" t="str">
        <f>TEXT(ReconciliationData[[#This Row],[Order_Date]],"YYYY-MM")</f>
        <v>2023-06</v>
      </c>
    </row>
    <row r="688" spans="1:29">
      <c r="A688" t="s">
        <v>2241</v>
      </c>
      <c r="B688" s="1">
        <v>45156</v>
      </c>
      <c r="C688" t="s">
        <v>2242</v>
      </c>
      <c r="D688" t="s">
        <v>349</v>
      </c>
      <c r="E688">
        <v>181</v>
      </c>
      <c r="F688" t="s">
        <v>2243</v>
      </c>
      <c r="G688">
        <v>181</v>
      </c>
      <c r="H688">
        <v>63.7194</v>
      </c>
      <c r="N688">
        <v>63.7194</v>
      </c>
      <c r="O688" s="1">
        <v>44867</v>
      </c>
      <c r="P688">
        <f>IF(ISBLANK(ReconciliationData[[#This Row],[Invoice_ID]]),1,0)</f>
        <v>0</v>
      </c>
      <c r="Q688">
        <f>IF(AND(NOT(ISBLANK(ReconciliationData[[#This Row],[Billed_Units]])),ReconciliationData[[#This Row],[ordered_units]]&lt;&gt;ReconciliationData[[#This Row],[Billed_Units]]),1,0)</f>
        <v>0</v>
      </c>
      <c r="R6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8">
        <f>IF(AND(NOT(ISBLANK(ReconciliationData[[#This Row],[Contract_Price]])),ReconciliationData[[#This Row],[Billed_Price]]&lt;&gt;ReconciliationData[[#This Row],[Contract_Price]]),1,0)</f>
        <v>0</v>
      </c>
      <c r="T688">
        <f>IF(AND(NOT(ISBLANK(ReconciliationData[[#This Row],[End_Date]])),ReconciliationData[[#This Row],[Order_Date]]&gt;ReconciliationData[[#This Row],[End_Date]]),1,0)</f>
        <v>0</v>
      </c>
      <c r="U688">
        <f>IF(AND(NOT(ISBLANK(ReconciliationData[[#This Row],[last_return_date]])),ReconciliationData[[#This Row],[last_return_date]]&gt;ReconciliationData[[#This Row],[Order_Date]]+60),1,0)</f>
        <v>0</v>
      </c>
      <c r="V688">
        <f>IF(ReconciliationData[[#This Row],[total_returned_units]]&gt;ReconciliationData[[#This Row],[ordered_units]],1,0)</f>
        <v>0</v>
      </c>
      <c r="W6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8">
        <f>ReconciliationData[[#This Row],[Billed_Units]]*ReconciliationData[[#This Row],[Billed_Price]]</f>
        <v>11533.2114</v>
      </c>
      <c r="Y688">
        <f>ReconciliationData[[#This Row],[ordered_units]]*ReconciliationData[[#This Row],[List_Price]]</f>
        <v>11533.2114</v>
      </c>
      <c r="Z688">
        <f>ReconciliationData[[#This Row],[billed_revenue]]-ReconciliationData[[#This Row],[expected_revenue]]</f>
        <v>0</v>
      </c>
      <c r="AA6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8" t="str">
        <f>IF(ReconciliationData[[#This Row],[severity_score]]=0,"LOW",
 IF(ReconciliationData[[#This Row],[severity_score]]&lt;=5,"MEDIUM","HIGH"))</f>
        <v>LOW</v>
      </c>
      <c r="AC688" t="str">
        <f>TEXT(ReconciliationData[[#This Row],[Order_Date]],"YYYY-MM")</f>
        <v>2023-08</v>
      </c>
    </row>
    <row r="689" spans="1:29">
      <c r="A689" t="s">
        <v>2244</v>
      </c>
      <c r="B689" s="1">
        <v>45351</v>
      </c>
      <c r="C689" t="s">
        <v>1135</v>
      </c>
      <c r="D689" t="s">
        <v>2245</v>
      </c>
      <c r="E689">
        <v>148</v>
      </c>
      <c r="F689" t="s">
        <v>2246</v>
      </c>
      <c r="G689">
        <v>148</v>
      </c>
      <c r="H689">
        <v>378.91109999999998</v>
      </c>
      <c r="N689">
        <v>378.91109999999998</v>
      </c>
      <c r="O689" s="1">
        <v>45117</v>
      </c>
      <c r="P689">
        <f>IF(ISBLANK(ReconciliationData[[#This Row],[Invoice_ID]]),1,0)</f>
        <v>0</v>
      </c>
      <c r="Q689">
        <f>IF(AND(NOT(ISBLANK(ReconciliationData[[#This Row],[Billed_Units]])),ReconciliationData[[#This Row],[ordered_units]]&lt;&gt;ReconciliationData[[#This Row],[Billed_Units]]),1,0)</f>
        <v>0</v>
      </c>
      <c r="R6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89">
        <f>IF(AND(NOT(ISBLANK(ReconciliationData[[#This Row],[Contract_Price]])),ReconciliationData[[#This Row],[Billed_Price]]&lt;&gt;ReconciliationData[[#This Row],[Contract_Price]]),1,0)</f>
        <v>0</v>
      </c>
      <c r="T689">
        <f>IF(AND(NOT(ISBLANK(ReconciliationData[[#This Row],[End_Date]])),ReconciliationData[[#This Row],[Order_Date]]&gt;ReconciliationData[[#This Row],[End_Date]]),1,0)</f>
        <v>0</v>
      </c>
      <c r="U689">
        <f>IF(AND(NOT(ISBLANK(ReconciliationData[[#This Row],[last_return_date]])),ReconciliationData[[#This Row],[last_return_date]]&gt;ReconciliationData[[#This Row],[Order_Date]]+60),1,0)</f>
        <v>0</v>
      </c>
      <c r="V689">
        <f>IF(ReconciliationData[[#This Row],[total_returned_units]]&gt;ReconciliationData[[#This Row],[ordered_units]],1,0)</f>
        <v>0</v>
      </c>
      <c r="W6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89">
        <f>ReconciliationData[[#This Row],[Billed_Units]]*ReconciliationData[[#This Row],[Billed_Price]]</f>
        <v>56078.842799999999</v>
      </c>
      <c r="Y689">
        <f>ReconciliationData[[#This Row],[ordered_units]]*ReconciliationData[[#This Row],[List_Price]]</f>
        <v>56078.842799999999</v>
      </c>
      <c r="Z689">
        <f>ReconciliationData[[#This Row],[billed_revenue]]-ReconciliationData[[#This Row],[expected_revenue]]</f>
        <v>0</v>
      </c>
      <c r="AA6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89" t="str">
        <f>IF(ReconciliationData[[#This Row],[severity_score]]=0,"LOW",
 IF(ReconciliationData[[#This Row],[severity_score]]&lt;=5,"MEDIUM","HIGH"))</f>
        <v>LOW</v>
      </c>
      <c r="AC689" t="str">
        <f>TEXT(ReconciliationData[[#This Row],[Order_Date]],"YYYY-MM")</f>
        <v>2024-02</v>
      </c>
    </row>
    <row r="690" spans="1:29">
      <c r="A690" t="s">
        <v>2247</v>
      </c>
      <c r="B690" s="1">
        <v>45091</v>
      </c>
      <c r="C690" t="s">
        <v>2248</v>
      </c>
      <c r="D690" t="s">
        <v>423</v>
      </c>
      <c r="E690">
        <v>179</v>
      </c>
      <c r="F690" t="s">
        <v>2249</v>
      </c>
      <c r="G690">
        <v>179</v>
      </c>
      <c r="H690">
        <v>168.12909999999999</v>
      </c>
      <c r="N690">
        <v>168.12909999999999</v>
      </c>
      <c r="O690" s="1">
        <v>45013</v>
      </c>
      <c r="P690">
        <f>IF(ISBLANK(ReconciliationData[[#This Row],[Invoice_ID]]),1,0)</f>
        <v>0</v>
      </c>
      <c r="Q690">
        <f>IF(AND(NOT(ISBLANK(ReconciliationData[[#This Row],[Billed_Units]])),ReconciliationData[[#This Row],[ordered_units]]&lt;&gt;ReconciliationData[[#This Row],[Billed_Units]]),1,0)</f>
        <v>0</v>
      </c>
      <c r="R6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0">
        <f>IF(AND(NOT(ISBLANK(ReconciliationData[[#This Row],[Contract_Price]])),ReconciliationData[[#This Row],[Billed_Price]]&lt;&gt;ReconciliationData[[#This Row],[Contract_Price]]),1,0)</f>
        <v>0</v>
      </c>
      <c r="T690">
        <f>IF(AND(NOT(ISBLANK(ReconciliationData[[#This Row],[End_Date]])),ReconciliationData[[#This Row],[Order_Date]]&gt;ReconciliationData[[#This Row],[End_Date]]),1,0)</f>
        <v>0</v>
      </c>
      <c r="U690">
        <f>IF(AND(NOT(ISBLANK(ReconciliationData[[#This Row],[last_return_date]])),ReconciliationData[[#This Row],[last_return_date]]&gt;ReconciliationData[[#This Row],[Order_Date]]+60),1,0)</f>
        <v>0</v>
      </c>
      <c r="V690">
        <f>IF(ReconciliationData[[#This Row],[total_returned_units]]&gt;ReconciliationData[[#This Row],[ordered_units]],1,0)</f>
        <v>0</v>
      </c>
      <c r="W6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0">
        <f>ReconciliationData[[#This Row],[Billed_Units]]*ReconciliationData[[#This Row],[Billed_Price]]</f>
        <v>30095.108899999999</v>
      </c>
      <c r="Y690">
        <f>ReconciliationData[[#This Row],[ordered_units]]*ReconciliationData[[#This Row],[List_Price]]</f>
        <v>30095.108899999999</v>
      </c>
      <c r="Z690">
        <f>ReconciliationData[[#This Row],[billed_revenue]]-ReconciliationData[[#This Row],[expected_revenue]]</f>
        <v>0</v>
      </c>
      <c r="AA6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0" t="str">
        <f>IF(ReconciliationData[[#This Row],[severity_score]]=0,"LOW",
 IF(ReconciliationData[[#This Row],[severity_score]]&lt;=5,"MEDIUM","HIGH"))</f>
        <v>LOW</v>
      </c>
      <c r="AC690" t="str">
        <f>TEXT(ReconciliationData[[#This Row],[Order_Date]],"YYYY-MM")</f>
        <v>2023-06</v>
      </c>
    </row>
    <row r="691" spans="1:29">
      <c r="A691" t="s">
        <v>2250</v>
      </c>
      <c r="B691" s="1">
        <v>45197</v>
      </c>
      <c r="C691" t="s">
        <v>2251</v>
      </c>
      <c r="D691" t="s">
        <v>552</v>
      </c>
      <c r="E691">
        <v>86</v>
      </c>
      <c r="F691" t="s">
        <v>2252</v>
      </c>
      <c r="G691">
        <v>86</v>
      </c>
      <c r="H691">
        <v>442.15679999999998</v>
      </c>
      <c r="N691">
        <v>442.15679999999998</v>
      </c>
      <c r="O691" s="1">
        <v>44832</v>
      </c>
      <c r="P691">
        <f>IF(ISBLANK(ReconciliationData[[#This Row],[Invoice_ID]]),1,0)</f>
        <v>0</v>
      </c>
      <c r="Q691">
        <f>IF(AND(NOT(ISBLANK(ReconciliationData[[#This Row],[Billed_Units]])),ReconciliationData[[#This Row],[ordered_units]]&lt;&gt;ReconciliationData[[#This Row],[Billed_Units]]),1,0)</f>
        <v>0</v>
      </c>
      <c r="R6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1">
        <f>IF(AND(NOT(ISBLANK(ReconciliationData[[#This Row],[Contract_Price]])),ReconciliationData[[#This Row],[Billed_Price]]&lt;&gt;ReconciliationData[[#This Row],[Contract_Price]]),1,0)</f>
        <v>0</v>
      </c>
      <c r="T691">
        <f>IF(AND(NOT(ISBLANK(ReconciliationData[[#This Row],[End_Date]])),ReconciliationData[[#This Row],[Order_Date]]&gt;ReconciliationData[[#This Row],[End_Date]]),1,0)</f>
        <v>0</v>
      </c>
      <c r="U691">
        <f>IF(AND(NOT(ISBLANK(ReconciliationData[[#This Row],[last_return_date]])),ReconciliationData[[#This Row],[last_return_date]]&gt;ReconciliationData[[#This Row],[Order_Date]]+60),1,0)</f>
        <v>0</v>
      </c>
      <c r="V691">
        <f>IF(ReconciliationData[[#This Row],[total_returned_units]]&gt;ReconciliationData[[#This Row],[ordered_units]],1,0)</f>
        <v>0</v>
      </c>
      <c r="W6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1">
        <f>ReconciliationData[[#This Row],[Billed_Units]]*ReconciliationData[[#This Row],[Billed_Price]]</f>
        <v>38025.484799999998</v>
      </c>
      <c r="Y691">
        <f>ReconciliationData[[#This Row],[ordered_units]]*ReconciliationData[[#This Row],[List_Price]]</f>
        <v>38025.484799999998</v>
      </c>
      <c r="Z691">
        <f>ReconciliationData[[#This Row],[billed_revenue]]-ReconciliationData[[#This Row],[expected_revenue]]</f>
        <v>0</v>
      </c>
      <c r="AA6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1" t="str">
        <f>IF(ReconciliationData[[#This Row],[severity_score]]=0,"LOW",
 IF(ReconciliationData[[#This Row],[severity_score]]&lt;=5,"MEDIUM","HIGH"))</f>
        <v>LOW</v>
      </c>
      <c r="AC691" t="str">
        <f>TEXT(ReconciliationData[[#This Row],[Order_Date]],"YYYY-MM")</f>
        <v>2023-09</v>
      </c>
    </row>
    <row r="692" spans="1:29">
      <c r="A692" t="s">
        <v>2253</v>
      </c>
      <c r="B692" s="1">
        <v>45542</v>
      </c>
      <c r="C692" t="s">
        <v>1731</v>
      </c>
      <c r="D692" t="s">
        <v>898</v>
      </c>
      <c r="E692">
        <v>151</v>
      </c>
      <c r="F692" t="s">
        <v>2254</v>
      </c>
      <c r="G692">
        <v>151</v>
      </c>
      <c r="H692">
        <v>744.98490000000004</v>
      </c>
      <c r="N692">
        <v>744.98490000000004</v>
      </c>
      <c r="O692" s="1">
        <v>45138</v>
      </c>
      <c r="P692">
        <f>IF(ISBLANK(ReconciliationData[[#This Row],[Invoice_ID]]),1,0)</f>
        <v>0</v>
      </c>
      <c r="Q692">
        <f>IF(AND(NOT(ISBLANK(ReconciliationData[[#This Row],[Billed_Units]])),ReconciliationData[[#This Row],[ordered_units]]&lt;&gt;ReconciliationData[[#This Row],[Billed_Units]]),1,0)</f>
        <v>0</v>
      </c>
      <c r="R6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2">
        <f>IF(AND(NOT(ISBLANK(ReconciliationData[[#This Row],[Contract_Price]])),ReconciliationData[[#This Row],[Billed_Price]]&lt;&gt;ReconciliationData[[#This Row],[Contract_Price]]),1,0)</f>
        <v>0</v>
      </c>
      <c r="T692">
        <f>IF(AND(NOT(ISBLANK(ReconciliationData[[#This Row],[End_Date]])),ReconciliationData[[#This Row],[Order_Date]]&gt;ReconciliationData[[#This Row],[End_Date]]),1,0)</f>
        <v>0</v>
      </c>
      <c r="U692">
        <f>IF(AND(NOT(ISBLANK(ReconciliationData[[#This Row],[last_return_date]])),ReconciliationData[[#This Row],[last_return_date]]&gt;ReconciliationData[[#This Row],[Order_Date]]+60),1,0)</f>
        <v>0</v>
      </c>
      <c r="V692">
        <f>IF(ReconciliationData[[#This Row],[total_returned_units]]&gt;ReconciliationData[[#This Row],[ordered_units]],1,0)</f>
        <v>0</v>
      </c>
      <c r="W6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2">
        <f>ReconciliationData[[#This Row],[Billed_Units]]*ReconciliationData[[#This Row],[Billed_Price]]</f>
        <v>112492.71990000001</v>
      </c>
      <c r="Y692">
        <f>ReconciliationData[[#This Row],[ordered_units]]*ReconciliationData[[#This Row],[List_Price]]</f>
        <v>112492.71990000001</v>
      </c>
      <c r="Z692">
        <f>ReconciliationData[[#This Row],[billed_revenue]]-ReconciliationData[[#This Row],[expected_revenue]]</f>
        <v>0</v>
      </c>
      <c r="AA6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2" t="str">
        <f>IF(ReconciliationData[[#This Row],[severity_score]]=0,"LOW",
 IF(ReconciliationData[[#This Row],[severity_score]]&lt;=5,"MEDIUM","HIGH"))</f>
        <v>LOW</v>
      </c>
      <c r="AC692" t="str">
        <f>TEXT(ReconciliationData[[#This Row],[Order_Date]],"YYYY-MM")</f>
        <v>2024-09</v>
      </c>
    </row>
    <row r="693" spans="1:29">
      <c r="A693" t="s">
        <v>2255</v>
      </c>
      <c r="B693" s="1">
        <v>45408</v>
      </c>
      <c r="C693" t="s">
        <v>1006</v>
      </c>
      <c r="D693" t="s">
        <v>1869</v>
      </c>
      <c r="E693">
        <v>194</v>
      </c>
      <c r="F693" t="s">
        <v>2256</v>
      </c>
      <c r="G693">
        <v>194</v>
      </c>
      <c r="H693">
        <v>75.504800000000003</v>
      </c>
      <c r="N693">
        <v>75.504800000000003</v>
      </c>
      <c r="O693" s="1">
        <v>45080</v>
      </c>
      <c r="P693">
        <f>IF(ISBLANK(ReconciliationData[[#This Row],[Invoice_ID]]),1,0)</f>
        <v>0</v>
      </c>
      <c r="Q693">
        <f>IF(AND(NOT(ISBLANK(ReconciliationData[[#This Row],[Billed_Units]])),ReconciliationData[[#This Row],[ordered_units]]&lt;&gt;ReconciliationData[[#This Row],[Billed_Units]]),1,0)</f>
        <v>0</v>
      </c>
      <c r="R6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3">
        <f>IF(AND(NOT(ISBLANK(ReconciliationData[[#This Row],[Contract_Price]])),ReconciliationData[[#This Row],[Billed_Price]]&lt;&gt;ReconciliationData[[#This Row],[Contract_Price]]),1,0)</f>
        <v>0</v>
      </c>
      <c r="T693">
        <f>IF(AND(NOT(ISBLANK(ReconciliationData[[#This Row],[End_Date]])),ReconciliationData[[#This Row],[Order_Date]]&gt;ReconciliationData[[#This Row],[End_Date]]),1,0)</f>
        <v>0</v>
      </c>
      <c r="U693">
        <f>IF(AND(NOT(ISBLANK(ReconciliationData[[#This Row],[last_return_date]])),ReconciliationData[[#This Row],[last_return_date]]&gt;ReconciliationData[[#This Row],[Order_Date]]+60),1,0)</f>
        <v>0</v>
      </c>
      <c r="V693">
        <f>IF(ReconciliationData[[#This Row],[total_returned_units]]&gt;ReconciliationData[[#This Row],[ordered_units]],1,0)</f>
        <v>0</v>
      </c>
      <c r="W6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3">
        <f>ReconciliationData[[#This Row],[Billed_Units]]*ReconciliationData[[#This Row],[Billed_Price]]</f>
        <v>14647.931200000001</v>
      </c>
      <c r="Y693">
        <f>ReconciliationData[[#This Row],[ordered_units]]*ReconciliationData[[#This Row],[List_Price]]</f>
        <v>14647.931200000001</v>
      </c>
      <c r="Z693">
        <f>ReconciliationData[[#This Row],[billed_revenue]]-ReconciliationData[[#This Row],[expected_revenue]]</f>
        <v>0</v>
      </c>
      <c r="AA6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3" t="str">
        <f>IF(ReconciliationData[[#This Row],[severity_score]]=0,"LOW",
 IF(ReconciliationData[[#This Row],[severity_score]]&lt;=5,"MEDIUM","HIGH"))</f>
        <v>LOW</v>
      </c>
      <c r="AC693" t="str">
        <f>TEXT(ReconciliationData[[#This Row],[Order_Date]],"YYYY-MM")</f>
        <v>2024-04</v>
      </c>
    </row>
    <row r="694" spans="1:29">
      <c r="A694" t="s">
        <v>2257</v>
      </c>
      <c r="B694" s="1">
        <v>45522</v>
      </c>
      <c r="C694" t="s">
        <v>2258</v>
      </c>
      <c r="D694" t="s">
        <v>374</v>
      </c>
      <c r="E694">
        <v>176</v>
      </c>
      <c r="F694" t="s">
        <v>2259</v>
      </c>
      <c r="G694">
        <v>176</v>
      </c>
      <c r="H694">
        <v>517.39100000000008</v>
      </c>
      <c r="N694">
        <v>517.39100000000008</v>
      </c>
      <c r="O694" s="1">
        <v>45045</v>
      </c>
      <c r="P694">
        <f>IF(ISBLANK(ReconciliationData[[#This Row],[Invoice_ID]]),1,0)</f>
        <v>0</v>
      </c>
      <c r="Q694">
        <f>IF(AND(NOT(ISBLANK(ReconciliationData[[#This Row],[Billed_Units]])),ReconciliationData[[#This Row],[ordered_units]]&lt;&gt;ReconciliationData[[#This Row],[Billed_Units]]),1,0)</f>
        <v>0</v>
      </c>
      <c r="R6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4">
        <f>IF(AND(NOT(ISBLANK(ReconciliationData[[#This Row],[Contract_Price]])),ReconciliationData[[#This Row],[Billed_Price]]&lt;&gt;ReconciliationData[[#This Row],[Contract_Price]]),1,0)</f>
        <v>0</v>
      </c>
      <c r="T694">
        <f>IF(AND(NOT(ISBLANK(ReconciliationData[[#This Row],[End_Date]])),ReconciliationData[[#This Row],[Order_Date]]&gt;ReconciliationData[[#This Row],[End_Date]]),1,0)</f>
        <v>0</v>
      </c>
      <c r="U694">
        <f>IF(AND(NOT(ISBLANK(ReconciliationData[[#This Row],[last_return_date]])),ReconciliationData[[#This Row],[last_return_date]]&gt;ReconciliationData[[#This Row],[Order_Date]]+60),1,0)</f>
        <v>0</v>
      </c>
      <c r="V694">
        <f>IF(ReconciliationData[[#This Row],[total_returned_units]]&gt;ReconciliationData[[#This Row],[ordered_units]],1,0)</f>
        <v>0</v>
      </c>
      <c r="W6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4">
        <f>ReconciliationData[[#This Row],[Billed_Units]]*ReconciliationData[[#This Row],[Billed_Price]]</f>
        <v>91060.816000000021</v>
      </c>
      <c r="Y694">
        <f>ReconciliationData[[#This Row],[ordered_units]]*ReconciliationData[[#This Row],[List_Price]]</f>
        <v>91060.816000000021</v>
      </c>
      <c r="Z694">
        <f>ReconciliationData[[#This Row],[billed_revenue]]-ReconciliationData[[#This Row],[expected_revenue]]</f>
        <v>0</v>
      </c>
      <c r="AA6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4" t="str">
        <f>IF(ReconciliationData[[#This Row],[severity_score]]=0,"LOW",
 IF(ReconciliationData[[#This Row],[severity_score]]&lt;=5,"MEDIUM","HIGH"))</f>
        <v>LOW</v>
      </c>
      <c r="AC694" t="str">
        <f>TEXT(ReconciliationData[[#This Row],[Order_Date]],"YYYY-MM")</f>
        <v>2024-08</v>
      </c>
    </row>
    <row r="695" spans="1:29">
      <c r="A695" t="s">
        <v>2260</v>
      </c>
      <c r="B695" s="1">
        <v>45369</v>
      </c>
      <c r="C695" t="s">
        <v>2261</v>
      </c>
      <c r="D695" t="s">
        <v>393</v>
      </c>
      <c r="E695">
        <v>22</v>
      </c>
      <c r="F695" t="s">
        <v>2262</v>
      </c>
      <c r="G695">
        <v>22</v>
      </c>
      <c r="H695">
        <v>1080.0740000000001</v>
      </c>
      <c r="N695">
        <v>1080.0740000000001</v>
      </c>
      <c r="O695" s="1">
        <v>45058</v>
      </c>
      <c r="P695">
        <f>IF(ISBLANK(ReconciliationData[[#This Row],[Invoice_ID]]),1,0)</f>
        <v>0</v>
      </c>
      <c r="Q695">
        <f>IF(AND(NOT(ISBLANK(ReconciliationData[[#This Row],[Billed_Units]])),ReconciliationData[[#This Row],[ordered_units]]&lt;&gt;ReconciliationData[[#This Row],[Billed_Units]]),1,0)</f>
        <v>0</v>
      </c>
      <c r="R6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5">
        <f>IF(AND(NOT(ISBLANK(ReconciliationData[[#This Row],[Contract_Price]])),ReconciliationData[[#This Row],[Billed_Price]]&lt;&gt;ReconciliationData[[#This Row],[Contract_Price]]),1,0)</f>
        <v>0</v>
      </c>
      <c r="T695">
        <f>IF(AND(NOT(ISBLANK(ReconciliationData[[#This Row],[End_Date]])),ReconciliationData[[#This Row],[Order_Date]]&gt;ReconciliationData[[#This Row],[End_Date]]),1,0)</f>
        <v>0</v>
      </c>
      <c r="U695">
        <f>IF(AND(NOT(ISBLANK(ReconciliationData[[#This Row],[last_return_date]])),ReconciliationData[[#This Row],[last_return_date]]&gt;ReconciliationData[[#This Row],[Order_Date]]+60),1,0)</f>
        <v>0</v>
      </c>
      <c r="V695">
        <f>IF(ReconciliationData[[#This Row],[total_returned_units]]&gt;ReconciliationData[[#This Row],[ordered_units]],1,0)</f>
        <v>0</v>
      </c>
      <c r="W6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5">
        <f>ReconciliationData[[#This Row],[Billed_Units]]*ReconciliationData[[#This Row],[Billed_Price]]</f>
        <v>23761.628000000001</v>
      </c>
      <c r="Y695">
        <f>ReconciliationData[[#This Row],[ordered_units]]*ReconciliationData[[#This Row],[List_Price]]</f>
        <v>23761.628000000001</v>
      </c>
      <c r="Z695">
        <f>ReconciliationData[[#This Row],[billed_revenue]]-ReconciliationData[[#This Row],[expected_revenue]]</f>
        <v>0</v>
      </c>
      <c r="AA6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5" t="str">
        <f>IF(ReconciliationData[[#This Row],[severity_score]]=0,"LOW",
 IF(ReconciliationData[[#This Row],[severity_score]]&lt;=5,"MEDIUM","HIGH"))</f>
        <v>LOW</v>
      </c>
      <c r="AC695" t="str">
        <f>TEXT(ReconciliationData[[#This Row],[Order_Date]],"YYYY-MM")</f>
        <v>2024-03</v>
      </c>
    </row>
    <row r="696" spans="1:29">
      <c r="A696" t="s">
        <v>2263</v>
      </c>
      <c r="B696" s="1">
        <v>45505</v>
      </c>
      <c r="C696" t="s">
        <v>820</v>
      </c>
      <c r="D696" t="s">
        <v>1654</v>
      </c>
      <c r="E696">
        <v>74</v>
      </c>
      <c r="F696" t="s">
        <v>2264</v>
      </c>
      <c r="G696">
        <v>74</v>
      </c>
      <c r="H696">
        <v>1197.9306999999999</v>
      </c>
      <c r="N696">
        <v>1197.9306999999999</v>
      </c>
      <c r="O696" s="1">
        <v>45089</v>
      </c>
      <c r="P696">
        <f>IF(ISBLANK(ReconciliationData[[#This Row],[Invoice_ID]]),1,0)</f>
        <v>0</v>
      </c>
      <c r="Q696">
        <f>IF(AND(NOT(ISBLANK(ReconciliationData[[#This Row],[Billed_Units]])),ReconciliationData[[#This Row],[ordered_units]]&lt;&gt;ReconciliationData[[#This Row],[Billed_Units]]),1,0)</f>
        <v>0</v>
      </c>
      <c r="R6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6">
        <f>IF(AND(NOT(ISBLANK(ReconciliationData[[#This Row],[Contract_Price]])),ReconciliationData[[#This Row],[Billed_Price]]&lt;&gt;ReconciliationData[[#This Row],[Contract_Price]]),1,0)</f>
        <v>0</v>
      </c>
      <c r="T696">
        <f>IF(AND(NOT(ISBLANK(ReconciliationData[[#This Row],[End_Date]])),ReconciliationData[[#This Row],[Order_Date]]&gt;ReconciliationData[[#This Row],[End_Date]]),1,0)</f>
        <v>0</v>
      </c>
      <c r="U696">
        <f>IF(AND(NOT(ISBLANK(ReconciliationData[[#This Row],[last_return_date]])),ReconciliationData[[#This Row],[last_return_date]]&gt;ReconciliationData[[#This Row],[Order_Date]]+60),1,0)</f>
        <v>0</v>
      </c>
      <c r="V696">
        <f>IF(ReconciliationData[[#This Row],[total_returned_units]]&gt;ReconciliationData[[#This Row],[ordered_units]],1,0)</f>
        <v>0</v>
      </c>
      <c r="W6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6">
        <f>ReconciliationData[[#This Row],[Billed_Units]]*ReconciliationData[[#This Row],[Billed_Price]]</f>
        <v>88646.871799999994</v>
      </c>
      <c r="Y696">
        <f>ReconciliationData[[#This Row],[ordered_units]]*ReconciliationData[[#This Row],[List_Price]]</f>
        <v>88646.871799999994</v>
      </c>
      <c r="Z696">
        <f>ReconciliationData[[#This Row],[billed_revenue]]-ReconciliationData[[#This Row],[expected_revenue]]</f>
        <v>0</v>
      </c>
      <c r="AA6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6" t="str">
        <f>IF(ReconciliationData[[#This Row],[severity_score]]=0,"LOW",
 IF(ReconciliationData[[#This Row],[severity_score]]&lt;=5,"MEDIUM","HIGH"))</f>
        <v>LOW</v>
      </c>
      <c r="AC696" t="str">
        <f>TEXT(ReconciliationData[[#This Row],[Order_Date]],"YYYY-MM")</f>
        <v>2024-08</v>
      </c>
    </row>
    <row r="697" spans="1:29">
      <c r="A697" t="s">
        <v>2265</v>
      </c>
      <c r="B697" s="1">
        <v>44993</v>
      </c>
      <c r="C697" t="s">
        <v>1056</v>
      </c>
      <c r="D697" t="s">
        <v>1616</v>
      </c>
      <c r="E697">
        <v>125</v>
      </c>
      <c r="F697" t="s">
        <v>2266</v>
      </c>
      <c r="G697">
        <v>125</v>
      </c>
      <c r="H697">
        <v>1085.2801000000002</v>
      </c>
      <c r="N697">
        <v>1085.2801000000002</v>
      </c>
      <c r="O697" s="1">
        <v>44835</v>
      </c>
      <c r="P697">
        <f>IF(ISBLANK(ReconciliationData[[#This Row],[Invoice_ID]]),1,0)</f>
        <v>0</v>
      </c>
      <c r="Q697">
        <f>IF(AND(NOT(ISBLANK(ReconciliationData[[#This Row],[Billed_Units]])),ReconciliationData[[#This Row],[ordered_units]]&lt;&gt;ReconciliationData[[#This Row],[Billed_Units]]),1,0)</f>
        <v>0</v>
      </c>
      <c r="R6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7">
        <f>IF(AND(NOT(ISBLANK(ReconciliationData[[#This Row],[Contract_Price]])),ReconciliationData[[#This Row],[Billed_Price]]&lt;&gt;ReconciliationData[[#This Row],[Contract_Price]]),1,0)</f>
        <v>0</v>
      </c>
      <c r="T697">
        <f>IF(AND(NOT(ISBLANK(ReconciliationData[[#This Row],[End_Date]])),ReconciliationData[[#This Row],[Order_Date]]&gt;ReconciliationData[[#This Row],[End_Date]]),1,0)</f>
        <v>0</v>
      </c>
      <c r="U697">
        <f>IF(AND(NOT(ISBLANK(ReconciliationData[[#This Row],[last_return_date]])),ReconciliationData[[#This Row],[last_return_date]]&gt;ReconciliationData[[#This Row],[Order_Date]]+60),1,0)</f>
        <v>0</v>
      </c>
      <c r="V697">
        <f>IF(ReconciliationData[[#This Row],[total_returned_units]]&gt;ReconciliationData[[#This Row],[ordered_units]],1,0)</f>
        <v>0</v>
      </c>
      <c r="W6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7">
        <f>ReconciliationData[[#This Row],[Billed_Units]]*ReconciliationData[[#This Row],[Billed_Price]]</f>
        <v>135660.01250000001</v>
      </c>
      <c r="Y697">
        <f>ReconciliationData[[#This Row],[ordered_units]]*ReconciliationData[[#This Row],[List_Price]]</f>
        <v>135660.01250000001</v>
      </c>
      <c r="Z697">
        <f>ReconciliationData[[#This Row],[billed_revenue]]-ReconciliationData[[#This Row],[expected_revenue]]</f>
        <v>0</v>
      </c>
      <c r="AA6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7" t="str">
        <f>IF(ReconciliationData[[#This Row],[severity_score]]=0,"LOW",
 IF(ReconciliationData[[#This Row],[severity_score]]&lt;=5,"MEDIUM","HIGH"))</f>
        <v>LOW</v>
      </c>
      <c r="AC697" t="str">
        <f>TEXT(ReconciliationData[[#This Row],[Order_Date]],"YYYY-MM")</f>
        <v>2023-03</v>
      </c>
    </row>
    <row r="698" spans="1:29">
      <c r="A698" t="s">
        <v>2267</v>
      </c>
      <c r="B698" s="1">
        <v>45275</v>
      </c>
      <c r="C698" t="s">
        <v>2268</v>
      </c>
      <c r="D698" t="s">
        <v>389</v>
      </c>
      <c r="E698">
        <v>154</v>
      </c>
      <c r="F698" t="s">
        <v>2269</v>
      </c>
      <c r="G698">
        <v>154</v>
      </c>
      <c r="H698">
        <v>759.48969999999997</v>
      </c>
      <c r="N698">
        <v>759.48969999999997</v>
      </c>
      <c r="O698" s="1">
        <v>45138</v>
      </c>
      <c r="P698">
        <f>IF(ISBLANK(ReconciliationData[[#This Row],[Invoice_ID]]),1,0)</f>
        <v>0</v>
      </c>
      <c r="Q698">
        <f>IF(AND(NOT(ISBLANK(ReconciliationData[[#This Row],[Billed_Units]])),ReconciliationData[[#This Row],[ordered_units]]&lt;&gt;ReconciliationData[[#This Row],[Billed_Units]]),1,0)</f>
        <v>0</v>
      </c>
      <c r="R6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8">
        <f>IF(AND(NOT(ISBLANK(ReconciliationData[[#This Row],[Contract_Price]])),ReconciliationData[[#This Row],[Billed_Price]]&lt;&gt;ReconciliationData[[#This Row],[Contract_Price]]),1,0)</f>
        <v>0</v>
      </c>
      <c r="T698">
        <f>IF(AND(NOT(ISBLANK(ReconciliationData[[#This Row],[End_Date]])),ReconciliationData[[#This Row],[Order_Date]]&gt;ReconciliationData[[#This Row],[End_Date]]),1,0)</f>
        <v>0</v>
      </c>
      <c r="U698">
        <f>IF(AND(NOT(ISBLANK(ReconciliationData[[#This Row],[last_return_date]])),ReconciliationData[[#This Row],[last_return_date]]&gt;ReconciliationData[[#This Row],[Order_Date]]+60),1,0)</f>
        <v>0</v>
      </c>
      <c r="V698">
        <f>IF(ReconciliationData[[#This Row],[total_returned_units]]&gt;ReconciliationData[[#This Row],[ordered_units]],1,0)</f>
        <v>0</v>
      </c>
      <c r="W6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8">
        <f>ReconciliationData[[#This Row],[Billed_Units]]*ReconciliationData[[#This Row],[Billed_Price]]</f>
        <v>116961.41379999999</v>
      </c>
      <c r="Y698">
        <f>ReconciliationData[[#This Row],[ordered_units]]*ReconciliationData[[#This Row],[List_Price]]</f>
        <v>116961.41379999999</v>
      </c>
      <c r="Z698">
        <f>ReconciliationData[[#This Row],[billed_revenue]]-ReconciliationData[[#This Row],[expected_revenue]]</f>
        <v>0</v>
      </c>
      <c r="AA6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8" t="str">
        <f>IF(ReconciliationData[[#This Row],[severity_score]]=0,"LOW",
 IF(ReconciliationData[[#This Row],[severity_score]]&lt;=5,"MEDIUM","HIGH"))</f>
        <v>LOW</v>
      </c>
      <c r="AC698" t="str">
        <f>TEXT(ReconciliationData[[#This Row],[Order_Date]],"YYYY-MM")</f>
        <v>2023-12</v>
      </c>
    </row>
    <row r="699" spans="1:29">
      <c r="A699" t="s">
        <v>2270</v>
      </c>
      <c r="B699" s="1">
        <v>45025</v>
      </c>
      <c r="C699" t="s">
        <v>467</v>
      </c>
      <c r="D699" t="s">
        <v>1449</v>
      </c>
      <c r="E699">
        <v>183</v>
      </c>
      <c r="F699" t="s">
        <v>2271</v>
      </c>
      <c r="G699">
        <v>183</v>
      </c>
      <c r="H699">
        <v>1011.43</v>
      </c>
      <c r="N699">
        <v>1011.43</v>
      </c>
      <c r="O699" s="1">
        <v>44724</v>
      </c>
      <c r="P699">
        <f>IF(ISBLANK(ReconciliationData[[#This Row],[Invoice_ID]]),1,0)</f>
        <v>0</v>
      </c>
      <c r="Q699">
        <f>IF(AND(NOT(ISBLANK(ReconciliationData[[#This Row],[Billed_Units]])),ReconciliationData[[#This Row],[ordered_units]]&lt;&gt;ReconciliationData[[#This Row],[Billed_Units]]),1,0)</f>
        <v>0</v>
      </c>
      <c r="R6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699">
        <f>IF(AND(NOT(ISBLANK(ReconciliationData[[#This Row],[Contract_Price]])),ReconciliationData[[#This Row],[Billed_Price]]&lt;&gt;ReconciliationData[[#This Row],[Contract_Price]]),1,0)</f>
        <v>0</v>
      </c>
      <c r="T699">
        <f>IF(AND(NOT(ISBLANK(ReconciliationData[[#This Row],[End_Date]])),ReconciliationData[[#This Row],[Order_Date]]&gt;ReconciliationData[[#This Row],[End_Date]]),1,0)</f>
        <v>0</v>
      </c>
      <c r="U699">
        <f>IF(AND(NOT(ISBLANK(ReconciliationData[[#This Row],[last_return_date]])),ReconciliationData[[#This Row],[last_return_date]]&gt;ReconciliationData[[#This Row],[Order_Date]]+60),1,0)</f>
        <v>0</v>
      </c>
      <c r="V699">
        <f>IF(ReconciliationData[[#This Row],[total_returned_units]]&gt;ReconciliationData[[#This Row],[ordered_units]],1,0)</f>
        <v>0</v>
      </c>
      <c r="W6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699">
        <f>ReconciliationData[[#This Row],[Billed_Units]]*ReconciliationData[[#This Row],[Billed_Price]]</f>
        <v>185091.69</v>
      </c>
      <c r="Y699">
        <f>ReconciliationData[[#This Row],[ordered_units]]*ReconciliationData[[#This Row],[List_Price]]</f>
        <v>185091.69</v>
      </c>
      <c r="Z699">
        <f>ReconciliationData[[#This Row],[billed_revenue]]-ReconciliationData[[#This Row],[expected_revenue]]</f>
        <v>0</v>
      </c>
      <c r="AA6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699" t="str">
        <f>IF(ReconciliationData[[#This Row],[severity_score]]=0,"LOW",
 IF(ReconciliationData[[#This Row],[severity_score]]&lt;=5,"MEDIUM","HIGH"))</f>
        <v>LOW</v>
      </c>
      <c r="AC699" t="str">
        <f>TEXT(ReconciliationData[[#This Row],[Order_Date]],"YYYY-MM")</f>
        <v>2023-04</v>
      </c>
    </row>
    <row r="700" spans="1:29">
      <c r="A700" t="s">
        <v>2272</v>
      </c>
      <c r="B700" s="1">
        <v>45633</v>
      </c>
      <c r="C700" t="s">
        <v>2273</v>
      </c>
      <c r="D700" t="s">
        <v>309</v>
      </c>
      <c r="E700">
        <v>92</v>
      </c>
      <c r="F700" t="s">
        <v>2274</v>
      </c>
      <c r="G700">
        <v>92</v>
      </c>
      <c r="H700">
        <v>946.74860000000001</v>
      </c>
      <c r="I700">
        <v>4</v>
      </c>
      <c r="J700" s="1">
        <v>45390</v>
      </c>
      <c r="N700">
        <v>946.74860000000001</v>
      </c>
      <c r="O700" s="1">
        <v>45038</v>
      </c>
      <c r="P700">
        <f>IF(ISBLANK(ReconciliationData[[#This Row],[Invoice_ID]]),1,0)</f>
        <v>0</v>
      </c>
      <c r="Q700">
        <f>IF(AND(NOT(ISBLANK(ReconciliationData[[#This Row],[Billed_Units]])),ReconciliationData[[#This Row],[ordered_units]]&lt;&gt;ReconciliationData[[#This Row],[Billed_Units]]),1,0)</f>
        <v>0</v>
      </c>
      <c r="R7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0">
        <f>IF(AND(NOT(ISBLANK(ReconciliationData[[#This Row],[Contract_Price]])),ReconciliationData[[#This Row],[Billed_Price]]&lt;&gt;ReconciliationData[[#This Row],[Contract_Price]]),1,0)</f>
        <v>0</v>
      </c>
      <c r="T700">
        <f>IF(AND(NOT(ISBLANK(ReconciliationData[[#This Row],[End_Date]])),ReconciliationData[[#This Row],[Order_Date]]&gt;ReconciliationData[[#This Row],[End_Date]]),1,0)</f>
        <v>0</v>
      </c>
      <c r="U700">
        <f>IF(AND(NOT(ISBLANK(ReconciliationData[[#This Row],[last_return_date]])),ReconciliationData[[#This Row],[last_return_date]]&gt;ReconciliationData[[#This Row],[Order_Date]]+60),1,0)</f>
        <v>0</v>
      </c>
      <c r="V700">
        <f>IF(ReconciliationData[[#This Row],[total_returned_units]]&gt;ReconciliationData[[#This Row],[ordered_units]],1,0)</f>
        <v>0</v>
      </c>
      <c r="W7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00">
        <f>ReconciliationData[[#This Row],[Billed_Units]]*ReconciliationData[[#This Row],[Billed_Price]]</f>
        <v>87100.871199999994</v>
      </c>
      <c r="Y700">
        <f>ReconciliationData[[#This Row],[ordered_units]]*ReconciliationData[[#This Row],[List_Price]]</f>
        <v>87100.871199999994</v>
      </c>
      <c r="Z700">
        <f>ReconciliationData[[#This Row],[billed_revenue]]-ReconciliationData[[#This Row],[expected_revenue]]</f>
        <v>0</v>
      </c>
      <c r="AA7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00" t="str">
        <f>IF(ReconciliationData[[#This Row],[severity_score]]=0,"LOW",
 IF(ReconciliationData[[#This Row],[severity_score]]&lt;=5,"MEDIUM","HIGH"))</f>
        <v>LOW</v>
      </c>
      <c r="AC700" t="str">
        <f>TEXT(ReconciliationData[[#This Row],[Order_Date]],"YYYY-MM")</f>
        <v>2024-12</v>
      </c>
    </row>
    <row r="701" spans="1:29">
      <c r="A701" t="s">
        <v>2275</v>
      </c>
      <c r="B701" s="1">
        <v>44973</v>
      </c>
      <c r="C701" t="s">
        <v>1120</v>
      </c>
      <c r="D701" t="s">
        <v>937</v>
      </c>
      <c r="E701">
        <v>126</v>
      </c>
      <c r="F701" t="s">
        <v>2276</v>
      </c>
      <c r="G701">
        <v>126</v>
      </c>
      <c r="H701">
        <v>431.81990000000002</v>
      </c>
      <c r="N701">
        <v>431.81990000000002</v>
      </c>
      <c r="O701" s="1">
        <v>44807</v>
      </c>
      <c r="P701">
        <f>IF(ISBLANK(ReconciliationData[[#This Row],[Invoice_ID]]),1,0)</f>
        <v>0</v>
      </c>
      <c r="Q701">
        <f>IF(AND(NOT(ISBLANK(ReconciliationData[[#This Row],[Billed_Units]])),ReconciliationData[[#This Row],[ordered_units]]&lt;&gt;ReconciliationData[[#This Row],[Billed_Units]]),1,0)</f>
        <v>0</v>
      </c>
      <c r="R7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1">
        <f>IF(AND(NOT(ISBLANK(ReconciliationData[[#This Row],[Contract_Price]])),ReconciliationData[[#This Row],[Billed_Price]]&lt;&gt;ReconciliationData[[#This Row],[Contract_Price]]),1,0)</f>
        <v>0</v>
      </c>
      <c r="T701">
        <f>IF(AND(NOT(ISBLANK(ReconciliationData[[#This Row],[End_Date]])),ReconciliationData[[#This Row],[Order_Date]]&gt;ReconciliationData[[#This Row],[End_Date]]),1,0)</f>
        <v>0</v>
      </c>
      <c r="U701">
        <f>IF(AND(NOT(ISBLANK(ReconciliationData[[#This Row],[last_return_date]])),ReconciliationData[[#This Row],[last_return_date]]&gt;ReconciliationData[[#This Row],[Order_Date]]+60),1,0)</f>
        <v>0</v>
      </c>
      <c r="V701">
        <f>IF(ReconciliationData[[#This Row],[total_returned_units]]&gt;ReconciliationData[[#This Row],[ordered_units]],1,0)</f>
        <v>0</v>
      </c>
      <c r="W7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01">
        <f>ReconciliationData[[#This Row],[Billed_Units]]*ReconciliationData[[#This Row],[Billed_Price]]</f>
        <v>54409.307400000005</v>
      </c>
      <c r="Y701">
        <f>ReconciliationData[[#This Row],[ordered_units]]*ReconciliationData[[#This Row],[List_Price]]</f>
        <v>54409.307400000005</v>
      </c>
      <c r="Z701">
        <f>ReconciliationData[[#This Row],[billed_revenue]]-ReconciliationData[[#This Row],[expected_revenue]]</f>
        <v>0</v>
      </c>
      <c r="AA7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01" t="str">
        <f>IF(ReconciliationData[[#This Row],[severity_score]]=0,"LOW",
 IF(ReconciliationData[[#This Row],[severity_score]]&lt;=5,"MEDIUM","HIGH"))</f>
        <v>LOW</v>
      </c>
      <c r="AC701" t="str">
        <f>TEXT(ReconciliationData[[#This Row],[Order_Date]],"YYYY-MM")</f>
        <v>2023-02</v>
      </c>
    </row>
    <row r="702" spans="1:29">
      <c r="A702" t="s">
        <v>2277</v>
      </c>
      <c r="B702" s="1">
        <v>45222</v>
      </c>
      <c r="C702" t="s">
        <v>1000</v>
      </c>
      <c r="D702" t="s">
        <v>1245</v>
      </c>
      <c r="E702">
        <v>114</v>
      </c>
      <c r="F702" t="s">
        <v>2278</v>
      </c>
      <c r="G702">
        <v>114</v>
      </c>
      <c r="H702">
        <v>247.48920000000001</v>
      </c>
      <c r="N702">
        <v>247.48920000000001</v>
      </c>
      <c r="O702" s="1">
        <v>45088</v>
      </c>
      <c r="P702">
        <f>IF(ISBLANK(ReconciliationData[[#This Row],[Invoice_ID]]),1,0)</f>
        <v>0</v>
      </c>
      <c r="Q702">
        <f>IF(AND(NOT(ISBLANK(ReconciliationData[[#This Row],[Billed_Units]])),ReconciliationData[[#This Row],[ordered_units]]&lt;&gt;ReconciliationData[[#This Row],[Billed_Units]]),1,0)</f>
        <v>0</v>
      </c>
      <c r="R7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2">
        <f>IF(AND(NOT(ISBLANK(ReconciliationData[[#This Row],[Contract_Price]])),ReconciliationData[[#This Row],[Billed_Price]]&lt;&gt;ReconciliationData[[#This Row],[Contract_Price]]),1,0)</f>
        <v>0</v>
      </c>
      <c r="T702">
        <f>IF(AND(NOT(ISBLANK(ReconciliationData[[#This Row],[End_Date]])),ReconciliationData[[#This Row],[Order_Date]]&gt;ReconciliationData[[#This Row],[End_Date]]),1,0)</f>
        <v>0</v>
      </c>
      <c r="U702">
        <f>IF(AND(NOT(ISBLANK(ReconciliationData[[#This Row],[last_return_date]])),ReconciliationData[[#This Row],[last_return_date]]&gt;ReconciliationData[[#This Row],[Order_Date]]+60),1,0)</f>
        <v>0</v>
      </c>
      <c r="V702">
        <f>IF(ReconciliationData[[#This Row],[total_returned_units]]&gt;ReconciliationData[[#This Row],[ordered_units]],1,0)</f>
        <v>0</v>
      </c>
      <c r="W7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02">
        <f>ReconciliationData[[#This Row],[Billed_Units]]*ReconciliationData[[#This Row],[Billed_Price]]</f>
        <v>28213.768800000002</v>
      </c>
      <c r="Y702">
        <f>ReconciliationData[[#This Row],[ordered_units]]*ReconciliationData[[#This Row],[List_Price]]</f>
        <v>28213.768800000002</v>
      </c>
      <c r="Z702">
        <f>ReconciliationData[[#This Row],[billed_revenue]]-ReconciliationData[[#This Row],[expected_revenue]]</f>
        <v>0</v>
      </c>
      <c r="AA7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02" t="str">
        <f>IF(ReconciliationData[[#This Row],[severity_score]]=0,"LOW",
 IF(ReconciliationData[[#This Row],[severity_score]]&lt;=5,"MEDIUM","HIGH"))</f>
        <v>LOW</v>
      </c>
      <c r="AC702" t="str">
        <f>TEXT(ReconciliationData[[#This Row],[Order_Date]],"YYYY-MM")</f>
        <v>2023-10</v>
      </c>
    </row>
    <row r="703" spans="1:29">
      <c r="A703" t="s">
        <v>2279</v>
      </c>
      <c r="B703" s="1">
        <v>45625</v>
      </c>
      <c r="C703" t="s">
        <v>2280</v>
      </c>
      <c r="D703" t="s">
        <v>883</v>
      </c>
      <c r="E703">
        <v>15</v>
      </c>
      <c r="F703" t="s">
        <v>2281</v>
      </c>
      <c r="G703">
        <v>15</v>
      </c>
      <c r="H703">
        <v>403.01909999999998</v>
      </c>
      <c r="N703">
        <v>403.01909999999998</v>
      </c>
      <c r="O703" s="1">
        <v>45056</v>
      </c>
      <c r="P703">
        <f>IF(ISBLANK(ReconciliationData[[#This Row],[Invoice_ID]]),1,0)</f>
        <v>0</v>
      </c>
      <c r="Q703">
        <f>IF(AND(NOT(ISBLANK(ReconciliationData[[#This Row],[Billed_Units]])),ReconciliationData[[#This Row],[ordered_units]]&lt;&gt;ReconciliationData[[#This Row],[Billed_Units]]),1,0)</f>
        <v>0</v>
      </c>
      <c r="R7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3">
        <f>IF(AND(NOT(ISBLANK(ReconciliationData[[#This Row],[Contract_Price]])),ReconciliationData[[#This Row],[Billed_Price]]&lt;&gt;ReconciliationData[[#This Row],[Contract_Price]]),1,0)</f>
        <v>0</v>
      </c>
      <c r="T703">
        <f>IF(AND(NOT(ISBLANK(ReconciliationData[[#This Row],[End_Date]])),ReconciliationData[[#This Row],[Order_Date]]&gt;ReconciliationData[[#This Row],[End_Date]]),1,0)</f>
        <v>0</v>
      </c>
      <c r="U703">
        <f>IF(AND(NOT(ISBLANK(ReconciliationData[[#This Row],[last_return_date]])),ReconciliationData[[#This Row],[last_return_date]]&gt;ReconciliationData[[#This Row],[Order_Date]]+60),1,0)</f>
        <v>0</v>
      </c>
      <c r="V703">
        <f>IF(ReconciliationData[[#This Row],[total_returned_units]]&gt;ReconciliationData[[#This Row],[ordered_units]],1,0)</f>
        <v>0</v>
      </c>
      <c r="W7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03">
        <f>ReconciliationData[[#This Row],[Billed_Units]]*ReconciliationData[[#This Row],[Billed_Price]]</f>
        <v>6045.2865000000002</v>
      </c>
      <c r="Y703">
        <f>ReconciliationData[[#This Row],[ordered_units]]*ReconciliationData[[#This Row],[List_Price]]</f>
        <v>6045.2865000000002</v>
      </c>
      <c r="Z703">
        <f>ReconciliationData[[#This Row],[billed_revenue]]-ReconciliationData[[#This Row],[expected_revenue]]</f>
        <v>0</v>
      </c>
      <c r="AA7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03" t="str">
        <f>IF(ReconciliationData[[#This Row],[severity_score]]=0,"LOW",
 IF(ReconciliationData[[#This Row],[severity_score]]&lt;=5,"MEDIUM","HIGH"))</f>
        <v>LOW</v>
      </c>
      <c r="AC703" t="str">
        <f>TEXT(ReconciliationData[[#This Row],[Order_Date]],"YYYY-MM")</f>
        <v>2024-11</v>
      </c>
    </row>
    <row r="704" spans="1:29">
      <c r="A704" t="s">
        <v>2282</v>
      </c>
      <c r="B704" s="1">
        <v>45405</v>
      </c>
      <c r="C704" t="s">
        <v>1043</v>
      </c>
      <c r="D704" t="s">
        <v>2283</v>
      </c>
      <c r="E704">
        <v>135</v>
      </c>
      <c r="F704" t="s">
        <v>2284</v>
      </c>
      <c r="G704">
        <v>135</v>
      </c>
      <c r="H704">
        <v>68.942999999999998</v>
      </c>
      <c r="N704">
        <v>68.942999999999998</v>
      </c>
      <c r="O704" s="1">
        <v>44998</v>
      </c>
      <c r="P704">
        <f>IF(ISBLANK(ReconciliationData[[#This Row],[Invoice_ID]]),1,0)</f>
        <v>0</v>
      </c>
      <c r="Q704">
        <f>IF(AND(NOT(ISBLANK(ReconciliationData[[#This Row],[Billed_Units]])),ReconciliationData[[#This Row],[ordered_units]]&lt;&gt;ReconciliationData[[#This Row],[Billed_Units]]),1,0)</f>
        <v>0</v>
      </c>
      <c r="R7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4">
        <f>IF(AND(NOT(ISBLANK(ReconciliationData[[#This Row],[Contract_Price]])),ReconciliationData[[#This Row],[Billed_Price]]&lt;&gt;ReconciliationData[[#This Row],[Contract_Price]]),1,0)</f>
        <v>0</v>
      </c>
      <c r="T704">
        <f>IF(AND(NOT(ISBLANK(ReconciliationData[[#This Row],[End_Date]])),ReconciliationData[[#This Row],[Order_Date]]&gt;ReconciliationData[[#This Row],[End_Date]]),1,0)</f>
        <v>0</v>
      </c>
      <c r="U704">
        <f>IF(AND(NOT(ISBLANK(ReconciliationData[[#This Row],[last_return_date]])),ReconciliationData[[#This Row],[last_return_date]]&gt;ReconciliationData[[#This Row],[Order_Date]]+60),1,0)</f>
        <v>0</v>
      </c>
      <c r="V704">
        <f>IF(ReconciliationData[[#This Row],[total_returned_units]]&gt;ReconciliationData[[#This Row],[ordered_units]],1,0)</f>
        <v>0</v>
      </c>
      <c r="W7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04">
        <f>ReconciliationData[[#This Row],[Billed_Units]]*ReconciliationData[[#This Row],[Billed_Price]]</f>
        <v>9307.3050000000003</v>
      </c>
      <c r="Y704">
        <f>ReconciliationData[[#This Row],[ordered_units]]*ReconciliationData[[#This Row],[List_Price]]</f>
        <v>9307.3050000000003</v>
      </c>
      <c r="Z704">
        <f>ReconciliationData[[#This Row],[billed_revenue]]-ReconciliationData[[#This Row],[expected_revenue]]</f>
        <v>0</v>
      </c>
      <c r="AA7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04" t="str">
        <f>IF(ReconciliationData[[#This Row],[severity_score]]=0,"LOW",
 IF(ReconciliationData[[#This Row],[severity_score]]&lt;=5,"MEDIUM","HIGH"))</f>
        <v>LOW</v>
      </c>
      <c r="AC704" t="str">
        <f>TEXT(ReconciliationData[[#This Row],[Order_Date]],"YYYY-MM")</f>
        <v>2024-04</v>
      </c>
    </row>
    <row r="705" spans="1:29">
      <c r="A705" t="s">
        <v>2285</v>
      </c>
      <c r="B705" s="1">
        <v>45357</v>
      </c>
      <c r="C705" t="s">
        <v>528</v>
      </c>
      <c r="D705" t="s">
        <v>227</v>
      </c>
      <c r="E705">
        <v>196</v>
      </c>
      <c r="F705" t="s">
        <v>2286</v>
      </c>
      <c r="G705">
        <v>196</v>
      </c>
      <c r="H705">
        <v>626.68790000000001</v>
      </c>
      <c r="N705">
        <v>626.68790000000001</v>
      </c>
      <c r="O705" s="1">
        <v>45103</v>
      </c>
      <c r="P705">
        <f>IF(ISBLANK(ReconciliationData[[#This Row],[Invoice_ID]]),1,0)</f>
        <v>0</v>
      </c>
      <c r="Q705">
        <f>IF(AND(NOT(ISBLANK(ReconciliationData[[#This Row],[Billed_Units]])),ReconciliationData[[#This Row],[ordered_units]]&lt;&gt;ReconciliationData[[#This Row],[Billed_Units]]),1,0)</f>
        <v>0</v>
      </c>
      <c r="R7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5">
        <f>IF(AND(NOT(ISBLANK(ReconciliationData[[#This Row],[Contract_Price]])),ReconciliationData[[#This Row],[Billed_Price]]&lt;&gt;ReconciliationData[[#This Row],[Contract_Price]]),1,0)</f>
        <v>0</v>
      </c>
      <c r="T705">
        <f>IF(AND(NOT(ISBLANK(ReconciliationData[[#This Row],[End_Date]])),ReconciliationData[[#This Row],[Order_Date]]&gt;ReconciliationData[[#This Row],[End_Date]]),1,0)</f>
        <v>0</v>
      </c>
      <c r="U705">
        <f>IF(AND(NOT(ISBLANK(ReconciliationData[[#This Row],[last_return_date]])),ReconciliationData[[#This Row],[last_return_date]]&gt;ReconciliationData[[#This Row],[Order_Date]]+60),1,0)</f>
        <v>0</v>
      </c>
      <c r="V705">
        <f>IF(ReconciliationData[[#This Row],[total_returned_units]]&gt;ReconciliationData[[#This Row],[ordered_units]],1,0)</f>
        <v>0</v>
      </c>
      <c r="W7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05">
        <f>ReconciliationData[[#This Row],[Billed_Units]]*ReconciliationData[[#This Row],[Billed_Price]]</f>
        <v>122830.8284</v>
      </c>
      <c r="Y705">
        <f>ReconciliationData[[#This Row],[ordered_units]]*ReconciliationData[[#This Row],[List_Price]]</f>
        <v>122830.8284</v>
      </c>
      <c r="Z705">
        <f>ReconciliationData[[#This Row],[billed_revenue]]-ReconciliationData[[#This Row],[expected_revenue]]</f>
        <v>0</v>
      </c>
      <c r="AA7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05" t="str">
        <f>IF(ReconciliationData[[#This Row],[severity_score]]=0,"LOW",
 IF(ReconciliationData[[#This Row],[severity_score]]&lt;=5,"MEDIUM","HIGH"))</f>
        <v>LOW</v>
      </c>
      <c r="AC705" t="str">
        <f>TEXT(ReconciliationData[[#This Row],[Order_Date]],"YYYY-MM")</f>
        <v>2024-03</v>
      </c>
    </row>
    <row r="706" spans="1:29">
      <c r="A706" t="s">
        <v>2287</v>
      </c>
      <c r="B706" s="1">
        <v>45588</v>
      </c>
      <c r="C706" t="s">
        <v>2288</v>
      </c>
      <c r="D706" t="s">
        <v>313</v>
      </c>
      <c r="E706">
        <v>47</v>
      </c>
      <c r="F706" t="s">
        <v>2289</v>
      </c>
      <c r="G706">
        <v>47</v>
      </c>
      <c r="H706">
        <v>1190.6054999999999</v>
      </c>
      <c r="N706">
        <v>1190.6054999999999</v>
      </c>
      <c r="O706" s="1">
        <v>44984</v>
      </c>
      <c r="P706">
        <f>IF(ISBLANK(ReconciliationData[[#This Row],[Invoice_ID]]),1,0)</f>
        <v>0</v>
      </c>
      <c r="Q706">
        <f>IF(AND(NOT(ISBLANK(ReconciliationData[[#This Row],[Billed_Units]])),ReconciliationData[[#This Row],[ordered_units]]&lt;&gt;ReconciliationData[[#This Row],[Billed_Units]]),1,0)</f>
        <v>0</v>
      </c>
      <c r="R7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6">
        <f>IF(AND(NOT(ISBLANK(ReconciliationData[[#This Row],[Contract_Price]])),ReconciliationData[[#This Row],[Billed_Price]]&lt;&gt;ReconciliationData[[#This Row],[Contract_Price]]),1,0)</f>
        <v>0</v>
      </c>
      <c r="T706">
        <f>IF(AND(NOT(ISBLANK(ReconciliationData[[#This Row],[End_Date]])),ReconciliationData[[#This Row],[Order_Date]]&gt;ReconciliationData[[#This Row],[End_Date]]),1,0)</f>
        <v>0</v>
      </c>
      <c r="U706">
        <f>IF(AND(NOT(ISBLANK(ReconciliationData[[#This Row],[last_return_date]])),ReconciliationData[[#This Row],[last_return_date]]&gt;ReconciliationData[[#This Row],[Order_Date]]+60),1,0)</f>
        <v>0</v>
      </c>
      <c r="V706">
        <f>IF(ReconciliationData[[#This Row],[total_returned_units]]&gt;ReconciliationData[[#This Row],[ordered_units]],1,0)</f>
        <v>0</v>
      </c>
      <c r="W7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06">
        <f>ReconciliationData[[#This Row],[Billed_Units]]*ReconciliationData[[#This Row],[Billed_Price]]</f>
        <v>55958.458499999993</v>
      </c>
      <c r="Y706">
        <f>ReconciliationData[[#This Row],[ordered_units]]*ReconciliationData[[#This Row],[List_Price]]</f>
        <v>55958.458499999993</v>
      </c>
      <c r="Z706">
        <f>ReconciliationData[[#This Row],[billed_revenue]]-ReconciliationData[[#This Row],[expected_revenue]]</f>
        <v>0</v>
      </c>
      <c r="AA7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06" t="str">
        <f>IF(ReconciliationData[[#This Row],[severity_score]]=0,"LOW",
 IF(ReconciliationData[[#This Row],[severity_score]]&lt;=5,"MEDIUM","HIGH"))</f>
        <v>LOW</v>
      </c>
      <c r="AC706" t="str">
        <f>TEXT(ReconciliationData[[#This Row],[Order_Date]],"YYYY-MM")</f>
        <v>2024-10</v>
      </c>
    </row>
    <row r="707" spans="1:29">
      <c r="A707" t="s">
        <v>2290</v>
      </c>
      <c r="B707" s="1">
        <v>45383</v>
      </c>
      <c r="C707" t="s">
        <v>2291</v>
      </c>
      <c r="D707" t="s">
        <v>490</v>
      </c>
      <c r="E707">
        <v>43</v>
      </c>
      <c r="F707" t="s">
        <v>2292</v>
      </c>
      <c r="G707">
        <v>43</v>
      </c>
      <c r="H707">
        <v>1157.6343999999999</v>
      </c>
      <c r="N707">
        <v>1157.6343999999999</v>
      </c>
      <c r="O707" s="1">
        <v>44959</v>
      </c>
      <c r="P707">
        <f>IF(ISBLANK(ReconciliationData[[#This Row],[Invoice_ID]]),1,0)</f>
        <v>0</v>
      </c>
      <c r="Q707">
        <f>IF(AND(NOT(ISBLANK(ReconciliationData[[#This Row],[Billed_Units]])),ReconciliationData[[#This Row],[ordered_units]]&lt;&gt;ReconciliationData[[#This Row],[Billed_Units]]),1,0)</f>
        <v>0</v>
      </c>
      <c r="R7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7">
        <f>IF(AND(NOT(ISBLANK(ReconciliationData[[#This Row],[Contract_Price]])),ReconciliationData[[#This Row],[Billed_Price]]&lt;&gt;ReconciliationData[[#This Row],[Contract_Price]]),1,0)</f>
        <v>0</v>
      </c>
      <c r="T707">
        <f>IF(AND(NOT(ISBLANK(ReconciliationData[[#This Row],[End_Date]])),ReconciliationData[[#This Row],[Order_Date]]&gt;ReconciliationData[[#This Row],[End_Date]]),1,0)</f>
        <v>0</v>
      </c>
      <c r="U707">
        <f>IF(AND(NOT(ISBLANK(ReconciliationData[[#This Row],[last_return_date]])),ReconciliationData[[#This Row],[last_return_date]]&gt;ReconciliationData[[#This Row],[Order_Date]]+60),1,0)</f>
        <v>0</v>
      </c>
      <c r="V707">
        <f>IF(ReconciliationData[[#This Row],[total_returned_units]]&gt;ReconciliationData[[#This Row],[ordered_units]],1,0)</f>
        <v>0</v>
      </c>
      <c r="W7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07">
        <f>ReconciliationData[[#This Row],[Billed_Units]]*ReconciliationData[[#This Row],[Billed_Price]]</f>
        <v>49778.279199999997</v>
      </c>
      <c r="Y707">
        <f>ReconciliationData[[#This Row],[ordered_units]]*ReconciliationData[[#This Row],[List_Price]]</f>
        <v>49778.279199999997</v>
      </c>
      <c r="Z707">
        <f>ReconciliationData[[#This Row],[billed_revenue]]-ReconciliationData[[#This Row],[expected_revenue]]</f>
        <v>0</v>
      </c>
      <c r="AA7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07" t="str">
        <f>IF(ReconciliationData[[#This Row],[severity_score]]=0,"LOW",
 IF(ReconciliationData[[#This Row],[severity_score]]&lt;=5,"MEDIUM","HIGH"))</f>
        <v>LOW</v>
      </c>
      <c r="AC707" t="str">
        <f>TEXT(ReconciliationData[[#This Row],[Order_Date]],"YYYY-MM")</f>
        <v>2024-04</v>
      </c>
    </row>
    <row r="708" spans="1:29">
      <c r="A708" t="s">
        <v>2293</v>
      </c>
      <c r="B708" s="1">
        <v>44939</v>
      </c>
      <c r="C708" t="s">
        <v>547</v>
      </c>
      <c r="D708" t="s">
        <v>306</v>
      </c>
      <c r="E708">
        <v>153</v>
      </c>
      <c r="F708" t="s">
        <v>2294</v>
      </c>
      <c r="G708">
        <v>153</v>
      </c>
      <c r="H708">
        <v>1122.01</v>
      </c>
      <c r="N708">
        <v>1122.01</v>
      </c>
      <c r="O708" s="1">
        <v>44717</v>
      </c>
      <c r="P708">
        <f>IF(ISBLANK(ReconciliationData[[#This Row],[Invoice_ID]]),1,0)</f>
        <v>0</v>
      </c>
      <c r="Q708">
        <f>IF(AND(NOT(ISBLANK(ReconciliationData[[#This Row],[Billed_Units]])),ReconciliationData[[#This Row],[ordered_units]]&lt;&gt;ReconciliationData[[#This Row],[Billed_Units]]),1,0)</f>
        <v>0</v>
      </c>
      <c r="R7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8">
        <f>IF(AND(NOT(ISBLANK(ReconciliationData[[#This Row],[Contract_Price]])),ReconciliationData[[#This Row],[Billed_Price]]&lt;&gt;ReconciliationData[[#This Row],[Contract_Price]]),1,0)</f>
        <v>0</v>
      </c>
      <c r="T708">
        <f>IF(AND(NOT(ISBLANK(ReconciliationData[[#This Row],[End_Date]])),ReconciliationData[[#This Row],[Order_Date]]&gt;ReconciliationData[[#This Row],[End_Date]]),1,0)</f>
        <v>0</v>
      </c>
      <c r="U708">
        <f>IF(AND(NOT(ISBLANK(ReconciliationData[[#This Row],[last_return_date]])),ReconciliationData[[#This Row],[last_return_date]]&gt;ReconciliationData[[#This Row],[Order_Date]]+60),1,0)</f>
        <v>0</v>
      </c>
      <c r="V708">
        <f>IF(ReconciliationData[[#This Row],[total_returned_units]]&gt;ReconciliationData[[#This Row],[ordered_units]],1,0)</f>
        <v>0</v>
      </c>
      <c r="W7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08">
        <f>ReconciliationData[[#This Row],[Billed_Units]]*ReconciliationData[[#This Row],[Billed_Price]]</f>
        <v>171667.53</v>
      </c>
      <c r="Y708">
        <f>ReconciliationData[[#This Row],[ordered_units]]*ReconciliationData[[#This Row],[List_Price]]</f>
        <v>171667.53</v>
      </c>
      <c r="Z708">
        <f>ReconciliationData[[#This Row],[billed_revenue]]-ReconciliationData[[#This Row],[expected_revenue]]</f>
        <v>0</v>
      </c>
      <c r="AA7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08" t="str">
        <f>IF(ReconciliationData[[#This Row],[severity_score]]=0,"LOW",
 IF(ReconciliationData[[#This Row],[severity_score]]&lt;=5,"MEDIUM","HIGH"))</f>
        <v>LOW</v>
      </c>
      <c r="AC708" t="str">
        <f>TEXT(ReconciliationData[[#This Row],[Order_Date]],"YYYY-MM")</f>
        <v>2023-01</v>
      </c>
    </row>
    <row r="709" spans="1:29">
      <c r="A709" t="s">
        <v>2295</v>
      </c>
      <c r="B709" s="1">
        <v>45526</v>
      </c>
      <c r="C709" t="s">
        <v>1734</v>
      </c>
      <c r="D709" t="s">
        <v>212</v>
      </c>
      <c r="E709">
        <v>157</v>
      </c>
      <c r="F709" t="s">
        <v>2296</v>
      </c>
      <c r="G709">
        <v>155</v>
      </c>
      <c r="H709">
        <v>833.41650000000004</v>
      </c>
      <c r="N709">
        <v>833.41650000000004</v>
      </c>
      <c r="O709" s="1">
        <v>45194</v>
      </c>
      <c r="P709">
        <f>IF(ISBLANK(ReconciliationData[[#This Row],[Invoice_ID]]),1,0)</f>
        <v>0</v>
      </c>
      <c r="Q709">
        <f>IF(AND(NOT(ISBLANK(ReconciliationData[[#This Row],[Billed_Units]])),ReconciliationData[[#This Row],[ordered_units]]&lt;&gt;ReconciliationData[[#This Row],[Billed_Units]]),1,0)</f>
        <v>1</v>
      </c>
      <c r="R7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09">
        <f>IF(AND(NOT(ISBLANK(ReconciliationData[[#This Row],[Contract_Price]])),ReconciliationData[[#This Row],[Billed_Price]]&lt;&gt;ReconciliationData[[#This Row],[Contract_Price]]),1,0)</f>
        <v>0</v>
      </c>
      <c r="T709">
        <f>IF(AND(NOT(ISBLANK(ReconciliationData[[#This Row],[End_Date]])),ReconciliationData[[#This Row],[Order_Date]]&gt;ReconciliationData[[#This Row],[End_Date]]),1,0)</f>
        <v>0</v>
      </c>
      <c r="U709">
        <f>IF(AND(NOT(ISBLANK(ReconciliationData[[#This Row],[last_return_date]])),ReconciliationData[[#This Row],[last_return_date]]&gt;ReconciliationData[[#This Row],[Order_Date]]+60),1,0)</f>
        <v>0</v>
      </c>
      <c r="V709">
        <f>IF(ReconciliationData[[#This Row],[total_returned_units]]&gt;ReconciliationData[[#This Row],[ordered_units]],1,0)</f>
        <v>0</v>
      </c>
      <c r="W7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709">
        <f>ReconciliationData[[#This Row],[Billed_Units]]*ReconciliationData[[#This Row],[Billed_Price]]</f>
        <v>129179.55750000001</v>
      </c>
      <c r="Y709">
        <f>ReconciliationData[[#This Row],[ordered_units]]*ReconciliationData[[#This Row],[List_Price]]</f>
        <v>130846.39050000001</v>
      </c>
      <c r="Z709">
        <f>ReconciliationData[[#This Row],[billed_revenue]]-ReconciliationData[[#This Row],[expected_revenue]]</f>
        <v>-1666.8329999999987</v>
      </c>
      <c r="AA7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709" t="str">
        <f>IF(ReconciliationData[[#This Row],[severity_score]]=0,"LOW",
 IF(ReconciliationData[[#This Row],[severity_score]]&lt;=5,"MEDIUM","HIGH"))</f>
        <v>HIGH</v>
      </c>
      <c r="AC709" t="str">
        <f>TEXT(ReconciliationData[[#This Row],[Order_Date]],"YYYY-MM")</f>
        <v>2024-08</v>
      </c>
    </row>
    <row r="710" spans="1:29">
      <c r="A710" t="s">
        <v>2297</v>
      </c>
      <c r="B710" s="1">
        <v>45006</v>
      </c>
      <c r="C710" t="s">
        <v>2298</v>
      </c>
      <c r="D710" t="s">
        <v>2299</v>
      </c>
      <c r="E710">
        <v>82</v>
      </c>
      <c r="F710" t="s">
        <v>2300</v>
      </c>
      <c r="G710">
        <v>82</v>
      </c>
      <c r="H710">
        <v>1164.0408</v>
      </c>
      <c r="N710">
        <v>1164.0408</v>
      </c>
      <c r="O710" s="1">
        <v>44880</v>
      </c>
      <c r="P710">
        <f>IF(ISBLANK(ReconciliationData[[#This Row],[Invoice_ID]]),1,0)</f>
        <v>0</v>
      </c>
      <c r="Q710">
        <f>IF(AND(NOT(ISBLANK(ReconciliationData[[#This Row],[Billed_Units]])),ReconciliationData[[#This Row],[ordered_units]]&lt;&gt;ReconciliationData[[#This Row],[Billed_Units]]),1,0)</f>
        <v>0</v>
      </c>
      <c r="R7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0">
        <f>IF(AND(NOT(ISBLANK(ReconciliationData[[#This Row],[Contract_Price]])),ReconciliationData[[#This Row],[Billed_Price]]&lt;&gt;ReconciliationData[[#This Row],[Contract_Price]]),1,0)</f>
        <v>0</v>
      </c>
      <c r="T710">
        <f>IF(AND(NOT(ISBLANK(ReconciliationData[[#This Row],[End_Date]])),ReconciliationData[[#This Row],[Order_Date]]&gt;ReconciliationData[[#This Row],[End_Date]]),1,0)</f>
        <v>0</v>
      </c>
      <c r="U710">
        <f>IF(AND(NOT(ISBLANK(ReconciliationData[[#This Row],[last_return_date]])),ReconciliationData[[#This Row],[last_return_date]]&gt;ReconciliationData[[#This Row],[Order_Date]]+60),1,0)</f>
        <v>0</v>
      </c>
      <c r="V710">
        <f>IF(ReconciliationData[[#This Row],[total_returned_units]]&gt;ReconciliationData[[#This Row],[ordered_units]],1,0)</f>
        <v>0</v>
      </c>
      <c r="W7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0">
        <f>ReconciliationData[[#This Row],[Billed_Units]]*ReconciliationData[[#This Row],[Billed_Price]]</f>
        <v>95451.345600000001</v>
      </c>
      <c r="Y710">
        <f>ReconciliationData[[#This Row],[ordered_units]]*ReconciliationData[[#This Row],[List_Price]]</f>
        <v>95451.345600000001</v>
      </c>
      <c r="Z710">
        <f>ReconciliationData[[#This Row],[billed_revenue]]-ReconciliationData[[#This Row],[expected_revenue]]</f>
        <v>0</v>
      </c>
      <c r="AA7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0" t="str">
        <f>IF(ReconciliationData[[#This Row],[severity_score]]=0,"LOW",
 IF(ReconciliationData[[#This Row],[severity_score]]&lt;=5,"MEDIUM","HIGH"))</f>
        <v>LOW</v>
      </c>
      <c r="AC710" t="str">
        <f>TEXT(ReconciliationData[[#This Row],[Order_Date]],"YYYY-MM")</f>
        <v>2023-03</v>
      </c>
    </row>
    <row r="711" spans="1:29">
      <c r="A711" t="s">
        <v>2301</v>
      </c>
      <c r="B711" s="1">
        <v>45458</v>
      </c>
      <c r="C711" t="s">
        <v>2302</v>
      </c>
      <c r="D711" t="s">
        <v>309</v>
      </c>
      <c r="E711">
        <v>139</v>
      </c>
      <c r="F711" t="s">
        <v>2303</v>
      </c>
      <c r="G711">
        <v>139</v>
      </c>
      <c r="H711">
        <v>946.74860000000001</v>
      </c>
      <c r="N711">
        <v>946.74860000000001</v>
      </c>
      <c r="O711" s="1">
        <v>45038</v>
      </c>
      <c r="P711">
        <f>IF(ISBLANK(ReconciliationData[[#This Row],[Invoice_ID]]),1,0)</f>
        <v>0</v>
      </c>
      <c r="Q711">
        <f>IF(AND(NOT(ISBLANK(ReconciliationData[[#This Row],[Billed_Units]])),ReconciliationData[[#This Row],[ordered_units]]&lt;&gt;ReconciliationData[[#This Row],[Billed_Units]]),1,0)</f>
        <v>0</v>
      </c>
      <c r="R7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1">
        <f>IF(AND(NOT(ISBLANK(ReconciliationData[[#This Row],[Contract_Price]])),ReconciliationData[[#This Row],[Billed_Price]]&lt;&gt;ReconciliationData[[#This Row],[Contract_Price]]),1,0)</f>
        <v>0</v>
      </c>
      <c r="T711">
        <f>IF(AND(NOT(ISBLANK(ReconciliationData[[#This Row],[End_Date]])),ReconciliationData[[#This Row],[Order_Date]]&gt;ReconciliationData[[#This Row],[End_Date]]),1,0)</f>
        <v>0</v>
      </c>
      <c r="U711">
        <f>IF(AND(NOT(ISBLANK(ReconciliationData[[#This Row],[last_return_date]])),ReconciliationData[[#This Row],[last_return_date]]&gt;ReconciliationData[[#This Row],[Order_Date]]+60),1,0)</f>
        <v>0</v>
      </c>
      <c r="V711">
        <f>IF(ReconciliationData[[#This Row],[total_returned_units]]&gt;ReconciliationData[[#This Row],[ordered_units]],1,0)</f>
        <v>0</v>
      </c>
      <c r="W7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1">
        <f>ReconciliationData[[#This Row],[Billed_Units]]*ReconciliationData[[#This Row],[Billed_Price]]</f>
        <v>131598.05540000001</v>
      </c>
      <c r="Y711">
        <f>ReconciliationData[[#This Row],[ordered_units]]*ReconciliationData[[#This Row],[List_Price]]</f>
        <v>131598.05540000001</v>
      </c>
      <c r="Z711">
        <f>ReconciliationData[[#This Row],[billed_revenue]]-ReconciliationData[[#This Row],[expected_revenue]]</f>
        <v>0</v>
      </c>
      <c r="AA7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1" t="str">
        <f>IF(ReconciliationData[[#This Row],[severity_score]]=0,"LOW",
 IF(ReconciliationData[[#This Row],[severity_score]]&lt;=5,"MEDIUM","HIGH"))</f>
        <v>LOW</v>
      </c>
      <c r="AC711" t="str">
        <f>TEXT(ReconciliationData[[#This Row],[Order_Date]],"YYYY-MM")</f>
        <v>2024-06</v>
      </c>
    </row>
    <row r="712" spans="1:29">
      <c r="A712" t="s">
        <v>2304</v>
      </c>
      <c r="B712" s="1">
        <v>45196</v>
      </c>
      <c r="C712" t="s">
        <v>2305</v>
      </c>
      <c r="D712" t="s">
        <v>1706</v>
      </c>
      <c r="E712">
        <v>90</v>
      </c>
      <c r="F712" t="s">
        <v>2306</v>
      </c>
      <c r="G712">
        <v>90</v>
      </c>
      <c r="H712">
        <v>854.74350000000004</v>
      </c>
      <c r="N712">
        <v>854.74350000000004</v>
      </c>
      <c r="O712" s="1">
        <v>44984</v>
      </c>
      <c r="P712">
        <f>IF(ISBLANK(ReconciliationData[[#This Row],[Invoice_ID]]),1,0)</f>
        <v>0</v>
      </c>
      <c r="Q712">
        <f>IF(AND(NOT(ISBLANK(ReconciliationData[[#This Row],[Billed_Units]])),ReconciliationData[[#This Row],[ordered_units]]&lt;&gt;ReconciliationData[[#This Row],[Billed_Units]]),1,0)</f>
        <v>0</v>
      </c>
      <c r="R7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2">
        <f>IF(AND(NOT(ISBLANK(ReconciliationData[[#This Row],[Contract_Price]])),ReconciliationData[[#This Row],[Billed_Price]]&lt;&gt;ReconciliationData[[#This Row],[Contract_Price]]),1,0)</f>
        <v>0</v>
      </c>
      <c r="T712">
        <f>IF(AND(NOT(ISBLANK(ReconciliationData[[#This Row],[End_Date]])),ReconciliationData[[#This Row],[Order_Date]]&gt;ReconciliationData[[#This Row],[End_Date]]),1,0)</f>
        <v>0</v>
      </c>
      <c r="U712">
        <f>IF(AND(NOT(ISBLANK(ReconciliationData[[#This Row],[last_return_date]])),ReconciliationData[[#This Row],[last_return_date]]&gt;ReconciliationData[[#This Row],[Order_Date]]+60),1,0)</f>
        <v>0</v>
      </c>
      <c r="V712">
        <f>IF(ReconciliationData[[#This Row],[total_returned_units]]&gt;ReconciliationData[[#This Row],[ordered_units]],1,0)</f>
        <v>0</v>
      </c>
      <c r="W7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2">
        <f>ReconciliationData[[#This Row],[Billed_Units]]*ReconciliationData[[#This Row],[Billed_Price]]</f>
        <v>76926.915000000008</v>
      </c>
      <c r="Y712">
        <f>ReconciliationData[[#This Row],[ordered_units]]*ReconciliationData[[#This Row],[List_Price]]</f>
        <v>76926.915000000008</v>
      </c>
      <c r="Z712">
        <f>ReconciliationData[[#This Row],[billed_revenue]]-ReconciliationData[[#This Row],[expected_revenue]]</f>
        <v>0</v>
      </c>
      <c r="AA7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2" t="str">
        <f>IF(ReconciliationData[[#This Row],[severity_score]]=0,"LOW",
 IF(ReconciliationData[[#This Row],[severity_score]]&lt;=5,"MEDIUM","HIGH"))</f>
        <v>LOW</v>
      </c>
      <c r="AC712" t="str">
        <f>TEXT(ReconciliationData[[#This Row],[Order_Date]],"YYYY-MM")</f>
        <v>2023-09</v>
      </c>
    </row>
    <row r="713" spans="1:29">
      <c r="A713" t="s">
        <v>2307</v>
      </c>
      <c r="B713" s="1">
        <v>45195</v>
      </c>
      <c r="C713" t="s">
        <v>771</v>
      </c>
      <c r="D713" t="s">
        <v>194</v>
      </c>
      <c r="E713">
        <v>129</v>
      </c>
      <c r="F713" t="s">
        <v>2308</v>
      </c>
      <c r="G713">
        <v>129</v>
      </c>
      <c r="H713">
        <v>1039.0536</v>
      </c>
      <c r="N713">
        <v>1039.0536</v>
      </c>
      <c r="O713" s="1">
        <v>45054</v>
      </c>
      <c r="P713">
        <f>IF(ISBLANK(ReconciliationData[[#This Row],[Invoice_ID]]),1,0)</f>
        <v>0</v>
      </c>
      <c r="Q713">
        <f>IF(AND(NOT(ISBLANK(ReconciliationData[[#This Row],[Billed_Units]])),ReconciliationData[[#This Row],[ordered_units]]&lt;&gt;ReconciliationData[[#This Row],[Billed_Units]]),1,0)</f>
        <v>0</v>
      </c>
      <c r="R7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3">
        <f>IF(AND(NOT(ISBLANK(ReconciliationData[[#This Row],[Contract_Price]])),ReconciliationData[[#This Row],[Billed_Price]]&lt;&gt;ReconciliationData[[#This Row],[Contract_Price]]),1,0)</f>
        <v>0</v>
      </c>
      <c r="T713">
        <f>IF(AND(NOT(ISBLANK(ReconciliationData[[#This Row],[End_Date]])),ReconciliationData[[#This Row],[Order_Date]]&gt;ReconciliationData[[#This Row],[End_Date]]),1,0)</f>
        <v>0</v>
      </c>
      <c r="U713">
        <f>IF(AND(NOT(ISBLANK(ReconciliationData[[#This Row],[last_return_date]])),ReconciliationData[[#This Row],[last_return_date]]&gt;ReconciliationData[[#This Row],[Order_Date]]+60),1,0)</f>
        <v>0</v>
      </c>
      <c r="V713">
        <f>IF(ReconciliationData[[#This Row],[total_returned_units]]&gt;ReconciliationData[[#This Row],[ordered_units]],1,0)</f>
        <v>0</v>
      </c>
      <c r="W7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3">
        <f>ReconciliationData[[#This Row],[Billed_Units]]*ReconciliationData[[#This Row],[Billed_Price]]</f>
        <v>134037.91440000001</v>
      </c>
      <c r="Y713">
        <f>ReconciliationData[[#This Row],[ordered_units]]*ReconciliationData[[#This Row],[List_Price]]</f>
        <v>134037.91440000001</v>
      </c>
      <c r="Z713">
        <f>ReconciliationData[[#This Row],[billed_revenue]]-ReconciliationData[[#This Row],[expected_revenue]]</f>
        <v>0</v>
      </c>
      <c r="AA7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3" t="str">
        <f>IF(ReconciliationData[[#This Row],[severity_score]]=0,"LOW",
 IF(ReconciliationData[[#This Row],[severity_score]]&lt;=5,"MEDIUM","HIGH"))</f>
        <v>LOW</v>
      </c>
      <c r="AC713" t="str">
        <f>TEXT(ReconciliationData[[#This Row],[Order_Date]],"YYYY-MM")</f>
        <v>2023-09</v>
      </c>
    </row>
    <row r="714" spans="1:29">
      <c r="A714" t="s">
        <v>2309</v>
      </c>
      <c r="B714" s="1">
        <v>45009</v>
      </c>
      <c r="C714" t="s">
        <v>609</v>
      </c>
      <c r="D714" t="s">
        <v>306</v>
      </c>
      <c r="E714">
        <v>71</v>
      </c>
      <c r="F714" t="s">
        <v>2310</v>
      </c>
      <c r="G714">
        <v>71</v>
      </c>
      <c r="H714">
        <v>1065.9095</v>
      </c>
      <c r="N714">
        <v>1065.9095</v>
      </c>
      <c r="O714" s="1">
        <v>44963</v>
      </c>
      <c r="P714">
        <f>IF(ISBLANK(ReconciliationData[[#This Row],[Invoice_ID]]),1,0)</f>
        <v>0</v>
      </c>
      <c r="Q714">
        <f>IF(AND(NOT(ISBLANK(ReconciliationData[[#This Row],[Billed_Units]])),ReconciliationData[[#This Row],[ordered_units]]&lt;&gt;ReconciliationData[[#This Row],[Billed_Units]]),1,0)</f>
        <v>0</v>
      </c>
      <c r="R7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4">
        <f>IF(AND(NOT(ISBLANK(ReconciliationData[[#This Row],[Contract_Price]])),ReconciliationData[[#This Row],[Billed_Price]]&lt;&gt;ReconciliationData[[#This Row],[Contract_Price]]),1,0)</f>
        <v>0</v>
      </c>
      <c r="T714">
        <f>IF(AND(NOT(ISBLANK(ReconciliationData[[#This Row],[End_Date]])),ReconciliationData[[#This Row],[Order_Date]]&gt;ReconciliationData[[#This Row],[End_Date]]),1,0)</f>
        <v>0</v>
      </c>
      <c r="U714">
        <f>IF(AND(NOT(ISBLANK(ReconciliationData[[#This Row],[last_return_date]])),ReconciliationData[[#This Row],[last_return_date]]&gt;ReconciliationData[[#This Row],[Order_Date]]+60),1,0)</f>
        <v>0</v>
      </c>
      <c r="V714">
        <f>IF(ReconciliationData[[#This Row],[total_returned_units]]&gt;ReconciliationData[[#This Row],[ordered_units]],1,0)</f>
        <v>0</v>
      </c>
      <c r="W7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4">
        <f>ReconciliationData[[#This Row],[Billed_Units]]*ReconciliationData[[#This Row],[Billed_Price]]</f>
        <v>75679.574500000002</v>
      </c>
      <c r="Y714">
        <f>ReconciliationData[[#This Row],[ordered_units]]*ReconciliationData[[#This Row],[List_Price]]</f>
        <v>75679.574500000002</v>
      </c>
      <c r="Z714">
        <f>ReconciliationData[[#This Row],[billed_revenue]]-ReconciliationData[[#This Row],[expected_revenue]]</f>
        <v>0</v>
      </c>
      <c r="AA7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4" t="str">
        <f>IF(ReconciliationData[[#This Row],[severity_score]]=0,"LOW",
 IF(ReconciliationData[[#This Row],[severity_score]]&lt;=5,"MEDIUM","HIGH"))</f>
        <v>LOW</v>
      </c>
      <c r="AC714" t="str">
        <f>TEXT(ReconciliationData[[#This Row],[Order_Date]],"YYYY-MM")</f>
        <v>2023-03</v>
      </c>
    </row>
    <row r="715" spans="1:29">
      <c r="A715" t="s">
        <v>2311</v>
      </c>
      <c r="B715" s="1">
        <v>45274</v>
      </c>
      <c r="C715" t="s">
        <v>403</v>
      </c>
      <c r="D715" t="s">
        <v>923</v>
      </c>
      <c r="E715">
        <v>175</v>
      </c>
      <c r="F715" t="s">
        <v>2312</v>
      </c>
      <c r="G715">
        <v>175</v>
      </c>
      <c r="H715">
        <v>754.20799999999997</v>
      </c>
      <c r="N715">
        <v>754.20799999999997</v>
      </c>
      <c r="O715" s="1">
        <v>45069</v>
      </c>
      <c r="P715">
        <f>IF(ISBLANK(ReconciliationData[[#This Row],[Invoice_ID]]),1,0)</f>
        <v>0</v>
      </c>
      <c r="Q715">
        <f>IF(AND(NOT(ISBLANK(ReconciliationData[[#This Row],[Billed_Units]])),ReconciliationData[[#This Row],[ordered_units]]&lt;&gt;ReconciliationData[[#This Row],[Billed_Units]]),1,0)</f>
        <v>0</v>
      </c>
      <c r="R7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5">
        <f>IF(AND(NOT(ISBLANK(ReconciliationData[[#This Row],[Contract_Price]])),ReconciliationData[[#This Row],[Billed_Price]]&lt;&gt;ReconciliationData[[#This Row],[Contract_Price]]),1,0)</f>
        <v>0</v>
      </c>
      <c r="T715">
        <f>IF(AND(NOT(ISBLANK(ReconciliationData[[#This Row],[End_Date]])),ReconciliationData[[#This Row],[Order_Date]]&gt;ReconciliationData[[#This Row],[End_Date]]),1,0)</f>
        <v>0</v>
      </c>
      <c r="U715">
        <f>IF(AND(NOT(ISBLANK(ReconciliationData[[#This Row],[last_return_date]])),ReconciliationData[[#This Row],[last_return_date]]&gt;ReconciliationData[[#This Row],[Order_Date]]+60),1,0)</f>
        <v>0</v>
      </c>
      <c r="V715">
        <f>IF(ReconciliationData[[#This Row],[total_returned_units]]&gt;ReconciliationData[[#This Row],[ordered_units]],1,0)</f>
        <v>0</v>
      </c>
      <c r="W7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5">
        <f>ReconciliationData[[#This Row],[Billed_Units]]*ReconciliationData[[#This Row],[Billed_Price]]</f>
        <v>131986.4</v>
      </c>
      <c r="Y715">
        <f>ReconciliationData[[#This Row],[ordered_units]]*ReconciliationData[[#This Row],[List_Price]]</f>
        <v>131986.4</v>
      </c>
      <c r="Z715">
        <f>ReconciliationData[[#This Row],[billed_revenue]]-ReconciliationData[[#This Row],[expected_revenue]]</f>
        <v>0</v>
      </c>
      <c r="AA7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5" t="str">
        <f>IF(ReconciliationData[[#This Row],[severity_score]]=0,"LOW",
 IF(ReconciliationData[[#This Row],[severity_score]]&lt;=5,"MEDIUM","HIGH"))</f>
        <v>LOW</v>
      </c>
      <c r="AC715" t="str">
        <f>TEXT(ReconciliationData[[#This Row],[Order_Date]],"YYYY-MM")</f>
        <v>2023-12</v>
      </c>
    </row>
    <row r="716" spans="1:29">
      <c r="A716" t="s">
        <v>2313</v>
      </c>
      <c r="B716" s="1">
        <v>45402</v>
      </c>
      <c r="C716" t="s">
        <v>1291</v>
      </c>
      <c r="D716" t="s">
        <v>283</v>
      </c>
      <c r="E716">
        <v>90</v>
      </c>
      <c r="F716" t="s">
        <v>2314</v>
      </c>
      <c r="G716">
        <v>90</v>
      </c>
      <c r="H716">
        <v>415.70589999999999</v>
      </c>
      <c r="N716">
        <v>415.70589999999999</v>
      </c>
      <c r="O716" s="1">
        <v>44989</v>
      </c>
      <c r="P716">
        <f>IF(ISBLANK(ReconciliationData[[#This Row],[Invoice_ID]]),1,0)</f>
        <v>0</v>
      </c>
      <c r="Q716">
        <f>IF(AND(NOT(ISBLANK(ReconciliationData[[#This Row],[Billed_Units]])),ReconciliationData[[#This Row],[ordered_units]]&lt;&gt;ReconciliationData[[#This Row],[Billed_Units]]),1,0)</f>
        <v>0</v>
      </c>
      <c r="R7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6">
        <f>IF(AND(NOT(ISBLANK(ReconciliationData[[#This Row],[Contract_Price]])),ReconciliationData[[#This Row],[Billed_Price]]&lt;&gt;ReconciliationData[[#This Row],[Contract_Price]]),1,0)</f>
        <v>0</v>
      </c>
      <c r="T716">
        <f>IF(AND(NOT(ISBLANK(ReconciliationData[[#This Row],[End_Date]])),ReconciliationData[[#This Row],[Order_Date]]&gt;ReconciliationData[[#This Row],[End_Date]]),1,0)</f>
        <v>0</v>
      </c>
      <c r="U716">
        <f>IF(AND(NOT(ISBLANK(ReconciliationData[[#This Row],[last_return_date]])),ReconciliationData[[#This Row],[last_return_date]]&gt;ReconciliationData[[#This Row],[Order_Date]]+60),1,0)</f>
        <v>0</v>
      </c>
      <c r="V716">
        <f>IF(ReconciliationData[[#This Row],[total_returned_units]]&gt;ReconciliationData[[#This Row],[ordered_units]],1,0)</f>
        <v>0</v>
      </c>
      <c r="W7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6">
        <f>ReconciliationData[[#This Row],[Billed_Units]]*ReconciliationData[[#This Row],[Billed_Price]]</f>
        <v>37413.530999999995</v>
      </c>
      <c r="Y716">
        <f>ReconciliationData[[#This Row],[ordered_units]]*ReconciliationData[[#This Row],[List_Price]]</f>
        <v>37413.530999999995</v>
      </c>
      <c r="Z716">
        <f>ReconciliationData[[#This Row],[billed_revenue]]-ReconciliationData[[#This Row],[expected_revenue]]</f>
        <v>0</v>
      </c>
      <c r="AA7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6" t="str">
        <f>IF(ReconciliationData[[#This Row],[severity_score]]=0,"LOW",
 IF(ReconciliationData[[#This Row],[severity_score]]&lt;=5,"MEDIUM","HIGH"))</f>
        <v>LOW</v>
      </c>
      <c r="AC716" t="str">
        <f>TEXT(ReconciliationData[[#This Row],[Order_Date]],"YYYY-MM")</f>
        <v>2024-04</v>
      </c>
    </row>
    <row r="717" spans="1:29">
      <c r="A717" t="s">
        <v>2315</v>
      </c>
      <c r="B717" s="1">
        <v>45409</v>
      </c>
      <c r="C717" t="s">
        <v>1410</v>
      </c>
      <c r="D717" t="s">
        <v>235</v>
      </c>
      <c r="E717">
        <v>76</v>
      </c>
      <c r="F717" t="s">
        <v>2316</v>
      </c>
      <c r="G717">
        <v>76</v>
      </c>
      <c r="H717">
        <v>426.10500000000002</v>
      </c>
      <c r="N717">
        <v>426.10500000000002</v>
      </c>
      <c r="O717" s="1">
        <v>45215</v>
      </c>
      <c r="P717">
        <f>IF(ISBLANK(ReconciliationData[[#This Row],[Invoice_ID]]),1,0)</f>
        <v>0</v>
      </c>
      <c r="Q717">
        <f>IF(AND(NOT(ISBLANK(ReconciliationData[[#This Row],[Billed_Units]])),ReconciliationData[[#This Row],[ordered_units]]&lt;&gt;ReconciliationData[[#This Row],[Billed_Units]]),1,0)</f>
        <v>0</v>
      </c>
      <c r="R7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7">
        <f>IF(AND(NOT(ISBLANK(ReconciliationData[[#This Row],[Contract_Price]])),ReconciliationData[[#This Row],[Billed_Price]]&lt;&gt;ReconciliationData[[#This Row],[Contract_Price]]),1,0)</f>
        <v>0</v>
      </c>
      <c r="T717">
        <f>IF(AND(NOT(ISBLANK(ReconciliationData[[#This Row],[End_Date]])),ReconciliationData[[#This Row],[Order_Date]]&gt;ReconciliationData[[#This Row],[End_Date]]),1,0)</f>
        <v>0</v>
      </c>
      <c r="U717">
        <f>IF(AND(NOT(ISBLANK(ReconciliationData[[#This Row],[last_return_date]])),ReconciliationData[[#This Row],[last_return_date]]&gt;ReconciliationData[[#This Row],[Order_Date]]+60),1,0)</f>
        <v>0</v>
      </c>
      <c r="V717">
        <f>IF(ReconciliationData[[#This Row],[total_returned_units]]&gt;ReconciliationData[[#This Row],[ordered_units]],1,0)</f>
        <v>0</v>
      </c>
      <c r="W7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7">
        <f>ReconciliationData[[#This Row],[Billed_Units]]*ReconciliationData[[#This Row],[Billed_Price]]</f>
        <v>32383.980000000003</v>
      </c>
      <c r="Y717">
        <f>ReconciliationData[[#This Row],[ordered_units]]*ReconciliationData[[#This Row],[List_Price]]</f>
        <v>32383.980000000003</v>
      </c>
      <c r="Z717">
        <f>ReconciliationData[[#This Row],[billed_revenue]]-ReconciliationData[[#This Row],[expected_revenue]]</f>
        <v>0</v>
      </c>
      <c r="AA7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7" t="str">
        <f>IF(ReconciliationData[[#This Row],[severity_score]]=0,"LOW",
 IF(ReconciliationData[[#This Row],[severity_score]]&lt;=5,"MEDIUM","HIGH"))</f>
        <v>LOW</v>
      </c>
      <c r="AC717" t="str">
        <f>TEXT(ReconciliationData[[#This Row],[Order_Date]],"YYYY-MM")</f>
        <v>2024-04</v>
      </c>
    </row>
    <row r="718" spans="1:29">
      <c r="A718" t="s">
        <v>2317</v>
      </c>
      <c r="B718" s="1">
        <v>45202</v>
      </c>
      <c r="C718" t="s">
        <v>1391</v>
      </c>
      <c r="D718" t="s">
        <v>381</v>
      </c>
      <c r="E718">
        <v>67</v>
      </c>
      <c r="F718" t="s">
        <v>2318</v>
      </c>
      <c r="G718">
        <v>67</v>
      </c>
      <c r="H718">
        <v>942.54840000000013</v>
      </c>
      <c r="N718">
        <v>942.54840000000013</v>
      </c>
      <c r="O718" s="1">
        <v>45086</v>
      </c>
      <c r="P718">
        <f>IF(ISBLANK(ReconciliationData[[#This Row],[Invoice_ID]]),1,0)</f>
        <v>0</v>
      </c>
      <c r="Q718">
        <f>IF(AND(NOT(ISBLANK(ReconciliationData[[#This Row],[Billed_Units]])),ReconciliationData[[#This Row],[ordered_units]]&lt;&gt;ReconciliationData[[#This Row],[Billed_Units]]),1,0)</f>
        <v>0</v>
      </c>
      <c r="R7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8">
        <f>IF(AND(NOT(ISBLANK(ReconciliationData[[#This Row],[Contract_Price]])),ReconciliationData[[#This Row],[Billed_Price]]&lt;&gt;ReconciliationData[[#This Row],[Contract_Price]]),1,0)</f>
        <v>0</v>
      </c>
      <c r="T718">
        <f>IF(AND(NOT(ISBLANK(ReconciliationData[[#This Row],[End_Date]])),ReconciliationData[[#This Row],[Order_Date]]&gt;ReconciliationData[[#This Row],[End_Date]]),1,0)</f>
        <v>0</v>
      </c>
      <c r="U718">
        <f>IF(AND(NOT(ISBLANK(ReconciliationData[[#This Row],[last_return_date]])),ReconciliationData[[#This Row],[last_return_date]]&gt;ReconciliationData[[#This Row],[Order_Date]]+60),1,0)</f>
        <v>0</v>
      </c>
      <c r="V718">
        <f>IF(ReconciliationData[[#This Row],[total_returned_units]]&gt;ReconciliationData[[#This Row],[ordered_units]],1,0)</f>
        <v>0</v>
      </c>
      <c r="W7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8">
        <f>ReconciliationData[[#This Row],[Billed_Units]]*ReconciliationData[[#This Row],[Billed_Price]]</f>
        <v>63150.742800000007</v>
      </c>
      <c r="Y718">
        <f>ReconciliationData[[#This Row],[ordered_units]]*ReconciliationData[[#This Row],[List_Price]]</f>
        <v>63150.742800000007</v>
      </c>
      <c r="Z718">
        <f>ReconciliationData[[#This Row],[billed_revenue]]-ReconciliationData[[#This Row],[expected_revenue]]</f>
        <v>0</v>
      </c>
      <c r="AA7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8" t="str">
        <f>IF(ReconciliationData[[#This Row],[severity_score]]=0,"LOW",
 IF(ReconciliationData[[#This Row],[severity_score]]&lt;=5,"MEDIUM","HIGH"))</f>
        <v>LOW</v>
      </c>
      <c r="AC718" t="str">
        <f>TEXT(ReconciliationData[[#This Row],[Order_Date]],"YYYY-MM")</f>
        <v>2023-10</v>
      </c>
    </row>
    <row r="719" spans="1:29">
      <c r="A719" t="s">
        <v>2319</v>
      </c>
      <c r="B719" s="1">
        <v>45189</v>
      </c>
      <c r="C719" t="s">
        <v>2320</v>
      </c>
      <c r="D719" t="s">
        <v>2321</v>
      </c>
      <c r="E719">
        <v>173</v>
      </c>
      <c r="F719" t="s">
        <v>2322</v>
      </c>
      <c r="G719">
        <v>173</v>
      </c>
      <c r="H719">
        <v>153.69479999999999</v>
      </c>
      <c r="I719">
        <v>19</v>
      </c>
      <c r="J719" s="1">
        <v>44984</v>
      </c>
      <c r="N719">
        <v>153.69479999999999</v>
      </c>
      <c r="O719" s="1">
        <v>44960</v>
      </c>
      <c r="P719">
        <f>IF(ISBLANK(ReconciliationData[[#This Row],[Invoice_ID]]),1,0)</f>
        <v>0</v>
      </c>
      <c r="Q719">
        <f>IF(AND(NOT(ISBLANK(ReconciliationData[[#This Row],[Billed_Units]])),ReconciliationData[[#This Row],[ordered_units]]&lt;&gt;ReconciliationData[[#This Row],[Billed_Units]]),1,0)</f>
        <v>0</v>
      </c>
      <c r="R7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19">
        <f>IF(AND(NOT(ISBLANK(ReconciliationData[[#This Row],[Contract_Price]])),ReconciliationData[[#This Row],[Billed_Price]]&lt;&gt;ReconciliationData[[#This Row],[Contract_Price]]),1,0)</f>
        <v>0</v>
      </c>
      <c r="T719">
        <f>IF(AND(NOT(ISBLANK(ReconciliationData[[#This Row],[End_Date]])),ReconciliationData[[#This Row],[Order_Date]]&gt;ReconciliationData[[#This Row],[End_Date]]),1,0)</f>
        <v>0</v>
      </c>
      <c r="U719">
        <f>IF(AND(NOT(ISBLANK(ReconciliationData[[#This Row],[last_return_date]])),ReconciliationData[[#This Row],[last_return_date]]&gt;ReconciliationData[[#This Row],[Order_Date]]+60),1,0)</f>
        <v>0</v>
      </c>
      <c r="V719">
        <f>IF(ReconciliationData[[#This Row],[total_returned_units]]&gt;ReconciliationData[[#This Row],[ordered_units]],1,0)</f>
        <v>0</v>
      </c>
      <c r="W7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19">
        <f>ReconciliationData[[#This Row],[Billed_Units]]*ReconciliationData[[#This Row],[Billed_Price]]</f>
        <v>26589.200399999998</v>
      </c>
      <c r="Y719">
        <f>ReconciliationData[[#This Row],[ordered_units]]*ReconciliationData[[#This Row],[List_Price]]</f>
        <v>26589.200399999998</v>
      </c>
      <c r="Z719">
        <f>ReconciliationData[[#This Row],[billed_revenue]]-ReconciliationData[[#This Row],[expected_revenue]]</f>
        <v>0</v>
      </c>
      <c r="AA7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19" t="str">
        <f>IF(ReconciliationData[[#This Row],[severity_score]]=0,"LOW",
 IF(ReconciliationData[[#This Row],[severity_score]]&lt;=5,"MEDIUM","HIGH"))</f>
        <v>LOW</v>
      </c>
      <c r="AC719" t="str">
        <f>TEXT(ReconciliationData[[#This Row],[Order_Date]],"YYYY-MM")</f>
        <v>2023-09</v>
      </c>
    </row>
    <row r="720" spans="1:29">
      <c r="A720" t="s">
        <v>2323</v>
      </c>
      <c r="B720" s="1">
        <v>45067</v>
      </c>
      <c r="C720" t="s">
        <v>879</v>
      </c>
      <c r="D720" t="s">
        <v>718</v>
      </c>
      <c r="E720">
        <v>141</v>
      </c>
      <c r="F720" t="s">
        <v>2324</v>
      </c>
      <c r="G720">
        <v>141</v>
      </c>
      <c r="H720">
        <v>287.14</v>
      </c>
      <c r="N720">
        <v>287.14</v>
      </c>
      <c r="O720" s="1">
        <v>44977</v>
      </c>
      <c r="P720">
        <f>IF(ISBLANK(ReconciliationData[[#This Row],[Invoice_ID]]),1,0)</f>
        <v>0</v>
      </c>
      <c r="Q720">
        <f>IF(AND(NOT(ISBLANK(ReconciliationData[[#This Row],[Billed_Units]])),ReconciliationData[[#This Row],[ordered_units]]&lt;&gt;ReconciliationData[[#This Row],[Billed_Units]]),1,0)</f>
        <v>0</v>
      </c>
      <c r="R7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0">
        <f>IF(AND(NOT(ISBLANK(ReconciliationData[[#This Row],[Contract_Price]])),ReconciliationData[[#This Row],[Billed_Price]]&lt;&gt;ReconciliationData[[#This Row],[Contract_Price]]),1,0)</f>
        <v>0</v>
      </c>
      <c r="T720">
        <f>IF(AND(NOT(ISBLANK(ReconciliationData[[#This Row],[End_Date]])),ReconciliationData[[#This Row],[Order_Date]]&gt;ReconciliationData[[#This Row],[End_Date]]),1,0)</f>
        <v>0</v>
      </c>
      <c r="U720">
        <f>IF(AND(NOT(ISBLANK(ReconciliationData[[#This Row],[last_return_date]])),ReconciliationData[[#This Row],[last_return_date]]&gt;ReconciliationData[[#This Row],[Order_Date]]+60),1,0)</f>
        <v>0</v>
      </c>
      <c r="V720">
        <f>IF(ReconciliationData[[#This Row],[total_returned_units]]&gt;ReconciliationData[[#This Row],[ordered_units]],1,0)</f>
        <v>0</v>
      </c>
      <c r="W7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20">
        <f>ReconciliationData[[#This Row],[Billed_Units]]*ReconciliationData[[#This Row],[Billed_Price]]</f>
        <v>40486.74</v>
      </c>
      <c r="Y720">
        <f>ReconciliationData[[#This Row],[ordered_units]]*ReconciliationData[[#This Row],[List_Price]]</f>
        <v>40486.74</v>
      </c>
      <c r="Z720">
        <f>ReconciliationData[[#This Row],[billed_revenue]]-ReconciliationData[[#This Row],[expected_revenue]]</f>
        <v>0</v>
      </c>
      <c r="AA7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20" t="str">
        <f>IF(ReconciliationData[[#This Row],[severity_score]]=0,"LOW",
 IF(ReconciliationData[[#This Row],[severity_score]]&lt;=5,"MEDIUM","HIGH"))</f>
        <v>LOW</v>
      </c>
      <c r="AC720" t="str">
        <f>TEXT(ReconciliationData[[#This Row],[Order_Date]],"YYYY-MM")</f>
        <v>2023-05</v>
      </c>
    </row>
    <row r="721" spans="1:29">
      <c r="A721" t="s">
        <v>2325</v>
      </c>
      <c r="B721" s="1">
        <v>45448</v>
      </c>
      <c r="C721" t="s">
        <v>201</v>
      </c>
      <c r="D721" t="s">
        <v>381</v>
      </c>
      <c r="E721">
        <v>20</v>
      </c>
      <c r="F721" t="s">
        <v>2326</v>
      </c>
      <c r="G721">
        <v>20</v>
      </c>
      <c r="H721">
        <v>942.54840000000013</v>
      </c>
      <c r="N721">
        <v>942.54840000000013</v>
      </c>
      <c r="O721" s="1">
        <v>45086</v>
      </c>
      <c r="P721">
        <f>IF(ISBLANK(ReconciliationData[[#This Row],[Invoice_ID]]),1,0)</f>
        <v>0</v>
      </c>
      <c r="Q721">
        <f>IF(AND(NOT(ISBLANK(ReconciliationData[[#This Row],[Billed_Units]])),ReconciliationData[[#This Row],[ordered_units]]&lt;&gt;ReconciliationData[[#This Row],[Billed_Units]]),1,0)</f>
        <v>0</v>
      </c>
      <c r="R7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1">
        <f>IF(AND(NOT(ISBLANK(ReconciliationData[[#This Row],[Contract_Price]])),ReconciliationData[[#This Row],[Billed_Price]]&lt;&gt;ReconciliationData[[#This Row],[Contract_Price]]),1,0)</f>
        <v>0</v>
      </c>
      <c r="T721">
        <f>IF(AND(NOT(ISBLANK(ReconciliationData[[#This Row],[End_Date]])),ReconciliationData[[#This Row],[Order_Date]]&gt;ReconciliationData[[#This Row],[End_Date]]),1,0)</f>
        <v>0</v>
      </c>
      <c r="U721">
        <f>IF(AND(NOT(ISBLANK(ReconciliationData[[#This Row],[last_return_date]])),ReconciliationData[[#This Row],[last_return_date]]&gt;ReconciliationData[[#This Row],[Order_Date]]+60),1,0)</f>
        <v>0</v>
      </c>
      <c r="V721">
        <f>IF(ReconciliationData[[#This Row],[total_returned_units]]&gt;ReconciliationData[[#This Row],[ordered_units]],1,0)</f>
        <v>0</v>
      </c>
      <c r="W7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21">
        <f>ReconciliationData[[#This Row],[Billed_Units]]*ReconciliationData[[#This Row],[Billed_Price]]</f>
        <v>18850.968000000001</v>
      </c>
      <c r="Y721">
        <f>ReconciliationData[[#This Row],[ordered_units]]*ReconciliationData[[#This Row],[List_Price]]</f>
        <v>18850.968000000001</v>
      </c>
      <c r="Z721">
        <f>ReconciliationData[[#This Row],[billed_revenue]]-ReconciliationData[[#This Row],[expected_revenue]]</f>
        <v>0</v>
      </c>
      <c r="AA7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21" t="str">
        <f>IF(ReconciliationData[[#This Row],[severity_score]]=0,"LOW",
 IF(ReconciliationData[[#This Row],[severity_score]]&lt;=5,"MEDIUM","HIGH"))</f>
        <v>LOW</v>
      </c>
      <c r="AC721" t="str">
        <f>TEXT(ReconciliationData[[#This Row],[Order_Date]],"YYYY-MM")</f>
        <v>2024-06</v>
      </c>
    </row>
    <row r="722" spans="1:29">
      <c r="A722" t="s">
        <v>2327</v>
      </c>
      <c r="B722" s="1">
        <v>45357</v>
      </c>
      <c r="C722" t="s">
        <v>1259</v>
      </c>
      <c r="D722" t="s">
        <v>2321</v>
      </c>
      <c r="E722">
        <v>24</v>
      </c>
      <c r="F722" t="s">
        <v>2328</v>
      </c>
      <c r="G722">
        <v>24</v>
      </c>
      <c r="H722">
        <v>153.69479999999999</v>
      </c>
      <c r="N722">
        <v>153.69479999999999</v>
      </c>
      <c r="O722" s="1">
        <v>44960</v>
      </c>
      <c r="P722">
        <f>IF(ISBLANK(ReconciliationData[[#This Row],[Invoice_ID]]),1,0)</f>
        <v>0</v>
      </c>
      <c r="Q722">
        <f>IF(AND(NOT(ISBLANK(ReconciliationData[[#This Row],[Billed_Units]])),ReconciliationData[[#This Row],[ordered_units]]&lt;&gt;ReconciliationData[[#This Row],[Billed_Units]]),1,0)</f>
        <v>0</v>
      </c>
      <c r="R7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2">
        <f>IF(AND(NOT(ISBLANK(ReconciliationData[[#This Row],[Contract_Price]])),ReconciliationData[[#This Row],[Billed_Price]]&lt;&gt;ReconciliationData[[#This Row],[Contract_Price]]),1,0)</f>
        <v>0</v>
      </c>
      <c r="T722">
        <f>IF(AND(NOT(ISBLANK(ReconciliationData[[#This Row],[End_Date]])),ReconciliationData[[#This Row],[Order_Date]]&gt;ReconciliationData[[#This Row],[End_Date]]),1,0)</f>
        <v>0</v>
      </c>
      <c r="U722">
        <f>IF(AND(NOT(ISBLANK(ReconciliationData[[#This Row],[last_return_date]])),ReconciliationData[[#This Row],[last_return_date]]&gt;ReconciliationData[[#This Row],[Order_Date]]+60),1,0)</f>
        <v>0</v>
      </c>
      <c r="V722">
        <f>IF(ReconciliationData[[#This Row],[total_returned_units]]&gt;ReconciliationData[[#This Row],[ordered_units]],1,0)</f>
        <v>0</v>
      </c>
      <c r="W7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22">
        <f>ReconciliationData[[#This Row],[Billed_Units]]*ReconciliationData[[#This Row],[Billed_Price]]</f>
        <v>3688.6751999999997</v>
      </c>
      <c r="Y722">
        <f>ReconciliationData[[#This Row],[ordered_units]]*ReconciliationData[[#This Row],[List_Price]]</f>
        <v>3688.6751999999997</v>
      </c>
      <c r="Z722">
        <f>ReconciliationData[[#This Row],[billed_revenue]]-ReconciliationData[[#This Row],[expected_revenue]]</f>
        <v>0</v>
      </c>
      <c r="AA7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22" t="str">
        <f>IF(ReconciliationData[[#This Row],[severity_score]]=0,"LOW",
 IF(ReconciliationData[[#This Row],[severity_score]]&lt;=5,"MEDIUM","HIGH"))</f>
        <v>LOW</v>
      </c>
      <c r="AC722" t="str">
        <f>TEXT(ReconciliationData[[#This Row],[Order_Date]],"YYYY-MM")</f>
        <v>2024-03</v>
      </c>
    </row>
    <row r="723" spans="1:29">
      <c r="A723" t="s">
        <v>2329</v>
      </c>
      <c r="B723" s="1">
        <v>45177</v>
      </c>
      <c r="C723" t="s">
        <v>2330</v>
      </c>
      <c r="D723" t="s">
        <v>2331</v>
      </c>
      <c r="E723">
        <v>176</v>
      </c>
      <c r="F723" t="s">
        <v>2332</v>
      </c>
      <c r="G723">
        <v>176</v>
      </c>
      <c r="H723">
        <v>983.19460000000004</v>
      </c>
      <c r="N723">
        <v>983.19460000000004</v>
      </c>
      <c r="O723" s="1">
        <v>45142</v>
      </c>
      <c r="P723">
        <f>IF(ISBLANK(ReconciliationData[[#This Row],[Invoice_ID]]),1,0)</f>
        <v>0</v>
      </c>
      <c r="Q723">
        <f>IF(AND(NOT(ISBLANK(ReconciliationData[[#This Row],[Billed_Units]])),ReconciliationData[[#This Row],[ordered_units]]&lt;&gt;ReconciliationData[[#This Row],[Billed_Units]]),1,0)</f>
        <v>0</v>
      </c>
      <c r="R7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3">
        <f>IF(AND(NOT(ISBLANK(ReconciliationData[[#This Row],[Contract_Price]])),ReconciliationData[[#This Row],[Billed_Price]]&lt;&gt;ReconciliationData[[#This Row],[Contract_Price]]),1,0)</f>
        <v>0</v>
      </c>
      <c r="T723">
        <f>IF(AND(NOT(ISBLANK(ReconciliationData[[#This Row],[End_Date]])),ReconciliationData[[#This Row],[Order_Date]]&gt;ReconciliationData[[#This Row],[End_Date]]),1,0)</f>
        <v>0</v>
      </c>
      <c r="U723">
        <f>IF(AND(NOT(ISBLANK(ReconciliationData[[#This Row],[last_return_date]])),ReconciliationData[[#This Row],[last_return_date]]&gt;ReconciliationData[[#This Row],[Order_Date]]+60),1,0)</f>
        <v>0</v>
      </c>
      <c r="V723">
        <f>IF(ReconciliationData[[#This Row],[total_returned_units]]&gt;ReconciliationData[[#This Row],[ordered_units]],1,0)</f>
        <v>0</v>
      </c>
      <c r="W7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23">
        <f>ReconciliationData[[#This Row],[Billed_Units]]*ReconciliationData[[#This Row],[Billed_Price]]</f>
        <v>173042.24960000001</v>
      </c>
      <c r="Y723">
        <f>ReconciliationData[[#This Row],[ordered_units]]*ReconciliationData[[#This Row],[List_Price]]</f>
        <v>173042.24960000001</v>
      </c>
      <c r="Z723">
        <f>ReconciliationData[[#This Row],[billed_revenue]]-ReconciliationData[[#This Row],[expected_revenue]]</f>
        <v>0</v>
      </c>
      <c r="AA7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23" t="str">
        <f>IF(ReconciliationData[[#This Row],[severity_score]]=0,"LOW",
 IF(ReconciliationData[[#This Row],[severity_score]]&lt;=5,"MEDIUM","HIGH"))</f>
        <v>LOW</v>
      </c>
      <c r="AC723" t="str">
        <f>TEXT(ReconciliationData[[#This Row],[Order_Date]],"YYYY-MM")</f>
        <v>2023-09</v>
      </c>
    </row>
    <row r="724" spans="1:29">
      <c r="A724" t="s">
        <v>2333</v>
      </c>
      <c r="B724" s="1">
        <v>45256</v>
      </c>
      <c r="C724" t="s">
        <v>1990</v>
      </c>
      <c r="D724" t="s">
        <v>1735</v>
      </c>
      <c r="E724">
        <v>164</v>
      </c>
      <c r="F724" t="s">
        <v>2334</v>
      </c>
      <c r="G724">
        <v>164</v>
      </c>
      <c r="H724">
        <v>191.1936</v>
      </c>
      <c r="N724">
        <v>191.1936</v>
      </c>
      <c r="O724" s="1">
        <v>45026</v>
      </c>
      <c r="P724">
        <f>IF(ISBLANK(ReconciliationData[[#This Row],[Invoice_ID]]),1,0)</f>
        <v>0</v>
      </c>
      <c r="Q724">
        <f>IF(AND(NOT(ISBLANK(ReconciliationData[[#This Row],[Billed_Units]])),ReconciliationData[[#This Row],[ordered_units]]&lt;&gt;ReconciliationData[[#This Row],[Billed_Units]]),1,0)</f>
        <v>0</v>
      </c>
      <c r="R7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4">
        <f>IF(AND(NOT(ISBLANK(ReconciliationData[[#This Row],[Contract_Price]])),ReconciliationData[[#This Row],[Billed_Price]]&lt;&gt;ReconciliationData[[#This Row],[Contract_Price]]),1,0)</f>
        <v>0</v>
      </c>
      <c r="T724">
        <f>IF(AND(NOT(ISBLANK(ReconciliationData[[#This Row],[End_Date]])),ReconciliationData[[#This Row],[Order_Date]]&gt;ReconciliationData[[#This Row],[End_Date]]),1,0)</f>
        <v>0</v>
      </c>
      <c r="U724">
        <f>IF(AND(NOT(ISBLANK(ReconciliationData[[#This Row],[last_return_date]])),ReconciliationData[[#This Row],[last_return_date]]&gt;ReconciliationData[[#This Row],[Order_Date]]+60),1,0)</f>
        <v>0</v>
      </c>
      <c r="V724">
        <f>IF(ReconciliationData[[#This Row],[total_returned_units]]&gt;ReconciliationData[[#This Row],[ordered_units]],1,0)</f>
        <v>0</v>
      </c>
      <c r="W7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24">
        <f>ReconciliationData[[#This Row],[Billed_Units]]*ReconciliationData[[#This Row],[Billed_Price]]</f>
        <v>31355.750400000001</v>
      </c>
      <c r="Y724">
        <f>ReconciliationData[[#This Row],[ordered_units]]*ReconciliationData[[#This Row],[List_Price]]</f>
        <v>31355.750400000001</v>
      </c>
      <c r="Z724">
        <f>ReconciliationData[[#This Row],[billed_revenue]]-ReconciliationData[[#This Row],[expected_revenue]]</f>
        <v>0</v>
      </c>
      <c r="AA7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24" t="str">
        <f>IF(ReconciliationData[[#This Row],[severity_score]]=0,"LOW",
 IF(ReconciliationData[[#This Row],[severity_score]]&lt;=5,"MEDIUM","HIGH"))</f>
        <v>LOW</v>
      </c>
      <c r="AC724" t="str">
        <f>TEXT(ReconciliationData[[#This Row],[Order_Date]],"YYYY-MM")</f>
        <v>2023-11</v>
      </c>
    </row>
    <row r="725" spans="1:29">
      <c r="A725" t="s">
        <v>2335</v>
      </c>
      <c r="B725" s="1">
        <v>44934</v>
      </c>
      <c r="C725" t="s">
        <v>2336</v>
      </c>
      <c r="D725" t="s">
        <v>457</v>
      </c>
      <c r="E725">
        <v>191</v>
      </c>
      <c r="F725" t="s">
        <v>2337</v>
      </c>
      <c r="G725">
        <v>191</v>
      </c>
      <c r="H725">
        <v>523.15800000000002</v>
      </c>
      <c r="N725">
        <v>523.15800000000002</v>
      </c>
      <c r="O725" s="1">
        <v>44869</v>
      </c>
      <c r="P725">
        <f>IF(ISBLANK(ReconciliationData[[#This Row],[Invoice_ID]]),1,0)</f>
        <v>0</v>
      </c>
      <c r="Q725">
        <f>IF(AND(NOT(ISBLANK(ReconciliationData[[#This Row],[Billed_Units]])),ReconciliationData[[#This Row],[ordered_units]]&lt;&gt;ReconciliationData[[#This Row],[Billed_Units]]),1,0)</f>
        <v>0</v>
      </c>
      <c r="R7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5">
        <f>IF(AND(NOT(ISBLANK(ReconciliationData[[#This Row],[Contract_Price]])),ReconciliationData[[#This Row],[Billed_Price]]&lt;&gt;ReconciliationData[[#This Row],[Contract_Price]]),1,0)</f>
        <v>0</v>
      </c>
      <c r="T725">
        <f>IF(AND(NOT(ISBLANK(ReconciliationData[[#This Row],[End_Date]])),ReconciliationData[[#This Row],[Order_Date]]&gt;ReconciliationData[[#This Row],[End_Date]]),1,0)</f>
        <v>0</v>
      </c>
      <c r="U725">
        <f>IF(AND(NOT(ISBLANK(ReconciliationData[[#This Row],[last_return_date]])),ReconciliationData[[#This Row],[last_return_date]]&gt;ReconciliationData[[#This Row],[Order_Date]]+60),1,0)</f>
        <v>0</v>
      </c>
      <c r="V725">
        <f>IF(ReconciliationData[[#This Row],[total_returned_units]]&gt;ReconciliationData[[#This Row],[ordered_units]],1,0)</f>
        <v>0</v>
      </c>
      <c r="W7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25">
        <f>ReconciliationData[[#This Row],[Billed_Units]]*ReconciliationData[[#This Row],[Billed_Price]]</f>
        <v>99923.178</v>
      </c>
      <c r="Y725">
        <f>ReconciliationData[[#This Row],[ordered_units]]*ReconciliationData[[#This Row],[List_Price]]</f>
        <v>99923.178</v>
      </c>
      <c r="Z725">
        <f>ReconciliationData[[#This Row],[billed_revenue]]-ReconciliationData[[#This Row],[expected_revenue]]</f>
        <v>0</v>
      </c>
      <c r="AA7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25" t="str">
        <f>IF(ReconciliationData[[#This Row],[severity_score]]=0,"LOW",
 IF(ReconciliationData[[#This Row],[severity_score]]&lt;=5,"MEDIUM","HIGH"))</f>
        <v>LOW</v>
      </c>
      <c r="AC725" t="str">
        <f>TEXT(ReconciliationData[[#This Row],[Order_Date]],"YYYY-MM")</f>
        <v>2023-01</v>
      </c>
    </row>
    <row r="726" spans="1:29">
      <c r="A726" t="s">
        <v>2338</v>
      </c>
      <c r="B726" s="1">
        <v>45123</v>
      </c>
      <c r="C726" t="s">
        <v>262</v>
      </c>
      <c r="D726" t="s">
        <v>295</v>
      </c>
      <c r="E726">
        <v>15</v>
      </c>
      <c r="F726" t="s">
        <v>2339</v>
      </c>
      <c r="G726">
        <v>15</v>
      </c>
      <c r="H726">
        <v>838.77149999999995</v>
      </c>
      <c r="I726">
        <v>18</v>
      </c>
      <c r="J726" s="1">
        <v>45576</v>
      </c>
      <c r="N726">
        <v>838.77149999999995</v>
      </c>
      <c r="O726" s="1">
        <v>44902</v>
      </c>
      <c r="P726">
        <f>IF(ISBLANK(ReconciliationData[[#This Row],[Invoice_ID]]),1,0)</f>
        <v>0</v>
      </c>
      <c r="Q726">
        <f>IF(AND(NOT(ISBLANK(ReconciliationData[[#This Row],[Billed_Units]])),ReconciliationData[[#This Row],[ordered_units]]&lt;&gt;ReconciliationData[[#This Row],[Billed_Units]]),1,0)</f>
        <v>0</v>
      </c>
      <c r="R7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6">
        <f>IF(AND(NOT(ISBLANK(ReconciliationData[[#This Row],[Contract_Price]])),ReconciliationData[[#This Row],[Billed_Price]]&lt;&gt;ReconciliationData[[#This Row],[Contract_Price]]),1,0)</f>
        <v>0</v>
      </c>
      <c r="T726">
        <f>IF(AND(NOT(ISBLANK(ReconciliationData[[#This Row],[End_Date]])),ReconciliationData[[#This Row],[Order_Date]]&gt;ReconciliationData[[#This Row],[End_Date]]),1,0)</f>
        <v>0</v>
      </c>
      <c r="U726">
        <f>IF(AND(NOT(ISBLANK(ReconciliationData[[#This Row],[last_return_date]])),ReconciliationData[[#This Row],[last_return_date]]&gt;ReconciliationData[[#This Row],[Order_Date]]+60),1,0)</f>
        <v>1</v>
      </c>
      <c r="V726">
        <f>IF(ReconciliationData[[#This Row],[total_returned_units]]&gt;ReconciliationData[[#This Row],[ordered_units]],1,0)</f>
        <v>1</v>
      </c>
      <c r="W7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726">
        <f>ReconciliationData[[#This Row],[Billed_Units]]*ReconciliationData[[#This Row],[Billed_Price]]</f>
        <v>12581.572499999998</v>
      </c>
      <c r="Y726">
        <f>ReconciliationData[[#This Row],[ordered_units]]*ReconciliationData[[#This Row],[List_Price]]</f>
        <v>12581.572499999998</v>
      </c>
      <c r="Z726">
        <f>ReconciliationData[[#This Row],[billed_revenue]]-ReconciliationData[[#This Row],[expected_revenue]]</f>
        <v>0</v>
      </c>
      <c r="AA7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5</v>
      </c>
      <c r="AB726" t="str">
        <f>IF(ReconciliationData[[#This Row],[severity_score]]=0,"LOW",
 IF(ReconciliationData[[#This Row],[severity_score]]&lt;=5,"MEDIUM","HIGH"))</f>
        <v>MEDIUM</v>
      </c>
      <c r="AC726" t="str">
        <f>TEXT(ReconciliationData[[#This Row],[Order_Date]],"YYYY-MM")</f>
        <v>2023-07</v>
      </c>
    </row>
    <row r="727" spans="1:29">
      <c r="A727" t="s">
        <v>2340</v>
      </c>
      <c r="B727" s="1">
        <v>45250</v>
      </c>
      <c r="C727" t="s">
        <v>1330</v>
      </c>
      <c r="D727" t="s">
        <v>283</v>
      </c>
      <c r="E727">
        <v>22</v>
      </c>
      <c r="F727" t="s">
        <v>2341</v>
      </c>
      <c r="G727">
        <v>22</v>
      </c>
      <c r="H727">
        <v>415.70589999999999</v>
      </c>
      <c r="N727">
        <v>415.70589999999999</v>
      </c>
      <c r="O727" s="1">
        <v>44989</v>
      </c>
      <c r="P727">
        <f>IF(ISBLANK(ReconciliationData[[#This Row],[Invoice_ID]]),1,0)</f>
        <v>0</v>
      </c>
      <c r="Q727">
        <f>IF(AND(NOT(ISBLANK(ReconciliationData[[#This Row],[Billed_Units]])),ReconciliationData[[#This Row],[ordered_units]]&lt;&gt;ReconciliationData[[#This Row],[Billed_Units]]),1,0)</f>
        <v>0</v>
      </c>
      <c r="R7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7">
        <f>IF(AND(NOT(ISBLANK(ReconciliationData[[#This Row],[Contract_Price]])),ReconciliationData[[#This Row],[Billed_Price]]&lt;&gt;ReconciliationData[[#This Row],[Contract_Price]]),1,0)</f>
        <v>0</v>
      </c>
      <c r="T727">
        <f>IF(AND(NOT(ISBLANK(ReconciliationData[[#This Row],[End_Date]])),ReconciliationData[[#This Row],[Order_Date]]&gt;ReconciliationData[[#This Row],[End_Date]]),1,0)</f>
        <v>0</v>
      </c>
      <c r="U727">
        <f>IF(AND(NOT(ISBLANK(ReconciliationData[[#This Row],[last_return_date]])),ReconciliationData[[#This Row],[last_return_date]]&gt;ReconciliationData[[#This Row],[Order_Date]]+60),1,0)</f>
        <v>0</v>
      </c>
      <c r="V727">
        <f>IF(ReconciliationData[[#This Row],[total_returned_units]]&gt;ReconciliationData[[#This Row],[ordered_units]],1,0)</f>
        <v>0</v>
      </c>
      <c r="W7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27">
        <f>ReconciliationData[[#This Row],[Billed_Units]]*ReconciliationData[[#This Row],[Billed_Price]]</f>
        <v>9145.5298000000003</v>
      </c>
      <c r="Y727">
        <f>ReconciliationData[[#This Row],[ordered_units]]*ReconciliationData[[#This Row],[List_Price]]</f>
        <v>9145.5298000000003</v>
      </c>
      <c r="Z727">
        <f>ReconciliationData[[#This Row],[billed_revenue]]-ReconciliationData[[#This Row],[expected_revenue]]</f>
        <v>0</v>
      </c>
      <c r="AA7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27" t="str">
        <f>IF(ReconciliationData[[#This Row],[severity_score]]=0,"LOW",
 IF(ReconciliationData[[#This Row],[severity_score]]&lt;=5,"MEDIUM","HIGH"))</f>
        <v>LOW</v>
      </c>
      <c r="AC727" t="str">
        <f>TEXT(ReconciliationData[[#This Row],[Order_Date]],"YYYY-MM")</f>
        <v>2023-11</v>
      </c>
    </row>
    <row r="728" spans="1:29">
      <c r="A728" t="s">
        <v>2342</v>
      </c>
      <c r="B728" s="1">
        <v>45016</v>
      </c>
      <c r="C728" t="s">
        <v>2343</v>
      </c>
      <c r="D728" t="s">
        <v>529</v>
      </c>
      <c r="E728">
        <v>171</v>
      </c>
      <c r="F728" t="s">
        <v>2344</v>
      </c>
      <c r="G728">
        <v>171</v>
      </c>
      <c r="H728">
        <v>554.83000000000004</v>
      </c>
      <c r="N728">
        <v>554.83000000000004</v>
      </c>
      <c r="O728" s="1">
        <v>44749</v>
      </c>
      <c r="P728">
        <f>IF(ISBLANK(ReconciliationData[[#This Row],[Invoice_ID]]),1,0)</f>
        <v>0</v>
      </c>
      <c r="Q728">
        <f>IF(AND(NOT(ISBLANK(ReconciliationData[[#This Row],[Billed_Units]])),ReconciliationData[[#This Row],[ordered_units]]&lt;&gt;ReconciliationData[[#This Row],[Billed_Units]]),1,0)</f>
        <v>0</v>
      </c>
      <c r="R7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8">
        <f>IF(AND(NOT(ISBLANK(ReconciliationData[[#This Row],[Contract_Price]])),ReconciliationData[[#This Row],[Billed_Price]]&lt;&gt;ReconciliationData[[#This Row],[Contract_Price]]),1,0)</f>
        <v>0</v>
      </c>
      <c r="T728">
        <f>IF(AND(NOT(ISBLANK(ReconciliationData[[#This Row],[End_Date]])),ReconciliationData[[#This Row],[Order_Date]]&gt;ReconciliationData[[#This Row],[End_Date]]),1,0)</f>
        <v>0</v>
      </c>
      <c r="U728">
        <f>IF(AND(NOT(ISBLANK(ReconciliationData[[#This Row],[last_return_date]])),ReconciliationData[[#This Row],[last_return_date]]&gt;ReconciliationData[[#This Row],[Order_Date]]+60),1,0)</f>
        <v>0</v>
      </c>
      <c r="V728">
        <f>IF(ReconciliationData[[#This Row],[total_returned_units]]&gt;ReconciliationData[[#This Row],[ordered_units]],1,0)</f>
        <v>0</v>
      </c>
      <c r="W7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28">
        <f>ReconciliationData[[#This Row],[Billed_Units]]*ReconciliationData[[#This Row],[Billed_Price]]</f>
        <v>94875.930000000008</v>
      </c>
      <c r="Y728">
        <f>ReconciliationData[[#This Row],[ordered_units]]*ReconciliationData[[#This Row],[List_Price]]</f>
        <v>94875.930000000008</v>
      </c>
      <c r="Z728">
        <f>ReconciliationData[[#This Row],[billed_revenue]]-ReconciliationData[[#This Row],[expected_revenue]]</f>
        <v>0</v>
      </c>
      <c r="AA7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28" t="str">
        <f>IF(ReconciliationData[[#This Row],[severity_score]]=0,"LOW",
 IF(ReconciliationData[[#This Row],[severity_score]]&lt;=5,"MEDIUM","HIGH"))</f>
        <v>LOW</v>
      </c>
      <c r="AC728" t="str">
        <f>TEXT(ReconciliationData[[#This Row],[Order_Date]],"YYYY-MM")</f>
        <v>2023-03</v>
      </c>
    </row>
    <row r="729" spans="1:29">
      <c r="A729" t="s">
        <v>2345</v>
      </c>
      <c r="B729" s="1">
        <v>44937</v>
      </c>
      <c r="C729" t="s">
        <v>2346</v>
      </c>
      <c r="D729" t="s">
        <v>430</v>
      </c>
      <c r="E729">
        <v>130</v>
      </c>
      <c r="F729" t="s">
        <v>2347</v>
      </c>
      <c r="G729">
        <v>130</v>
      </c>
      <c r="H729">
        <v>904.00099999999998</v>
      </c>
      <c r="I729">
        <v>8</v>
      </c>
      <c r="J729" s="1">
        <v>45602</v>
      </c>
      <c r="N729">
        <v>904.00099999999998</v>
      </c>
      <c r="O729" s="1">
        <v>44831</v>
      </c>
      <c r="P729">
        <f>IF(ISBLANK(ReconciliationData[[#This Row],[Invoice_ID]]),1,0)</f>
        <v>0</v>
      </c>
      <c r="Q729">
        <f>IF(AND(NOT(ISBLANK(ReconciliationData[[#This Row],[Billed_Units]])),ReconciliationData[[#This Row],[ordered_units]]&lt;&gt;ReconciliationData[[#This Row],[Billed_Units]]),1,0)</f>
        <v>0</v>
      </c>
      <c r="R7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29">
        <f>IF(AND(NOT(ISBLANK(ReconciliationData[[#This Row],[Contract_Price]])),ReconciliationData[[#This Row],[Billed_Price]]&lt;&gt;ReconciliationData[[#This Row],[Contract_Price]]),1,0)</f>
        <v>0</v>
      </c>
      <c r="T729">
        <f>IF(AND(NOT(ISBLANK(ReconciliationData[[#This Row],[End_Date]])),ReconciliationData[[#This Row],[Order_Date]]&gt;ReconciliationData[[#This Row],[End_Date]]),1,0)</f>
        <v>0</v>
      </c>
      <c r="U729">
        <f>IF(AND(NOT(ISBLANK(ReconciliationData[[#This Row],[last_return_date]])),ReconciliationData[[#This Row],[last_return_date]]&gt;ReconciliationData[[#This Row],[Order_Date]]+60),1,0)</f>
        <v>1</v>
      </c>
      <c r="V729">
        <f>IF(ReconciliationData[[#This Row],[total_returned_units]]&gt;ReconciliationData[[#This Row],[ordered_units]],1,0)</f>
        <v>0</v>
      </c>
      <c r="W7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729">
        <f>ReconciliationData[[#This Row],[Billed_Units]]*ReconciliationData[[#This Row],[Billed_Price]]</f>
        <v>117520.12999999999</v>
      </c>
      <c r="Y729">
        <f>ReconciliationData[[#This Row],[ordered_units]]*ReconciliationData[[#This Row],[List_Price]]</f>
        <v>117520.12999999999</v>
      </c>
      <c r="Z729">
        <f>ReconciliationData[[#This Row],[billed_revenue]]-ReconciliationData[[#This Row],[expected_revenue]]</f>
        <v>0</v>
      </c>
      <c r="AA7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729" t="str">
        <f>IF(ReconciliationData[[#This Row],[severity_score]]=0,"LOW",
 IF(ReconciliationData[[#This Row],[severity_score]]&lt;=5,"MEDIUM","HIGH"))</f>
        <v>MEDIUM</v>
      </c>
      <c r="AC729" t="str">
        <f>TEXT(ReconciliationData[[#This Row],[Order_Date]],"YYYY-MM")</f>
        <v>2023-01</v>
      </c>
    </row>
    <row r="730" spans="1:29">
      <c r="A730" t="s">
        <v>2348</v>
      </c>
      <c r="B730" s="1">
        <v>45030</v>
      </c>
      <c r="C730" t="s">
        <v>2349</v>
      </c>
      <c r="D730" t="s">
        <v>944</v>
      </c>
      <c r="E730">
        <v>142</v>
      </c>
      <c r="F730" t="s">
        <v>2350</v>
      </c>
      <c r="G730">
        <v>142</v>
      </c>
      <c r="H730">
        <v>1016.7027</v>
      </c>
      <c r="N730">
        <v>1016.7027</v>
      </c>
      <c r="O730" s="1">
        <v>44955</v>
      </c>
      <c r="P730">
        <f>IF(ISBLANK(ReconciliationData[[#This Row],[Invoice_ID]]),1,0)</f>
        <v>0</v>
      </c>
      <c r="Q730">
        <f>IF(AND(NOT(ISBLANK(ReconciliationData[[#This Row],[Billed_Units]])),ReconciliationData[[#This Row],[ordered_units]]&lt;&gt;ReconciliationData[[#This Row],[Billed_Units]]),1,0)</f>
        <v>0</v>
      </c>
      <c r="R7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0">
        <f>IF(AND(NOT(ISBLANK(ReconciliationData[[#This Row],[Contract_Price]])),ReconciliationData[[#This Row],[Billed_Price]]&lt;&gt;ReconciliationData[[#This Row],[Contract_Price]]),1,0)</f>
        <v>0</v>
      </c>
      <c r="T730">
        <f>IF(AND(NOT(ISBLANK(ReconciliationData[[#This Row],[End_Date]])),ReconciliationData[[#This Row],[Order_Date]]&gt;ReconciliationData[[#This Row],[End_Date]]),1,0)</f>
        <v>0</v>
      </c>
      <c r="U730">
        <f>IF(AND(NOT(ISBLANK(ReconciliationData[[#This Row],[last_return_date]])),ReconciliationData[[#This Row],[last_return_date]]&gt;ReconciliationData[[#This Row],[Order_Date]]+60),1,0)</f>
        <v>0</v>
      </c>
      <c r="V730">
        <f>IF(ReconciliationData[[#This Row],[total_returned_units]]&gt;ReconciliationData[[#This Row],[ordered_units]],1,0)</f>
        <v>0</v>
      </c>
      <c r="W7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0">
        <f>ReconciliationData[[#This Row],[Billed_Units]]*ReconciliationData[[#This Row],[Billed_Price]]</f>
        <v>144371.78340000001</v>
      </c>
      <c r="Y730">
        <f>ReconciliationData[[#This Row],[ordered_units]]*ReconciliationData[[#This Row],[List_Price]]</f>
        <v>144371.78340000001</v>
      </c>
      <c r="Z730">
        <f>ReconciliationData[[#This Row],[billed_revenue]]-ReconciliationData[[#This Row],[expected_revenue]]</f>
        <v>0</v>
      </c>
      <c r="AA7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0" t="str">
        <f>IF(ReconciliationData[[#This Row],[severity_score]]=0,"LOW",
 IF(ReconciliationData[[#This Row],[severity_score]]&lt;=5,"MEDIUM","HIGH"))</f>
        <v>LOW</v>
      </c>
      <c r="AC730" t="str">
        <f>TEXT(ReconciliationData[[#This Row],[Order_Date]],"YYYY-MM")</f>
        <v>2023-04</v>
      </c>
    </row>
    <row r="731" spans="1:29">
      <c r="A731" t="s">
        <v>2351</v>
      </c>
      <c r="B731" s="1">
        <v>45507</v>
      </c>
      <c r="C731" t="s">
        <v>2352</v>
      </c>
      <c r="D731" t="s">
        <v>2353</v>
      </c>
      <c r="E731">
        <v>193</v>
      </c>
      <c r="F731" t="s">
        <v>2354</v>
      </c>
      <c r="G731">
        <v>193</v>
      </c>
      <c r="H731">
        <v>358.33919999999995</v>
      </c>
      <c r="N731">
        <v>358.33919999999995</v>
      </c>
      <c r="O731" s="1">
        <v>45108</v>
      </c>
      <c r="P731">
        <f>IF(ISBLANK(ReconciliationData[[#This Row],[Invoice_ID]]),1,0)</f>
        <v>0</v>
      </c>
      <c r="Q731">
        <f>IF(AND(NOT(ISBLANK(ReconciliationData[[#This Row],[Billed_Units]])),ReconciliationData[[#This Row],[ordered_units]]&lt;&gt;ReconciliationData[[#This Row],[Billed_Units]]),1,0)</f>
        <v>0</v>
      </c>
      <c r="R7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1">
        <f>IF(AND(NOT(ISBLANK(ReconciliationData[[#This Row],[Contract_Price]])),ReconciliationData[[#This Row],[Billed_Price]]&lt;&gt;ReconciliationData[[#This Row],[Contract_Price]]),1,0)</f>
        <v>0</v>
      </c>
      <c r="T731">
        <f>IF(AND(NOT(ISBLANK(ReconciliationData[[#This Row],[End_Date]])),ReconciliationData[[#This Row],[Order_Date]]&gt;ReconciliationData[[#This Row],[End_Date]]),1,0)</f>
        <v>0</v>
      </c>
      <c r="U731">
        <f>IF(AND(NOT(ISBLANK(ReconciliationData[[#This Row],[last_return_date]])),ReconciliationData[[#This Row],[last_return_date]]&gt;ReconciliationData[[#This Row],[Order_Date]]+60),1,0)</f>
        <v>0</v>
      </c>
      <c r="V731">
        <f>IF(ReconciliationData[[#This Row],[total_returned_units]]&gt;ReconciliationData[[#This Row],[ordered_units]],1,0)</f>
        <v>0</v>
      </c>
      <c r="W7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1">
        <f>ReconciliationData[[#This Row],[Billed_Units]]*ReconciliationData[[#This Row],[Billed_Price]]</f>
        <v>69159.465599999996</v>
      </c>
      <c r="Y731">
        <f>ReconciliationData[[#This Row],[ordered_units]]*ReconciliationData[[#This Row],[List_Price]]</f>
        <v>69159.465599999996</v>
      </c>
      <c r="Z731">
        <f>ReconciliationData[[#This Row],[billed_revenue]]-ReconciliationData[[#This Row],[expected_revenue]]</f>
        <v>0</v>
      </c>
      <c r="AA7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1" t="str">
        <f>IF(ReconciliationData[[#This Row],[severity_score]]=0,"LOW",
 IF(ReconciliationData[[#This Row],[severity_score]]&lt;=5,"MEDIUM","HIGH"))</f>
        <v>LOW</v>
      </c>
      <c r="AC731" t="str">
        <f>TEXT(ReconciliationData[[#This Row],[Order_Date]],"YYYY-MM")</f>
        <v>2024-08</v>
      </c>
    </row>
    <row r="732" spans="1:29">
      <c r="A732" t="s">
        <v>2355</v>
      </c>
      <c r="B732" s="1">
        <v>45621</v>
      </c>
      <c r="C732" t="s">
        <v>2356</v>
      </c>
      <c r="D732" t="s">
        <v>1400</v>
      </c>
      <c r="E732">
        <v>173</v>
      </c>
      <c r="F732" t="s">
        <v>2357</v>
      </c>
      <c r="G732">
        <v>173</v>
      </c>
      <c r="H732">
        <v>512.04</v>
      </c>
      <c r="N732">
        <v>512.04</v>
      </c>
      <c r="O732" s="1">
        <v>44928</v>
      </c>
      <c r="P732">
        <f>IF(ISBLANK(ReconciliationData[[#This Row],[Invoice_ID]]),1,0)</f>
        <v>0</v>
      </c>
      <c r="Q732">
        <f>IF(AND(NOT(ISBLANK(ReconciliationData[[#This Row],[Billed_Units]])),ReconciliationData[[#This Row],[ordered_units]]&lt;&gt;ReconciliationData[[#This Row],[Billed_Units]]),1,0)</f>
        <v>0</v>
      </c>
      <c r="R7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2">
        <f>IF(AND(NOT(ISBLANK(ReconciliationData[[#This Row],[Contract_Price]])),ReconciliationData[[#This Row],[Billed_Price]]&lt;&gt;ReconciliationData[[#This Row],[Contract_Price]]),1,0)</f>
        <v>0</v>
      </c>
      <c r="T732">
        <f>IF(AND(NOT(ISBLANK(ReconciliationData[[#This Row],[End_Date]])),ReconciliationData[[#This Row],[Order_Date]]&gt;ReconciliationData[[#This Row],[End_Date]]),1,0)</f>
        <v>0</v>
      </c>
      <c r="U732">
        <f>IF(AND(NOT(ISBLANK(ReconciliationData[[#This Row],[last_return_date]])),ReconciliationData[[#This Row],[last_return_date]]&gt;ReconciliationData[[#This Row],[Order_Date]]+60),1,0)</f>
        <v>0</v>
      </c>
      <c r="V732">
        <f>IF(ReconciliationData[[#This Row],[total_returned_units]]&gt;ReconciliationData[[#This Row],[ordered_units]],1,0)</f>
        <v>0</v>
      </c>
      <c r="W7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2">
        <f>ReconciliationData[[#This Row],[Billed_Units]]*ReconciliationData[[#This Row],[Billed_Price]]</f>
        <v>88582.92</v>
      </c>
      <c r="Y732">
        <f>ReconciliationData[[#This Row],[ordered_units]]*ReconciliationData[[#This Row],[List_Price]]</f>
        <v>88582.92</v>
      </c>
      <c r="Z732">
        <f>ReconciliationData[[#This Row],[billed_revenue]]-ReconciliationData[[#This Row],[expected_revenue]]</f>
        <v>0</v>
      </c>
      <c r="AA7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2" t="str">
        <f>IF(ReconciliationData[[#This Row],[severity_score]]=0,"LOW",
 IF(ReconciliationData[[#This Row],[severity_score]]&lt;=5,"MEDIUM","HIGH"))</f>
        <v>LOW</v>
      </c>
      <c r="AC732" t="str">
        <f>TEXT(ReconciliationData[[#This Row],[Order_Date]],"YYYY-MM")</f>
        <v>2024-11</v>
      </c>
    </row>
    <row r="733" spans="1:29">
      <c r="A733" t="s">
        <v>2358</v>
      </c>
      <c r="B733" s="1">
        <v>45370</v>
      </c>
      <c r="C733" t="s">
        <v>2359</v>
      </c>
      <c r="D733" t="s">
        <v>2360</v>
      </c>
      <c r="E733">
        <v>38</v>
      </c>
      <c r="F733" t="s">
        <v>2361</v>
      </c>
      <c r="G733">
        <v>38</v>
      </c>
      <c r="H733">
        <v>852.46560000000011</v>
      </c>
      <c r="N733">
        <v>852.46560000000011</v>
      </c>
      <c r="O733" s="1">
        <v>44996</v>
      </c>
      <c r="P733">
        <f>IF(ISBLANK(ReconciliationData[[#This Row],[Invoice_ID]]),1,0)</f>
        <v>0</v>
      </c>
      <c r="Q733">
        <f>IF(AND(NOT(ISBLANK(ReconciliationData[[#This Row],[Billed_Units]])),ReconciliationData[[#This Row],[ordered_units]]&lt;&gt;ReconciliationData[[#This Row],[Billed_Units]]),1,0)</f>
        <v>0</v>
      </c>
      <c r="R7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3">
        <f>IF(AND(NOT(ISBLANK(ReconciliationData[[#This Row],[Contract_Price]])),ReconciliationData[[#This Row],[Billed_Price]]&lt;&gt;ReconciliationData[[#This Row],[Contract_Price]]),1,0)</f>
        <v>0</v>
      </c>
      <c r="T733">
        <f>IF(AND(NOT(ISBLANK(ReconciliationData[[#This Row],[End_Date]])),ReconciliationData[[#This Row],[Order_Date]]&gt;ReconciliationData[[#This Row],[End_Date]]),1,0)</f>
        <v>0</v>
      </c>
      <c r="U733">
        <f>IF(AND(NOT(ISBLANK(ReconciliationData[[#This Row],[last_return_date]])),ReconciliationData[[#This Row],[last_return_date]]&gt;ReconciliationData[[#This Row],[Order_Date]]+60),1,0)</f>
        <v>0</v>
      </c>
      <c r="V733">
        <f>IF(ReconciliationData[[#This Row],[total_returned_units]]&gt;ReconciliationData[[#This Row],[ordered_units]],1,0)</f>
        <v>0</v>
      </c>
      <c r="W7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3">
        <f>ReconciliationData[[#This Row],[Billed_Units]]*ReconciliationData[[#This Row],[Billed_Price]]</f>
        <v>32393.692800000004</v>
      </c>
      <c r="Y733">
        <f>ReconciliationData[[#This Row],[ordered_units]]*ReconciliationData[[#This Row],[List_Price]]</f>
        <v>32393.692800000004</v>
      </c>
      <c r="Z733">
        <f>ReconciliationData[[#This Row],[billed_revenue]]-ReconciliationData[[#This Row],[expected_revenue]]</f>
        <v>0</v>
      </c>
      <c r="AA7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3" t="str">
        <f>IF(ReconciliationData[[#This Row],[severity_score]]=0,"LOW",
 IF(ReconciliationData[[#This Row],[severity_score]]&lt;=5,"MEDIUM","HIGH"))</f>
        <v>LOW</v>
      </c>
      <c r="AC733" t="str">
        <f>TEXT(ReconciliationData[[#This Row],[Order_Date]],"YYYY-MM")</f>
        <v>2024-03</v>
      </c>
    </row>
    <row r="734" spans="1:29">
      <c r="A734" t="s">
        <v>2362</v>
      </c>
      <c r="B734" s="1">
        <v>45414</v>
      </c>
      <c r="C734" t="s">
        <v>1634</v>
      </c>
      <c r="D734" t="s">
        <v>1414</v>
      </c>
      <c r="E734">
        <v>124</v>
      </c>
      <c r="F734" t="s">
        <v>2363</v>
      </c>
      <c r="G734">
        <v>124</v>
      </c>
      <c r="H734">
        <v>872.7808</v>
      </c>
      <c r="N734">
        <v>872.7808</v>
      </c>
      <c r="O734" s="1">
        <v>45225</v>
      </c>
      <c r="P734">
        <f>IF(ISBLANK(ReconciliationData[[#This Row],[Invoice_ID]]),1,0)</f>
        <v>0</v>
      </c>
      <c r="Q734">
        <f>IF(AND(NOT(ISBLANK(ReconciliationData[[#This Row],[Billed_Units]])),ReconciliationData[[#This Row],[ordered_units]]&lt;&gt;ReconciliationData[[#This Row],[Billed_Units]]),1,0)</f>
        <v>0</v>
      </c>
      <c r="R7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4">
        <f>IF(AND(NOT(ISBLANK(ReconciliationData[[#This Row],[Contract_Price]])),ReconciliationData[[#This Row],[Billed_Price]]&lt;&gt;ReconciliationData[[#This Row],[Contract_Price]]),1,0)</f>
        <v>0</v>
      </c>
      <c r="T734">
        <f>IF(AND(NOT(ISBLANK(ReconciliationData[[#This Row],[End_Date]])),ReconciliationData[[#This Row],[Order_Date]]&gt;ReconciliationData[[#This Row],[End_Date]]),1,0)</f>
        <v>0</v>
      </c>
      <c r="U734">
        <f>IF(AND(NOT(ISBLANK(ReconciliationData[[#This Row],[last_return_date]])),ReconciliationData[[#This Row],[last_return_date]]&gt;ReconciliationData[[#This Row],[Order_Date]]+60),1,0)</f>
        <v>0</v>
      </c>
      <c r="V734">
        <f>IF(ReconciliationData[[#This Row],[total_returned_units]]&gt;ReconciliationData[[#This Row],[ordered_units]],1,0)</f>
        <v>0</v>
      </c>
      <c r="W7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4">
        <f>ReconciliationData[[#This Row],[Billed_Units]]*ReconciliationData[[#This Row],[Billed_Price]]</f>
        <v>108224.8192</v>
      </c>
      <c r="Y734">
        <f>ReconciliationData[[#This Row],[ordered_units]]*ReconciliationData[[#This Row],[List_Price]]</f>
        <v>108224.8192</v>
      </c>
      <c r="Z734">
        <f>ReconciliationData[[#This Row],[billed_revenue]]-ReconciliationData[[#This Row],[expected_revenue]]</f>
        <v>0</v>
      </c>
      <c r="AA7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4" t="str">
        <f>IF(ReconciliationData[[#This Row],[severity_score]]=0,"LOW",
 IF(ReconciliationData[[#This Row],[severity_score]]&lt;=5,"MEDIUM","HIGH"))</f>
        <v>LOW</v>
      </c>
      <c r="AC734" t="str">
        <f>TEXT(ReconciliationData[[#This Row],[Order_Date]],"YYYY-MM")</f>
        <v>2024-05</v>
      </c>
    </row>
    <row r="735" spans="1:29">
      <c r="A735" t="s">
        <v>2364</v>
      </c>
      <c r="B735" s="1">
        <v>45332</v>
      </c>
      <c r="C735" t="s">
        <v>697</v>
      </c>
      <c r="D735" t="s">
        <v>522</v>
      </c>
      <c r="E735">
        <v>181</v>
      </c>
      <c r="F735" t="s">
        <v>2365</v>
      </c>
      <c r="G735">
        <v>181</v>
      </c>
      <c r="H735">
        <v>826.46400000000006</v>
      </c>
      <c r="N735">
        <v>826.46400000000006</v>
      </c>
      <c r="O735" s="1">
        <v>45128</v>
      </c>
      <c r="P735">
        <f>IF(ISBLANK(ReconciliationData[[#This Row],[Invoice_ID]]),1,0)</f>
        <v>0</v>
      </c>
      <c r="Q735">
        <f>IF(AND(NOT(ISBLANK(ReconciliationData[[#This Row],[Billed_Units]])),ReconciliationData[[#This Row],[ordered_units]]&lt;&gt;ReconciliationData[[#This Row],[Billed_Units]]),1,0)</f>
        <v>0</v>
      </c>
      <c r="R7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5">
        <f>IF(AND(NOT(ISBLANK(ReconciliationData[[#This Row],[Contract_Price]])),ReconciliationData[[#This Row],[Billed_Price]]&lt;&gt;ReconciliationData[[#This Row],[Contract_Price]]),1,0)</f>
        <v>0</v>
      </c>
      <c r="T735">
        <f>IF(AND(NOT(ISBLANK(ReconciliationData[[#This Row],[End_Date]])),ReconciliationData[[#This Row],[Order_Date]]&gt;ReconciliationData[[#This Row],[End_Date]]),1,0)</f>
        <v>0</v>
      </c>
      <c r="U735">
        <f>IF(AND(NOT(ISBLANK(ReconciliationData[[#This Row],[last_return_date]])),ReconciliationData[[#This Row],[last_return_date]]&gt;ReconciliationData[[#This Row],[Order_Date]]+60),1,0)</f>
        <v>0</v>
      </c>
      <c r="V735">
        <f>IF(ReconciliationData[[#This Row],[total_returned_units]]&gt;ReconciliationData[[#This Row],[ordered_units]],1,0)</f>
        <v>0</v>
      </c>
      <c r="W7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5">
        <f>ReconciliationData[[#This Row],[Billed_Units]]*ReconciliationData[[#This Row],[Billed_Price]]</f>
        <v>149589.984</v>
      </c>
      <c r="Y735">
        <f>ReconciliationData[[#This Row],[ordered_units]]*ReconciliationData[[#This Row],[List_Price]]</f>
        <v>149589.984</v>
      </c>
      <c r="Z735">
        <f>ReconciliationData[[#This Row],[billed_revenue]]-ReconciliationData[[#This Row],[expected_revenue]]</f>
        <v>0</v>
      </c>
      <c r="AA7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5" t="str">
        <f>IF(ReconciliationData[[#This Row],[severity_score]]=0,"LOW",
 IF(ReconciliationData[[#This Row],[severity_score]]&lt;=5,"MEDIUM","HIGH"))</f>
        <v>LOW</v>
      </c>
      <c r="AC735" t="str">
        <f>TEXT(ReconciliationData[[#This Row],[Order_Date]],"YYYY-MM")</f>
        <v>2024-02</v>
      </c>
    </row>
    <row r="736" spans="1:29">
      <c r="A736" t="s">
        <v>2366</v>
      </c>
      <c r="B736" s="1">
        <v>45349</v>
      </c>
      <c r="C736" t="s">
        <v>2367</v>
      </c>
      <c r="D736" t="s">
        <v>2245</v>
      </c>
      <c r="E736">
        <v>10</v>
      </c>
      <c r="F736" t="s">
        <v>2368</v>
      </c>
      <c r="G736">
        <v>10</v>
      </c>
      <c r="H736">
        <v>378.91109999999998</v>
      </c>
      <c r="N736">
        <v>378.91109999999998</v>
      </c>
      <c r="O736" s="1">
        <v>45117</v>
      </c>
      <c r="P736">
        <f>IF(ISBLANK(ReconciliationData[[#This Row],[Invoice_ID]]),1,0)</f>
        <v>0</v>
      </c>
      <c r="Q736">
        <f>IF(AND(NOT(ISBLANK(ReconciliationData[[#This Row],[Billed_Units]])),ReconciliationData[[#This Row],[ordered_units]]&lt;&gt;ReconciliationData[[#This Row],[Billed_Units]]),1,0)</f>
        <v>0</v>
      </c>
      <c r="R7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6">
        <f>IF(AND(NOT(ISBLANK(ReconciliationData[[#This Row],[Contract_Price]])),ReconciliationData[[#This Row],[Billed_Price]]&lt;&gt;ReconciliationData[[#This Row],[Contract_Price]]),1,0)</f>
        <v>0</v>
      </c>
      <c r="T736">
        <f>IF(AND(NOT(ISBLANK(ReconciliationData[[#This Row],[End_Date]])),ReconciliationData[[#This Row],[Order_Date]]&gt;ReconciliationData[[#This Row],[End_Date]]),1,0)</f>
        <v>0</v>
      </c>
      <c r="U736">
        <f>IF(AND(NOT(ISBLANK(ReconciliationData[[#This Row],[last_return_date]])),ReconciliationData[[#This Row],[last_return_date]]&gt;ReconciliationData[[#This Row],[Order_Date]]+60),1,0)</f>
        <v>0</v>
      </c>
      <c r="V736">
        <f>IF(ReconciliationData[[#This Row],[total_returned_units]]&gt;ReconciliationData[[#This Row],[ordered_units]],1,0)</f>
        <v>0</v>
      </c>
      <c r="W7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6">
        <f>ReconciliationData[[#This Row],[Billed_Units]]*ReconciliationData[[#This Row],[Billed_Price]]</f>
        <v>3789.1109999999999</v>
      </c>
      <c r="Y736">
        <f>ReconciliationData[[#This Row],[ordered_units]]*ReconciliationData[[#This Row],[List_Price]]</f>
        <v>3789.1109999999999</v>
      </c>
      <c r="Z736">
        <f>ReconciliationData[[#This Row],[billed_revenue]]-ReconciliationData[[#This Row],[expected_revenue]]</f>
        <v>0</v>
      </c>
      <c r="AA7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6" t="str">
        <f>IF(ReconciliationData[[#This Row],[severity_score]]=0,"LOW",
 IF(ReconciliationData[[#This Row],[severity_score]]&lt;=5,"MEDIUM","HIGH"))</f>
        <v>LOW</v>
      </c>
      <c r="AC736" t="str">
        <f>TEXT(ReconciliationData[[#This Row],[Order_Date]],"YYYY-MM")</f>
        <v>2024-02</v>
      </c>
    </row>
    <row r="737" spans="1:29">
      <c r="A737" t="s">
        <v>2369</v>
      </c>
      <c r="B737" s="1">
        <v>45488</v>
      </c>
      <c r="C737" t="s">
        <v>1248</v>
      </c>
      <c r="D737" t="s">
        <v>2370</v>
      </c>
      <c r="E737">
        <v>107</v>
      </c>
      <c r="F737" t="s">
        <v>2371</v>
      </c>
      <c r="G737">
        <v>107</v>
      </c>
      <c r="H737">
        <v>1247.7911999999999</v>
      </c>
      <c r="N737">
        <v>1247.7911999999999</v>
      </c>
      <c r="O737" s="1">
        <v>45213</v>
      </c>
      <c r="P737">
        <f>IF(ISBLANK(ReconciliationData[[#This Row],[Invoice_ID]]),1,0)</f>
        <v>0</v>
      </c>
      <c r="Q737">
        <f>IF(AND(NOT(ISBLANK(ReconciliationData[[#This Row],[Billed_Units]])),ReconciliationData[[#This Row],[ordered_units]]&lt;&gt;ReconciliationData[[#This Row],[Billed_Units]]),1,0)</f>
        <v>0</v>
      </c>
      <c r="R7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7">
        <f>IF(AND(NOT(ISBLANK(ReconciliationData[[#This Row],[Contract_Price]])),ReconciliationData[[#This Row],[Billed_Price]]&lt;&gt;ReconciliationData[[#This Row],[Contract_Price]]),1,0)</f>
        <v>0</v>
      </c>
      <c r="T737">
        <f>IF(AND(NOT(ISBLANK(ReconciliationData[[#This Row],[End_Date]])),ReconciliationData[[#This Row],[Order_Date]]&gt;ReconciliationData[[#This Row],[End_Date]]),1,0)</f>
        <v>0</v>
      </c>
      <c r="U737">
        <f>IF(AND(NOT(ISBLANK(ReconciliationData[[#This Row],[last_return_date]])),ReconciliationData[[#This Row],[last_return_date]]&gt;ReconciliationData[[#This Row],[Order_Date]]+60),1,0)</f>
        <v>0</v>
      </c>
      <c r="V737">
        <f>IF(ReconciliationData[[#This Row],[total_returned_units]]&gt;ReconciliationData[[#This Row],[ordered_units]],1,0)</f>
        <v>0</v>
      </c>
      <c r="W7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7">
        <f>ReconciliationData[[#This Row],[Billed_Units]]*ReconciliationData[[#This Row],[Billed_Price]]</f>
        <v>133513.65839999999</v>
      </c>
      <c r="Y737">
        <f>ReconciliationData[[#This Row],[ordered_units]]*ReconciliationData[[#This Row],[List_Price]]</f>
        <v>133513.65839999999</v>
      </c>
      <c r="Z737">
        <f>ReconciliationData[[#This Row],[billed_revenue]]-ReconciliationData[[#This Row],[expected_revenue]]</f>
        <v>0</v>
      </c>
      <c r="AA7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7" t="str">
        <f>IF(ReconciliationData[[#This Row],[severity_score]]=0,"LOW",
 IF(ReconciliationData[[#This Row],[severity_score]]&lt;=5,"MEDIUM","HIGH"))</f>
        <v>LOW</v>
      </c>
      <c r="AC737" t="str">
        <f>TEXT(ReconciliationData[[#This Row],[Order_Date]],"YYYY-MM")</f>
        <v>2024-07</v>
      </c>
    </row>
    <row r="738" spans="1:29">
      <c r="A738" t="s">
        <v>2372</v>
      </c>
      <c r="B738" s="1">
        <v>44997</v>
      </c>
      <c r="C738" t="s">
        <v>2134</v>
      </c>
      <c r="D738" t="s">
        <v>370</v>
      </c>
      <c r="E738">
        <v>171</v>
      </c>
      <c r="F738" t="s">
        <v>2373</v>
      </c>
      <c r="G738">
        <v>171</v>
      </c>
      <c r="H738">
        <v>639.91840000000002</v>
      </c>
      <c r="N738">
        <v>639.91840000000002</v>
      </c>
      <c r="O738" s="1">
        <v>44930</v>
      </c>
      <c r="P738">
        <f>IF(ISBLANK(ReconciliationData[[#This Row],[Invoice_ID]]),1,0)</f>
        <v>0</v>
      </c>
      <c r="Q738">
        <f>IF(AND(NOT(ISBLANK(ReconciliationData[[#This Row],[Billed_Units]])),ReconciliationData[[#This Row],[ordered_units]]&lt;&gt;ReconciliationData[[#This Row],[Billed_Units]]),1,0)</f>
        <v>0</v>
      </c>
      <c r="R7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8">
        <f>IF(AND(NOT(ISBLANK(ReconciliationData[[#This Row],[Contract_Price]])),ReconciliationData[[#This Row],[Billed_Price]]&lt;&gt;ReconciliationData[[#This Row],[Contract_Price]]),1,0)</f>
        <v>0</v>
      </c>
      <c r="T738">
        <f>IF(AND(NOT(ISBLANK(ReconciliationData[[#This Row],[End_Date]])),ReconciliationData[[#This Row],[Order_Date]]&gt;ReconciliationData[[#This Row],[End_Date]]),1,0)</f>
        <v>0</v>
      </c>
      <c r="U738">
        <f>IF(AND(NOT(ISBLANK(ReconciliationData[[#This Row],[last_return_date]])),ReconciliationData[[#This Row],[last_return_date]]&gt;ReconciliationData[[#This Row],[Order_Date]]+60),1,0)</f>
        <v>0</v>
      </c>
      <c r="V738">
        <f>IF(ReconciliationData[[#This Row],[total_returned_units]]&gt;ReconciliationData[[#This Row],[ordered_units]],1,0)</f>
        <v>0</v>
      </c>
      <c r="W7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8">
        <f>ReconciliationData[[#This Row],[Billed_Units]]*ReconciliationData[[#This Row],[Billed_Price]]</f>
        <v>109426.04640000001</v>
      </c>
      <c r="Y738">
        <f>ReconciliationData[[#This Row],[ordered_units]]*ReconciliationData[[#This Row],[List_Price]]</f>
        <v>109426.04640000001</v>
      </c>
      <c r="Z738">
        <f>ReconciliationData[[#This Row],[billed_revenue]]-ReconciliationData[[#This Row],[expected_revenue]]</f>
        <v>0</v>
      </c>
      <c r="AA7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8" t="str">
        <f>IF(ReconciliationData[[#This Row],[severity_score]]=0,"LOW",
 IF(ReconciliationData[[#This Row],[severity_score]]&lt;=5,"MEDIUM","HIGH"))</f>
        <v>LOW</v>
      </c>
      <c r="AC738" t="str">
        <f>TEXT(ReconciliationData[[#This Row],[Order_Date]],"YYYY-MM")</f>
        <v>2023-03</v>
      </c>
    </row>
    <row r="739" spans="1:29">
      <c r="A739" t="s">
        <v>2374</v>
      </c>
      <c r="B739" s="1">
        <v>44993</v>
      </c>
      <c r="C739" t="s">
        <v>2375</v>
      </c>
      <c r="D739" t="s">
        <v>243</v>
      </c>
      <c r="E739">
        <v>197</v>
      </c>
      <c r="F739" t="s">
        <v>2376</v>
      </c>
      <c r="G739">
        <v>197</v>
      </c>
      <c r="H739">
        <v>126.5656</v>
      </c>
      <c r="N739">
        <v>126.5656</v>
      </c>
      <c r="O739" s="1">
        <v>44947</v>
      </c>
      <c r="P739">
        <f>IF(ISBLANK(ReconciliationData[[#This Row],[Invoice_ID]]),1,0)</f>
        <v>0</v>
      </c>
      <c r="Q739">
        <f>IF(AND(NOT(ISBLANK(ReconciliationData[[#This Row],[Billed_Units]])),ReconciliationData[[#This Row],[ordered_units]]&lt;&gt;ReconciliationData[[#This Row],[Billed_Units]]),1,0)</f>
        <v>0</v>
      </c>
      <c r="R7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39">
        <f>IF(AND(NOT(ISBLANK(ReconciliationData[[#This Row],[Contract_Price]])),ReconciliationData[[#This Row],[Billed_Price]]&lt;&gt;ReconciliationData[[#This Row],[Contract_Price]]),1,0)</f>
        <v>0</v>
      </c>
      <c r="T739">
        <f>IF(AND(NOT(ISBLANK(ReconciliationData[[#This Row],[End_Date]])),ReconciliationData[[#This Row],[Order_Date]]&gt;ReconciliationData[[#This Row],[End_Date]]),1,0)</f>
        <v>0</v>
      </c>
      <c r="U739">
        <f>IF(AND(NOT(ISBLANK(ReconciliationData[[#This Row],[last_return_date]])),ReconciliationData[[#This Row],[last_return_date]]&gt;ReconciliationData[[#This Row],[Order_Date]]+60),1,0)</f>
        <v>0</v>
      </c>
      <c r="V739">
        <f>IF(ReconciliationData[[#This Row],[total_returned_units]]&gt;ReconciliationData[[#This Row],[ordered_units]],1,0)</f>
        <v>0</v>
      </c>
      <c r="W7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39">
        <f>ReconciliationData[[#This Row],[Billed_Units]]*ReconciliationData[[#This Row],[Billed_Price]]</f>
        <v>24933.423200000001</v>
      </c>
      <c r="Y739">
        <f>ReconciliationData[[#This Row],[ordered_units]]*ReconciliationData[[#This Row],[List_Price]]</f>
        <v>24933.423200000001</v>
      </c>
      <c r="Z739">
        <f>ReconciliationData[[#This Row],[billed_revenue]]-ReconciliationData[[#This Row],[expected_revenue]]</f>
        <v>0</v>
      </c>
      <c r="AA7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39" t="str">
        <f>IF(ReconciliationData[[#This Row],[severity_score]]=0,"LOW",
 IF(ReconciliationData[[#This Row],[severity_score]]&lt;=5,"MEDIUM","HIGH"))</f>
        <v>LOW</v>
      </c>
      <c r="AC739" t="str">
        <f>TEXT(ReconciliationData[[#This Row],[Order_Date]],"YYYY-MM")</f>
        <v>2023-03</v>
      </c>
    </row>
    <row r="740" spans="1:29">
      <c r="A740" t="s">
        <v>2377</v>
      </c>
      <c r="B740" s="1">
        <v>45200</v>
      </c>
      <c r="C740" t="s">
        <v>2378</v>
      </c>
      <c r="D740" t="s">
        <v>2064</v>
      </c>
      <c r="E740">
        <v>189</v>
      </c>
      <c r="F740" t="s">
        <v>2379</v>
      </c>
      <c r="G740">
        <v>189</v>
      </c>
      <c r="H740">
        <v>251.7122</v>
      </c>
      <c r="N740">
        <v>251.7122</v>
      </c>
      <c r="O740" s="1">
        <v>45088</v>
      </c>
      <c r="P740">
        <f>IF(ISBLANK(ReconciliationData[[#This Row],[Invoice_ID]]),1,0)</f>
        <v>0</v>
      </c>
      <c r="Q740">
        <f>IF(AND(NOT(ISBLANK(ReconciliationData[[#This Row],[Billed_Units]])),ReconciliationData[[#This Row],[ordered_units]]&lt;&gt;ReconciliationData[[#This Row],[Billed_Units]]),1,0)</f>
        <v>0</v>
      </c>
      <c r="R7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40">
        <f>IF(AND(NOT(ISBLANK(ReconciliationData[[#This Row],[Contract_Price]])),ReconciliationData[[#This Row],[Billed_Price]]&lt;&gt;ReconciliationData[[#This Row],[Contract_Price]]),1,0)</f>
        <v>0</v>
      </c>
      <c r="T740">
        <f>IF(AND(NOT(ISBLANK(ReconciliationData[[#This Row],[End_Date]])),ReconciliationData[[#This Row],[Order_Date]]&gt;ReconciliationData[[#This Row],[End_Date]]),1,0)</f>
        <v>0</v>
      </c>
      <c r="U740">
        <f>IF(AND(NOT(ISBLANK(ReconciliationData[[#This Row],[last_return_date]])),ReconciliationData[[#This Row],[last_return_date]]&gt;ReconciliationData[[#This Row],[Order_Date]]+60),1,0)</f>
        <v>0</v>
      </c>
      <c r="V740">
        <f>IF(ReconciliationData[[#This Row],[total_returned_units]]&gt;ReconciliationData[[#This Row],[ordered_units]],1,0)</f>
        <v>0</v>
      </c>
      <c r="W7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40">
        <f>ReconciliationData[[#This Row],[Billed_Units]]*ReconciliationData[[#This Row],[Billed_Price]]</f>
        <v>47573.605799999998</v>
      </c>
      <c r="Y740">
        <f>ReconciliationData[[#This Row],[ordered_units]]*ReconciliationData[[#This Row],[List_Price]]</f>
        <v>47573.605799999998</v>
      </c>
      <c r="Z740">
        <f>ReconciliationData[[#This Row],[billed_revenue]]-ReconciliationData[[#This Row],[expected_revenue]]</f>
        <v>0</v>
      </c>
      <c r="AA7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40" t="str">
        <f>IF(ReconciliationData[[#This Row],[severity_score]]=0,"LOW",
 IF(ReconciliationData[[#This Row],[severity_score]]&lt;=5,"MEDIUM","HIGH"))</f>
        <v>LOW</v>
      </c>
      <c r="AC740" t="str">
        <f>TEXT(ReconciliationData[[#This Row],[Order_Date]],"YYYY-MM")</f>
        <v>2023-10</v>
      </c>
    </row>
    <row r="741" spans="1:29">
      <c r="A741" t="s">
        <v>2380</v>
      </c>
      <c r="B741" s="1">
        <v>44959</v>
      </c>
      <c r="C741" t="s">
        <v>219</v>
      </c>
      <c r="D741" t="s">
        <v>1188</v>
      </c>
      <c r="E741">
        <v>81</v>
      </c>
      <c r="F741" t="s">
        <v>2381</v>
      </c>
      <c r="G741">
        <v>81</v>
      </c>
      <c r="H741">
        <v>76.151900000000012</v>
      </c>
      <c r="N741">
        <v>76.151900000000012</v>
      </c>
      <c r="O741" s="1">
        <v>44780</v>
      </c>
      <c r="P741">
        <f>IF(ISBLANK(ReconciliationData[[#This Row],[Invoice_ID]]),1,0)</f>
        <v>0</v>
      </c>
      <c r="Q741">
        <f>IF(AND(NOT(ISBLANK(ReconciliationData[[#This Row],[Billed_Units]])),ReconciliationData[[#This Row],[ordered_units]]&lt;&gt;ReconciliationData[[#This Row],[Billed_Units]]),1,0)</f>
        <v>0</v>
      </c>
      <c r="R7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41">
        <f>IF(AND(NOT(ISBLANK(ReconciliationData[[#This Row],[Contract_Price]])),ReconciliationData[[#This Row],[Billed_Price]]&lt;&gt;ReconciliationData[[#This Row],[Contract_Price]]),1,0)</f>
        <v>0</v>
      </c>
      <c r="T741">
        <f>IF(AND(NOT(ISBLANK(ReconciliationData[[#This Row],[End_Date]])),ReconciliationData[[#This Row],[Order_Date]]&gt;ReconciliationData[[#This Row],[End_Date]]),1,0)</f>
        <v>0</v>
      </c>
      <c r="U741">
        <f>IF(AND(NOT(ISBLANK(ReconciliationData[[#This Row],[last_return_date]])),ReconciliationData[[#This Row],[last_return_date]]&gt;ReconciliationData[[#This Row],[Order_Date]]+60),1,0)</f>
        <v>0</v>
      </c>
      <c r="V741">
        <f>IF(ReconciliationData[[#This Row],[total_returned_units]]&gt;ReconciliationData[[#This Row],[ordered_units]],1,0)</f>
        <v>0</v>
      </c>
      <c r="W7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41">
        <f>ReconciliationData[[#This Row],[Billed_Units]]*ReconciliationData[[#This Row],[Billed_Price]]</f>
        <v>6168.3039000000008</v>
      </c>
      <c r="Y741">
        <f>ReconciliationData[[#This Row],[ordered_units]]*ReconciliationData[[#This Row],[List_Price]]</f>
        <v>6168.3039000000008</v>
      </c>
      <c r="Z741">
        <f>ReconciliationData[[#This Row],[billed_revenue]]-ReconciliationData[[#This Row],[expected_revenue]]</f>
        <v>0</v>
      </c>
      <c r="AA7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41" t="str">
        <f>IF(ReconciliationData[[#This Row],[severity_score]]=0,"LOW",
 IF(ReconciliationData[[#This Row],[severity_score]]&lt;=5,"MEDIUM","HIGH"))</f>
        <v>LOW</v>
      </c>
      <c r="AC741" t="str">
        <f>TEXT(ReconciliationData[[#This Row],[Order_Date]],"YYYY-MM")</f>
        <v>2023-02</v>
      </c>
    </row>
    <row r="742" spans="1:29">
      <c r="A742" t="s">
        <v>2382</v>
      </c>
      <c r="B742" s="1">
        <v>45605</v>
      </c>
      <c r="C742" t="s">
        <v>990</v>
      </c>
      <c r="D742" t="s">
        <v>1671</v>
      </c>
      <c r="E742">
        <v>59</v>
      </c>
      <c r="F742" t="s">
        <v>2383</v>
      </c>
      <c r="G742">
        <v>59</v>
      </c>
      <c r="H742">
        <v>488.76900728887523</v>
      </c>
      <c r="N742">
        <v>488.43360000000007</v>
      </c>
      <c r="O742" s="1">
        <v>45107</v>
      </c>
      <c r="P742">
        <f>IF(ISBLANK(ReconciliationData[[#This Row],[Invoice_ID]]),1,0)</f>
        <v>0</v>
      </c>
      <c r="Q742">
        <f>IF(AND(NOT(ISBLANK(ReconciliationData[[#This Row],[Billed_Units]])),ReconciliationData[[#This Row],[ordered_units]]&lt;&gt;ReconciliationData[[#This Row],[Billed_Units]]),1,0)</f>
        <v>0</v>
      </c>
      <c r="R74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742">
        <f>IF(AND(NOT(ISBLANK(ReconciliationData[[#This Row],[Contract_Price]])),ReconciliationData[[#This Row],[Billed_Price]]&lt;&gt;ReconciliationData[[#This Row],[Contract_Price]]),1,0)</f>
        <v>0</v>
      </c>
      <c r="T742">
        <f>IF(AND(NOT(ISBLANK(ReconciliationData[[#This Row],[End_Date]])),ReconciliationData[[#This Row],[Order_Date]]&gt;ReconciliationData[[#This Row],[End_Date]]),1,0)</f>
        <v>0</v>
      </c>
      <c r="U742">
        <f>IF(AND(NOT(ISBLANK(ReconciliationData[[#This Row],[last_return_date]])),ReconciliationData[[#This Row],[last_return_date]]&gt;ReconciliationData[[#This Row],[Order_Date]]+60),1,0)</f>
        <v>0</v>
      </c>
      <c r="V742">
        <f>IF(ReconciliationData[[#This Row],[total_returned_units]]&gt;ReconciliationData[[#This Row],[ordered_units]],1,0)</f>
        <v>0</v>
      </c>
      <c r="W7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742">
        <f>ReconciliationData[[#This Row],[Billed_Units]]*ReconciliationData[[#This Row],[Billed_Price]]</f>
        <v>28837.371430043637</v>
      </c>
      <c r="Y742">
        <f>ReconciliationData[[#This Row],[ordered_units]]*ReconciliationData[[#This Row],[List_Price]]</f>
        <v>28817.582400000003</v>
      </c>
      <c r="Z742">
        <f>ReconciliationData[[#This Row],[billed_revenue]]-ReconciliationData[[#This Row],[expected_revenue]]</f>
        <v>19.789030043633829</v>
      </c>
      <c r="AA7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742" t="str">
        <f>IF(ReconciliationData[[#This Row],[severity_score]]=0,"LOW",
 IF(ReconciliationData[[#This Row],[severity_score]]&lt;=5,"MEDIUM","HIGH"))</f>
        <v>MEDIUM</v>
      </c>
      <c r="AC742" t="str">
        <f>TEXT(ReconciliationData[[#This Row],[Order_Date]],"YYYY-MM")</f>
        <v>2024-11</v>
      </c>
    </row>
    <row r="743" spans="1:29">
      <c r="A743" t="s">
        <v>2384</v>
      </c>
      <c r="B743" s="1">
        <v>45442</v>
      </c>
      <c r="C743" t="s">
        <v>2067</v>
      </c>
      <c r="D743" t="s">
        <v>1491</v>
      </c>
      <c r="E743">
        <v>131</v>
      </c>
      <c r="F743" t="s">
        <v>2385</v>
      </c>
      <c r="G743">
        <v>131</v>
      </c>
      <c r="H743">
        <v>919.86659999999995</v>
      </c>
      <c r="N743">
        <v>919.86659999999995</v>
      </c>
      <c r="O743" s="1">
        <v>45108</v>
      </c>
      <c r="P743">
        <f>IF(ISBLANK(ReconciliationData[[#This Row],[Invoice_ID]]),1,0)</f>
        <v>0</v>
      </c>
      <c r="Q743">
        <f>IF(AND(NOT(ISBLANK(ReconciliationData[[#This Row],[Billed_Units]])),ReconciliationData[[#This Row],[ordered_units]]&lt;&gt;ReconciliationData[[#This Row],[Billed_Units]]),1,0)</f>
        <v>0</v>
      </c>
      <c r="R7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43">
        <f>IF(AND(NOT(ISBLANK(ReconciliationData[[#This Row],[Contract_Price]])),ReconciliationData[[#This Row],[Billed_Price]]&lt;&gt;ReconciliationData[[#This Row],[Contract_Price]]),1,0)</f>
        <v>0</v>
      </c>
      <c r="T743">
        <f>IF(AND(NOT(ISBLANK(ReconciliationData[[#This Row],[End_Date]])),ReconciliationData[[#This Row],[Order_Date]]&gt;ReconciliationData[[#This Row],[End_Date]]),1,0)</f>
        <v>0</v>
      </c>
      <c r="U743">
        <f>IF(AND(NOT(ISBLANK(ReconciliationData[[#This Row],[last_return_date]])),ReconciliationData[[#This Row],[last_return_date]]&gt;ReconciliationData[[#This Row],[Order_Date]]+60),1,0)</f>
        <v>0</v>
      </c>
      <c r="V743">
        <f>IF(ReconciliationData[[#This Row],[total_returned_units]]&gt;ReconciliationData[[#This Row],[ordered_units]],1,0)</f>
        <v>0</v>
      </c>
      <c r="W7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43">
        <f>ReconciliationData[[#This Row],[Billed_Units]]*ReconciliationData[[#This Row],[Billed_Price]]</f>
        <v>120502.52459999999</v>
      </c>
      <c r="Y743">
        <f>ReconciliationData[[#This Row],[ordered_units]]*ReconciliationData[[#This Row],[List_Price]]</f>
        <v>120502.52459999999</v>
      </c>
      <c r="Z743">
        <f>ReconciliationData[[#This Row],[billed_revenue]]-ReconciliationData[[#This Row],[expected_revenue]]</f>
        <v>0</v>
      </c>
      <c r="AA7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43" t="str">
        <f>IF(ReconciliationData[[#This Row],[severity_score]]=0,"LOW",
 IF(ReconciliationData[[#This Row],[severity_score]]&lt;=5,"MEDIUM","HIGH"))</f>
        <v>LOW</v>
      </c>
      <c r="AC743" t="str">
        <f>TEXT(ReconciliationData[[#This Row],[Order_Date]],"YYYY-MM")</f>
        <v>2024-05</v>
      </c>
    </row>
    <row r="744" spans="1:29">
      <c r="A744" t="s">
        <v>2386</v>
      </c>
      <c r="B744" s="1">
        <v>45376</v>
      </c>
      <c r="C744" t="s">
        <v>1202</v>
      </c>
      <c r="D744" t="s">
        <v>537</v>
      </c>
      <c r="E744">
        <v>16</v>
      </c>
      <c r="F744" t="s">
        <v>2387</v>
      </c>
      <c r="G744">
        <v>16</v>
      </c>
      <c r="H744">
        <v>432.839</v>
      </c>
      <c r="N744">
        <v>432.839</v>
      </c>
      <c r="O744" s="1">
        <v>45048</v>
      </c>
      <c r="P744">
        <f>IF(ISBLANK(ReconciliationData[[#This Row],[Invoice_ID]]),1,0)</f>
        <v>0</v>
      </c>
      <c r="Q744">
        <f>IF(AND(NOT(ISBLANK(ReconciliationData[[#This Row],[Billed_Units]])),ReconciliationData[[#This Row],[ordered_units]]&lt;&gt;ReconciliationData[[#This Row],[Billed_Units]]),1,0)</f>
        <v>0</v>
      </c>
      <c r="R7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44">
        <f>IF(AND(NOT(ISBLANK(ReconciliationData[[#This Row],[Contract_Price]])),ReconciliationData[[#This Row],[Billed_Price]]&lt;&gt;ReconciliationData[[#This Row],[Contract_Price]]),1,0)</f>
        <v>0</v>
      </c>
      <c r="T744">
        <f>IF(AND(NOT(ISBLANK(ReconciliationData[[#This Row],[End_Date]])),ReconciliationData[[#This Row],[Order_Date]]&gt;ReconciliationData[[#This Row],[End_Date]]),1,0)</f>
        <v>0</v>
      </c>
      <c r="U744">
        <f>IF(AND(NOT(ISBLANK(ReconciliationData[[#This Row],[last_return_date]])),ReconciliationData[[#This Row],[last_return_date]]&gt;ReconciliationData[[#This Row],[Order_Date]]+60),1,0)</f>
        <v>0</v>
      </c>
      <c r="V744">
        <f>IF(ReconciliationData[[#This Row],[total_returned_units]]&gt;ReconciliationData[[#This Row],[ordered_units]],1,0)</f>
        <v>0</v>
      </c>
      <c r="W7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44">
        <f>ReconciliationData[[#This Row],[Billed_Units]]*ReconciliationData[[#This Row],[Billed_Price]]</f>
        <v>6925.424</v>
      </c>
      <c r="Y744">
        <f>ReconciliationData[[#This Row],[ordered_units]]*ReconciliationData[[#This Row],[List_Price]]</f>
        <v>6925.424</v>
      </c>
      <c r="Z744">
        <f>ReconciliationData[[#This Row],[billed_revenue]]-ReconciliationData[[#This Row],[expected_revenue]]</f>
        <v>0</v>
      </c>
      <c r="AA7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44" t="str">
        <f>IF(ReconciliationData[[#This Row],[severity_score]]=0,"LOW",
 IF(ReconciliationData[[#This Row],[severity_score]]&lt;=5,"MEDIUM","HIGH"))</f>
        <v>LOW</v>
      </c>
      <c r="AC744" t="str">
        <f>TEXT(ReconciliationData[[#This Row],[Order_Date]],"YYYY-MM")</f>
        <v>2024-03</v>
      </c>
    </row>
    <row r="745" spans="1:29">
      <c r="A745" t="s">
        <v>2388</v>
      </c>
      <c r="B745" s="1">
        <v>45081</v>
      </c>
      <c r="C745" t="s">
        <v>2389</v>
      </c>
      <c r="D745" t="s">
        <v>951</v>
      </c>
      <c r="E745">
        <v>12</v>
      </c>
      <c r="F745" t="s">
        <v>2390</v>
      </c>
      <c r="G745">
        <v>12</v>
      </c>
      <c r="H745">
        <v>577.34399999999994</v>
      </c>
      <c r="N745">
        <v>577.34399999999994</v>
      </c>
      <c r="O745" s="1">
        <v>44807</v>
      </c>
      <c r="P745">
        <f>IF(ISBLANK(ReconciliationData[[#This Row],[Invoice_ID]]),1,0)</f>
        <v>0</v>
      </c>
      <c r="Q745">
        <f>IF(AND(NOT(ISBLANK(ReconciliationData[[#This Row],[Billed_Units]])),ReconciliationData[[#This Row],[ordered_units]]&lt;&gt;ReconciliationData[[#This Row],[Billed_Units]]),1,0)</f>
        <v>0</v>
      </c>
      <c r="R7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45">
        <f>IF(AND(NOT(ISBLANK(ReconciliationData[[#This Row],[Contract_Price]])),ReconciliationData[[#This Row],[Billed_Price]]&lt;&gt;ReconciliationData[[#This Row],[Contract_Price]]),1,0)</f>
        <v>0</v>
      </c>
      <c r="T745">
        <f>IF(AND(NOT(ISBLANK(ReconciliationData[[#This Row],[End_Date]])),ReconciliationData[[#This Row],[Order_Date]]&gt;ReconciliationData[[#This Row],[End_Date]]),1,0)</f>
        <v>0</v>
      </c>
      <c r="U745">
        <f>IF(AND(NOT(ISBLANK(ReconciliationData[[#This Row],[last_return_date]])),ReconciliationData[[#This Row],[last_return_date]]&gt;ReconciliationData[[#This Row],[Order_Date]]+60),1,0)</f>
        <v>0</v>
      </c>
      <c r="V745">
        <f>IF(ReconciliationData[[#This Row],[total_returned_units]]&gt;ReconciliationData[[#This Row],[ordered_units]],1,0)</f>
        <v>0</v>
      </c>
      <c r="W7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45">
        <f>ReconciliationData[[#This Row],[Billed_Units]]*ReconciliationData[[#This Row],[Billed_Price]]</f>
        <v>6928.1279999999988</v>
      </c>
      <c r="Y745">
        <f>ReconciliationData[[#This Row],[ordered_units]]*ReconciliationData[[#This Row],[List_Price]]</f>
        <v>6928.1279999999988</v>
      </c>
      <c r="Z745">
        <f>ReconciliationData[[#This Row],[billed_revenue]]-ReconciliationData[[#This Row],[expected_revenue]]</f>
        <v>0</v>
      </c>
      <c r="AA7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45" t="str">
        <f>IF(ReconciliationData[[#This Row],[severity_score]]=0,"LOW",
 IF(ReconciliationData[[#This Row],[severity_score]]&lt;=5,"MEDIUM","HIGH"))</f>
        <v>LOW</v>
      </c>
      <c r="AC745" t="str">
        <f>TEXT(ReconciliationData[[#This Row],[Order_Date]],"YYYY-MM")</f>
        <v>2023-06</v>
      </c>
    </row>
    <row r="746" spans="1:29">
      <c r="A746" t="s">
        <v>2391</v>
      </c>
      <c r="B746" s="1">
        <v>44993</v>
      </c>
      <c r="C746" t="s">
        <v>1158</v>
      </c>
      <c r="D746" t="s">
        <v>142</v>
      </c>
      <c r="E746">
        <v>195</v>
      </c>
      <c r="F746" t="s">
        <v>2392</v>
      </c>
      <c r="G746">
        <v>195</v>
      </c>
      <c r="H746">
        <v>196.87020000000001</v>
      </c>
      <c r="N746">
        <v>196.87020000000001</v>
      </c>
      <c r="O746" s="1">
        <v>44836</v>
      </c>
      <c r="P746">
        <f>IF(ISBLANK(ReconciliationData[[#This Row],[Invoice_ID]]),1,0)</f>
        <v>0</v>
      </c>
      <c r="Q746">
        <f>IF(AND(NOT(ISBLANK(ReconciliationData[[#This Row],[Billed_Units]])),ReconciliationData[[#This Row],[ordered_units]]&lt;&gt;ReconciliationData[[#This Row],[Billed_Units]]),1,0)</f>
        <v>0</v>
      </c>
      <c r="R7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46">
        <f>IF(AND(NOT(ISBLANK(ReconciliationData[[#This Row],[Contract_Price]])),ReconciliationData[[#This Row],[Billed_Price]]&lt;&gt;ReconciliationData[[#This Row],[Contract_Price]]),1,0)</f>
        <v>0</v>
      </c>
      <c r="T746">
        <f>IF(AND(NOT(ISBLANK(ReconciliationData[[#This Row],[End_Date]])),ReconciliationData[[#This Row],[Order_Date]]&gt;ReconciliationData[[#This Row],[End_Date]]),1,0)</f>
        <v>0</v>
      </c>
      <c r="U746">
        <f>IF(AND(NOT(ISBLANK(ReconciliationData[[#This Row],[last_return_date]])),ReconciliationData[[#This Row],[last_return_date]]&gt;ReconciliationData[[#This Row],[Order_Date]]+60),1,0)</f>
        <v>0</v>
      </c>
      <c r="V746">
        <f>IF(ReconciliationData[[#This Row],[total_returned_units]]&gt;ReconciliationData[[#This Row],[ordered_units]],1,0)</f>
        <v>0</v>
      </c>
      <c r="W7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46">
        <f>ReconciliationData[[#This Row],[Billed_Units]]*ReconciliationData[[#This Row],[Billed_Price]]</f>
        <v>38389.689000000006</v>
      </c>
      <c r="Y746">
        <f>ReconciliationData[[#This Row],[ordered_units]]*ReconciliationData[[#This Row],[List_Price]]</f>
        <v>38389.689000000006</v>
      </c>
      <c r="Z746">
        <f>ReconciliationData[[#This Row],[billed_revenue]]-ReconciliationData[[#This Row],[expected_revenue]]</f>
        <v>0</v>
      </c>
      <c r="AA7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46" t="str">
        <f>IF(ReconciliationData[[#This Row],[severity_score]]=0,"LOW",
 IF(ReconciliationData[[#This Row],[severity_score]]&lt;=5,"MEDIUM","HIGH"))</f>
        <v>LOW</v>
      </c>
      <c r="AC746" t="str">
        <f>TEXT(ReconciliationData[[#This Row],[Order_Date]],"YYYY-MM")</f>
        <v>2023-03</v>
      </c>
    </row>
    <row r="747" spans="1:29">
      <c r="A747" t="s">
        <v>2393</v>
      </c>
      <c r="B747" s="1">
        <v>45484</v>
      </c>
      <c r="C747" t="s">
        <v>2394</v>
      </c>
      <c r="D747" t="s">
        <v>378</v>
      </c>
      <c r="E747">
        <v>123</v>
      </c>
      <c r="F747" t="s">
        <v>2395</v>
      </c>
      <c r="G747">
        <v>123</v>
      </c>
      <c r="H747">
        <v>601.32929999999999</v>
      </c>
      <c r="N747">
        <v>601.32929999999999</v>
      </c>
      <c r="O747" s="1">
        <v>44962</v>
      </c>
      <c r="P747">
        <f>IF(ISBLANK(ReconciliationData[[#This Row],[Invoice_ID]]),1,0)</f>
        <v>0</v>
      </c>
      <c r="Q747">
        <f>IF(AND(NOT(ISBLANK(ReconciliationData[[#This Row],[Billed_Units]])),ReconciliationData[[#This Row],[ordered_units]]&lt;&gt;ReconciliationData[[#This Row],[Billed_Units]]),1,0)</f>
        <v>0</v>
      </c>
      <c r="R7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47">
        <f>IF(AND(NOT(ISBLANK(ReconciliationData[[#This Row],[Contract_Price]])),ReconciliationData[[#This Row],[Billed_Price]]&lt;&gt;ReconciliationData[[#This Row],[Contract_Price]]),1,0)</f>
        <v>0</v>
      </c>
      <c r="T747">
        <f>IF(AND(NOT(ISBLANK(ReconciliationData[[#This Row],[End_Date]])),ReconciliationData[[#This Row],[Order_Date]]&gt;ReconciliationData[[#This Row],[End_Date]]),1,0)</f>
        <v>0</v>
      </c>
      <c r="U747">
        <f>IF(AND(NOT(ISBLANK(ReconciliationData[[#This Row],[last_return_date]])),ReconciliationData[[#This Row],[last_return_date]]&gt;ReconciliationData[[#This Row],[Order_Date]]+60),1,0)</f>
        <v>0</v>
      </c>
      <c r="V747">
        <f>IF(ReconciliationData[[#This Row],[total_returned_units]]&gt;ReconciliationData[[#This Row],[ordered_units]],1,0)</f>
        <v>0</v>
      </c>
      <c r="W7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47">
        <f>ReconciliationData[[#This Row],[Billed_Units]]*ReconciliationData[[#This Row],[Billed_Price]]</f>
        <v>73963.503899999996</v>
      </c>
      <c r="Y747">
        <f>ReconciliationData[[#This Row],[ordered_units]]*ReconciliationData[[#This Row],[List_Price]]</f>
        <v>73963.503899999996</v>
      </c>
      <c r="Z747">
        <f>ReconciliationData[[#This Row],[billed_revenue]]-ReconciliationData[[#This Row],[expected_revenue]]</f>
        <v>0</v>
      </c>
      <c r="AA7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47" t="str">
        <f>IF(ReconciliationData[[#This Row],[severity_score]]=0,"LOW",
 IF(ReconciliationData[[#This Row],[severity_score]]&lt;=5,"MEDIUM","HIGH"))</f>
        <v>LOW</v>
      </c>
      <c r="AC747" t="str">
        <f>TEXT(ReconciliationData[[#This Row],[Order_Date]],"YYYY-MM")</f>
        <v>2024-07</v>
      </c>
    </row>
    <row r="748" spans="1:29">
      <c r="A748" t="s">
        <v>2396</v>
      </c>
      <c r="B748" s="1">
        <v>45503</v>
      </c>
      <c r="C748" t="s">
        <v>1993</v>
      </c>
      <c r="D748" t="s">
        <v>1671</v>
      </c>
      <c r="E748">
        <v>153</v>
      </c>
      <c r="F748" t="s">
        <v>2397</v>
      </c>
      <c r="G748">
        <v>153</v>
      </c>
      <c r="H748">
        <v>488.43360000000007</v>
      </c>
      <c r="N748">
        <v>488.43360000000007</v>
      </c>
      <c r="O748" s="1">
        <v>45107</v>
      </c>
      <c r="P748">
        <f>IF(ISBLANK(ReconciliationData[[#This Row],[Invoice_ID]]),1,0)</f>
        <v>0</v>
      </c>
      <c r="Q748">
        <f>IF(AND(NOT(ISBLANK(ReconciliationData[[#This Row],[Billed_Units]])),ReconciliationData[[#This Row],[ordered_units]]&lt;&gt;ReconciliationData[[#This Row],[Billed_Units]]),1,0)</f>
        <v>0</v>
      </c>
      <c r="R7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48">
        <f>IF(AND(NOT(ISBLANK(ReconciliationData[[#This Row],[Contract_Price]])),ReconciliationData[[#This Row],[Billed_Price]]&lt;&gt;ReconciliationData[[#This Row],[Contract_Price]]),1,0)</f>
        <v>0</v>
      </c>
      <c r="T748">
        <f>IF(AND(NOT(ISBLANK(ReconciliationData[[#This Row],[End_Date]])),ReconciliationData[[#This Row],[Order_Date]]&gt;ReconciliationData[[#This Row],[End_Date]]),1,0)</f>
        <v>0</v>
      </c>
      <c r="U748">
        <f>IF(AND(NOT(ISBLANK(ReconciliationData[[#This Row],[last_return_date]])),ReconciliationData[[#This Row],[last_return_date]]&gt;ReconciliationData[[#This Row],[Order_Date]]+60),1,0)</f>
        <v>0</v>
      </c>
      <c r="V748">
        <f>IF(ReconciliationData[[#This Row],[total_returned_units]]&gt;ReconciliationData[[#This Row],[ordered_units]],1,0)</f>
        <v>0</v>
      </c>
      <c r="W7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48">
        <f>ReconciliationData[[#This Row],[Billed_Units]]*ReconciliationData[[#This Row],[Billed_Price]]</f>
        <v>74730.340800000005</v>
      </c>
      <c r="Y748">
        <f>ReconciliationData[[#This Row],[ordered_units]]*ReconciliationData[[#This Row],[List_Price]]</f>
        <v>74730.340800000005</v>
      </c>
      <c r="Z748">
        <f>ReconciliationData[[#This Row],[billed_revenue]]-ReconciliationData[[#This Row],[expected_revenue]]</f>
        <v>0</v>
      </c>
      <c r="AA7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48" t="str">
        <f>IF(ReconciliationData[[#This Row],[severity_score]]=0,"LOW",
 IF(ReconciliationData[[#This Row],[severity_score]]&lt;=5,"MEDIUM","HIGH"))</f>
        <v>LOW</v>
      </c>
      <c r="AC748" t="str">
        <f>TEXT(ReconciliationData[[#This Row],[Order_Date]],"YYYY-MM")</f>
        <v>2024-07</v>
      </c>
    </row>
    <row r="749" spans="1:29">
      <c r="A749" t="s">
        <v>2398</v>
      </c>
      <c r="B749" s="1">
        <v>45601</v>
      </c>
      <c r="C749" t="s">
        <v>278</v>
      </c>
      <c r="D749" t="s">
        <v>393</v>
      </c>
      <c r="E749">
        <v>120</v>
      </c>
      <c r="F749" t="s">
        <v>2399</v>
      </c>
      <c r="G749">
        <v>120</v>
      </c>
      <c r="H749">
        <v>1080.0740000000001</v>
      </c>
      <c r="N749">
        <v>1080.0740000000001</v>
      </c>
      <c r="O749" s="1">
        <v>45058</v>
      </c>
      <c r="P749">
        <f>IF(ISBLANK(ReconciliationData[[#This Row],[Invoice_ID]]),1,0)</f>
        <v>0</v>
      </c>
      <c r="Q749">
        <f>IF(AND(NOT(ISBLANK(ReconciliationData[[#This Row],[Billed_Units]])),ReconciliationData[[#This Row],[ordered_units]]&lt;&gt;ReconciliationData[[#This Row],[Billed_Units]]),1,0)</f>
        <v>0</v>
      </c>
      <c r="R7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49">
        <f>IF(AND(NOT(ISBLANK(ReconciliationData[[#This Row],[Contract_Price]])),ReconciliationData[[#This Row],[Billed_Price]]&lt;&gt;ReconciliationData[[#This Row],[Contract_Price]]),1,0)</f>
        <v>0</v>
      </c>
      <c r="T749">
        <f>IF(AND(NOT(ISBLANK(ReconciliationData[[#This Row],[End_Date]])),ReconciliationData[[#This Row],[Order_Date]]&gt;ReconciliationData[[#This Row],[End_Date]]),1,0)</f>
        <v>0</v>
      </c>
      <c r="U749">
        <f>IF(AND(NOT(ISBLANK(ReconciliationData[[#This Row],[last_return_date]])),ReconciliationData[[#This Row],[last_return_date]]&gt;ReconciliationData[[#This Row],[Order_Date]]+60),1,0)</f>
        <v>0</v>
      </c>
      <c r="V749">
        <f>IF(ReconciliationData[[#This Row],[total_returned_units]]&gt;ReconciliationData[[#This Row],[ordered_units]],1,0)</f>
        <v>0</v>
      </c>
      <c r="W7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49">
        <f>ReconciliationData[[#This Row],[Billed_Units]]*ReconciliationData[[#This Row],[Billed_Price]]</f>
        <v>129608.88</v>
      </c>
      <c r="Y749">
        <f>ReconciliationData[[#This Row],[ordered_units]]*ReconciliationData[[#This Row],[List_Price]]</f>
        <v>129608.88</v>
      </c>
      <c r="Z749">
        <f>ReconciliationData[[#This Row],[billed_revenue]]-ReconciliationData[[#This Row],[expected_revenue]]</f>
        <v>0</v>
      </c>
      <c r="AA7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49" t="str">
        <f>IF(ReconciliationData[[#This Row],[severity_score]]=0,"LOW",
 IF(ReconciliationData[[#This Row],[severity_score]]&lt;=5,"MEDIUM","HIGH"))</f>
        <v>LOW</v>
      </c>
      <c r="AC749" t="str">
        <f>TEXT(ReconciliationData[[#This Row],[Order_Date]],"YYYY-MM")</f>
        <v>2024-11</v>
      </c>
    </row>
    <row r="750" spans="1:29">
      <c r="A750" t="s">
        <v>2400</v>
      </c>
      <c r="B750" s="1">
        <v>45404</v>
      </c>
      <c r="C750" t="s">
        <v>2401</v>
      </c>
      <c r="D750" t="s">
        <v>1339</v>
      </c>
      <c r="E750">
        <v>71</v>
      </c>
      <c r="F750" t="s">
        <v>2402</v>
      </c>
      <c r="G750">
        <v>71</v>
      </c>
      <c r="H750">
        <v>651.14279999999997</v>
      </c>
      <c r="N750">
        <v>651.14279999999997</v>
      </c>
      <c r="O750" s="1">
        <v>45220</v>
      </c>
      <c r="P750">
        <f>IF(ISBLANK(ReconciliationData[[#This Row],[Invoice_ID]]),1,0)</f>
        <v>0</v>
      </c>
      <c r="Q750">
        <f>IF(AND(NOT(ISBLANK(ReconciliationData[[#This Row],[Billed_Units]])),ReconciliationData[[#This Row],[ordered_units]]&lt;&gt;ReconciliationData[[#This Row],[Billed_Units]]),1,0)</f>
        <v>0</v>
      </c>
      <c r="R7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0">
        <f>IF(AND(NOT(ISBLANK(ReconciliationData[[#This Row],[Contract_Price]])),ReconciliationData[[#This Row],[Billed_Price]]&lt;&gt;ReconciliationData[[#This Row],[Contract_Price]]),1,0)</f>
        <v>0</v>
      </c>
      <c r="T750">
        <f>IF(AND(NOT(ISBLANK(ReconciliationData[[#This Row],[End_Date]])),ReconciliationData[[#This Row],[Order_Date]]&gt;ReconciliationData[[#This Row],[End_Date]]),1,0)</f>
        <v>0</v>
      </c>
      <c r="U750">
        <f>IF(AND(NOT(ISBLANK(ReconciliationData[[#This Row],[last_return_date]])),ReconciliationData[[#This Row],[last_return_date]]&gt;ReconciliationData[[#This Row],[Order_Date]]+60),1,0)</f>
        <v>0</v>
      </c>
      <c r="V750">
        <f>IF(ReconciliationData[[#This Row],[total_returned_units]]&gt;ReconciliationData[[#This Row],[ordered_units]],1,0)</f>
        <v>0</v>
      </c>
      <c r="W7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50">
        <f>ReconciliationData[[#This Row],[Billed_Units]]*ReconciliationData[[#This Row],[Billed_Price]]</f>
        <v>46231.138800000001</v>
      </c>
      <c r="Y750">
        <f>ReconciliationData[[#This Row],[ordered_units]]*ReconciliationData[[#This Row],[List_Price]]</f>
        <v>46231.138800000001</v>
      </c>
      <c r="Z750">
        <f>ReconciliationData[[#This Row],[billed_revenue]]-ReconciliationData[[#This Row],[expected_revenue]]</f>
        <v>0</v>
      </c>
      <c r="AA7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50" t="str">
        <f>IF(ReconciliationData[[#This Row],[severity_score]]=0,"LOW",
 IF(ReconciliationData[[#This Row],[severity_score]]&lt;=5,"MEDIUM","HIGH"))</f>
        <v>LOW</v>
      </c>
      <c r="AC750" t="str">
        <f>TEXT(ReconciliationData[[#This Row],[Order_Date]],"YYYY-MM")</f>
        <v>2024-04</v>
      </c>
    </row>
    <row r="751" spans="1:29">
      <c r="A751" t="s">
        <v>2403</v>
      </c>
      <c r="B751" s="1">
        <v>45567</v>
      </c>
      <c r="C751" t="s">
        <v>741</v>
      </c>
      <c r="D751" t="s">
        <v>585</v>
      </c>
      <c r="E751">
        <v>2</v>
      </c>
      <c r="F751" t="s">
        <v>2404</v>
      </c>
      <c r="G751">
        <v>2</v>
      </c>
      <c r="H751">
        <v>898.02300000000002</v>
      </c>
      <c r="I751">
        <v>19</v>
      </c>
      <c r="J751" s="1">
        <v>45713</v>
      </c>
      <c r="N751">
        <v>898.02300000000002</v>
      </c>
      <c r="O751" s="1">
        <v>45026</v>
      </c>
      <c r="P751">
        <f>IF(ISBLANK(ReconciliationData[[#This Row],[Invoice_ID]]),1,0)</f>
        <v>0</v>
      </c>
      <c r="Q751">
        <f>IF(AND(NOT(ISBLANK(ReconciliationData[[#This Row],[Billed_Units]])),ReconciliationData[[#This Row],[ordered_units]]&lt;&gt;ReconciliationData[[#This Row],[Billed_Units]]),1,0)</f>
        <v>0</v>
      </c>
      <c r="R7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1">
        <f>IF(AND(NOT(ISBLANK(ReconciliationData[[#This Row],[Contract_Price]])),ReconciliationData[[#This Row],[Billed_Price]]&lt;&gt;ReconciliationData[[#This Row],[Contract_Price]]),1,0)</f>
        <v>0</v>
      </c>
      <c r="T751">
        <f>IF(AND(NOT(ISBLANK(ReconciliationData[[#This Row],[End_Date]])),ReconciliationData[[#This Row],[Order_Date]]&gt;ReconciliationData[[#This Row],[End_Date]]),1,0)</f>
        <v>0</v>
      </c>
      <c r="U751">
        <f>IF(AND(NOT(ISBLANK(ReconciliationData[[#This Row],[last_return_date]])),ReconciliationData[[#This Row],[last_return_date]]&gt;ReconciliationData[[#This Row],[Order_Date]]+60),1,0)</f>
        <v>1</v>
      </c>
      <c r="V751">
        <f>IF(ReconciliationData[[#This Row],[total_returned_units]]&gt;ReconciliationData[[#This Row],[ordered_units]],1,0)</f>
        <v>1</v>
      </c>
      <c r="W7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751">
        <f>ReconciliationData[[#This Row],[Billed_Units]]*ReconciliationData[[#This Row],[Billed_Price]]</f>
        <v>1796.046</v>
      </c>
      <c r="Y751">
        <f>ReconciliationData[[#This Row],[ordered_units]]*ReconciliationData[[#This Row],[List_Price]]</f>
        <v>1796.046</v>
      </c>
      <c r="Z751">
        <f>ReconciliationData[[#This Row],[billed_revenue]]-ReconciliationData[[#This Row],[expected_revenue]]</f>
        <v>0</v>
      </c>
      <c r="AA7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5</v>
      </c>
      <c r="AB751" t="str">
        <f>IF(ReconciliationData[[#This Row],[severity_score]]=0,"LOW",
 IF(ReconciliationData[[#This Row],[severity_score]]&lt;=5,"MEDIUM","HIGH"))</f>
        <v>MEDIUM</v>
      </c>
      <c r="AC751" t="str">
        <f>TEXT(ReconciliationData[[#This Row],[Order_Date]],"YYYY-MM")</f>
        <v>2024-10</v>
      </c>
    </row>
    <row r="752" spans="1:29">
      <c r="A752" t="s">
        <v>2405</v>
      </c>
      <c r="B752" s="1">
        <v>45427</v>
      </c>
      <c r="C752" t="s">
        <v>771</v>
      </c>
      <c r="D752" t="s">
        <v>757</v>
      </c>
      <c r="E752">
        <v>56</v>
      </c>
      <c r="F752" t="s">
        <v>2406</v>
      </c>
      <c r="G752">
        <v>56</v>
      </c>
      <c r="H752">
        <v>744.44590000000005</v>
      </c>
      <c r="N752">
        <v>744.44590000000005</v>
      </c>
      <c r="O752" s="1">
        <v>45008</v>
      </c>
      <c r="P752">
        <f>IF(ISBLANK(ReconciliationData[[#This Row],[Invoice_ID]]),1,0)</f>
        <v>0</v>
      </c>
      <c r="Q752">
        <f>IF(AND(NOT(ISBLANK(ReconciliationData[[#This Row],[Billed_Units]])),ReconciliationData[[#This Row],[ordered_units]]&lt;&gt;ReconciliationData[[#This Row],[Billed_Units]]),1,0)</f>
        <v>0</v>
      </c>
      <c r="R7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2">
        <f>IF(AND(NOT(ISBLANK(ReconciliationData[[#This Row],[Contract_Price]])),ReconciliationData[[#This Row],[Billed_Price]]&lt;&gt;ReconciliationData[[#This Row],[Contract_Price]]),1,0)</f>
        <v>0</v>
      </c>
      <c r="T752">
        <f>IF(AND(NOT(ISBLANK(ReconciliationData[[#This Row],[End_Date]])),ReconciliationData[[#This Row],[Order_Date]]&gt;ReconciliationData[[#This Row],[End_Date]]),1,0)</f>
        <v>0</v>
      </c>
      <c r="U752">
        <f>IF(AND(NOT(ISBLANK(ReconciliationData[[#This Row],[last_return_date]])),ReconciliationData[[#This Row],[last_return_date]]&gt;ReconciliationData[[#This Row],[Order_Date]]+60),1,0)</f>
        <v>0</v>
      </c>
      <c r="V752">
        <f>IF(ReconciliationData[[#This Row],[total_returned_units]]&gt;ReconciliationData[[#This Row],[ordered_units]],1,0)</f>
        <v>0</v>
      </c>
      <c r="W7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52">
        <f>ReconciliationData[[#This Row],[Billed_Units]]*ReconciliationData[[#This Row],[Billed_Price]]</f>
        <v>41688.970400000006</v>
      </c>
      <c r="Y752">
        <f>ReconciliationData[[#This Row],[ordered_units]]*ReconciliationData[[#This Row],[List_Price]]</f>
        <v>41688.970400000006</v>
      </c>
      <c r="Z752">
        <f>ReconciliationData[[#This Row],[billed_revenue]]-ReconciliationData[[#This Row],[expected_revenue]]</f>
        <v>0</v>
      </c>
      <c r="AA7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52" t="str">
        <f>IF(ReconciliationData[[#This Row],[severity_score]]=0,"LOW",
 IF(ReconciliationData[[#This Row],[severity_score]]&lt;=5,"MEDIUM","HIGH"))</f>
        <v>LOW</v>
      </c>
      <c r="AC752" t="str">
        <f>TEXT(ReconciliationData[[#This Row],[Order_Date]],"YYYY-MM")</f>
        <v>2024-05</v>
      </c>
    </row>
    <row r="753" spans="1:29">
      <c r="A753" t="s">
        <v>2407</v>
      </c>
      <c r="B753" s="1">
        <v>45370</v>
      </c>
      <c r="C753" t="s">
        <v>1699</v>
      </c>
      <c r="D753" t="s">
        <v>325</v>
      </c>
      <c r="E753">
        <v>72</v>
      </c>
      <c r="F753" t="s">
        <v>2408</v>
      </c>
      <c r="G753">
        <v>72</v>
      </c>
      <c r="H753">
        <v>509.36320000000001</v>
      </c>
      <c r="N753">
        <v>509.36320000000001</v>
      </c>
      <c r="O753" s="1">
        <v>45171</v>
      </c>
      <c r="P753">
        <f>IF(ISBLANK(ReconciliationData[[#This Row],[Invoice_ID]]),1,0)</f>
        <v>0</v>
      </c>
      <c r="Q753">
        <f>IF(AND(NOT(ISBLANK(ReconciliationData[[#This Row],[Billed_Units]])),ReconciliationData[[#This Row],[ordered_units]]&lt;&gt;ReconciliationData[[#This Row],[Billed_Units]]),1,0)</f>
        <v>0</v>
      </c>
      <c r="R7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3">
        <f>IF(AND(NOT(ISBLANK(ReconciliationData[[#This Row],[Contract_Price]])),ReconciliationData[[#This Row],[Billed_Price]]&lt;&gt;ReconciliationData[[#This Row],[Contract_Price]]),1,0)</f>
        <v>0</v>
      </c>
      <c r="T753">
        <f>IF(AND(NOT(ISBLANK(ReconciliationData[[#This Row],[End_Date]])),ReconciliationData[[#This Row],[Order_Date]]&gt;ReconciliationData[[#This Row],[End_Date]]),1,0)</f>
        <v>0</v>
      </c>
      <c r="U753">
        <f>IF(AND(NOT(ISBLANK(ReconciliationData[[#This Row],[last_return_date]])),ReconciliationData[[#This Row],[last_return_date]]&gt;ReconciliationData[[#This Row],[Order_Date]]+60),1,0)</f>
        <v>0</v>
      </c>
      <c r="V753">
        <f>IF(ReconciliationData[[#This Row],[total_returned_units]]&gt;ReconciliationData[[#This Row],[ordered_units]],1,0)</f>
        <v>0</v>
      </c>
      <c r="W7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53">
        <f>ReconciliationData[[#This Row],[Billed_Units]]*ReconciliationData[[#This Row],[Billed_Price]]</f>
        <v>36674.150399999999</v>
      </c>
      <c r="Y753">
        <f>ReconciliationData[[#This Row],[ordered_units]]*ReconciliationData[[#This Row],[List_Price]]</f>
        <v>36674.150399999999</v>
      </c>
      <c r="Z753">
        <f>ReconciliationData[[#This Row],[billed_revenue]]-ReconciliationData[[#This Row],[expected_revenue]]</f>
        <v>0</v>
      </c>
      <c r="AA7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53" t="str">
        <f>IF(ReconciliationData[[#This Row],[severity_score]]=0,"LOW",
 IF(ReconciliationData[[#This Row],[severity_score]]&lt;=5,"MEDIUM","HIGH"))</f>
        <v>LOW</v>
      </c>
      <c r="AC753" t="str">
        <f>TEXT(ReconciliationData[[#This Row],[Order_Date]],"YYYY-MM")</f>
        <v>2024-03</v>
      </c>
    </row>
    <row r="754" spans="1:29">
      <c r="A754" t="s">
        <v>2409</v>
      </c>
      <c r="B754" s="1">
        <v>45198</v>
      </c>
      <c r="C754" t="s">
        <v>654</v>
      </c>
      <c r="D754" t="s">
        <v>441</v>
      </c>
      <c r="E754">
        <v>19</v>
      </c>
      <c r="F754" t="s">
        <v>2410</v>
      </c>
      <c r="G754">
        <v>19</v>
      </c>
      <c r="H754">
        <v>238.7328</v>
      </c>
      <c r="N754">
        <v>238.7328</v>
      </c>
      <c r="O754" s="1">
        <v>44987</v>
      </c>
      <c r="P754">
        <f>IF(ISBLANK(ReconciliationData[[#This Row],[Invoice_ID]]),1,0)</f>
        <v>0</v>
      </c>
      <c r="Q754">
        <f>IF(AND(NOT(ISBLANK(ReconciliationData[[#This Row],[Billed_Units]])),ReconciliationData[[#This Row],[ordered_units]]&lt;&gt;ReconciliationData[[#This Row],[Billed_Units]]),1,0)</f>
        <v>0</v>
      </c>
      <c r="R7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4">
        <f>IF(AND(NOT(ISBLANK(ReconciliationData[[#This Row],[Contract_Price]])),ReconciliationData[[#This Row],[Billed_Price]]&lt;&gt;ReconciliationData[[#This Row],[Contract_Price]]),1,0)</f>
        <v>0</v>
      </c>
      <c r="T754">
        <f>IF(AND(NOT(ISBLANK(ReconciliationData[[#This Row],[End_Date]])),ReconciliationData[[#This Row],[Order_Date]]&gt;ReconciliationData[[#This Row],[End_Date]]),1,0)</f>
        <v>0</v>
      </c>
      <c r="U754">
        <f>IF(AND(NOT(ISBLANK(ReconciliationData[[#This Row],[last_return_date]])),ReconciliationData[[#This Row],[last_return_date]]&gt;ReconciliationData[[#This Row],[Order_Date]]+60),1,0)</f>
        <v>0</v>
      </c>
      <c r="V754">
        <f>IF(ReconciliationData[[#This Row],[total_returned_units]]&gt;ReconciliationData[[#This Row],[ordered_units]],1,0)</f>
        <v>0</v>
      </c>
      <c r="W7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54">
        <f>ReconciliationData[[#This Row],[Billed_Units]]*ReconciliationData[[#This Row],[Billed_Price]]</f>
        <v>4535.9232000000002</v>
      </c>
      <c r="Y754">
        <f>ReconciliationData[[#This Row],[ordered_units]]*ReconciliationData[[#This Row],[List_Price]]</f>
        <v>4535.9232000000002</v>
      </c>
      <c r="Z754">
        <f>ReconciliationData[[#This Row],[billed_revenue]]-ReconciliationData[[#This Row],[expected_revenue]]</f>
        <v>0</v>
      </c>
      <c r="AA7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54" t="str">
        <f>IF(ReconciliationData[[#This Row],[severity_score]]=0,"LOW",
 IF(ReconciliationData[[#This Row],[severity_score]]&lt;=5,"MEDIUM","HIGH"))</f>
        <v>LOW</v>
      </c>
      <c r="AC754" t="str">
        <f>TEXT(ReconciliationData[[#This Row],[Order_Date]],"YYYY-MM")</f>
        <v>2023-09</v>
      </c>
    </row>
    <row r="755" spans="1:29">
      <c r="A755" t="s">
        <v>2411</v>
      </c>
      <c r="B755" s="1">
        <v>45018</v>
      </c>
      <c r="C755" t="s">
        <v>2412</v>
      </c>
      <c r="D755" t="s">
        <v>832</v>
      </c>
      <c r="E755">
        <v>70</v>
      </c>
      <c r="F755" t="s">
        <v>2413</v>
      </c>
      <c r="G755">
        <v>70</v>
      </c>
      <c r="H755">
        <v>309.07</v>
      </c>
      <c r="N755">
        <v>309.07</v>
      </c>
      <c r="O755" s="1">
        <v>44675</v>
      </c>
      <c r="P755">
        <f>IF(ISBLANK(ReconciliationData[[#This Row],[Invoice_ID]]),1,0)</f>
        <v>0</v>
      </c>
      <c r="Q755">
        <f>IF(AND(NOT(ISBLANK(ReconciliationData[[#This Row],[Billed_Units]])),ReconciliationData[[#This Row],[ordered_units]]&lt;&gt;ReconciliationData[[#This Row],[Billed_Units]]),1,0)</f>
        <v>0</v>
      </c>
      <c r="R7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5">
        <f>IF(AND(NOT(ISBLANK(ReconciliationData[[#This Row],[Contract_Price]])),ReconciliationData[[#This Row],[Billed_Price]]&lt;&gt;ReconciliationData[[#This Row],[Contract_Price]]),1,0)</f>
        <v>0</v>
      </c>
      <c r="T755">
        <f>IF(AND(NOT(ISBLANK(ReconciliationData[[#This Row],[End_Date]])),ReconciliationData[[#This Row],[Order_Date]]&gt;ReconciliationData[[#This Row],[End_Date]]),1,0)</f>
        <v>0</v>
      </c>
      <c r="U755">
        <f>IF(AND(NOT(ISBLANK(ReconciliationData[[#This Row],[last_return_date]])),ReconciliationData[[#This Row],[last_return_date]]&gt;ReconciliationData[[#This Row],[Order_Date]]+60),1,0)</f>
        <v>0</v>
      </c>
      <c r="V755">
        <f>IF(ReconciliationData[[#This Row],[total_returned_units]]&gt;ReconciliationData[[#This Row],[ordered_units]],1,0)</f>
        <v>0</v>
      </c>
      <c r="W7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55">
        <f>ReconciliationData[[#This Row],[Billed_Units]]*ReconciliationData[[#This Row],[Billed_Price]]</f>
        <v>21634.899999999998</v>
      </c>
      <c r="Y755">
        <f>ReconciliationData[[#This Row],[ordered_units]]*ReconciliationData[[#This Row],[List_Price]]</f>
        <v>21634.899999999998</v>
      </c>
      <c r="Z755">
        <f>ReconciliationData[[#This Row],[billed_revenue]]-ReconciliationData[[#This Row],[expected_revenue]]</f>
        <v>0</v>
      </c>
      <c r="AA7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55" t="str">
        <f>IF(ReconciliationData[[#This Row],[severity_score]]=0,"LOW",
 IF(ReconciliationData[[#This Row],[severity_score]]&lt;=5,"MEDIUM","HIGH"))</f>
        <v>LOW</v>
      </c>
      <c r="AC755" t="str">
        <f>TEXT(ReconciliationData[[#This Row],[Order_Date]],"YYYY-MM")</f>
        <v>2023-04</v>
      </c>
    </row>
    <row r="756" spans="1:29">
      <c r="A756" t="s">
        <v>2414</v>
      </c>
      <c r="B756" s="1">
        <v>45272</v>
      </c>
      <c r="C756" t="s">
        <v>2415</v>
      </c>
      <c r="D756" t="s">
        <v>461</v>
      </c>
      <c r="E756">
        <v>113</v>
      </c>
      <c r="F756" t="s">
        <v>2416</v>
      </c>
      <c r="G756">
        <v>113</v>
      </c>
      <c r="H756">
        <v>1114.2336</v>
      </c>
      <c r="N756">
        <v>1114.2336</v>
      </c>
      <c r="O756" s="1">
        <v>45141</v>
      </c>
      <c r="P756">
        <f>IF(ISBLANK(ReconciliationData[[#This Row],[Invoice_ID]]),1,0)</f>
        <v>0</v>
      </c>
      <c r="Q756">
        <f>IF(AND(NOT(ISBLANK(ReconciliationData[[#This Row],[Billed_Units]])),ReconciliationData[[#This Row],[ordered_units]]&lt;&gt;ReconciliationData[[#This Row],[Billed_Units]]),1,0)</f>
        <v>0</v>
      </c>
      <c r="R7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6">
        <f>IF(AND(NOT(ISBLANK(ReconciliationData[[#This Row],[Contract_Price]])),ReconciliationData[[#This Row],[Billed_Price]]&lt;&gt;ReconciliationData[[#This Row],[Contract_Price]]),1,0)</f>
        <v>0</v>
      </c>
      <c r="T756">
        <f>IF(AND(NOT(ISBLANK(ReconciliationData[[#This Row],[End_Date]])),ReconciliationData[[#This Row],[Order_Date]]&gt;ReconciliationData[[#This Row],[End_Date]]),1,0)</f>
        <v>0</v>
      </c>
      <c r="U756">
        <f>IF(AND(NOT(ISBLANK(ReconciliationData[[#This Row],[last_return_date]])),ReconciliationData[[#This Row],[last_return_date]]&gt;ReconciliationData[[#This Row],[Order_Date]]+60),1,0)</f>
        <v>0</v>
      </c>
      <c r="V756">
        <f>IF(ReconciliationData[[#This Row],[total_returned_units]]&gt;ReconciliationData[[#This Row],[ordered_units]],1,0)</f>
        <v>0</v>
      </c>
      <c r="W7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56">
        <f>ReconciliationData[[#This Row],[Billed_Units]]*ReconciliationData[[#This Row],[Billed_Price]]</f>
        <v>125908.3968</v>
      </c>
      <c r="Y756">
        <f>ReconciliationData[[#This Row],[ordered_units]]*ReconciliationData[[#This Row],[List_Price]]</f>
        <v>125908.3968</v>
      </c>
      <c r="Z756">
        <f>ReconciliationData[[#This Row],[billed_revenue]]-ReconciliationData[[#This Row],[expected_revenue]]</f>
        <v>0</v>
      </c>
      <c r="AA7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56" t="str">
        <f>IF(ReconciliationData[[#This Row],[severity_score]]=0,"LOW",
 IF(ReconciliationData[[#This Row],[severity_score]]&lt;=5,"MEDIUM","HIGH"))</f>
        <v>LOW</v>
      </c>
      <c r="AC756" t="str">
        <f>TEXT(ReconciliationData[[#This Row],[Order_Date]],"YYYY-MM")</f>
        <v>2023-12</v>
      </c>
    </row>
    <row r="757" spans="1:29">
      <c r="A757" t="s">
        <v>2417</v>
      </c>
      <c r="B757" s="1">
        <v>45241</v>
      </c>
      <c r="C757" t="s">
        <v>1626</v>
      </c>
      <c r="D757" t="s">
        <v>1088</v>
      </c>
      <c r="E757">
        <v>22</v>
      </c>
      <c r="F757" t="s">
        <v>2418</v>
      </c>
      <c r="G757">
        <v>22</v>
      </c>
      <c r="H757">
        <v>72.63</v>
      </c>
      <c r="N757">
        <v>72.63</v>
      </c>
      <c r="O757" s="1">
        <v>44956</v>
      </c>
      <c r="P757">
        <f>IF(ISBLANK(ReconciliationData[[#This Row],[Invoice_ID]]),1,0)</f>
        <v>0</v>
      </c>
      <c r="Q757">
        <f>IF(AND(NOT(ISBLANK(ReconciliationData[[#This Row],[Billed_Units]])),ReconciliationData[[#This Row],[ordered_units]]&lt;&gt;ReconciliationData[[#This Row],[Billed_Units]]),1,0)</f>
        <v>0</v>
      </c>
      <c r="R7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7">
        <f>IF(AND(NOT(ISBLANK(ReconciliationData[[#This Row],[Contract_Price]])),ReconciliationData[[#This Row],[Billed_Price]]&lt;&gt;ReconciliationData[[#This Row],[Contract_Price]]),1,0)</f>
        <v>0</v>
      </c>
      <c r="T757">
        <f>IF(AND(NOT(ISBLANK(ReconciliationData[[#This Row],[End_Date]])),ReconciliationData[[#This Row],[Order_Date]]&gt;ReconciliationData[[#This Row],[End_Date]]),1,0)</f>
        <v>0</v>
      </c>
      <c r="U757">
        <f>IF(AND(NOT(ISBLANK(ReconciliationData[[#This Row],[last_return_date]])),ReconciliationData[[#This Row],[last_return_date]]&gt;ReconciliationData[[#This Row],[Order_Date]]+60),1,0)</f>
        <v>0</v>
      </c>
      <c r="V757">
        <f>IF(ReconciliationData[[#This Row],[total_returned_units]]&gt;ReconciliationData[[#This Row],[ordered_units]],1,0)</f>
        <v>0</v>
      </c>
      <c r="W7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57">
        <f>ReconciliationData[[#This Row],[Billed_Units]]*ReconciliationData[[#This Row],[Billed_Price]]</f>
        <v>1597.86</v>
      </c>
      <c r="Y757">
        <f>ReconciliationData[[#This Row],[ordered_units]]*ReconciliationData[[#This Row],[List_Price]]</f>
        <v>1597.86</v>
      </c>
      <c r="Z757">
        <f>ReconciliationData[[#This Row],[billed_revenue]]-ReconciliationData[[#This Row],[expected_revenue]]</f>
        <v>0</v>
      </c>
      <c r="AA7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57" t="str">
        <f>IF(ReconciliationData[[#This Row],[severity_score]]=0,"LOW",
 IF(ReconciliationData[[#This Row],[severity_score]]&lt;=5,"MEDIUM","HIGH"))</f>
        <v>LOW</v>
      </c>
      <c r="AC757" t="str">
        <f>TEXT(ReconciliationData[[#This Row],[Order_Date]],"YYYY-MM")</f>
        <v>2023-11</v>
      </c>
    </row>
    <row r="758" spans="1:29">
      <c r="A758" t="s">
        <v>2419</v>
      </c>
      <c r="B758" s="1">
        <v>45105</v>
      </c>
      <c r="C758" t="s">
        <v>2420</v>
      </c>
      <c r="D758" t="s">
        <v>2421</v>
      </c>
      <c r="E758">
        <v>189</v>
      </c>
      <c r="F758" t="s">
        <v>2422</v>
      </c>
      <c r="G758">
        <v>189</v>
      </c>
      <c r="H758">
        <v>596.07000000000005</v>
      </c>
      <c r="N758">
        <v>596.07000000000005</v>
      </c>
      <c r="O758" s="1">
        <v>44984</v>
      </c>
      <c r="P758">
        <f>IF(ISBLANK(ReconciliationData[[#This Row],[Invoice_ID]]),1,0)</f>
        <v>0</v>
      </c>
      <c r="Q758">
        <f>IF(AND(NOT(ISBLANK(ReconciliationData[[#This Row],[Billed_Units]])),ReconciliationData[[#This Row],[ordered_units]]&lt;&gt;ReconciliationData[[#This Row],[Billed_Units]]),1,0)</f>
        <v>0</v>
      </c>
      <c r="R7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8">
        <f>IF(AND(NOT(ISBLANK(ReconciliationData[[#This Row],[Contract_Price]])),ReconciliationData[[#This Row],[Billed_Price]]&lt;&gt;ReconciliationData[[#This Row],[Contract_Price]]),1,0)</f>
        <v>0</v>
      </c>
      <c r="T758">
        <f>IF(AND(NOT(ISBLANK(ReconciliationData[[#This Row],[End_Date]])),ReconciliationData[[#This Row],[Order_Date]]&gt;ReconciliationData[[#This Row],[End_Date]]),1,0)</f>
        <v>0</v>
      </c>
      <c r="U758">
        <f>IF(AND(NOT(ISBLANK(ReconciliationData[[#This Row],[last_return_date]])),ReconciliationData[[#This Row],[last_return_date]]&gt;ReconciliationData[[#This Row],[Order_Date]]+60),1,0)</f>
        <v>0</v>
      </c>
      <c r="V758">
        <f>IF(ReconciliationData[[#This Row],[total_returned_units]]&gt;ReconciliationData[[#This Row],[ordered_units]],1,0)</f>
        <v>0</v>
      </c>
      <c r="W7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58">
        <f>ReconciliationData[[#This Row],[Billed_Units]]*ReconciliationData[[#This Row],[Billed_Price]]</f>
        <v>112657.23000000001</v>
      </c>
      <c r="Y758">
        <f>ReconciliationData[[#This Row],[ordered_units]]*ReconciliationData[[#This Row],[List_Price]]</f>
        <v>112657.23000000001</v>
      </c>
      <c r="Z758">
        <f>ReconciliationData[[#This Row],[billed_revenue]]-ReconciliationData[[#This Row],[expected_revenue]]</f>
        <v>0</v>
      </c>
      <c r="AA7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58" t="str">
        <f>IF(ReconciliationData[[#This Row],[severity_score]]=0,"LOW",
 IF(ReconciliationData[[#This Row],[severity_score]]&lt;=5,"MEDIUM","HIGH"))</f>
        <v>LOW</v>
      </c>
      <c r="AC758" t="str">
        <f>TEXT(ReconciliationData[[#This Row],[Order_Date]],"YYYY-MM")</f>
        <v>2023-06</v>
      </c>
    </row>
    <row r="759" spans="1:29">
      <c r="A759" t="s">
        <v>2423</v>
      </c>
      <c r="B759" s="1">
        <v>45028</v>
      </c>
      <c r="C759" t="s">
        <v>810</v>
      </c>
      <c r="D759" t="s">
        <v>635</v>
      </c>
      <c r="E759">
        <v>163</v>
      </c>
      <c r="F759" t="s">
        <v>2424</v>
      </c>
      <c r="G759">
        <v>163</v>
      </c>
      <c r="H759">
        <v>951.54780000000005</v>
      </c>
      <c r="N759">
        <v>951.54780000000005</v>
      </c>
      <c r="O759" s="1">
        <v>44964</v>
      </c>
      <c r="P759">
        <f>IF(ISBLANK(ReconciliationData[[#This Row],[Invoice_ID]]),1,0)</f>
        <v>0</v>
      </c>
      <c r="Q759">
        <f>IF(AND(NOT(ISBLANK(ReconciliationData[[#This Row],[Billed_Units]])),ReconciliationData[[#This Row],[ordered_units]]&lt;&gt;ReconciliationData[[#This Row],[Billed_Units]]),1,0)</f>
        <v>0</v>
      </c>
      <c r="R7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59">
        <f>IF(AND(NOT(ISBLANK(ReconciliationData[[#This Row],[Contract_Price]])),ReconciliationData[[#This Row],[Billed_Price]]&lt;&gt;ReconciliationData[[#This Row],[Contract_Price]]),1,0)</f>
        <v>0</v>
      </c>
      <c r="T759">
        <f>IF(AND(NOT(ISBLANK(ReconciliationData[[#This Row],[End_Date]])),ReconciliationData[[#This Row],[Order_Date]]&gt;ReconciliationData[[#This Row],[End_Date]]),1,0)</f>
        <v>0</v>
      </c>
      <c r="U759">
        <f>IF(AND(NOT(ISBLANK(ReconciliationData[[#This Row],[last_return_date]])),ReconciliationData[[#This Row],[last_return_date]]&gt;ReconciliationData[[#This Row],[Order_Date]]+60),1,0)</f>
        <v>0</v>
      </c>
      <c r="V759">
        <f>IF(ReconciliationData[[#This Row],[total_returned_units]]&gt;ReconciliationData[[#This Row],[ordered_units]],1,0)</f>
        <v>0</v>
      </c>
      <c r="W7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59">
        <f>ReconciliationData[[#This Row],[Billed_Units]]*ReconciliationData[[#This Row],[Billed_Price]]</f>
        <v>155102.29140000002</v>
      </c>
      <c r="Y759">
        <f>ReconciliationData[[#This Row],[ordered_units]]*ReconciliationData[[#This Row],[List_Price]]</f>
        <v>155102.29140000002</v>
      </c>
      <c r="Z759">
        <f>ReconciliationData[[#This Row],[billed_revenue]]-ReconciliationData[[#This Row],[expected_revenue]]</f>
        <v>0</v>
      </c>
      <c r="AA7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59" t="str">
        <f>IF(ReconciliationData[[#This Row],[severity_score]]=0,"LOW",
 IF(ReconciliationData[[#This Row],[severity_score]]&lt;=5,"MEDIUM","HIGH"))</f>
        <v>LOW</v>
      </c>
      <c r="AC759" t="str">
        <f>TEXT(ReconciliationData[[#This Row],[Order_Date]],"YYYY-MM")</f>
        <v>2023-04</v>
      </c>
    </row>
    <row r="760" spans="1:29">
      <c r="A760" t="s">
        <v>2425</v>
      </c>
      <c r="B760" s="1">
        <v>45237</v>
      </c>
      <c r="C760" t="s">
        <v>1033</v>
      </c>
      <c r="D760" t="s">
        <v>1298</v>
      </c>
      <c r="E760">
        <v>152</v>
      </c>
      <c r="F760" t="s">
        <v>2426</v>
      </c>
      <c r="G760">
        <v>152</v>
      </c>
      <c r="H760">
        <v>1099.82</v>
      </c>
      <c r="N760">
        <v>1099.82</v>
      </c>
      <c r="O760" s="1">
        <v>44962</v>
      </c>
      <c r="P760">
        <f>IF(ISBLANK(ReconciliationData[[#This Row],[Invoice_ID]]),1,0)</f>
        <v>0</v>
      </c>
      <c r="Q760">
        <f>IF(AND(NOT(ISBLANK(ReconciliationData[[#This Row],[Billed_Units]])),ReconciliationData[[#This Row],[ordered_units]]&lt;&gt;ReconciliationData[[#This Row],[Billed_Units]]),1,0)</f>
        <v>0</v>
      </c>
      <c r="R7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0">
        <f>IF(AND(NOT(ISBLANK(ReconciliationData[[#This Row],[Contract_Price]])),ReconciliationData[[#This Row],[Billed_Price]]&lt;&gt;ReconciliationData[[#This Row],[Contract_Price]]),1,0)</f>
        <v>0</v>
      </c>
      <c r="T760">
        <f>IF(AND(NOT(ISBLANK(ReconciliationData[[#This Row],[End_Date]])),ReconciliationData[[#This Row],[Order_Date]]&gt;ReconciliationData[[#This Row],[End_Date]]),1,0)</f>
        <v>0</v>
      </c>
      <c r="U760">
        <f>IF(AND(NOT(ISBLANK(ReconciliationData[[#This Row],[last_return_date]])),ReconciliationData[[#This Row],[last_return_date]]&gt;ReconciliationData[[#This Row],[Order_Date]]+60),1,0)</f>
        <v>0</v>
      </c>
      <c r="V760">
        <f>IF(ReconciliationData[[#This Row],[total_returned_units]]&gt;ReconciliationData[[#This Row],[ordered_units]],1,0)</f>
        <v>0</v>
      </c>
      <c r="W7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0">
        <f>ReconciliationData[[#This Row],[Billed_Units]]*ReconciliationData[[#This Row],[Billed_Price]]</f>
        <v>167172.63999999998</v>
      </c>
      <c r="Y760">
        <f>ReconciliationData[[#This Row],[ordered_units]]*ReconciliationData[[#This Row],[List_Price]]</f>
        <v>167172.63999999998</v>
      </c>
      <c r="Z760">
        <f>ReconciliationData[[#This Row],[billed_revenue]]-ReconciliationData[[#This Row],[expected_revenue]]</f>
        <v>0</v>
      </c>
      <c r="AA7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0" t="str">
        <f>IF(ReconciliationData[[#This Row],[severity_score]]=0,"LOW",
 IF(ReconciliationData[[#This Row],[severity_score]]&lt;=5,"MEDIUM","HIGH"))</f>
        <v>LOW</v>
      </c>
      <c r="AC760" t="str">
        <f>TEXT(ReconciliationData[[#This Row],[Order_Date]],"YYYY-MM")</f>
        <v>2023-11</v>
      </c>
    </row>
    <row r="761" spans="1:29">
      <c r="A761" t="s">
        <v>2427</v>
      </c>
      <c r="B761" s="1">
        <v>45204</v>
      </c>
      <c r="C761" t="s">
        <v>996</v>
      </c>
      <c r="D761" t="s">
        <v>1542</v>
      </c>
      <c r="E761">
        <v>37</v>
      </c>
      <c r="F761" t="s">
        <v>2428</v>
      </c>
      <c r="G761">
        <v>37</v>
      </c>
      <c r="H761">
        <v>374.4615</v>
      </c>
      <c r="N761">
        <v>374.4615</v>
      </c>
      <c r="O761" s="1">
        <v>44992</v>
      </c>
      <c r="P761">
        <f>IF(ISBLANK(ReconciliationData[[#This Row],[Invoice_ID]]),1,0)</f>
        <v>0</v>
      </c>
      <c r="Q761">
        <f>IF(AND(NOT(ISBLANK(ReconciliationData[[#This Row],[Billed_Units]])),ReconciliationData[[#This Row],[ordered_units]]&lt;&gt;ReconciliationData[[#This Row],[Billed_Units]]),1,0)</f>
        <v>0</v>
      </c>
      <c r="R7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1">
        <f>IF(AND(NOT(ISBLANK(ReconciliationData[[#This Row],[Contract_Price]])),ReconciliationData[[#This Row],[Billed_Price]]&lt;&gt;ReconciliationData[[#This Row],[Contract_Price]]),1,0)</f>
        <v>0</v>
      </c>
      <c r="T761">
        <f>IF(AND(NOT(ISBLANK(ReconciliationData[[#This Row],[End_Date]])),ReconciliationData[[#This Row],[Order_Date]]&gt;ReconciliationData[[#This Row],[End_Date]]),1,0)</f>
        <v>0</v>
      </c>
      <c r="U761">
        <f>IF(AND(NOT(ISBLANK(ReconciliationData[[#This Row],[last_return_date]])),ReconciliationData[[#This Row],[last_return_date]]&gt;ReconciliationData[[#This Row],[Order_Date]]+60),1,0)</f>
        <v>0</v>
      </c>
      <c r="V761">
        <f>IF(ReconciliationData[[#This Row],[total_returned_units]]&gt;ReconciliationData[[#This Row],[ordered_units]],1,0)</f>
        <v>0</v>
      </c>
      <c r="W7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1">
        <f>ReconciliationData[[#This Row],[Billed_Units]]*ReconciliationData[[#This Row],[Billed_Price]]</f>
        <v>13855.075500000001</v>
      </c>
      <c r="Y761">
        <f>ReconciliationData[[#This Row],[ordered_units]]*ReconciliationData[[#This Row],[List_Price]]</f>
        <v>13855.075500000001</v>
      </c>
      <c r="Z761">
        <f>ReconciliationData[[#This Row],[billed_revenue]]-ReconciliationData[[#This Row],[expected_revenue]]</f>
        <v>0</v>
      </c>
      <c r="AA7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1" t="str">
        <f>IF(ReconciliationData[[#This Row],[severity_score]]=0,"LOW",
 IF(ReconciliationData[[#This Row],[severity_score]]&lt;=5,"MEDIUM","HIGH"))</f>
        <v>LOW</v>
      </c>
      <c r="AC761" t="str">
        <f>TEXT(ReconciliationData[[#This Row],[Order_Date]],"YYYY-MM")</f>
        <v>2023-10</v>
      </c>
    </row>
    <row r="762" spans="1:29">
      <c r="A762" t="s">
        <v>2429</v>
      </c>
      <c r="B762" s="1">
        <v>45367</v>
      </c>
      <c r="C762" t="s">
        <v>2430</v>
      </c>
      <c r="D762" t="s">
        <v>370</v>
      </c>
      <c r="E762">
        <v>47</v>
      </c>
      <c r="F762" t="s">
        <v>2431</v>
      </c>
      <c r="G762">
        <v>47</v>
      </c>
      <c r="H762">
        <v>639.91840000000002</v>
      </c>
      <c r="N762">
        <v>639.91840000000002</v>
      </c>
      <c r="O762" s="1">
        <v>44930</v>
      </c>
      <c r="P762">
        <f>IF(ISBLANK(ReconciliationData[[#This Row],[Invoice_ID]]),1,0)</f>
        <v>0</v>
      </c>
      <c r="Q762">
        <f>IF(AND(NOT(ISBLANK(ReconciliationData[[#This Row],[Billed_Units]])),ReconciliationData[[#This Row],[ordered_units]]&lt;&gt;ReconciliationData[[#This Row],[Billed_Units]]),1,0)</f>
        <v>0</v>
      </c>
      <c r="R7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2">
        <f>IF(AND(NOT(ISBLANK(ReconciliationData[[#This Row],[Contract_Price]])),ReconciliationData[[#This Row],[Billed_Price]]&lt;&gt;ReconciliationData[[#This Row],[Contract_Price]]),1,0)</f>
        <v>0</v>
      </c>
      <c r="T762">
        <f>IF(AND(NOT(ISBLANK(ReconciliationData[[#This Row],[End_Date]])),ReconciliationData[[#This Row],[Order_Date]]&gt;ReconciliationData[[#This Row],[End_Date]]),1,0)</f>
        <v>0</v>
      </c>
      <c r="U762">
        <f>IF(AND(NOT(ISBLANK(ReconciliationData[[#This Row],[last_return_date]])),ReconciliationData[[#This Row],[last_return_date]]&gt;ReconciliationData[[#This Row],[Order_Date]]+60),1,0)</f>
        <v>0</v>
      </c>
      <c r="V762">
        <f>IF(ReconciliationData[[#This Row],[total_returned_units]]&gt;ReconciliationData[[#This Row],[ordered_units]],1,0)</f>
        <v>0</v>
      </c>
      <c r="W7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2">
        <f>ReconciliationData[[#This Row],[Billed_Units]]*ReconciliationData[[#This Row],[Billed_Price]]</f>
        <v>30076.164800000002</v>
      </c>
      <c r="Y762">
        <f>ReconciliationData[[#This Row],[ordered_units]]*ReconciliationData[[#This Row],[List_Price]]</f>
        <v>30076.164800000002</v>
      </c>
      <c r="Z762">
        <f>ReconciliationData[[#This Row],[billed_revenue]]-ReconciliationData[[#This Row],[expected_revenue]]</f>
        <v>0</v>
      </c>
      <c r="AA7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2" t="str">
        <f>IF(ReconciliationData[[#This Row],[severity_score]]=0,"LOW",
 IF(ReconciliationData[[#This Row],[severity_score]]&lt;=5,"MEDIUM","HIGH"))</f>
        <v>LOW</v>
      </c>
      <c r="AC762" t="str">
        <f>TEXT(ReconciliationData[[#This Row],[Order_Date]],"YYYY-MM")</f>
        <v>2024-03</v>
      </c>
    </row>
    <row r="763" spans="1:29">
      <c r="A763" t="s">
        <v>2432</v>
      </c>
      <c r="B763" s="1">
        <v>45632</v>
      </c>
      <c r="C763" t="s">
        <v>634</v>
      </c>
      <c r="D763" t="s">
        <v>782</v>
      </c>
      <c r="E763">
        <v>8</v>
      </c>
      <c r="F763" t="s">
        <v>2433</v>
      </c>
      <c r="G763">
        <v>8</v>
      </c>
      <c r="H763">
        <v>216.2484</v>
      </c>
      <c r="N763">
        <v>216.2484</v>
      </c>
      <c r="O763" s="1">
        <v>44944</v>
      </c>
      <c r="P763">
        <f>IF(ISBLANK(ReconciliationData[[#This Row],[Invoice_ID]]),1,0)</f>
        <v>0</v>
      </c>
      <c r="Q763">
        <f>IF(AND(NOT(ISBLANK(ReconciliationData[[#This Row],[Billed_Units]])),ReconciliationData[[#This Row],[ordered_units]]&lt;&gt;ReconciliationData[[#This Row],[Billed_Units]]),1,0)</f>
        <v>0</v>
      </c>
      <c r="R7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3">
        <f>IF(AND(NOT(ISBLANK(ReconciliationData[[#This Row],[Contract_Price]])),ReconciliationData[[#This Row],[Billed_Price]]&lt;&gt;ReconciliationData[[#This Row],[Contract_Price]]),1,0)</f>
        <v>0</v>
      </c>
      <c r="T763">
        <f>IF(AND(NOT(ISBLANK(ReconciliationData[[#This Row],[End_Date]])),ReconciliationData[[#This Row],[Order_Date]]&gt;ReconciliationData[[#This Row],[End_Date]]),1,0)</f>
        <v>0</v>
      </c>
      <c r="U763">
        <f>IF(AND(NOT(ISBLANK(ReconciliationData[[#This Row],[last_return_date]])),ReconciliationData[[#This Row],[last_return_date]]&gt;ReconciliationData[[#This Row],[Order_Date]]+60),1,0)</f>
        <v>0</v>
      </c>
      <c r="V763">
        <f>IF(ReconciliationData[[#This Row],[total_returned_units]]&gt;ReconciliationData[[#This Row],[ordered_units]],1,0)</f>
        <v>0</v>
      </c>
      <c r="W7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3">
        <f>ReconciliationData[[#This Row],[Billed_Units]]*ReconciliationData[[#This Row],[Billed_Price]]</f>
        <v>1729.9872</v>
      </c>
      <c r="Y763">
        <f>ReconciliationData[[#This Row],[ordered_units]]*ReconciliationData[[#This Row],[List_Price]]</f>
        <v>1729.9872</v>
      </c>
      <c r="Z763">
        <f>ReconciliationData[[#This Row],[billed_revenue]]-ReconciliationData[[#This Row],[expected_revenue]]</f>
        <v>0</v>
      </c>
      <c r="AA7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3" t="str">
        <f>IF(ReconciliationData[[#This Row],[severity_score]]=0,"LOW",
 IF(ReconciliationData[[#This Row],[severity_score]]&lt;=5,"MEDIUM","HIGH"))</f>
        <v>LOW</v>
      </c>
      <c r="AC763" t="str">
        <f>TEXT(ReconciliationData[[#This Row],[Order_Date]],"YYYY-MM")</f>
        <v>2024-12</v>
      </c>
    </row>
    <row r="764" spans="1:29">
      <c r="A764" t="s">
        <v>2434</v>
      </c>
      <c r="B764" s="1">
        <v>45389</v>
      </c>
      <c r="C764" t="s">
        <v>1808</v>
      </c>
      <c r="D764" t="s">
        <v>1385</v>
      </c>
      <c r="E764">
        <v>98</v>
      </c>
      <c r="F764" t="s">
        <v>2435</v>
      </c>
      <c r="G764">
        <v>98</v>
      </c>
      <c r="H764">
        <v>287.90559999999999</v>
      </c>
      <c r="N764">
        <v>287.90559999999999</v>
      </c>
      <c r="O764" s="1">
        <v>45224</v>
      </c>
      <c r="P764">
        <f>IF(ISBLANK(ReconciliationData[[#This Row],[Invoice_ID]]),1,0)</f>
        <v>0</v>
      </c>
      <c r="Q764">
        <f>IF(AND(NOT(ISBLANK(ReconciliationData[[#This Row],[Billed_Units]])),ReconciliationData[[#This Row],[ordered_units]]&lt;&gt;ReconciliationData[[#This Row],[Billed_Units]]),1,0)</f>
        <v>0</v>
      </c>
      <c r="R7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4">
        <f>IF(AND(NOT(ISBLANK(ReconciliationData[[#This Row],[Contract_Price]])),ReconciliationData[[#This Row],[Billed_Price]]&lt;&gt;ReconciliationData[[#This Row],[Contract_Price]]),1,0)</f>
        <v>0</v>
      </c>
      <c r="T764">
        <f>IF(AND(NOT(ISBLANK(ReconciliationData[[#This Row],[End_Date]])),ReconciliationData[[#This Row],[Order_Date]]&gt;ReconciliationData[[#This Row],[End_Date]]),1,0)</f>
        <v>0</v>
      </c>
      <c r="U764">
        <f>IF(AND(NOT(ISBLANK(ReconciliationData[[#This Row],[last_return_date]])),ReconciliationData[[#This Row],[last_return_date]]&gt;ReconciliationData[[#This Row],[Order_Date]]+60),1,0)</f>
        <v>0</v>
      </c>
      <c r="V764">
        <f>IF(ReconciliationData[[#This Row],[total_returned_units]]&gt;ReconciliationData[[#This Row],[ordered_units]],1,0)</f>
        <v>0</v>
      </c>
      <c r="W7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4">
        <f>ReconciliationData[[#This Row],[Billed_Units]]*ReconciliationData[[#This Row],[Billed_Price]]</f>
        <v>28214.748799999998</v>
      </c>
      <c r="Y764">
        <f>ReconciliationData[[#This Row],[ordered_units]]*ReconciliationData[[#This Row],[List_Price]]</f>
        <v>28214.748799999998</v>
      </c>
      <c r="Z764">
        <f>ReconciliationData[[#This Row],[billed_revenue]]-ReconciliationData[[#This Row],[expected_revenue]]</f>
        <v>0</v>
      </c>
      <c r="AA7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4" t="str">
        <f>IF(ReconciliationData[[#This Row],[severity_score]]=0,"LOW",
 IF(ReconciliationData[[#This Row],[severity_score]]&lt;=5,"MEDIUM","HIGH"))</f>
        <v>LOW</v>
      </c>
      <c r="AC764" t="str">
        <f>TEXT(ReconciliationData[[#This Row],[Order_Date]],"YYYY-MM")</f>
        <v>2024-04</v>
      </c>
    </row>
    <row r="765" spans="1:29">
      <c r="A765" t="s">
        <v>2436</v>
      </c>
      <c r="B765" s="1">
        <v>44980</v>
      </c>
      <c r="C765" t="s">
        <v>486</v>
      </c>
      <c r="D765" t="s">
        <v>479</v>
      </c>
      <c r="E765">
        <v>144</v>
      </c>
      <c r="F765" t="s">
        <v>2437</v>
      </c>
      <c r="G765">
        <v>144</v>
      </c>
      <c r="H765">
        <v>1045.3163999999999</v>
      </c>
      <c r="N765">
        <v>1045.3163999999999</v>
      </c>
      <c r="O765" s="1">
        <v>44875</v>
      </c>
      <c r="P765">
        <f>IF(ISBLANK(ReconciliationData[[#This Row],[Invoice_ID]]),1,0)</f>
        <v>0</v>
      </c>
      <c r="Q765">
        <f>IF(AND(NOT(ISBLANK(ReconciliationData[[#This Row],[Billed_Units]])),ReconciliationData[[#This Row],[ordered_units]]&lt;&gt;ReconciliationData[[#This Row],[Billed_Units]]),1,0)</f>
        <v>0</v>
      </c>
      <c r="R7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5">
        <f>IF(AND(NOT(ISBLANK(ReconciliationData[[#This Row],[Contract_Price]])),ReconciliationData[[#This Row],[Billed_Price]]&lt;&gt;ReconciliationData[[#This Row],[Contract_Price]]),1,0)</f>
        <v>0</v>
      </c>
      <c r="T765">
        <f>IF(AND(NOT(ISBLANK(ReconciliationData[[#This Row],[End_Date]])),ReconciliationData[[#This Row],[Order_Date]]&gt;ReconciliationData[[#This Row],[End_Date]]),1,0)</f>
        <v>0</v>
      </c>
      <c r="U765">
        <f>IF(AND(NOT(ISBLANK(ReconciliationData[[#This Row],[last_return_date]])),ReconciliationData[[#This Row],[last_return_date]]&gt;ReconciliationData[[#This Row],[Order_Date]]+60),1,0)</f>
        <v>0</v>
      </c>
      <c r="V765">
        <f>IF(ReconciliationData[[#This Row],[total_returned_units]]&gt;ReconciliationData[[#This Row],[ordered_units]],1,0)</f>
        <v>0</v>
      </c>
      <c r="W7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5">
        <f>ReconciliationData[[#This Row],[Billed_Units]]*ReconciliationData[[#This Row],[Billed_Price]]</f>
        <v>150525.56159999999</v>
      </c>
      <c r="Y765">
        <f>ReconciliationData[[#This Row],[ordered_units]]*ReconciliationData[[#This Row],[List_Price]]</f>
        <v>150525.56159999999</v>
      </c>
      <c r="Z765">
        <f>ReconciliationData[[#This Row],[billed_revenue]]-ReconciliationData[[#This Row],[expected_revenue]]</f>
        <v>0</v>
      </c>
      <c r="AA7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5" t="str">
        <f>IF(ReconciliationData[[#This Row],[severity_score]]=0,"LOW",
 IF(ReconciliationData[[#This Row],[severity_score]]&lt;=5,"MEDIUM","HIGH"))</f>
        <v>LOW</v>
      </c>
      <c r="AC765" t="str">
        <f>TEXT(ReconciliationData[[#This Row],[Order_Date]],"YYYY-MM")</f>
        <v>2023-02</v>
      </c>
    </row>
    <row r="766" spans="1:29">
      <c r="A766" t="s">
        <v>2438</v>
      </c>
      <c r="B766" s="1">
        <v>45363</v>
      </c>
      <c r="C766" t="s">
        <v>2028</v>
      </c>
      <c r="D766" t="s">
        <v>757</v>
      </c>
      <c r="E766">
        <v>15</v>
      </c>
      <c r="F766" t="s">
        <v>2439</v>
      </c>
      <c r="G766">
        <v>15</v>
      </c>
      <c r="H766">
        <v>744.44590000000005</v>
      </c>
      <c r="N766">
        <v>744.44590000000005</v>
      </c>
      <c r="O766" s="1">
        <v>45008</v>
      </c>
      <c r="P766">
        <f>IF(ISBLANK(ReconciliationData[[#This Row],[Invoice_ID]]),1,0)</f>
        <v>0</v>
      </c>
      <c r="Q766">
        <f>IF(AND(NOT(ISBLANK(ReconciliationData[[#This Row],[Billed_Units]])),ReconciliationData[[#This Row],[ordered_units]]&lt;&gt;ReconciliationData[[#This Row],[Billed_Units]]),1,0)</f>
        <v>0</v>
      </c>
      <c r="R7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6">
        <f>IF(AND(NOT(ISBLANK(ReconciliationData[[#This Row],[Contract_Price]])),ReconciliationData[[#This Row],[Billed_Price]]&lt;&gt;ReconciliationData[[#This Row],[Contract_Price]]),1,0)</f>
        <v>0</v>
      </c>
      <c r="T766">
        <f>IF(AND(NOT(ISBLANK(ReconciliationData[[#This Row],[End_Date]])),ReconciliationData[[#This Row],[Order_Date]]&gt;ReconciliationData[[#This Row],[End_Date]]),1,0)</f>
        <v>0</v>
      </c>
      <c r="U766">
        <f>IF(AND(NOT(ISBLANK(ReconciliationData[[#This Row],[last_return_date]])),ReconciliationData[[#This Row],[last_return_date]]&gt;ReconciliationData[[#This Row],[Order_Date]]+60),1,0)</f>
        <v>0</v>
      </c>
      <c r="V766">
        <f>IF(ReconciliationData[[#This Row],[total_returned_units]]&gt;ReconciliationData[[#This Row],[ordered_units]],1,0)</f>
        <v>0</v>
      </c>
      <c r="W7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6">
        <f>ReconciliationData[[#This Row],[Billed_Units]]*ReconciliationData[[#This Row],[Billed_Price]]</f>
        <v>11166.6885</v>
      </c>
      <c r="Y766">
        <f>ReconciliationData[[#This Row],[ordered_units]]*ReconciliationData[[#This Row],[List_Price]]</f>
        <v>11166.6885</v>
      </c>
      <c r="Z766">
        <f>ReconciliationData[[#This Row],[billed_revenue]]-ReconciliationData[[#This Row],[expected_revenue]]</f>
        <v>0</v>
      </c>
      <c r="AA7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6" t="str">
        <f>IF(ReconciliationData[[#This Row],[severity_score]]=0,"LOW",
 IF(ReconciliationData[[#This Row],[severity_score]]&lt;=5,"MEDIUM","HIGH"))</f>
        <v>LOW</v>
      </c>
      <c r="AC766" t="str">
        <f>TEXT(ReconciliationData[[#This Row],[Order_Date]],"YYYY-MM")</f>
        <v>2024-03</v>
      </c>
    </row>
    <row r="767" spans="1:29">
      <c r="A767" t="s">
        <v>2440</v>
      </c>
      <c r="B767" s="1">
        <v>45596</v>
      </c>
      <c r="C767" t="s">
        <v>1660</v>
      </c>
      <c r="D767" t="s">
        <v>2245</v>
      </c>
      <c r="E767">
        <v>161</v>
      </c>
      <c r="F767" t="s">
        <v>2441</v>
      </c>
      <c r="G767">
        <v>161</v>
      </c>
      <c r="H767">
        <v>378.91109999999998</v>
      </c>
      <c r="N767">
        <v>378.91109999999998</v>
      </c>
      <c r="O767" s="1">
        <v>45117</v>
      </c>
      <c r="P767">
        <f>IF(ISBLANK(ReconciliationData[[#This Row],[Invoice_ID]]),1,0)</f>
        <v>0</v>
      </c>
      <c r="Q767">
        <f>IF(AND(NOT(ISBLANK(ReconciliationData[[#This Row],[Billed_Units]])),ReconciliationData[[#This Row],[ordered_units]]&lt;&gt;ReconciliationData[[#This Row],[Billed_Units]]),1,0)</f>
        <v>0</v>
      </c>
      <c r="R7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7">
        <f>IF(AND(NOT(ISBLANK(ReconciliationData[[#This Row],[Contract_Price]])),ReconciliationData[[#This Row],[Billed_Price]]&lt;&gt;ReconciliationData[[#This Row],[Contract_Price]]),1,0)</f>
        <v>0</v>
      </c>
      <c r="T767">
        <f>IF(AND(NOT(ISBLANK(ReconciliationData[[#This Row],[End_Date]])),ReconciliationData[[#This Row],[Order_Date]]&gt;ReconciliationData[[#This Row],[End_Date]]),1,0)</f>
        <v>0</v>
      </c>
      <c r="U767">
        <f>IF(AND(NOT(ISBLANK(ReconciliationData[[#This Row],[last_return_date]])),ReconciliationData[[#This Row],[last_return_date]]&gt;ReconciliationData[[#This Row],[Order_Date]]+60),1,0)</f>
        <v>0</v>
      </c>
      <c r="V767">
        <f>IF(ReconciliationData[[#This Row],[total_returned_units]]&gt;ReconciliationData[[#This Row],[ordered_units]],1,0)</f>
        <v>0</v>
      </c>
      <c r="W7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7">
        <f>ReconciliationData[[#This Row],[Billed_Units]]*ReconciliationData[[#This Row],[Billed_Price]]</f>
        <v>61004.687099999996</v>
      </c>
      <c r="Y767">
        <f>ReconciliationData[[#This Row],[ordered_units]]*ReconciliationData[[#This Row],[List_Price]]</f>
        <v>61004.687099999996</v>
      </c>
      <c r="Z767">
        <f>ReconciliationData[[#This Row],[billed_revenue]]-ReconciliationData[[#This Row],[expected_revenue]]</f>
        <v>0</v>
      </c>
      <c r="AA7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7" t="str">
        <f>IF(ReconciliationData[[#This Row],[severity_score]]=0,"LOW",
 IF(ReconciliationData[[#This Row],[severity_score]]&lt;=5,"MEDIUM","HIGH"))</f>
        <v>LOW</v>
      </c>
      <c r="AC767" t="str">
        <f>TEXT(ReconciliationData[[#This Row],[Order_Date]],"YYYY-MM")</f>
        <v>2024-10</v>
      </c>
    </row>
    <row r="768" spans="1:29">
      <c r="A768" t="s">
        <v>2442</v>
      </c>
      <c r="B768" s="1">
        <v>45034</v>
      </c>
      <c r="C768" t="s">
        <v>2443</v>
      </c>
      <c r="D768" t="s">
        <v>2444</v>
      </c>
      <c r="E768">
        <v>143</v>
      </c>
      <c r="F768" t="s">
        <v>2445</v>
      </c>
      <c r="G768">
        <v>143</v>
      </c>
      <c r="H768">
        <v>852.48720000000014</v>
      </c>
      <c r="N768">
        <v>852.48720000000014</v>
      </c>
      <c r="O768" s="1">
        <v>44983</v>
      </c>
      <c r="P768">
        <f>IF(ISBLANK(ReconciliationData[[#This Row],[Invoice_ID]]),1,0)</f>
        <v>0</v>
      </c>
      <c r="Q768">
        <f>IF(AND(NOT(ISBLANK(ReconciliationData[[#This Row],[Billed_Units]])),ReconciliationData[[#This Row],[ordered_units]]&lt;&gt;ReconciliationData[[#This Row],[Billed_Units]]),1,0)</f>
        <v>0</v>
      </c>
      <c r="R7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8">
        <f>IF(AND(NOT(ISBLANK(ReconciliationData[[#This Row],[Contract_Price]])),ReconciliationData[[#This Row],[Billed_Price]]&lt;&gt;ReconciliationData[[#This Row],[Contract_Price]]),1,0)</f>
        <v>0</v>
      </c>
      <c r="T768">
        <f>IF(AND(NOT(ISBLANK(ReconciliationData[[#This Row],[End_Date]])),ReconciliationData[[#This Row],[Order_Date]]&gt;ReconciliationData[[#This Row],[End_Date]]),1,0)</f>
        <v>0</v>
      </c>
      <c r="U768">
        <f>IF(AND(NOT(ISBLANK(ReconciliationData[[#This Row],[last_return_date]])),ReconciliationData[[#This Row],[last_return_date]]&gt;ReconciliationData[[#This Row],[Order_Date]]+60),1,0)</f>
        <v>0</v>
      </c>
      <c r="V768">
        <f>IF(ReconciliationData[[#This Row],[total_returned_units]]&gt;ReconciliationData[[#This Row],[ordered_units]],1,0)</f>
        <v>0</v>
      </c>
      <c r="W7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8">
        <f>ReconciliationData[[#This Row],[Billed_Units]]*ReconciliationData[[#This Row],[Billed_Price]]</f>
        <v>121905.66960000002</v>
      </c>
      <c r="Y768">
        <f>ReconciliationData[[#This Row],[ordered_units]]*ReconciliationData[[#This Row],[List_Price]]</f>
        <v>121905.66960000002</v>
      </c>
      <c r="Z768">
        <f>ReconciliationData[[#This Row],[billed_revenue]]-ReconciliationData[[#This Row],[expected_revenue]]</f>
        <v>0</v>
      </c>
      <c r="AA7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8" t="str">
        <f>IF(ReconciliationData[[#This Row],[severity_score]]=0,"LOW",
 IF(ReconciliationData[[#This Row],[severity_score]]&lt;=5,"MEDIUM","HIGH"))</f>
        <v>LOW</v>
      </c>
      <c r="AC768" t="str">
        <f>TEXT(ReconciliationData[[#This Row],[Order_Date]],"YYYY-MM")</f>
        <v>2023-04</v>
      </c>
    </row>
    <row r="769" spans="1:29">
      <c r="A769" t="s">
        <v>2446</v>
      </c>
      <c r="B769" s="1">
        <v>45654</v>
      </c>
      <c r="C769" t="s">
        <v>2291</v>
      </c>
      <c r="D769" t="s">
        <v>321</v>
      </c>
      <c r="E769">
        <v>151</v>
      </c>
      <c r="F769" t="s">
        <v>2447</v>
      </c>
      <c r="G769">
        <v>151</v>
      </c>
      <c r="H769">
        <v>169.22900000000001</v>
      </c>
      <c r="N769">
        <v>169.22900000000001</v>
      </c>
      <c r="O769" s="1">
        <v>45039</v>
      </c>
      <c r="P769">
        <f>IF(ISBLANK(ReconciliationData[[#This Row],[Invoice_ID]]),1,0)</f>
        <v>0</v>
      </c>
      <c r="Q769">
        <f>IF(AND(NOT(ISBLANK(ReconciliationData[[#This Row],[Billed_Units]])),ReconciliationData[[#This Row],[ordered_units]]&lt;&gt;ReconciliationData[[#This Row],[Billed_Units]]),1,0)</f>
        <v>0</v>
      </c>
      <c r="R7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69">
        <f>IF(AND(NOT(ISBLANK(ReconciliationData[[#This Row],[Contract_Price]])),ReconciliationData[[#This Row],[Billed_Price]]&lt;&gt;ReconciliationData[[#This Row],[Contract_Price]]),1,0)</f>
        <v>0</v>
      </c>
      <c r="T769">
        <f>IF(AND(NOT(ISBLANK(ReconciliationData[[#This Row],[End_Date]])),ReconciliationData[[#This Row],[Order_Date]]&gt;ReconciliationData[[#This Row],[End_Date]]),1,0)</f>
        <v>0</v>
      </c>
      <c r="U769">
        <f>IF(AND(NOT(ISBLANK(ReconciliationData[[#This Row],[last_return_date]])),ReconciliationData[[#This Row],[last_return_date]]&gt;ReconciliationData[[#This Row],[Order_Date]]+60),1,0)</f>
        <v>0</v>
      </c>
      <c r="V769">
        <f>IF(ReconciliationData[[#This Row],[total_returned_units]]&gt;ReconciliationData[[#This Row],[ordered_units]],1,0)</f>
        <v>0</v>
      </c>
      <c r="W7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69">
        <f>ReconciliationData[[#This Row],[Billed_Units]]*ReconciliationData[[#This Row],[Billed_Price]]</f>
        <v>25553.579000000002</v>
      </c>
      <c r="Y769">
        <f>ReconciliationData[[#This Row],[ordered_units]]*ReconciliationData[[#This Row],[List_Price]]</f>
        <v>25553.579000000002</v>
      </c>
      <c r="Z769">
        <f>ReconciliationData[[#This Row],[billed_revenue]]-ReconciliationData[[#This Row],[expected_revenue]]</f>
        <v>0</v>
      </c>
      <c r="AA7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69" t="str">
        <f>IF(ReconciliationData[[#This Row],[severity_score]]=0,"LOW",
 IF(ReconciliationData[[#This Row],[severity_score]]&lt;=5,"MEDIUM","HIGH"))</f>
        <v>LOW</v>
      </c>
      <c r="AC769" t="str">
        <f>TEXT(ReconciliationData[[#This Row],[Order_Date]],"YYYY-MM")</f>
        <v>2024-12</v>
      </c>
    </row>
    <row r="770" spans="1:29">
      <c r="A770" t="s">
        <v>2448</v>
      </c>
      <c r="B770" s="1">
        <v>45253</v>
      </c>
      <c r="C770" t="s">
        <v>1634</v>
      </c>
      <c r="D770" t="s">
        <v>1549</v>
      </c>
      <c r="E770">
        <v>140</v>
      </c>
      <c r="F770" t="s">
        <v>2449</v>
      </c>
      <c r="G770">
        <v>140</v>
      </c>
      <c r="H770">
        <v>234.87090000000001</v>
      </c>
      <c r="N770">
        <v>234.87090000000001</v>
      </c>
      <c r="O770" s="1">
        <v>45150</v>
      </c>
      <c r="P770">
        <f>IF(ISBLANK(ReconciliationData[[#This Row],[Invoice_ID]]),1,0)</f>
        <v>0</v>
      </c>
      <c r="Q770">
        <f>IF(AND(NOT(ISBLANK(ReconciliationData[[#This Row],[Billed_Units]])),ReconciliationData[[#This Row],[ordered_units]]&lt;&gt;ReconciliationData[[#This Row],[Billed_Units]]),1,0)</f>
        <v>0</v>
      </c>
      <c r="R7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70">
        <f>IF(AND(NOT(ISBLANK(ReconciliationData[[#This Row],[Contract_Price]])),ReconciliationData[[#This Row],[Billed_Price]]&lt;&gt;ReconciliationData[[#This Row],[Contract_Price]]),1,0)</f>
        <v>0</v>
      </c>
      <c r="T770">
        <f>IF(AND(NOT(ISBLANK(ReconciliationData[[#This Row],[End_Date]])),ReconciliationData[[#This Row],[Order_Date]]&gt;ReconciliationData[[#This Row],[End_Date]]),1,0)</f>
        <v>0</v>
      </c>
      <c r="U770">
        <f>IF(AND(NOT(ISBLANK(ReconciliationData[[#This Row],[last_return_date]])),ReconciliationData[[#This Row],[last_return_date]]&gt;ReconciliationData[[#This Row],[Order_Date]]+60),1,0)</f>
        <v>0</v>
      </c>
      <c r="V770">
        <f>IF(ReconciliationData[[#This Row],[total_returned_units]]&gt;ReconciliationData[[#This Row],[ordered_units]],1,0)</f>
        <v>0</v>
      </c>
      <c r="W7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70">
        <f>ReconciliationData[[#This Row],[Billed_Units]]*ReconciliationData[[#This Row],[Billed_Price]]</f>
        <v>32881.925999999999</v>
      </c>
      <c r="Y770">
        <f>ReconciliationData[[#This Row],[ordered_units]]*ReconciliationData[[#This Row],[List_Price]]</f>
        <v>32881.925999999999</v>
      </c>
      <c r="Z770">
        <f>ReconciliationData[[#This Row],[billed_revenue]]-ReconciliationData[[#This Row],[expected_revenue]]</f>
        <v>0</v>
      </c>
      <c r="AA7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70" t="str">
        <f>IF(ReconciliationData[[#This Row],[severity_score]]=0,"LOW",
 IF(ReconciliationData[[#This Row],[severity_score]]&lt;=5,"MEDIUM","HIGH"))</f>
        <v>LOW</v>
      </c>
      <c r="AC770" t="str">
        <f>TEXT(ReconciliationData[[#This Row],[Order_Date]],"YYYY-MM")</f>
        <v>2023-11</v>
      </c>
    </row>
    <row r="771" spans="1:29">
      <c r="A771" t="s">
        <v>2450</v>
      </c>
      <c r="B771" s="1">
        <v>45133</v>
      </c>
      <c r="C771" t="s">
        <v>2451</v>
      </c>
      <c r="D771" t="s">
        <v>345</v>
      </c>
      <c r="E771">
        <v>112</v>
      </c>
      <c r="F771" t="s">
        <v>2452</v>
      </c>
      <c r="G771">
        <v>111</v>
      </c>
      <c r="H771">
        <v>574.77790961140579</v>
      </c>
      <c r="N771">
        <v>574.3415</v>
      </c>
      <c r="O771" s="1">
        <v>44806</v>
      </c>
      <c r="P771">
        <f>IF(ISBLANK(ReconciliationData[[#This Row],[Invoice_ID]]),1,0)</f>
        <v>0</v>
      </c>
      <c r="Q771">
        <f>IF(AND(NOT(ISBLANK(ReconciliationData[[#This Row],[Billed_Units]])),ReconciliationData[[#This Row],[ordered_units]]&lt;&gt;ReconciliationData[[#This Row],[Billed_Units]]),1,0)</f>
        <v>1</v>
      </c>
      <c r="R771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771">
        <f>IF(AND(NOT(ISBLANK(ReconciliationData[[#This Row],[Contract_Price]])),ReconciliationData[[#This Row],[Billed_Price]]&lt;&gt;ReconciliationData[[#This Row],[Contract_Price]]),1,0)</f>
        <v>0</v>
      </c>
      <c r="T771">
        <f>IF(AND(NOT(ISBLANK(ReconciliationData[[#This Row],[End_Date]])),ReconciliationData[[#This Row],[Order_Date]]&gt;ReconciliationData[[#This Row],[End_Date]]),1,0)</f>
        <v>0</v>
      </c>
      <c r="U771">
        <f>IF(AND(NOT(ISBLANK(ReconciliationData[[#This Row],[last_return_date]])),ReconciliationData[[#This Row],[last_return_date]]&gt;ReconciliationData[[#This Row],[Order_Date]]+60),1,0)</f>
        <v>0</v>
      </c>
      <c r="V771">
        <f>IF(ReconciliationData[[#This Row],[total_returned_units]]&gt;ReconciliationData[[#This Row],[ordered_units]],1,0)</f>
        <v>0</v>
      </c>
      <c r="W7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771">
        <f>ReconciliationData[[#This Row],[Billed_Units]]*ReconciliationData[[#This Row],[Billed_Price]]</f>
        <v>63800.347966866044</v>
      </c>
      <c r="Y771">
        <f>ReconciliationData[[#This Row],[ordered_units]]*ReconciliationData[[#This Row],[List_Price]]</f>
        <v>64326.248</v>
      </c>
      <c r="Z771">
        <f>ReconciliationData[[#This Row],[billed_revenue]]-ReconciliationData[[#This Row],[expected_revenue]]</f>
        <v>-525.90003313395573</v>
      </c>
      <c r="AA7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12</v>
      </c>
      <c r="AB771" t="str">
        <f>IF(ReconciliationData[[#This Row],[severity_score]]=0,"LOW",
 IF(ReconciliationData[[#This Row],[severity_score]]&lt;=5,"MEDIUM","HIGH"))</f>
        <v>HIGH</v>
      </c>
      <c r="AC771" t="str">
        <f>TEXT(ReconciliationData[[#This Row],[Order_Date]],"YYYY-MM")</f>
        <v>2023-07</v>
      </c>
    </row>
    <row r="772" spans="1:29">
      <c r="A772" t="s">
        <v>2453</v>
      </c>
      <c r="B772" s="1">
        <v>45513</v>
      </c>
      <c r="C772" t="s">
        <v>650</v>
      </c>
      <c r="D772" t="s">
        <v>166</v>
      </c>
      <c r="E772">
        <v>100</v>
      </c>
      <c r="F772" t="s">
        <v>2454</v>
      </c>
      <c r="G772">
        <v>100</v>
      </c>
      <c r="H772">
        <v>376.82319999999999</v>
      </c>
      <c r="N772">
        <v>376.82319999999999</v>
      </c>
      <c r="O772" s="1">
        <v>45171</v>
      </c>
      <c r="P772">
        <f>IF(ISBLANK(ReconciliationData[[#This Row],[Invoice_ID]]),1,0)</f>
        <v>0</v>
      </c>
      <c r="Q772">
        <f>IF(AND(NOT(ISBLANK(ReconciliationData[[#This Row],[Billed_Units]])),ReconciliationData[[#This Row],[ordered_units]]&lt;&gt;ReconciliationData[[#This Row],[Billed_Units]]),1,0)</f>
        <v>0</v>
      </c>
      <c r="R7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72">
        <f>IF(AND(NOT(ISBLANK(ReconciliationData[[#This Row],[Contract_Price]])),ReconciliationData[[#This Row],[Billed_Price]]&lt;&gt;ReconciliationData[[#This Row],[Contract_Price]]),1,0)</f>
        <v>0</v>
      </c>
      <c r="T772">
        <f>IF(AND(NOT(ISBLANK(ReconciliationData[[#This Row],[End_Date]])),ReconciliationData[[#This Row],[Order_Date]]&gt;ReconciliationData[[#This Row],[End_Date]]),1,0)</f>
        <v>0</v>
      </c>
      <c r="U772">
        <f>IF(AND(NOT(ISBLANK(ReconciliationData[[#This Row],[last_return_date]])),ReconciliationData[[#This Row],[last_return_date]]&gt;ReconciliationData[[#This Row],[Order_Date]]+60),1,0)</f>
        <v>0</v>
      </c>
      <c r="V772">
        <f>IF(ReconciliationData[[#This Row],[total_returned_units]]&gt;ReconciliationData[[#This Row],[ordered_units]],1,0)</f>
        <v>0</v>
      </c>
      <c r="W7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72">
        <f>ReconciliationData[[#This Row],[Billed_Units]]*ReconciliationData[[#This Row],[Billed_Price]]</f>
        <v>37682.32</v>
      </c>
      <c r="Y772">
        <f>ReconciliationData[[#This Row],[ordered_units]]*ReconciliationData[[#This Row],[List_Price]]</f>
        <v>37682.32</v>
      </c>
      <c r="Z772">
        <f>ReconciliationData[[#This Row],[billed_revenue]]-ReconciliationData[[#This Row],[expected_revenue]]</f>
        <v>0</v>
      </c>
      <c r="AA7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72" t="str">
        <f>IF(ReconciliationData[[#This Row],[severity_score]]=0,"LOW",
 IF(ReconciliationData[[#This Row],[severity_score]]&lt;=5,"MEDIUM","HIGH"))</f>
        <v>LOW</v>
      </c>
      <c r="AC772" t="str">
        <f>TEXT(ReconciliationData[[#This Row],[Order_Date]],"YYYY-MM")</f>
        <v>2024-08</v>
      </c>
    </row>
    <row r="773" spans="1:29">
      <c r="A773" t="s">
        <v>2455</v>
      </c>
      <c r="B773" s="1">
        <v>45541</v>
      </c>
      <c r="C773" t="s">
        <v>1679</v>
      </c>
      <c r="D773" t="s">
        <v>158</v>
      </c>
      <c r="E773">
        <v>49</v>
      </c>
      <c r="F773" t="s">
        <v>2456</v>
      </c>
      <c r="G773">
        <v>49</v>
      </c>
      <c r="H773">
        <v>700.93560000000002</v>
      </c>
      <c r="N773">
        <v>700.93560000000002</v>
      </c>
      <c r="O773" s="1">
        <v>45077</v>
      </c>
      <c r="P773">
        <f>IF(ISBLANK(ReconciliationData[[#This Row],[Invoice_ID]]),1,0)</f>
        <v>0</v>
      </c>
      <c r="Q773">
        <f>IF(AND(NOT(ISBLANK(ReconciliationData[[#This Row],[Billed_Units]])),ReconciliationData[[#This Row],[ordered_units]]&lt;&gt;ReconciliationData[[#This Row],[Billed_Units]]),1,0)</f>
        <v>0</v>
      </c>
      <c r="R7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73">
        <f>IF(AND(NOT(ISBLANK(ReconciliationData[[#This Row],[Contract_Price]])),ReconciliationData[[#This Row],[Billed_Price]]&lt;&gt;ReconciliationData[[#This Row],[Contract_Price]]),1,0)</f>
        <v>0</v>
      </c>
      <c r="T773">
        <f>IF(AND(NOT(ISBLANK(ReconciliationData[[#This Row],[End_Date]])),ReconciliationData[[#This Row],[Order_Date]]&gt;ReconciliationData[[#This Row],[End_Date]]),1,0)</f>
        <v>0</v>
      </c>
      <c r="U773">
        <f>IF(AND(NOT(ISBLANK(ReconciliationData[[#This Row],[last_return_date]])),ReconciliationData[[#This Row],[last_return_date]]&gt;ReconciliationData[[#This Row],[Order_Date]]+60),1,0)</f>
        <v>0</v>
      </c>
      <c r="V773">
        <f>IF(ReconciliationData[[#This Row],[total_returned_units]]&gt;ReconciliationData[[#This Row],[ordered_units]],1,0)</f>
        <v>0</v>
      </c>
      <c r="W7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73">
        <f>ReconciliationData[[#This Row],[Billed_Units]]*ReconciliationData[[#This Row],[Billed_Price]]</f>
        <v>34345.844400000002</v>
      </c>
      <c r="Y773">
        <f>ReconciliationData[[#This Row],[ordered_units]]*ReconciliationData[[#This Row],[List_Price]]</f>
        <v>34345.844400000002</v>
      </c>
      <c r="Z773">
        <f>ReconciliationData[[#This Row],[billed_revenue]]-ReconciliationData[[#This Row],[expected_revenue]]</f>
        <v>0</v>
      </c>
      <c r="AA7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73" t="str">
        <f>IF(ReconciliationData[[#This Row],[severity_score]]=0,"LOW",
 IF(ReconciliationData[[#This Row],[severity_score]]&lt;=5,"MEDIUM","HIGH"))</f>
        <v>LOW</v>
      </c>
      <c r="AC773" t="str">
        <f>TEXT(ReconciliationData[[#This Row],[Order_Date]],"YYYY-MM")</f>
        <v>2024-09</v>
      </c>
    </row>
    <row r="774" spans="1:29">
      <c r="A774" t="s">
        <v>2457</v>
      </c>
      <c r="B774" s="1">
        <v>44948</v>
      </c>
      <c r="C774" t="s">
        <v>1308</v>
      </c>
      <c r="D774" t="s">
        <v>325</v>
      </c>
      <c r="E774">
        <v>163</v>
      </c>
      <c r="F774" t="s">
        <v>2458</v>
      </c>
      <c r="G774">
        <v>163</v>
      </c>
      <c r="H774">
        <v>499.27679999999998</v>
      </c>
      <c r="N774">
        <v>499.27679999999998</v>
      </c>
      <c r="O774" s="1">
        <v>44840</v>
      </c>
      <c r="P774">
        <f>IF(ISBLANK(ReconciliationData[[#This Row],[Invoice_ID]]),1,0)</f>
        <v>0</v>
      </c>
      <c r="Q774">
        <f>IF(AND(NOT(ISBLANK(ReconciliationData[[#This Row],[Billed_Units]])),ReconciliationData[[#This Row],[ordered_units]]&lt;&gt;ReconciliationData[[#This Row],[Billed_Units]]),1,0)</f>
        <v>0</v>
      </c>
      <c r="R7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74">
        <f>IF(AND(NOT(ISBLANK(ReconciliationData[[#This Row],[Contract_Price]])),ReconciliationData[[#This Row],[Billed_Price]]&lt;&gt;ReconciliationData[[#This Row],[Contract_Price]]),1,0)</f>
        <v>0</v>
      </c>
      <c r="T774">
        <f>IF(AND(NOT(ISBLANK(ReconciliationData[[#This Row],[End_Date]])),ReconciliationData[[#This Row],[Order_Date]]&gt;ReconciliationData[[#This Row],[End_Date]]),1,0)</f>
        <v>0</v>
      </c>
      <c r="U774">
        <f>IF(AND(NOT(ISBLANK(ReconciliationData[[#This Row],[last_return_date]])),ReconciliationData[[#This Row],[last_return_date]]&gt;ReconciliationData[[#This Row],[Order_Date]]+60),1,0)</f>
        <v>0</v>
      </c>
      <c r="V774">
        <f>IF(ReconciliationData[[#This Row],[total_returned_units]]&gt;ReconciliationData[[#This Row],[ordered_units]],1,0)</f>
        <v>0</v>
      </c>
      <c r="W7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74">
        <f>ReconciliationData[[#This Row],[Billed_Units]]*ReconciliationData[[#This Row],[Billed_Price]]</f>
        <v>81382.118399999992</v>
      </c>
      <c r="Y774">
        <f>ReconciliationData[[#This Row],[ordered_units]]*ReconciliationData[[#This Row],[List_Price]]</f>
        <v>81382.118399999992</v>
      </c>
      <c r="Z774">
        <f>ReconciliationData[[#This Row],[billed_revenue]]-ReconciliationData[[#This Row],[expected_revenue]]</f>
        <v>0</v>
      </c>
      <c r="AA7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74" t="str">
        <f>IF(ReconciliationData[[#This Row],[severity_score]]=0,"LOW",
 IF(ReconciliationData[[#This Row],[severity_score]]&lt;=5,"MEDIUM","HIGH"))</f>
        <v>LOW</v>
      </c>
      <c r="AC774" t="str">
        <f>TEXT(ReconciliationData[[#This Row],[Order_Date]],"YYYY-MM")</f>
        <v>2023-01</v>
      </c>
    </row>
    <row r="775" spans="1:29">
      <c r="A775" t="s">
        <v>2459</v>
      </c>
      <c r="B775" s="1">
        <v>45080</v>
      </c>
      <c r="C775" t="s">
        <v>2460</v>
      </c>
      <c r="D775" t="s">
        <v>1309</v>
      </c>
      <c r="E775">
        <v>126</v>
      </c>
      <c r="F775" t="s">
        <v>2461</v>
      </c>
      <c r="G775">
        <v>126</v>
      </c>
      <c r="H775">
        <v>906.88919999999996</v>
      </c>
      <c r="N775">
        <v>906.88919999999996</v>
      </c>
      <c r="O775" s="1">
        <v>44991</v>
      </c>
      <c r="P775">
        <f>IF(ISBLANK(ReconciliationData[[#This Row],[Invoice_ID]]),1,0)</f>
        <v>0</v>
      </c>
      <c r="Q775">
        <f>IF(AND(NOT(ISBLANK(ReconciliationData[[#This Row],[Billed_Units]])),ReconciliationData[[#This Row],[ordered_units]]&lt;&gt;ReconciliationData[[#This Row],[Billed_Units]]),1,0)</f>
        <v>0</v>
      </c>
      <c r="R7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75">
        <f>IF(AND(NOT(ISBLANK(ReconciliationData[[#This Row],[Contract_Price]])),ReconciliationData[[#This Row],[Billed_Price]]&lt;&gt;ReconciliationData[[#This Row],[Contract_Price]]),1,0)</f>
        <v>0</v>
      </c>
      <c r="T775">
        <f>IF(AND(NOT(ISBLANK(ReconciliationData[[#This Row],[End_Date]])),ReconciliationData[[#This Row],[Order_Date]]&gt;ReconciliationData[[#This Row],[End_Date]]),1,0)</f>
        <v>0</v>
      </c>
      <c r="U775">
        <f>IF(AND(NOT(ISBLANK(ReconciliationData[[#This Row],[last_return_date]])),ReconciliationData[[#This Row],[last_return_date]]&gt;ReconciliationData[[#This Row],[Order_Date]]+60),1,0)</f>
        <v>0</v>
      </c>
      <c r="V775">
        <f>IF(ReconciliationData[[#This Row],[total_returned_units]]&gt;ReconciliationData[[#This Row],[ordered_units]],1,0)</f>
        <v>0</v>
      </c>
      <c r="W7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75">
        <f>ReconciliationData[[#This Row],[Billed_Units]]*ReconciliationData[[#This Row],[Billed_Price]]</f>
        <v>114268.0392</v>
      </c>
      <c r="Y775">
        <f>ReconciliationData[[#This Row],[ordered_units]]*ReconciliationData[[#This Row],[List_Price]]</f>
        <v>114268.0392</v>
      </c>
      <c r="Z775">
        <f>ReconciliationData[[#This Row],[billed_revenue]]-ReconciliationData[[#This Row],[expected_revenue]]</f>
        <v>0</v>
      </c>
      <c r="AA7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75" t="str">
        <f>IF(ReconciliationData[[#This Row],[severity_score]]=0,"LOW",
 IF(ReconciliationData[[#This Row],[severity_score]]&lt;=5,"MEDIUM","HIGH"))</f>
        <v>LOW</v>
      </c>
      <c r="AC775" t="str">
        <f>TEXT(ReconciliationData[[#This Row],[Order_Date]],"YYYY-MM")</f>
        <v>2023-06</v>
      </c>
    </row>
    <row r="776" spans="1:29">
      <c r="A776" t="s">
        <v>2462</v>
      </c>
      <c r="B776" s="1">
        <v>45002</v>
      </c>
      <c r="C776" t="s">
        <v>1212</v>
      </c>
      <c r="D776" t="s">
        <v>212</v>
      </c>
      <c r="E776">
        <v>44</v>
      </c>
      <c r="F776" t="s">
        <v>2463</v>
      </c>
      <c r="G776">
        <v>44</v>
      </c>
      <c r="H776">
        <v>769.91809999999998</v>
      </c>
      <c r="N776">
        <v>769.91809999999998</v>
      </c>
      <c r="O776" s="1">
        <v>44925</v>
      </c>
      <c r="P776">
        <f>IF(ISBLANK(ReconciliationData[[#This Row],[Invoice_ID]]),1,0)</f>
        <v>0</v>
      </c>
      <c r="Q776">
        <f>IF(AND(NOT(ISBLANK(ReconciliationData[[#This Row],[Billed_Units]])),ReconciliationData[[#This Row],[ordered_units]]&lt;&gt;ReconciliationData[[#This Row],[Billed_Units]]),1,0)</f>
        <v>0</v>
      </c>
      <c r="R7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76">
        <f>IF(AND(NOT(ISBLANK(ReconciliationData[[#This Row],[Contract_Price]])),ReconciliationData[[#This Row],[Billed_Price]]&lt;&gt;ReconciliationData[[#This Row],[Contract_Price]]),1,0)</f>
        <v>0</v>
      </c>
      <c r="T776">
        <f>IF(AND(NOT(ISBLANK(ReconciliationData[[#This Row],[End_Date]])),ReconciliationData[[#This Row],[Order_Date]]&gt;ReconciliationData[[#This Row],[End_Date]]),1,0)</f>
        <v>0</v>
      </c>
      <c r="U776">
        <f>IF(AND(NOT(ISBLANK(ReconciliationData[[#This Row],[last_return_date]])),ReconciliationData[[#This Row],[last_return_date]]&gt;ReconciliationData[[#This Row],[Order_Date]]+60),1,0)</f>
        <v>0</v>
      </c>
      <c r="V776">
        <f>IF(ReconciliationData[[#This Row],[total_returned_units]]&gt;ReconciliationData[[#This Row],[ordered_units]],1,0)</f>
        <v>0</v>
      </c>
      <c r="W7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76">
        <f>ReconciliationData[[#This Row],[Billed_Units]]*ReconciliationData[[#This Row],[Billed_Price]]</f>
        <v>33876.396399999998</v>
      </c>
      <c r="Y776">
        <f>ReconciliationData[[#This Row],[ordered_units]]*ReconciliationData[[#This Row],[List_Price]]</f>
        <v>33876.396399999998</v>
      </c>
      <c r="Z776">
        <f>ReconciliationData[[#This Row],[billed_revenue]]-ReconciliationData[[#This Row],[expected_revenue]]</f>
        <v>0</v>
      </c>
      <c r="AA7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76" t="str">
        <f>IF(ReconciliationData[[#This Row],[severity_score]]=0,"LOW",
 IF(ReconciliationData[[#This Row],[severity_score]]&lt;=5,"MEDIUM","HIGH"))</f>
        <v>LOW</v>
      </c>
      <c r="AC776" t="str">
        <f>TEXT(ReconciliationData[[#This Row],[Order_Date]],"YYYY-MM")</f>
        <v>2023-03</v>
      </c>
    </row>
    <row r="777" spans="1:29">
      <c r="A777" t="s">
        <v>2464</v>
      </c>
      <c r="B777" s="1">
        <v>45359</v>
      </c>
      <c r="C777" t="s">
        <v>2186</v>
      </c>
      <c r="D777" t="s">
        <v>356</v>
      </c>
      <c r="E777">
        <v>127</v>
      </c>
      <c r="F777" t="s">
        <v>2465</v>
      </c>
      <c r="G777">
        <v>127</v>
      </c>
      <c r="H777">
        <v>393.40140000000002</v>
      </c>
      <c r="N777">
        <v>393.40140000000002</v>
      </c>
      <c r="O777" s="1">
        <v>45146</v>
      </c>
      <c r="P777">
        <f>IF(ISBLANK(ReconciliationData[[#This Row],[Invoice_ID]]),1,0)</f>
        <v>0</v>
      </c>
      <c r="Q777">
        <f>IF(AND(NOT(ISBLANK(ReconciliationData[[#This Row],[Billed_Units]])),ReconciliationData[[#This Row],[ordered_units]]&lt;&gt;ReconciliationData[[#This Row],[Billed_Units]]),1,0)</f>
        <v>0</v>
      </c>
      <c r="R7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77">
        <f>IF(AND(NOT(ISBLANK(ReconciliationData[[#This Row],[Contract_Price]])),ReconciliationData[[#This Row],[Billed_Price]]&lt;&gt;ReconciliationData[[#This Row],[Contract_Price]]),1,0)</f>
        <v>0</v>
      </c>
      <c r="T777">
        <f>IF(AND(NOT(ISBLANK(ReconciliationData[[#This Row],[End_Date]])),ReconciliationData[[#This Row],[Order_Date]]&gt;ReconciliationData[[#This Row],[End_Date]]),1,0)</f>
        <v>0</v>
      </c>
      <c r="U777">
        <f>IF(AND(NOT(ISBLANK(ReconciliationData[[#This Row],[last_return_date]])),ReconciliationData[[#This Row],[last_return_date]]&gt;ReconciliationData[[#This Row],[Order_Date]]+60),1,0)</f>
        <v>0</v>
      </c>
      <c r="V777">
        <f>IF(ReconciliationData[[#This Row],[total_returned_units]]&gt;ReconciliationData[[#This Row],[ordered_units]],1,0)</f>
        <v>0</v>
      </c>
      <c r="W7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77">
        <f>ReconciliationData[[#This Row],[Billed_Units]]*ReconciliationData[[#This Row],[Billed_Price]]</f>
        <v>49961.977800000001</v>
      </c>
      <c r="Y777">
        <f>ReconciliationData[[#This Row],[ordered_units]]*ReconciliationData[[#This Row],[List_Price]]</f>
        <v>49961.977800000001</v>
      </c>
      <c r="Z777">
        <f>ReconciliationData[[#This Row],[billed_revenue]]-ReconciliationData[[#This Row],[expected_revenue]]</f>
        <v>0</v>
      </c>
      <c r="AA7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77" t="str">
        <f>IF(ReconciliationData[[#This Row],[severity_score]]=0,"LOW",
 IF(ReconciliationData[[#This Row],[severity_score]]&lt;=5,"MEDIUM","HIGH"))</f>
        <v>LOW</v>
      </c>
      <c r="AC777" t="str">
        <f>TEXT(ReconciliationData[[#This Row],[Order_Date]],"YYYY-MM")</f>
        <v>2024-03</v>
      </c>
    </row>
    <row r="778" spans="1:29">
      <c r="A778" t="s">
        <v>2466</v>
      </c>
      <c r="B778" s="1">
        <v>45645</v>
      </c>
      <c r="C778" t="s">
        <v>328</v>
      </c>
      <c r="D778" t="s">
        <v>1209</v>
      </c>
      <c r="E778">
        <v>2</v>
      </c>
      <c r="F778" t="s">
        <v>2467</v>
      </c>
      <c r="G778">
        <v>2</v>
      </c>
      <c r="H778">
        <v>75.847200000000001</v>
      </c>
      <c r="N778">
        <v>75.847200000000001</v>
      </c>
      <c r="O778" s="1">
        <v>45082</v>
      </c>
      <c r="P778">
        <f>IF(ISBLANK(ReconciliationData[[#This Row],[Invoice_ID]]),1,0)</f>
        <v>0</v>
      </c>
      <c r="Q778">
        <f>IF(AND(NOT(ISBLANK(ReconciliationData[[#This Row],[Billed_Units]])),ReconciliationData[[#This Row],[ordered_units]]&lt;&gt;ReconciliationData[[#This Row],[Billed_Units]]),1,0)</f>
        <v>0</v>
      </c>
      <c r="R7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78">
        <f>IF(AND(NOT(ISBLANK(ReconciliationData[[#This Row],[Contract_Price]])),ReconciliationData[[#This Row],[Billed_Price]]&lt;&gt;ReconciliationData[[#This Row],[Contract_Price]]),1,0)</f>
        <v>0</v>
      </c>
      <c r="T778">
        <f>IF(AND(NOT(ISBLANK(ReconciliationData[[#This Row],[End_Date]])),ReconciliationData[[#This Row],[Order_Date]]&gt;ReconciliationData[[#This Row],[End_Date]]),1,0)</f>
        <v>0</v>
      </c>
      <c r="U778">
        <f>IF(AND(NOT(ISBLANK(ReconciliationData[[#This Row],[last_return_date]])),ReconciliationData[[#This Row],[last_return_date]]&gt;ReconciliationData[[#This Row],[Order_Date]]+60),1,0)</f>
        <v>0</v>
      </c>
      <c r="V778">
        <f>IF(ReconciliationData[[#This Row],[total_returned_units]]&gt;ReconciliationData[[#This Row],[ordered_units]],1,0)</f>
        <v>0</v>
      </c>
      <c r="W7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78">
        <f>ReconciliationData[[#This Row],[Billed_Units]]*ReconciliationData[[#This Row],[Billed_Price]]</f>
        <v>151.6944</v>
      </c>
      <c r="Y778">
        <f>ReconciliationData[[#This Row],[ordered_units]]*ReconciliationData[[#This Row],[List_Price]]</f>
        <v>151.6944</v>
      </c>
      <c r="Z778">
        <f>ReconciliationData[[#This Row],[billed_revenue]]-ReconciliationData[[#This Row],[expected_revenue]]</f>
        <v>0</v>
      </c>
      <c r="AA7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78" t="str">
        <f>IF(ReconciliationData[[#This Row],[severity_score]]=0,"LOW",
 IF(ReconciliationData[[#This Row],[severity_score]]&lt;=5,"MEDIUM","HIGH"))</f>
        <v>LOW</v>
      </c>
      <c r="AC778" t="str">
        <f>TEXT(ReconciliationData[[#This Row],[Order_Date]],"YYYY-MM")</f>
        <v>2024-12</v>
      </c>
    </row>
    <row r="779" spans="1:29">
      <c r="A779" t="s">
        <v>2468</v>
      </c>
      <c r="B779" s="1">
        <v>45363</v>
      </c>
      <c r="C779" t="s">
        <v>2401</v>
      </c>
      <c r="D779" t="s">
        <v>1071</v>
      </c>
      <c r="E779">
        <v>92</v>
      </c>
      <c r="F779" t="s">
        <v>2469</v>
      </c>
      <c r="G779">
        <v>92</v>
      </c>
      <c r="H779">
        <v>335.39150000000001</v>
      </c>
      <c r="N779">
        <v>335.39150000000001</v>
      </c>
      <c r="O779" s="1">
        <v>45151</v>
      </c>
      <c r="P779">
        <f>IF(ISBLANK(ReconciliationData[[#This Row],[Invoice_ID]]),1,0)</f>
        <v>0</v>
      </c>
      <c r="Q779">
        <f>IF(AND(NOT(ISBLANK(ReconciliationData[[#This Row],[Billed_Units]])),ReconciliationData[[#This Row],[ordered_units]]&lt;&gt;ReconciliationData[[#This Row],[Billed_Units]]),1,0)</f>
        <v>0</v>
      </c>
      <c r="R7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79">
        <f>IF(AND(NOT(ISBLANK(ReconciliationData[[#This Row],[Contract_Price]])),ReconciliationData[[#This Row],[Billed_Price]]&lt;&gt;ReconciliationData[[#This Row],[Contract_Price]]),1,0)</f>
        <v>0</v>
      </c>
      <c r="T779">
        <f>IF(AND(NOT(ISBLANK(ReconciliationData[[#This Row],[End_Date]])),ReconciliationData[[#This Row],[Order_Date]]&gt;ReconciliationData[[#This Row],[End_Date]]),1,0)</f>
        <v>0</v>
      </c>
      <c r="U779">
        <f>IF(AND(NOT(ISBLANK(ReconciliationData[[#This Row],[last_return_date]])),ReconciliationData[[#This Row],[last_return_date]]&gt;ReconciliationData[[#This Row],[Order_Date]]+60),1,0)</f>
        <v>0</v>
      </c>
      <c r="V779">
        <f>IF(ReconciliationData[[#This Row],[total_returned_units]]&gt;ReconciliationData[[#This Row],[ordered_units]],1,0)</f>
        <v>0</v>
      </c>
      <c r="W7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79">
        <f>ReconciliationData[[#This Row],[Billed_Units]]*ReconciliationData[[#This Row],[Billed_Price]]</f>
        <v>30856.018</v>
      </c>
      <c r="Y779">
        <f>ReconciliationData[[#This Row],[ordered_units]]*ReconciliationData[[#This Row],[List_Price]]</f>
        <v>30856.018</v>
      </c>
      <c r="Z779">
        <f>ReconciliationData[[#This Row],[billed_revenue]]-ReconciliationData[[#This Row],[expected_revenue]]</f>
        <v>0</v>
      </c>
      <c r="AA7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79" t="str">
        <f>IF(ReconciliationData[[#This Row],[severity_score]]=0,"LOW",
 IF(ReconciliationData[[#This Row],[severity_score]]&lt;=5,"MEDIUM","HIGH"))</f>
        <v>LOW</v>
      </c>
      <c r="AC779" t="str">
        <f>TEXT(ReconciliationData[[#This Row],[Order_Date]],"YYYY-MM")</f>
        <v>2024-03</v>
      </c>
    </row>
    <row r="780" spans="1:29">
      <c r="A780" t="s">
        <v>2470</v>
      </c>
      <c r="B780" s="1">
        <v>45197</v>
      </c>
      <c r="C780" t="s">
        <v>1621</v>
      </c>
      <c r="D780" t="s">
        <v>2471</v>
      </c>
      <c r="E780">
        <v>56</v>
      </c>
      <c r="F780" t="s">
        <v>2472</v>
      </c>
      <c r="G780">
        <v>56</v>
      </c>
      <c r="H780">
        <v>1066.4874</v>
      </c>
      <c r="N780">
        <v>1066.4874</v>
      </c>
      <c r="O780" s="1">
        <v>45077</v>
      </c>
      <c r="P780">
        <f>IF(ISBLANK(ReconciliationData[[#This Row],[Invoice_ID]]),1,0)</f>
        <v>0</v>
      </c>
      <c r="Q780">
        <f>IF(AND(NOT(ISBLANK(ReconciliationData[[#This Row],[Billed_Units]])),ReconciliationData[[#This Row],[ordered_units]]&lt;&gt;ReconciliationData[[#This Row],[Billed_Units]]),1,0)</f>
        <v>0</v>
      </c>
      <c r="R7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0">
        <f>IF(AND(NOT(ISBLANK(ReconciliationData[[#This Row],[Contract_Price]])),ReconciliationData[[#This Row],[Billed_Price]]&lt;&gt;ReconciliationData[[#This Row],[Contract_Price]]),1,0)</f>
        <v>0</v>
      </c>
      <c r="T780">
        <f>IF(AND(NOT(ISBLANK(ReconciliationData[[#This Row],[End_Date]])),ReconciliationData[[#This Row],[Order_Date]]&gt;ReconciliationData[[#This Row],[End_Date]]),1,0)</f>
        <v>0</v>
      </c>
      <c r="U780">
        <f>IF(AND(NOT(ISBLANK(ReconciliationData[[#This Row],[last_return_date]])),ReconciliationData[[#This Row],[last_return_date]]&gt;ReconciliationData[[#This Row],[Order_Date]]+60),1,0)</f>
        <v>0</v>
      </c>
      <c r="V780">
        <f>IF(ReconciliationData[[#This Row],[total_returned_units]]&gt;ReconciliationData[[#This Row],[ordered_units]],1,0)</f>
        <v>0</v>
      </c>
      <c r="W7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0">
        <f>ReconciliationData[[#This Row],[Billed_Units]]*ReconciliationData[[#This Row],[Billed_Price]]</f>
        <v>59723.294399999999</v>
      </c>
      <c r="Y780">
        <f>ReconciliationData[[#This Row],[ordered_units]]*ReconciliationData[[#This Row],[List_Price]]</f>
        <v>59723.294399999999</v>
      </c>
      <c r="Z780">
        <f>ReconciliationData[[#This Row],[billed_revenue]]-ReconciliationData[[#This Row],[expected_revenue]]</f>
        <v>0</v>
      </c>
      <c r="AA7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0" t="str">
        <f>IF(ReconciliationData[[#This Row],[severity_score]]=0,"LOW",
 IF(ReconciliationData[[#This Row],[severity_score]]&lt;=5,"MEDIUM","HIGH"))</f>
        <v>LOW</v>
      </c>
      <c r="AC780" t="str">
        <f>TEXT(ReconciliationData[[#This Row],[Order_Date]],"YYYY-MM")</f>
        <v>2023-09</v>
      </c>
    </row>
    <row r="781" spans="1:29">
      <c r="A781" t="s">
        <v>2473</v>
      </c>
      <c r="B781" s="1">
        <v>45447</v>
      </c>
      <c r="C781" t="s">
        <v>888</v>
      </c>
      <c r="D781" t="s">
        <v>674</v>
      </c>
      <c r="E781">
        <v>117</v>
      </c>
      <c r="F781" t="s">
        <v>2474</v>
      </c>
      <c r="G781">
        <v>117</v>
      </c>
      <c r="H781">
        <v>1061.7264</v>
      </c>
      <c r="N781">
        <v>1061.7264</v>
      </c>
      <c r="O781" s="1">
        <v>45180</v>
      </c>
      <c r="P781">
        <f>IF(ISBLANK(ReconciliationData[[#This Row],[Invoice_ID]]),1,0)</f>
        <v>0</v>
      </c>
      <c r="Q781">
        <f>IF(AND(NOT(ISBLANK(ReconciliationData[[#This Row],[Billed_Units]])),ReconciliationData[[#This Row],[ordered_units]]&lt;&gt;ReconciliationData[[#This Row],[Billed_Units]]),1,0)</f>
        <v>0</v>
      </c>
      <c r="R7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1">
        <f>IF(AND(NOT(ISBLANK(ReconciliationData[[#This Row],[Contract_Price]])),ReconciliationData[[#This Row],[Billed_Price]]&lt;&gt;ReconciliationData[[#This Row],[Contract_Price]]),1,0)</f>
        <v>0</v>
      </c>
      <c r="T781">
        <f>IF(AND(NOT(ISBLANK(ReconciliationData[[#This Row],[End_Date]])),ReconciliationData[[#This Row],[Order_Date]]&gt;ReconciliationData[[#This Row],[End_Date]]),1,0)</f>
        <v>0</v>
      </c>
      <c r="U781">
        <f>IF(AND(NOT(ISBLANK(ReconciliationData[[#This Row],[last_return_date]])),ReconciliationData[[#This Row],[last_return_date]]&gt;ReconciliationData[[#This Row],[Order_Date]]+60),1,0)</f>
        <v>0</v>
      </c>
      <c r="V781">
        <f>IF(ReconciliationData[[#This Row],[total_returned_units]]&gt;ReconciliationData[[#This Row],[ordered_units]],1,0)</f>
        <v>0</v>
      </c>
      <c r="W7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1">
        <f>ReconciliationData[[#This Row],[Billed_Units]]*ReconciliationData[[#This Row],[Billed_Price]]</f>
        <v>124221.98880000001</v>
      </c>
      <c r="Y781">
        <f>ReconciliationData[[#This Row],[ordered_units]]*ReconciliationData[[#This Row],[List_Price]]</f>
        <v>124221.98880000001</v>
      </c>
      <c r="Z781">
        <f>ReconciliationData[[#This Row],[billed_revenue]]-ReconciliationData[[#This Row],[expected_revenue]]</f>
        <v>0</v>
      </c>
      <c r="AA7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1" t="str">
        <f>IF(ReconciliationData[[#This Row],[severity_score]]=0,"LOW",
 IF(ReconciliationData[[#This Row],[severity_score]]&lt;=5,"MEDIUM","HIGH"))</f>
        <v>LOW</v>
      </c>
      <c r="AC781" t="str">
        <f>TEXT(ReconciliationData[[#This Row],[Order_Date]],"YYYY-MM")</f>
        <v>2024-06</v>
      </c>
    </row>
    <row r="782" spans="1:29">
      <c r="A782" t="s">
        <v>2475</v>
      </c>
      <c r="B782" s="1">
        <v>45040</v>
      </c>
      <c r="C782" t="s">
        <v>1545</v>
      </c>
      <c r="D782" t="s">
        <v>2444</v>
      </c>
      <c r="E782">
        <v>46</v>
      </c>
      <c r="F782" t="s">
        <v>2476</v>
      </c>
      <c r="G782">
        <v>46</v>
      </c>
      <c r="H782">
        <v>852.48720000000014</v>
      </c>
      <c r="N782">
        <v>852.48720000000014</v>
      </c>
      <c r="O782" s="1">
        <v>44983</v>
      </c>
      <c r="P782">
        <f>IF(ISBLANK(ReconciliationData[[#This Row],[Invoice_ID]]),1,0)</f>
        <v>0</v>
      </c>
      <c r="Q782">
        <f>IF(AND(NOT(ISBLANK(ReconciliationData[[#This Row],[Billed_Units]])),ReconciliationData[[#This Row],[ordered_units]]&lt;&gt;ReconciliationData[[#This Row],[Billed_Units]]),1,0)</f>
        <v>0</v>
      </c>
      <c r="R7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2">
        <f>IF(AND(NOT(ISBLANK(ReconciliationData[[#This Row],[Contract_Price]])),ReconciliationData[[#This Row],[Billed_Price]]&lt;&gt;ReconciliationData[[#This Row],[Contract_Price]]),1,0)</f>
        <v>0</v>
      </c>
      <c r="T782">
        <f>IF(AND(NOT(ISBLANK(ReconciliationData[[#This Row],[End_Date]])),ReconciliationData[[#This Row],[Order_Date]]&gt;ReconciliationData[[#This Row],[End_Date]]),1,0)</f>
        <v>0</v>
      </c>
      <c r="U782">
        <f>IF(AND(NOT(ISBLANK(ReconciliationData[[#This Row],[last_return_date]])),ReconciliationData[[#This Row],[last_return_date]]&gt;ReconciliationData[[#This Row],[Order_Date]]+60),1,0)</f>
        <v>0</v>
      </c>
      <c r="V782">
        <f>IF(ReconciliationData[[#This Row],[total_returned_units]]&gt;ReconciliationData[[#This Row],[ordered_units]],1,0)</f>
        <v>0</v>
      </c>
      <c r="W7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2">
        <f>ReconciliationData[[#This Row],[Billed_Units]]*ReconciliationData[[#This Row],[Billed_Price]]</f>
        <v>39214.41120000001</v>
      </c>
      <c r="Y782">
        <f>ReconciliationData[[#This Row],[ordered_units]]*ReconciliationData[[#This Row],[List_Price]]</f>
        <v>39214.41120000001</v>
      </c>
      <c r="Z782">
        <f>ReconciliationData[[#This Row],[billed_revenue]]-ReconciliationData[[#This Row],[expected_revenue]]</f>
        <v>0</v>
      </c>
      <c r="AA7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2" t="str">
        <f>IF(ReconciliationData[[#This Row],[severity_score]]=0,"LOW",
 IF(ReconciliationData[[#This Row],[severity_score]]&lt;=5,"MEDIUM","HIGH"))</f>
        <v>LOW</v>
      </c>
      <c r="AC782" t="str">
        <f>TEXT(ReconciliationData[[#This Row],[Order_Date]],"YYYY-MM")</f>
        <v>2023-04</v>
      </c>
    </row>
    <row r="783" spans="1:29">
      <c r="A783" t="s">
        <v>2477</v>
      </c>
      <c r="B783" s="1">
        <v>45458</v>
      </c>
      <c r="C783" t="s">
        <v>2478</v>
      </c>
      <c r="D783" t="s">
        <v>2064</v>
      </c>
      <c r="E783">
        <v>23</v>
      </c>
      <c r="F783" t="s">
        <v>2479</v>
      </c>
      <c r="G783">
        <v>23</v>
      </c>
      <c r="H783">
        <v>251.7122</v>
      </c>
      <c r="N783">
        <v>251.7122</v>
      </c>
      <c r="O783" s="1">
        <v>45088</v>
      </c>
      <c r="P783">
        <f>IF(ISBLANK(ReconciliationData[[#This Row],[Invoice_ID]]),1,0)</f>
        <v>0</v>
      </c>
      <c r="Q783">
        <f>IF(AND(NOT(ISBLANK(ReconciliationData[[#This Row],[Billed_Units]])),ReconciliationData[[#This Row],[ordered_units]]&lt;&gt;ReconciliationData[[#This Row],[Billed_Units]]),1,0)</f>
        <v>0</v>
      </c>
      <c r="R7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3">
        <f>IF(AND(NOT(ISBLANK(ReconciliationData[[#This Row],[Contract_Price]])),ReconciliationData[[#This Row],[Billed_Price]]&lt;&gt;ReconciliationData[[#This Row],[Contract_Price]]),1,0)</f>
        <v>0</v>
      </c>
      <c r="T783">
        <f>IF(AND(NOT(ISBLANK(ReconciliationData[[#This Row],[End_Date]])),ReconciliationData[[#This Row],[Order_Date]]&gt;ReconciliationData[[#This Row],[End_Date]]),1,0)</f>
        <v>0</v>
      </c>
      <c r="U783">
        <f>IF(AND(NOT(ISBLANK(ReconciliationData[[#This Row],[last_return_date]])),ReconciliationData[[#This Row],[last_return_date]]&gt;ReconciliationData[[#This Row],[Order_Date]]+60),1,0)</f>
        <v>0</v>
      </c>
      <c r="V783">
        <f>IF(ReconciliationData[[#This Row],[total_returned_units]]&gt;ReconciliationData[[#This Row],[ordered_units]],1,0)</f>
        <v>0</v>
      </c>
      <c r="W7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3">
        <f>ReconciliationData[[#This Row],[Billed_Units]]*ReconciliationData[[#This Row],[Billed_Price]]</f>
        <v>5789.3805999999995</v>
      </c>
      <c r="Y783">
        <f>ReconciliationData[[#This Row],[ordered_units]]*ReconciliationData[[#This Row],[List_Price]]</f>
        <v>5789.3805999999995</v>
      </c>
      <c r="Z783">
        <f>ReconciliationData[[#This Row],[billed_revenue]]-ReconciliationData[[#This Row],[expected_revenue]]</f>
        <v>0</v>
      </c>
      <c r="AA7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3" t="str">
        <f>IF(ReconciliationData[[#This Row],[severity_score]]=0,"LOW",
 IF(ReconciliationData[[#This Row],[severity_score]]&lt;=5,"MEDIUM","HIGH"))</f>
        <v>LOW</v>
      </c>
      <c r="AC783" t="str">
        <f>TEXT(ReconciliationData[[#This Row],[Order_Date]],"YYYY-MM")</f>
        <v>2024-06</v>
      </c>
    </row>
    <row r="784" spans="1:29">
      <c r="A784" t="s">
        <v>2480</v>
      </c>
      <c r="B784" s="1">
        <v>45571</v>
      </c>
      <c r="C784" t="s">
        <v>1053</v>
      </c>
      <c r="D784" t="s">
        <v>856</v>
      </c>
      <c r="E784">
        <v>7</v>
      </c>
      <c r="F784" t="s">
        <v>2481</v>
      </c>
      <c r="G784">
        <v>7</v>
      </c>
      <c r="H784">
        <v>1195.6769999999999</v>
      </c>
      <c r="N784">
        <v>1195.6769999999999</v>
      </c>
      <c r="O784" s="1">
        <v>45010</v>
      </c>
      <c r="P784">
        <f>IF(ISBLANK(ReconciliationData[[#This Row],[Invoice_ID]]),1,0)</f>
        <v>0</v>
      </c>
      <c r="Q784">
        <f>IF(AND(NOT(ISBLANK(ReconciliationData[[#This Row],[Billed_Units]])),ReconciliationData[[#This Row],[ordered_units]]&lt;&gt;ReconciliationData[[#This Row],[Billed_Units]]),1,0)</f>
        <v>0</v>
      </c>
      <c r="R7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4">
        <f>IF(AND(NOT(ISBLANK(ReconciliationData[[#This Row],[Contract_Price]])),ReconciliationData[[#This Row],[Billed_Price]]&lt;&gt;ReconciliationData[[#This Row],[Contract_Price]]),1,0)</f>
        <v>0</v>
      </c>
      <c r="T784">
        <f>IF(AND(NOT(ISBLANK(ReconciliationData[[#This Row],[End_Date]])),ReconciliationData[[#This Row],[Order_Date]]&gt;ReconciliationData[[#This Row],[End_Date]]),1,0)</f>
        <v>0</v>
      </c>
      <c r="U784">
        <f>IF(AND(NOT(ISBLANK(ReconciliationData[[#This Row],[last_return_date]])),ReconciliationData[[#This Row],[last_return_date]]&gt;ReconciliationData[[#This Row],[Order_Date]]+60),1,0)</f>
        <v>0</v>
      </c>
      <c r="V784">
        <f>IF(ReconciliationData[[#This Row],[total_returned_units]]&gt;ReconciliationData[[#This Row],[ordered_units]],1,0)</f>
        <v>0</v>
      </c>
      <c r="W7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4">
        <f>ReconciliationData[[#This Row],[Billed_Units]]*ReconciliationData[[#This Row],[Billed_Price]]</f>
        <v>8369.7389999999996</v>
      </c>
      <c r="Y784">
        <f>ReconciliationData[[#This Row],[ordered_units]]*ReconciliationData[[#This Row],[List_Price]]</f>
        <v>8369.7389999999996</v>
      </c>
      <c r="Z784">
        <f>ReconciliationData[[#This Row],[billed_revenue]]-ReconciliationData[[#This Row],[expected_revenue]]</f>
        <v>0</v>
      </c>
      <c r="AA7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4" t="str">
        <f>IF(ReconciliationData[[#This Row],[severity_score]]=0,"LOW",
 IF(ReconciliationData[[#This Row],[severity_score]]&lt;=5,"MEDIUM","HIGH"))</f>
        <v>LOW</v>
      </c>
      <c r="AC784" t="str">
        <f>TEXT(ReconciliationData[[#This Row],[Order_Date]],"YYYY-MM")</f>
        <v>2024-10</v>
      </c>
    </row>
    <row r="785" spans="1:29">
      <c r="A785" t="s">
        <v>2482</v>
      </c>
      <c r="B785" s="1">
        <v>45141</v>
      </c>
      <c r="C785" t="s">
        <v>1403</v>
      </c>
      <c r="D785" t="s">
        <v>243</v>
      </c>
      <c r="E785">
        <v>18</v>
      </c>
      <c r="F785" t="s">
        <v>2483</v>
      </c>
      <c r="G785">
        <v>18</v>
      </c>
      <c r="H785">
        <v>126.5656</v>
      </c>
      <c r="N785">
        <v>126.5656</v>
      </c>
      <c r="O785" s="1">
        <v>44947</v>
      </c>
      <c r="P785">
        <f>IF(ISBLANK(ReconciliationData[[#This Row],[Invoice_ID]]),1,0)</f>
        <v>0</v>
      </c>
      <c r="Q785">
        <f>IF(AND(NOT(ISBLANK(ReconciliationData[[#This Row],[Billed_Units]])),ReconciliationData[[#This Row],[ordered_units]]&lt;&gt;ReconciliationData[[#This Row],[Billed_Units]]),1,0)</f>
        <v>0</v>
      </c>
      <c r="R7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5">
        <f>IF(AND(NOT(ISBLANK(ReconciliationData[[#This Row],[Contract_Price]])),ReconciliationData[[#This Row],[Billed_Price]]&lt;&gt;ReconciliationData[[#This Row],[Contract_Price]]),1,0)</f>
        <v>0</v>
      </c>
      <c r="T785">
        <f>IF(AND(NOT(ISBLANK(ReconciliationData[[#This Row],[End_Date]])),ReconciliationData[[#This Row],[Order_Date]]&gt;ReconciliationData[[#This Row],[End_Date]]),1,0)</f>
        <v>0</v>
      </c>
      <c r="U785">
        <f>IF(AND(NOT(ISBLANK(ReconciliationData[[#This Row],[last_return_date]])),ReconciliationData[[#This Row],[last_return_date]]&gt;ReconciliationData[[#This Row],[Order_Date]]+60),1,0)</f>
        <v>0</v>
      </c>
      <c r="V785">
        <f>IF(ReconciliationData[[#This Row],[total_returned_units]]&gt;ReconciliationData[[#This Row],[ordered_units]],1,0)</f>
        <v>0</v>
      </c>
      <c r="W7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5">
        <f>ReconciliationData[[#This Row],[Billed_Units]]*ReconciliationData[[#This Row],[Billed_Price]]</f>
        <v>2278.1808000000001</v>
      </c>
      <c r="Y785">
        <f>ReconciliationData[[#This Row],[ordered_units]]*ReconciliationData[[#This Row],[List_Price]]</f>
        <v>2278.1808000000001</v>
      </c>
      <c r="Z785">
        <f>ReconciliationData[[#This Row],[billed_revenue]]-ReconciliationData[[#This Row],[expected_revenue]]</f>
        <v>0</v>
      </c>
      <c r="AA7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5" t="str">
        <f>IF(ReconciliationData[[#This Row],[severity_score]]=0,"LOW",
 IF(ReconciliationData[[#This Row],[severity_score]]&lt;=5,"MEDIUM","HIGH"))</f>
        <v>LOW</v>
      </c>
      <c r="AC785" t="str">
        <f>TEXT(ReconciliationData[[#This Row],[Order_Date]],"YYYY-MM")</f>
        <v>2023-08</v>
      </c>
    </row>
    <row r="786" spans="1:29">
      <c r="A786" t="s">
        <v>2484</v>
      </c>
      <c r="B786" s="1">
        <v>45479</v>
      </c>
      <c r="C786" t="s">
        <v>2485</v>
      </c>
      <c r="D786" t="s">
        <v>487</v>
      </c>
      <c r="E786">
        <v>90</v>
      </c>
      <c r="F786" t="s">
        <v>2486</v>
      </c>
      <c r="G786">
        <v>90</v>
      </c>
      <c r="H786">
        <v>280.03500000000003</v>
      </c>
      <c r="I786">
        <v>15</v>
      </c>
      <c r="J786" s="1">
        <v>45455</v>
      </c>
      <c r="N786">
        <v>280.03500000000003</v>
      </c>
      <c r="O786" s="1">
        <v>45146</v>
      </c>
      <c r="P786">
        <f>IF(ISBLANK(ReconciliationData[[#This Row],[Invoice_ID]]),1,0)</f>
        <v>0</v>
      </c>
      <c r="Q786">
        <f>IF(AND(NOT(ISBLANK(ReconciliationData[[#This Row],[Billed_Units]])),ReconciliationData[[#This Row],[ordered_units]]&lt;&gt;ReconciliationData[[#This Row],[Billed_Units]]),1,0)</f>
        <v>0</v>
      </c>
      <c r="R7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6">
        <f>IF(AND(NOT(ISBLANK(ReconciliationData[[#This Row],[Contract_Price]])),ReconciliationData[[#This Row],[Billed_Price]]&lt;&gt;ReconciliationData[[#This Row],[Contract_Price]]),1,0)</f>
        <v>0</v>
      </c>
      <c r="T786">
        <f>IF(AND(NOT(ISBLANK(ReconciliationData[[#This Row],[End_Date]])),ReconciliationData[[#This Row],[Order_Date]]&gt;ReconciliationData[[#This Row],[End_Date]]),1,0)</f>
        <v>0</v>
      </c>
      <c r="U786">
        <f>IF(AND(NOT(ISBLANK(ReconciliationData[[#This Row],[last_return_date]])),ReconciliationData[[#This Row],[last_return_date]]&gt;ReconciliationData[[#This Row],[Order_Date]]+60),1,0)</f>
        <v>0</v>
      </c>
      <c r="V786">
        <f>IF(ReconciliationData[[#This Row],[total_returned_units]]&gt;ReconciliationData[[#This Row],[ordered_units]],1,0)</f>
        <v>0</v>
      </c>
      <c r="W7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6">
        <f>ReconciliationData[[#This Row],[Billed_Units]]*ReconciliationData[[#This Row],[Billed_Price]]</f>
        <v>25203.15</v>
      </c>
      <c r="Y786">
        <f>ReconciliationData[[#This Row],[ordered_units]]*ReconciliationData[[#This Row],[List_Price]]</f>
        <v>25203.15</v>
      </c>
      <c r="Z786">
        <f>ReconciliationData[[#This Row],[billed_revenue]]-ReconciliationData[[#This Row],[expected_revenue]]</f>
        <v>0</v>
      </c>
      <c r="AA7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6" t="str">
        <f>IF(ReconciliationData[[#This Row],[severity_score]]=0,"LOW",
 IF(ReconciliationData[[#This Row],[severity_score]]&lt;=5,"MEDIUM","HIGH"))</f>
        <v>LOW</v>
      </c>
      <c r="AC786" t="str">
        <f>TEXT(ReconciliationData[[#This Row],[Order_Date]],"YYYY-MM")</f>
        <v>2024-07</v>
      </c>
    </row>
    <row r="787" spans="1:29">
      <c r="A787" t="s">
        <v>2487</v>
      </c>
      <c r="B787" s="1">
        <v>45375</v>
      </c>
      <c r="C787" t="s">
        <v>2488</v>
      </c>
      <c r="D787" t="s">
        <v>2489</v>
      </c>
      <c r="E787">
        <v>159</v>
      </c>
      <c r="F787" t="s">
        <v>2490</v>
      </c>
      <c r="G787">
        <v>159</v>
      </c>
      <c r="H787">
        <v>544.5</v>
      </c>
      <c r="N787">
        <v>544.5</v>
      </c>
      <c r="O787" s="1">
        <v>45159</v>
      </c>
      <c r="P787">
        <f>IF(ISBLANK(ReconciliationData[[#This Row],[Invoice_ID]]),1,0)</f>
        <v>0</v>
      </c>
      <c r="Q787">
        <f>IF(AND(NOT(ISBLANK(ReconciliationData[[#This Row],[Billed_Units]])),ReconciliationData[[#This Row],[ordered_units]]&lt;&gt;ReconciliationData[[#This Row],[Billed_Units]]),1,0)</f>
        <v>0</v>
      </c>
      <c r="R7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7">
        <f>IF(AND(NOT(ISBLANK(ReconciliationData[[#This Row],[Contract_Price]])),ReconciliationData[[#This Row],[Billed_Price]]&lt;&gt;ReconciliationData[[#This Row],[Contract_Price]]),1,0)</f>
        <v>0</v>
      </c>
      <c r="T787">
        <f>IF(AND(NOT(ISBLANK(ReconciliationData[[#This Row],[End_Date]])),ReconciliationData[[#This Row],[Order_Date]]&gt;ReconciliationData[[#This Row],[End_Date]]),1,0)</f>
        <v>0</v>
      </c>
      <c r="U787">
        <f>IF(AND(NOT(ISBLANK(ReconciliationData[[#This Row],[last_return_date]])),ReconciliationData[[#This Row],[last_return_date]]&gt;ReconciliationData[[#This Row],[Order_Date]]+60),1,0)</f>
        <v>0</v>
      </c>
      <c r="V787">
        <f>IF(ReconciliationData[[#This Row],[total_returned_units]]&gt;ReconciliationData[[#This Row],[ordered_units]],1,0)</f>
        <v>0</v>
      </c>
      <c r="W7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7">
        <f>ReconciliationData[[#This Row],[Billed_Units]]*ReconciliationData[[#This Row],[Billed_Price]]</f>
        <v>86575.5</v>
      </c>
      <c r="Y787">
        <f>ReconciliationData[[#This Row],[ordered_units]]*ReconciliationData[[#This Row],[List_Price]]</f>
        <v>86575.5</v>
      </c>
      <c r="Z787">
        <f>ReconciliationData[[#This Row],[billed_revenue]]-ReconciliationData[[#This Row],[expected_revenue]]</f>
        <v>0</v>
      </c>
      <c r="AA7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7" t="str">
        <f>IF(ReconciliationData[[#This Row],[severity_score]]=0,"LOW",
 IF(ReconciliationData[[#This Row],[severity_score]]&lt;=5,"MEDIUM","HIGH"))</f>
        <v>LOW</v>
      </c>
      <c r="AC787" t="str">
        <f>TEXT(ReconciliationData[[#This Row],[Order_Date]],"YYYY-MM")</f>
        <v>2024-03</v>
      </c>
    </row>
    <row r="788" spans="1:29">
      <c r="A788" t="s">
        <v>2491</v>
      </c>
      <c r="B788" s="1">
        <v>45088</v>
      </c>
      <c r="C788" t="s">
        <v>1731</v>
      </c>
      <c r="D788" t="s">
        <v>969</v>
      </c>
      <c r="E788">
        <v>72</v>
      </c>
      <c r="F788" t="s">
        <v>2492</v>
      </c>
      <c r="G788">
        <v>72</v>
      </c>
      <c r="H788">
        <v>991.99</v>
      </c>
      <c r="N788">
        <v>991.99</v>
      </c>
      <c r="O788" s="1">
        <v>44976</v>
      </c>
      <c r="P788">
        <f>IF(ISBLANK(ReconciliationData[[#This Row],[Invoice_ID]]),1,0)</f>
        <v>0</v>
      </c>
      <c r="Q788">
        <f>IF(AND(NOT(ISBLANK(ReconciliationData[[#This Row],[Billed_Units]])),ReconciliationData[[#This Row],[ordered_units]]&lt;&gt;ReconciliationData[[#This Row],[Billed_Units]]),1,0)</f>
        <v>0</v>
      </c>
      <c r="R7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8">
        <f>IF(AND(NOT(ISBLANK(ReconciliationData[[#This Row],[Contract_Price]])),ReconciliationData[[#This Row],[Billed_Price]]&lt;&gt;ReconciliationData[[#This Row],[Contract_Price]]),1,0)</f>
        <v>0</v>
      </c>
      <c r="T788">
        <f>IF(AND(NOT(ISBLANK(ReconciliationData[[#This Row],[End_Date]])),ReconciliationData[[#This Row],[Order_Date]]&gt;ReconciliationData[[#This Row],[End_Date]]),1,0)</f>
        <v>0</v>
      </c>
      <c r="U788">
        <f>IF(AND(NOT(ISBLANK(ReconciliationData[[#This Row],[last_return_date]])),ReconciliationData[[#This Row],[last_return_date]]&gt;ReconciliationData[[#This Row],[Order_Date]]+60),1,0)</f>
        <v>0</v>
      </c>
      <c r="V788">
        <f>IF(ReconciliationData[[#This Row],[total_returned_units]]&gt;ReconciliationData[[#This Row],[ordered_units]],1,0)</f>
        <v>0</v>
      </c>
      <c r="W7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8">
        <f>ReconciliationData[[#This Row],[Billed_Units]]*ReconciliationData[[#This Row],[Billed_Price]]</f>
        <v>71423.28</v>
      </c>
      <c r="Y788">
        <f>ReconciliationData[[#This Row],[ordered_units]]*ReconciliationData[[#This Row],[List_Price]]</f>
        <v>71423.28</v>
      </c>
      <c r="Z788">
        <f>ReconciliationData[[#This Row],[billed_revenue]]-ReconciliationData[[#This Row],[expected_revenue]]</f>
        <v>0</v>
      </c>
      <c r="AA7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8" t="str">
        <f>IF(ReconciliationData[[#This Row],[severity_score]]=0,"LOW",
 IF(ReconciliationData[[#This Row],[severity_score]]&lt;=5,"MEDIUM","HIGH"))</f>
        <v>LOW</v>
      </c>
      <c r="AC788" t="str">
        <f>TEXT(ReconciliationData[[#This Row],[Order_Date]],"YYYY-MM")</f>
        <v>2023-06</v>
      </c>
    </row>
    <row r="789" spans="1:29">
      <c r="A789" t="s">
        <v>2493</v>
      </c>
      <c r="B789" s="1">
        <v>45286</v>
      </c>
      <c r="C789" t="s">
        <v>2494</v>
      </c>
      <c r="D789" t="s">
        <v>1542</v>
      </c>
      <c r="E789">
        <v>163</v>
      </c>
      <c r="F789" t="s">
        <v>2495</v>
      </c>
      <c r="G789">
        <v>163</v>
      </c>
      <c r="H789">
        <v>402.05340000000001</v>
      </c>
      <c r="N789">
        <v>402.05340000000001</v>
      </c>
      <c r="O789" s="1">
        <v>45214</v>
      </c>
      <c r="P789">
        <f>IF(ISBLANK(ReconciliationData[[#This Row],[Invoice_ID]]),1,0)</f>
        <v>0</v>
      </c>
      <c r="Q789">
        <f>IF(AND(NOT(ISBLANK(ReconciliationData[[#This Row],[Billed_Units]])),ReconciliationData[[#This Row],[ordered_units]]&lt;&gt;ReconciliationData[[#This Row],[Billed_Units]]),1,0)</f>
        <v>0</v>
      </c>
      <c r="R7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89">
        <f>IF(AND(NOT(ISBLANK(ReconciliationData[[#This Row],[Contract_Price]])),ReconciliationData[[#This Row],[Billed_Price]]&lt;&gt;ReconciliationData[[#This Row],[Contract_Price]]),1,0)</f>
        <v>0</v>
      </c>
      <c r="T789">
        <f>IF(AND(NOT(ISBLANK(ReconciliationData[[#This Row],[End_Date]])),ReconciliationData[[#This Row],[Order_Date]]&gt;ReconciliationData[[#This Row],[End_Date]]),1,0)</f>
        <v>0</v>
      </c>
      <c r="U789">
        <f>IF(AND(NOT(ISBLANK(ReconciliationData[[#This Row],[last_return_date]])),ReconciliationData[[#This Row],[last_return_date]]&gt;ReconciliationData[[#This Row],[Order_Date]]+60),1,0)</f>
        <v>0</v>
      </c>
      <c r="V789">
        <f>IF(ReconciliationData[[#This Row],[total_returned_units]]&gt;ReconciliationData[[#This Row],[ordered_units]],1,0)</f>
        <v>0</v>
      </c>
      <c r="W7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89">
        <f>ReconciliationData[[#This Row],[Billed_Units]]*ReconciliationData[[#This Row],[Billed_Price]]</f>
        <v>65534.7042</v>
      </c>
      <c r="Y789">
        <f>ReconciliationData[[#This Row],[ordered_units]]*ReconciliationData[[#This Row],[List_Price]]</f>
        <v>65534.7042</v>
      </c>
      <c r="Z789">
        <f>ReconciliationData[[#This Row],[billed_revenue]]-ReconciliationData[[#This Row],[expected_revenue]]</f>
        <v>0</v>
      </c>
      <c r="AA7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89" t="str">
        <f>IF(ReconciliationData[[#This Row],[severity_score]]=0,"LOW",
 IF(ReconciliationData[[#This Row],[severity_score]]&lt;=5,"MEDIUM","HIGH"))</f>
        <v>LOW</v>
      </c>
      <c r="AC789" t="str">
        <f>TEXT(ReconciliationData[[#This Row],[Order_Date]],"YYYY-MM")</f>
        <v>2023-12</v>
      </c>
    </row>
    <row r="790" spans="1:29">
      <c r="A790" t="s">
        <v>2496</v>
      </c>
      <c r="B790" s="1">
        <v>45266</v>
      </c>
      <c r="C790" t="s">
        <v>2497</v>
      </c>
      <c r="D790" t="s">
        <v>2331</v>
      </c>
      <c r="E790">
        <v>96</v>
      </c>
      <c r="F790" t="s">
        <v>2498</v>
      </c>
      <c r="G790">
        <v>96</v>
      </c>
      <c r="H790">
        <v>983.19460000000004</v>
      </c>
      <c r="I790">
        <v>10</v>
      </c>
      <c r="J790" s="1">
        <v>45465</v>
      </c>
      <c r="N790">
        <v>983.19460000000004</v>
      </c>
      <c r="O790" s="1">
        <v>45142</v>
      </c>
      <c r="P790">
        <f>IF(ISBLANK(ReconciliationData[[#This Row],[Invoice_ID]]),1,0)</f>
        <v>0</v>
      </c>
      <c r="Q790">
        <f>IF(AND(NOT(ISBLANK(ReconciliationData[[#This Row],[Billed_Units]])),ReconciliationData[[#This Row],[ordered_units]]&lt;&gt;ReconciliationData[[#This Row],[Billed_Units]]),1,0)</f>
        <v>0</v>
      </c>
      <c r="R7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0">
        <f>IF(AND(NOT(ISBLANK(ReconciliationData[[#This Row],[Contract_Price]])),ReconciliationData[[#This Row],[Billed_Price]]&lt;&gt;ReconciliationData[[#This Row],[Contract_Price]]),1,0)</f>
        <v>0</v>
      </c>
      <c r="T790">
        <f>IF(AND(NOT(ISBLANK(ReconciliationData[[#This Row],[End_Date]])),ReconciliationData[[#This Row],[Order_Date]]&gt;ReconciliationData[[#This Row],[End_Date]]),1,0)</f>
        <v>0</v>
      </c>
      <c r="U790">
        <f>IF(AND(NOT(ISBLANK(ReconciliationData[[#This Row],[last_return_date]])),ReconciliationData[[#This Row],[last_return_date]]&gt;ReconciliationData[[#This Row],[Order_Date]]+60),1,0)</f>
        <v>1</v>
      </c>
      <c r="V790">
        <f>IF(ReconciliationData[[#This Row],[total_returned_units]]&gt;ReconciliationData[[#This Row],[ordered_units]],1,0)</f>
        <v>0</v>
      </c>
      <c r="W7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790">
        <f>ReconciliationData[[#This Row],[Billed_Units]]*ReconciliationData[[#This Row],[Billed_Price]]</f>
        <v>94386.681600000011</v>
      </c>
      <c r="Y790">
        <f>ReconciliationData[[#This Row],[ordered_units]]*ReconciliationData[[#This Row],[List_Price]]</f>
        <v>94386.681600000011</v>
      </c>
      <c r="Z790">
        <f>ReconciliationData[[#This Row],[billed_revenue]]-ReconciliationData[[#This Row],[expected_revenue]]</f>
        <v>0</v>
      </c>
      <c r="AA7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790" t="str">
        <f>IF(ReconciliationData[[#This Row],[severity_score]]=0,"LOW",
 IF(ReconciliationData[[#This Row],[severity_score]]&lt;=5,"MEDIUM","HIGH"))</f>
        <v>MEDIUM</v>
      </c>
      <c r="AC790" t="str">
        <f>TEXT(ReconciliationData[[#This Row],[Order_Date]],"YYYY-MM")</f>
        <v>2023-12</v>
      </c>
    </row>
    <row r="791" spans="1:29">
      <c r="A791" t="s">
        <v>2499</v>
      </c>
      <c r="B791" s="1">
        <v>45605</v>
      </c>
      <c r="C791" t="s">
        <v>2500</v>
      </c>
      <c r="D791" t="s">
        <v>1848</v>
      </c>
      <c r="E791">
        <v>196</v>
      </c>
      <c r="F791" t="s">
        <v>2501</v>
      </c>
      <c r="G791">
        <v>196</v>
      </c>
      <c r="H791">
        <v>92.962000000000003</v>
      </c>
      <c r="N791">
        <v>92.962000000000003</v>
      </c>
      <c r="O791" s="1">
        <v>45151</v>
      </c>
      <c r="P791">
        <f>IF(ISBLANK(ReconciliationData[[#This Row],[Invoice_ID]]),1,0)</f>
        <v>0</v>
      </c>
      <c r="Q791">
        <f>IF(AND(NOT(ISBLANK(ReconciliationData[[#This Row],[Billed_Units]])),ReconciliationData[[#This Row],[ordered_units]]&lt;&gt;ReconciliationData[[#This Row],[Billed_Units]]),1,0)</f>
        <v>0</v>
      </c>
      <c r="R7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1">
        <f>IF(AND(NOT(ISBLANK(ReconciliationData[[#This Row],[Contract_Price]])),ReconciliationData[[#This Row],[Billed_Price]]&lt;&gt;ReconciliationData[[#This Row],[Contract_Price]]),1,0)</f>
        <v>0</v>
      </c>
      <c r="T791">
        <f>IF(AND(NOT(ISBLANK(ReconciliationData[[#This Row],[End_Date]])),ReconciliationData[[#This Row],[Order_Date]]&gt;ReconciliationData[[#This Row],[End_Date]]),1,0)</f>
        <v>0</v>
      </c>
      <c r="U791">
        <f>IF(AND(NOT(ISBLANK(ReconciliationData[[#This Row],[last_return_date]])),ReconciliationData[[#This Row],[last_return_date]]&gt;ReconciliationData[[#This Row],[Order_Date]]+60),1,0)</f>
        <v>0</v>
      </c>
      <c r="V791">
        <f>IF(ReconciliationData[[#This Row],[total_returned_units]]&gt;ReconciliationData[[#This Row],[ordered_units]],1,0)</f>
        <v>0</v>
      </c>
      <c r="W7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91">
        <f>ReconciliationData[[#This Row],[Billed_Units]]*ReconciliationData[[#This Row],[Billed_Price]]</f>
        <v>18220.552</v>
      </c>
      <c r="Y791">
        <f>ReconciliationData[[#This Row],[ordered_units]]*ReconciliationData[[#This Row],[List_Price]]</f>
        <v>18220.552</v>
      </c>
      <c r="Z791">
        <f>ReconciliationData[[#This Row],[billed_revenue]]-ReconciliationData[[#This Row],[expected_revenue]]</f>
        <v>0</v>
      </c>
      <c r="AA7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91" t="str">
        <f>IF(ReconciliationData[[#This Row],[severity_score]]=0,"LOW",
 IF(ReconciliationData[[#This Row],[severity_score]]&lt;=5,"MEDIUM","HIGH"))</f>
        <v>LOW</v>
      </c>
      <c r="AC791" t="str">
        <f>TEXT(ReconciliationData[[#This Row],[Order_Date]],"YYYY-MM")</f>
        <v>2024-11</v>
      </c>
    </row>
    <row r="792" spans="1:29">
      <c r="A792" t="s">
        <v>2502</v>
      </c>
      <c r="B792" s="1">
        <v>45282</v>
      </c>
      <c r="C792" t="s">
        <v>2503</v>
      </c>
      <c r="D792" t="s">
        <v>764</v>
      </c>
      <c r="E792">
        <v>163</v>
      </c>
      <c r="F792" t="s">
        <v>2504</v>
      </c>
      <c r="G792">
        <v>163</v>
      </c>
      <c r="H792">
        <v>1220.5917999999999</v>
      </c>
      <c r="N792">
        <v>1220.5917999999999</v>
      </c>
      <c r="O792" s="1">
        <v>45153</v>
      </c>
      <c r="P792">
        <f>IF(ISBLANK(ReconciliationData[[#This Row],[Invoice_ID]]),1,0)</f>
        <v>0</v>
      </c>
      <c r="Q792">
        <f>IF(AND(NOT(ISBLANK(ReconciliationData[[#This Row],[Billed_Units]])),ReconciliationData[[#This Row],[ordered_units]]&lt;&gt;ReconciliationData[[#This Row],[Billed_Units]]),1,0)</f>
        <v>0</v>
      </c>
      <c r="R7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2">
        <f>IF(AND(NOT(ISBLANK(ReconciliationData[[#This Row],[Contract_Price]])),ReconciliationData[[#This Row],[Billed_Price]]&lt;&gt;ReconciliationData[[#This Row],[Contract_Price]]),1,0)</f>
        <v>0</v>
      </c>
      <c r="T792">
        <f>IF(AND(NOT(ISBLANK(ReconciliationData[[#This Row],[End_Date]])),ReconciliationData[[#This Row],[Order_Date]]&gt;ReconciliationData[[#This Row],[End_Date]]),1,0)</f>
        <v>0</v>
      </c>
      <c r="U792">
        <f>IF(AND(NOT(ISBLANK(ReconciliationData[[#This Row],[last_return_date]])),ReconciliationData[[#This Row],[last_return_date]]&gt;ReconciliationData[[#This Row],[Order_Date]]+60),1,0)</f>
        <v>0</v>
      </c>
      <c r="V792">
        <f>IF(ReconciliationData[[#This Row],[total_returned_units]]&gt;ReconciliationData[[#This Row],[ordered_units]],1,0)</f>
        <v>0</v>
      </c>
      <c r="W7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92">
        <f>ReconciliationData[[#This Row],[Billed_Units]]*ReconciliationData[[#This Row],[Billed_Price]]</f>
        <v>198956.46339999998</v>
      </c>
      <c r="Y792">
        <f>ReconciliationData[[#This Row],[ordered_units]]*ReconciliationData[[#This Row],[List_Price]]</f>
        <v>198956.46339999998</v>
      </c>
      <c r="Z792">
        <f>ReconciliationData[[#This Row],[billed_revenue]]-ReconciliationData[[#This Row],[expected_revenue]]</f>
        <v>0</v>
      </c>
      <c r="AA7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92" t="str">
        <f>IF(ReconciliationData[[#This Row],[severity_score]]=0,"LOW",
 IF(ReconciliationData[[#This Row],[severity_score]]&lt;=5,"MEDIUM","HIGH"))</f>
        <v>LOW</v>
      </c>
      <c r="AC792" t="str">
        <f>TEXT(ReconciliationData[[#This Row],[Order_Date]],"YYYY-MM")</f>
        <v>2023-12</v>
      </c>
    </row>
    <row r="793" spans="1:29">
      <c r="A793" t="s">
        <v>2505</v>
      </c>
      <c r="B793" s="1">
        <v>45265</v>
      </c>
      <c r="C793" t="s">
        <v>831</v>
      </c>
      <c r="D793" t="s">
        <v>500</v>
      </c>
      <c r="E793">
        <v>198</v>
      </c>
      <c r="F793" t="s">
        <v>2506</v>
      </c>
      <c r="G793">
        <v>198</v>
      </c>
      <c r="H793">
        <v>1086.3648000000001</v>
      </c>
      <c r="N793">
        <v>1086.3648000000001</v>
      </c>
      <c r="O793" s="1">
        <v>44940</v>
      </c>
      <c r="P793">
        <f>IF(ISBLANK(ReconciliationData[[#This Row],[Invoice_ID]]),1,0)</f>
        <v>0</v>
      </c>
      <c r="Q793">
        <f>IF(AND(NOT(ISBLANK(ReconciliationData[[#This Row],[Billed_Units]])),ReconciliationData[[#This Row],[ordered_units]]&lt;&gt;ReconciliationData[[#This Row],[Billed_Units]]),1,0)</f>
        <v>0</v>
      </c>
      <c r="R7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3">
        <f>IF(AND(NOT(ISBLANK(ReconciliationData[[#This Row],[Contract_Price]])),ReconciliationData[[#This Row],[Billed_Price]]&lt;&gt;ReconciliationData[[#This Row],[Contract_Price]]),1,0)</f>
        <v>0</v>
      </c>
      <c r="T793">
        <f>IF(AND(NOT(ISBLANK(ReconciliationData[[#This Row],[End_Date]])),ReconciliationData[[#This Row],[Order_Date]]&gt;ReconciliationData[[#This Row],[End_Date]]),1,0)</f>
        <v>0</v>
      </c>
      <c r="U793">
        <f>IF(AND(NOT(ISBLANK(ReconciliationData[[#This Row],[last_return_date]])),ReconciliationData[[#This Row],[last_return_date]]&gt;ReconciliationData[[#This Row],[Order_Date]]+60),1,0)</f>
        <v>0</v>
      </c>
      <c r="V793">
        <f>IF(ReconciliationData[[#This Row],[total_returned_units]]&gt;ReconciliationData[[#This Row],[ordered_units]],1,0)</f>
        <v>0</v>
      </c>
      <c r="W7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93">
        <f>ReconciliationData[[#This Row],[Billed_Units]]*ReconciliationData[[#This Row],[Billed_Price]]</f>
        <v>215100.2304</v>
      </c>
      <c r="Y793">
        <f>ReconciliationData[[#This Row],[ordered_units]]*ReconciliationData[[#This Row],[List_Price]]</f>
        <v>215100.2304</v>
      </c>
      <c r="Z793">
        <f>ReconciliationData[[#This Row],[billed_revenue]]-ReconciliationData[[#This Row],[expected_revenue]]</f>
        <v>0</v>
      </c>
      <c r="AA7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93" t="str">
        <f>IF(ReconciliationData[[#This Row],[severity_score]]=0,"LOW",
 IF(ReconciliationData[[#This Row],[severity_score]]&lt;=5,"MEDIUM","HIGH"))</f>
        <v>LOW</v>
      </c>
      <c r="AC793" t="str">
        <f>TEXT(ReconciliationData[[#This Row],[Order_Date]],"YYYY-MM")</f>
        <v>2023-12</v>
      </c>
    </row>
    <row r="794" spans="1:29">
      <c r="A794" t="s">
        <v>2507</v>
      </c>
      <c r="B794" s="1">
        <v>45369</v>
      </c>
      <c r="C794" t="s">
        <v>2162</v>
      </c>
      <c r="D794" t="s">
        <v>738</v>
      </c>
      <c r="E794">
        <v>171</v>
      </c>
      <c r="F794" t="s">
        <v>2508</v>
      </c>
      <c r="G794">
        <v>171</v>
      </c>
      <c r="H794">
        <v>664.8768</v>
      </c>
      <c r="N794">
        <v>664.8768</v>
      </c>
      <c r="O794" s="1">
        <v>45116</v>
      </c>
      <c r="P794">
        <f>IF(ISBLANK(ReconciliationData[[#This Row],[Invoice_ID]]),1,0)</f>
        <v>0</v>
      </c>
      <c r="Q794">
        <f>IF(AND(NOT(ISBLANK(ReconciliationData[[#This Row],[Billed_Units]])),ReconciliationData[[#This Row],[ordered_units]]&lt;&gt;ReconciliationData[[#This Row],[Billed_Units]]),1,0)</f>
        <v>0</v>
      </c>
      <c r="R7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4">
        <f>IF(AND(NOT(ISBLANK(ReconciliationData[[#This Row],[Contract_Price]])),ReconciliationData[[#This Row],[Billed_Price]]&lt;&gt;ReconciliationData[[#This Row],[Contract_Price]]),1,0)</f>
        <v>0</v>
      </c>
      <c r="T794">
        <f>IF(AND(NOT(ISBLANK(ReconciliationData[[#This Row],[End_Date]])),ReconciliationData[[#This Row],[Order_Date]]&gt;ReconciliationData[[#This Row],[End_Date]]),1,0)</f>
        <v>0</v>
      </c>
      <c r="U794">
        <f>IF(AND(NOT(ISBLANK(ReconciliationData[[#This Row],[last_return_date]])),ReconciliationData[[#This Row],[last_return_date]]&gt;ReconciliationData[[#This Row],[Order_Date]]+60),1,0)</f>
        <v>0</v>
      </c>
      <c r="V794">
        <f>IF(ReconciliationData[[#This Row],[total_returned_units]]&gt;ReconciliationData[[#This Row],[ordered_units]],1,0)</f>
        <v>0</v>
      </c>
      <c r="W7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94">
        <f>ReconciliationData[[#This Row],[Billed_Units]]*ReconciliationData[[#This Row],[Billed_Price]]</f>
        <v>113693.9328</v>
      </c>
      <c r="Y794">
        <f>ReconciliationData[[#This Row],[ordered_units]]*ReconciliationData[[#This Row],[List_Price]]</f>
        <v>113693.9328</v>
      </c>
      <c r="Z794">
        <f>ReconciliationData[[#This Row],[billed_revenue]]-ReconciliationData[[#This Row],[expected_revenue]]</f>
        <v>0</v>
      </c>
      <c r="AA7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94" t="str">
        <f>IF(ReconciliationData[[#This Row],[severity_score]]=0,"LOW",
 IF(ReconciliationData[[#This Row],[severity_score]]&lt;=5,"MEDIUM","HIGH"))</f>
        <v>LOW</v>
      </c>
      <c r="AC794" t="str">
        <f>TEXT(ReconciliationData[[#This Row],[Order_Date]],"YYYY-MM")</f>
        <v>2024-03</v>
      </c>
    </row>
    <row r="795" spans="1:29">
      <c r="A795" t="s">
        <v>2509</v>
      </c>
      <c r="B795" s="1">
        <v>45239</v>
      </c>
      <c r="C795" t="s">
        <v>634</v>
      </c>
      <c r="D795" t="s">
        <v>1061</v>
      </c>
      <c r="E795">
        <v>18</v>
      </c>
      <c r="F795" t="s">
        <v>2510</v>
      </c>
      <c r="G795">
        <v>18</v>
      </c>
      <c r="H795">
        <v>79.105599999999995</v>
      </c>
      <c r="N795">
        <v>79.105599999999995</v>
      </c>
      <c r="O795" s="1">
        <v>45204</v>
      </c>
      <c r="P795">
        <f>IF(ISBLANK(ReconciliationData[[#This Row],[Invoice_ID]]),1,0)</f>
        <v>0</v>
      </c>
      <c r="Q795">
        <f>IF(AND(NOT(ISBLANK(ReconciliationData[[#This Row],[Billed_Units]])),ReconciliationData[[#This Row],[ordered_units]]&lt;&gt;ReconciliationData[[#This Row],[Billed_Units]]),1,0)</f>
        <v>0</v>
      </c>
      <c r="R7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5">
        <f>IF(AND(NOT(ISBLANK(ReconciliationData[[#This Row],[Contract_Price]])),ReconciliationData[[#This Row],[Billed_Price]]&lt;&gt;ReconciliationData[[#This Row],[Contract_Price]]),1,0)</f>
        <v>0</v>
      </c>
      <c r="T795">
        <f>IF(AND(NOT(ISBLANK(ReconciliationData[[#This Row],[End_Date]])),ReconciliationData[[#This Row],[Order_Date]]&gt;ReconciliationData[[#This Row],[End_Date]]),1,0)</f>
        <v>0</v>
      </c>
      <c r="U795">
        <f>IF(AND(NOT(ISBLANK(ReconciliationData[[#This Row],[last_return_date]])),ReconciliationData[[#This Row],[last_return_date]]&gt;ReconciliationData[[#This Row],[Order_Date]]+60),1,0)</f>
        <v>0</v>
      </c>
      <c r="V795">
        <f>IF(ReconciliationData[[#This Row],[total_returned_units]]&gt;ReconciliationData[[#This Row],[ordered_units]],1,0)</f>
        <v>0</v>
      </c>
      <c r="W7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95">
        <f>ReconciliationData[[#This Row],[Billed_Units]]*ReconciliationData[[#This Row],[Billed_Price]]</f>
        <v>1423.9007999999999</v>
      </c>
      <c r="Y795">
        <f>ReconciliationData[[#This Row],[ordered_units]]*ReconciliationData[[#This Row],[List_Price]]</f>
        <v>1423.9007999999999</v>
      </c>
      <c r="Z795">
        <f>ReconciliationData[[#This Row],[billed_revenue]]-ReconciliationData[[#This Row],[expected_revenue]]</f>
        <v>0</v>
      </c>
      <c r="AA7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95" t="str">
        <f>IF(ReconciliationData[[#This Row],[severity_score]]=0,"LOW",
 IF(ReconciliationData[[#This Row],[severity_score]]&lt;=5,"MEDIUM","HIGH"))</f>
        <v>LOW</v>
      </c>
      <c r="AC795" t="str">
        <f>TEXT(ReconciliationData[[#This Row],[Order_Date]],"YYYY-MM")</f>
        <v>2023-11</v>
      </c>
    </row>
    <row r="796" spans="1:29">
      <c r="A796" t="s">
        <v>2511</v>
      </c>
      <c r="B796" s="1">
        <v>45105</v>
      </c>
      <c r="C796" t="s">
        <v>673</v>
      </c>
      <c r="D796" t="s">
        <v>548</v>
      </c>
      <c r="E796">
        <v>36</v>
      </c>
      <c r="F796" t="s">
        <v>2512</v>
      </c>
      <c r="G796">
        <v>36</v>
      </c>
      <c r="H796">
        <v>1072.1079000000002</v>
      </c>
      <c r="N796">
        <v>1072.1079000000002</v>
      </c>
      <c r="O796" s="1">
        <v>45035</v>
      </c>
      <c r="P796">
        <f>IF(ISBLANK(ReconciliationData[[#This Row],[Invoice_ID]]),1,0)</f>
        <v>0</v>
      </c>
      <c r="Q796">
        <f>IF(AND(NOT(ISBLANK(ReconciliationData[[#This Row],[Billed_Units]])),ReconciliationData[[#This Row],[ordered_units]]&lt;&gt;ReconciliationData[[#This Row],[Billed_Units]]),1,0)</f>
        <v>0</v>
      </c>
      <c r="R7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6">
        <f>IF(AND(NOT(ISBLANK(ReconciliationData[[#This Row],[Contract_Price]])),ReconciliationData[[#This Row],[Billed_Price]]&lt;&gt;ReconciliationData[[#This Row],[Contract_Price]]),1,0)</f>
        <v>0</v>
      </c>
      <c r="T796">
        <f>IF(AND(NOT(ISBLANK(ReconciliationData[[#This Row],[End_Date]])),ReconciliationData[[#This Row],[Order_Date]]&gt;ReconciliationData[[#This Row],[End_Date]]),1,0)</f>
        <v>0</v>
      </c>
      <c r="U796">
        <f>IF(AND(NOT(ISBLANK(ReconciliationData[[#This Row],[last_return_date]])),ReconciliationData[[#This Row],[last_return_date]]&gt;ReconciliationData[[#This Row],[Order_Date]]+60),1,0)</f>
        <v>0</v>
      </c>
      <c r="V796">
        <f>IF(ReconciliationData[[#This Row],[total_returned_units]]&gt;ReconciliationData[[#This Row],[ordered_units]],1,0)</f>
        <v>0</v>
      </c>
      <c r="W7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96">
        <f>ReconciliationData[[#This Row],[Billed_Units]]*ReconciliationData[[#This Row],[Billed_Price]]</f>
        <v>38595.88440000001</v>
      </c>
      <c r="Y796">
        <f>ReconciliationData[[#This Row],[ordered_units]]*ReconciliationData[[#This Row],[List_Price]]</f>
        <v>38595.88440000001</v>
      </c>
      <c r="Z796">
        <f>ReconciliationData[[#This Row],[billed_revenue]]-ReconciliationData[[#This Row],[expected_revenue]]</f>
        <v>0</v>
      </c>
      <c r="AA7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96" t="str">
        <f>IF(ReconciliationData[[#This Row],[severity_score]]=0,"LOW",
 IF(ReconciliationData[[#This Row],[severity_score]]&lt;=5,"MEDIUM","HIGH"))</f>
        <v>LOW</v>
      </c>
      <c r="AC796" t="str">
        <f>TEXT(ReconciliationData[[#This Row],[Order_Date]],"YYYY-MM")</f>
        <v>2023-06</v>
      </c>
    </row>
    <row r="797" spans="1:29">
      <c r="A797" t="s">
        <v>2513</v>
      </c>
      <c r="B797" s="1">
        <v>45352</v>
      </c>
      <c r="C797" t="s">
        <v>1199</v>
      </c>
      <c r="D797" t="s">
        <v>2064</v>
      </c>
      <c r="E797">
        <v>17</v>
      </c>
      <c r="F797" t="s">
        <v>2514</v>
      </c>
      <c r="G797">
        <v>17</v>
      </c>
      <c r="H797">
        <v>251.7122</v>
      </c>
      <c r="N797">
        <v>251.7122</v>
      </c>
      <c r="O797" s="1">
        <v>45088</v>
      </c>
      <c r="P797">
        <f>IF(ISBLANK(ReconciliationData[[#This Row],[Invoice_ID]]),1,0)</f>
        <v>0</v>
      </c>
      <c r="Q797">
        <f>IF(AND(NOT(ISBLANK(ReconciliationData[[#This Row],[Billed_Units]])),ReconciliationData[[#This Row],[ordered_units]]&lt;&gt;ReconciliationData[[#This Row],[Billed_Units]]),1,0)</f>
        <v>0</v>
      </c>
      <c r="R7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7">
        <f>IF(AND(NOT(ISBLANK(ReconciliationData[[#This Row],[Contract_Price]])),ReconciliationData[[#This Row],[Billed_Price]]&lt;&gt;ReconciliationData[[#This Row],[Contract_Price]]),1,0)</f>
        <v>0</v>
      </c>
      <c r="T797">
        <f>IF(AND(NOT(ISBLANK(ReconciliationData[[#This Row],[End_Date]])),ReconciliationData[[#This Row],[Order_Date]]&gt;ReconciliationData[[#This Row],[End_Date]]),1,0)</f>
        <v>0</v>
      </c>
      <c r="U797">
        <f>IF(AND(NOT(ISBLANK(ReconciliationData[[#This Row],[last_return_date]])),ReconciliationData[[#This Row],[last_return_date]]&gt;ReconciliationData[[#This Row],[Order_Date]]+60),1,0)</f>
        <v>0</v>
      </c>
      <c r="V797">
        <f>IF(ReconciliationData[[#This Row],[total_returned_units]]&gt;ReconciliationData[[#This Row],[ordered_units]],1,0)</f>
        <v>0</v>
      </c>
      <c r="W7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97">
        <f>ReconciliationData[[#This Row],[Billed_Units]]*ReconciliationData[[#This Row],[Billed_Price]]</f>
        <v>4279.1073999999999</v>
      </c>
      <c r="Y797">
        <f>ReconciliationData[[#This Row],[ordered_units]]*ReconciliationData[[#This Row],[List_Price]]</f>
        <v>4279.1073999999999</v>
      </c>
      <c r="Z797">
        <f>ReconciliationData[[#This Row],[billed_revenue]]-ReconciliationData[[#This Row],[expected_revenue]]</f>
        <v>0</v>
      </c>
      <c r="AA7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97" t="str">
        <f>IF(ReconciliationData[[#This Row],[severity_score]]=0,"LOW",
 IF(ReconciliationData[[#This Row],[severity_score]]&lt;=5,"MEDIUM","HIGH"))</f>
        <v>LOW</v>
      </c>
      <c r="AC797" t="str">
        <f>TEXT(ReconciliationData[[#This Row],[Order_Date]],"YYYY-MM")</f>
        <v>2024-03</v>
      </c>
    </row>
    <row r="798" spans="1:29">
      <c r="A798" t="s">
        <v>2515</v>
      </c>
      <c r="B798" s="1">
        <v>45221</v>
      </c>
      <c r="C798" t="s">
        <v>1016</v>
      </c>
      <c r="D798" t="s">
        <v>1385</v>
      </c>
      <c r="E798">
        <v>101</v>
      </c>
      <c r="F798" t="s">
        <v>2516</v>
      </c>
      <c r="G798">
        <v>101</v>
      </c>
      <c r="H798">
        <v>296.2912</v>
      </c>
      <c r="N798">
        <v>296.2912</v>
      </c>
      <c r="O798" s="1">
        <v>44921</v>
      </c>
      <c r="P798">
        <f>IF(ISBLANK(ReconciliationData[[#This Row],[Invoice_ID]]),1,0)</f>
        <v>0</v>
      </c>
      <c r="Q798">
        <f>IF(AND(NOT(ISBLANK(ReconciliationData[[#This Row],[Billed_Units]])),ReconciliationData[[#This Row],[ordered_units]]&lt;&gt;ReconciliationData[[#This Row],[Billed_Units]]),1,0)</f>
        <v>0</v>
      </c>
      <c r="R7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8">
        <f>IF(AND(NOT(ISBLANK(ReconciliationData[[#This Row],[Contract_Price]])),ReconciliationData[[#This Row],[Billed_Price]]&lt;&gt;ReconciliationData[[#This Row],[Contract_Price]]),1,0)</f>
        <v>0</v>
      </c>
      <c r="T798">
        <f>IF(AND(NOT(ISBLANK(ReconciliationData[[#This Row],[End_Date]])),ReconciliationData[[#This Row],[Order_Date]]&gt;ReconciliationData[[#This Row],[End_Date]]),1,0)</f>
        <v>0</v>
      </c>
      <c r="U798">
        <f>IF(AND(NOT(ISBLANK(ReconciliationData[[#This Row],[last_return_date]])),ReconciliationData[[#This Row],[last_return_date]]&gt;ReconciliationData[[#This Row],[Order_Date]]+60),1,0)</f>
        <v>0</v>
      </c>
      <c r="V798">
        <f>IF(ReconciliationData[[#This Row],[total_returned_units]]&gt;ReconciliationData[[#This Row],[ordered_units]],1,0)</f>
        <v>0</v>
      </c>
      <c r="W7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98">
        <f>ReconciliationData[[#This Row],[Billed_Units]]*ReconciliationData[[#This Row],[Billed_Price]]</f>
        <v>29925.411199999999</v>
      </c>
      <c r="Y798">
        <f>ReconciliationData[[#This Row],[ordered_units]]*ReconciliationData[[#This Row],[List_Price]]</f>
        <v>29925.411199999999</v>
      </c>
      <c r="Z798">
        <f>ReconciliationData[[#This Row],[billed_revenue]]-ReconciliationData[[#This Row],[expected_revenue]]</f>
        <v>0</v>
      </c>
      <c r="AA7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98" t="str">
        <f>IF(ReconciliationData[[#This Row],[severity_score]]=0,"LOW",
 IF(ReconciliationData[[#This Row],[severity_score]]&lt;=5,"MEDIUM","HIGH"))</f>
        <v>LOW</v>
      </c>
      <c r="AC798" t="str">
        <f>TEXT(ReconciliationData[[#This Row],[Order_Date]],"YYYY-MM")</f>
        <v>2023-10</v>
      </c>
    </row>
    <row r="799" spans="1:29">
      <c r="A799" t="s">
        <v>2517</v>
      </c>
      <c r="B799" s="1">
        <v>45625</v>
      </c>
      <c r="C799" t="s">
        <v>2518</v>
      </c>
      <c r="D799" t="s">
        <v>2489</v>
      </c>
      <c r="E799">
        <v>125</v>
      </c>
      <c r="F799" t="s">
        <v>2519</v>
      </c>
      <c r="G799">
        <v>125</v>
      </c>
      <c r="H799">
        <v>544.5</v>
      </c>
      <c r="N799">
        <v>544.5</v>
      </c>
      <c r="O799" s="1">
        <v>45159</v>
      </c>
      <c r="P799">
        <f>IF(ISBLANK(ReconciliationData[[#This Row],[Invoice_ID]]),1,0)</f>
        <v>0</v>
      </c>
      <c r="Q799">
        <f>IF(AND(NOT(ISBLANK(ReconciliationData[[#This Row],[Billed_Units]])),ReconciliationData[[#This Row],[ordered_units]]&lt;&gt;ReconciliationData[[#This Row],[Billed_Units]]),1,0)</f>
        <v>0</v>
      </c>
      <c r="R7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799">
        <f>IF(AND(NOT(ISBLANK(ReconciliationData[[#This Row],[Contract_Price]])),ReconciliationData[[#This Row],[Billed_Price]]&lt;&gt;ReconciliationData[[#This Row],[Contract_Price]]),1,0)</f>
        <v>0</v>
      </c>
      <c r="T799">
        <f>IF(AND(NOT(ISBLANK(ReconciliationData[[#This Row],[End_Date]])),ReconciliationData[[#This Row],[Order_Date]]&gt;ReconciliationData[[#This Row],[End_Date]]),1,0)</f>
        <v>0</v>
      </c>
      <c r="U799">
        <f>IF(AND(NOT(ISBLANK(ReconciliationData[[#This Row],[last_return_date]])),ReconciliationData[[#This Row],[last_return_date]]&gt;ReconciliationData[[#This Row],[Order_Date]]+60),1,0)</f>
        <v>0</v>
      </c>
      <c r="V799">
        <f>IF(ReconciliationData[[#This Row],[total_returned_units]]&gt;ReconciliationData[[#This Row],[ordered_units]],1,0)</f>
        <v>0</v>
      </c>
      <c r="W7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799">
        <f>ReconciliationData[[#This Row],[Billed_Units]]*ReconciliationData[[#This Row],[Billed_Price]]</f>
        <v>68062.5</v>
      </c>
      <c r="Y799">
        <f>ReconciliationData[[#This Row],[ordered_units]]*ReconciliationData[[#This Row],[List_Price]]</f>
        <v>68062.5</v>
      </c>
      <c r="Z799">
        <f>ReconciliationData[[#This Row],[billed_revenue]]-ReconciliationData[[#This Row],[expected_revenue]]</f>
        <v>0</v>
      </c>
      <c r="AA7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799" t="str">
        <f>IF(ReconciliationData[[#This Row],[severity_score]]=0,"LOW",
 IF(ReconciliationData[[#This Row],[severity_score]]&lt;=5,"MEDIUM","HIGH"))</f>
        <v>LOW</v>
      </c>
      <c r="AC799" t="str">
        <f>TEXT(ReconciliationData[[#This Row],[Order_Date]],"YYYY-MM")</f>
        <v>2024-11</v>
      </c>
    </row>
    <row r="800" spans="1:29">
      <c r="A800" t="s">
        <v>2520</v>
      </c>
      <c r="B800" s="1">
        <v>45519</v>
      </c>
      <c r="C800" t="s">
        <v>1395</v>
      </c>
      <c r="D800" t="s">
        <v>1845</v>
      </c>
      <c r="E800">
        <v>195</v>
      </c>
      <c r="F800" t="s">
        <v>2521</v>
      </c>
      <c r="G800">
        <v>195</v>
      </c>
      <c r="H800">
        <v>901.84500000000003</v>
      </c>
      <c r="N800">
        <v>901.84500000000003</v>
      </c>
      <c r="O800" s="1">
        <v>45216</v>
      </c>
      <c r="P800">
        <f>IF(ISBLANK(ReconciliationData[[#This Row],[Invoice_ID]]),1,0)</f>
        <v>0</v>
      </c>
      <c r="Q800">
        <f>IF(AND(NOT(ISBLANK(ReconciliationData[[#This Row],[Billed_Units]])),ReconciliationData[[#This Row],[ordered_units]]&lt;&gt;ReconciliationData[[#This Row],[Billed_Units]]),1,0)</f>
        <v>0</v>
      </c>
      <c r="R8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0">
        <f>IF(AND(NOT(ISBLANK(ReconciliationData[[#This Row],[Contract_Price]])),ReconciliationData[[#This Row],[Billed_Price]]&lt;&gt;ReconciliationData[[#This Row],[Contract_Price]]),1,0)</f>
        <v>0</v>
      </c>
      <c r="T800">
        <f>IF(AND(NOT(ISBLANK(ReconciliationData[[#This Row],[End_Date]])),ReconciliationData[[#This Row],[Order_Date]]&gt;ReconciliationData[[#This Row],[End_Date]]),1,0)</f>
        <v>0</v>
      </c>
      <c r="U800">
        <f>IF(AND(NOT(ISBLANK(ReconciliationData[[#This Row],[last_return_date]])),ReconciliationData[[#This Row],[last_return_date]]&gt;ReconciliationData[[#This Row],[Order_Date]]+60),1,0)</f>
        <v>0</v>
      </c>
      <c r="V800">
        <f>IF(ReconciliationData[[#This Row],[total_returned_units]]&gt;ReconciliationData[[#This Row],[ordered_units]],1,0)</f>
        <v>0</v>
      </c>
      <c r="W8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00">
        <f>ReconciliationData[[#This Row],[Billed_Units]]*ReconciliationData[[#This Row],[Billed_Price]]</f>
        <v>175859.77499999999</v>
      </c>
      <c r="Y800">
        <f>ReconciliationData[[#This Row],[ordered_units]]*ReconciliationData[[#This Row],[List_Price]]</f>
        <v>175859.77499999999</v>
      </c>
      <c r="Z800">
        <f>ReconciliationData[[#This Row],[billed_revenue]]-ReconciliationData[[#This Row],[expected_revenue]]</f>
        <v>0</v>
      </c>
      <c r="AA8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00" t="str">
        <f>IF(ReconciliationData[[#This Row],[severity_score]]=0,"LOW",
 IF(ReconciliationData[[#This Row],[severity_score]]&lt;=5,"MEDIUM","HIGH"))</f>
        <v>LOW</v>
      </c>
      <c r="AC800" t="str">
        <f>TEXT(ReconciliationData[[#This Row],[Order_Date]],"YYYY-MM")</f>
        <v>2024-08</v>
      </c>
    </row>
    <row r="801" spans="1:29">
      <c r="A801" t="s">
        <v>2522</v>
      </c>
      <c r="B801" s="1">
        <v>45143</v>
      </c>
      <c r="C801" t="s">
        <v>728</v>
      </c>
      <c r="D801" t="s">
        <v>2353</v>
      </c>
      <c r="E801">
        <v>199</v>
      </c>
      <c r="F801" t="s">
        <v>2523</v>
      </c>
      <c r="G801">
        <v>199</v>
      </c>
      <c r="H801">
        <v>358.33919999999995</v>
      </c>
      <c r="N801">
        <v>358.33919999999995</v>
      </c>
      <c r="O801" s="1">
        <v>45108</v>
      </c>
      <c r="P801">
        <f>IF(ISBLANK(ReconciliationData[[#This Row],[Invoice_ID]]),1,0)</f>
        <v>0</v>
      </c>
      <c r="Q801">
        <f>IF(AND(NOT(ISBLANK(ReconciliationData[[#This Row],[Billed_Units]])),ReconciliationData[[#This Row],[ordered_units]]&lt;&gt;ReconciliationData[[#This Row],[Billed_Units]]),1,0)</f>
        <v>0</v>
      </c>
      <c r="R8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1">
        <f>IF(AND(NOT(ISBLANK(ReconciliationData[[#This Row],[Contract_Price]])),ReconciliationData[[#This Row],[Billed_Price]]&lt;&gt;ReconciliationData[[#This Row],[Contract_Price]]),1,0)</f>
        <v>0</v>
      </c>
      <c r="T801">
        <f>IF(AND(NOT(ISBLANK(ReconciliationData[[#This Row],[End_Date]])),ReconciliationData[[#This Row],[Order_Date]]&gt;ReconciliationData[[#This Row],[End_Date]]),1,0)</f>
        <v>0</v>
      </c>
      <c r="U801">
        <f>IF(AND(NOT(ISBLANK(ReconciliationData[[#This Row],[last_return_date]])),ReconciliationData[[#This Row],[last_return_date]]&gt;ReconciliationData[[#This Row],[Order_Date]]+60),1,0)</f>
        <v>0</v>
      </c>
      <c r="V801">
        <f>IF(ReconciliationData[[#This Row],[total_returned_units]]&gt;ReconciliationData[[#This Row],[ordered_units]],1,0)</f>
        <v>0</v>
      </c>
      <c r="W8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01">
        <f>ReconciliationData[[#This Row],[Billed_Units]]*ReconciliationData[[#This Row],[Billed_Price]]</f>
        <v>71309.500799999994</v>
      </c>
      <c r="Y801">
        <f>ReconciliationData[[#This Row],[ordered_units]]*ReconciliationData[[#This Row],[List_Price]]</f>
        <v>71309.500799999994</v>
      </c>
      <c r="Z801">
        <f>ReconciliationData[[#This Row],[billed_revenue]]-ReconciliationData[[#This Row],[expected_revenue]]</f>
        <v>0</v>
      </c>
      <c r="AA8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01" t="str">
        <f>IF(ReconciliationData[[#This Row],[severity_score]]=0,"LOW",
 IF(ReconciliationData[[#This Row],[severity_score]]&lt;=5,"MEDIUM","HIGH"))</f>
        <v>LOW</v>
      </c>
      <c r="AC801" t="str">
        <f>TEXT(ReconciliationData[[#This Row],[Order_Date]],"YYYY-MM")</f>
        <v>2023-08</v>
      </c>
    </row>
    <row r="802" spans="1:29">
      <c r="A802" t="s">
        <v>2524</v>
      </c>
      <c r="B802" s="1">
        <v>45113</v>
      </c>
      <c r="C802" t="s">
        <v>1967</v>
      </c>
      <c r="D802" t="s">
        <v>174</v>
      </c>
      <c r="E802">
        <v>20</v>
      </c>
      <c r="F802" t="s">
        <v>2525</v>
      </c>
      <c r="G802">
        <v>20</v>
      </c>
      <c r="H802">
        <v>461.69279999999998</v>
      </c>
      <c r="N802">
        <v>461.69279999999998</v>
      </c>
      <c r="O802" s="1">
        <v>45031</v>
      </c>
      <c r="P802">
        <f>IF(ISBLANK(ReconciliationData[[#This Row],[Invoice_ID]]),1,0)</f>
        <v>0</v>
      </c>
      <c r="Q802">
        <f>IF(AND(NOT(ISBLANK(ReconciliationData[[#This Row],[Billed_Units]])),ReconciliationData[[#This Row],[ordered_units]]&lt;&gt;ReconciliationData[[#This Row],[Billed_Units]]),1,0)</f>
        <v>0</v>
      </c>
      <c r="R8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2">
        <f>IF(AND(NOT(ISBLANK(ReconciliationData[[#This Row],[Contract_Price]])),ReconciliationData[[#This Row],[Billed_Price]]&lt;&gt;ReconciliationData[[#This Row],[Contract_Price]]),1,0)</f>
        <v>0</v>
      </c>
      <c r="T802">
        <f>IF(AND(NOT(ISBLANK(ReconciliationData[[#This Row],[End_Date]])),ReconciliationData[[#This Row],[Order_Date]]&gt;ReconciliationData[[#This Row],[End_Date]]),1,0)</f>
        <v>0</v>
      </c>
      <c r="U802">
        <f>IF(AND(NOT(ISBLANK(ReconciliationData[[#This Row],[last_return_date]])),ReconciliationData[[#This Row],[last_return_date]]&gt;ReconciliationData[[#This Row],[Order_Date]]+60),1,0)</f>
        <v>0</v>
      </c>
      <c r="V802">
        <f>IF(ReconciliationData[[#This Row],[total_returned_units]]&gt;ReconciliationData[[#This Row],[ordered_units]],1,0)</f>
        <v>0</v>
      </c>
      <c r="W8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02">
        <f>ReconciliationData[[#This Row],[Billed_Units]]*ReconciliationData[[#This Row],[Billed_Price]]</f>
        <v>9233.8559999999998</v>
      </c>
      <c r="Y802">
        <f>ReconciliationData[[#This Row],[ordered_units]]*ReconciliationData[[#This Row],[List_Price]]</f>
        <v>9233.8559999999998</v>
      </c>
      <c r="Z802">
        <f>ReconciliationData[[#This Row],[billed_revenue]]-ReconciliationData[[#This Row],[expected_revenue]]</f>
        <v>0</v>
      </c>
      <c r="AA8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02" t="str">
        <f>IF(ReconciliationData[[#This Row],[severity_score]]=0,"LOW",
 IF(ReconciliationData[[#This Row],[severity_score]]&lt;=5,"MEDIUM","HIGH"))</f>
        <v>LOW</v>
      </c>
      <c r="AC802" t="str">
        <f>TEXT(ReconciliationData[[#This Row],[Order_Date]],"YYYY-MM")</f>
        <v>2023-07</v>
      </c>
    </row>
    <row r="803" spans="1:29">
      <c r="A803" t="s">
        <v>2526</v>
      </c>
      <c r="B803" s="1">
        <v>45642</v>
      </c>
      <c r="C803" t="s">
        <v>603</v>
      </c>
      <c r="D803" t="s">
        <v>753</v>
      </c>
      <c r="E803">
        <v>137</v>
      </c>
      <c r="F803" t="s">
        <v>2527</v>
      </c>
      <c r="G803">
        <v>145</v>
      </c>
      <c r="H803">
        <v>741.88620000000003</v>
      </c>
      <c r="N803">
        <v>741.88620000000003</v>
      </c>
      <c r="O803" s="1">
        <v>44930</v>
      </c>
      <c r="P803">
        <f>IF(ISBLANK(ReconciliationData[[#This Row],[Invoice_ID]]),1,0)</f>
        <v>0</v>
      </c>
      <c r="Q803">
        <f>IF(AND(NOT(ISBLANK(ReconciliationData[[#This Row],[Billed_Units]])),ReconciliationData[[#This Row],[ordered_units]]&lt;&gt;ReconciliationData[[#This Row],[Billed_Units]]),1,0)</f>
        <v>1</v>
      </c>
      <c r="R8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3">
        <f>IF(AND(NOT(ISBLANK(ReconciliationData[[#This Row],[Contract_Price]])),ReconciliationData[[#This Row],[Billed_Price]]&lt;&gt;ReconciliationData[[#This Row],[Contract_Price]]),1,0)</f>
        <v>0</v>
      </c>
      <c r="T803">
        <f>IF(AND(NOT(ISBLANK(ReconciliationData[[#This Row],[End_Date]])),ReconciliationData[[#This Row],[Order_Date]]&gt;ReconciliationData[[#This Row],[End_Date]]),1,0)</f>
        <v>0</v>
      </c>
      <c r="U803">
        <f>IF(AND(NOT(ISBLANK(ReconciliationData[[#This Row],[last_return_date]])),ReconciliationData[[#This Row],[last_return_date]]&gt;ReconciliationData[[#This Row],[Order_Date]]+60),1,0)</f>
        <v>0</v>
      </c>
      <c r="V803">
        <f>IF(ReconciliationData[[#This Row],[total_returned_units]]&gt;ReconciliationData[[#This Row],[ordered_units]],1,0)</f>
        <v>0</v>
      </c>
      <c r="W8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03">
        <f>ReconciliationData[[#This Row],[Billed_Units]]*ReconciliationData[[#This Row],[Billed_Price]]</f>
        <v>107573.49900000001</v>
      </c>
      <c r="Y803">
        <f>ReconciliationData[[#This Row],[ordered_units]]*ReconciliationData[[#This Row],[List_Price]]</f>
        <v>101638.4094</v>
      </c>
      <c r="Z803">
        <f>ReconciliationData[[#This Row],[billed_revenue]]-ReconciliationData[[#This Row],[expected_revenue]]</f>
        <v>5935.0896000000066</v>
      </c>
      <c r="AA8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803" t="str">
        <f>IF(ReconciliationData[[#This Row],[severity_score]]=0,"LOW",
 IF(ReconciliationData[[#This Row],[severity_score]]&lt;=5,"MEDIUM","HIGH"))</f>
        <v>HIGH</v>
      </c>
      <c r="AC803" t="str">
        <f>TEXT(ReconciliationData[[#This Row],[Order_Date]],"YYYY-MM")</f>
        <v>2024-12</v>
      </c>
    </row>
    <row r="804" spans="1:29">
      <c r="A804" t="s">
        <v>2528</v>
      </c>
      <c r="B804" s="1">
        <v>45604</v>
      </c>
      <c r="C804" t="s">
        <v>2091</v>
      </c>
      <c r="D804" t="s">
        <v>1238</v>
      </c>
      <c r="E804">
        <v>9</v>
      </c>
      <c r="F804" t="s">
        <v>2529</v>
      </c>
      <c r="G804">
        <v>9</v>
      </c>
      <c r="H804">
        <v>355.32000000000005</v>
      </c>
      <c r="N804">
        <v>355.32000000000005</v>
      </c>
      <c r="O804" s="1">
        <v>45058</v>
      </c>
      <c r="P804">
        <f>IF(ISBLANK(ReconciliationData[[#This Row],[Invoice_ID]]),1,0)</f>
        <v>0</v>
      </c>
      <c r="Q804">
        <f>IF(AND(NOT(ISBLANK(ReconciliationData[[#This Row],[Billed_Units]])),ReconciliationData[[#This Row],[ordered_units]]&lt;&gt;ReconciliationData[[#This Row],[Billed_Units]]),1,0)</f>
        <v>0</v>
      </c>
      <c r="R8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4">
        <f>IF(AND(NOT(ISBLANK(ReconciliationData[[#This Row],[Contract_Price]])),ReconciliationData[[#This Row],[Billed_Price]]&lt;&gt;ReconciliationData[[#This Row],[Contract_Price]]),1,0)</f>
        <v>0</v>
      </c>
      <c r="T804">
        <f>IF(AND(NOT(ISBLANK(ReconciliationData[[#This Row],[End_Date]])),ReconciliationData[[#This Row],[Order_Date]]&gt;ReconciliationData[[#This Row],[End_Date]]),1,0)</f>
        <v>0</v>
      </c>
      <c r="U804">
        <f>IF(AND(NOT(ISBLANK(ReconciliationData[[#This Row],[last_return_date]])),ReconciliationData[[#This Row],[last_return_date]]&gt;ReconciliationData[[#This Row],[Order_Date]]+60),1,0)</f>
        <v>0</v>
      </c>
      <c r="V804">
        <f>IF(ReconciliationData[[#This Row],[total_returned_units]]&gt;ReconciliationData[[#This Row],[ordered_units]],1,0)</f>
        <v>0</v>
      </c>
      <c r="W8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04">
        <f>ReconciliationData[[#This Row],[Billed_Units]]*ReconciliationData[[#This Row],[Billed_Price]]</f>
        <v>3197.8800000000006</v>
      </c>
      <c r="Y804">
        <f>ReconciliationData[[#This Row],[ordered_units]]*ReconciliationData[[#This Row],[List_Price]]</f>
        <v>3197.8800000000006</v>
      </c>
      <c r="Z804">
        <f>ReconciliationData[[#This Row],[billed_revenue]]-ReconciliationData[[#This Row],[expected_revenue]]</f>
        <v>0</v>
      </c>
      <c r="AA8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04" t="str">
        <f>IF(ReconciliationData[[#This Row],[severity_score]]=0,"LOW",
 IF(ReconciliationData[[#This Row],[severity_score]]&lt;=5,"MEDIUM","HIGH"))</f>
        <v>LOW</v>
      </c>
      <c r="AC804" t="str">
        <f>TEXT(ReconciliationData[[#This Row],[Order_Date]],"YYYY-MM")</f>
        <v>2024-11</v>
      </c>
    </row>
    <row r="805" spans="1:29">
      <c r="A805" t="s">
        <v>2530</v>
      </c>
      <c r="B805" s="1">
        <v>45463</v>
      </c>
      <c r="C805" t="s">
        <v>1444</v>
      </c>
      <c r="D805" t="s">
        <v>973</v>
      </c>
      <c r="E805">
        <v>11</v>
      </c>
      <c r="F805" t="s">
        <v>2531</v>
      </c>
      <c r="G805">
        <v>11</v>
      </c>
      <c r="H805">
        <v>156.37459999999999</v>
      </c>
      <c r="N805">
        <v>156.37459999999999</v>
      </c>
      <c r="O805" s="1">
        <v>45090</v>
      </c>
      <c r="P805">
        <f>IF(ISBLANK(ReconciliationData[[#This Row],[Invoice_ID]]),1,0)</f>
        <v>0</v>
      </c>
      <c r="Q805">
        <f>IF(AND(NOT(ISBLANK(ReconciliationData[[#This Row],[Billed_Units]])),ReconciliationData[[#This Row],[ordered_units]]&lt;&gt;ReconciliationData[[#This Row],[Billed_Units]]),1,0)</f>
        <v>0</v>
      </c>
      <c r="R8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5">
        <f>IF(AND(NOT(ISBLANK(ReconciliationData[[#This Row],[Contract_Price]])),ReconciliationData[[#This Row],[Billed_Price]]&lt;&gt;ReconciliationData[[#This Row],[Contract_Price]]),1,0)</f>
        <v>0</v>
      </c>
      <c r="T805">
        <f>IF(AND(NOT(ISBLANK(ReconciliationData[[#This Row],[End_Date]])),ReconciliationData[[#This Row],[Order_Date]]&gt;ReconciliationData[[#This Row],[End_Date]]),1,0)</f>
        <v>0</v>
      </c>
      <c r="U805">
        <f>IF(AND(NOT(ISBLANK(ReconciliationData[[#This Row],[last_return_date]])),ReconciliationData[[#This Row],[last_return_date]]&gt;ReconciliationData[[#This Row],[Order_Date]]+60),1,0)</f>
        <v>0</v>
      </c>
      <c r="V805">
        <f>IF(ReconciliationData[[#This Row],[total_returned_units]]&gt;ReconciliationData[[#This Row],[ordered_units]],1,0)</f>
        <v>0</v>
      </c>
      <c r="W8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05">
        <f>ReconciliationData[[#This Row],[Billed_Units]]*ReconciliationData[[#This Row],[Billed_Price]]</f>
        <v>1720.1205999999997</v>
      </c>
      <c r="Y805">
        <f>ReconciliationData[[#This Row],[ordered_units]]*ReconciliationData[[#This Row],[List_Price]]</f>
        <v>1720.1205999999997</v>
      </c>
      <c r="Z805">
        <f>ReconciliationData[[#This Row],[billed_revenue]]-ReconciliationData[[#This Row],[expected_revenue]]</f>
        <v>0</v>
      </c>
      <c r="AA8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05" t="str">
        <f>IF(ReconciliationData[[#This Row],[severity_score]]=0,"LOW",
 IF(ReconciliationData[[#This Row],[severity_score]]&lt;=5,"MEDIUM","HIGH"))</f>
        <v>LOW</v>
      </c>
      <c r="AC805" t="str">
        <f>TEXT(ReconciliationData[[#This Row],[Order_Date]],"YYYY-MM")</f>
        <v>2024-06</v>
      </c>
    </row>
    <row r="806" spans="1:29">
      <c r="A806" t="s">
        <v>2532</v>
      </c>
      <c r="B806" s="1">
        <v>44953</v>
      </c>
      <c r="C806" t="s">
        <v>1501</v>
      </c>
      <c r="D806" t="s">
        <v>162</v>
      </c>
      <c r="E806">
        <v>151</v>
      </c>
      <c r="F806" t="s">
        <v>2533</v>
      </c>
      <c r="G806">
        <v>151</v>
      </c>
      <c r="H806">
        <v>563.59040000000005</v>
      </c>
      <c r="N806">
        <v>563.59040000000005</v>
      </c>
      <c r="O806" s="1">
        <v>44835</v>
      </c>
      <c r="P806">
        <f>IF(ISBLANK(ReconciliationData[[#This Row],[Invoice_ID]]),1,0)</f>
        <v>0</v>
      </c>
      <c r="Q806">
        <f>IF(AND(NOT(ISBLANK(ReconciliationData[[#This Row],[Billed_Units]])),ReconciliationData[[#This Row],[ordered_units]]&lt;&gt;ReconciliationData[[#This Row],[Billed_Units]]),1,0)</f>
        <v>0</v>
      </c>
      <c r="R8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6">
        <f>IF(AND(NOT(ISBLANK(ReconciliationData[[#This Row],[Contract_Price]])),ReconciliationData[[#This Row],[Billed_Price]]&lt;&gt;ReconciliationData[[#This Row],[Contract_Price]]),1,0)</f>
        <v>0</v>
      </c>
      <c r="T806">
        <f>IF(AND(NOT(ISBLANK(ReconciliationData[[#This Row],[End_Date]])),ReconciliationData[[#This Row],[Order_Date]]&gt;ReconciliationData[[#This Row],[End_Date]]),1,0)</f>
        <v>0</v>
      </c>
      <c r="U806">
        <f>IF(AND(NOT(ISBLANK(ReconciliationData[[#This Row],[last_return_date]])),ReconciliationData[[#This Row],[last_return_date]]&gt;ReconciliationData[[#This Row],[Order_Date]]+60),1,0)</f>
        <v>0</v>
      </c>
      <c r="V806">
        <f>IF(ReconciliationData[[#This Row],[total_returned_units]]&gt;ReconciliationData[[#This Row],[ordered_units]],1,0)</f>
        <v>0</v>
      </c>
      <c r="W8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06">
        <f>ReconciliationData[[#This Row],[Billed_Units]]*ReconciliationData[[#This Row],[Billed_Price]]</f>
        <v>85102.150400000013</v>
      </c>
      <c r="Y806">
        <f>ReconciliationData[[#This Row],[ordered_units]]*ReconciliationData[[#This Row],[List_Price]]</f>
        <v>85102.150400000013</v>
      </c>
      <c r="Z806">
        <f>ReconciliationData[[#This Row],[billed_revenue]]-ReconciliationData[[#This Row],[expected_revenue]]</f>
        <v>0</v>
      </c>
      <c r="AA8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06" t="str">
        <f>IF(ReconciliationData[[#This Row],[severity_score]]=0,"LOW",
 IF(ReconciliationData[[#This Row],[severity_score]]&lt;=5,"MEDIUM","HIGH"))</f>
        <v>LOW</v>
      </c>
      <c r="AC806" t="str">
        <f>TEXT(ReconciliationData[[#This Row],[Order_Date]],"YYYY-MM")</f>
        <v>2023-01</v>
      </c>
    </row>
    <row r="807" spans="1:29">
      <c r="A807" t="s">
        <v>2534</v>
      </c>
      <c r="B807" s="1">
        <v>45653</v>
      </c>
      <c r="C807" t="s">
        <v>2535</v>
      </c>
      <c r="D807" t="s">
        <v>212</v>
      </c>
      <c r="E807">
        <v>163</v>
      </c>
      <c r="F807" t="s">
        <v>2536</v>
      </c>
      <c r="G807">
        <v>163</v>
      </c>
      <c r="H807">
        <v>833.41650000000004</v>
      </c>
      <c r="N807">
        <v>833.41650000000004</v>
      </c>
      <c r="O807" s="1">
        <v>45194</v>
      </c>
      <c r="P807">
        <f>IF(ISBLANK(ReconciliationData[[#This Row],[Invoice_ID]]),1,0)</f>
        <v>0</v>
      </c>
      <c r="Q807">
        <f>IF(AND(NOT(ISBLANK(ReconciliationData[[#This Row],[Billed_Units]])),ReconciliationData[[#This Row],[ordered_units]]&lt;&gt;ReconciliationData[[#This Row],[Billed_Units]]),1,0)</f>
        <v>0</v>
      </c>
      <c r="R8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7">
        <f>IF(AND(NOT(ISBLANK(ReconciliationData[[#This Row],[Contract_Price]])),ReconciliationData[[#This Row],[Billed_Price]]&lt;&gt;ReconciliationData[[#This Row],[Contract_Price]]),1,0)</f>
        <v>0</v>
      </c>
      <c r="T807">
        <f>IF(AND(NOT(ISBLANK(ReconciliationData[[#This Row],[End_Date]])),ReconciliationData[[#This Row],[Order_Date]]&gt;ReconciliationData[[#This Row],[End_Date]]),1,0)</f>
        <v>0</v>
      </c>
      <c r="U807">
        <f>IF(AND(NOT(ISBLANK(ReconciliationData[[#This Row],[last_return_date]])),ReconciliationData[[#This Row],[last_return_date]]&gt;ReconciliationData[[#This Row],[Order_Date]]+60),1,0)</f>
        <v>0</v>
      </c>
      <c r="V807">
        <f>IF(ReconciliationData[[#This Row],[total_returned_units]]&gt;ReconciliationData[[#This Row],[ordered_units]],1,0)</f>
        <v>0</v>
      </c>
      <c r="W8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07">
        <f>ReconciliationData[[#This Row],[Billed_Units]]*ReconciliationData[[#This Row],[Billed_Price]]</f>
        <v>135846.88950000002</v>
      </c>
      <c r="Y807">
        <f>ReconciliationData[[#This Row],[ordered_units]]*ReconciliationData[[#This Row],[List_Price]]</f>
        <v>135846.88950000002</v>
      </c>
      <c r="Z807">
        <f>ReconciliationData[[#This Row],[billed_revenue]]-ReconciliationData[[#This Row],[expected_revenue]]</f>
        <v>0</v>
      </c>
      <c r="AA8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07" t="str">
        <f>IF(ReconciliationData[[#This Row],[severity_score]]=0,"LOW",
 IF(ReconciliationData[[#This Row],[severity_score]]&lt;=5,"MEDIUM","HIGH"))</f>
        <v>LOW</v>
      </c>
      <c r="AC807" t="str">
        <f>TEXT(ReconciliationData[[#This Row],[Order_Date]],"YYYY-MM")</f>
        <v>2024-12</v>
      </c>
    </row>
    <row r="808" spans="1:29">
      <c r="A808" t="s">
        <v>2537</v>
      </c>
      <c r="B808" s="1">
        <v>45258</v>
      </c>
      <c r="C808" t="s">
        <v>1970</v>
      </c>
      <c r="D808" t="s">
        <v>279</v>
      </c>
      <c r="E808">
        <v>14</v>
      </c>
      <c r="F808" t="s">
        <v>2538</v>
      </c>
      <c r="G808">
        <v>14</v>
      </c>
      <c r="H808">
        <v>1120.6556</v>
      </c>
      <c r="N808">
        <v>1120.6556</v>
      </c>
      <c r="O808" s="1">
        <v>45026</v>
      </c>
      <c r="P808">
        <f>IF(ISBLANK(ReconciliationData[[#This Row],[Invoice_ID]]),1,0)</f>
        <v>0</v>
      </c>
      <c r="Q808">
        <f>IF(AND(NOT(ISBLANK(ReconciliationData[[#This Row],[Billed_Units]])),ReconciliationData[[#This Row],[ordered_units]]&lt;&gt;ReconciliationData[[#This Row],[Billed_Units]]),1,0)</f>
        <v>0</v>
      </c>
      <c r="R8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8">
        <f>IF(AND(NOT(ISBLANK(ReconciliationData[[#This Row],[Contract_Price]])),ReconciliationData[[#This Row],[Billed_Price]]&lt;&gt;ReconciliationData[[#This Row],[Contract_Price]]),1,0)</f>
        <v>0</v>
      </c>
      <c r="T808">
        <f>IF(AND(NOT(ISBLANK(ReconciliationData[[#This Row],[End_Date]])),ReconciliationData[[#This Row],[Order_Date]]&gt;ReconciliationData[[#This Row],[End_Date]]),1,0)</f>
        <v>0</v>
      </c>
      <c r="U808">
        <f>IF(AND(NOT(ISBLANK(ReconciliationData[[#This Row],[last_return_date]])),ReconciliationData[[#This Row],[last_return_date]]&gt;ReconciliationData[[#This Row],[Order_Date]]+60),1,0)</f>
        <v>0</v>
      </c>
      <c r="V808">
        <f>IF(ReconciliationData[[#This Row],[total_returned_units]]&gt;ReconciliationData[[#This Row],[ordered_units]],1,0)</f>
        <v>0</v>
      </c>
      <c r="W8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08">
        <f>ReconciliationData[[#This Row],[Billed_Units]]*ReconciliationData[[#This Row],[Billed_Price]]</f>
        <v>15689.178400000001</v>
      </c>
      <c r="Y808">
        <f>ReconciliationData[[#This Row],[ordered_units]]*ReconciliationData[[#This Row],[List_Price]]</f>
        <v>15689.178400000001</v>
      </c>
      <c r="Z808">
        <f>ReconciliationData[[#This Row],[billed_revenue]]-ReconciliationData[[#This Row],[expected_revenue]]</f>
        <v>0</v>
      </c>
      <c r="AA8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08" t="str">
        <f>IF(ReconciliationData[[#This Row],[severity_score]]=0,"LOW",
 IF(ReconciliationData[[#This Row],[severity_score]]&lt;=5,"MEDIUM","HIGH"))</f>
        <v>LOW</v>
      </c>
      <c r="AC808" t="str">
        <f>TEXT(ReconciliationData[[#This Row],[Order_Date]],"YYYY-MM")</f>
        <v>2023-11</v>
      </c>
    </row>
    <row r="809" spans="1:29">
      <c r="A809" t="s">
        <v>2539</v>
      </c>
      <c r="B809" s="1">
        <v>45195</v>
      </c>
      <c r="C809" t="s">
        <v>2157</v>
      </c>
      <c r="D809" t="s">
        <v>1424</v>
      </c>
      <c r="E809">
        <v>101</v>
      </c>
      <c r="F809" t="s">
        <v>2540</v>
      </c>
      <c r="G809">
        <v>101</v>
      </c>
      <c r="H809">
        <v>174.32480000000001</v>
      </c>
      <c r="N809">
        <v>174.32480000000001</v>
      </c>
      <c r="O809" s="1">
        <v>45142</v>
      </c>
      <c r="P809">
        <f>IF(ISBLANK(ReconciliationData[[#This Row],[Invoice_ID]]),1,0)</f>
        <v>0</v>
      </c>
      <c r="Q809">
        <f>IF(AND(NOT(ISBLANK(ReconciliationData[[#This Row],[Billed_Units]])),ReconciliationData[[#This Row],[ordered_units]]&lt;&gt;ReconciliationData[[#This Row],[Billed_Units]]),1,0)</f>
        <v>0</v>
      </c>
      <c r="R8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09">
        <f>IF(AND(NOT(ISBLANK(ReconciliationData[[#This Row],[Contract_Price]])),ReconciliationData[[#This Row],[Billed_Price]]&lt;&gt;ReconciliationData[[#This Row],[Contract_Price]]),1,0)</f>
        <v>0</v>
      </c>
      <c r="T809">
        <f>IF(AND(NOT(ISBLANK(ReconciliationData[[#This Row],[End_Date]])),ReconciliationData[[#This Row],[Order_Date]]&gt;ReconciliationData[[#This Row],[End_Date]]),1,0)</f>
        <v>0</v>
      </c>
      <c r="U809">
        <f>IF(AND(NOT(ISBLANK(ReconciliationData[[#This Row],[last_return_date]])),ReconciliationData[[#This Row],[last_return_date]]&gt;ReconciliationData[[#This Row],[Order_Date]]+60),1,0)</f>
        <v>0</v>
      </c>
      <c r="V809">
        <f>IF(ReconciliationData[[#This Row],[total_returned_units]]&gt;ReconciliationData[[#This Row],[ordered_units]],1,0)</f>
        <v>0</v>
      </c>
      <c r="W8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09">
        <f>ReconciliationData[[#This Row],[Billed_Units]]*ReconciliationData[[#This Row],[Billed_Price]]</f>
        <v>17606.804800000002</v>
      </c>
      <c r="Y809">
        <f>ReconciliationData[[#This Row],[ordered_units]]*ReconciliationData[[#This Row],[List_Price]]</f>
        <v>17606.804800000002</v>
      </c>
      <c r="Z809">
        <f>ReconciliationData[[#This Row],[billed_revenue]]-ReconciliationData[[#This Row],[expected_revenue]]</f>
        <v>0</v>
      </c>
      <c r="AA8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09" t="str">
        <f>IF(ReconciliationData[[#This Row],[severity_score]]=0,"LOW",
 IF(ReconciliationData[[#This Row],[severity_score]]&lt;=5,"MEDIUM","HIGH"))</f>
        <v>LOW</v>
      </c>
      <c r="AC809" t="str">
        <f>TEXT(ReconciliationData[[#This Row],[Order_Date]],"YYYY-MM")</f>
        <v>2023-09</v>
      </c>
    </row>
    <row r="810" spans="1:29">
      <c r="A810" t="s">
        <v>2541</v>
      </c>
      <c r="B810" s="1">
        <v>45434</v>
      </c>
      <c r="C810" t="s">
        <v>2542</v>
      </c>
      <c r="D810" t="s">
        <v>393</v>
      </c>
      <c r="E810">
        <v>136</v>
      </c>
      <c r="F810" t="s">
        <v>2543</v>
      </c>
      <c r="G810">
        <v>136</v>
      </c>
      <c r="H810">
        <v>1080.0740000000001</v>
      </c>
      <c r="N810">
        <v>1080.0740000000001</v>
      </c>
      <c r="O810" s="1">
        <v>45058</v>
      </c>
      <c r="P810">
        <f>IF(ISBLANK(ReconciliationData[[#This Row],[Invoice_ID]]),1,0)</f>
        <v>0</v>
      </c>
      <c r="Q810">
        <f>IF(AND(NOT(ISBLANK(ReconciliationData[[#This Row],[Billed_Units]])),ReconciliationData[[#This Row],[ordered_units]]&lt;&gt;ReconciliationData[[#This Row],[Billed_Units]]),1,0)</f>
        <v>0</v>
      </c>
      <c r="R8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10">
        <f>IF(AND(NOT(ISBLANK(ReconciliationData[[#This Row],[Contract_Price]])),ReconciliationData[[#This Row],[Billed_Price]]&lt;&gt;ReconciliationData[[#This Row],[Contract_Price]]),1,0)</f>
        <v>0</v>
      </c>
      <c r="T810">
        <f>IF(AND(NOT(ISBLANK(ReconciliationData[[#This Row],[End_Date]])),ReconciliationData[[#This Row],[Order_Date]]&gt;ReconciliationData[[#This Row],[End_Date]]),1,0)</f>
        <v>0</v>
      </c>
      <c r="U810">
        <f>IF(AND(NOT(ISBLANK(ReconciliationData[[#This Row],[last_return_date]])),ReconciliationData[[#This Row],[last_return_date]]&gt;ReconciliationData[[#This Row],[Order_Date]]+60),1,0)</f>
        <v>0</v>
      </c>
      <c r="V810">
        <f>IF(ReconciliationData[[#This Row],[total_returned_units]]&gt;ReconciliationData[[#This Row],[ordered_units]],1,0)</f>
        <v>0</v>
      </c>
      <c r="W8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10">
        <f>ReconciliationData[[#This Row],[Billed_Units]]*ReconciliationData[[#This Row],[Billed_Price]]</f>
        <v>146890.06400000001</v>
      </c>
      <c r="Y810">
        <f>ReconciliationData[[#This Row],[ordered_units]]*ReconciliationData[[#This Row],[List_Price]]</f>
        <v>146890.06400000001</v>
      </c>
      <c r="Z810">
        <f>ReconciliationData[[#This Row],[billed_revenue]]-ReconciliationData[[#This Row],[expected_revenue]]</f>
        <v>0</v>
      </c>
      <c r="AA8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10" t="str">
        <f>IF(ReconciliationData[[#This Row],[severity_score]]=0,"LOW",
 IF(ReconciliationData[[#This Row],[severity_score]]&lt;=5,"MEDIUM","HIGH"))</f>
        <v>LOW</v>
      </c>
      <c r="AC810" t="str">
        <f>TEXT(ReconciliationData[[#This Row],[Order_Date]],"YYYY-MM")</f>
        <v>2024-05</v>
      </c>
    </row>
    <row r="811" spans="1:29">
      <c r="A811" t="s">
        <v>2544</v>
      </c>
      <c r="B811" s="1">
        <v>45534</v>
      </c>
      <c r="C811" t="s">
        <v>1375</v>
      </c>
      <c r="D811" t="s">
        <v>381</v>
      </c>
      <c r="E811">
        <v>16</v>
      </c>
      <c r="F811" t="s">
        <v>2545</v>
      </c>
      <c r="G811">
        <v>16</v>
      </c>
      <c r="H811">
        <v>942.54840000000013</v>
      </c>
      <c r="N811">
        <v>942.54840000000013</v>
      </c>
      <c r="O811" s="1">
        <v>45086</v>
      </c>
      <c r="P811">
        <f>IF(ISBLANK(ReconciliationData[[#This Row],[Invoice_ID]]),1,0)</f>
        <v>0</v>
      </c>
      <c r="Q811">
        <f>IF(AND(NOT(ISBLANK(ReconciliationData[[#This Row],[Billed_Units]])),ReconciliationData[[#This Row],[ordered_units]]&lt;&gt;ReconciliationData[[#This Row],[Billed_Units]]),1,0)</f>
        <v>0</v>
      </c>
      <c r="R8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11">
        <f>IF(AND(NOT(ISBLANK(ReconciliationData[[#This Row],[Contract_Price]])),ReconciliationData[[#This Row],[Billed_Price]]&lt;&gt;ReconciliationData[[#This Row],[Contract_Price]]),1,0)</f>
        <v>0</v>
      </c>
      <c r="T811">
        <f>IF(AND(NOT(ISBLANK(ReconciliationData[[#This Row],[End_Date]])),ReconciliationData[[#This Row],[Order_Date]]&gt;ReconciliationData[[#This Row],[End_Date]]),1,0)</f>
        <v>0</v>
      </c>
      <c r="U811">
        <f>IF(AND(NOT(ISBLANK(ReconciliationData[[#This Row],[last_return_date]])),ReconciliationData[[#This Row],[last_return_date]]&gt;ReconciliationData[[#This Row],[Order_Date]]+60),1,0)</f>
        <v>0</v>
      </c>
      <c r="V811">
        <f>IF(ReconciliationData[[#This Row],[total_returned_units]]&gt;ReconciliationData[[#This Row],[ordered_units]],1,0)</f>
        <v>0</v>
      </c>
      <c r="W8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11">
        <f>ReconciliationData[[#This Row],[Billed_Units]]*ReconciliationData[[#This Row],[Billed_Price]]</f>
        <v>15080.774400000002</v>
      </c>
      <c r="Y811">
        <f>ReconciliationData[[#This Row],[ordered_units]]*ReconciliationData[[#This Row],[List_Price]]</f>
        <v>15080.774400000002</v>
      </c>
      <c r="Z811">
        <f>ReconciliationData[[#This Row],[billed_revenue]]-ReconciliationData[[#This Row],[expected_revenue]]</f>
        <v>0</v>
      </c>
      <c r="AA8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11" t="str">
        <f>IF(ReconciliationData[[#This Row],[severity_score]]=0,"LOW",
 IF(ReconciliationData[[#This Row],[severity_score]]&lt;=5,"MEDIUM","HIGH"))</f>
        <v>LOW</v>
      </c>
      <c r="AC811" t="str">
        <f>TEXT(ReconciliationData[[#This Row],[Order_Date]],"YYYY-MM")</f>
        <v>2024-08</v>
      </c>
    </row>
    <row r="812" spans="1:29">
      <c r="A812" t="s">
        <v>2546</v>
      </c>
      <c r="B812" s="1">
        <v>45128</v>
      </c>
      <c r="C812" t="s">
        <v>1232</v>
      </c>
      <c r="D812" t="s">
        <v>154</v>
      </c>
      <c r="E812">
        <v>160</v>
      </c>
      <c r="F812" t="s">
        <v>2547</v>
      </c>
      <c r="G812">
        <v>160</v>
      </c>
      <c r="H812">
        <v>1037.183</v>
      </c>
      <c r="N812">
        <v>1037.183</v>
      </c>
      <c r="O812" s="1">
        <v>45054</v>
      </c>
      <c r="P812">
        <f>IF(ISBLANK(ReconciliationData[[#This Row],[Invoice_ID]]),1,0)</f>
        <v>0</v>
      </c>
      <c r="Q812">
        <f>IF(AND(NOT(ISBLANK(ReconciliationData[[#This Row],[Billed_Units]])),ReconciliationData[[#This Row],[ordered_units]]&lt;&gt;ReconciliationData[[#This Row],[Billed_Units]]),1,0)</f>
        <v>0</v>
      </c>
      <c r="R8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12">
        <f>IF(AND(NOT(ISBLANK(ReconciliationData[[#This Row],[Contract_Price]])),ReconciliationData[[#This Row],[Billed_Price]]&lt;&gt;ReconciliationData[[#This Row],[Contract_Price]]),1,0)</f>
        <v>0</v>
      </c>
      <c r="T812">
        <f>IF(AND(NOT(ISBLANK(ReconciliationData[[#This Row],[End_Date]])),ReconciliationData[[#This Row],[Order_Date]]&gt;ReconciliationData[[#This Row],[End_Date]]),1,0)</f>
        <v>0</v>
      </c>
      <c r="U812">
        <f>IF(AND(NOT(ISBLANK(ReconciliationData[[#This Row],[last_return_date]])),ReconciliationData[[#This Row],[last_return_date]]&gt;ReconciliationData[[#This Row],[Order_Date]]+60),1,0)</f>
        <v>0</v>
      </c>
      <c r="V812">
        <f>IF(ReconciliationData[[#This Row],[total_returned_units]]&gt;ReconciliationData[[#This Row],[ordered_units]],1,0)</f>
        <v>0</v>
      </c>
      <c r="W8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12">
        <f>ReconciliationData[[#This Row],[Billed_Units]]*ReconciliationData[[#This Row],[Billed_Price]]</f>
        <v>165949.28</v>
      </c>
      <c r="Y812">
        <f>ReconciliationData[[#This Row],[ordered_units]]*ReconciliationData[[#This Row],[List_Price]]</f>
        <v>165949.28</v>
      </c>
      <c r="Z812">
        <f>ReconciliationData[[#This Row],[billed_revenue]]-ReconciliationData[[#This Row],[expected_revenue]]</f>
        <v>0</v>
      </c>
      <c r="AA8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12" t="str">
        <f>IF(ReconciliationData[[#This Row],[severity_score]]=0,"LOW",
 IF(ReconciliationData[[#This Row],[severity_score]]&lt;=5,"MEDIUM","HIGH"))</f>
        <v>LOW</v>
      </c>
      <c r="AC812" t="str">
        <f>TEXT(ReconciliationData[[#This Row],[Order_Date]],"YYYY-MM")</f>
        <v>2023-07</v>
      </c>
    </row>
    <row r="813" spans="1:29">
      <c r="A813" t="s">
        <v>2548</v>
      </c>
      <c r="B813" s="1">
        <v>44986</v>
      </c>
      <c r="C813" t="s">
        <v>2549</v>
      </c>
      <c r="D813" t="s">
        <v>356</v>
      </c>
      <c r="E813">
        <v>114</v>
      </c>
      <c r="F813" t="s">
        <v>2550</v>
      </c>
      <c r="G813">
        <v>124</v>
      </c>
      <c r="H813">
        <v>414.06644836951784</v>
      </c>
      <c r="N813">
        <v>413.47289999999998</v>
      </c>
      <c r="O813" s="1">
        <v>44829</v>
      </c>
      <c r="P813">
        <f>IF(ISBLANK(ReconciliationData[[#This Row],[Invoice_ID]]),1,0)</f>
        <v>0</v>
      </c>
      <c r="Q813">
        <f>IF(AND(NOT(ISBLANK(ReconciliationData[[#This Row],[Billed_Units]])),ReconciliationData[[#This Row],[ordered_units]]&lt;&gt;ReconciliationData[[#This Row],[Billed_Units]]),1,0)</f>
        <v>1</v>
      </c>
      <c r="R81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813">
        <f>IF(AND(NOT(ISBLANK(ReconciliationData[[#This Row],[Contract_Price]])),ReconciliationData[[#This Row],[Billed_Price]]&lt;&gt;ReconciliationData[[#This Row],[Contract_Price]]),1,0)</f>
        <v>0</v>
      </c>
      <c r="T813">
        <f>IF(AND(NOT(ISBLANK(ReconciliationData[[#This Row],[End_Date]])),ReconciliationData[[#This Row],[Order_Date]]&gt;ReconciliationData[[#This Row],[End_Date]]),1,0)</f>
        <v>0</v>
      </c>
      <c r="U813">
        <f>IF(AND(NOT(ISBLANK(ReconciliationData[[#This Row],[last_return_date]])),ReconciliationData[[#This Row],[last_return_date]]&gt;ReconciliationData[[#This Row],[Order_Date]]+60),1,0)</f>
        <v>0</v>
      </c>
      <c r="V813">
        <f>IF(ReconciliationData[[#This Row],[total_returned_units]]&gt;ReconciliationData[[#This Row],[ordered_units]],1,0)</f>
        <v>0</v>
      </c>
      <c r="W8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13">
        <f>ReconciliationData[[#This Row],[Billed_Units]]*ReconciliationData[[#This Row],[Billed_Price]]</f>
        <v>51344.239597820211</v>
      </c>
      <c r="Y813">
        <f>ReconciliationData[[#This Row],[ordered_units]]*ReconciliationData[[#This Row],[List_Price]]</f>
        <v>47135.910599999996</v>
      </c>
      <c r="Z813">
        <f>ReconciliationData[[#This Row],[billed_revenue]]-ReconciliationData[[#This Row],[expected_revenue]]</f>
        <v>4208.3289978202156</v>
      </c>
      <c r="AA8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12</v>
      </c>
      <c r="AB813" t="str">
        <f>IF(ReconciliationData[[#This Row],[severity_score]]=0,"LOW",
 IF(ReconciliationData[[#This Row],[severity_score]]&lt;=5,"MEDIUM","HIGH"))</f>
        <v>HIGH</v>
      </c>
      <c r="AC813" t="str">
        <f>TEXT(ReconciliationData[[#This Row],[Order_Date]],"YYYY-MM")</f>
        <v>2023-03</v>
      </c>
    </row>
    <row r="814" spans="1:29">
      <c r="A814" t="s">
        <v>2551</v>
      </c>
      <c r="B814" s="1">
        <v>45145</v>
      </c>
      <c r="C814" t="s">
        <v>2552</v>
      </c>
      <c r="D814" t="s">
        <v>525</v>
      </c>
      <c r="E814">
        <v>12</v>
      </c>
      <c r="F814" t="s">
        <v>2553</v>
      </c>
      <c r="G814">
        <v>12</v>
      </c>
      <c r="H814">
        <v>249.1748</v>
      </c>
      <c r="N814">
        <v>249.1748</v>
      </c>
      <c r="O814" s="1">
        <v>45141</v>
      </c>
      <c r="P814">
        <f>IF(ISBLANK(ReconciliationData[[#This Row],[Invoice_ID]]),1,0)</f>
        <v>0</v>
      </c>
      <c r="Q814">
        <f>IF(AND(NOT(ISBLANK(ReconciliationData[[#This Row],[Billed_Units]])),ReconciliationData[[#This Row],[ordered_units]]&lt;&gt;ReconciliationData[[#This Row],[Billed_Units]]),1,0)</f>
        <v>0</v>
      </c>
      <c r="R8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14">
        <f>IF(AND(NOT(ISBLANK(ReconciliationData[[#This Row],[Contract_Price]])),ReconciliationData[[#This Row],[Billed_Price]]&lt;&gt;ReconciliationData[[#This Row],[Contract_Price]]),1,0)</f>
        <v>0</v>
      </c>
      <c r="T814">
        <f>IF(AND(NOT(ISBLANK(ReconciliationData[[#This Row],[End_Date]])),ReconciliationData[[#This Row],[Order_Date]]&gt;ReconciliationData[[#This Row],[End_Date]]),1,0)</f>
        <v>0</v>
      </c>
      <c r="U814">
        <f>IF(AND(NOT(ISBLANK(ReconciliationData[[#This Row],[last_return_date]])),ReconciliationData[[#This Row],[last_return_date]]&gt;ReconciliationData[[#This Row],[Order_Date]]+60),1,0)</f>
        <v>0</v>
      </c>
      <c r="V814">
        <f>IF(ReconciliationData[[#This Row],[total_returned_units]]&gt;ReconciliationData[[#This Row],[ordered_units]],1,0)</f>
        <v>0</v>
      </c>
      <c r="W8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14">
        <f>ReconciliationData[[#This Row],[Billed_Units]]*ReconciliationData[[#This Row],[Billed_Price]]</f>
        <v>2990.0976000000001</v>
      </c>
      <c r="Y814">
        <f>ReconciliationData[[#This Row],[ordered_units]]*ReconciliationData[[#This Row],[List_Price]]</f>
        <v>2990.0976000000001</v>
      </c>
      <c r="Z814">
        <f>ReconciliationData[[#This Row],[billed_revenue]]-ReconciliationData[[#This Row],[expected_revenue]]</f>
        <v>0</v>
      </c>
      <c r="AA8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14" t="str">
        <f>IF(ReconciliationData[[#This Row],[severity_score]]=0,"LOW",
 IF(ReconciliationData[[#This Row],[severity_score]]&lt;=5,"MEDIUM","HIGH"))</f>
        <v>LOW</v>
      </c>
      <c r="AC814" t="str">
        <f>TEXT(ReconciliationData[[#This Row],[Order_Date]],"YYYY-MM")</f>
        <v>2023-08</v>
      </c>
    </row>
    <row r="815" spans="1:29">
      <c r="A815" t="s">
        <v>2554</v>
      </c>
      <c r="B815" s="1">
        <v>45487</v>
      </c>
      <c r="C815" t="s">
        <v>1805</v>
      </c>
      <c r="D815" t="s">
        <v>1392</v>
      </c>
      <c r="E815">
        <v>97</v>
      </c>
      <c r="F815" t="s">
        <v>2555</v>
      </c>
      <c r="G815">
        <v>97</v>
      </c>
      <c r="H815">
        <v>107.1605</v>
      </c>
      <c r="N815">
        <v>107.1605</v>
      </c>
      <c r="O815" s="1">
        <v>44970</v>
      </c>
      <c r="P815">
        <f>IF(ISBLANK(ReconciliationData[[#This Row],[Invoice_ID]]),1,0)</f>
        <v>0</v>
      </c>
      <c r="Q815">
        <f>IF(AND(NOT(ISBLANK(ReconciliationData[[#This Row],[Billed_Units]])),ReconciliationData[[#This Row],[ordered_units]]&lt;&gt;ReconciliationData[[#This Row],[Billed_Units]]),1,0)</f>
        <v>0</v>
      </c>
      <c r="R8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15">
        <f>IF(AND(NOT(ISBLANK(ReconciliationData[[#This Row],[Contract_Price]])),ReconciliationData[[#This Row],[Billed_Price]]&lt;&gt;ReconciliationData[[#This Row],[Contract_Price]]),1,0)</f>
        <v>0</v>
      </c>
      <c r="T815">
        <f>IF(AND(NOT(ISBLANK(ReconciliationData[[#This Row],[End_Date]])),ReconciliationData[[#This Row],[Order_Date]]&gt;ReconciliationData[[#This Row],[End_Date]]),1,0)</f>
        <v>0</v>
      </c>
      <c r="U815">
        <f>IF(AND(NOT(ISBLANK(ReconciliationData[[#This Row],[last_return_date]])),ReconciliationData[[#This Row],[last_return_date]]&gt;ReconciliationData[[#This Row],[Order_Date]]+60),1,0)</f>
        <v>0</v>
      </c>
      <c r="V815">
        <f>IF(ReconciliationData[[#This Row],[total_returned_units]]&gt;ReconciliationData[[#This Row],[ordered_units]],1,0)</f>
        <v>0</v>
      </c>
      <c r="W8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15">
        <f>ReconciliationData[[#This Row],[Billed_Units]]*ReconciliationData[[#This Row],[Billed_Price]]</f>
        <v>10394.568499999999</v>
      </c>
      <c r="Y815">
        <f>ReconciliationData[[#This Row],[ordered_units]]*ReconciliationData[[#This Row],[List_Price]]</f>
        <v>10394.568499999999</v>
      </c>
      <c r="Z815">
        <f>ReconciliationData[[#This Row],[billed_revenue]]-ReconciliationData[[#This Row],[expected_revenue]]</f>
        <v>0</v>
      </c>
      <c r="AA8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15" t="str">
        <f>IF(ReconciliationData[[#This Row],[severity_score]]=0,"LOW",
 IF(ReconciliationData[[#This Row],[severity_score]]&lt;=5,"MEDIUM","HIGH"))</f>
        <v>LOW</v>
      </c>
      <c r="AC815" t="str">
        <f>TEXT(ReconciliationData[[#This Row],[Order_Date]],"YYYY-MM")</f>
        <v>2024-07</v>
      </c>
    </row>
    <row r="816" spans="1:29">
      <c r="A816" t="s">
        <v>2556</v>
      </c>
      <c r="B816" s="1">
        <v>45451</v>
      </c>
      <c r="C816" t="s">
        <v>2207</v>
      </c>
      <c r="D816" t="s">
        <v>1559</v>
      </c>
      <c r="E816">
        <v>76</v>
      </c>
      <c r="F816" t="s">
        <v>2557</v>
      </c>
      <c r="G816">
        <v>76</v>
      </c>
      <c r="H816">
        <v>1065.7722000000001</v>
      </c>
      <c r="N816">
        <v>1065.7722000000001</v>
      </c>
      <c r="O816" s="1">
        <v>44936</v>
      </c>
      <c r="P816">
        <f>IF(ISBLANK(ReconciliationData[[#This Row],[Invoice_ID]]),1,0)</f>
        <v>0</v>
      </c>
      <c r="Q816">
        <f>IF(AND(NOT(ISBLANK(ReconciliationData[[#This Row],[Billed_Units]])),ReconciliationData[[#This Row],[ordered_units]]&lt;&gt;ReconciliationData[[#This Row],[Billed_Units]]),1,0)</f>
        <v>0</v>
      </c>
      <c r="R8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16">
        <f>IF(AND(NOT(ISBLANK(ReconciliationData[[#This Row],[Contract_Price]])),ReconciliationData[[#This Row],[Billed_Price]]&lt;&gt;ReconciliationData[[#This Row],[Contract_Price]]),1,0)</f>
        <v>0</v>
      </c>
      <c r="T816">
        <f>IF(AND(NOT(ISBLANK(ReconciliationData[[#This Row],[End_Date]])),ReconciliationData[[#This Row],[Order_Date]]&gt;ReconciliationData[[#This Row],[End_Date]]),1,0)</f>
        <v>0</v>
      </c>
      <c r="U816">
        <f>IF(AND(NOT(ISBLANK(ReconciliationData[[#This Row],[last_return_date]])),ReconciliationData[[#This Row],[last_return_date]]&gt;ReconciliationData[[#This Row],[Order_Date]]+60),1,0)</f>
        <v>0</v>
      </c>
      <c r="V816">
        <f>IF(ReconciliationData[[#This Row],[total_returned_units]]&gt;ReconciliationData[[#This Row],[ordered_units]],1,0)</f>
        <v>0</v>
      </c>
      <c r="W8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16">
        <f>ReconciliationData[[#This Row],[Billed_Units]]*ReconciliationData[[#This Row],[Billed_Price]]</f>
        <v>80998.687200000015</v>
      </c>
      <c r="Y816">
        <f>ReconciliationData[[#This Row],[ordered_units]]*ReconciliationData[[#This Row],[List_Price]]</f>
        <v>80998.687200000015</v>
      </c>
      <c r="Z816">
        <f>ReconciliationData[[#This Row],[billed_revenue]]-ReconciliationData[[#This Row],[expected_revenue]]</f>
        <v>0</v>
      </c>
      <c r="AA8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16" t="str">
        <f>IF(ReconciliationData[[#This Row],[severity_score]]=0,"LOW",
 IF(ReconciliationData[[#This Row],[severity_score]]&lt;=5,"MEDIUM","HIGH"))</f>
        <v>LOW</v>
      </c>
      <c r="AC816" t="str">
        <f>TEXT(ReconciliationData[[#This Row],[Order_Date]],"YYYY-MM")</f>
        <v>2024-06</v>
      </c>
    </row>
    <row r="817" spans="1:29">
      <c r="A817" t="s">
        <v>2558</v>
      </c>
      <c r="B817" s="1">
        <v>45190</v>
      </c>
      <c r="C817" t="s">
        <v>1734</v>
      </c>
      <c r="D817" t="s">
        <v>1245</v>
      </c>
      <c r="E817">
        <v>170</v>
      </c>
      <c r="F817" t="s">
        <v>2559</v>
      </c>
      <c r="G817">
        <v>174</v>
      </c>
      <c r="H817">
        <v>247.48920000000001</v>
      </c>
      <c r="N817">
        <v>247.48920000000001</v>
      </c>
      <c r="O817" s="1">
        <v>45088</v>
      </c>
      <c r="P817">
        <f>IF(ISBLANK(ReconciliationData[[#This Row],[Invoice_ID]]),1,0)</f>
        <v>0</v>
      </c>
      <c r="Q817">
        <f>IF(AND(NOT(ISBLANK(ReconciliationData[[#This Row],[Billed_Units]])),ReconciliationData[[#This Row],[ordered_units]]&lt;&gt;ReconciliationData[[#This Row],[Billed_Units]]),1,0)</f>
        <v>1</v>
      </c>
      <c r="R8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17">
        <f>IF(AND(NOT(ISBLANK(ReconciliationData[[#This Row],[Contract_Price]])),ReconciliationData[[#This Row],[Billed_Price]]&lt;&gt;ReconciliationData[[#This Row],[Contract_Price]]),1,0)</f>
        <v>0</v>
      </c>
      <c r="T817">
        <f>IF(AND(NOT(ISBLANK(ReconciliationData[[#This Row],[End_Date]])),ReconciliationData[[#This Row],[Order_Date]]&gt;ReconciliationData[[#This Row],[End_Date]]),1,0)</f>
        <v>0</v>
      </c>
      <c r="U817">
        <f>IF(AND(NOT(ISBLANK(ReconciliationData[[#This Row],[last_return_date]])),ReconciliationData[[#This Row],[last_return_date]]&gt;ReconciliationData[[#This Row],[Order_Date]]+60),1,0)</f>
        <v>0</v>
      </c>
      <c r="V817">
        <f>IF(ReconciliationData[[#This Row],[total_returned_units]]&gt;ReconciliationData[[#This Row],[ordered_units]],1,0)</f>
        <v>0</v>
      </c>
      <c r="W8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17">
        <f>ReconciliationData[[#This Row],[Billed_Units]]*ReconciliationData[[#This Row],[Billed_Price]]</f>
        <v>43063.120800000004</v>
      </c>
      <c r="Y817">
        <f>ReconciliationData[[#This Row],[ordered_units]]*ReconciliationData[[#This Row],[List_Price]]</f>
        <v>42073.164000000004</v>
      </c>
      <c r="Z817">
        <f>ReconciliationData[[#This Row],[billed_revenue]]-ReconciliationData[[#This Row],[expected_revenue]]</f>
        <v>989.95679999999993</v>
      </c>
      <c r="AA8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817" t="str">
        <f>IF(ReconciliationData[[#This Row],[severity_score]]=0,"LOW",
 IF(ReconciliationData[[#This Row],[severity_score]]&lt;=5,"MEDIUM","HIGH"))</f>
        <v>HIGH</v>
      </c>
      <c r="AC817" t="str">
        <f>TEXT(ReconciliationData[[#This Row],[Order_Date]],"YYYY-MM")</f>
        <v>2023-09</v>
      </c>
    </row>
    <row r="818" spans="1:29">
      <c r="A818" t="s">
        <v>2560</v>
      </c>
      <c r="B818" s="1">
        <v>45360</v>
      </c>
      <c r="C818" t="s">
        <v>1321</v>
      </c>
      <c r="D818" t="s">
        <v>1420</v>
      </c>
      <c r="E818">
        <v>101</v>
      </c>
      <c r="F818" t="s">
        <v>2561</v>
      </c>
      <c r="G818">
        <v>101</v>
      </c>
      <c r="H818">
        <v>77.178600000000003</v>
      </c>
      <c r="N818">
        <v>77.178600000000003</v>
      </c>
      <c r="O818" s="1">
        <v>44975</v>
      </c>
      <c r="P818">
        <f>IF(ISBLANK(ReconciliationData[[#This Row],[Invoice_ID]]),1,0)</f>
        <v>0</v>
      </c>
      <c r="Q818">
        <f>IF(AND(NOT(ISBLANK(ReconciliationData[[#This Row],[Billed_Units]])),ReconciliationData[[#This Row],[ordered_units]]&lt;&gt;ReconciliationData[[#This Row],[Billed_Units]]),1,0)</f>
        <v>0</v>
      </c>
      <c r="R8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18">
        <f>IF(AND(NOT(ISBLANK(ReconciliationData[[#This Row],[Contract_Price]])),ReconciliationData[[#This Row],[Billed_Price]]&lt;&gt;ReconciliationData[[#This Row],[Contract_Price]]),1,0)</f>
        <v>0</v>
      </c>
      <c r="T818">
        <f>IF(AND(NOT(ISBLANK(ReconciliationData[[#This Row],[End_Date]])),ReconciliationData[[#This Row],[Order_Date]]&gt;ReconciliationData[[#This Row],[End_Date]]),1,0)</f>
        <v>0</v>
      </c>
      <c r="U818">
        <f>IF(AND(NOT(ISBLANK(ReconciliationData[[#This Row],[last_return_date]])),ReconciliationData[[#This Row],[last_return_date]]&gt;ReconciliationData[[#This Row],[Order_Date]]+60),1,0)</f>
        <v>0</v>
      </c>
      <c r="V818">
        <f>IF(ReconciliationData[[#This Row],[total_returned_units]]&gt;ReconciliationData[[#This Row],[ordered_units]],1,0)</f>
        <v>0</v>
      </c>
      <c r="W8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18">
        <f>ReconciliationData[[#This Row],[Billed_Units]]*ReconciliationData[[#This Row],[Billed_Price]]</f>
        <v>7795.0385999999999</v>
      </c>
      <c r="Y818">
        <f>ReconciliationData[[#This Row],[ordered_units]]*ReconciliationData[[#This Row],[List_Price]]</f>
        <v>7795.0385999999999</v>
      </c>
      <c r="Z818">
        <f>ReconciliationData[[#This Row],[billed_revenue]]-ReconciliationData[[#This Row],[expected_revenue]]</f>
        <v>0</v>
      </c>
      <c r="AA8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18" t="str">
        <f>IF(ReconciliationData[[#This Row],[severity_score]]=0,"LOW",
 IF(ReconciliationData[[#This Row],[severity_score]]&lt;=5,"MEDIUM","HIGH"))</f>
        <v>LOW</v>
      </c>
      <c r="AC818" t="str">
        <f>TEXT(ReconciliationData[[#This Row],[Order_Date]],"YYYY-MM")</f>
        <v>2024-03</v>
      </c>
    </row>
    <row r="819" spans="1:29">
      <c r="A819" t="s">
        <v>2562</v>
      </c>
      <c r="B819" s="1">
        <v>45444</v>
      </c>
      <c r="C819" t="s">
        <v>2273</v>
      </c>
      <c r="D819" t="s">
        <v>2563</v>
      </c>
      <c r="E819">
        <v>106</v>
      </c>
      <c r="F819" t="s">
        <v>2564</v>
      </c>
      <c r="G819">
        <v>106</v>
      </c>
      <c r="H819">
        <v>312.56310000000002</v>
      </c>
      <c r="N819">
        <v>312.56310000000002</v>
      </c>
      <c r="O819" s="1">
        <v>45028</v>
      </c>
      <c r="P819">
        <f>IF(ISBLANK(ReconciliationData[[#This Row],[Invoice_ID]]),1,0)</f>
        <v>0</v>
      </c>
      <c r="Q819">
        <f>IF(AND(NOT(ISBLANK(ReconciliationData[[#This Row],[Billed_Units]])),ReconciliationData[[#This Row],[ordered_units]]&lt;&gt;ReconciliationData[[#This Row],[Billed_Units]]),1,0)</f>
        <v>0</v>
      </c>
      <c r="R8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19">
        <f>IF(AND(NOT(ISBLANK(ReconciliationData[[#This Row],[Contract_Price]])),ReconciliationData[[#This Row],[Billed_Price]]&lt;&gt;ReconciliationData[[#This Row],[Contract_Price]]),1,0)</f>
        <v>0</v>
      </c>
      <c r="T819">
        <f>IF(AND(NOT(ISBLANK(ReconciliationData[[#This Row],[End_Date]])),ReconciliationData[[#This Row],[Order_Date]]&gt;ReconciliationData[[#This Row],[End_Date]]),1,0)</f>
        <v>0</v>
      </c>
      <c r="U819">
        <f>IF(AND(NOT(ISBLANK(ReconciliationData[[#This Row],[last_return_date]])),ReconciliationData[[#This Row],[last_return_date]]&gt;ReconciliationData[[#This Row],[Order_Date]]+60),1,0)</f>
        <v>0</v>
      </c>
      <c r="V819">
        <f>IF(ReconciliationData[[#This Row],[total_returned_units]]&gt;ReconciliationData[[#This Row],[ordered_units]],1,0)</f>
        <v>0</v>
      </c>
      <c r="W8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19">
        <f>ReconciliationData[[#This Row],[Billed_Units]]*ReconciliationData[[#This Row],[Billed_Price]]</f>
        <v>33131.688600000001</v>
      </c>
      <c r="Y819">
        <f>ReconciliationData[[#This Row],[ordered_units]]*ReconciliationData[[#This Row],[List_Price]]</f>
        <v>33131.688600000001</v>
      </c>
      <c r="Z819">
        <f>ReconciliationData[[#This Row],[billed_revenue]]-ReconciliationData[[#This Row],[expected_revenue]]</f>
        <v>0</v>
      </c>
      <c r="AA8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19" t="str">
        <f>IF(ReconciliationData[[#This Row],[severity_score]]=0,"LOW",
 IF(ReconciliationData[[#This Row],[severity_score]]&lt;=5,"MEDIUM","HIGH"))</f>
        <v>LOW</v>
      </c>
      <c r="AC819" t="str">
        <f>TEXT(ReconciliationData[[#This Row],[Order_Date]],"YYYY-MM")</f>
        <v>2024-06</v>
      </c>
    </row>
    <row r="820" spans="1:29">
      <c r="A820" t="s">
        <v>2565</v>
      </c>
      <c r="B820" s="1">
        <v>45127</v>
      </c>
      <c r="C820" t="s">
        <v>1925</v>
      </c>
      <c r="D820" t="s">
        <v>2050</v>
      </c>
      <c r="E820">
        <v>95</v>
      </c>
      <c r="F820" t="s">
        <v>2566</v>
      </c>
      <c r="G820">
        <v>95</v>
      </c>
      <c r="H820">
        <v>956.22119999999995</v>
      </c>
      <c r="N820">
        <v>956.22119999999995</v>
      </c>
      <c r="O820" s="1">
        <v>44906</v>
      </c>
      <c r="P820">
        <f>IF(ISBLANK(ReconciliationData[[#This Row],[Invoice_ID]]),1,0)</f>
        <v>0</v>
      </c>
      <c r="Q820">
        <f>IF(AND(NOT(ISBLANK(ReconciliationData[[#This Row],[Billed_Units]])),ReconciliationData[[#This Row],[ordered_units]]&lt;&gt;ReconciliationData[[#This Row],[Billed_Units]]),1,0)</f>
        <v>0</v>
      </c>
      <c r="R8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0">
        <f>IF(AND(NOT(ISBLANK(ReconciliationData[[#This Row],[Contract_Price]])),ReconciliationData[[#This Row],[Billed_Price]]&lt;&gt;ReconciliationData[[#This Row],[Contract_Price]]),1,0)</f>
        <v>0</v>
      </c>
      <c r="T820">
        <f>IF(AND(NOT(ISBLANK(ReconciliationData[[#This Row],[End_Date]])),ReconciliationData[[#This Row],[Order_Date]]&gt;ReconciliationData[[#This Row],[End_Date]]),1,0)</f>
        <v>0</v>
      </c>
      <c r="U820">
        <f>IF(AND(NOT(ISBLANK(ReconciliationData[[#This Row],[last_return_date]])),ReconciliationData[[#This Row],[last_return_date]]&gt;ReconciliationData[[#This Row],[Order_Date]]+60),1,0)</f>
        <v>0</v>
      </c>
      <c r="V820">
        <f>IF(ReconciliationData[[#This Row],[total_returned_units]]&gt;ReconciliationData[[#This Row],[ordered_units]],1,0)</f>
        <v>0</v>
      </c>
      <c r="W8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0">
        <f>ReconciliationData[[#This Row],[Billed_Units]]*ReconciliationData[[#This Row],[Billed_Price]]</f>
        <v>90841.013999999996</v>
      </c>
      <c r="Y820">
        <f>ReconciliationData[[#This Row],[ordered_units]]*ReconciliationData[[#This Row],[List_Price]]</f>
        <v>90841.013999999996</v>
      </c>
      <c r="Z820">
        <f>ReconciliationData[[#This Row],[billed_revenue]]-ReconciliationData[[#This Row],[expected_revenue]]</f>
        <v>0</v>
      </c>
      <c r="AA8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0" t="str">
        <f>IF(ReconciliationData[[#This Row],[severity_score]]=0,"LOW",
 IF(ReconciliationData[[#This Row],[severity_score]]&lt;=5,"MEDIUM","HIGH"))</f>
        <v>LOW</v>
      </c>
      <c r="AC820" t="str">
        <f>TEXT(ReconciliationData[[#This Row],[Order_Date]],"YYYY-MM")</f>
        <v>2023-07</v>
      </c>
    </row>
    <row r="821" spans="1:29">
      <c r="A821" t="s">
        <v>2567</v>
      </c>
      <c r="B821" s="1">
        <v>45539</v>
      </c>
      <c r="C821" t="s">
        <v>693</v>
      </c>
      <c r="D821" t="s">
        <v>2568</v>
      </c>
      <c r="E821">
        <v>37</v>
      </c>
      <c r="F821" t="s">
        <v>2569</v>
      </c>
      <c r="G821">
        <v>37</v>
      </c>
      <c r="H821">
        <v>461.00940000000003</v>
      </c>
      <c r="N821">
        <v>461.00940000000003</v>
      </c>
      <c r="O821" s="1">
        <v>45036</v>
      </c>
      <c r="P821">
        <f>IF(ISBLANK(ReconciliationData[[#This Row],[Invoice_ID]]),1,0)</f>
        <v>0</v>
      </c>
      <c r="Q821">
        <f>IF(AND(NOT(ISBLANK(ReconciliationData[[#This Row],[Billed_Units]])),ReconciliationData[[#This Row],[ordered_units]]&lt;&gt;ReconciliationData[[#This Row],[Billed_Units]]),1,0)</f>
        <v>0</v>
      </c>
      <c r="R8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1">
        <f>IF(AND(NOT(ISBLANK(ReconciliationData[[#This Row],[Contract_Price]])),ReconciliationData[[#This Row],[Billed_Price]]&lt;&gt;ReconciliationData[[#This Row],[Contract_Price]]),1,0)</f>
        <v>0</v>
      </c>
      <c r="T821">
        <f>IF(AND(NOT(ISBLANK(ReconciliationData[[#This Row],[End_Date]])),ReconciliationData[[#This Row],[Order_Date]]&gt;ReconciliationData[[#This Row],[End_Date]]),1,0)</f>
        <v>0</v>
      </c>
      <c r="U821">
        <f>IF(AND(NOT(ISBLANK(ReconciliationData[[#This Row],[last_return_date]])),ReconciliationData[[#This Row],[last_return_date]]&gt;ReconciliationData[[#This Row],[Order_Date]]+60),1,0)</f>
        <v>0</v>
      </c>
      <c r="V821">
        <f>IF(ReconciliationData[[#This Row],[total_returned_units]]&gt;ReconciliationData[[#This Row],[ordered_units]],1,0)</f>
        <v>0</v>
      </c>
      <c r="W8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1">
        <f>ReconciliationData[[#This Row],[Billed_Units]]*ReconciliationData[[#This Row],[Billed_Price]]</f>
        <v>17057.3478</v>
      </c>
      <c r="Y821">
        <f>ReconciliationData[[#This Row],[ordered_units]]*ReconciliationData[[#This Row],[List_Price]]</f>
        <v>17057.3478</v>
      </c>
      <c r="Z821">
        <f>ReconciliationData[[#This Row],[billed_revenue]]-ReconciliationData[[#This Row],[expected_revenue]]</f>
        <v>0</v>
      </c>
      <c r="AA8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1" t="str">
        <f>IF(ReconciliationData[[#This Row],[severity_score]]=0,"LOW",
 IF(ReconciliationData[[#This Row],[severity_score]]&lt;=5,"MEDIUM","HIGH"))</f>
        <v>LOW</v>
      </c>
      <c r="AC821" t="str">
        <f>TEXT(ReconciliationData[[#This Row],[Order_Date]],"YYYY-MM")</f>
        <v>2024-09</v>
      </c>
    </row>
    <row r="822" spans="1:29">
      <c r="A822" t="s">
        <v>2570</v>
      </c>
      <c r="B822" s="1">
        <v>45467</v>
      </c>
      <c r="C822" t="s">
        <v>2552</v>
      </c>
      <c r="D822" t="s">
        <v>1549</v>
      </c>
      <c r="E822">
        <v>191</v>
      </c>
      <c r="F822" t="s">
        <v>2571</v>
      </c>
      <c r="G822">
        <v>191</v>
      </c>
      <c r="H822">
        <v>234.87090000000001</v>
      </c>
      <c r="N822">
        <v>234.87090000000001</v>
      </c>
      <c r="O822" s="1">
        <v>45150</v>
      </c>
      <c r="P822">
        <f>IF(ISBLANK(ReconciliationData[[#This Row],[Invoice_ID]]),1,0)</f>
        <v>0</v>
      </c>
      <c r="Q822">
        <f>IF(AND(NOT(ISBLANK(ReconciliationData[[#This Row],[Billed_Units]])),ReconciliationData[[#This Row],[ordered_units]]&lt;&gt;ReconciliationData[[#This Row],[Billed_Units]]),1,0)</f>
        <v>0</v>
      </c>
      <c r="R8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2">
        <f>IF(AND(NOT(ISBLANK(ReconciliationData[[#This Row],[Contract_Price]])),ReconciliationData[[#This Row],[Billed_Price]]&lt;&gt;ReconciliationData[[#This Row],[Contract_Price]]),1,0)</f>
        <v>0</v>
      </c>
      <c r="T822">
        <f>IF(AND(NOT(ISBLANK(ReconciliationData[[#This Row],[End_Date]])),ReconciliationData[[#This Row],[Order_Date]]&gt;ReconciliationData[[#This Row],[End_Date]]),1,0)</f>
        <v>0</v>
      </c>
      <c r="U822">
        <f>IF(AND(NOT(ISBLANK(ReconciliationData[[#This Row],[last_return_date]])),ReconciliationData[[#This Row],[last_return_date]]&gt;ReconciliationData[[#This Row],[Order_Date]]+60),1,0)</f>
        <v>0</v>
      </c>
      <c r="V822">
        <f>IF(ReconciliationData[[#This Row],[total_returned_units]]&gt;ReconciliationData[[#This Row],[ordered_units]],1,0)</f>
        <v>0</v>
      </c>
      <c r="W8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2">
        <f>ReconciliationData[[#This Row],[Billed_Units]]*ReconciliationData[[#This Row],[Billed_Price]]</f>
        <v>44860.341899999999</v>
      </c>
      <c r="Y822">
        <f>ReconciliationData[[#This Row],[ordered_units]]*ReconciliationData[[#This Row],[List_Price]]</f>
        <v>44860.341899999999</v>
      </c>
      <c r="Z822">
        <f>ReconciliationData[[#This Row],[billed_revenue]]-ReconciliationData[[#This Row],[expected_revenue]]</f>
        <v>0</v>
      </c>
      <c r="AA8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2" t="str">
        <f>IF(ReconciliationData[[#This Row],[severity_score]]=0,"LOW",
 IF(ReconciliationData[[#This Row],[severity_score]]&lt;=5,"MEDIUM","HIGH"))</f>
        <v>LOW</v>
      </c>
      <c r="AC822" t="str">
        <f>TEXT(ReconciliationData[[#This Row],[Order_Date]],"YYYY-MM")</f>
        <v>2024-06</v>
      </c>
    </row>
    <row r="823" spans="1:29">
      <c r="A823" t="s">
        <v>2572</v>
      </c>
      <c r="B823" s="1">
        <v>44948</v>
      </c>
      <c r="C823" t="s">
        <v>407</v>
      </c>
      <c r="D823" t="s">
        <v>381</v>
      </c>
      <c r="E823">
        <v>72</v>
      </c>
      <c r="F823" t="s">
        <v>2573</v>
      </c>
      <c r="G823">
        <v>72</v>
      </c>
      <c r="H823">
        <v>933.82110000000011</v>
      </c>
      <c r="N823">
        <v>933.82110000000011</v>
      </c>
      <c r="O823" s="1">
        <v>44855</v>
      </c>
      <c r="P823">
        <f>IF(ISBLANK(ReconciliationData[[#This Row],[Invoice_ID]]),1,0)</f>
        <v>0</v>
      </c>
      <c r="Q823">
        <f>IF(AND(NOT(ISBLANK(ReconciliationData[[#This Row],[Billed_Units]])),ReconciliationData[[#This Row],[ordered_units]]&lt;&gt;ReconciliationData[[#This Row],[Billed_Units]]),1,0)</f>
        <v>0</v>
      </c>
      <c r="R8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3">
        <f>IF(AND(NOT(ISBLANK(ReconciliationData[[#This Row],[Contract_Price]])),ReconciliationData[[#This Row],[Billed_Price]]&lt;&gt;ReconciliationData[[#This Row],[Contract_Price]]),1,0)</f>
        <v>0</v>
      </c>
      <c r="T823">
        <f>IF(AND(NOT(ISBLANK(ReconciliationData[[#This Row],[End_Date]])),ReconciliationData[[#This Row],[Order_Date]]&gt;ReconciliationData[[#This Row],[End_Date]]),1,0)</f>
        <v>0</v>
      </c>
      <c r="U823">
        <f>IF(AND(NOT(ISBLANK(ReconciliationData[[#This Row],[last_return_date]])),ReconciliationData[[#This Row],[last_return_date]]&gt;ReconciliationData[[#This Row],[Order_Date]]+60),1,0)</f>
        <v>0</v>
      </c>
      <c r="V823">
        <f>IF(ReconciliationData[[#This Row],[total_returned_units]]&gt;ReconciliationData[[#This Row],[ordered_units]],1,0)</f>
        <v>0</v>
      </c>
      <c r="W8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3">
        <f>ReconciliationData[[#This Row],[Billed_Units]]*ReconciliationData[[#This Row],[Billed_Price]]</f>
        <v>67235.119200000016</v>
      </c>
      <c r="Y823">
        <f>ReconciliationData[[#This Row],[ordered_units]]*ReconciliationData[[#This Row],[List_Price]]</f>
        <v>67235.119200000016</v>
      </c>
      <c r="Z823">
        <f>ReconciliationData[[#This Row],[billed_revenue]]-ReconciliationData[[#This Row],[expected_revenue]]</f>
        <v>0</v>
      </c>
      <c r="AA8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3" t="str">
        <f>IF(ReconciliationData[[#This Row],[severity_score]]=0,"LOW",
 IF(ReconciliationData[[#This Row],[severity_score]]&lt;=5,"MEDIUM","HIGH"))</f>
        <v>LOW</v>
      </c>
      <c r="AC823" t="str">
        <f>TEXT(ReconciliationData[[#This Row],[Order_Date]],"YYYY-MM")</f>
        <v>2023-01</v>
      </c>
    </row>
    <row r="824" spans="1:29">
      <c r="A824" t="s">
        <v>2574</v>
      </c>
      <c r="B824" s="1">
        <v>44965</v>
      </c>
      <c r="C824" t="s">
        <v>2575</v>
      </c>
      <c r="D824" t="s">
        <v>1470</v>
      </c>
      <c r="E824">
        <v>21</v>
      </c>
      <c r="F824" t="s">
        <v>2576</v>
      </c>
      <c r="G824">
        <v>21</v>
      </c>
      <c r="H824">
        <v>612.66449999999998</v>
      </c>
      <c r="N824">
        <v>612.66449999999998</v>
      </c>
      <c r="O824" s="1">
        <v>44951</v>
      </c>
      <c r="P824">
        <f>IF(ISBLANK(ReconciliationData[[#This Row],[Invoice_ID]]),1,0)</f>
        <v>0</v>
      </c>
      <c r="Q824">
        <f>IF(AND(NOT(ISBLANK(ReconciliationData[[#This Row],[Billed_Units]])),ReconciliationData[[#This Row],[ordered_units]]&lt;&gt;ReconciliationData[[#This Row],[Billed_Units]]),1,0)</f>
        <v>0</v>
      </c>
      <c r="R8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4">
        <f>IF(AND(NOT(ISBLANK(ReconciliationData[[#This Row],[Contract_Price]])),ReconciliationData[[#This Row],[Billed_Price]]&lt;&gt;ReconciliationData[[#This Row],[Contract_Price]]),1,0)</f>
        <v>0</v>
      </c>
      <c r="T824">
        <f>IF(AND(NOT(ISBLANK(ReconciliationData[[#This Row],[End_Date]])),ReconciliationData[[#This Row],[Order_Date]]&gt;ReconciliationData[[#This Row],[End_Date]]),1,0)</f>
        <v>0</v>
      </c>
      <c r="U824">
        <f>IF(AND(NOT(ISBLANK(ReconciliationData[[#This Row],[last_return_date]])),ReconciliationData[[#This Row],[last_return_date]]&gt;ReconciliationData[[#This Row],[Order_Date]]+60),1,0)</f>
        <v>0</v>
      </c>
      <c r="V824">
        <f>IF(ReconciliationData[[#This Row],[total_returned_units]]&gt;ReconciliationData[[#This Row],[ordered_units]],1,0)</f>
        <v>0</v>
      </c>
      <c r="W8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4">
        <f>ReconciliationData[[#This Row],[Billed_Units]]*ReconciliationData[[#This Row],[Billed_Price]]</f>
        <v>12865.9545</v>
      </c>
      <c r="Y824">
        <f>ReconciliationData[[#This Row],[ordered_units]]*ReconciliationData[[#This Row],[List_Price]]</f>
        <v>12865.9545</v>
      </c>
      <c r="Z824">
        <f>ReconciliationData[[#This Row],[billed_revenue]]-ReconciliationData[[#This Row],[expected_revenue]]</f>
        <v>0</v>
      </c>
      <c r="AA8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4" t="str">
        <f>IF(ReconciliationData[[#This Row],[severity_score]]=0,"LOW",
 IF(ReconciliationData[[#This Row],[severity_score]]&lt;=5,"MEDIUM","HIGH"))</f>
        <v>LOW</v>
      </c>
      <c r="AC824" t="str">
        <f>TEXT(ReconciliationData[[#This Row],[Order_Date]],"YYYY-MM")</f>
        <v>2023-02</v>
      </c>
    </row>
    <row r="825" spans="1:29">
      <c r="A825" t="s">
        <v>2577</v>
      </c>
      <c r="B825" s="1">
        <v>45193</v>
      </c>
      <c r="C825" t="s">
        <v>2578</v>
      </c>
      <c r="D825" t="s">
        <v>937</v>
      </c>
      <c r="E825">
        <v>160</v>
      </c>
      <c r="F825" t="s">
        <v>2579</v>
      </c>
      <c r="G825">
        <v>160</v>
      </c>
      <c r="H825">
        <v>431.81990000000002</v>
      </c>
      <c r="N825">
        <v>431.81990000000002</v>
      </c>
      <c r="O825" s="1">
        <v>44807</v>
      </c>
      <c r="P825">
        <f>IF(ISBLANK(ReconciliationData[[#This Row],[Invoice_ID]]),1,0)</f>
        <v>0</v>
      </c>
      <c r="Q825">
        <f>IF(AND(NOT(ISBLANK(ReconciliationData[[#This Row],[Billed_Units]])),ReconciliationData[[#This Row],[ordered_units]]&lt;&gt;ReconciliationData[[#This Row],[Billed_Units]]),1,0)</f>
        <v>0</v>
      </c>
      <c r="R8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5">
        <f>IF(AND(NOT(ISBLANK(ReconciliationData[[#This Row],[Contract_Price]])),ReconciliationData[[#This Row],[Billed_Price]]&lt;&gt;ReconciliationData[[#This Row],[Contract_Price]]),1,0)</f>
        <v>0</v>
      </c>
      <c r="T825">
        <f>IF(AND(NOT(ISBLANK(ReconciliationData[[#This Row],[End_Date]])),ReconciliationData[[#This Row],[Order_Date]]&gt;ReconciliationData[[#This Row],[End_Date]]),1,0)</f>
        <v>0</v>
      </c>
      <c r="U825">
        <f>IF(AND(NOT(ISBLANK(ReconciliationData[[#This Row],[last_return_date]])),ReconciliationData[[#This Row],[last_return_date]]&gt;ReconciliationData[[#This Row],[Order_Date]]+60),1,0)</f>
        <v>0</v>
      </c>
      <c r="V825">
        <f>IF(ReconciliationData[[#This Row],[total_returned_units]]&gt;ReconciliationData[[#This Row],[ordered_units]],1,0)</f>
        <v>0</v>
      </c>
      <c r="W8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5">
        <f>ReconciliationData[[#This Row],[Billed_Units]]*ReconciliationData[[#This Row],[Billed_Price]]</f>
        <v>69091.184000000008</v>
      </c>
      <c r="Y825">
        <f>ReconciliationData[[#This Row],[ordered_units]]*ReconciliationData[[#This Row],[List_Price]]</f>
        <v>69091.184000000008</v>
      </c>
      <c r="Z825">
        <f>ReconciliationData[[#This Row],[billed_revenue]]-ReconciliationData[[#This Row],[expected_revenue]]</f>
        <v>0</v>
      </c>
      <c r="AA8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5" t="str">
        <f>IF(ReconciliationData[[#This Row],[severity_score]]=0,"LOW",
 IF(ReconciliationData[[#This Row],[severity_score]]&lt;=5,"MEDIUM","HIGH"))</f>
        <v>LOW</v>
      </c>
      <c r="AC825" t="str">
        <f>TEXT(ReconciliationData[[#This Row],[Order_Date]],"YYYY-MM")</f>
        <v>2023-09</v>
      </c>
    </row>
    <row r="826" spans="1:29">
      <c r="A826" t="s">
        <v>2580</v>
      </c>
      <c r="B826" s="1">
        <v>45189</v>
      </c>
      <c r="C826" t="s">
        <v>2000</v>
      </c>
      <c r="D826" t="s">
        <v>880</v>
      </c>
      <c r="E826">
        <v>96</v>
      </c>
      <c r="F826" t="s">
        <v>2581</v>
      </c>
      <c r="G826">
        <v>96</v>
      </c>
      <c r="H826">
        <v>212.73140000000001</v>
      </c>
      <c r="N826">
        <v>212.73140000000001</v>
      </c>
      <c r="O826" s="1">
        <v>45144</v>
      </c>
      <c r="P826">
        <f>IF(ISBLANK(ReconciliationData[[#This Row],[Invoice_ID]]),1,0)</f>
        <v>0</v>
      </c>
      <c r="Q826">
        <f>IF(AND(NOT(ISBLANK(ReconciliationData[[#This Row],[Billed_Units]])),ReconciliationData[[#This Row],[ordered_units]]&lt;&gt;ReconciliationData[[#This Row],[Billed_Units]]),1,0)</f>
        <v>0</v>
      </c>
      <c r="R8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6">
        <f>IF(AND(NOT(ISBLANK(ReconciliationData[[#This Row],[Contract_Price]])),ReconciliationData[[#This Row],[Billed_Price]]&lt;&gt;ReconciliationData[[#This Row],[Contract_Price]]),1,0)</f>
        <v>0</v>
      </c>
      <c r="T826">
        <f>IF(AND(NOT(ISBLANK(ReconciliationData[[#This Row],[End_Date]])),ReconciliationData[[#This Row],[Order_Date]]&gt;ReconciliationData[[#This Row],[End_Date]]),1,0)</f>
        <v>0</v>
      </c>
      <c r="U826">
        <f>IF(AND(NOT(ISBLANK(ReconciliationData[[#This Row],[last_return_date]])),ReconciliationData[[#This Row],[last_return_date]]&gt;ReconciliationData[[#This Row],[Order_Date]]+60),1,0)</f>
        <v>0</v>
      </c>
      <c r="V826">
        <f>IF(ReconciliationData[[#This Row],[total_returned_units]]&gt;ReconciliationData[[#This Row],[ordered_units]],1,0)</f>
        <v>0</v>
      </c>
      <c r="W8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6">
        <f>ReconciliationData[[#This Row],[Billed_Units]]*ReconciliationData[[#This Row],[Billed_Price]]</f>
        <v>20422.214400000001</v>
      </c>
      <c r="Y826">
        <f>ReconciliationData[[#This Row],[ordered_units]]*ReconciliationData[[#This Row],[List_Price]]</f>
        <v>20422.214400000001</v>
      </c>
      <c r="Z826">
        <f>ReconciliationData[[#This Row],[billed_revenue]]-ReconciliationData[[#This Row],[expected_revenue]]</f>
        <v>0</v>
      </c>
      <c r="AA8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6" t="str">
        <f>IF(ReconciliationData[[#This Row],[severity_score]]=0,"LOW",
 IF(ReconciliationData[[#This Row],[severity_score]]&lt;=5,"MEDIUM","HIGH"))</f>
        <v>LOW</v>
      </c>
      <c r="AC826" t="str">
        <f>TEXT(ReconciliationData[[#This Row],[Order_Date]],"YYYY-MM")</f>
        <v>2023-09</v>
      </c>
    </row>
    <row r="827" spans="1:29">
      <c r="A827" t="s">
        <v>2582</v>
      </c>
      <c r="B827" s="1">
        <v>45463</v>
      </c>
      <c r="C827" t="s">
        <v>1378</v>
      </c>
      <c r="D827" t="s">
        <v>2583</v>
      </c>
      <c r="E827">
        <v>113</v>
      </c>
      <c r="F827" t="s">
        <v>2584</v>
      </c>
      <c r="G827">
        <v>113</v>
      </c>
      <c r="H827">
        <v>511.96</v>
      </c>
      <c r="N827">
        <v>511.96</v>
      </c>
      <c r="O827" s="1">
        <v>45058</v>
      </c>
      <c r="P827">
        <f>IF(ISBLANK(ReconciliationData[[#This Row],[Invoice_ID]]),1,0)</f>
        <v>0</v>
      </c>
      <c r="Q827">
        <f>IF(AND(NOT(ISBLANK(ReconciliationData[[#This Row],[Billed_Units]])),ReconciliationData[[#This Row],[ordered_units]]&lt;&gt;ReconciliationData[[#This Row],[Billed_Units]]),1,0)</f>
        <v>0</v>
      </c>
      <c r="R8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7">
        <f>IF(AND(NOT(ISBLANK(ReconciliationData[[#This Row],[Contract_Price]])),ReconciliationData[[#This Row],[Billed_Price]]&lt;&gt;ReconciliationData[[#This Row],[Contract_Price]]),1,0)</f>
        <v>0</v>
      </c>
      <c r="T827">
        <f>IF(AND(NOT(ISBLANK(ReconciliationData[[#This Row],[End_Date]])),ReconciliationData[[#This Row],[Order_Date]]&gt;ReconciliationData[[#This Row],[End_Date]]),1,0)</f>
        <v>0</v>
      </c>
      <c r="U827">
        <f>IF(AND(NOT(ISBLANK(ReconciliationData[[#This Row],[last_return_date]])),ReconciliationData[[#This Row],[last_return_date]]&gt;ReconciliationData[[#This Row],[Order_Date]]+60),1,0)</f>
        <v>0</v>
      </c>
      <c r="V827">
        <f>IF(ReconciliationData[[#This Row],[total_returned_units]]&gt;ReconciliationData[[#This Row],[ordered_units]],1,0)</f>
        <v>0</v>
      </c>
      <c r="W8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7">
        <f>ReconciliationData[[#This Row],[Billed_Units]]*ReconciliationData[[#This Row],[Billed_Price]]</f>
        <v>57851.479999999996</v>
      </c>
      <c r="Y827">
        <f>ReconciliationData[[#This Row],[ordered_units]]*ReconciliationData[[#This Row],[List_Price]]</f>
        <v>57851.479999999996</v>
      </c>
      <c r="Z827">
        <f>ReconciliationData[[#This Row],[billed_revenue]]-ReconciliationData[[#This Row],[expected_revenue]]</f>
        <v>0</v>
      </c>
      <c r="AA8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7" t="str">
        <f>IF(ReconciliationData[[#This Row],[severity_score]]=0,"LOW",
 IF(ReconciliationData[[#This Row],[severity_score]]&lt;=5,"MEDIUM","HIGH"))</f>
        <v>LOW</v>
      </c>
      <c r="AC827" t="str">
        <f>TEXT(ReconciliationData[[#This Row],[Order_Date]],"YYYY-MM")</f>
        <v>2024-06</v>
      </c>
    </row>
    <row r="828" spans="1:29">
      <c r="A828" t="s">
        <v>2585</v>
      </c>
      <c r="B828" s="1">
        <v>45300</v>
      </c>
      <c r="C828" t="s">
        <v>2336</v>
      </c>
      <c r="D828" t="s">
        <v>1285</v>
      </c>
      <c r="E828">
        <v>65</v>
      </c>
      <c r="F828" t="s">
        <v>2586</v>
      </c>
      <c r="G828">
        <v>65</v>
      </c>
      <c r="H828">
        <v>415.8877</v>
      </c>
      <c r="N828">
        <v>415.8877</v>
      </c>
      <c r="O828" s="1">
        <v>45146</v>
      </c>
      <c r="P828">
        <f>IF(ISBLANK(ReconciliationData[[#This Row],[Invoice_ID]]),1,0)</f>
        <v>0</v>
      </c>
      <c r="Q828">
        <f>IF(AND(NOT(ISBLANK(ReconciliationData[[#This Row],[Billed_Units]])),ReconciliationData[[#This Row],[ordered_units]]&lt;&gt;ReconciliationData[[#This Row],[Billed_Units]]),1,0)</f>
        <v>0</v>
      </c>
      <c r="R8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8">
        <f>IF(AND(NOT(ISBLANK(ReconciliationData[[#This Row],[Contract_Price]])),ReconciliationData[[#This Row],[Billed_Price]]&lt;&gt;ReconciliationData[[#This Row],[Contract_Price]]),1,0)</f>
        <v>0</v>
      </c>
      <c r="T828">
        <f>IF(AND(NOT(ISBLANK(ReconciliationData[[#This Row],[End_Date]])),ReconciliationData[[#This Row],[Order_Date]]&gt;ReconciliationData[[#This Row],[End_Date]]),1,0)</f>
        <v>0</v>
      </c>
      <c r="U828">
        <f>IF(AND(NOT(ISBLANK(ReconciliationData[[#This Row],[last_return_date]])),ReconciliationData[[#This Row],[last_return_date]]&gt;ReconciliationData[[#This Row],[Order_Date]]+60),1,0)</f>
        <v>0</v>
      </c>
      <c r="V828">
        <f>IF(ReconciliationData[[#This Row],[total_returned_units]]&gt;ReconciliationData[[#This Row],[ordered_units]],1,0)</f>
        <v>0</v>
      </c>
      <c r="W8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8">
        <f>ReconciliationData[[#This Row],[Billed_Units]]*ReconciliationData[[#This Row],[Billed_Price]]</f>
        <v>27032.700499999999</v>
      </c>
      <c r="Y828">
        <f>ReconciliationData[[#This Row],[ordered_units]]*ReconciliationData[[#This Row],[List_Price]]</f>
        <v>27032.700499999999</v>
      </c>
      <c r="Z828">
        <f>ReconciliationData[[#This Row],[billed_revenue]]-ReconciliationData[[#This Row],[expected_revenue]]</f>
        <v>0</v>
      </c>
      <c r="AA8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8" t="str">
        <f>IF(ReconciliationData[[#This Row],[severity_score]]=0,"LOW",
 IF(ReconciliationData[[#This Row],[severity_score]]&lt;=5,"MEDIUM","HIGH"))</f>
        <v>LOW</v>
      </c>
      <c r="AC828" t="str">
        <f>TEXT(ReconciliationData[[#This Row],[Order_Date]],"YYYY-MM")</f>
        <v>2024-01</v>
      </c>
    </row>
    <row r="829" spans="1:29">
      <c r="A829" t="s">
        <v>2587</v>
      </c>
      <c r="B829" s="1">
        <v>45277</v>
      </c>
      <c r="C829" t="s">
        <v>219</v>
      </c>
      <c r="D829" t="s">
        <v>1555</v>
      </c>
      <c r="E829">
        <v>183</v>
      </c>
      <c r="F829" t="s">
        <v>2588</v>
      </c>
      <c r="G829">
        <v>183</v>
      </c>
      <c r="H829">
        <v>850.16200000000003</v>
      </c>
      <c r="N829">
        <v>850.16200000000003</v>
      </c>
      <c r="O829" s="1">
        <v>45099</v>
      </c>
      <c r="P829">
        <f>IF(ISBLANK(ReconciliationData[[#This Row],[Invoice_ID]]),1,0)</f>
        <v>0</v>
      </c>
      <c r="Q829">
        <f>IF(AND(NOT(ISBLANK(ReconciliationData[[#This Row],[Billed_Units]])),ReconciliationData[[#This Row],[ordered_units]]&lt;&gt;ReconciliationData[[#This Row],[Billed_Units]]),1,0)</f>
        <v>0</v>
      </c>
      <c r="R8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29">
        <f>IF(AND(NOT(ISBLANK(ReconciliationData[[#This Row],[Contract_Price]])),ReconciliationData[[#This Row],[Billed_Price]]&lt;&gt;ReconciliationData[[#This Row],[Contract_Price]]),1,0)</f>
        <v>0</v>
      </c>
      <c r="T829">
        <f>IF(AND(NOT(ISBLANK(ReconciliationData[[#This Row],[End_Date]])),ReconciliationData[[#This Row],[Order_Date]]&gt;ReconciliationData[[#This Row],[End_Date]]),1,0)</f>
        <v>0</v>
      </c>
      <c r="U829">
        <f>IF(AND(NOT(ISBLANK(ReconciliationData[[#This Row],[last_return_date]])),ReconciliationData[[#This Row],[last_return_date]]&gt;ReconciliationData[[#This Row],[Order_Date]]+60),1,0)</f>
        <v>0</v>
      </c>
      <c r="V829">
        <f>IF(ReconciliationData[[#This Row],[total_returned_units]]&gt;ReconciliationData[[#This Row],[ordered_units]],1,0)</f>
        <v>0</v>
      </c>
      <c r="W8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29">
        <f>ReconciliationData[[#This Row],[Billed_Units]]*ReconciliationData[[#This Row],[Billed_Price]]</f>
        <v>155579.64600000001</v>
      </c>
      <c r="Y829">
        <f>ReconciliationData[[#This Row],[ordered_units]]*ReconciliationData[[#This Row],[List_Price]]</f>
        <v>155579.64600000001</v>
      </c>
      <c r="Z829">
        <f>ReconciliationData[[#This Row],[billed_revenue]]-ReconciliationData[[#This Row],[expected_revenue]]</f>
        <v>0</v>
      </c>
      <c r="AA8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29" t="str">
        <f>IF(ReconciliationData[[#This Row],[severity_score]]=0,"LOW",
 IF(ReconciliationData[[#This Row],[severity_score]]&lt;=5,"MEDIUM","HIGH"))</f>
        <v>LOW</v>
      </c>
      <c r="AC829" t="str">
        <f>TEXT(ReconciliationData[[#This Row],[Order_Date]],"YYYY-MM")</f>
        <v>2023-12</v>
      </c>
    </row>
    <row r="830" spans="1:29">
      <c r="A830" t="s">
        <v>2589</v>
      </c>
      <c r="B830" s="1">
        <v>45153</v>
      </c>
      <c r="C830" t="s">
        <v>2590</v>
      </c>
      <c r="D830" t="s">
        <v>883</v>
      </c>
      <c r="E830">
        <v>104</v>
      </c>
      <c r="F830" t="s">
        <v>2591</v>
      </c>
      <c r="G830">
        <v>104</v>
      </c>
      <c r="H830">
        <v>403.01909999999998</v>
      </c>
      <c r="N830">
        <v>403.01909999999998</v>
      </c>
      <c r="O830" s="1">
        <v>45056</v>
      </c>
      <c r="P830">
        <f>IF(ISBLANK(ReconciliationData[[#This Row],[Invoice_ID]]),1,0)</f>
        <v>0</v>
      </c>
      <c r="Q830">
        <f>IF(AND(NOT(ISBLANK(ReconciliationData[[#This Row],[Billed_Units]])),ReconciliationData[[#This Row],[ordered_units]]&lt;&gt;ReconciliationData[[#This Row],[Billed_Units]]),1,0)</f>
        <v>0</v>
      </c>
      <c r="R8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0">
        <f>IF(AND(NOT(ISBLANK(ReconciliationData[[#This Row],[Contract_Price]])),ReconciliationData[[#This Row],[Billed_Price]]&lt;&gt;ReconciliationData[[#This Row],[Contract_Price]]),1,0)</f>
        <v>0</v>
      </c>
      <c r="T830">
        <f>IF(AND(NOT(ISBLANK(ReconciliationData[[#This Row],[End_Date]])),ReconciliationData[[#This Row],[Order_Date]]&gt;ReconciliationData[[#This Row],[End_Date]]),1,0)</f>
        <v>0</v>
      </c>
      <c r="U830">
        <f>IF(AND(NOT(ISBLANK(ReconciliationData[[#This Row],[last_return_date]])),ReconciliationData[[#This Row],[last_return_date]]&gt;ReconciliationData[[#This Row],[Order_Date]]+60),1,0)</f>
        <v>0</v>
      </c>
      <c r="V830">
        <f>IF(ReconciliationData[[#This Row],[total_returned_units]]&gt;ReconciliationData[[#This Row],[ordered_units]],1,0)</f>
        <v>0</v>
      </c>
      <c r="W8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30">
        <f>ReconciliationData[[#This Row],[Billed_Units]]*ReconciliationData[[#This Row],[Billed_Price]]</f>
        <v>41913.986399999994</v>
      </c>
      <c r="Y830">
        <f>ReconciliationData[[#This Row],[ordered_units]]*ReconciliationData[[#This Row],[List_Price]]</f>
        <v>41913.986399999994</v>
      </c>
      <c r="Z830">
        <f>ReconciliationData[[#This Row],[billed_revenue]]-ReconciliationData[[#This Row],[expected_revenue]]</f>
        <v>0</v>
      </c>
      <c r="AA8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30" t="str">
        <f>IF(ReconciliationData[[#This Row],[severity_score]]=0,"LOW",
 IF(ReconciliationData[[#This Row],[severity_score]]&lt;=5,"MEDIUM","HIGH"))</f>
        <v>LOW</v>
      </c>
      <c r="AC830" t="str">
        <f>TEXT(ReconciliationData[[#This Row],[Order_Date]],"YYYY-MM")</f>
        <v>2023-08</v>
      </c>
    </row>
    <row r="831" spans="1:29">
      <c r="A831" t="s">
        <v>2592</v>
      </c>
      <c r="B831" s="1">
        <v>45014</v>
      </c>
      <c r="C831" t="s">
        <v>661</v>
      </c>
      <c r="D831" t="s">
        <v>1142</v>
      </c>
      <c r="E831">
        <v>68</v>
      </c>
      <c r="F831" t="s">
        <v>2593</v>
      </c>
      <c r="G831">
        <v>68</v>
      </c>
      <c r="H831">
        <v>624.37260000000003</v>
      </c>
      <c r="I831">
        <v>13</v>
      </c>
      <c r="J831" s="1">
        <v>45439</v>
      </c>
      <c r="N831">
        <v>624.37260000000003</v>
      </c>
      <c r="O831" s="1">
        <v>44932</v>
      </c>
      <c r="P831">
        <f>IF(ISBLANK(ReconciliationData[[#This Row],[Invoice_ID]]),1,0)</f>
        <v>0</v>
      </c>
      <c r="Q831">
        <f>IF(AND(NOT(ISBLANK(ReconciliationData[[#This Row],[Billed_Units]])),ReconciliationData[[#This Row],[ordered_units]]&lt;&gt;ReconciliationData[[#This Row],[Billed_Units]]),1,0)</f>
        <v>0</v>
      </c>
      <c r="R8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1">
        <f>IF(AND(NOT(ISBLANK(ReconciliationData[[#This Row],[Contract_Price]])),ReconciliationData[[#This Row],[Billed_Price]]&lt;&gt;ReconciliationData[[#This Row],[Contract_Price]]),1,0)</f>
        <v>0</v>
      </c>
      <c r="T831">
        <f>IF(AND(NOT(ISBLANK(ReconciliationData[[#This Row],[End_Date]])),ReconciliationData[[#This Row],[Order_Date]]&gt;ReconciliationData[[#This Row],[End_Date]]),1,0)</f>
        <v>0</v>
      </c>
      <c r="U831">
        <f>IF(AND(NOT(ISBLANK(ReconciliationData[[#This Row],[last_return_date]])),ReconciliationData[[#This Row],[last_return_date]]&gt;ReconciliationData[[#This Row],[Order_Date]]+60),1,0)</f>
        <v>1</v>
      </c>
      <c r="V831">
        <f>IF(ReconciliationData[[#This Row],[total_returned_units]]&gt;ReconciliationData[[#This Row],[ordered_units]],1,0)</f>
        <v>0</v>
      </c>
      <c r="W8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31">
        <f>ReconciliationData[[#This Row],[Billed_Units]]*ReconciliationData[[#This Row],[Billed_Price]]</f>
        <v>42457.336800000005</v>
      </c>
      <c r="Y831">
        <f>ReconciliationData[[#This Row],[ordered_units]]*ReconciliationData[[#This Row],[List_Price]]</f>
        <v>42457.336800000005</v>
      </c>
      <c r="Z831">
        <f>ReconciliationData[[#This Row],[billed_revenue]]-ReconciliationData[[#This Row],[expected_revenue]]</f>
        <v>0</v>
      </c>
      <c r="AA8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831" t="str">
        <f>IF(ReconciliationData[[#This Row],[severity_score]]=0,"LOW",
 IF(ReconciliationData[[#This Row],[severity_score]]&lt;=5,"MEDIUM","HIGH"))</f>
        <v>MEDIUM</v>
      </c>
      <c r="AC831" t="str">
        <f>TEXT(ReconciliationData[[#This Row],[Order_Date]],"YYYY-MM")</f>
        <v>2023-03</v>
      </c>
    </row>
    <row r="832" spans="1:29">
      <c r="A832" t="s">
        <v>2594</v>
      </c>
      <c r="B832" s="1">
        <v>45263</v>
      </c>
      <c r="C832" t="s">
        <v>2595</v>
      </c>
      <c r="D832" t="s">
        <v>684</v>
      </c>
      <c r="E832">
        <v>168</v>
      </c>
      <c r="F832" t="s">
        <v>2596</v>
      </c>
      <c r="G832">
        <v>168</v>
      </c>
      <c r="H832">
        <v>75.620999999999995</v>
      </c>
      <c r="N832">
        <v>75.620999999999995</v>
      </c>
      <c r="O832" s="1">
        <v>45108</v>
      </c>
      <c r="P832">
        <f>IF(ISBLANK(ReconciliationData[[#This Row],[Invoice_ID]]),1,0)</f>
        <v>0</v>
      </c>
      <c r="Q832">
        <f>IF(AND(NOT(ISBLANK(ReconciliationData[[#This Row],[Billed_Units]])),ReconciliationData[[#This Row],[ordered_units]]&lt;&gt;ReconciliationData[[#This Row],[Billed_Units]]),1,0)</f>
        <v>0</v>
      </c>
      <c r="R8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2">
        <f>IF(AND(NOT(ISBLANK(ReconciliationData[[#This Row],[Contract_Price]])),ReconciliationData[[#This Row],[Billed_Price]]&lt;&gt;ReconciliationData[[#This Row],[Contract_Price]]),1,0)</f>
        <v>0</v>
      </c>
      <c r="T832">
        <f>IF(AND(NOT(ISBLANK(ReconciliationData[[#This Row],[End_Date]])),ReconciliationData[[#This Row],[Order_Date]]&gt;ReconciliationData[[#This Row],[End_Date]]),1,0)</f>
        <v>0</v>
      </c>
      <c r="U832">
        <f>IF(AND(NOT(ISBLANK(ReconciliationData[[#This Row],[last_return_date]])),ReconciliationData[[#This Row],[last_return_date]]&gt;ReconciliationData[[#This Row],[Order_Date]]+60),1,0)</f>
        <v>0</v>
      </c>
      <c r="V832">
        <f>IF(ReconciliationData[[#This Row],[total_returned_units]]&gt;ReconciliationData[[#This Row],[ordered_units]],1,0)</f>
        <v>0</v>
      </c>
      <c r="W8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32">
        <f>ReconciliationData[[#This Row],[Billed_Units]]*ReconciliationData[[#This Row],[Billed_Price]]</f>
        <v>12704.328</v>
      </c>
      <c r="Y832">
        <f>ReconciliationData[[#This Row],[ordered_units]]*ReconciliationData[[#This Row],[List_Price]]</f>
        <v>12704.328</v>
      </c>
      <c r="Z832">
        <f>ReconciliationData[[#This Row],[billed_revenue]]-ReconciliationData[[#This Row],[expected_revenue]]</f>
        <v>0</v>
      </c>
      <c r="AA8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32" t="str">
        <f>IF(ReconciliationData[[#This Row],[severity_score]]=0,"LOW",
 IF(ReconciliationData[[#This Row],[severity_score]]&lt;=5,"MEDIUM","HIGH"))</f>
        <v>LOW</v>
      </c>
      <c r="AC832" t="str">
        <f>TEXT(ReconciliationData[[#This Row],[Order_Date]],"YYYY-MM")</f>
        <v>2023-12</v>
      </c>
    </row>
    <row r="833" spans="1:29">
      <c r="A833" t="s">
        <v>2597</v>
      </c>
      <c r="B833" s="1">
        <v>45401</v>
      </c>
      <c r="C833" t="s">
        <v>2598</v>
      </c>
      <c r="D833" t="s">
        <v>317</v>
      </c>
      <c r="E833">
        <v>116</v>
      </c>
      <c r="F833" t="s">
        <v>2599</v>
      </c>
      <c r="G833">
        <v>116</v>
      </c>
      <c r="H833">
        <v>1119.3012000000001</v>
      </c>
      <c r="N833">
        <v>1119.3012000000001</v>
      </c>
      <c r="O833" s="1">
        <v>45091</v>
      </c>
      <c r="P833">
        <f>IF(ISBLANK(ReconciliationData[[#This Row],[Invoice_ID]]),1,0)</f>
        <v>0</v>
      </c>
      <c r="Q833">
        <f>IF(AND(NOT(ISBLANK(ReconciliationData[[#This Row],[Billed_Units]])),ReconciliationData[[#This Row],[ordered_units]]&lt;&gt;ReconciliationData[[#This Row],[Billed_Units]]),1,0)</f>
        <v>0</v>
      </c>
      <c r="R8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3">
        <f>IF(AND(NOT(ISBLANK(ReconciliationData[[#This Row],[Contract_Price]])),ReconciliationData[[#This Row],[Billed_Price]]&lt;&gt;ReconciliationData[[#This Row],[Contract_Price]]),1,0)</f>
        <v>0</v>
      </c>
      <c r="T833">
        <f>IF(AND(NOT(ISBLANK(ReconciliationData[[#This Row],[End_Date]])),ReconciliationData[[#This Row],[Order_Date]]&gt;ReconciliationData[[#This Row],[End_Date]]),1,0)</f>
        <v>0</v>
      </c>
      <c r="U833">
        <f>IF(AND(NOT(ISBLANK(ReconciliationData[[#This Row],[last_return_date]])),ReconciliationData[[#This Row],[last_return_date]]&gt;ReconciliationData[[#This Row],[Order_Date]]+60),1,0)</f>
        <v>0</v>
      </c>
      <c r="V833">
        <f>IF(ReconciliationData[[#This Row],[total_returned_units]]&gt;ReconciliationData[[#This Row],[ordered_units]],1,0)</f>
        <v>0</v>
      </c>
      <c r="W8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33">
        <f>ReconciliationData[[#This Row],[Billed_Units]]*ReconciliationData[[#This Row],[Billed_Price]]</f>
        <v>129838.93920000001</v>
      </c>
      <c r="Y833">
        <f>ReconciliationData[[#This Row],[ordered_units]]*ReconciliationData[[#This Row],[List_Price]]</f>
        <v>129838.93920000001</v>
      </c>
      <c r="Z833">
        <f>ReconciliationData[[#This Row],[billed_revenue]]-ReconciliationData[[#This Row],[expected_revenue]]</f>
        <v>0</v>
      </c>
      <c r="AA8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33" t="str">
        <f>IF(ReconciliationData[[#This Row],[severity_score]]=0,"LOW",
 IF(ReconciliationData[[#This Row],[severity_score]]&lt;=5,"MEDIUM","HIGH"))</f>
        <v>LOW</v>
      </c>
      <c r="AC833" t="str">
        <f>TEXT(ReconciliationData[[#This Row],[Order_Date]],"YYYY-MM")</f>
        <v>2024-04</v>
      </c>
    </row>
    <row r="834" spans="1:29">
      <c r="A834" t="s">
        <v>2600</v>
      </c>
      <c r="B834" s="1">
        <v>45578</v>
      </c>
      <c r="C834" t="s">
        <v>599</v>
      </c>
      <c r="D834" t="s">
        <v>764</v>
      </c>
      <c r="E834">
        <v>16</v>
      </c>
      <c r="F834" t="s">
        <v>2601</v>
      </c>
      <c r="G834">
        <v>16</v>
      </c>
      <c r="H834">
        <v>1220.5917999999999</v>
      </c>
      <c r="N834">
        <v>1220.5917999999999</v>
      </c>
      <c r="O834" s="1">
        <v>45153</v>
      </c>
      <c r="P834">
        <f>IF(ISBLANK(ReconciliationData[[#This Row],[Invoice_ID]]),1,0)</f>
        <v>0</v>
      </c>
      <c r="Q834">
        <f>IF(AND(NOT(ISBLANK(ReconciliationData[[#This Row],[Billed_Units]])),ReconciliationData[[#This Row],[ordered_units]]&lt;&gt;ReconciliationData[[#This Row],[Billed_Units]]),1,0)</f>
        <v>0</v>
      </c>
      <c r="R8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4">
        <f>IF(AND(NOT(ISBLANK(ReconciliationData[[#This Row],[Contract_Price]])),ReconciliationData[[#This Row],[Billed_Price]]&lt;&gt;ReconciliationData[[#This Row],[Contract_Price]]),1,0)</f>
        <v>0</v>
      </c>
      <c r="T834">
        <f>IF(AND(NOT(ISBLANK(ReconciliationData[[#This Row],[End_Date]])),ReconciliationData[[#This Row],[Order_Date]]&gt;ReconciliationData[[#This Row],[End_Date]]),1,0)</f>
        <v>0</v>
      </c>
      <c r="U834">
        <f>IF(AND(NOT(ISBLANK(ReconciliationData[[#This Row],[last_return_date]])),ReconciliationData[[#This Row],[last_return_date]]&gt;ReconciliationData[[#This Row],[Order_Date]]+60),1,0)</f>
        <v>0</v>
      </c>
      <c r="V834">
        <f>IF(ReconciliationData[[#This Row],[total_returned_units]]&gt;ReconciliationData[[#This Row],[ordered_units]],1,0)</f>
        <v>0</v>
      </c>
      <c r="W8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34">
        <f>ReconciliationData[[#This Row],[Billed_Units]]*ReconciliationData[[#This Row],[Billed_Price]]</f>
        <v>19529.468799999999</v>
      </c>
      <c r="Y834">
        <f>ReconciliationData[[#This Row],[ordered_units]]*ReconciliationData[[#This Row],[List_Price]]</f>
        <v>19529.468799999999</v>
      </c>
      <c r="Z834">
        <f>ReconciliationData[[#This Row],[billed_revenue]]-ReconciliationData[[#This Row],[expected_revenue]]</f>
        <v>0</v>
      </c>
      <c r="AA8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34" t="str">
        <f>IF(ReconciliationData[[#This Row],[severity_score]]=0,"LOW",
 IF(ReconciliationData[[#This Row],[severity_score]]&lt;=5,"MEDIUM","HIGH"))</f>
        <v>LOW</v>
      </c>
      <c r="AC834" t="str">
        <f>TEXT(ReconciliationData[[#This Row],[Order_Date]],"YYYY-MM")</f>
        <v>2024-10</v>
      </c>
    </row>
    <row r="835" spans="1:29">
      <c r="A835" t="s">
        <v>2602</v>
      </c>
      <c r="B835" s="1">
        <v>45515</v>
      </c>
      <c r="C835" t="s">
        <v>2031</v>
      </c>
      <c r="D835" t="s">
        <v>1305</v>
      </c>
      <c r="E835">
        <v>110</v>
      </c>
      <c r="F835" t="s">
        <v>2603</v>
      </c>
      <c r="G835">
        <v>110</v>
      </c>
      <c r="H835">
        <v>250.3184</v>
      </c>
      <c r="N835">
        <v>250.3184</v>
      </c>
      <c r="O835" s="1">
        <v>45212</v>
      </c>
      <c r="P835">
        <f>IF(ISBLANK(ReconciliationData[[#This Row],[Invoice_ID]]),1,0)</f>
        <v>0</v>
      </c>
      <c r="Q835">
        <f>IF(AND(NOT(ISBLANK(ReconciliationData[[#This Row],[Billed_Units]])),ReconciliationData[[#This Row],[ordered_units]]&lt;&gt;ReconciliationData[[#This Row],[Billed_Units]]),1,0)</f>
        <v>0</v>
      </c>
      <c r="R8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5">
        <f>IF(AND(NOT(ISBLANK(ReconciliationData[[#This Row],[Contract_Price]])),ReconciliationData[[#This Row],[Billed_Price]]&lt;&gt;ReconciliationData[[#This Row],[Contract_Price]]),1,0)</f>
        <v>0</v>
      </c>
      <c r="T835">
        <f>IF(AND(NOT(ISBLANK(ReconciliationData[[#This Row],[End_Date]])),ReconciliationData[[#This Row],[Order_Date]]&gt;ReconciliationData[[#This Row],[End_Date]]),1,0)</f>
        <v>0</v>
      </c>
      <c r="U835">
        <f>IF(AND(NOT(ISBLANK(ReconciliationData[[#This Row],[last_return_date]])),ReconciliationData[[#This Row],[last_return_date]]&gt;ReconciliationData[[#This Row],[Order_Date]]+60),1,0)</f>
        <v>0</v>
      </c>
      <c r="V835">
        <f>IF(ReconciliationData[[#This Row],[total_returned_units]]&gt;ReconciliationData[[#This Row],[ordered_units]],1,0)</f>
        <v>0</v>
      </c>
      <c r="W8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35">
        <f>ReconciliationData[[#This Row],[Billed_Units]]*ReconciliationData[[#This Row],[Billed_Price]]</f>
        <v>27535.024000000001</v>
      </c>
      <c r="Y835">
        <f>ReconciliationData[[#This Row],[ordered_units]]*ReconciliationData[[#This Row],[List_Price]]</f>
        <v>27535.024000000001</v>
      </c>
      <c r="Z835">
        <f>ReconciliationData[[#This Row],[billed_revenue]]-ReconciliationData[[#This Row],[expected_revenue]]</f>
        <v>0</v>
      </c>
      <c r="AA8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35" t="str">
        <f>IF(ReconciliationData[[#This Row],[severity_score]]=0,"LOW",
 IF(ReconciliationData[[#This Row],[severity_score]]&lt;=5,"MEDIUM","HIGH"))</f>
        <v>LOW</v>
      </c>
      <c r="AC835" t="str">
        <f>TEXT(ReconciliationData[[#This Row],[Order_Date]],"YYYY-MM")</f>
        <v>2024-08</v>
      </c>
    </row>
    <row r="836" spans="1:29">
      <c r="A836" t="s">
        <v>2604</v>
      </c>
      <c r="B836" s="1">
        <v>45214</v>
      </c>
      <c r="C836" t="s">
        <v>1657</v>
      </c>
      <c r="D836" t="s">
        <v>2605</v>
      </c>
      <c r="E836">
        <v>13</v>
      </c>
      <c r="F836" t="s">
        <v>2606</v>
      </c>
      <c r="G836">
        <v>13</v>
      </c>
      <c r="H836">
        <v>696.93029999999999</v>
      </c>
      <c r="N836">
        <v>696.93029999999999</v>
      </c>
      <c r="O836" s="1">
        <v>45150</v>
      </c>
      <c r="P836">
        <f>IF(ISBLANK(ReconciliationData[[#This Row],[Invoice_ID]]),1,0)</f>
        <v>0</v>
      </c>
      <c r="Q836">
        <f>IF(AND(NOT(ISBLANK(ReconciliationData[[#This Row],[Billed_Units]])),ReconciliationData[[#This Row],[ordered_units]]&lt;&gt;ReconciliationData[[#This Row],[Billed_Units]]),1,0)</f>
        <v>0</v>
      </c>
      <c r="R8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6">
        <f>IF(AND(NOT(ISBLANK(ReconciliationData[[#This Row],[Contract_Price]])),ReconciliationData[[#This Row],[Billed_Price]]&lt;&gt;ReconciliationData[[#This Row],[Contract_Price]]),1,0)</f>
        <v>0</v>
      </c>
      <c r="T836">
        <f>IF(AND(NOT(ISBLANK(ReconciliationData[[#This Row],[End_Date]])),ReconciliationData[[#This Row],[Order_Date]]&gt;ReconciliationData[[#This Row],[End_Date]]),1,0)</f>
        <v>0</v>
      </c>
      <c r="U836">
        <f>IF(AND(NOT(ISBLANK(ReconciliationData[[#This Row],[last_return_date]])),ReconciliationData[[#This Row],[last_return_date]]&gt;ReconciliationData[[#This Row],[Order_Date]]+60),1,0)</f>
        <v>0</v>
      </c>
      <c r="V836">
        <f>IF(ReconciliationData[[#This Row],[total_returned_units]]&gt;ReconciliationData[[#This Row],[ordered_units]],1,0)</f>
        <v>0</v>
      </c>
      <c r="W8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36">
        <f>ReconciliationData[[#This Row],[Billed_Units]]*ReconciliationData[[#This Row],[Billed_Price]]</f>
        <v>9060.0938999999998</v>
      </c>
      <c r="Y836">
        <f>ReconciliationData[[#This Row],[ordered_units]]*ReconciliationData[[#This Row],[List_Price]]</f>
        <v>9060.0938999999998</v>
      </c>
      <c r="Z836">
        <f>ReconciliationData[[#This Row],[billed_revenue]]-ReconciliationData[[#This Row],[expected_revenue]]</f>
        <v>0</v>
      </c>
      <c r="AA8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36" t="str">
        <f>IF(ReconciliationData[[#This Row],[severity_score]]=0,"LOW",
 IF(ReconciliationData[[#This Row],[severity_score]]&lt;=5,"MEDIUM","HIGH"))</f>
        <v>LOW</v>
      </c>
      <c r="AC836" t="str">
        <f>TEXT(ReconciliationData[[#This Row],[Order_Date]],"YYYY-MM")</f>
        <v>2023-10</v>
      </c>
    </row>
    <row r="837" spans="1:29">
      <c r="A837" t="s">
        <v>2607</v>
      </c>
      <c r="B837" s="1">
        <v>45222</v>
      </c>
      <c r="C837" t="s">
        <v>2608</v>
      </c>
      <c r="D837" t="s">
        <v>969</v>
      </c>
      <c r="E837">
        <v>37</v>
      </c>
      <c r="F837" t="s">
        <v>2609</v>
      </c>
      <c r="G837">
        <v>37</v>
      </c>
      <c r="H837">
        <v>991.99</v>
      </c>
      <c r="N837">
        <v>991.99</v>
      </c>
      <c r="O837" s="1">
        <v>44976</v>
      </c>
      <c r="P837">
        <f>IF(ISBLANK(ReconciliationData[[#This Row],[Invoice_ID]]),1,0)</f>
        <v>0</v>
      </c>
      <c r="Q837">
        <f>IF(AND(NOT(ISBLANK(ReconciliationData[[#This Row],[Billed_Units]])),ReconciliationData[[#This Row],[ordered_units]]&lt;&gt;ReconciliationData[[#This Row],[Billed_Units]]),1,0)</f>
        <v>0</v>
      </c>
      <c r="R8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7">
        <f>IF(AND(NOT(ISBLANK(ReconciliationData[[#This Row],[Contract_Price]])),ReconciliationData[[#This Row],[Billed_Price]]&lt;&gt;ReconciliationData[[#This Row],[Contract_Price]]),1,0)</f>
        <v>0</v>
      </c>
      <c r="T837">
        <f>IF(AND(NOT(ISBLANK(ReconciliationData[[#This Row],[End_Date]])),ReconciliationData[[#This Row],[Order_Date]]&gt;ReconciliationData[[#This Row],[End_Date]]),1,0)</f>
        <v>0</v>
      </c>
      <c r="U837">
        <f>IF(AND(NOT(ISBLANK(ReconciliationData[[#This Row],[last_return_date]])),ReconciliationData[[#This Row],[last_return_date]]&gt;ReconciliationData[[#This Row],[Order_Date]]+60),1,0)</f>
        <v>0</v>
      </c>
      <c r="V837">
        <f>IF(ReconciliationData[[#This Row],[total_returned_units]]&gt;ReconciliationData[[#This Row],[ordered_units]],1,0)</f>
        <v>0</v>
      </c>
      <c r="W8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37">
        <f>ReconciliationData[[#This Row],[Billed_Units]]*ReconciliationData[[#This Row],[Billed_Price]]</f>
        <v>36703.629999999997</v>
      </c>
      <c r="Y837">
        <f>ReconciliationData[[#This Row],[ordered_units]]*ReconciliationData[[#This Row],[List_Price]]</f>
        <v>36703.629999999997</v>
      </c>
      <c r="Z837">
        <f>ReconciliationData[[#This Row],[billed_revenue]]-ReconciliationData[[#This Row],[expected_revenue]]</f>
        <v>0</v>
      </c>
      <c r="AA8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37" t="str">
        <f>IF(ReconciliationData[[#This Row],[severity_score]]=0,"LOW",
 IF(ReconciliationData[[#This Row],[severity_score]]&lt;=5,"MEDIUM","HIGH"))</f>
        <v>LOW</v>
      </c>
      <c r="AC837" t="str">
        <f>TEXT(ReconciliationData[[#This Row],[Order_Date]],"YYYY-MM")</f>
        <v>2023-10</v>
      </c>
    </row>
    <row r="838" spans="1:29">
      <c r="A838" t="s">
        <v>2610</v>
      </c>
      <c r="B838" s="1">
        <v>45113</v>
      </c>
      <c r="C838" t="s">
        <v>2611</v>
      </c>
      <c r="D838" t="s">
        <v>479</v>
      </c>
      <c r="E838">
        <v>101</v>
      </c>
      <c r="F838" t="s">
        <v>2612</v>
      </c>
      <c r="G838">
        <v>101</v>
      </c>
      <c r="H838">
        <v>1014.5718000000001</v>
      </c>
      <c r="N838">
        <v>1014.5718000000001</v>
      </c>
      <c r="O838" s="1">
        <v>45035</v>
      </c>
      <c r="P838">
        <f>IF(ISBLANK(ReconciliationData[[#This Row],[Invoice_ID]]),1,0)</f>
        <v>0</v>
      </c>
      <c r="Q838">
        <f>IF(AND(NOT(ISBLANK(ReconciliationData[[#This Row],[Billed_Units]])),ReconciliationData[[#This Row],[ordered_units]]&lt;&gt;ReconciliationData[[#This Row],[Billed_Units]]),1,0)</f>
        <v>0</v>
      </c>
      <c r="R8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8">
        <f>IF(AND(NOT(ISBLANK(ReconciliationData[[#This Row],[Contract_Price]])),ReconciliationData[[#This Row],[Billed_Price]]&lt;&gt;ReconciliationData[[#This Row],[Contract_Price]]),1,0)</f>
        <v>0</v>
      </c>
      <c r="T838">
        <f>IF(AND(NOT(ISBLANK(ReconciliationData[[#This Row],[End_Date]])),ReconciliationData[[#This Row],[Order_Date]]&gt;ReconciliationData[[#This Row],[End_Date]]),1,0)</f>
        <v>0</v>
      </c>
      <c r="U838">
        <f>IF(AND(NOT(ISBLANK(ReconciliationData[[#This Row],[last_return_date]])),ReconciliationData[[#This Row],[last_return_date]]&gt;ReconciliationData[[#This Row],[Order_Date]]+60),1,0)</f>
        <v>0</v>
      </c>
      <c r="V838">
        <f>IF(ReconciliationData[[#This Row],[total_returned_units]]&gt;ReconciliationData[[#This Row],[ordered_units]],1,0)</f>
        <v>0</v>
      </c>
      <c r="W8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38">
        <f>ReconciliationData[[#This Row],[Billed_Units]]*ReconciliationData[[#This Row],[Billed_Price]]</f>
        <v>102471.7518</v>
      </c>
      <c r="Y838">
        <f>ReconciliationData[[#This Row],[ordered_units]]*ReconciliationData[[#This Row],[List_Price]]</f>
        <v>102471.7518</v>
      </c>
      <c r="Z838">
        <f>ReconciliationData[[#This Row],[billed_revenue]]-ReconciliationData[[#This Row],[expected_revenue]]</f>
        <v>0</v>
      </c>
      <c r="AA8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38" t="str">
        <f>IF(ReconciliationData[[#This Row],[severity_score]]=0,"LOW",
 IF(ReconciliationData[[#This Row],[severity_score]]&lt;=5,"MEDIUM","HIGH"))</f>
        <v>LOW</v>
      </c>
      <c r="AC838" t="str">
        <f>TEXT(ReconciliationData[[#This Row],[Order_Date]],"YYYY-MM")</f>
        <v>2023-07</v>
      </c>
    </row>
    <row r="839" spans="1:29">
      <c r="A839" t="s">
        <v>2613</v>
      </c>
      <c r="B839" s="1">
        <v>45044</v>
      </c>
      <c r="C839" t="s">
        <v>2614</v>
      </c>
      <c r="D839" t="s">
        <v>239</v>
      </c>
      <c r="E839">
        <v>67</v>
      </c>
      <c r="F839" t="s">
        <v>2615</v>
      </c>
      <c r="G839">
        <v>67</v>
      </c>
      <c r="H839">
        <v>1218.568</v>
      </c>
      <c r="N839">
        <v>1218.568</v>
      </c>
      <c r="O839" s="1">
        <v>44970</v>
      </c>
      <c r="P839">
        <f>IF(ISBLANK(ReconciliationData[[#This Row],[Invoice_ID]]),1,0)</f>
        <v>0</v>
      </c>
      <c r="Q839">
        <f>IF(AND(NOT(ISBLANK(ReconciliationData[[#This Row],[Billed_Units]])),ReconciliationData[[#This Row],[ordered_units]]&lt;&gt;ReconciliationData[[#This Row],[Billed_Units]]),1,0)</f>
        <v>0</v>
      </c>
      <c r="R8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39">
        <f>IF(AND(NOT(ISBLANK(ReconciliationData[[#This Row],[Contract_Price]])),ReconciliationData[[#This Row],[Billed_Price]]&lt;&gt;ReconciliationData[[#This Row],[Contract_Price]]),1,0)</f>
        <v>0</v>
      </c>
      <c r="T839">
        <f>IF(AND(NOT(ISBLANK(ReconciliationData[[#This Row],[End_Date]])),ReconciliationData[[#This Row],[Order_Date]]&gt;ReconciliationData[[#This Row],[End_Date]]),1,0)</f>
        <v>0</v>
      </c>
      <c r="U839">
        <f>IF(AND(NOT(ISBLANK(ReconciliationData[[#This Row],[last_return_date]])),ReconciliationData[[#This Row],[last_return_date]]&gt;ReconciliationData[[#This Row],[Order_Date]]+60),1,0)</f>
        <v>0</v>
      </c>
      <c r="V839">
        <f>IF(ReconciliationData[[#This Row],[total_returned_units]]&gt;ReconciliationData[[#This Row],[ordered_units]],1,0)</f>
        <v>0</v>
      </c>
      <c r="W8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39">
        <f>ReconciliationData[[#This Row],[Billed_Units]]*ReconciliationData[[#This Row],[Billed_Price]]</f>
        <v>81644.055999999997</v>
      </c>
      <c r="Y839">
        <f>ReconciliationData[[#This Row],[ordered_units]]*ReconciliationData[[#This Row],[List_Price]]</f>
        <v>81644.055999999997</v>
      </c>
      <c r="Z839">
        <f>ReconciliationData[[#This Row],[billed_revenue]]-ReconciliationData[[#This Row],[expected_revenue]]</f>
        <v>0</v>
      </c>
      <c r="AA8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39" t="str">
        <f>IF(ReconciliationData[[#This Row],[severity_score]]=0,"LOW",
 IF(ReconciliationData[[#This Row],[severity_score]]&lt;=5,"MEDIUM","HIGH"))</f>
        <v>LOW</v>
      </c>
      <c r="AC839" t="str">
        <f>TEXT(ReconciliationData[[#This Row],[Order_Date]],"YYYY-MM")</f>
        <v>2023-04</v>
      </c>
    </row>
    <row r="840" spans="1:29">
      <c r="A840" t="s">
        <v>2616</v>
      </c>
      <c r="B840" s="1">
        <v>45483</v>
      </c>
      <c r="C840" t="s">
        <v>687</v>
      </c>
      <c r="D840" t="s">
        <v>1432</v>
      </c>
      <c r="E840">
        <v>112</v>
      </c>
      <c r="F840" t="s">
        <v>2617</v>
      </c>
      <c r="G840">
        <v>112</v>
      </c>
      <c r="H840">
        <v>828.36189999999999</v>
      </c>
      <c r="N840">
        <v>828.36189999999999</v>
      </c>
      <c r="O840" s="1">
        <v>45137</v>
      </c>
      <c r="P840">
        <f>IF(ISBLANK(ReconciliationData[[#This Row],[Invoice_ID]]),1,0)</f>
        <v>0</v>
      </c>
      <c r="Q840">
        <f>IF(AND(NOT(ISBLANK(ReconciliationData[[#This Row],[Billed_Units]])),ReconciliationData[[#This Row],[ordered_units]]&lt;&gt;ReconciliationData[[#This Row],[Billed_Units]]),1,0)</f>
        <v>0</v>
      </c>
      <c r="R8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40">
        <f>IF(AND(NOT(ISBLANK(ReconciliationData[[#This Row],[Contract_Price]])),ReconciliationData[[#This Row],[Billed_Price]]&lt;&gt;ReconciliationData[[#This Row],[Contract_Price]]),1,0)</f>
        <v>0</v>
      </c>
      <c r="T840">
        <f>IF(AND(NOT(ISBLANK(ReconciliationData[[#This Row],[End_Date]])),ReconciliationData[[#This Row],[Order_Date]]&gt;ReconciliationData[[#This Row],[End_Date]]),1,0)</f>
        <v>0</v>
      </c>
      <c r="U840">
        <f>IF(AND(NOT(ISBLANK(ReconciliationData[[#This Row],[last_return_date]])),ReconciliationData[[#This Row],[last_return_date]]&gt;ReconciliationData[[#This Row],[Order_Date]]+60),1,0)</f>
        <v>0</v>
      </c>
      <c r="V840">
        <f>IF(ReconciliationData[[#This Row],[total_returned_units]]&gt;ReconciliationData[[#This Row],[ordered_units]],1,0)</f>
        <v>0</v>
      </c>
      <c r="W8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40">
        <f>ReconciliationData[[#This Row],[Billed_Units]]*ReconciliationData[[#This Row],[Billed_Price]]</f>
        <v>92776.532800000001</v>
      </c>
      <c r="Y840">
        <f>ReconciliationData[[#This Row],[ordered_units]]*ReconciliationData[[#This Row],[List_Price]]</f>
        <v>92776.532800000001</v>
      </c>
      <c r="Z840">
        <f>ReconciliationData[[#This Row],[billed_revenue]]-ReconciliationData[[#This Row],[expected_revenue]]</f>
        <v>0</v>
      </c>
      <c r="AA8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40" t="str">
        <f>IF(ReconciliationData[[#This Row],[severity_score]]=0,"LOW",
 IF(ReconciliationData[[#This Row],[severity_score]]&lt;=5,"MEDIUM","HIGH"))</f>
        <v>LOW</v>
      </c>
      <c r="AC840" t="str">
        <f>TEXT(ReconciliationData[[#This Row],[Order_Date]],"YYYY-MM")</f>
        <v>2024-07</v>
      </c>
    </row>
    <row r="841" spans="1:29">
      <c r="A841" t="s">
        <v>2618</v>
      </c>
      <c r="B841" s="1">
        <v>45507</v>
      </c>
      <c r="C841" t="s">
        <v>2619</v>
      </c>
      <c r="D841" t="s">
        <v>1845</v>
      </c>
      <c r="E841">
        <v>40</v>
      </c>
      <c r="F841" t="s">
        <v>2620</v>
      </c>
      <c r="G841">
        <v>40</v>
      </c>
      <c r="H841">
        <v>901.84500000000003</v>
      </c>
      <c r="N841">
        <v>901.84500000000003</v>
      </c>
      <c r="O841" s="1">
        <v>45216</v>
      </c>
      <c r="P841">
        <f>IF(ISBLANK(ReconciliationData[[#This Row],[Invoice_ID]]),1,0)</f>
        <v>0</v>
      </c>
      <c r="Q841">
        <f>IF(AND(NOT(ISBLANK(ReconciliationData[[#This Row],[Billed_Units]])),ReconciliationData[[#This Row],[ordered_units]]&lt;&gt;ReconciliationData[[#This Row],[Billed_Units]]),1,0)</f>
        <v>0</v>
      </c>
      <c r="R8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41">
        <f>IF(AND(NOT(ISBLANK(ReconciliationData[[#This Row],[Contract_Price]])),ReconciliationData[[#This Row],[Billed_Price]]&lt;&gt;ReconciliationData[[#This Row],[Contract_Price]]),1,0)</f>
        <v>0</v>
      </c>
      <c r="T841">
        <f>IF(AND(NOT(ISBLANK(ReconciliationData[[#This Row],[End_Date]])),ReconciliationData[[#This Row],[Order_Date]]&gt;ReconciliationData[[#This Row],[End_Date]]),1,0)</f>
        <v>0</v>
      </c>
      <c r="U841">
        <f>IF(AND(NOT(ISBLANK(ReconciliationData[[#This Row],[last_return_date]])),ReconciliationData[[#This Row],[last_return_date]]&gt;ReconciliationData[[#This Row],[Order_Date]]+60),1,0)</f>
        <v>0</v>
      </c>
      <c r="V841">
        <f>IF(ReconciliationData[[#This Row],[total_returned_units]]&gt;ReconciliationData[[#This Row],[ordered_units]],1,0)</f>
        <v>0</v>
      </c>
      <c r="W8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41">
        <f>ReconciliationData[[#This Row],[Billed_Units]]*ReconciliationData[[#This Row],[Billed_Price]]</f>
        <v>36073.800000000003</v>
      </c>
      <c r="Y841">
        <f>ReconciliationData[[#This Row],[ordered_units]]*ReconciliationData[[#This Row],[List_Price]]</f>
        <v>36073.800000000003</v>
      </c>
      <c r="Z841">
        <f>ReconciliationData[[#This Row],[billed_revenue]]-ReconciliationData[[#This Row],[expected_revenue]]</f>
        <v>0</v>
      </c>
      <c r="AA8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41" t="str">
        <f>IF(ReconciliationData[[#This Row],[severity_score]]=0,"LOW",
 IF(ReconciliationData[[#This Row],[severity_score]]&lt;=5,"MEDIUM","HIGH"))</f>
        <v>LOW</v>
      </c>
      <c r="AC841" t="str">
        <f>TEXT(ReconciliationData[[#This Row],[Order_Date]],"YYYY-MM")</f>
        <v>2024-08</v>
      </c>
    </row>
    <row r="842" spans="1:29">
      <c r="A842" t="s">
        <v>2621</v>
      </c>
      <c r="B842" s="1">
        <v>44965</v>
      </c>
      <c r="C842" t="s">
        <v>1660</v>
      </c>
      <c r="D842" t="s">
        <v>2622</v>
      </c>
      <c r="E842">
        <v>54</v>
      </c>
      <c r="F842" t="s">
        <v>2623</v>
      </c>
      <c r="G842">
        <v>54</v>
      </c>
      <c r="H842">
        <v>428.59800000000007</v>
      </c>
      <c r="N842">
        <v>428.59800000000007</v>
      </c>
      <c r="O842" s="1">
        <v>44798</v>
      </c>
      <c r="P842">
        <f>IF(ISBLANK(ReconciliationData[[#This Row],[Invoice_ID]]),1,0)</f>
        <v>0</v>
      </c>
      <c r="Q842">
        <f>IF(AND(NOT(ISBLANK(ReconciliationData[[#This Row],[Billed_Units]])),ReconciliationData[[#This Row],[ordered_units]]&lt;&gt;ReconciliationData[[#This Row],[Billed_Units]]),1,0)</f>
        <v>0</v>
      </c>
      <c r="R8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42">
        <f>IF(AND(NOT(ISBLANK(ReconciliationData[[#This Row],[Contract_Price]])),ReconciliationData[[#This Row],[Billed_Price]]&lt;&gt;ReconciliationData[[#This Row],[Contract_Price]]),1,0)</f>
        <v>0</v>
      </c>
      <c r="T842">
        <f>IF(AND(NOT(ISBLANK(ReconciliationData[[#This Row],[End_Date]])),ReconciliationData[[#This Row],[Order_Date]]&gt;ReconciliationData[[#This Row],[End_Date]]),1,0)</f>
        <v>0</v>
      </c>
      <c r="U842">
        <f>IF(AND(NOT(ISBLANK(ReconciliationData[[#This Row],[last_return_date]])),ReconciliationData[[#This Row],[last_return_date]]&gt;ReconciliationData[[#This Row],[Order_Date]]+60),1,0)</f>
        <v>0</v>
      </c>
      <c r="V842">
        <f>IF(ReconciliationData[[#This Row],[total_returned_units]]&gt;ReconciliationData[[#This Row],[ordered_units]],1,0)</f>
        <v>0</v>
      </c>
      <c r="W8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42">
        <f>ReconciliationData[[#This Row],[Billed_Units]]*ReconciliationData[[#This Row],[Billed_Price]]</f>
        <v>23144.292000000005</v>
      </c>
      <c r="Y842">
        <f>ReconciliationData[[#This Row],[ordered_units]]*ReconciliationData[[#This Row],[List_Price]]</f>
        <v>23144.292000000005</v>
      </c>
      <c r="Z842">
        <f>ReconciliationData[[#This Row],[billed_revenue]]-ReconciliationData[[#This Row],[expected_revenue]]</f>
        <v>0</v>
      </c>
      <c r="AA8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42" t="str">
        <f>IF(ReconciliationData[[#This Row],[severity_score]]=0,"LOW",
 IF(ReconciliationData[[#This Row],[severity_score]]&lt;=5,"MEDIUM","HIGH"))</f>
        <v>LOW</v>
      </c>
      <c r="AC842" t="str">
        <f>TEXT(ReconciliationData[[#This Row],[Order_Date]],"YYYY-MM")</f>
        <v>2023-02</v>
      </c>
    </row>
    <row r="843" spans="1:29">
      <c r="A843" t="s">
        <v>2624</v>
      </c>
      <c r="B843" s="1">
        <v>45616</v>
      </c>
      <c r="C843" t="s">
        <v>2625</v>
      </c>
      <c r="D843" t="s">
        <v>522</v>
      </c>
      <c r="E843">
        <v>27</v>
      </c>
      <c r="F843" t="s">
        <v>2626</v>
      </c>
      <c r="G843">
        <v>36</v>
      </c>
      <c r="H843">
        <v>826.46400000000006</v>
      </c>
      <c r="K843">
        <v>817.86</v>
      </c>
      <c r="L843" s="1">
        <v>44977</v>
      </c>
      <c r="M843" s="1">
        <v>45261</v>
      </c>
      <c r="N843">
        <v>826.46400000000006</v>
      </c>
      <c r="O843" s="1">
        <v>45128</v>
      </c>
      <c r="P843">
        <f>IF(ISBLANK(ReconciliationData[[#This Row],[Invoice_ID]]),1,0)</f>
        <v>0</v>
      </c>
      <c r="Q843">
        <f>IF(AND(NOT(ISBLANK(ReconciliationData[[#This Row],[Billed_Units]])),ReconciliationData[[#This Row],[ordered_units]]&lt;&gt;ReconciliationData[[#This Row],[Billed_Units]]),1,0)</f>
        <v>1</v>
      </c>
      <c r="R8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43">
        <f>IF(AND(NOT(ISBLANK(ReconciliationData[[#This Row],[Contract_Price]])),ReconciliationData[[#This Row],[Billed_Price]]&lt;&gt;ReconciliationData[[#This Row],[Contract_Price]]),1,0)</f>
        <v>1</v>
      </c>
      <c r="T843">
        <f>IF(AND(NOT(ISBLANK(ReconciliationData[[#This Row],[End_Date]])),ReconciliationData[[#This Row],[Order_Date]]&gt;ReconciliationData[[#This Row],[End_Date]]),1,0)</f>
        <v>1</v>
      </c>
      <c r="U843">
        <f>IF(AND(NOT(ISBLANK(ReconciliationData[[#This Row],[last_return_date]])),ReconciliationData[[#This Row],[last_return_date]]&gt;ReconciliationData[[#This Row],[Order_Date]]+60),1,0)</f>
        <v>0</v>
      </c>
      <c r="V843">
        <f>IF(ReconciliationData[[#This Row],[total_returned_units]]&gt;ReconciliationData[[#This Row],[ordered_units]],1,0)</f>
        <v>0</v>
      </c>
      <c r="W8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43">
        <f>ReconciliationData[[#This Row],[Billed_Units]]*ReconciliationData[[#This Row],[Billed_Price]]</f>
        <v>29752.704000000002</v>
      </c>
      <c r="Y843">
        <f>ReconciliationData[[#This Row],[ordered_units]]*ReconciliationData[[#This Row],[List_Price]]</f>
        <v>22314.528000000002</v>
      </c>
      <c r="Z843">
        <f>ReconciliationData[[#This Row],[billed_revenue]]-ReconciliationData[[#This Row],[expected_revenue]]</f>
        <v>7438.1759999999995</v>
      </c>
      <c r="AA8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16</v>
      </c>
      <c r="AB843" t="str">
        <f>IF(ReconciliationData[[#This Row],[severity_score]]=0,"LOW",
 IF(ReconciliationData[[#This Row],[severity_score]]&lt;=5,"MEDIUM","HIGH"))</f>
        <v>HIGH</v>
      </c>
      <c r="AC843" t="str">
        <f>TEXT(ReconciliationData[[#This Row],[Order_Date]],"YYYY-MM")</f>
        <v>2024-11</v>
      </c>
    </row>
    <row r="844" spans="1:29">
      <c r="A844" t="s">
        <v>2627</v>
      </c>
      <c r="B844" s="1">
        <v>45190</v>
      </c>
      <c r="C844" t="s">
        <v>1808</v>
      </c>
      <c r="D844" t="s">
        <v>370</v>
      </c>
      <c r="E844">
        <v>29</v>
      </c>
      <c r="F844" t="s">
        <v>2628</v>
      </c>
      <c r="G844">
        <v>29</v>
      </c>
      <c r="H844">
        <v>639.91840000000002</v>
      </c>
      <c r="N844">
        <v>639.91840000000002</v>
      </c>
      <c r="O844" s="1">
        <v>44930</v>
      </c>
      <c r="P844">
        <f>IF(ISBLANK(ReconciliationData[[#This Row],[Invoice_ID]]),1,0)</f>
        <v>0</v>
      </c>
      <c r="Q844">
        <f>IF(AND(NOT(ISBLANK(ReconciliationData[[#This Row],[Billed_Units]])),ReconciliationData[[#This Row],[ordered_units]]&lt;&gt;ReconciliationData[[#This Row],[Billed_Units]]),1,0)</f>
        <v>0</v>
      </c>
      <c r="R8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44">
        <f>IF(AND(NOT(ISBLANK(ReconciliationData[[#This Row],[Contract_Price]])),ReconciliationData[[#This Row],[Billed_Price]]&lt;&gt;ReconciliationData[[#This Row],[Contract_Price]]),1,0)</f>
        <v>0</v>
      </c>
      <c r="T844">
        <f>IF(AND(NOT(ISBLANK(ReconciliationData[[#This Row],[End_Date]])),ReconciliationData[[#This Row],[Order_Date]]&gt;ReconciliationData[[#This Row],[End_Date]]),1,0)</f>
        <v>0</v>
      </c>
      <c r="U844">
        <f>IF(AND(NOT(ISBLANK(ReconciliationData[[#This Row],[last_return_date]])),ReconciliationData[[#This Row],[last_return_date]]&gt;ReconciliationData[[#This Row],[Order_Date]]+60),1,0)</f>
        <v>0</v>
      </c>
      <c r="V844">
        <f>IF(ReconciliationData[[#This Row],[total_returned_units]]&gt;ReconciliationData[[#This Row],[ordered_units]],1,0)</f>
        <v>0</v>
      </c>
      <c r="W8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44">
        <f>ReconciliationData[[#This Row],[Billed_Units]]*ReconciliationData[[#This Row],[Billed_Price]]</f>
        <v>18557.633600000001</v>
      </c>
      <c r="Y844">
        <f>ReconciliationData[[#This Row],[ordered_units]]*ReconciliationData[[#This Row],[List_Price]]</f>
        <v>18557.633600000001</v>
      </c>
      <c r="Z844">
        <f>ReconciliationData[[#This Row],[billed_revenue]]-ReconciliationData[[#This Row],[expected_revenue]]</f>
        <v>0</v>
      </c>
      <c r="AA8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44" t="str">
        <f>IF(ReconciliationData[[#This Row],[severity_score]]=0,"LOW",
 IF(ReconciliationData[[#This Row],[severity_score]]&lt;=5,"MEDIUM","HIGH"))</f>
        <v>LOW</v>
      </c>
      <c r="AC844" t="str">
        <f>TEXT(ReconciliationData[[#This Row],[Order_Date]],"YYYY-MM")</f>
        <v>2023-09</v>
      </c>
    </row>
    <row r="845" spans="1:29">
      <c r="A845" t="s">
        <v>2629</v>
      </c>
      <c r="B845" s="1">
        <v>45065</v>
      </c>
      <c r="C845" t="s">
        <v>1053</v>
      </c>
      <c r="D845" t="s">
        <v>969</v>
      </c>
      <c r="E845">
        <v>27</v>
      </c>
      <c r="F845" t="s">
        <v>2630</v>
      </c>
      <c r="G845">
        <v>27</v>
      </c>
      <c r="H845">
        <v>991.99</v>
      </c>
      <c r="N845">
        <v>991.99</v>
      </c>
      <c r="O845" s="1">
        <v>44976</v>
      </c>
      <c r="P845">
        <f>IF(ISBLANK(ReconciliationData[[#This Row],[Invoice_ID]]),1,0)</f>
        <v>0</v>
      </c>
      <c r="Q845">
        <f>IF(AND(NOT(ISBLANK(ReconciliationData[[#This Row],[Billed_Units]])),ReconciliationData[[#This Row],[ordered_units]]&lt;&gt;ReconciliationData[[#This Row],[Billed_Units]]),1,0)</f>
        <v>0</v>
      </c>
      <c r="R8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45">
        <f>IF(AND(NOT(ISBLANK(ReconciliationData[[#This Row],[Contract_Price]])),ReconciliationData[[#This Row],[Billed_Price]]&lt;&gt;ReconciliationData[[#This Row],[Contract_Price]]),1,0)</f>
        <v>0</v>
      </c>
      <c r="T845">
        <f>IF(AND(NOT(ISBLANK(ReconciliationData[[#This Row],[End_Date]])),ReconciliationData[[#This Row],[Order_Date]]&gt;ReconciliationData[[#This Row],[End_Date]]),1,0)</f>
        <v>0</v>
      </c>
      <c r="U845">
        <f>IF(AND(NOT(ISBLANK(ReconciliationData[[#This Row],[last_return_date]])),ReconciliationData[[#This Row],[last_return_date]]&gt;ReconciliationData[[#This Row],[Order_Date]]+60),1,0)</f>
        <v>0</v>
      </c>
      <c r="V845">
        <f>IF(ReconciliationData[[#This Row],[total_returned_units]]&gt;ReconciliationData[[#This Row],[ordered_units]],1,0)</f>
        <v>0</v>
      </c>
      <c r="W8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45">
        <f>ReconciliationData[[#This Row],[Billed_Units]]*ReconciliationData[[#This Row],[Billed_Price]]</f>
        <v>26783.73</v>
      </c>
      <c r="Y845">
        <f>ReconciliationData[[#This Row],[ordered_units]]*ReconciliationData[[#This Row],[List_Price]]</f>
        <v>26783.73</v>
      </c>
      <c r="Z845">
        <f>ReconciliationData[[#This Row],[billed_revenue]]-ReconciliationData[[#This Row],[expected_revenue]]</f>
        <v>0</v>
      </c>
      <c r="AA8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45" t="str">
        <f>IF(ReconciliationData[[#This Row],[severity_score]]=0,"LOW",
 IF(ReconciliationData[[#This Row],[severity_score]]&lt;=5,"MEDIUM","HIGH"))</f>
        <v>LOW</v>
      </c>
      <c r="AC845" t="str">
        <f>TEXT(ReconciliationData[[#This Row],[Order_Date]],"YYYY-MM")</f>
        <v>2023-05</v>
      </c>
    </row>
    <row r="846" spans="1:29">
      <c r="A846" t="s">
        <v>2631</v>
      </c>
      <c r="B846" s="1">
        <v>45333</v>
      </c>
      <c r="C846" t="s">
        <v>2632</v>
      </c>
      <c r="D846" t="s">
        <v>309</v>
      </c>
      <c r="E846">
        <v>144</v>
      </c>
      <c r="F846" t="s">
        <v>2633</v>
      </c>
      <c r="G846">
        <v>144</v>
      </c>
      <c r="H846">
        <v>946.74860000000001</v>
      </c>
      <c r="I846">
        <v>16</v>
      </c>
      <c r="J846" s="1">
        <v>45177</v>
      </c>
      <c r="N846">
        <v>946.74860000000001</v>
      </c>
      <c r="O846" s="1">
        <v>45038</v>
      </c>
      <c r="P846">
        <f>IF(ISBLANK(ReconciliationData[[#This Row],[Invoice_ID]]),1,0)</f>
        <v>0</v>
      </c>
      <c r="Q846">
        <f>IF(AND(NOT(ISBLANK(ReconciliationData[[#This Row],[Billed_Units]])),ReconciliationData[[#This Row],[ordered_units]]&lt;&gt;ReconciliationData[[#This Row],[Billed_Units]]),1,0)</f>
        <v>0</v>
      </c>
      <c r="R8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46">
        <f>IF(AND(NOT(ISBLANK(ReconciliationData[[#This Row],[Contract_Price]])),ReconciliationData[[#This Row],[Billed_Price]]&lt;&gt;ReconciliationData[[#This Row],[Contract_Price]]),1,0)</f>
        <v>0</v>
      </c>
      <c r="T846">
        <f>IF(AND(NOT(ISBLANK(ReconciliationData[[#This Row],[End_Date]])),ReconciliationData[[#This Row],[Order_Date]]&gt;ReconciliationData[[#This Row],[End_Date]]),1,0)</f>
        <v>0</v>
      </c>
      <c r="U846">
        <f>IF(AND(NOT(ISBLANK(ReconciliationData[[#This Row],[last_return_date]])),ReconciliationData[[#This Row],[last_return_date]]&gt;ReconciliationData[[#This Row],[Order_Date]]+60),1,0)</f>
        <v>0</v>
      </c>
      <c r="V846">
        <f>IF(ReconciliationData[[#This Row],[total_returned_units]]&gt;ReconciliationData[[#This Row],[ordered_units]],1,0)</f>
        <v>0</v>
      </c>
      <c r="W8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46">
        <f>ReconciliationData[[#This Row],[Billed_Units]]*ReconciliationData[[#This Row],[Billed_Price]]</f>
        <v>136331.7984</v>
      </c>
      <c r="Y846">
        <f>ReconciliationData[[#This Row],[ordered_units]]*ReconciliationData[[#This Row],[List_Price]]</f>
        <v>136331.7984</v>
      </c>
      <c r="Z846">
        <f>ReconciliationData[[#This Row],[billed_revenue]]-ReconciliationData[[#This Row],[expected_revenue]]</f>
        <v>0</v>
      </c>
      <c r="AA8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46" t="str">
        <f>IF(ReconciliationData[[#This Row],[severity_score]]=0,"LOW",
 IF(ReconciliationData[[#This Row],[severity_score]]&lt;=5,"MEDIUM","HIGH"))</f>
        <v>LOW</v>
      </c>
      <c r="AC846" t="str">
        <f>TEXT(ReconciliationData[[#This Row],[Order_Date]],"YYYY-MM")</f>
        <v>2024-02</v>
      </c>
    </row>
    <row r="847" spans="1:29">
      <c r="A847" t="s">
        <v>2634</v>
      </c>
      <c r="B847" s="1">
        <v>45644</v>
      </c>
      <c r="C847" t="s">
        <v>2143</v>
      </c>
      <c r="D847" t="s">
        <v>604</v>
      </c>
      <c r="E847">
        <v>112</v>
      </c>
      <c r="F847" t="s">
        <v>2635</v>
      </c>
      <c r="G847">
        <v>112</v>
      </c>
      <c r="H847">
        <v>1073.4646772079002</v>
      </c>
      <c r="N847">
        <v>1072.5387000000001</v>
      </c>
      <c r="O847" s="1">
        <v>45023</v>
      </c>
      <c r="P847">
        <f>IF(ISBLANK(ReconciliationData[[#This Row],[Invoice_ID]]),1,0)</f>
        <v>0</v>
      </c>
      <c r="Q847">
        <f>IF(AND(NOT(ISBLANK(ReconciliationData[[#This Row],[Billed_Units]])),ReconciliationData[[#This Row],[ordered_units]]&lt;&gt;ReconciliationData[[#This Row],[Billed_Units]]),1,0)</f>
        <v>0</v>
      </c>
      <c r="R84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847">
        <f>IF(AND(NOT(ISBLANK(ReconciliationData[[#This Row],[Contract_Price]])),ReconciliationData[[#This Row],[Billed_Price]]&lt;&gt;ReconciliationData[[#This Row],[Contract_Price]]),1,0)</f>
        <v>0</v>
      </c>
      <c r="T847">
        <f>IF(AND(NOT(ISBLANK(ReconciliationData[[#This Row],[End_Date]])),ReconciliationData[[#This Row],[Order_Date]]&gt;ReconciliationData[[#This Row],[End_Date]]),1,0)</f>
        <v>0</v>
      </c>
      <c r="U847">
        <f>IF(AND(NOT(ISBLANK(ReconciliationData[[#This Row],[last_return_date]])),ReconciliationData[[#This Row],[last_return_date]]&gt;ReconciliationData[[#This Row],[Order_Date]]+60),1,0)</f>
        <v>0</v>
      </c>
      <c r="V847">
        <f>IF(ReconciliationData[[#This Row],[total_returned_units]]&gt;ReconciliationData[[#This Row],[ordered_units]],1,0)</f>
        <v>0</v>
      </c>
      <c r="W8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47">
        <f>ReconciliationData[[#This Row],[Billed_Units]]*ReconciliationData[[#This Row],[Billed_Price]]</f>
        <v>120228.04384728482</v>
      </c>
      <c r="Y847">
        <f>ReconciliationData[[#This Row],[ordered_units]]*ReconciliationData[[#This Row],[List_Price]]</f>
        <v>120124.33440000001</v>
      </c>
      <c r="Z847">
        <f>ReconciliationData[[#This Row],[billed_revenue]]-ReconciliationData[[#This Row],[expected_revenue]]</f>
        <v>103.70944728481118</v>
      </c>
      <c r="AA8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847" t="str">
        <f>IF(ReconciliationData[[#This Row],[severity_score]]=0,"LOW",
 IF(ReconciliationData[[#This Row],[severity_score]]&lt;=5,"MEDIUM","HIGH"))</f>
        <v>MEDIUM</v>
      </c>
      <c r="AC847" t="str">
        <f>TEXT(ReconciliationData[[#This Row],[Order_Date]],"YYYY-MM")</f>
        <v>2024-12</v>
      </c>
    </row>
    <row r="848" spans="1:29">
      <c r="A848" t="s">
        <v>2636</v>
      </c>
      <c r="B848" s="1">
        <v>45400</v>
      </c>
      <c r="C848" t="s">
        <v>305</v>
      </c>
      <c r="D848" t="s">
        <v>487</v>
      </c>
      <c r="E848">
        <v>171</v>
      </c>
      <c r="F848" t="s">
        <v>2637</v>
      </c>
      <c r="G848">
        <v>171</v>
      </c>
      <c r="H848">
        <v>280.13922363744683</v>
      </c>
      <c r="N848">
        <v>280.03500000000003</v>
      </c>
      <c r="O848" s="1">
        <v>45146</v>
      </c>
      <c r="P848">
        <f>IF(ISBLANK(ReconciliationData[[#This Row],[Invoice_ID]]),1,0)</f>
        <v>0</v>
      </c>
      <c r="Q848">
        <f>IF(AND(NOT(ISBLANK(ReconciliationData[[#This Row],[Billed_Units]])),ReconciliationData[[#This Row],[ordered_units]]&lt;&gt;ReconciliationData[[#This Row],[Billed_Units]]),1,0)</f>
        <v>0</v>
      </c>
      <c r="R848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848">
        <f>IF(AND(NOT(ISBLANK(ReconciliationData[[#This Row],[Contract_Price]])),ReconciliationData[[#This Row],[Billed_Price]]&lt;&gt;ReconciliationData[[#This Row],[Contract_Price]]),1,0)</f>
        <v>0</v>
      </c>
      <c r="T848">
        <f>IF(AND(NOT(ISBLANK(ReconciliationData[[#This Row],[End_Date]])),ReconciliationData[[#This Row],[Order_Date]]&gt;ReconciliationData[[#This Row],[End_Date]]),1,0)</f>
        <v>0</v>
      </c>
      <c r="U848">
        <f>IF(AND(NOT(ISBLANK(ReconciliationData[[#This Row],[last_return_date]])),ReconciliationData[[#This Row],[last_return_date]]&gt;ReconciliationData[[#This Row],[Order_Date]]+60),1,0)</f>
        <v>0</v>
      </c>
      <c r="V848">
        <f>IF(ReconciliationData[[#This Row],[total_returned_units]]&gt;ReconciliationData[[#This Row],[ordered_units]],1,0)</f>
        <v>0</v>
      </c>
      <c r="W8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48">
        <f>ReconciliationData[[#This Row],[Billed_Units]]*ReconciliationData[[#This Row],[Billed_Price]]</f>
        <v>47903.807242003408</v>
      </c>
      <c r="Y848">
        <f>ReconciliationData[[#This Row],[ordered_units]]*ReconciliationData[[#This Row],[List_Price]]</f>
        <v>47885.985000000008</v>
      </c>
      <c r="Z848">
        <f>ReconciliationData[[#This Row],[billed_revenue]]-ReconciliationData[[#This Row],[expected_revenue]]</f>
        <v>17.822242003399879</v>
      </c>
      <c r="AA8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848" t="str">
        <f>IF(ReconciliationData[[#This Row],[severity_score]]=0,"LOW",
 IF(ReconciliationData[[#This Row],[severity_score]]&lt;=5,"MEDIUM","HIGH"))</f>
        <v>MEDIUM</v>
      </c>
      <c r="AC848" t="str">
        <f>TEXT(ReconciliationData[[#This Row],[Order_Date]],"YYYY-MM")</f>
        <v>2024-04</v>
      </c>
    </row>
    <row r="849" spans="1:29">
      <c r="A849" t="s">
        <v>2638</v>
      </c>
      <c r="B849" s="1">
        <v>45066</v>
      </c>
      <c r="C849" t="s">
        <v>2639</v>
      </c>
      <c r="D849" t="s">
        <v>883</v>
      </c>
      <c r="E849">
        <v>88</v>
      </c>
      <c r="F849" t="s">
        <v>2640</v>
      </c>
      <c r="G849">
        <v>88</v>
      </c>
      <c r="H849">
        <v>403.01909999999998</v>
      </c>
      <c r="N849">
        <v>403.01909999999998</v>
      </c>
      <c r="O849" s="1">
        <v>45056</v>
      </c>
      <c r="P849">
        <f>IF(ISBLANK(ReconciliationData[[#This Row],[Invoice_ID]]),1,0)</f>
        <v>0</v>
      </c>
      <c r="Q849">
        <f>IF(AND(NOT(ISBLANK(ReconciliationData[[#This Row],[Billed_Units]])),ReconciliationData[[#This Row],[ordered_units]]&lt;&gt;ReconciliationData[[#This Row],[Billed_Units]]),1,0)</f>
        <v>0</v>
      </c>
      <c r="R8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49">
        <f>IF(AND(NOT(ISBLANK(ReconciliationData[[#This Row],[Contract_Price]])),ReconciliationData[[#This Row],[Billed_Price]]&lt;&gt;ReconciliationData[[#This Row],[Contract_Price]]),1,0)</f>
        <v>0</v>
      </c>
      <c r="T849">
        <f>IF(AND(NOT(ISBLANK(ReconciliationData[[#This Row],[End_Date]])),ReconciliationData[[#This Row],[Order_Date]]&gt;ReconciliationData[[#This Row],[End_Date]]),1,0)</f>
        <v>0</v>
      </c>
      <c r="U849">
        <f>IF(AND(NOT(ISBLANK(ReconciliationData[[#This Row],[last_return_date]])),ReconciliationData[[#This Row],[last_return_date]]&gt;ReconciliationData[[#This Row],[Order_Date]]+60),1,0)</f>
        <v>0</v>
      </c>
      <c r="V849">
        <f>IF(ReconciliationData[[#This Row],[total_returned_units]]&gt;ReconciliationData[[#This Row],[ordered_units]],1,0)</f>
        <v>0</v>
      </c>
      <c r="W8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49">
        <f>ReconciliationData[[#This Row],[Billed_Units]]*ReconciliationData[[#This Row],[Billed_Price]]</f>
        <v>35465.680800000002</v>
      </c>
      <c r="Y849">
        <f>ReconciliationData[[#This Row],[ordered_units]]*ReconciliationData[[#This Row],[List_Price]]</f>
        <v>35465.680800000002</v>
      </c>
      <c r="Z849">
        <f>ReconciliationData[[#This Row],[billed_revenue]]-ReconciliationData[[#This Row],[expected_revenue]]</f>
        <v>0</v>
      </c>
      <c r="AA8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49" t="str">
        <f>IF(ReconciliationData[[#This Row],[severity_score]]=0,"LOW",
 IF(ReconciliationData[[#This Row],[severity_score]]&lt;=5,"MEDIUM","HIGH"))</f>
        <v>LOW</v>
      </c>
      <c r="AC849" t="str">
        <f>TEXT(ReconciliationData[[#This Row],[Order_Date]],"YYYY-MM")</f>
        <v>2023-05</v>
      </c>
    </row>
    <row r="850" spans="1:29">
      <c r="A850" t="s">
        <v>2641</v>
      </c>
      <c r="B850" s="1">
        <v>45455</v>
      </c>
      <c r="C850" t="s">
        <v>2642</v>
      </c>
      <c r="D850" t="s">
        <v>1549</v>
      </c>
      <c r="E850">
        <v>155</v>
      </c>
      <c r="F850" t="s">
        <v>2643</v>
      </c>
      <c r="G850">
        <v>155</v>
      </c>
      <c r="H850">
        <v>234.87090000000001</v>
      </c>
      <c r="N850">
        <v>234.87090000000001</v>
      </c>
      <c r="O850" s="1">
        <v>45150</v>
      </c>
      <c r="P850">
        <f>IF(ISBLANK(ReconciliationData[[#This Row],[Invoice_ID]]),1,0)</f>
        <v>0</v>
      </c>
      <c r="Q850">
        <f>IF(AND(NOT(ISBLANK(ReconciliationData[[#This Row],[Billed_Units]])),ReconciliationData[[#This Row],[ordered_units]]&lt;&gt;ReconciliationData[[#This Row],[Billed_Units]]),1,0)</f>
        <v>0</v>
      </c>
      <c r="R8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0">
        <f>IF(AND(NOT(ISBLANK(ReconciliationData[[#This Row],[Contract_Price]])),ReconciliationData[[#This Row],[Billed_Price]]&lt;&gt;ReconciliationData[[#This Row],[Contract_Price]]),1,0)</f>
        <v>0</v>
      </c>
      <c r="T850">
        <f>IF(AND(NOT(ISBLANK(ReconciliationData[[#This Row],[End_Date]])),ReconciliationData[[#This Row],[Order_Date]]&gt;ReconciliationData[[#This Row],[End_Date]]),1,0)</f>
        <v>0</v>
      </c>
      <c r="U850">
        <f>IF(AND(NOT(ISBLANK(ReconciliationData[[#This Row],[last_return_date]])),ReconciliationData[[#This Row],[last_return_date]]&gt;ReconciliationData[[#This Row],[Order_Date]]+60),1,0)</f>
        <v>0</v>
      </c>
      <c r="V850">
        <f>IF(ReconciliationData[[#This Row],[total_returned_units]]&gt;ReconciliationData[[#This Row],[ordered_units]],1,0)</f>
        <v>0</v>
      </c>
      <c r="W8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50">
        <f>ReconciliationData[[#This Row],[Billed_Units]]*ReconciliationData[[#This Row],[Billed_Price]]</f>
        <v>36404.989500000003</v>
      </c>
      <c r="Y850">
        <f>ReconciliationData[[#This Row],[ordered_units]]*ReconciliationData[[#This Row],[List_Price]]</f>
        <v>36404.989500000003</v>
      </c>
      <c r="Z850">
        <f>ReconciliationData[[#This Row],[billed_revenue]]-ReconciliationData[[#This Row],[expected_revenue]]</f>
        <v>0</v>
      </c>
      <c r="AA8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50" t="str">
        <f>IF(ReconciliationData[[#This Row],[severity_score]]=0,"LOW",
 IF(ReconciliationData[[#This Row],[severity_score]]&lt;=5,"MEDIUM","HIGH"))</f>
        <v>LOW</v>
      </c>
      <c r="AC850" t="str">
        <f>TEXT(ReconciliationData[[#This Row],[Order_Date]],"YYYY-MM")</f>
        <v>2024-06</v>
      </c>
    </row>
    <row r="851" spans="1:29">
      <c r="A851" t="s">
        <v>2644</v>
      </c>
      <c r="B851" s="1">
        <v>45064</v>
      </c>
      <c r="C851" t="s">
        <v>1074</v>
      </c>
      <c r="D851" t="s">
        <v>2645</v>
      </c>
      <c r="E851">
        <v>17</v>
      </c>
      <c r="F851" t="s">
        <v>2646</v>
      </c>
      <c r="G851">
        <v>17</v>
      </c>
      <c r="H851">
        <v>112.0184</v>
      </c>
      <c r="N851">
        <v>112.0184</v>
      </c>
      <c r="O851" s="1">
        <v>44905</v>
      </c>
      <c r="P851">
        <f>IF(ISBLANK(ReconciliationData[[#This Row],[Invoice_ID]]),1,0)</f>
        <v>0</v>
      </c>
      <c r="Q851">
        <f>IF(AND(NOT(ISBLANK(ReconciliationData[[#This Row],[Billed_Units]])),ReconciliationData[[#This Row],[ordered_units]]&lt;&gt;ReconciliationData[[#This Row],[Billed_Units]]),1,0)</f>
        <v>0</v>
      </c>
      <c r="R8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1">
        <f>IF(AND(NOT(ISBLANK(ReconciliationData[[#This Row],[Contract_Price]])),ReconciliationData[[#This Row],[Billed_Price]]&lt;&gt;ReconciliationData[[#This Row],[Contract_Price]]),1,0)</f>
        <v>0</v>
      </c>
      <c r="T851">
        <f>IF(AND(NOT(ISBLANK(ReconciliationData[[#This Row],[End_Date]])),ReconciliationData[[#This Row],[Order_Date]]&gt;ReconciliationData[[#This Row],[End_Date]]),1,0)</f>
        <v>0</v>
      </c>
      <c r="U851">
        <f>IF(AND(NOT(ISBLANK(ReconciliationData[[#This Row],[last_return_date]])),ReconciliationData[[#This Row],[last_return_date]]&gt;ReconciliationData[[#This Row],[Order_Date]]+60),1,0)</f>
        <v>0</v>
      </c>
      <c r="V851">
        <f>IF(ReconciliationData[[#This Row],[total_returned_units]]&gt;ReconciliationData[[#This Row],[ordered_units]],1,0)</f>
        <v>0</v>
      </c>
      <c r="W8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51">
        <f>ReconciliationData[[#This Row],[Billed_Units]]*ReconciliationData[[#This Row],[Billed_Price]]</f>
        <v>1904.3127999999999</v>
      </c>
      <c r="Y851">
        <f>ReconciliationData[[#This Row],[ordered_units]]*ReconciliationData[[#This Row],[List_Price]]</f>
        <v>1904.3127999999999</v>
      </c>
      <c r="Z851">
        <f>ReconciliationData[[#This Row],[billed_revenue]]-ReconciliationData[[#This Row],[expected_revenue]]</f>
        <v>0</v>
      </c>
      <c r="AA8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51" t="str">
        <f>IF(ReconciliationData[[#This Row],[severity_score]]=0,"LOW",
 IF(ReconciliationData[[#This Row],[severity_score]]&lt;=5,"MEDIUM","HIGH"))</f>
        <v>LOW</v>
      </c>
      <c r="AC851" t="str">
        <f>TEXT(ReconciliationData[[#This Row],[Order_Date]],"YYYY-MM")</f>
        <v>2023-05</v>
      </c>
    </row>
    <row r="852" spans="1:29">
      <c r="A852" t="s">
        <v>2647</v>
      </c>
      <c r="B852" s="1">
        <v>45600</v>
      </c>
      <c r="C852" t="s">
        <v>1196</v>
      </c>
      <c r="D852" t="s">
        <v>423</v>
      </c>
      <c r="E852">
        <v>147</v>
      </c>
      <c r="F852" t="s">
        <v>2648</v>
      </c>
      <c r="G852">
        <v>147</v>
      </c>
      <c r="H852">
        <v>168.12909999999999</v>
      </c>
      <c r="N852">
        <v>168.12909999999999</v>
      </c>
      <c r="O852" s="1">
        <v>45013</v>
      </c>
      <c r="P852">
        <f>IF(ISBLANK(ReconciliationData[[#This Row],[Invoice_ID]]),1,0)</f>
        <v>0</v>
      </c>
      <c r="Q852">
        <f>IF(AND(NOT(ISBLANK(ReconciliationData[[#This Row],[Billed_Units]])),ReconciliationData[[#This Row],[ordered_units]]&lt;&gt;ReconciliationData[[#This Row],[Billed_Units]]),1,0)</f>
        <v>0</v>
      </c>
      <c r="R8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2">
        <f>IF(AND(NOT(ISBLANK(ReconciliationData[[#This Row],[Contract_Price]])),ReconciliationData[[#This Row],[Billed_Price]]&lt;&gt;ReconciliationData[[#This Row],[Contract_Price]]),1,0)</f>
        <v>0</v>
      </c>
      <c r="T852">
        <f>IF(AND(NOT(ISBLANK(ReconciliationData[[#This Row],[End_Date]])),ReconciliationData[[#This Row],[Order_Date]]&gt;ReconciliationData[[#This Row],[End_Date]]),1,0)</f>
        <v>0</v>
      </c>
      <c r="U852">
        <f>IF(AND(NOT(ISBLANK(ReconciliationData[[#This Row],[last_return_date]])),ReconciliationData[[#This Row],[last_return_date]]&gt;ReconciliationData[[#This Row],[Order_Date]]+60),1,0)</f>
        <v>0</v>
      </c>
      <c r="V852">
        <f>IF(ReconciliationData[[#This Row],[total_returned_units]]&gt;ReconciliationData[[#This Row],[ordered_units]],1,0)</f>
        <v>0</v>
      </c>
      <c r="W8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52">
        <f>ReconciliationData[[#This Row],[Billed_Units]]*ReconciliationData[[#This Row],[Billed_Price]]</f>
        <v>24714.977699999999</v>
      </c>
      <c r="Y852">
        <f>ReconciliationData[[#This Row],[ordered_units]]*ReconciliationData[[#This Row],[List_Price]]</f>
        <v>24714.977699999999</v>
      </c>
      <c r="Z852">
        <f>ReconciliationData[[#This Row],[billed_revenue]]-ReconciliationData[[#This Row],[expected_revenue]]</f>
        <v>0</v>
      </c>
      <c r="AA8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52" t="str">
        <f>IF(ReconciliationData[[#This Row],[severity_score]]=0,"LOW",
 IF(ReconciliationData[[#This Row],[severity_score]]&lt;=5,"MEDIUM","HIGH"))</f>
        <v>LOW</v>
      </c>
      <c r="AC852" t="str">
        <f>TEXT(ReconciliationData[[#This Row],[Order_Date]],"YYYY-MM")</f>
        <v>2024-11</v>
      </c>
    </row>
    <row r="853" spans="1:29">
      <c r="A853" t="s">
        <v>2649</v>
      </c>
      <c r="B853" s="1">
        <v>45518</v>
      </c>
      <c r="C853" t="s">
        <v>452</v>
      </c>
      <c r="D853" t="s">
        <v>1933</v>
      </c>
      <c r="E853">
        <v>63</v>
      </c>
      <c r="F853" t="s">
        <v>2650</v>
      </c>
      <c r="G853">
        <v>63</v>
      </c>
      <c r="H853">
        <v>571.49840000000006</v>
      </c>
      <c r="N853">
        <v>571.49840000000006</v>
      </c>
      <c r="O853" s="1">
        <v>45071</v>
      </c>
      <c r="P853">
        <f>IF(ISBLANK(ReconciliationData[[#This Row],[Invoice_ID]]),1,0)</f>
        <v>0</v>
      </c>
      <c r="Q853">
        <f>IF(AND(NOT(ISBLANK(ReconciliationData[[#This Row],[Billed_Units]])),ReconciliationData[[#This Row],[ordered_units]]&lt;&gt;ReconciliationData[[#This Row],[Billed_Units]]),1,0)</f>
        <v>0</v>
      </c>
      <c r="R8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3">
        <f>IF(AND(NOT(ISBLANK(ReconciliationData[[#This Row],[Contract_Price]])),ReconciliationData[[#This Row],[Billed_Price]]&lt;&gt;ReconciliationData[[#This Row],[Contract_Price]]),1,0)</f>
        <v>0</v>
      </c>
      <c r="T853">
        <f>IF(AND(NOT(ISBLANK(ReconciliationData[[#This Row],[End_Date]])),ReconciliationData[[#This Row],[Order_Date]]&gt;ReconciliationData[[#This Row],[End_Date]]),1,0)</f>
        <v>0</v>
      </c>
      <c r="U853">
        <f>IF(AND(NOT(ISBLANK(ReconciliationData[[#This Row],[last_return_date]])),ReconciliationData[[#This Row],[last_return_date]]&gt;ReconciliationData[[#This Row],[Order_Date]]+60),1,0)</f>
        <v>0</v>
      </c>
      <c r="V853">
        <f>IF(ReconciliationData[[#This Row],[total_returned_units]]&gt;ReconciliationData[[#This Row],[ordered_units]],1,0)</f>
        <v>0</v>
      </c>
      <c r="W8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53">
        <f>ReconciliationData[[#This Row],[Billed_Units]]*ReconciliationData[[#This Row],[Billed_Price]]</f>
        <v>36004.399200000007</v>
      </c>
      <c r="Y853">
        <f>ReconciliationData[[#This Row],[ordered_units]]*ReconciliationData[[#This Row],[List_Price]]</f>
        <v>36004.399200000007</v>
      </c>
      <c r="Z853">
        <f>ReconciliationData[[#This Row],[billed_revenue]]-ReconciliationData[[#This Row],[expected_revenue]]</f>
        <v>0</v>
      </c>
      <c r="AA8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53" t="str">
        <f>IF(ReconciliationData[[#This Row],[severity_score]]=0,"LOW",
 IF(ReconciliationData[[#This Row],[severity_score]]&lt;=5,"MEDIUM","HIGH"))</f>
        <v>LOW</v>
      </c>
      <c r="AC853" t="str">
        <f>TEXT(ReconciliationData[[#This Row],[Order_Date]],"YYYY-MM")</f>
        <v>2024-08</v>
      </c>
    </row>
    <row r="854" spans="1:29">
      <c r="A854" t="s">
        <v>2651</v>
      </c>
      <c r="B854" s="1">
        <v>44958</v>
      </c>
      <c r="C854" t="s">
        <v>2652</v>
      </c>
      <c r="D854" t="s">
        <v>2299</v>
      </c>
      <c r="E854">
        <v>13</v>
      </c>
      <c r="F854" t="s">
        <v>2653</v>
      </c>
      <c r="G854">
        <v>13</v>
      </c>
      <c r="H854">
        <v>1164.0408</v>
      </c>
      <c r="N854">
        <v>1164.0408</v>
      </c>
      <c r="O854" s="1">
        <v>44880</v>
      </c>
      <c r="P854">
        <f>IF(ISBLANK(ReconciliationData[[#This Row],[Invoice_ID]]),1,0)</f>
        <v>0</v>
      </c>
      <c r="Q854">
        <f>IF(AND(NOT(ISBLANK(ReconciliationData[[#This Row],[Billed_Units]])),ReconciliationData[[#This Row],[ordered_units]]&lt;&gt;ReconciliationData[[#This Row],[Billed_Units]]),1,0)</f>
        <v>0</v>
      </c>
      <c r="R8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4">
        <f>IF(AND(NOT(ISBLANK(ReconciliationData[[#This Row],[Contract_Price]])),ReconciliationData[[#This Row],[Billed_Price]]&lt;&gt;ReconciliationData[[#This Row],[Contract_Price]]),1,0)</f>
        <v>0</v>
      </c>
      <c r="T854">
        <f>IF(AND(NOT(ISBLANK(ReconciliationData[[#This Row],[End_Date]])),ReconciliationData[[#This Row],[Order_Date]]&gt;ReconciliationData[[#This Row],[End_Date]]),1,0)</f>
        <v>0</v>
      </c>
      <c r="U854">
        <f>IF(AND(NOT(ISBLANK(ReconciliationData[[#This Row],[last_return_date]])),ReconciliationData[[#This Row],[last_return_date]]&gt;ReconciliationData[[#This Row],[Order_Date]]+60),1,0)</f>
        <v>0</v>
      </c>
      <c r="V854">
        <f>IF(ReconciliationData[[#This Row],[total_returned_units]]&gt;ReconciliationData[[#This Row],[ordered_units]],1,0)</f>
        <v>0</v>
      </c>
      <c r="W8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54">
        <f>ReconciliationData[[#This Row],[Billed_Units]]*ReconciliationData[[#This Row],[Billed_Price]]</f>
        <v>15132.5304</v>
      </c>
      <c r="Y854">
        <f>ReconciliationData[[#This Row],[ordered_units]]*ReconciliationData[[#This Row],[List_Price]]</f>
        <v>15132.5304</v>
      </c>
      <c r="Z854">
        <f>ReconciliationData[[#This Row],[billed_revenue]]-ReconciliationData[[#This Row],[expected_revenue]]</f>
        <v>0</v>
      </c>
      <c r="AA8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54" t="str">
        <f>IF(ReconciliationData[[#This Row],[severity_score]]=0,"LOW",
 IF(ReconciliationData[[#This Row],[severity_score]]&lt;=5,"MEDIUM","HIGH"))</f>
        <v>LOW</v>
      </c>
      <c r="AC854" t="str">
        <f>TEXT(ReconciliationData[[#This Row],[Order_Date]],"YYYY-MM")</f>
        <v>2023-02</v>
      </c>
    </row>
    <row r="855" spans="1:29">
      <c r="A855" t="s">
        <v>2654</v>
      </c>
      <c r="B855" s="1">
        <v>45097</v>
      </c>
      <c r="C855" t="s">
        <v>2655</v>
      </c>
      <c r="D855" t="s">
        <v>306</v>
      </c>
      <c r="E855">
        <v>132</v>
      </c>
      <c r="F855" t="s">
        <v>2656</v>
      </c>
      <c r="G855">
        <v>132</v>
      </c>
      <c r="H855">
        <v>1065.9095</v>
      </c>
      <c r="N855">
        <v>1065.9095</v>
      </c>
      <c r="O855" s="1">
        <v>44963</v>
      </c>
      <c r="P855">
        <f>IF(ISBLANK(ReconciliationData[[#This Row],[Invoice_ID]]),1,0)</f>
        <v>0</v>
      </c>
      <c r="Q855">
        <f>IF(AND(NOT(ISBLANK(ReconciliationData[[#This Row],[Billed_Units]])),ReconciliationData[[#This Row],[ordered_units]]&lt;&gt;ReconciliationData[[#This Row],[Billed_Units]]),1,0)</f>
        <v>0</v>
      </c>
      <c r="R8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5">
        <f>IF(AND(NOT(ISBLANK(ReconciliationData[[#This Row],[Contract_Price]])),ReconciliationData[[#This Row],[Billed_Price]]&lt;&gt;ReconciliationData[[#This Row],[Contract_Price]]),1,0)</f>
        <v>0</v>
      </c>
      <c r="T855">
        <f>IF(AND(NOT(ISBLANK(ReconciliationData[[#This Row],[End_Date]])),ReconciliationData[[#This Row],[Order_Date]]&gt;ReconciliationData[[#This Row],[End_Date]]),1,0)</f>
        <v>0</v>
      </c>
      <c r="U855">
        <f>IF(AND(NOT(ISBLANK(ReconciliationData[[#This Row],[last_return_date]])),ReconciliationData[[#This Row],[last_return_date]]&gt;ReconciliationData[[#This Row],[Order_Date]]+60),1,0)</f>
        <v>0</v>
      </c>
      <c r="V855">
        <f>IF(ReconciliationData[[#This Row],[total_returned_units]]&gt;ReconciliationData[[#This Row],[ordered_units]],1,0)</f>
        <v>0</v>
      </c>
      <c r="W8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55">
        <f>ReconciliationData[[#This Row],[Billed_Units]]*ReconciliationData[[#This Row],[Billed_Price]]</f>
        <v>140700.054</v>
      </c>
      <c r="Y855">
        <f>ReconciliationData[[#This Row],[ordered_units]]*ReconciliationData[[#This Row],[List_Price]]</f>
        <v>140700.054</v>
      </c>
      <c r="Z855">
        <f>ReconciliationData[[#This Row],[billed_revenue]]-ReconciliationData[[#This Row],[expected_revenue]]</f>
        <v>0</v>
      </c>
      <c r="AA8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55" t="str">
        <f>IF(ReconciliationData[[#This Row],[severity_score]]=0,"LOW",
 IF(ReconciliationData[[#This Row],[severity_score]]&lt;=5,"MEDIUM","HIGH"))</f>
        <v>LOW</v>
      </c>
      <c r="AC855" t="str">
        <f>TEXT(ReconciliationData[[#This Row],[Order_Date]],"YYYY-MM")</f>
        <v>2023-06</v>
      </c>
    </row>
    <row r="856" spans="1:29">
      <c r="A856" t="s">
        <v>2657</v>
      </c>
      <c r="B856" s="1">
        <v>45159</v>
      </c>
      <c r="C856" t="s">
        <v>193</v>
      </c>
      <c r="D856" t="s">
        <v>1571</v>
      </c>
      <c r="E856">
        <v>66</v>
      </c>
      <c r="F856" t="s">
        <v>2658</v>
      </c>
      <c r="G856">
        <v>66</v>
      </c>
      <c r="H856">
        <v>1226.9154000000001</v>
      </c>
      <c r="N856">
        <v>1226.9154000000001</v>
      </c>
      <c r="O856" s="1">
        <v>45032</v>
      </c>
      <c r="P856">
        <f>IF(ISBLANK(ReconciliationData[[#This Row],[Invoice_ID]]),1,0)</f>
        <v>0</v>
      </c>
      <c r="Q856">
        <f>IF(AND(NOT(ISBLANK(ReconciliationData[[#This Row],[Billed_Units]])),ReconciliationData[[#This Row],[ordered_units]]&lt;&gt;ReconciliationData[[#This Row],[Billed_Units]]),1,0)</f>
        <v>0</v>
      </c>
      <c r="R8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6">
        <f>IF(AND(NOT(ISBLANK(ReconciliationData[[#This Row],[Contract_Price]])),ReconciliationData[[#This Row],[Billed_Price]]&lt;&gt;ReconciliationData[[#This Row],[Contract_Price]]),1,0)</f>
        <v>0</v>
      </c>
      <c r="T856">
        <f>IF(AND(NOT(ISBLANK(ReconciliationData[[#This Row],[End_Date]])),ReconciliationData[[#This Row],[Order_Date]]&gt;ReconciliationData[[#This Row],[End_Date]]),1,0)</f>
        <v>0</v>
      </c>
      <c r="U856">
        <f>IF(AND(NOT(ISBLANK(ReconciliationData[[#This Row],[last_return_date]])),ReconciliationData[[#This Row],[last_return_date]]&gt;ReconciliationData[[#This Row],[Order_Date]]+60),1,0)</f>
        <v>0</v>
      </c>
      <c r="V856">
        <f>IF(ReconciliationData[[#This Row],[total_returned_units]]&gt;ReconciliationData[[#This Row],[ordered_units]],1,0)</f>
        <v>0</v>
      </c>
      <c r="W8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56">
        <f>ReconciliationData[[#This Row],[Billed_Units]]*ReconciliationData[[#This Row],[Billed_Price]]</f>
        <v>80976.416400000002</v>
      </c>
      <c r="Y856">
        <f>ReconciliationData[[#This Row],[ordered_units]]*ReconciliationData[[#This Row],[List_Price]]</f>
        <v>80976.416400000002</v>
      </c>
      <c r="Z856">
        <f>ReconciliationData[[#This Row],[billed_revenue]]-ReconciliationData[[#This Row],[expected_revenue]]</f>
        <v>0</v>
      </c>
      <c r="AA8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56" t="str">
        <f>IF(ReconciliationData[[#This Row],[severity_score]]=0,"LOW",
 IF(ReconciliationData[[#This Row],[severity_score]]&lt;=5,"MEDIUM","HIGH"))</f>
        <v>LOW</v>
      </c>
      <c r="AC856" t="str">
        <f>TEXT(ReconciliationData[[#This Row],[Order_Date]],"YYYY-MM")</f>
        <v>2023-08</v>
      </c>
    </row>
    <row r="857" spans="1:29">
      <c r="A857" t="s">
        <v>2659</v>
      </c>
      <c r="B857" s="1">
        <v>45570</v>
      </c>
      <c r="C857" t="s">
        <v>2660</v>
      </c>
      <c r="D857" t="s">
        <v>162</v>
      </c>
      <c r="E857">
        <v>41</v>
      </c>
      <c r="F857" t="s">
        <v>2661</v>
      </c>
      <c r="G857">
        <v>41</v>
      </c>
      <c r="H857">
        <v>510.91840000000002</v>
      </c>
      <c r="N857">
        <v>510.91840000000002</v>
      </c>
      <c r="O857" s="1">
        <v>44981</v>
      </c>
      <c r="P857">
        <f>IF(ISBLANK(ReconciliationData[[#This Row],[Invoice_ID]]),1,0)</f>
        <v>0</v>
      </c>
      <c r="Q857">
        <f>IF(AND(NOT(ISBLANK(ReconciliationData[[#This Row],[Billed_Units]])),ReconciliationData[[#This Row],[ordered_units]]&lt;&gt;ReconciliationData[[#This Row],[Billed_Units]]),1,0)</f>
        <v>0</v>
      </c>
      <c r="R8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7">
        <f>IF(AND(NOT(ISBLANK(ReconciliationData[[#This Row],[Contract_Price]])),ReconciliationData[[#This Row],[Billed_Price]]&lt;&gt;ReconciliationData[[#This Row],[Contract_Price]]),1,0)</f>
        <v>0</v>
      </c>
      <c r="T857">
        <f>IF(AND(NOT(ISBLANK(ReconciliationData[[#This Row],[End_Date]])),ReconciliationData[[#This Row],[Order_Date]]&gt;ReconciliationData[[#This Row],[End_Date]]),1,0)</f>
        <v>0</v>
      </c>
      <c r="U857">
        <f>IF(AND(NOT(ISBLANK(ReconciliationData[[#This Row],[last_return_date]])),ReconciliationData[[#This Row],[last_return_date]]&gt;ReconciliationData[[#This Row],[Order_Date]]+60),1,0)</f>
        <v>0</v>
      </c>
      <c r="V857">
        <f>IF(ReconciliationData[[#This Row],[total_returned_units]]&gt;ReconciliationData[[#This Row],[ordered_units]],1,0)</f>
        <v>0</v>
      </c>
      <c r="W8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57">
        <f>ReconciliationData[[#This Row],[Billed_Units]]*ReconciliationData[[#This Row],[Billed_Price]]</f>
        <v>20947.654399999999</v>
      </c>
      <c r="Y857">
        <f>ReconciliationData[[#This Row],[ordered_units]]*ReconciliationData[[#This Row],[List_Price]]</f>
        <v>20947.654399999999</v>
      </c>
      <c r="Z857">
        <f>ReconciliationData[[#This Row],[billed_revenue]]-ReconciliationData[[#This Row],[expected_revenue]]</f>
        <v>0</v>
      </c>
      <c r="AA8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57" t="str">
        <f>IF(ReconciliationData[[#This Row],[severity_score]]=0,"LOW",
 IF(ReconciliationData[[#This Row],[severity_score]]&lt;=5,"MEDIUM","HIGH"))</f>
        <v>LOW</v>
      </c>
      <c r="AC857" t="str">
        <f>TEXT(ReconciliationData[[#This Row],[Order_Date]],"YYYY-MM")</f>
        <v>2024-10</v>
      </c>
    </row>
    <row r="858" spans="1:29">
      <c r="A858" t="s">
        <v>2662</v>
      </c>
      <c r="B858" s="1">
        <v>45406</v>
      </c>
      <c r="C858" t="s">
        <v>2663</v>
      </c>
      <c r="D858" t="s">
        <v>1309</v>
      </c>
      <c r="E858">
        <v>118</v>
      </c>
      <c r="F858" t="s">
        <v>2664</v>
      </c>
      <c r="G858">
        <v>118</v>
      </c>
      <c r="H858">
        <v>906.88919999999996</v>
      </c>
      <c r="N858">
        <v>906.88919999999996</v>
      </c>
      <c r="O858" s="1">
        <v>44991</v>
      </c>
      <c r="P858">
        <f>IF(ISBLANK(ReconciliationData[[#This Row],[Invoice_ID]]),1,0)</f>
        <v>0</v>
      </c>
      <c r="Q858">
        <f>IF(AND(NOT(ISBLANK(ReconciliationData[[#This Row],[Billed_Units]])),ReconciliationData[[#This Row],[ordered_units]]&lt;&gt;ReconciliationData[[#This Row],[Billed_Units]]),1,0)</f>
        <v>0</v>
      </c>
      <c r="R8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8">
        <f>IF(AND(NOT(ISBLANK(ReconciliationData[[#This Row],[Contract_Price]])),ReconciliationData[[#This Row],[Billed_Price]]&lt;&gt;ReconciliationData[[#This Row],[Contract_Price]]),1,0)</f>
        <v>0</v>
      </c>
      <c r="T858">
        <f>IF(AND(NOT(ISBLANK(ReconciliationData[[#This Row],[End_Date]])),ReconciliationData[[#This Row],[Order_Date]]&gt;ReconciliationData[[#This Row],[End_Date]]),1,0)</f>
        <v>0</v>
      </c>
      <c r="U858">
        <f>IF(AND(NOT(ISBLANK(ReconciliationData[[#This Row],[last_return_date]])),ReconciliationData[[#This Row],[last_return_date]]&gt;ReconciliationData[[#This Row],[Order_Date]]+60),1,0)</f>
        <v>0</v>
      </c>
      <c r="V858">
        <f>IF(ReconciliationData[[#This Row],[total_returned_units]]&gt;ReconciliationData[[#This Row],[ordered_units]],1,0)</f>
        <v>0</v>
      </c>
      <c r="W8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58">
        <f>ReconciliationData[[#This Row],[Billed_Units]]*ReconciliationData[[#This Row],[Billed_Price]]</f>
        <v>107012.9256</v>
      </c>
      <c r="Y858">
        <f>ReconciliationData[[#This Row],[ordered_units]]*ReconciliationData[[#This Row],[List_Price]]</f>
        <v>107012.9256</v>
      </c>
      <c r="Z858">
        <f>ReconciliationData[[#This Row],[billed_revenue]]-ReconciliationData[[#This Row],[expected_revenue]]</f>
        <v>0</v>
      </c>
      <c r="AA8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58" t="str">
        <f>IF(ReconciliationData[[#This Row],[severity_score]]=0,"LOW",
 IF(ReconciliationData[[#This Row],[severity_score]]&lt;=5,"MEDIUM","HIGH"))</f>
        <v>LOW</v>
      </c>
      <c r="AC858" t="str">
        <f>TEXT(ReconciliationData[[#This Row],[Order_Date]],"YYYY-MM")</f>
        <v>2024-04</v>
      </c>
    </row>
    <row r="859" spans="1:29">
      <c r="A859" t="s">
        <v>2665</v>
      </c>
      <c r="B859" s="1">
        <v>45128</v>
      </c>
      <c r="C859" t="s">
        <v>1591</v>
      </c>
      <c r="D859" t="s">
        <v>2097</v>
      </c>
      <c r="E859">
        <v>102</v>
      </c>
      <c r="F859" t="s">
        <v>2666</v>
      </c>
      <c r="G859">
        <v>102</v>
      </c>
      <c r="H859">
        <v>599.90620000000001</v>
      </c>
      <c r="I859">
        <v>2</v>
      </c>
      <c r="J859" s="1">
        <v>45655</v>
      </c>
      <c r="N859">
        <v>599.90620000000001</v>
      </c>
      <c r="O859" s="1">
        <v>45060</v>
      </c>
      <c r="P859">
        <f>IF(ISBLANK(ReconciliationData[[#This Row],[Invoice_ID]]),1,0)</f>
        <v>0</v>
      </c>
      <c r="Q859">
        <f>IF(AND(NOT(ISBLANK(ReconciliationData[[#This Row],[Billed_Units]])),ReconciliationData[[#This Row],[ordered_units]]&lt;&gt;ReconciliationData[[#This Row],[Billed_Units]]),1,0)</f>
        <v>0</v>
      </c>
      <c r="R8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59">
        <f>IF(AND(NOT(ISBLANK(ReconciliationData[[#This Row],[Contract_Price]])),ReconciliationData[[#This Row],[Billed_Price]]&lt;&gt;ReconciliationData[[#This Row],[Contract_Price]]),1,0)</f>
        <v>0</v>
      </c>
      <c r="T859">
        <f>IF(AND(NOT(ISBLANK(ReconciliationData[[#This Row],[End_Date]])),ReconciliationData[[#This Row],[Order_Date]]&gt;ReconciliationData[[#This Row],[End_Date]]),1,0)</f>
        <v>0</v>
      </c>
      <c r="U859">
        <f>IF(AND(NOT(ISBLANK(ReconciliationData[[#This Row],[last_return_date]])),ReconciliationData[[#This Row],[last_return_date]]&gt;ReconciliationData[[#This Row],[Order_Date]]+60),1,0)</f>
        <v>1</v>
      </c>
      <c r="V859">
        <f>IF(ReconciliationData[[#This Row],[total_returned_units]]&gt;ReconciliationData[[#This Row],[ordered_units]],1,0)</f>
        <v>0</v>
      </c>
      <c r="W8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59">
        <f>ReconciliationData[[#This Row],[Billed_Units]]*ReconciliationData[[#This Row],[Billed_Price]]</f>
        <v>61190.432399999998</v>
      </c>
      <c r="Y859">
        <f>ReconciliationData[[#This Row],[ordered_units]]*ReconciliationData[[#This Row],[List_Price]]</f>
        <v>61190.432399999998</v>
      </c>
      <c r="Z859">
        <f>ReconciliationData[[#This Row],[billed_revenue]]-ReconciliationData[[#This Row],[expected_revenue]]</f>
        <v>0</v>
      </c>
      <c r="AA8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859" t="str">
        <f>IF(ReconciliationData[[#This Row],[severity_score]]=0,"LOW",
 IF(ReconciliationData[[#This Row],[severity_score]]&lt;=5,"MEDIUM","HIGH"))</f>
        <v>MEDIUM</v>
      </c>
      <c r="AC859" t="str">
        <f>TEXT(ReconciliationData[[#This Row],[Order_Date]],"YYYY-MM")</f>
        <v>2023-07</v>
      </c>
    </row>
    <row r="860" spans="1:29">
      <c r="A860" t="s">
        <v>2667</v>
      </c>
      <c r="B860" s="1">
        <v>44982</v>
      </c>
      <c r="C860" t="s">
        <v>2668</v>
      </c>
      <c r="D860" t="s">
        <v>1273</v>
      </c>
      <c r="E860">
        <v>19</v>
      </c>
      <c r="F860" t="s">
        <v>2669</v>
      </c>
      <c r="G860">
        <v>19</v>
      </c>
      <c r="H860">
        <v>963.36</v>
      </c>
      <c r="N860">
        <v>963.36</v>
      </c>
      <c r="O860" s="1">
        <v>44650</v>
      </c>
      <c r="P860">
        <f>IF(ISBLANK(ReconciliationData[[#This Row],[Invoice_ID]]),1,0)</f>
        <v>0</v>
      </c>
      <c r="Q860">
        <f>IF(AND(NOT(ISBLANK(ReconciliationData[[#This Row],[Billed_Units]])),ReconciliationData[[#This Row],[ordered_units]]&lt;&gt;ReconciliationData[[#This Row],[Billed_Units]]),1,0)</f>
        <v>0</v>
      </c>
      <c r="R8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0">
        <f>IF(AND(NOT(ISBLANK(ReconciliationData[[#This Row],[Contract_Price]])),ReconciliationData[[#This Row],[Billed_Price]]&lt;&gt;ReconciliationData[[#This Row],[Contract_Price]]),1,0)</f>
        <v>0</v>
      </c>
      <c r="T860">
        <f>IF(AND(NOT(ISBLANK(ReconciliationData[[#This Row],[End_Date]])),ReconciliationData[[#This Row],[Order_Date]]&gt;ReconciliationData[[#This Row],[End_Date]]),1,0)</f>
        <v>0</v>
      </c>
      <c r="U860">
        <f>IF(AND(NOT(ISBLANK(ReconciliationData[[#This Row],[last_return_date]])),ReconciliationData[[#This Row],[last_return_date]]&gt;ReconciliationData[[#This Row],[Order_Date]]+60),1,0)</f>
        <v>0</v>
      </c>
      <c r="V860">
        <f>IF(ReconciliationData[[#This Row],[total_returned_units]]&gt;ReconciliationData[[#This Row],[ordered_units]],1,0)</f>
        <v>0</v>
      </c>
      <c r="W8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0">
        <f>ReconciliationData[[#This Row],[Billed_Units]]*ReconciliationData[[#This Row],[Billed_Price]]</f>
        <v>18303.84</v>
      </c>
      <c r="Y860">
        <f>ReconciliationData[[#This Row],[ordered_units]]*ReconciliationData[[#This Row],[List_Price]]</f>
        <v>18303.84</v>
      </c>
      <c r="Z860">
        <f>ReconciliationData[[#This Row],[billed_revenue]]-ReconciliationData[[#This Row],[expected_revenue]]</f>
        <v>0</v>
      </c>
      <c r="AA8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0" t="str">
        <f>IF(ReconciliationData[[#This Row],[severity_score]]=0,"LOW",
 IF(ReconciliationData[[#This Row],[severity_score]]&lt;=5,"MEDIUM","HIGH"))</f>
        <v>LOW</v>
      </c>
      <c r="AC860" t="str">
        <f>TEXT(ReconciliationData[[#This Row],[Order_Date]],"YYYY-MM")</f>
        <v>2023-02</v>
      </c>
    </row>
    <row r="861" spans="1:29">
      <c r="A861" t="s">
        <v>2670</v>
      </c>
      <c r="B861" s="1">
        <v>45161</v>
      </c>
      <c r="C861" t="s">
        <v>189</v>
      </c>
      <c r="D861" t="s">
        <v>423</v>
      </c>
      <c r="E861">
        <v>142</v>
      </c>
      <c r="F861" t="s">
        <v>2671</v>
      </c>
      <c r="G861">
        <v>142</v>
      </c>
      <c r="H861">
        <v>168.12909999999999</v>
      </c>
      <c r="N861">
        <v>168.12909999999999</v>
      </c>
      <c r="O861" s="1">
        <v>45013</v>
      </c>
      <c r="P861">
        <f>IF(ISBLANK(ReconciliationData[[#This Row],[Invoice_ID]]),1,0)</f>
        <v>0</v>
      </c>
      <c r="Q861">
        <f>IF(AND(NOT(ISBLANK(ReconciliationData[[#This Row],[Billed_Units]])),ReconciliationData[[#This Row],[ordered_units]]&lt;&gt;ReconciliationData[[#This Row],[Billed_Units]]),1,0)</f>
        <v>0</v>
      </c>
      <c r="R8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1">
        <f>IF(AND(NOT(ISBLANK(ReconciliationData[[#This Row],[Contract_Price]])),ReconciliationData[[#This Row],[Billed_Price]]&lt;&gt;ReconciliationData[[#This Row],[Contract_Price]]),1,0)</f>
        <v>0</v>
      </c>
      <c r="T861">
        <f>IF(AND(NOT(ISBLANK(ReconciliationData[[#This Row],[End_Date]])),ReconciliationData[[#This Row],[Order_Date]]&gt;ReconciliationData[[#This Row],[End_Date]]),1,0)</f>
        <v>0</v>
      </c>
      <c r="U861">
        <f>IF(AND(NOT(ISBLANK(ReconciliationData[[#This Row],[last_return_date]])),ReconciliationData[[#This Row],[last_return_date]]&gt;ReconciliationData[[#This Row],[Order_Date]]+60),1,0)</f>
        <v>0</v>
      </c>
      <c r="V861">
        <f>IF(ReconciliationData[[#This Row],[total_returned_units]]&gt;ReconciliationData[[#This Row],[ordered_units]],1,0)</f>
        <v>0</v>
      </c>
      <c r="W8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1">
        <f>ReconciliationData[[#This Row],[Billed_Units]]*ReconciliationData[[#This Row],[Billed_Price]]</f>
        <v>23874.332200000001</v>
      </c>
      <c r="Y861">
        <f>ReconciliationData[[#This Row],[ordered_units]]*ReconciliationData[[#This Row],[List_Price]]</f>
        <v>23874.332200000001</v>
      </c>
      <c r="Z861">
        <f>ReconciliationData[[#This Row],[billed_revenue]]-ReconciliationData[[#This Row],[expected_revenue]]</f>
        <v>0</v>
      </c>
      <c r="AA8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1" t="str">
        <f>IF(ReconciliationData[[#This Row],[severity_score]]=0,"LOW",
 IF(ReconciliationData[[#This Row],[severity_score]]&lt;=5,"MEDIUM","HIGH"))</f>
        <v>LOW</v>
      </c>
      <c r="AC861" t="str">
        <f>TEXT(ReconciliationData[[#This Row],[Order_Date]],"YYYY-MM")</f>
        <v>2023-08</v>
      </c>
    </row>
    <row r="862" spans="1:29">
      <c r="A862" t="s">
        <v>2672</v>
      </c>
      <c r="B862" s="1">
        <v>45259</v>
      </c>
      <c r="C862" t="s">
        <v>2673</v>
      </c>
      <c r="D862" t="s">
        <v>279</v>
      </c>
      <c r="E862">
        <v>121</v>
      </c>
      <c r="F862" t="s">
        <v>2674</v>
      </c>
      <c r="G862">
        <v>121</v>
      </c>
      <c r="H862">
        <v>1120.6556</v>
      </c>
      <c r="N862">
        <v>1120.6556</v>
      </c>
      <c r="O862" s="1">
        <v>45026</v>
      </c>
      <c r="P862">
        <f>IF(ISBLANK(ReconciliationData[[#This Row],[Invoice_ID]]),1,0)</f>
        <v>0</v>
      </c>
      <c r="Q862">
        <f>IF(AND(NOT(ISBLANK(ReconciliationData[[#This Row],[Billed_Units]])),ReconciliationData[[#This Row],[ordered_units]]&lt;&gt;ReconciliationData[[#This Row],[Billed_Units]]),1,0)</f>
        <v>0</v>
      </c>
      <c r="R8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2">
        <f>IF(AND(NOT(ISBLANK(ReconciliationData[[#This Row],[Contract_Price]])),ReconciliationData[[#This Row],[Billed_Price]]&lt;&gt;ReconciliationData[[#This Row],[Contract_Price]]),1,0)</f>
        <v>0</v>
      </c>
      <c r="T862">
        <f>IF(AND(NOT(ISBLANK(ReconciliationData[[#This Row],[End_Date]])),ReconciliationData[[#This Row],[Order_Date]]&gt;ReconciliationData[[#This Row],[End_Date]]),1,0)</f>
        <v>0</v>
      </c>
      <c r="U862">
        <f>IF(AND(NOT(ISBLANK(ReconciliationData[[#This Row],[last_return_date]])),ReconciliationData[[#This Row],[last_return_date]]&gt;ReconciliationData[[#This Row],[Order_Date]]+60),1,0)</f>
        <v>0</v>
      </c>
      <c r="V862">
        <f>IF(ReconciliationData[[#This Row],[total_returned_units]]&gt;ReconciliationData[[#This Row],[ordered_units]],1,0)</f>
        <v>0</v>
      </c>
      <c r="W8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2">
        <f>ReconciliationData[[#This Row],[Billed_Units]]*ReconciliationData[[#This Row],[Billed_Price]]</f>
        <v>135599.32760000002</v>
      </c>
      <c r="Y862">
        <f>ReconciliationData[[#This Row],[ordered_units]]*ReconciliationData[[#This Row],[List_Price]]</f>
        <v>135599.32760000002</v>
      </c>
      <c r="Z862">
        <f>ReconciliationData[[#This Row],[billed_revenue]]-ReconciliationData[[#This Row],[expected_revenue]]</f>
        <v>0</v>
      </c>
      <c r="AA8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2" t="str">
        <f>IF(ReconciliationData[[#This Row],[severity_score]]=0,"LOW",
 IF(ReconciliationData[[#This Row],[severity_score]]&lt;=5,"MEDIUM","HIGH"))</f>
        <v>LOW</v>
      </c>
      <c r="AC862" t="str">
        <f>TEXT(ReconciliationData[[#This Row],[Order_Date]],"YYYY-MM")</f>
        <v>2023-11</v>
      </c>
    </row>
    <row r="863" spans="1:29">
      <c r="A863" t="s">
        <v>2675</v>
      </c>
      <c r="B863" s="1">
        <v>45117</v>
      </c>
      <c r="C863" t="s">
        <v>650</v>
      </c>
      <c r="D863" t="s">
        <v>1061</v>
      </c>
      <c r="E863">
        <v>127</v>
      </c>
      <c r="F863" t="s">
        <v>2676</v>
      </c>
      <c r="G863">
        <v>127</v>
      </c>
      <c r="H863">
        <v>78.298400000000001</v>
      </c>
      <c r="N863">
        <v>78.298400000000001</v>
      </c>
      <c r="O863" s="1">
        <v>44919</v>
      </c>
      <c r="P863">
        <f>IF(ISBLANK(ReconciliationData[[#This Row],[Invoice_ID]]),1,0)</f>
        <v>0</v>
      </c>
      <c r="Q863">
        <f>IF(AND(NOT(ISBLANK(ReconciliationData[[#This Row],[Billed_Units]])),ReconciliationData[[#This Row],[ordered_units]]&lt;&gt;ReconciliationData[[#This Row],[Billed_Units]]),1,0)</f>
        <v>0</v>
      </c>
      <c r="R8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3">
        <f>IF(AND(NOT(ISBLANK(ReconciliationData[[#This Row],[Contract_Price]])),ReconciliationData[[#This Row],[Billed_Price]]&lt;&gt;ReconciliationData[[#This Row],[Contract_Price]]),1,0)</f>
        <v>0</v>
      </c>
      <c r="T863">
        <f>IF(AND(NOT(ISBLANK(ReconciliationData[[#This Row],[End_Date]])),ReconciliationData[[#This Row],[Order_Date]]&gt;ReconciliationData[[#This Row],[End_Date]]),1,0)</f>
        <v>0</v>
      </c>
      <c r="U863">
        <f>IF(AND(NOT(ISBLANK(ReconciliationData[[#This Row],[last_return_date]])),ReconciliationData[[#This Row],[last_return_date]]&gt;ReconciliationData[[#This Row],[Order_Date]]+60),1,0)</f>
        <v>0</v>
      </c>
      <c r="V863">
        <f>IF(ReconciliationData[[#This Row],[total_returned_units]]&gt;ReconciliationData[[#This Row],[ordered_units]],1,0)</f>
        <v>0</v>
      </c>
      <c r="W8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3">
        <f>ReconciliationData[[#This Row],[Billed_Units]]*ReconciliationData[[#This Row],[Billed_Price]]</f>
        <v>9943.8968000000004</v>
      </c>
      <c r="Y863">
        <f>ReconciliationData[[#This Row],[ordered_units]]*ReconciliationData[[#This Row],[List_Price]]</f>
        <v>9943.8968000000004</v>
      </c>
      <c r="Z863">
        <f>ReconciliationData[[#This Row],[billed_revenue]]-ReconciliationData[[#This Row],[expected_revenue]]</f>
        <v>0</v>
      </c>
      <c r="AA8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3" t="str">
        <f>IF(ReconciliationData[[#This Row],[severity_score]]=0,"LOW",
 IF(ReconciliationData[[#This Row],[severity_score]]&lt;=5,"MEDIUM","HIGH"))</f>
        <v>LOW</v>
      </c>
      <c r="AC863" t="str">
        <f>TEXT(ReconciliationData[[#This Row],[Order_Date]],"YYYY-MM")</f>
        <v>2023-07</v>
      </c>
    </row>
    <row r="864" spans="1:29">
      <c r="A864" t="s">
        <v>2677</v>
      </c>
      <c r="B864" s="1">
        <v>45613</v>
      </c>
      <c r="C864" t="s">
        <v>2678</v>
      </c>
      <c r="D864" t="s">
        <v>1037</v>
      </c>
      <c r="E864">
        <v>30</v>
      </c>
      <c r="F864" t="s">
        <v>2679</v>
      </c>
      <c r="G864">
        <v>30</v>
      </c>
      <c r="H864">
        <v>539.57150000000001</v>
      </c>
      <c r="N864">
        <v>539.57150000000001</v>
      </c>
      <c r="O864" s="1">
        <v>45191</v>
      </c>
      <c r="P864">
        <f>IF(ISBLANK(ReconciliationData[[#This Row],[Invoice_ID]]),1,0)</f>
        <v>0</v>
      </c>
      <c r="Q864">
        <f>IF(AND(NOT(ISBLANK(ReconciliationData[[#This Row],[Billed_Units]])),ReconciliationData[[#This Row],[ordered_units]]&lt;&gt;ReconciliationData[[#This Row],[Billed_Units]]),1,0)</f>
        <v>0</v>
      </c>
      <c r="R8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4">
        <f>IF(AND(NOT(ISBLANK(ReconciliationData[[#This Row],[Contract_Price]])),ReconciliationData[[#This Row],[Billed_Price]]&lt;&gt;ReconciliationData[[#This Row],[Contract_Price]]),1,0)</f>
        <v>0</v>
      </c>
      <c r="T864">
        <f>IF(AND(NOT(ISBLANK(ReconciliationData[[#This Row],[End_Date]])),ReconciliationData[[#This Row],[Order_Date]]&gt;ReconciliationData[[#This Row],[End_Date]]),1,0)</f>
        <v>0</v>
      </c>
      <c r="U864">
        <f>IF(AND(NOT(ISBLANK(ReconciliationData[[#This Row],[last_return_date]])),ReconciliationData[[#This Row],[last_return_date]]&gt;ReconciliationData[[#This Row],[Order_Date]]+60),1,0)</f>
        <v>0</v>
      </c>
      <c r="V864">
        <f>IF(ReconciliationData[[#This Row],[total_returned_units]]&gt;ReconciliationData[[#This Row],[ordered_units]],1,0)</f>
        <v>0</v>
      </c>
      <c r="W8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4">
        <f>ReconciliationData[[#This Row],[Billed_Units]]*ReconciliationData[[#This Row],[Billed_Price]]</f>
        <v>16187.145</v>
      </c>
      <c r="Y864">
        <f>ReconciliationData[[#This Row],[ordered_units]]*ReconciliationData[[#This Row],[List_Price]]</f>
        <v>16187.145</v>
      </c>
      <c r="Z864">
        <f>ReconciliationData[[#This Row],[billed_revenue]]-ReconciliationData[[#This Row],[expected_revenue]]</f>
        <v>0</v>
      </c>
      <c r="AA8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4" t="str">
        <f>IF(ReconciliationData[[#This Row],[severity_score]]=0,"LOW",
 IF(ReconciliationData[[#This Row],[severity_score]]&lt;=5,"MEDIUM","HIGH"))</f>
        <v>LOW</v>
      </c>
      <c r="AC864" t="str">
        <f>TEXT(ReconciliationData[[#This Row],[Order_Date]],"YYYY-MM")</f>
        <v>2024-11</v>
      </c>
    </row>
    <row r="865" spans="1:29">
      <c r="A865" t="s">
        <v>2680</v>
      </c>
      <c r="B865" s="1">
        <v>45552</v>
      </c>
      <c r="C865" t="s">
        <v>2681</v>
      </c>
      <c r="D865" t="s">
        <v>2682</v>
      </c>
      <c r="E865">
        <v>158</v>
      </c>
      <c r="F865" t="s">
        <v>2683</v>
      </c>
      <c r="G865">
        <v>158</v>
      </c>
      <c r="H865">
        <v>1032.7408</v>
      </c>
      <c r="N865">
        <v>1032.7408</v>
      </c>
      <c r="O865" s="1">
        <v>45077</v>
      </c>
      <c r="P865">
        <f>IF(ISBLANK(ReconciliationData[[#This Row],[Invoice_ID]]),1,0)</f>
        <v>0</v>
      </c>
      <c r="Q865">
        <f>IF(AND(NOT(ISBLANK(ReconciliationData[[#This Row],[Billed_Units]])),ReconciliationData[[#This Row],[ordered_units]]&lt;&gt;ReconciliationData[[#This Row],[Billed_Units]]),1,0)</f>
        <v>0</v>
      </c>
      <c r="R8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5">
        <f>IF(AND(NOT(ISBLANK(ReconciliationData[[#This Row],[Contract_Price]])),ReconciliationData[[#This Row],[Billed_Price]]&lt;&gt;ReconciliationData[[#This Row],[Contract_Price]]),1,0)</f>
        <v>0</v>
      </c>
      <c r="T865">
        <f>IF(AND(NOT(ISBLANK(ReconciliationData[[#This Row],[End_Date]])),ReconciliationData[[#This Row],[Order_Date]]&gt;ReconciliationData[[#This Row],[End_Date]]),1,0)</f>
        <v>0</v>
      </c>
      <c r="U865">
        <f>IF(AND(NOT(ISBLANK(ReconciliationData[[#This Row],[last_return_date]])),ReconciliationData[[#This Row],[last_return_date]]&gt;ReconciliationData[[#This Row],[Order_Date]]+60),1,0)</f>
        <v>0</v>
      </c>
      <c r="V865">
        <f>IF(ReconciliationData[[#This Row],[total_returned_units]]&gt;ReconciliationData[[#This Row],[ordered_units]],1,0)</f>
        <v>0</v>
      </c>
      <c r="W8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5">
        <f>ReconciliationData[[#This Row],[Billed_Units]]*ReconciliationData[[#This Row],[Billed_Price]]</f>
        <v>163173.04639999999</v>
      </c>
      <c r="Y865">
        <f>ReconciliationData[[#This Row],[ordered_units]]*ReconciliationData[[#This Row],[List_Price]]</f>
        <v>163173.04639999999</v>
      </c>
      <c r="Z865">
        <f>ReconciliationData[[#This Row],[billed_revenue]]-ReconciliationData[[#This Row],[expected_revenue]]</f>
        <v>0</v>
      </c>
      <c r="AA8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5" t="str">
        <f>IF(ReconciliationData[[#This Row],[severity_score]]=0,"LOW",
 IF(ReconciliationData[[#This Row],[severity_score]]&lt;=5,"MEDIUM","HIGH"))</f>
        <v>LOW</v>
      </c>
      <c r="AC865" t="str">
        <f>TEXT(ReconciliationData[[#This Row],[Order_Date]],"YYYY-MM")</f>
        <v>2024-09</v>
      </c>
    </row>
    <row r="866" spans="1:29">
      <c r="A866" t="s">
        <v>2684</v>
      </c>
      <c r="B866" s="1">
        <v>45636</v>
      </c>
      <c r="C866" t="s">
        <v>1558</v>
      </c>
      <c r="D866" t="s">
        <v>1802</v>
      </c>
      <c r="E866">
        <v>28</v>
      </c>
      <c r="F866" t="s">
        <v>2685</v>
      </c>
      <c r="G866">
        <v>28</v>
      </c>
      <c r="H866">
        <v>648.86940000000004</v>
      </c>
      <c r="N866">
        <v>648.86940000000004</v>
      </c>
      <c r="O866" s="1">
        <v>45064</v>
      </c>
      <c r="P866">
        <f>IF(ISBLANK(ReconciliationData[[#This Row],[Invoice_ID]]),1,0)</f>
        <v>0</v>
      </c>
      <c r="Q866">
        <f>IF(AND(NOT(ISBLANK(ReconciliationData[[#This Row],[Billed_Units]])),ReconciliationData[[#This Row],[ordered_units]]&lt;&gt;ReconciliationData[[#This Row],[Billed_Units]]),1,0)</f>
        <v>0</v>
      </c>
      <c r="R8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6">
        <f>IF(AND(NOT(ISBLANK(ReconciliationData[[#This Row],[Contract_Price]])),ReconciliationData[[#This Row],[Billed_Price]]&lt;&gt;ReconciliationData[[#This Row],[Contract_Price]]),1,0)</f>
        <v>0</v>
      </c>
      <c r="T866">
        <f>IF(AND(NOT(ISBLANK(ReconciliationData[[#This Row],[End_Date]])),ReconciliationData[[#This Row],[Order_Date]]&gt;ReconciliationData[[#This Row],[End_Date]]),1,0)</f>
        <v>0</v>
      </c>
      <c r="U866">
        <f>IF(AND(NOT(ISBLANK(ReconciliationData[[#This Row],[last_return_date]])),ReconciliationData[[#This Row],[last_return_date]]&gt;ReconciliationData[[#This Row],[Order_Date]]+60),1,0)</f>
        <v>0</v>
      </c>
      <c r="V866">
        <f>IF(ReconciliationData[[#This Row],[total_returned_units]]&gt;ReconciliationData[[#This Row],[ordered_units]],1,0)</f>
        <v>0</v>
      </c>
      <c r="W8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6">
        <f>ReconciliationData[[#This Row],[Billed_Units]]*ReconciliationData[[#This Row],[Billed_Price]]</f>
        <v>18168.343200000003</v>
      </c>
      <c r="Y866">
        <f>ReconciliationData[[#This Row],[ordered_units]]*ReconciliationData[[#This Row],[List_Price]]</f>
        <v>18168.343200000003</v>
      </c>
      <c r="Z866">
        <f>ReconciliationData[[#This Row],[billed_revenue]]-ReconciliationData[[#This Row],[expected_revenue]]</f>
        <v>0</v>
      </c>
      <c r="AA8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6" t="str">
        <f>IF(ReconciliationData[[#This Row],[severity_score]]=0,"LOW",
 IF(ReconciliationData[[#This Row],[severity_score]]&lt;=5,"MEDIUM","HIGH"))</f>
        <v>LOW</v>
      </c>
      <c r="AC866" t="str">
        <f>TEXT(ReconciliationData[[#This Row],[Order_Date]],"YYYY-MM")</f>
        <v>2024-12</v>
      </c>
    </row>
    <row r="867" spans="1:29">
      <c r="A867" t="s">
        <v>2686</v>
      </c>
      <c r="B867" s="1">
        <v>45062</v>
      </c>
      <c r="C867" t="s">
        <v>2687</v>
      </c>
      <c r="D867" t="s">
        <v>537</v>
      </c>
      <c r="E867">
        <v>191</v>
      </c>
      <c r="F867" t="s">
        <v>2688</v>
      </c>
      <c r="G867">
        <v>191</v>
      </c>
      <c r="H867">
        <v>432.839</v>
      </c>
      <c r="N867">
        <v>432.839</v>
      </c>
      <c r="O867" s="1">
        <v>45048</v>
      </c>
      <c r="P867">
        <f>IF(ISBLANK(ReconciliationData[[#This Row],[Invoice_ID]]),1,0)</f>
        <v>0</v>
      </c>
      <c r="Q867">
        <f>IF(AND(NOT(ISBLANK(ReconciliationData[[#This Row],[Billed_Units]])),ReconciliationData[[#This Row],[ordered_units]]&lt;&gt;ReconciliationData[[#This Row],[Billed_Units]]),1,0)</f>
        <v>0</v>
      </c>
      <c r="R8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7">
        <f>IF(AND(NOT(ISBLANK(ReconciliationData[[#This Row],[Contract_Price]])),ReconciliationData[[#This Row],[Billed_Price]]&lt;&gt;ReconciliationData[[#This Row],[Contract_Price]]),1,0)</f>
        <v>0</v>
      </c>
      <c r="T867">
        <f>IF(AND(NOT(ISBLANK(ReconciliationData[[#This Row],[End_Date]])),ReconciliationData[[#This Row],[Order_Date]]&gt;ReconciliationData[[#This Row],[End_Date]]),1,0)</f>
        <v>0</v>
      </c>
      <c r="U867">
        <f>IF(AND(NOT(ISBLANK(ReconciliationData[[#This Row],[last_return_date]])),ReconciliationData[[#This Row],[last_return_date]]&gt;ReconciliationData[[#This Row],[Order_Date]]+60),1,0)</f>
        <v>0</v>
      </c>
      <c r="V867">
        <f>IF(ReconciliationData[[#This Row],[total_returned_units]]&gt;ReconciliationData[[#This Row],[ordered_units]],1,0)</f>
        <v>0</v>
      </c>
      <c r="W8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7">
        <f>ReconciliationData[[#This Row],[Billed_Units]]*ReconciliationData[[#This Row],[Billed_Price]]</f>
        <v>82672.248999999996</v>
      </c>
      <c r="Y867">
        <f>ReconciliationData[[#This Row],[ordered_units]]*ReconciliationData[[#This Row],[List_Price]]</f>
        <v>82672.248999999996</v>
      </c>
      <c r="Z867">
        <f>ReconciliationData[[#This Row],[billed_revenue]]-ReconciliationData[[#This Row],[expected_revenue]]</f>
        <v>0</v>
      </c>
      <c r="AA8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7" t="str">
        <f>IF(ReconciliationData[[#This Row],[severity_score]]=0,"LOW",
 IF(ReconciliationData[[#This Row],[severity_score]]&lt;=5,"MEDIUM","HIGH"))</f>
        <v>LOW</v>
      </c>
      <c r="AC867" t="str">
        <f>TEXT(ReconciliationData[[#This Row],[Order_Date]],"YYYY-MM")</f>
        <v>2023-05</v>
      </c>
    </row>
    <row r="868" spans="1:29">
      <c r="A868" t="s">
        <v>2689</v>
      </c>
      <c r="B868" s="1">
        <v>45224</v>
      </c>
      <c r="C868" t="s">
        <v>1259</v>
      </c>
      <c r="D868" t="s">
        <v>951</v>
      </c>
      <c r="E868">
        <v>123</v>
      </c>
      <c r="F868" t="s">
        <v>2690</v>
      </c>
      <c r="G868">
        <v>123</v>
      </c>
      <c r="H868">
        <v>571.32999999999993</v>
      </c>
      <c r="N868">
        <v>571.32999999999993</v>
      </c>
      <c r="O868" s="1">
        <v>45206</v>
      </c>
      <c r="P868">
        <f>IF(ISBLANK(ReconciliationData[[#This Row],[Invoice_ID]]),1,0)</f>
        <v>0</v>
      </c>
      <c r="Q868">
        <f>IF(AND(NOT(ISBLANK(ReconciliationData[[#This Row],[Billed_Units]])),ReconciliationData[[#This Row],[ordered_units]]&lt;&gt;ReconciliationData[[#This Row],[Billed_Units]]),1,0)</f>
        <v>0</v>
      </c>
      <c r="R8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8">
        <f>IF(AND(NOT(ISBLANK(ReconciliationData[[#This Row],[Contract_Price]])),ReconciliationData[[#This Row],[Billed_Price]]&lt;&gt;ReconciliationData[[#This Row],[Contract_Price]]),1,0)</f>
        <v>0</v>
      </c>
      <c r="T868">
        <f>IF(AND(NOT(ISBLANK(ReconciliationData[[#This Row],[End_Date]])),ReconciliationData[[#This Row],[Order_Date]]&gt;ReconciliationData[[#This Row],[End_Date]]),1,0)</f>
        <v>0</v>
      </c>
      <c r="U868">
        <f>IF(AND(NOT(ISBLANK(ReconciliationData[[#This Row],[last_return_date]])),ReconciliationData[[#This Row],[last_return_date]]&gt;ReconciliationData[[#This Row],[Order_Date]]+60),1,0)</f>
        <v>0</v>
      </c>
      <c r="V868">
        <f>IF(ReconciliationData[[#This Row],[total_returned_units]]&gt;ReconciliationData[[#This Row],[ordered_units]],1,0)</f>
        <v>0</v>
      </c>
      <c r="W8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8">
        <f>ReconciliationData[[#This Row],[Billed_Units]]*ReconciliationData[[#This Row],[Billed_Price]]</f>
        <v>70273.59</v>
      </c>
      <c r="Y868">
        <f>ReconciliationData[[#This Row],[ordered_units]]*ReconciliationData[[#This Row],[List_Price]]</f>
        <v>70273.59</v>
      </c>
      <c r="Z868">
        <f>ReconciliationData[[#This Row],[billed_revenue]]-ReconciliationData[[#This Row],[expected_revenue]]</f>
        <v>0</v>
      </c>
      <c r="AA8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8" t="str">
        <f>IF(ReconciliationData[[#This Row],[severity_score]]=0,"LOW",
 IF(ReconciliationData[[#This Row],[severity_score]]&lt;=5,"MEDIUM","HIGH"))</f>
        <v>LOW</v>
      </c>
      <c r="AC868" t="str">
        <f>TEXT(ReconciliationData[[#This Row],[Order_Date]],"YYYY-MM")</f>
        <v>2023-10</v>
      </c>
    </row>
    <row r="869" spans="1:29">
      <c r="A869" t="s">
        <v>2691</v>
      </c>
      <c r="B869" s="1">
        <v>45217</v>
      </c>
      <c r="C869" t="s">
        <v>2692</v>
      </c>
      <c r="D869" t="s">
        <v>2471</v>
      </c>
      <c r="E869">
        <v>98</v>
      </c>
      <c r="F869" t="s">
        <v>2693</v>
      </c>
      <c r="G869">
        <v>98</v>
      </c>
      <c r="H869">
        <v>1066.4874</v>
      </c>
      <c r="N869">
        <v>1066.4874</v>
      </c>
      <c r="O869" s="1">
        <v>45077</v>
      </c>
      <c r="P869">
        <f>IF(ISBLANK(ReconciliationData[[#This Row],[Invoice_ID]]),1,0)</f>
        <v>0</v>
      </c>
      <c r="Q869">
        <f>IF(AND(NOT(ISBLANK(ReconciliationData[[#This Row],[Billed_Units]])),ReconciliationData[[#This Row],[ordered_units]]&lt;&gt;ReconciliationData[[#This Row],[Billed_Units]]),1,0)</f>
        <v>0</v>
      </c>
      <c r="R8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69">
        <f>IF(AND(NOT(ISBLANK(ReconciliationData[[#This Row],[Contract_Price]])),ReconciliationData[[#This Row],[Billed_Price]]&lt;&gt;ReconciliationData[[#This Row],[Contract_Price]]),1,0)</f>
        <v>0</v>
      </c>
      <c r="T869">
        <f>IF(AND(NOT(ISBLANK(ReconciliationData[[#This Row],[End_Date]])),ReconciliationData[[#This Row],[Order_Date]]&gt;ReconciliationData[[#This Row],[End_Date]]),1,0)</f>
        <v>0</v>
      </c>
      <c r="U869">
        <f>IF(AND(NOT(ISBLANK(ReconciliationData[[#This Row],[last_return_date]])),ReconciliationData[[#This Row],[last_return_date]]&gt;ReconciliationData[[#This Row],[Order_Date]]+60),1,0)</f>
        <v>0</v>
      </c>
      <c r="V869">
        <f>IF(ReconciliationData[[#This Row],[total_returned_units]]&gt;ReconciliationData[[#This Row],[ordered_units]],1,0)</f>
        <v>0</v>
      </c>
      <c r="W8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69">
        <f>ReconciliationData[[#This Row],[Billed_Units]]*ReconciliationData[[#This Row],[Billed_Price]]</f>
        <v>104515.76519999999</v>
      </c>
      <c r="Y869">
        <f>ReconciliationData[[#This Row],[ordered_units]]*ReconciliationData[[#This Row],[List_Price]]</f>
        <v>104515.76519999999</v>
      </c>
      <c r="Z869">
        <f>ReconciliationData[[#This Row],[billed_revenue]]-ReconciliationData[[#This Row],[expected_revenue]]</f>
        <v>0</v>
      </c>
      <c r="AA8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69" t="str">
        <f>IF(ReconciliationData[[#This Row],[severity_score]]=0,"LOW",
 IF(ReconciliationData[[#This Row],[severity_score]]&lt;=5,"MEDIUM","HIGH"))</f>
        <v>LOW</v>
      </c>
      <c r="AC869" t="str">
        <f>TEXT(ReconciliationData[[#This Row],[Order_Date]],"YYYY-MM")</f>
        <v>2023-10</v>
      </c>
    </row>
    <row r="870" spans="1:29">
      <c r="A870" t="s">
        <v>2694</v>
      </c>
      <c r="B870" s="1">
        <v>45635</v>
      </c>
      <c r="C870" t="s">
        <v>2268</v>
      </c>
      <c r="D870" t="s">
        <v>2331</v>
      </c>
      <c r="E870">
        <v>132</v>
      </c>
      <c r="F870" t="s">
        <v>2695</v>
      </c>
      <c r="G870">
        <v>132</v>
      </c>
      <c r="H870">
        <v>983.19460000000004</v>
      </c>
      <c r="N870">
        <v>983.19460000000004</v>
      </c>
      <c r="O870" s="1">
        <v>45142</v>
      </c>
      <c r="P870">
        <f>IF(ISBLANK(ReconciliationData[[#This Row],[Invoice_ID]]),1,0)</f>
        <v>0</v>
      </c>
      <c r="Q870">
        <f>IF(AND(NOT(ISBLANK(ReconciliationData[[#This Row],[Billed_Units]])),ReconciliationData[[#This Row],[ordered_units]]&lt;&gt;ReconciliationData[[#This Row],[Billed_Units]]),1,0)</f>
        <v>0</v>
      </c>
      <c r="R8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0">
        <f>IF(AND(NOT(ISBLANK(ReconciliationData[[#This Row],[Contract_Price]])),ReconciliationData[[#This Row],[Billed_Price]]&lt;&gt;ReconciliationData[[#This Row],[Contract_Price]]),1,0)</f>
        <v>0</v>
      </c>
      <c r="T870">
        <f>IF(AND(NOT(ISBLANK(ReconciliationData[[#This Row],[End_Date]])),ReconciliationData[[#This Row],[Order_Date]]&gt;ReconciliationData[[#This Row],[End_Date]]),1,0)</f>
        <v>0</v>
      </c>
      <c r="U870">
        <f>IF(AND(NOT(ISBLANK(ReconciliationData[[#This Row],[last_return_date]])),ReconciliationData[[#This Row],[last_return_date]]&gt;ReconciliationData[[#This Row],[Order_Date]]+60),1,0)</f>
        <v>0</v>
      </c>
      <c r="V870">
        <f>IF(ReconciliationData[[#This Row],[total_returned_units]]&gt;ReconciliationData[[#This Row],[ordered_units]],1,0)</f>
        <v>0</v>
      </c>
      <c r="W8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0">
        <f>ReconciliationData[[#This Row],[Billed_Units]]*ReconciliationData[[#This Row],[Billed_Price]]</f>
        <v>129781.6872</v>
      </c>
      <c r="Y870">
        <f>ReconciliationData[[#This Row],[ordered_units]]*ReconciliationData[[#This Row],[List_Price]]</f>
        <v>129781.6872</v>
      </c>
      <c r="Z870">
        <f>ReconciliationData[[#This Row],[billed_revenue]]-ReconciliationData[[#This Row],[expected_revenue]]</f>
        <v>0</v>
      </c>
      <c r="AA8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0" t="str">
        <f>IF(ReconciliationData[[#This Row],[severity_score]]=0,"LOW",
 IF(ReconciliationData[[#This Row],[severity_score]]&lt;=5,"MEDIUM","HIGH"))</f>
        <v>LOW</v>
      </c>
      <c r="AC870" t="str">
        <f>TEXT(ReconciliationData[[#This Row],[Order_Date]],"YYYY-MM")</f>
        <v>2024-12</v>
      </c>
    </row>
    <row r="871" spans="1:29">
      <c r="A871" t="s">
        <v>2696</v>
      </c>
      <c r="B871" s="1">
        <v>45382</v>
      </c>
      <c r="C871" t="s">
        <v>1439</v>
      </c>
      <c r="D871" t="s">
        <v>1404</v>
      </c>
      <c r="E871">
        <v>133</v>
      </c>
      <c r="F871" t="s">
        <v>2697</v>
      </c>
      <c r="G871">
        <v>133</v>
      </c>
      <c r="H871">
        <v>655.93800000000022</v>
      </c>
      <c r="N871">
        <v>655.93800000000022</v>
      </c>
      <c r="O871" s="1">
        <v>45075</v>
      </c>
      <c r="P871">
        <f>IF(ISBLANK(ReconciliationData[[#This Row],[Invoice_ID]]),1,0)</f>
        <v>0</v>
      </c>
      <c r="Q871">
        <f>IF(AND(NOT(ISBLANK(ReconciliationData[[#This Row],[Billed_Units]])),ReconciliationData[[#This Row],[ordered_units]]&lt;&gt;ReconciliationData[[#This Row],[Billed_Units]]),1,0)</f>
        <v>0</v>
      </c>
      <c r="R8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1">
        <f>IF(AND(NOT(ISBLANK(ReconciliationData[[#This Row],[Contract_Price]])),ReconciliationData[[#This Row],[Billed_Price]]&lt;&gt;ReconciliationData[[#This Row],[Contract_Price]]),1,0)</f>
        <v>0</v>
      </c>
      <c r="T871">
        <f>IF(AND(NOT(ISBLANK(ReconciliationData[[#This Row],[End_Date]])),ReconciliationData[[#This Row],[Order_Date]]&gt;ReconciliationData[[#This Row],[End_Date]]),1,0)</f>
        <v>0</v>
      </c>
      <c r="U871">
        <f>IF(AND(NOT(ISBLANK(ReconciliationData[[#This Row],[last_return_date]])),ReconciliationData[[#This Row],[last_return_date]]&gt;ReconciliationData[[#This Row],[Order_Date]]+60),1,0)</f>
        <v>0</v>
      </c>
      <c r="V871">
        <f>IF(ReconciliationData[[#This Row],[total_returned_units]]&gt;ReconciliationData[[#This Row],[ordered_units]],1,0)</f>
        <v>0</v>
      </c>
      <c r="W8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1">
        <f>ReconciliationData[[#This Row],[Billed_Units]]*ReconciliationData[[#This Row],[Billed_Price]]</f>
        <v>87239.75400000003</v>
      </c>
      <c r="Y871">
        <f>ReconciliationData[[#This Row],[ordered_units]]*ReconciliationData[[#This Row],[List_Price]]</f>
        <v>87239.75400000003</v>
      </c>
      <c r="Z871">
        <f>ReconciliationData[[#This Row],[billed_revenue]]-ReconciliationData[[#This Row],[expected_revenue]]</f>
        <v>0</v>
      </c>
      <c r="AA8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1" t="str">
        <f>IF(ReconciliationData[[#This Row],[severity_score]]=0,"LOW",
 IF(ReconciliationData[[#This Row],[severity_score]]&lt;=5,"MEDIUM","HIGH"))</f>
        <v>LOW</v>
      </c>
      <c r="AC871" t="str">
        <f>TEXT(ReconciliationData[[#This Row],[Order_Date]],"YYYY-MM")</f>
        <v>2024-03</v>
      </c>
    </row>
    <row r="872" spans="1:29">
      <c r="A872" t="s">
        <v>2698</v>
      </c>
      <c r="B872" s="1">
        <v>44949</v>
      </c>
      <c r="C872" t="s">
        <v>1458</v>
      </c>
      <c r="D872" t="s">
        <v>674</v>
      </c>
      <c r="E872">
        <v>67</v>
      </c>
      <c r="F872" t="s">
        <v>2699</v>
      </c>
      <c r="G872">
        <v>67</v>
      </c>
      <c r="H872">
        <v>1032.2340000000002</v>
      </c>
      <c r="N872">
        <v>1032.2340000000002</v>
      </c>
      <c r="O872" s="1">
        <v>44798</v>
      </c>
      <c r="P872">
        <f>IF(ISBLANK(ReconciliationData[[#This Row],[Invoice_ID]]),1,0)</f>
        <v>0</v>
      </c>
      <c r="Q872">
        <f>IF(AND(NOT(ISBLANK(ReconciliationData[[#This Row],[Billed_Units]])),ReconciliationData[[#This Row],[ordered_units]]&lt;&gt;ReconciliationData[[#This Row],[Billed_Units]]),1,0)</f>
        <v>0</v>
      </c>
      <c r="R8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2">
        <f>IF(AND(NOT(ISBLANK(ReconciliationData[[#This Row],[Contract_Price]])),ReconciliationData[[#This Row],[Billed_Price]]&lt;&gt;ReconciliationData[[#This Row],[Contract_Price]]),1,0)</f>
        <v>0</v>
      </c>
      <c r="T872">
        <f>IF(AND(NOT(ISBLANK(ReconciliationData[[#This Row],[End_Date]])),ReconciliationData[[#This Row],[Order_Date]]&gt;ReconciliationData[[#This Row],[End_Date]]),1,0)</f>
        <v>0</v>
      </c>
      <c r="U872">
        <f>IF(AND(NOT(ISBLANK(ReconciliationData[[#This Row],[last_return_date]])),ReconciliationData[[#This Row],[last_return_date]]&gt;ReconciliationData[[#This Row],[Order_Date]]+60),1,0)</f>
        <v>0</v>
      </c>
      <c r="V872">
        <f>IF(ReconciliationData[[#This Row],[total_returned_units]]&gt;ReconciliationData[[#This Row],[ordered_units]],1,0)</f>
        <v>0</v>
      </c>
      <c r="W8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2">
        <f>ReconciliationData[[#This Row],[Billed_Units]]*ReconciliationData[[#This Row],[Billed_Price]]</f>
        <v>69159.678000000014</v>
      </c>
      <c r="Y872">
        <f>ReconciliationData[[#This Row],[ordered_units]]*ReconciliationData[[#This Row],[List_Price]]</f>
        <v>69159.678000000014</v>
      </c>
      <c r="Z872">
        <f>ReconciliationData[[#This Row],[billed_revenue]]-ReconciliationData[[#This Row],[expected_revenue]]</f>
        <v>0</v>
      </c>
      <c r="AA8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2" t="str">
        <f>IF(ReconciliationData[[#This Row],[severity_score]]=0,"LOW",
 IF(ReconciliationData[[#This Row],[severity_score]]&lt;=5,"MEDIUM","HIGH"))</f>
        <v>LOW</v>
      </c>
      <c r="AC872" t="str">
        <f>TEXT(ReconciliationData[[#This Row],[Order_Date]],"YYYY-MM")</f>
        <v>2023-01</v>
      </c>
    </row>
    <row r="873" spans="1:29">
      <c r="A873" t="s">
        <v>2700</v>
      </c>
      <c r="B873" s="1">
        <v>45411</v>
      </c>
      <c r="C873" t="s">
        <v>2701</v>
      </c>
      <c r="D873" t="s">
        <v>1933</v>
      </c>
      <c r="E873">
        <v>183</v>
      </c>
      <c r="F873" t="s">
        <v>2702</v>
      </c>
      <c r="G873">
        <v>183</v>
      </c>
      <c r="H873">
        <v>571.49840000000006</v>
      </c>
      <c r="N873">
        <v>571.49840000000006</v>
      </c>
      <c r="O873" s="1">
        <v>45071</v>
      </c>
      <c r="P873">
        <f>IF(ISBLANK(ReconciliationData[[#This Row],[Invoice_ID]]),1,0)</f>
        <v>0</v>
      </c>
      <c r="Q873">
        <f>IF(AND(NOT(ISBLANK(ReconciliationData[[#This Row],[Billed_Units]])),ReconciliationData[[#This Row],[ordered_units]]&lt;&gt;ReconciliationData[[#This Row],[Billed_Units]]),1,0)</f>
        <v>0</v>
      </c>
      <c r="R8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3">
        <f>IF(AND(NOT(ISBLANK(ReconciliationData[[#This Row],[Contract_Price]])),ReconciliationData[[#This Row],[Billed_Price]]&lt;&gt;ReconciliationData[[#This Row],[Contract_Price]]),1,0)</f>
        <v>0</v>
      </c>
      <c r="T873">
        <f>IF(AND(NOT(ISBLANK(ReconciliationData[[#This Row],[End_Date]])),ReconciliationData[[#This Row],[Order_Date]]&gt;ReconciliationData[[#This Row],[End_Date]]),1,0)</f>
        <v>0</v>
      </c>
      <c r="U873">
        <f>IF(AND(NOT(ISBLANK(ReconciliationData[[#This Row],[last_return_date]])),ReconciliationData[[#This Row],[last_return_date]]&gt;ReconciliationData[[#This Row],[Order_Date]]+60),1,0)</f>
        <v>0</v>
      </c>
      <c r="V873">
        <f>IF(ReconciliationData[[#This Row],[total_returned_units]]&gt;ReconciliationData[[#This Row],[ordered_units]],1,0)</f>
        <v>0</v>
      </c>
      <c r="W8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3">
        <f>ReconciliationData[[#This Row],[Billed_Units]]*ReconciliationData[[#This Row],[Billed_Price]]</f>
        <v>104584.2072</v>
      </c>
      <c r="Y873">
        <f>ReconciliationData[[#This Row],[ordered_units]]*ReconciliationData[[#This Row],[List_Price]]</f>
        <v>104584.2072</v>
      </c>
      <c r="Z873">
        <f>ReconciliationData[[#This Row],[billed_revenue]]-ReconciliationData[[#This Row],[expected_revenue]]</f>
        <v>0</v>
      </c>
      <c r="AA8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3" t="str">
        <f>IF(ReconciliationData[[#This Row],[severity_score]]=0,"LOW",
 IF(ReconciliationData[[#This Row],[severity_score]]&lt;=5,"MEDIUM","HIGH"))</f>
        <v>LOW</v>
      </c>
      <c r="AC873" t="str">
        <f>TEXT(ReconciliationData[[#This Row],[Order_Date]],"YYYY-MM")</f>
        <v>2024-04</v>
      </c>
    </row>
    <row r="874" spans="1:29">
      <c r="A874" t="s">
        <v>2703</v>
      </c>
      <c r="B874" s="1">
        <v>45137</v>
      </c>
      <c r="C874" t="s">
        <v>1016</v>
      </c>
      <c r="D874" t="s">
        <v>453</v>
      </c>
      <c r="E874">
        <v>152</v>
      </c>
      <c r="F874" t="s">
        <v>2704</v>
      </c>
      <c r="G874">
        <v>152</v>
      </c>
      <c r="H874">
        <v>1138.4856</v>
      </c>
      <c r="N874">
        <v>1138.4856</v>
      </c>
      <c r="O874" s="1">
        <v>44865</v>
      </c>
      <c r="P874">
        <f>IF(ISBLANK(ReconciliationData[[#This Row],[Invoice_ID]]),1,0)</f>
        <v>0</v>
      </c>
      <c r="Q874">
        <f>IF(AND(NOT(ISBLANK(ReconciliationData[[#This Row],[Billed_Units]])),ReconciliationData[[#This Row],[ordered_units]]&lt;&gt;ReconciliationData[[#This Row],[Billed_Units]]),1,0)</f>
        <v>0</v>
      </c>
      <c r="R8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4">
        <f>IF(AND(NOT(ISBLANK(ReconciliationData[[#This Row],[Contract_Price]])),ReconciliationData[[#This Row],[Billed_Price]]&lt;&gt;ReconciliationData[[#This Row],[Contract_Price]]),1,0)</f>
        <v>0</v>
      </c>
      <c r="T874">
        <f>IF(AND(NOT(ISBLANK(ReconciliationData[[#This Row],[End_Date]])),ReconciliationData[[#This Row],[Order_Date]]&gt;ReconciliationData[[#This Row],[End_Date]]),1,0)</f>
        <v>0</v>
      </c>
      <c r="U874">
        <f>IF(AND(NOT(ISBLANK(ReconciliationData[[#This Row],[last_return_date]])),ReconciliationData[[#This Row],[last_return_date]]&gt;ReconciliationData[[#This Row],[Order_Date]]+60),1,0)</f>
        <v>0</v>
      </c>
      <c r="V874">
        <f>IF(ReconciliationData[[#This Row],[total_returned_units]]&gt;ReconciliationData[[#This Row],[ordered_units]],1,0)</f>
        <v>0</v>
      </c>
      <c r="W8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4">
        <f>ReconciliationData[[#This Row],[Billed_Units]]*ReconciliationData[[#This Row],[Billed_Price]]</f>
        <v>173049.8112</v>
      </c>
      <c r="Y874">
        <f>ReconciliationData[[#This Row],[ordered_units]]*ReconciliationData[[#This Row],[List_Price]]</f>
        <v>173049.8112</v>
      </c>
      <c r="Z874">
        <f>ReconciliationData[[#This Row],[billed_revenue]]-ReconciliationData[[#This Row],[expected_revenue]]</f>
        <v>0</v>
      </c>
      <c r="AA8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4" t="str">
        <f>IF(ReconciliationData[[#This Row],[severity_score]]=0,"LOW",
 IF(ReconciliationData[[#This Row],[severity_score]]&lt;=5,"MEDIUM","HIGH"))</f>
        <v>LOW</v>
      </c>
      <c r="AC874" t="str">
        <f>TEXT(ReconciliationData[[#This Row],[Order_Date]],"YYYY-MM")</f>
        <v>2023-07</v>
      </c>
    </row>
    <row r="875" spans="1:29">
      <c r="A875" t="s">
        <v>2705</v>
      </c>
      <c r="B875" s="1">
        <v>44989</v>
      </c>
      <c r="C875" t="s">
        <v>1117</v>
      </c>
      <c r="D875" t="s">
        <v>2331</v>
      </c>
      <c r="E875">
        <v>139</v>
      </c>
      <c r="F875" t="s">
        <v>2706</v>
      </c>
      <c r="G875">
        <v>139</v>
      </c>
      <c r="H875">
        <v>1012.3984</v>
      </c>
      <c r="N875">
        <v>1012.3984</v>
      </c>
      <c r="O875" s="1">
        <v>44798</v>
      </c>
      <c r="P875">
        <f>IF(ISBLANK(ReconciliationData[[#This Row],[Invoice_ID]]),1,0)</f>
        <v>0</v>
      </c>
      <c r="Q875">
        <f>IF(AND(NOT(ISBLANK(ReconciliationData[[#This Row],[Billed_Units]])),ReconciliationData[[#This Row],[ordered_units]]&lt;&gt;ReconciliationData[[#This Row],[Billed_Units]]),1,0)</f>
        <v>0</v>
      </c>
      <c r="R8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5">
        <f>IF(AND(NOT(ISBLANK(ReconciliationData[[#This Row],[Contract_Price]])),ReconciliationData[[#This Row],[Billed_Price]]&lt;&gt;ReconciliationData[[#This Row],[Contract_Price]]),1,0)</f>
        <v>0</v>
      </c>
      <c r="T875">
        <f>IF(AND(NOT(ISBLANK(ReconciliationData[[#This Row],[End_Date]])),ReconciliationData[[#This Row],[Order_Date]]&gt;ReconciliationData[[#This Row],[End_Date]]),1,0)</f>
        <v>0</v>
      </c>
      <c r="U875">
        <f>IF(AND(NOT(ISBLANK(ReconciliationData[[#This Row],[last_return_date]])),ReconciliationData[[#This Row],[last_return_date]]&gt;ReconciliationData[[#This Row],[Order_Date]]+60),1,0)</f>
        <v>0</v>
      </c>
      <c r="V875">
        <f>IF(ReconciliationData[[#This Row],[total_returned_units]]&gt;ReconciliationData[[#This Row],[ordered_units]],1,0)</f>
        <v>0</v>
      </c>
      <c r="W8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5">
        <f>ReconciliationData[[#This Row],[Billed_Units]]*ReconciliationData[[#This Row],[Billed_Price]]</f>
        <v>140723.37760000001</v>
      </c>
      <c r="Y875">
        <f>ReconciliationData[[#This Row],[ordered_units]]*ReconciliationData[[#This Row],[List_Price]]</f>
        <v>140723.37760000001</v>
      </c>
      <c r="Z875">
        <f>ReconciliationData[[#This Row],[billed_revenue]]-ReconciliationData[[#This Row],[expected_revenue]]</f>
        <v>0</v>
      </c>
      <c r="AA8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5" t="str">
        <f>IF(ReconciliationData[[#This Row],[severity_score]]=0,"LOW",
 IF(ReconciliationData[[#This Row],[severity_score]]&lt;=5,"MEDIUM","HIGH"))</f>
        <v>LOW</v>
      </c>
      <c r="AC875" t="str">
        <f>TEXT(ReconciliationData[[#This Row],[Order_Date]],"YYYY-MM")</f>
        <v>2023-03</v>
      </c>
    </row>
    <row r="876" spans="1:29">
      <c r="A876" t="s">
        <v>2707</v>
      </c>
      <c r="B876" s="1">
        <v>44954</v>
      </c>
      <c r="C876" t="s">
        <v>2708</v>
      </c>
      <c r="D876" t="s">
        <v>1309</v>
      </c>
      <c r="E876">
        <v>84</v>
      </c>
      <c r="F876" t="s">
        <v>2709</v>
      </c>
      <c r="G876">
        <v>84</v>
      </c>
      <c r="H876">
        <v>881.4624</v>
      </c>
      <c r="N876">
        <v>881.4624</v>
      </c>
      <c r="O876" s="1">
        <v>44820</v>
      </c>
      <c r="P876">
        <f>IF(ISBLANK(ReconciliationData[[#This Row],[Invoice_ID]]),1,0)</f>
        <v>0</v>
      </c>
      <c r="Q876">
        <f>IF(AND(NOT(ISBLANK(ReconciliationData[[#This Row],[Billed_Units]])),ReconciliationData[[#This Row],[ordered_units]]&lt;&gt;ReconciliationData[[#This Row],[Billed_Units]]),1,0)</f>
        <v>0</v>
      </c>
      <c r="R8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6">
        <f>IF(AND(NOT(ISBLANK(ReconciliationData[[#This Row],[Contract_Price]])),ReconciliationData[[#This Row],[Billed_Price]]&lt;&gt;ReconciliationData[[#This Row],[Contract_Price]]),1,0)</f>
        <v>0</v>
      </c>
      <c r="T876">
        <f>IF(AND(NOT(ISBLANK(ReconciliationData[[#This Row],[End_Date]])),ReconciliationData[[#This Row],[Order_Date]]&gt;ReconciliationData[[#This Row],[End_Date]]),1,0)</f>
        <v>0</v>
      </c>
      <c r="U876">
        <f>IF(AND(NOT(ISBLANK(ReconciliationData[[#This Row],[last_return_date]])),ReconciliationData[[#This Row],[last_return_date]]&gt;ReconciliationData[[#This Row],[Order_Date]]+60),1,0)</f>
        <v>0</v>
      </c>
      <c r="V876">
        <f>IF(ReconciliationData[[#This Row],[total_returned_units]]&gt;ReconciliationData[[#This Row],[ordered_units]],1,0)</f>
        <v>0</v>
      </c>
      <c r="W8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6">
        <f>ReconciliationData[[#This Row],[Billed_Units]]*ReconciliationData[[#This Row],[Billed_Price]]</f>
        <v>74042.8416</v>
      </c>
      <c r="Y876">
        <f>ReconciliationData[[#This Row],[ordered_units]]*ReconciliationData[[#This Row],[List_Price]]</f>
        <v>74042.8416</v>
      </c>
      <c r="Z876">
        <f>ReconciliationData[[#This Row],[billed_revenue]]-ReconciliationData[[#This Row],[expected_revenue]]</f>
        <v>0</v>
      </c>
      <c r="AA8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6" t="str">
        <f>IF(ReconciliationData[[#This Row],[severity_score]]=0,"LOW",
 IF(ReconciliationData[[#This Row],[severity_score]]&lt;=5,"MEDIUM","HIGH"))</f>
        <v>LOW</v>
      </c>
      <c r="AC876" t="str">
        <f>TEXT(ReconciliationData[[#This Row],[Order_Date]],"YYYY-MM")</f>
        <v>2023-01</v>
      </c>
    </row>
    <row r="877" spans="1:29">
      <c r="A877" t="s">
        <v>2710</v>
      </c>
      <c r="B877" s="1">
        <v>45657</v>
      </c>
      <c r="C877" t="s">
        <v>2210</v>
      </c>
      <c r="D877" t="s">
        <v>1449</v>
      </c>
      <c r="E877">
        <v>99</v>
      </c>
      <c r="F877" t="s">
        <v>2711</v>
      </c>
      <c r="G877">
        <v>99</v>
      </c>
      <c r="H877">
        <v>960.85850000000005</v>
      </c>
      <c r="N877">
        <v>960.85850000000005</v>
      </c>
      <c r="O877" s="1">
        <v>45049</v>
      </c>
      <c r="P877">
        <f>IF(ISBLANK(ReconciliationData[[#This Row],[Invoice_ID]]),1,0)</f>
        <v>0</v>
      </c>
      <c r="Q877">
        <f>IF(AND(NOT(ISBLANK(ReconciliationData[[#This Row],[Billed_Units]])),ReconciliationData[[#This Row],[ordered_units]]&lt;&gt;ReconciliationData[[#This Row],[Billed_Units]]),1,0)</f>
        <v>0</v>
      </c>
      <c r="R8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7">
        <f>IF(AND(NOT(ISBLANK(ReconciliationData[[#This Row],[Contract_Price]])),ReconciliationData[[#This Row],[Billed_Price]]&lt;&gt;ReconciliationData[[#This Row],[Contract_Price]]),1,0)</f>
        <v>0</v>
      </c>
      <c r="T877">
        <f>IF(AND(NOT(ISBLANK(ReconciliationData[[#This Row],[End_Date]])),ReconciliationData[[#This Row],[Order_Date]]&gt;ReconciliationData[[#This Row],[End_Date]]),1,0)</f>
        <v>0</v>
      </c>
      <c r="U877">
        <f>IF(AND(NOT(ISBLANK(ReconciliationData[[#This Row],[last_return_date]])),ReconciliationData[[#This Row],[last_return_date]]&gt;ReconciliationData[[#This Row],[Order_Date]]+60),1,0)</f>
        <v>0</v>
      </c>
      <c r="V877">
        <f>IF(ReconciliationData[[#This Row],[total_returned_units]]&gt;ReconciliationData[[#This Row],[ordered_units]],1,0)</f>
        <v>0</v>
      </c>
      <c r="W8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7">
        <f>ReconciliationData[[#This Row],[Billed_Units]]*ReconciliationData[[#This Row],[Billed_Price]]</f>
        <v>95124.991500000004</v>
      </c>
      <c r="Y877">
        <f>ReconciliationData[[#This Row],[ordered_units]]*ReconciliationData[[#This Row],[List_Price]]</f>
        <v>95124.991500000004</v>
      </c>
      <c r="Z877">
        <f>ReconciliationData[[#This Row],[billed_revenue]]-ReconciliationData[[#This Row],[expected_revenue]]</f>
        <v>0</v>
      </c>
      <c r="AA8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7" t="str">
        <f>IF(ReconciliationData[[#This Row],[severity_score]]=0,"LOW",
 IF(ReconciliationData[[#This Row],[severity_score]]&lt;=5,"MEDIUM","HIGH"))</f>
        <v>LOW</v>
      </c>
      <c r="AC877" t="str">
        <f>TEXT(ReconciliationData[[#This Row],[Order_Date]],"YYYY-MM")</f>
        <v>2024-12</v>
      </c>
    </row>
    <row r="878" spans="1:29">
      <c r="A878" t="s">
        <v>2712</v>
      </c>
      <c r="B878" s="1">
        <v>45514</v>
      </c>
      <c r="C878" t="s">
        <v>1024</v>
      </c>
      <c r="D878" t="s">
        <v>883</v>
      </c>
      <c r="E878">
        <v>154</v>
      </c>
      <c r="F878" t="s">
        <v>2713</v>
      </c>
      <c r="G878">
        <v>154</v>
      </c>
      <c r="H878">
        <v>403.01909999999998</v>
      </c>
      <c r="N878">
        <v>403.01909999999998</v>
      </c>
      <c r="O878" s="1">
        <v>45056</v>
      </c>
      <c r="P878">
        <f>IF(ISBLANK(ReconciliationData[[#This Row],[Invoice_ID]]),1,0)</f>
        <v>0</v>
      </c>
      <c r="Q878">
        <f>IF(AND(NOT(ISBLANK(ReconciliationData[[#This Row],[Billed_Units]])),ReconciliationData[[#This Row],[ordered_units]]&lt;&gt;ReconciliationData[[#This Row],[Billed_Units]]),1,0)</f>
        <v>0</v>
      </c>
      <c r="R8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8">
        <f>IF(AND(NOT(ISBLANK(ReconciliationData[[#This Row],[Contract_Price]])),ReconciliationData[[#This Row],[Billed_Price]]&lt;&gt;ReconciliationData[[#This Row],[Contract_Price]]),1,0)</f>
        <v>0</v>
      </c>
      <c r="T878">
        <f>IF(AND(NOT(ISBLANK(ReconciliationData[[#This Row],[End_Date]])),ReconciliationData[[#This Row],[Order_Date]]&gt;ReconciliationData[[#This Row],[End_Date]]),1,0)</f>
        <v>0</v>
      </c>
      <c r="U878">
        <f>IF(AND(NOT(ISBLANK(ReconciliationData[[#This Row],[last_return_date]])),ReconciliationData[[#This Row],[last_return_date]]&gt;ReconciliationData[[#This Row],[Order_Date]]+60),1,0)</f>
        <v>0</v>
      </c>
      <c r="V878">
        <f>IF(ReconciliationData[[#This Row],[total_returned_units]]&gt;ReconciliationData[[#This Row],[ordered_units]],1,0)</f>
        <v>0</v>
      </c>
      <c r="W8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8">
        <f>ReconciliationData[[#This Row],[Billed_Units]]*ReconciliationData[[#This Row],[Billed_Price]]</f>
        <v>62064.941399999996</v>
      </c>
      <c r="Y878">
        <f>ReconciliationData[[#This Row],[ordered_units]]*ReconciliationData[[#This Row],[List_Price]]</f>
        <v>62064.941399999996</v>
      </c>
      <c r="Z878">
        <f>ReconciliationData[[#This Row],[billed_revenue]]-ReconciliationData[[#This Row],[expected_revenue]]</f>
        <v>0</v>
      </c>
      <c r="AA8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8" t="str">
        <f>IF(ReconciliationData[[#This Row],[severity_score]]=0,"LOW",
 IF(ReconciliationData[[#This Row],[severity_score]]&lt;=5,"MEDIUM","HIGH"))</f>
        <v>LOW</v>
      </c>
      <c r="AC878" t="str">
        <f>TEXT(ReconciliationData[[#This Row],[Order_Date]],"YYYY-MM")</f>
        <v>2024-08</v>
      </c>
    </row>
    <row r="879" spans="1:29">
      <c r="A879" t="s">
        <v>2714</v>
      </c>
      <c r="B879" s="1">
        <v>45091</v>
      </c>
      <c r="C879" t="s">
        <v>348</v>
      </c>
      <c r="D879" t="s">
        <v>309</v>
      </c>
      <c r="E879">
        <v>70</v>
      </c>
      <c r="F879" t="s">
        <v>2715</v>
      </c>
      <c r="G879">
        <v>70</v>
      </c>
      <c r="H879">
        <v>946.74860000000001</v>
      </c>
      <c r="N879">
        <v>946.74860000000001</v>
      </c>
      <c r="O879" s="1">
        <v>45038</v>
      </c>
      <c r="P879">
        <f>IF(ISBLANK(ReconciliationData[[#This Row],[Invoice_ID]]),1,0)</f>
        <v>0</v>
      </c>
      <c r="Q879">
        <f>IF(AND(NOT(ISBLANK(ReconciliationData[[#This Row],[Billed_Units]])),ReconciliationData[[#This Row],[ordered_units]]&lt;&gt;ReconciliationData[[#This Row],[Billed_Units]]),1,0)</f>
        <v>0</v>
      </c>
      <c r="R8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79">
        <f>IF(AND(NOT(ISBLANK(ReconciliationData[[#This Row],[Contract_Price]])),ReconciliationData[[#This Row],[Billed_Price]]&lt;&gt;ReconciliationData[[#This Row],[Contract_Price]]),1,0)</f>
        <v>0</v>
      </c>
      <c r="T879">
        <f>IF(AND(NOT(ISBLANK(ReconciliationData[[#This Row],[End_Date]])),ReconciliationData[[#This Row],[Order_Date]]&gt;ReconciliationData[[#This Row],[End_Date]]),1,0)</f>
        <v>0</v>
      </c>
      <c r="U879">
        <f>IF(AND(NOT(ISBLANK(ReconciliationData[[#This Row],[last_return_date]])),ReconciliationData[[#This Row],[last_return_date]]&gt;ReconciliationData[[#This Row],[Order_Date]]+60),1,0)</f>
        <v>0</v>
      </c>
      <c r="V879">
        <f>IF(ReconciliationData[[#This Row],[total_returned_units]]&gt;ReconciliationData[[#This Row],[ordered_units]],1,0)</f>
        <v>0</v>
      </c>
      <c r="W8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79">
        <f>ReconciliationData[[#This Row],[Billed_Units]]*ReconciliationData[[#This Row],[Billed_Price]]</f>
        <v>66272.402000000002</v>
      </c>
      <c r="Y879">
        <f>ReconciliationData[[#This Row],[ordered_units]]*ReconciliationData[[#This Row],[List_Price]]</f>
        <v>66272.402000000002</v>
      </c>
      <c r="Z879">
        <f>ReconciliationData[[#This Row],[billed_revenue]]-ReconciliationData[[#This Row],[expected_revenue]]</f>
        <v>0</v>
      </c>
      <c r="AA8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79" t="str">
        <f>IF(ReconciliationData[[#This Row],[severity_score]]=0,"LOW",
 IF(ReconciliationData[[#This Row],[severity_score]]&lt;=5,"MEDIUM","HIGH"))</f>
        <v>LOW</v>
      </c>
      <c r="AC879" t="str">
        <f>TEXT(ReconciliationData[[#This Row],[Order_Date]],"YYYY-MM")</f>
        <v>2023-06</v>
      </c>
    </row>
    <row r="880" spans="1:29">
      <c r="A880" t="s">
        <v>2716</v>
      </c>
      <c r="B880" s="1">
        <v>45365</v>
      </c>
      <c r="C880" t="s">
        <v>725</v>
      </c>
      <c r="D880" t="s">
        <v>1754</v>
      </c>
      <c r="E880">
        <v>105</v>
      </c>
      <c r="F880" t="s">
        <v>2717</v>
      </c>
      <c r="G880">
        <v>105</v>
      </c>
      <c r="H880">
        <v>1072.2954</v>
      </c>
      <c r="N880">
        <v>1072.2954</v>
      </c>
      <c r="O880" s="1">
        <v>45120</v>
      </c>
      <c r="P880">
        <f>IF(ISBLANK(ReconciliationData[[#This Row],[Invoice_ID]]),1,0)</f>
        <v>0</v>
      </c>
      <c r="Q880">
        <f>IF(AND(NOT(ISBLANK(ReconciliationData[[#This Row],[Billed_Units]])),ReconciliationData[[#This Row],[ordered_units]]&lt;&gt;ReconciliationData[[#This Row],[Billed_Units]]),1,0)</f>
        <v>0</v>
      </c>
      <c r="R8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80">
        <f>IF(AND(NOT(ISBLANK(ReconciliationData[[#This Row],[Contract_Price]])),ReconciliationData[[#This Row],[Billed_Price]]&lt;&gt;ReconciliationData[[#This Row],[Contract_Price]]),1,0)</f>
        <v>0</v>
      </c>
      <c r="T880">
        <f>IF(AND(NOT(ISBLANK(ReconciliationData[[#This Row],[End_Date]])),ReconciliationData[[#This Row],[Order_Date]]&gt;ReconciliationData[[#This Row],[End_Date]]),1,0)</f>
        <v>0</v>
      </c>
      <c r="U880">
        <f>IF(AND(NOT(ISBLANK(ReconciliationData[[#This Row],[last_return_date]])),ReconciliationData[[#This Row],[last_return_date]]&gt;ReconciliationData[[#This Row],[Order_Date]]+60),1,0)</f>
        <v>0</v>
      </c>
      <c r="V880">
        <f>IF(ReconciliationData[[#This Row],[total_returned_units]]&gt;ReconciliationData[[#This Row],[ordered_units]],1,0)</f>
        <v>0</v>
      </c>
      <c r="W8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80">
        <f>ReconciliationData[[#This Row],[Billed_Units]]*ReconciliationData[[#This Row],[Billed_Price]]</f>
        <v>112591.01699999999</v>
      </c>
      <c r="Y880">
        <f>ReconciliationData[[#This Row],[ordered_units]]*ReconciliationData[[#This Row],[List_Price]]</f>
        <v>112591.01699999999</v>
      </c>
      <c r="Z880">
        <f>ReconciliationData[[#This Row],[billed_revenue]]-ReconciliationData[[#This Row],[expected_revenue]]</f>
        <v>0</v>
      </c>
      <c r="AA8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80" t="str">
        <f>IF(ReconciliationData[[#This Row],[severity_score]]=0,"LOW",
 IF(ReconciliationData[[#This Row],[severity_score]]&lt;=5,"MEDIUM","HIGH"))</f>
        <v>LOW</v>
      </c>
      <c r="AC880" t="str">
        <f>TEXT(ReconciliationData[[#This Row],[Order_Date]],"YYYY-MM")</f>
        <v>2024-03</v>
      </c>
    </row>
    <row r="881" spans="1:29">
      <c r="A881" t="s">
        <v>2718</v>
      </c>
      <c r="B881" s="1">
        <v>45376</v>
      </c>
      <c r="C881" t="s">
        <v>1053</v>
      </c>
      <c r="D881" t="s">
        <v>1502</v>
      </c>
      <c r="E881">
        <v>180</v>
      </c>
      <c r="F881" t="s">
        <v>2719</v>
      </c>
      <c r="G881">
        <v>180</v>
      </c>
      <c r="H881">
        <v>307.97520000000003</v>
      </c>
      <c r="N881">
        <v>307.97520000000003</v>
      </c>
      <c r="O881" s="1">
        <v>45029</v>
      </c>
      <c r="P881">
        <f>IF(ISBLANK(ReconciliationData[[#This Row],[Invoice_ID]]),1,0)</f>
        <v>0</v>
      </c>
      <c r="Q881">
        <f>IF(AND(NOT(ISBLANK(ReconciliationData[[#This Row],[Billed_Units]])),ReconciliationData[[#This Row],[ordered_units]]&lt;&gt;ReconciliationData[[#This Row],[Billed_Units]]),1,0)</f>
        <v>0</v>
      </c>
      <c r="R8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81">
        <f>IF(AND(NOT(ISBLANK(ReconciliationData[[#This Row],[Contract_Price]])),ReconciliationData[[#This Row],[Billed_Price]]&lt;&gt;ReconciliationData[[#This Row],[Contract_Price]]),1,0)</f>
        <v>0</v>
      </c>
      <c r="T881">
        <f>IF(AND(NOT(ISBLANK(ReconciliationData[[#This Row],[End_Date]])),ReconciliationData[[#This Row],[Order_Date]]&gt;ReconciliationData[[#This Row],[End_Date]]),1,0)</f>
        <v>0</v>
      </c>
      <c r="U881">
        <f>IF(AND(NOT(ISBLANK(ReconciliationData[[#This Row],[last_return_date]])),ReconciliationData[[#This Row],[last_return_date]]&gt;ReconciliationData[[#This Row],[Order_Date]]+60),1,0)</f>
        <v>0</v>
      </c>
      <c r="V881">
        <f>IF(ReconciliationData[[#This Row],[total_returned_units]]&gt;ReconciliationData[[#This Row],[ordered_units]],1,0)</f>
        <v>0</v>
      </c>
      <c r="W8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81">
        <f>ReconciliationData[[#This Row],[Billed_Units]]*ReconciliationData[[#This Row],[Billed_Price]]</f>
        <v>55435.536000000007</v>
      </c>
      <c r="Y881">
        <f>ReconciliationData[[#This Row],[ordered_units]]*ReconciliationData[[#This Row],[List_Price]]</f>
        <v>55435.536000000007</v>
      </c>
      <c r="Z881">
        <f>ReconciliationData[[#This Row],[billed_revenue]]-ReconciliationData[[#This Row],[expected_revenue]]</f>
        <v>0</v>
      </c>
      <c r="AA8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81" t="str">
        <f>IF(ReconciliationData[[#This Row],[severity_score]]=0,"LOW",
 IF(ReconciliationData[[#This Row],[severity_score]]&lt;=5,"MEDIUM","HIGH"))</f>
        <v>LOW</v>
      </c>
      <c r="AC881" t="str">
        <f>TEXT(ReconciliationData[[#This Row],[Order_Date]],"YYYY-MM")</f>
        <v>2024-03</v>
      </c>
    </row>
    <row r="882" spans="1:29">
      <c r="A882" t="s">
        <v>2720</v>
      </c>
      <c r="B882" s="1">
        <v>44928</v>
      </c>
      <c r="C882" t="s">
        <v>2460</v>
      </c>
      <c r="D882" t="s">
        <v>279</v>
      </c>
      <c r="E882">
        <v>147</v>
      </c>
      <c r="F882" t="s">
        <v>2721</v>
      </c>
      <c r="G882">
        <v>147</v>
      </c>
      <c r="H882">
        <v>1131.7511999999999</v>
      </c>
      <c r="N882">
        <v>1131.7511999999999</v>
      </c>
      <c r="O882" s="1">
        <v>44806</v>
      </c>
      <c r="P882">
        <f>IF(ISBLANK(ReconciliationData[[#This Row],[Invoice_ID]]),1,0)</f>
        <v>0</v>
      </c>
      <c r="Q882">
        <f>IF(AND(NOT(ISBLANK(ReconciliationData[[#This Row],[Billed_Units]])),ReconciliationData[[#This Row],[ordered_units]]&lt;&gt;ReconciliationData[[#This Row],[Billed_Units]]),1,0)</f>
        <v>0</v>
      </c>
      <c r="R8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82">
        <f>IF(AND(NOT(ISBLANK(ReconciliationData[[#This Row],[Contract_Price]])),ReconciliationData[[#This Row],[Billed_Price]]&lt;&gt;ReconciliationData[[#This Row],[Contract_Price]]),1,0)</f>
        <v>0</v>
      </c>
      <c r="T882">
        <f>IF(AND(NOT(ISBLANK(ReconciliationData[[#This Row],[End_Date]])),ReconciliationData[[#This Row],[Order_Date]]&gt;ReconciliationData[[#This Row],[End_Date]]),1,0)</f>
        <v>0</v>
      </c>
      <c r="U882">
        <f>IF(AND(NOT(ISBLANK(ReconciliationData[[#This Row],[last_return_date]])),ReconciliationData[[#This Row],[last_return_date]]&gt;ReconciliationData[[#This Row],[Order_Date]]+60),1,0)</f>
        <v>0</v>
      </c>
      <c r="V882">
        <f>IF(ReconciliationData[[#This Row],[total_returned_units]]&gt;ReconciliationData[[#This Row],[ordered_units]],1,0)</f>
        <v>0</v>
      </c>
      <c r="W8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82">
        <f>ReconciliationData[[#This Row],[Billed_Units]]*ReconciliationData[[#This Row],[Billed_Price]]</f>
        <v>166367.4264</v>
      </c>
      <c r="Y882">
        <f>ReconciliationData[[#This Row],[ordered_units]]*ReconciliationData[[#This Row],[List_Price]]</f>
        <v>166367.4264</v>
      </c>
      <c r="Z882">
        <f>ReconciliationData[[#This Row],[billed_revenue]]-ReconciliationData[[#This Row],[expected_revenue]]</f>
        <v>0</v>
      </c>
      <c r="AA8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82" t="str">
        <f>IF(ReconciliationData[[#This Row],[severity_score]]=0,"LOW",
 IF(ReconciliationData[[#This Row],[severity_score]]&lt;=5,"MEDIUM","HIGH"))</f>
        <v>LOW</v>
      </c>
      <c r="AC882" t="str">
        <f>TEXT(ReconciliationData[[#This Row],[Order_Date]],"YYYY-MM")</f>
        <v>2023-01</v>
      </c>
    </row>
    <row r="883" spans="1:29">
      <c r="A883" t="s">
        <v>2722</v>
      </c>
      <c r="B883" s="1">
        <v>44959</v>
      </c>
      <c r="C883" t="s">
        <v>2723</v>
      </c>
      <c r="D883" t="s">
        <v>969</v>
      </c>
      <c r="E883">
        <v>32</v>
      </c>
      <c r="F883" t="s">
        <v>2724</v>
      </c>
      <c r="G883">
        <v>32</v>
      </c>
      <c r="H883">
        <v>991.99</v>
      </c>
      <c r="N883">
        <v>991.99</v>
      </c>
      <c r="O883" s="1">
        <v>44754</v>
      </c>
      <c r="P883">
        <f>IF(ISBLANK(ReconciliationData[[#This Row],[Invoice_ID]]),1,0)</f>
        <v>0</v>
      </c>
      <c r="Q883">
        <f>IF(AND(NOT(ISBLANK(ReconciliationData[[#This Row],[Billed_Units]])),ReconciliationData[[#This Row],[ordered_units]]&lt;&gt;ReconciliationData[[#This Row],[Billed_Units]]),1,0)</f>
        <v>0</v>
      </c>
      <c r="R8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83">
        <f>IF(AND(NOT(ISBLANK(ReconciliationData[[#This Row],[Contract_Price]])),ReconciliationData[[#This Row],[Billed_Price]]&lt;&gt;ReconciliationData[[#This Row],[Contract_Price]]),1,0)</f>
        <v>0</v>
      </c>
      <c r="T883">
        <f>IF(AND(NOT(ISBLANK(ReconciliationData[[#This Row],[End_Date]])),ReconciliationData[[#This Row],[Order_Date]]&gt;ReconciliationData[[#This Row],[End_Date]]),1,0)</f>
        <v>0</v>
      </c>
      <c r="U883">
        <f>IF(AND(NOT(ISBLANK(ReconciliationData[[#This Row],[last_return_date]])),ReconciliationData[[#This Row],[last_return_date]]&gt;ReconciliationData[[#This Row],[Order_Date]]+60),1,0)</f>
        <v>0</v>
      </c>
      <c r="V883">
        <f>IF(ReconciliationData[[#This Row],[total_returned_units]]&gt;ReconciliationData[[#This Row],[ordered_units]],1,0)</f>
        <v>0</v>
      </c>
      <c r="W8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83">
        <f>ReconciliationData[[#This Row],[Billed_Units]]*ReconciliationData[[#This Row],[Billed_Price]]</f>
        <v>31743.68</v>
      </c>
      <c r="Y883">
        <f>ReconciliationData[[#This Row],[ordered_units]]*ReconciliationData[[#This Row],[List_Price]]</f>
        <v>31743.68</v>
      </c>
      <c r="Z883">
        <f>ReconciliationData[[#This Row],[billed_revenue]]-ReconciliationData[[#This Row],[expected_revenue]]</f>
        <v>0</v>
      </c>
      <c r="AA8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83" t="str">
        <f>IF(ReconciliationData[[#This Row],[severity_score]]=0,"LOW",
 IF(ReconciliationData[[#This Row],[severity_score]]&lt;=5,"MEDIUM","HIGH"))</f>
        <v>LOW</v>
      </c>
      <c r="AC883" t="str">
        <f>TEXT(ReconciliationData[[#This Row],[Order_Date]],"YYYY-MM")</f>
        <v>2023-02</v>
      </c>
    </row>
    <row r="884" spans="1:29">
      <c r="A884" t="s">
        <v>2725</v>
      </c>
      <c r="B884" s="1">
        <v>45536</v>
      </c>
      <c r="C884" t="s">
        <v>1574</v>
      </c>
      <c r="D884" t="s">
        <v>142</v>
      </c>
      <c r="E884">
        <v>123</v>
      </c>
      <c r="F884" t="s">
        <v>2726</v>
      </c>
      <c r="G884">
        <v>123</v>
      </c>
      <c r="H884">
        <v>189.1498</v>
      </c>
      <c r="N884">
        <v>189.1498</v>
      </c>
      <c r="O884" s="1">
        <v>45108</v>
      </c>
      <c r="P884">
        <f>IF(ISBLANK(ReconciliationData[[#This Row],[Invoice_ID]]),1,0)</f>
        <v>0</v>
      </c>
      <c r="Q884">
        <f>IF(AND(NOT(ISBLANK(ReconciliationData[[#This Row],[Billed_Units]])),ReconciliationData[[#This Row],[ordered_units]]&lt;&gt;ReconciliationData[[#This Row],[Billed_Units]]),1,0)</f>
        <v>0</v>
      </c>
      <c r="R8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84">
        <f>IF(AND(NOT(ISBLANK(ReconciliationData[[#This Row],[Contract_Price]])),ReconciliationData[[#This Row],[Billed_Price]]&lt;&gt;ReconciliationData[[#This Row],[Contract_Price]]),1,0)</f>
        <v>0</v>
      </c>
      <c r="T884">
        <f>IF(AND(NOT(ISBLANK(ReconciliationData[[#This Row],[End_Date]])),ReconciliationData[[#This Row],[Order_Date]]&gt;ReconciliationData[[#This Row],[End_Date]]),1,0)</f>
        <v>0</v>
      </c>
      <c r="U884">
        <f>IF(AND(NOT(ISBLANK(ReconciliationData[[#This Row],[last_return_date]])),ReconciliationData[[#This Row],[last_return_date]]&gt;ReconciliationData[[#This Row],[Order_Date]]+60),1,0)</f>
        <v>0</v>
      </c>
      <c r="V884">
        <f>IF(ReconciliationData[[#This Row],[total_returned_units]]&gt;ReconciliationData[[#This Row],[ordered_units]],1,0)</f>
        <v>0</v>
      </c>
      <c r="W8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84">
        <f>ReconciliationData[[#This Row],[Billed_Units]]*ReconciliationData[[#This Row],[Billed_Price]]</f>
        <v>23265.4254</v>
      </c>
      <c r="Y884">
        <f>ReconciliationData[[#This Row],[ordered_units]]*ReconciliationData[[#This Row],[List_Price]]</f>
        <v>23265.4254</v>
      </c>
      <c r="Z884">
        <f>ReconciliationData[[#This Row],[billed_revenue]]-ReconciliationData[[#This Row],[expected_revenue]]</f>
        <v>0</v>
      </c>
      <c r="AA8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84" t="str">
        <f>IF(ReconciliationData[[#This Row],[severity_score]]=0,"LOW",
 IF(ReconciliationData[[#This Row],[severity_score]]&lt;=5,"MEDIUM","HIGH"))</f>
        <v>LOW</v>
      </c>
      <c r="AC884" t="str">
        <f>TEXT(ReconciliationData[[#This Row],[Order_Date]],"YYYY-MM")</f>
        <v>2024-09</v>
      </c>
    </row>
    <row r="885" spans="1:29">
      <c r="A885" t="s">
        <v>2727</v>
      </c>
      <c r="B885" s="1">
        <v>45097</v>
      </c>
      <c r="C885" t="s">
        <v>717</v>
      </c>
      <c r="D885" t="s">
        <v>263</v>
      </c>
      <c r="E885">
        <v>184</v>
      </c>
      <c r="F885" t="s">
        <v>2728</v>
      </c>
      <c r="G885">
        <v>184</v>
      </c>
      <c r="H885">
        <v>1147.3289</v>
      </c>
      <c r="N885">
        <v>1147.3289</v>
      </c>
      <c r="O885" s="1">
        <v>44945</v>
      </c>
      <c r="P885">
        <f>IF(ISBLANK(ReconciliationData[[#This Row],[Invoice_ID]]),1,0)</f>
        <v>0</v>
      </c>
      <c r="Q885">
        <f>IF(AND(NOT(ISBLANK(ReconciliationData[[#This Row],[Billed_Units]])),ReconciliationData[[#This Row],[ordered_units]]&lt;&gt;ReconciliationData[[#This Row],[Billed_Units]]),1,0)</f>
        <v>0</v>
      </c>
      <c r="R8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85">
        <f>IF(AND(NOT(ISBLANK(ReconciliationData[[#This Row],[Contract_Price]])),ReconciliationData[[#This Row],[Billed_Price]]&lt;&gt;ReconciliationData[[#This Row],[Contract_Price]]),1,0)</f>
        <v>0</v>
      </c>
      <c r="T885">
        <f>IF(AND(NOT(ISBLANK(ReconciliationData[[#This Row],[End_Date]])),ReconciliationData[[#This Row],[Order_Date]]&gt;ReconciliationData[[#This Row],[End_Date]]),1,0)</f>
        <v>0</v>
      </c>
      <c r="U885">
        <f>IF(AND(NOT(ISBLANK(ReconciliationData[[#This Row],[last_return_date]])),ReconciliationData[[#This Row],[last_return_date]]&gt;ReconciliationData[[#This Row],[Order_Date]]+60),1,0)</f>
        <v>0</v>
      </c>
      <c r="V885">
        <f>IF(ReconciliationData[[#This Row],[total_returned_units]]&gt;ReconciliationData[[#This Row],[ordered_units]],1,0)</f>
        <v>0</v>
      </c>
      <c r="W8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85">
        <f>ReconciliationData[[#This Row],[Billed_Units]]*ReconciliationData[[#This Row],[Billed_Price]]</f>
        <v>211108.51759999999</v>
      </c>
      <c r="Y885">
        <f>ReconciliationData[[#This Row],[ordered_units]]*ReconciliationData[[#This Row],[List_Price]]</f>
        <v>211108.51759999999</v>
      </c>
      <c r="Z885">
        <f>ReconciliationData[[#This Row],[billed_revenue]]-ReconciliationData[[#This Row],[expected_revenue]]</f>
        <v>0</v>
      </c>
      <c r="AA8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85" t="str">
        <f>IF(ReconciliationData[[#This Row],[severity_score]]=0,"LOW",
 IF(ReconciliationData[[#This Row],[severity_score]]&lt;=5,"MEDIUM","HIGH"))</f>
        <v>LOW</v>
      </c>
      <c r="AC885" t="str">
        <f>TEXT(ReconciliationData[[#This Row],[Order_Date]],"YYYY-MM")</f>
        <v>2023-06</v>
      </c>
    </row>
    <row r="886" spans="1:29">
      <c r="A886" t="s">
        <v>2729</v>
      </c>
      <c r="B886" s="1">
        <v>45279</v>
      </c>
      <c r="C886" t="s">
        <v>810</v>
      </c>
      <c r="D886" t="s">
        <v>684</v>
      </c>
      <c r="E886">
        <v>97</v>
      </c>
      <c r="F886" t="s">
        <v>2730</v>
      </c>
      <c r="G886">
        <v>97</v>
      </c>
      <c r="H886">
        <v>75.620999999999995</v>
      </c>
      <c r="N886">
        <v>75.620999999999995</v>
      </c>
      <c r="O886" s="1">
        <v>45108</v>
      </c>
      <c r="P886">
        <f>IF(ISBLANK(ReconciliationData[[#This Row],[Invoice_ID]]),1,0)</f>
        <v>0</v>
      </c>
      <c r="Q886">
        <f>IF(AND(NOT(ISBLANK(ReconciliationData[[#This Row],[Billed_Units]])),ReconciliationData[[#This Row],[ordered_units]]&lt;&gt;ReconciliationData[[#This Row],[Billed_Units]]),1,0)</f>
        <v>0</v>
      </c>
      <c r="R8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86">
        <f>IF(AND(NOT(ISBLANK(ReconciliationData[[#This Row],[Contract_Price]])),ReconciliationData[[#This Row],[Billed_Price]]&lt;&gt;ReconciliationData[[#This Row],[Contract_Price]]),1,0)</f>
        <v>0</v>
      </c>
      <c r="T886">
        <f>IF(AND(NOT(ISBLANK(ReconciliationData[[#This Row],[End_Date]])),ReconciliationData[[#This Row],[Order_Date]]&gt;ReconciliationData[[#This Row],[End_Date]]),1,0)</f>
        <v>0</v>
      </c>
      <c r="U886">
        <f>IF(AND(NOT(ISBLANK(ReconciliationData[[#This Row],[last_return_date]])),ReconciliationData[[#This Row],[last_return_date]]&gt;ReconciliationData[[#This Row],[Order_Date]]+60),1,0)</f>
        <v>0</v>
      </c>
      <c r="V886">
        <f>IF(ReconciliationData[[#This Row],[total_returned_units]]&gt;ReconciliationData[[#This Row],[ordered_units]],1,0)</f>
        <v>0</v>
      </c>
      <c r="W8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86">
        <f>ReconciliationData[[#This Row],[Billed_Units]]*ReconciliationData[[#This Row],[Billed_Price]]</f>
        <v>7335.2369999999992</v>
      </c>
      <c r="Y886">
        <f>ReconciliationData[[#This Row],[ordered_units]]*ReconciliationData[[#This Row],[List_Price]]</f>
        <v>7335.2369999999992</v>
      </c>
      <c r="Z886">
        <f>ReconciliationData[[#This Row],[billed_revenue]]-ReconciliationData[[#This Row],[expected_revenue]]</f>
        <v>0</v>
      </c>
      <c r="AA8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86" t="str">
        <f>IF(ReconciliationData[[#This Row],[severity_score]]=0,"LOW",
 IF(ReconciliationData[[#This Row],[severity_score]]&lt;=5,"MEDIUM","HIGH"))</f>
        <v>LOW</v>
      </c>
      <c r="AC886" t="str">
        <f>TEXT(ReconciliationData[[#This Row],[Order_Date]],"YYYY-MM")</f>
        <v>2023-12</v>
      </c>
    </row>
    <row r="887" spans="1:29">
      <c r="A887" t="s">
        <v>2731</v>
      </c>
      <c r="B887" s="1">
        <v>45582</v>
      </c>
      <c r="C887" t="s">
        <v>926</v>
      </c>
      <c r="D887" t="s">
        <v>333</v>
      </c>
      <c r="E887">
        <v>183</v>
      </c>
      <c r="F887" t="s">
        <v>2732</v>
      </c>
      <c r="G887">
        <v>183</v>
      </c>
      <c r="H887">
        <v>1144.2565928700781</v>
      </c>
      <c r="N887">
        <v>1144.1684</v>
      </c>
      <c r="O887" s="1">
        <v>44955</v>
      </c>
      <c r="P887">
        <f>IF(ISBLANK(ReconciliationData[[#This Row],[Invoice_ID]]),1,0)</f>
        <v>0</v>
      </c>
      <c r="Q887">
        <f>IF(AND(NOT(ISBLANK(ReconciliationData[[#This Row],[Billed_Units]])),ReconciliationData[[#This Row],[ordered_units]]&lt;&gt;ReconciliationData[[#This Row],[Billed_Units]]),1,0)</f>
        <v>0</v>
      </c>
      <c r="R88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887">
        <f>IF(AND(NOT(ISBLANK(ReconciliationData[[#This Row],[Contract_Price]])),ReconciliationData[[#This Row],[Billed_Price]]&lt;&gt;ReconciliationData[[#This Row],[Contract_Price]]),1,0)</f>
        <v>0</v>
      </c>
      <c r="T887">
        <f>IF(AND(NOT(ISBLANK(ReconciliationData[[#This Row],[End_Date]])),ReconciliationData[[#This Row],[Order_Date]]&gt;ReconciliationData[[#This Row],[End_Date]]),1,0)</f>
        <v>0</v>
      </c>
      <c r="U887">
        <f>IF(AND(NOT(ISBLANK(ReconciliationData[[#This Row],[last_return_date]])),ReconciliationData[[#This Row],[last_return_date]]&gt;ReconciliationData[[#This Row],[Order_Date]]+60),1,0)</f>
        <v>0</v>
      </c>
      <c r="V887">
        <f>IF(ReconciliationData[[#This Row],[total_returned_units]]&gt;ReconciliationData[[#This Row],[ordered_units]],1,0)</f>
        <v>0</v>
      </c>
      <c r="W8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87">
        <f>ReconciliationData[[#This Row],[Billed_Units]]*ReconciliationData[[#This Row],[Billed_Price]]</f>
        <v>209398.95649522429</v>
      </c>
      <c r="Y887">
        <f>ReconciliationData[[#This Row],[ordered_units]]*ReconciliationData[[#This Row],[List_Price]]</f>
        <v>209382.81719999999</v>
      </c>
      <c r="Z887">
        <f>ReconciliationData[[#This Row],[billed_revenue]]-ReconciliationData[[#This Row],[expected_revenue]]</f>
        <v>16.139295224304078</v>
      </c>
      <c r="AA8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887" t="str">
        <f>IF(ReconciliationData[[#This Row],[severity_score]]=0,"LOW",
 IF(ReconciliationData[[#This Row],[severity_score]]&lt;=5,"MEDIUM","HIGH"))</f>
        <v>MEDIUM</v>
      </c>
      <c r="AC887" t="str">
        <f>TEXT(ReconciliationData[[#This Row],[Order_Date]],"YYYY-MM")</f>
        <v>2024-10</v>
      </c>
    </row>
    <row r="888" spans="1:29">
      <c r="A888" t="s">
        <v>2733</v>
      </c>
      <c r="B888" s="1">
        <v>45137</v>
      </c>
      <c r="C888" t="s">
        <v>254</v>
      </c>
      <c r="D888" t="s">
        <v>1502</v>
      </c>
      <c r="E888">
        <v>33</v>
      </c>
      <c r="F888" t="s">
        <v>2734</v>
      </c>
      <c r="G888">
        <v>33</v>
      </c>
      <c r="H888">
        <v>307.97520000000003</v>
      </c>
      <c r="N888">
        <v>307.97520000000003</v>
      </c>
      <c r="O888" s="1">
        <v>45029</v>
      </c>
      <c r="P888">
        <f>IF(ISBLANK(ReconciliationData[[#This Row],[Invoice_ID]]),1,0)</f>
        <v>0</v>
      </c>
      <c r="Q888">
        <f>IF(AND(NOT(ISBLANK(ReconciliationData[[#This Row],[Billed_Units]])),ReconciliationData[[#This Row],[ordered_units]]&lt;&gt;ReconciliationData[[#This Row],[Billed_Units]]),1,0)</f>
        <v>0</v>
      </c>
      <c r="R8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88">
        <f>IF(AND(NOT(ISBLANK(ReconciliationData[[#This Row],[Contract_Price]])),ReconciliationData[[#This Row],[Billed_Price]]&lt;&gt;ReconciliationData[[#This Row],[Contract_Price]]),1,0)</f>
        <v>0</v>
      </c>
      <c r="T888">
        <f>IF(AND(NOT(ISBLANK(ReconciliationData[[#This Row],[End_Date]])),ReconciliationData[[#This Row],[Order_Date]]&gt;ReconciliationData[[#This Row],[End_Date]]),1,0)</f>
        <v>0</v>
      </c>
      <c r="U888">
        <f>IF(AND(NOT(ISBLANK(ReconciliationData[[#This Row],[last_return_date]])),ReconciliationData[[#This Row],[last_return_date]]&gt;ReconciliationData[[#This Row],[Order_Date]]+60),1,0)</f>
        <v>0</v>
      </c>
      <c r="V888">
        <f>IF(ReconciliationData[[#This Row],[total_returned_units]]&gt;ReconciliationData[[#This Row],[ordered_units]],1,0)</f>
        <v>0</v>
      </c>
      <c r="W8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88">
        <f>ReconciliationData[[#This Row],[Billed_Units]]*ReconciliationData[[#This Row],[Billed_Price]]</f>
        <v>10163.181600000002</v>
      </c>
      <c r="Y888">
        <f>ReconciliationData[[#This Row],[ordered_units]]*ReconciliationData[[#This Row],[List_Price]]</f>
        <v>10163.181600000002</v>
      </c>
      <c r="Z888">
        <f>ReconciliationData[[#This Row],[billed_revenue]]-ReconciliationData[[#This Row],[expected_revenue]]</f>
        <v>0</v>
      </c>
      <c r="AA8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88" t="str">
        <f>IF(ReconciliationData[[#This Row],[severity_score]]=0,"LOW",
 IF(ReconciliationData[[#This Row],[severity_score]]&lt;=5,"MEDIUM","HIGH"))</f>
        <v>LOW</v>
      </c>
      <c r="AC888" t="str">
        <f>TEXT(ReconciliationData[[#This Row],[Order_Date]],"YYYY-MM")</f>
        <v>2023-07</v>
      </c>
    </row>
    <row r="889" spans="1:29">
      <c r="A889" t="s">
        <v>2735</v>
      </c>
      <c r="B889" s="1">
        <v>45039</v>
      </c>
      <c r="C889" t="s">
        <v>2091</v>
      </c>
      <c r="D889" t="s">
        <v>1309</v>
      </c>
      <c r="E889">
        <v>61</v>
      </c>
      <c r="F889" t="s">
        <v>2736</v>
      </c>
      <c r="G889">
        <v>61</v>
      </c>
      <c r="H889">
        <v>906.88919999999996</v>
      </c>
      <c r="N889">
        <v>906.88919999999996</v>
      </c>
      <c r="O889" s="1">
        <v>44991</v>
      </c>
      <c r="P889">
        <f>IF(ISBLANK(ReconciliationData[[#This Row],[Invoice_ID]]),1,0)</f>
        <v>0</v>
      </c>
      <c r="Q889">
        <f>IF(AND(NOT(ISBLANK(ReconciliationData[[#This Row],[Billed_Units]])),ReconciliationData[[#This Row],[ordered_units]]&lt;&gt;ReconciliationData[[#This Row],[Billed_Units]]),1,0)</f>
        <v>0</v>
      </c>
      <c r="R8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89">
        <f>IF(AND(NOT(ISBLANK(ReconciliationData[[#This Row],[Contract_Price]])),ReconciliationData[[#This Row],[Billed_Price]]&lt;&gt;ReconciliationData[[#This Row],[Contract_Price]]),1,0)</f>
        <v>0</v>
      </c>
      <c r="T889">
        <f>IF(AND(NOT(ISBLANK(ReconciliationData[[#This Row],[End_Date]])),ReconciliationData[[#This Row],[Order_Date]]&gt;ReconciliationData[[#This Row],[End_Date]]),1,0)</f>
        <v>0</v>
      </c>
      <c r="U889">
        <f>IF(AND(NOT(ISBLANK(ReconciliationData[[#This Row],[last_return_date]])),ReconciliationData[[#This Row],[last_return_date]]&gt;ReconciliationData[[#This Row],[Order_Date]]+60),1,0)</f>
        <v>0</v>
      </c>
      <c r="V889">
        <f>IF(ReconciliationData[[#This Row],[total_returned_units]]&gt;ReconciliationData[[#This Row],[ordered_units]],1,0)</f>
        <v>0</v>
      </c>
      <c r="W8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89">
        <f>ReconciliationData[[#This Row],[Billed_Units]]*ReconciliationData[[#This Row],[Billed_Price]]</f>
        <v>55320.241199999997</v>
      </c>
      <c r="Y889">
        <f>ReconciliationData[[#This Row],[ordered_units]]*ReconciliationData[[#This Row],[List_Price]]</f>
        <v>55320.241199999997</v>
      </c>
      <c r="Z889">
        <f>ReconciliationData[[#This Row],[billed_revenue]]-ReconciliationData[[#This Row],[expected_revenue]]</f>
        <v>0</v>
      </c>
      <c r="AA8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89" t="str">
        <f>IF(ReconciliationData[[#This Row],[severity_score]]=0,"LOW",
 IF(ReconciliationData[[#This Row],[severity_score]]&lt;=5,"MEDIUM","HIGH"))</f>
        <v>LOW</v>
      </c>
      <c r="AC889" t="str">
        <f>TEXT(ReconciliationData[[#This Row],[Order_Date]],"YYYY-MM")</f>
        <v>2023-04</v>
      </c>
    </row>
    <row r="890" spans="1:29">
      <c r="A890" t="s">
        <v>2737</v>
      </c>
      <c r="B890" s="1">
        <v>45571</v>
      </c>
      <c r="C890" t="s">
        <v>1889</v>
      </c>
      <c r="D890" t="s">
        <v>969</v>
      </c>
      <c r="E890">
        <v>124</v>
      </c>
      <c r="F890" t="s">
        <v>2738</v>
      </c>
      <c r="G890">
        <v>124</v>
      </c>
      <c r="H890">
        <v>991.99</v>
      </c>
      <c r="N890">
        <v>991.99</v>
      </c>
      <c r="O890" s="1">
        <v>44976</v>
      </c>
      <c r="P890">
        <f>IF(ISBLANK(ReconciliationData[[#This Row],[Invoice_ID]]),1,0)</f>
        <v>0</v>
      </c>
      <c r="Q890">
        <f>IF(AND(NOT(ISBLANK(ReconciliationData[[#This Row],[Billed_Units]])),ReconciliationData[[#This Row],[ordered_units]]&lt;&gt;ReconciliationData[[#This Row],[Billed_Units]]),1,0)</f>
        <v>0</v>
      </c>
      <c r="R8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90">
        <f>IF(AND(NOT(ISBLANK(ReconciliationData[[#This Row],[Contract_Price]])),ReconciliationData[[#This Row],[Billed_Price]]&lt;&gt;ReconciliationData[[#This Row],[Contract_Price]]),1,0)</f>
        <v>0</v>
      </c>
      <c r="T890">
        <f>IF(AND(NOT(ISBLANK(ReconciliationData[[#This Row],[End_Date]])),ReconciliationData[[#This Row],[Order_Date]]&gt;ReconciliationData[[#This Row],[End_Date]]),1,0)</f>
        <v>0</v>
      </c>
      <c r="U890">
        <f>IF(AND(NOT(ISBLANK(ReconciliationData[[#This Row],[last_return_date]])),ReconciliationData[[#This Row],[last_return_date]]&gt;ReconciliationData[[#This Row],[Order_Date]]+60),1,0)</f>
        <v>0</v>
      </c>
      <c r="V890">
        <f>IF(ReconciliationData[[#This Row],[total_returned_units]]&gt;ReconciliationData[[#This Row],[ordered_units]],1,0)</f>
        <v>0</v>
      </c>
      <c r="W8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90">
        <f>ReconciliationData[[#This Row],[Billed_Units]]*ReconciliationData[[#This Row],[Billed_Price]]</f>
        <v>123006.76</v>
      </c>
      <c r="Y890">
        <f>ReconciliationData[[#This Row],[ordered_units]]*ReconciliationData[[#This Row],[List_Price]]</f>
        <v>123006.76</v>
      </c>
      <c r="Z890">
        <f>ReconciliationData[[#This Row],[billed_revenue]]-ReconciliationData[[#This Row],[expected_revenue]]</f>
        <v>0</v>
      </c>
      <c r="AA8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90" t="str">
        <f>IF(ReconciliationData[[#This Row],[severity_score]]=0,"LOW",
 IF(ReconciliationData[[#This Row],[severity_score]]&lt;=5,"MEDIUM","HIGH"))</f>
        <v>LOW</v>
      </c>
      <c r="AC890" t="str">
        <f>TEXT(ReconciliationData[[#This Row],[Order_Date]],"YYYY-MM")</f>
        <v>2024-10</v>
      </c>
    </row>
    <row r="891" spans="1:29">
      <c r="A891" t="s">
        <v>2739</v>
      </c>
      <c r="B891" s="1">
        <v>45214</v>
      </c>
      <c r="C891" t="s">
        <v>209</v>
      </c>
      <c r="D891" t="s">
        <v>2421</v>
      </c>
      <c r="E891">
        <v>124</v>
      </c>
      <c r="F891" t="s">
        <v>2740</v>
      </c>
      <c r="G891">
        <v>124</v>
      </c>
      <c r="H891">
        <v>631.83420000000012</v>
      </c>
      <c r="N891">
        <v>631.83420000000012</v>
      </c>
      <c r="O891" s="1">
        <v>45172</v>
      </c>
      <c r="P891">
        <f>IF(ISBLANK(ReconciliationData[[#This Row],[Invoice_ID]]),1,0)</f>
        <v>0</v>
      </c>
      <c r="Q891">
        <f>IF(AND(NOT(ISBLANK(ReconciliationData[[#This Row],[Billed_Units]])),ReconciliationData[[#This Row],[ordered_units]]&lt;&gt;ReconciliationData[[#This Row],[Billed_Units]]),1,0)</f>
        <v>0</v>
      </c>
      <c r="R8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91">
        <f>IF(AND(NOT(ISBLANK(ReconciliationData[[#This Row],[Contract_Price]])),ReconciliationData[[#This Row],[Billed_Price]]&lt;&gt;ReconciliationData[[#This Row],[Contract_Price]]),1,0)</f>
        <v>0</v>
      </c>
      <c r="T891">
        <f>IF(AND(NOT(ISBLANK(ReconciliationData[[#This Row],[End_Date]])),ReconciliationData[[#This Row],[Order_Date]]&gt;ReconciliationData[[#This Row],[End_Date]]),1,0)</f>
        <v>0</v>
      </c>
      <c r="U891">
        <f>IF(AND(NOT(ISBLANK(ReconciliationData[[#This Row],[last_return_date]])),ReconciliationData[[#This Row],[last_return_date]]&gt;ReconciliationData[[#This Row],[Order_Date]]+60),1,0)</f>
        <v>0</v>
      </c>
      <c r="V891">
        <f>IF(ReconciliationData[[#This Row],[total_returned_units]]&gt;ReconciliationData[[#This Row],[ordered_units]],1,0)</f>
        <v>0</v>
      </c>
      <c r="W8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91">
        <f>ReconciliationData[[#This Row],[Billed_Units]]*ReconciliationData[[#This Row],[Billed_Price]]</f>
        <v>78347.440800000011</v>
      </c>
      <c r="Y891">
        <f>ReconciliationData[[#This Row],[ordered_units]]*ReconciliationData[[#This Row],[List_Price]]</f>
        <v>78347.440800000011</v>
      </c>
      <c r="Z891">
        <f>ReconciliationData[[#This Row],[billed_revenue]]-ReconciliationData[[#This Row],[expected_revenue]]</f>
        <v>0</v>
      </c>
      <c r="AA8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91" t="str">
        <f>IF(ReconciliationData[[#This Row],[severity_score]]=0,"LOW",
 IF(ReconciliationData[[#This Row],[severity_score]]&lt;=5,"MEDIUM","HIGH"))</f>
        <v>LOW</v>
      </c>
      <c r="AC891" t="str">
        <f>TEXT(ReconciliationData[[#This Row],[Order_Date]],"YYYY-MM")</f>
        <v>2023-10</v>
      </c>
    </row>
    <row r="892" spans="1:29">
      <c r="A892" t="s">
        <v>2741</v>
      </c>
      <c r="B892" s="1">
        <v>45148</v>
      </c>
      <c r="C892" t="s">
        <v>2742</v>
      </c>
      <c r="D892" t="s">
        <v>753</v>
      </c>
      <c r="E892">
        <v>92</v>
      </c>
      <c r="F892" t="s">
        <v>2743</v>
      </c>
      <c r="G892">
        <v>92</v>
      </c>
      <c r="H892">
        <v>741.88620000000003</v>
      </c>
      <c r="N892">
        <v>741.88620000000003</v>
      </c>
      <c r="O892" s="1">
        <v>44930</v>
      </c>
      <c r="P892">
        <f>IF(ISBLANK(ReconciliationData[[#This Row],[Invoice_ID]]),1,0)</f>
        <v>0</v>
      </c>
      <c r="Q892">
        <f>IF(AND(NOT(ISBLANK(ReconciliationData[[#This Row],[Billed_Units]])),ReconciliationData[[#This Row],[ordered_units]]&lt;&gt;ReconciliationData[[#This Row],[Billed_Units]]),1,0)</f>
        <v>0</v>
      </c>
      <c r="R8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92">
        <f>IF(AND(NOT(ISBLANK(ReconciliationData[[#This Row],[Contract_Price]])),ReconciliationData[[#This Row],[Billed_Price]]&lt;&gt;ReconciliationData[[#This Row],[Contract_Price]]),1,0)</f>
        <v>0</v>
      </c>
      <c r="T892">
        <f>IF(AND(NOT(ISBLANK(ReconciliationData[[#This Row],[End_Date]])),ReconciliationData[[#This Row],[Order_Date]]&gt;ReconciliationData[[#This Row],[End_Date]]),1,0)</f>
        <v>0</v>
      </c>
      <c r="U892">
        <f>IF(AND(NOT(ISBLANK(ReconciliationData[[#This Row],[last_return_date]])),ReconciliationData[[#This Row],[last_return_date]]&gt;ReconciliationData[[#This Row],[Order_Date]]+60),1,0)</f>
        <v>0</v>
      </c>
      <c r="V892">
        <f>IF(ReconciliationData[[#This Row],[total_returned_units]]&gt;ReconciliationData[[#This Row],[ordered_units]],1,0)</f>
        <v>0</v>
      </c>
      <c r="W8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92">
        <f>ReconciliationData[[#This Row],[Billed_Units]]*ReconciliationData[[#This Row],[Billed_Price]]</f>
        <v>68253.530400000003</v>
      </c>
      <c r="Y892">
        <f>ReconciliationData[[#This Row],[ordered_units]]*ReconciliationData[[#This Row],[List_Price]]</f>
        <v>68253.530400000003</v>
      </c>
      <c r="Z892">
        <f>ReconciliationData[[#This Row],[billed_revenue]]-ReconciliationData[[#This Row],[expected_revenue]]</f>
        <v>0</v>
      </c>
      <c r="AA8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92" t="str">
        <f>IF(ReconciliationData[[#This Row],[severity_score]]=0,"LOW",
 IF(ReconciliationData[[#This Row],[severity_score]]&lt;=5,"MEDIUM","HIGH"))</f>
        <v>LOW</v>
      </c>
      <c r="AC892" t="str">
        <f>TEXT(ReconciliationData[[#This Row],[Order_Date]],"YYYY-MM")</f>
        <v>2023-08</v>
      </c>
    </row>
    <row r="893" spans="1:29">
      <c r="A893" t="s">
        <v>2744</v>
      </c>
      <c r="B893" s="1">
        <v>45237</v>
      </c>
      <c r="C893" t="s">
        <v>2745</v>
      </c>
      <c r="D893" t="s">
        <v>732</v>
      </c>
      <c r="E893">
        <v>94</v>
      </c>
      <c r="F893" t="s">
        <v>2746</v>
      </c>
      <c r="G893">
        <v>94</v>
      </c>
      <c r="H893">
        <v>440.38799999999998</v>
      </c>
      <c r="N893">
        <v>440.38799999999998</v>
      </c>
      <c r="O893" s="1">
        <v>45016</v>
      </c>
      <c r="P893">
        <f>IF(ISBLANK(ReconciliationData[[#This Row],[Invoice_ID]]),1,0)</f>
        <v>0</v>
      </c>
      <c r="Q893">
        <f>IF(AND(NOT(ISBLANK(ReconciliationData[[#This Row],[Billed_Units]])),ReconciliationData[[#This Row],[ordered_units]]&lt;&gt;ReconciliationData[[#This Row],[Billed_Units]]),1,0)</f>
        <v>0</v>
      </c>
      <c r="R8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93">
        <f>IF(AND(NOT(ISBLANK(ReconciliationData[[#This Row],[Contract_Price]])),ReconciliationData[[#This Row],[Billed_Price]]&lt;&gt;ReconciliationData[[#This Row],[Contract_Price]]),1,0)</f>
        <v>0</v>
      </c>
      <c r="T893">
        <f>IF(AND(NOT(ISBLANK(ReconciliationData[[#This Row],[End_Date]])),ReconciliationData[[#This Row],[Order_Date]]&gt;ReconciliationData[[#This Row],[End_Date]]),1,0)</f>
        <v>0</v>
      </c>
      <c r="U893">
        <f>IF(AND(NOT(ISBLANK(ReconciliationData[[#This Row],[last_return_date]])),ReconciliationData[[#This Row],[last_return_date]]&gt;ReconciliationData[[#This Row],[Order_Date]]+60),1,0)</f>
        <v>0</v>
      </c>
      <c r="V893">
        <f>IF(ReconciliationData[[#This Row],[total_returned_units]]&gt;ReconciliationData[[#This Row],[ordered_units]],1,0)</f>
        <v>0</v>
      </c>
      <c r="W8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93">
        <f>ReconciliationData[[#This Row],[Billed_Units]]*ReconciliationData[[#This Row],[Billed_Price]]</f>
        <v>41396.471999999994</v>
      </c>
      <c r="Y893">
        <f>ReconciliationData[[#This Row],[ordered_units]]*ReconciliationData[[#This Row],[List_Price]]</f>
        <v>41396.471999999994</v>
      </c>
      <c r="Z893">
        <f>ReconciliationData[[#This Row],[billed_revenue]]-ReconciliationData[[#This Row],[expected_revenue]]</f>
        <v>0</v>
      </c>
      <c r="AA8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93" t="str">
        <f>IF(ReconciliationData[[#This Row],[severity_score]]=0,"LOW",
 IF(ReconciliationData[[#This Row],[severity_score]]&lt;=5,"MEDIUM","HIGH"))</f>
        <v>LOW</v>
      </c>
      <c r="AC893" t="str">
        <f>TEXT(ReconciliationData[[#This Row],[Order_Date]],"YYYY-MM")</f>
        <v>2023-11</v>
      </c>
    </row>
    <row r="894" spans="1:29">
      <c r="A894" t="s">
        <v>2747</v>
      </c>
      <c r="B894" s="1">
        <v>45241</v>
      </c>
      <c r="C894" t="s">
        <v>2748</v>
      </c>
      <c r="D894" t="s">
        <v>374</v>
      </c>
      <c r="E894">
        <v>51</v>
      </c>
      <c r="F894" t="s">
        <v>2749</v>
      </c>
      <c r="G894">
        <v>51</v>
      </c>
      <c r="H894">
        <v>517.39100000000008</v>
      </c>
      <c r="N894">
        <v>517.39100000000008</v>
      </c>
      <c r="O894" s="1">
        <v>45045</v>
      </c>
      <c r="P894">
        <f>IF(ISBLANK(ReconciliationData[[#This Row],[Invoice_ID]]),1,0)</f>
        <v>0</v>
      </c>
      <c r="Q894">
        <f>IF(AND(NOT(ISBLANK(ReconciliationData[[#This Row],[Billed_Units]])),ReconciliationData[[#This Row],[ordered_units]]&lt;&gt;ReconciliationData[[#This Row],[Billed_Units]]),1,0)</f>
        <v>0</v>
      </c>
      <c r="R8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94">
        <f>IF(AND(NOT(ISBLANK(ReconciliationData[[#This Row],[Contract_Price]])),ReconciliationData[[#This Row],[Billed_Price]]&lt;&gt;ReconciliationData[[#This Row],[Contract_Price]]),1,0)</f>
        <v>0</v>
      </c>
      <c r="T894">
        <f>IF(AND(NOT(ISBLANK(ReconciliationData[[#This Row],[End_Date]])),ReconciliationData[[#This Row],[Order_Date]]&gt;ReconciliationData[[#This Row],[End_Date]]),1,0)</f>
        <v>0</v>
      </c>
      <c r="U894">
        <f>IF(AND(NOT(ISBLANK(ReconciliationData[[#This Row],[last_return_date]])),ReconciliationData[[#This Row],[last_return_date]]&gt;ReconciliationData[[#This Row],[Order_Date]]+60),1,0)</f>
        <v>0</v>
      </c>
      <c r="V894">
        <f>IF(ReconciliationData[[#This Row],[total_returned_units]]&gt;ReconciliationData[[#This Row],[ordered_units]],1,0)</f>
        <v>0</v>
      </c>
      <c r="W8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94">
        <f>ReconciliationData[[#This Row],[Billed_Units]]*ReconciliationData[[#This Row],[Billed_Price]]</f>
        <v>26386.941000000003</v>
      </c>
      <c r="Y894">
        <f>ReconciliationData[[#This Row],[ordered_units]]*ReconciliationData[[#This Row],[List_Price]]</f>
        <v>26386.941000000003</v>
      </c>
      <c r="Z894">
        <f>ReconciliationData[[#This Row],[billed_revenue]]-ReconciliationData[[#This Row],[expected_revenue]]</f>
        <v>0</v>
      </c>
      <c r="AA8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94" t="str">
        <f>IF(ReconciliationData[[#This Row],[severity_score]]=0,"LOW",
 IF(ReconciliationData[[#This Row],[severity_score]]&lt;=5,"MEDIUM","HIGH"))</f>
        <v>LOW</v>
      </c>
      <c r="AC894" t="str">
        <f>TEXT(ReconciliationData[[#This Row],[Order_Date]],"YYYY-MM")</f>
        <v>2023-11</v>
      </c>
    </row>
    <row r="895" spans="1:29">
      <c r="A895" t="s">
        <v>2750</v>
      </c>
      <c r="B895" s="1">
        <v>45491</v>
      </c>
      <c r="C895" t="s">
        <v>2751</v>
      </c>
      <c r="D895" t="s">
        <v>1495</v>
      </c>
      <c r="E895">
        <v>1</v>
      </c>
      <c r="F895" t="s">
        <v>2752</v>
      </c>
      <c r="G895">
        <v>-4</v>
      </c>
      <c r="H895">
        <v>377.08350000000002</v>
      </c>
      <c r="N895">
        <v>377.08350000000002</v>
      </c>
      <c r="O895" s="1">
        <v>45064</v>
      </c>
      <c r="P895">
        <f>IF(ISBLANK(ReconciliationData[[#This Row],[Invoice_ID]]),1,0)</f>
        <v>0</v>
      </c>
      <c r="Q895">
        <f>IF(AND(NOT(ISBLANK(ReconciliationData[[#This Row],[Billed_Units]])),ReconciliationData[[#This Row],[ordered_units]]&lt;&gt;ReconciliationData[[#This Row],[Billed_Units]]),1,0)</f>
        <v>1</v>
      </c>
      <c r="R8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95">
        <f>IF(AND(NOT(ISBLANK(ReconciliationData[[#This Row],[Contract_Price]])),ReconciliationData[[#This Row],[Billed_Price]]&lt;&gt;ReconciliationData[[#This Row],[Contract_Price]]),1,0)</f>
        <v>0</v>
      </c>
      <c r="T895">
        <f>IF(AND(NOT(ISBLANK(ReconciliationData[[#This Row],[End_Date]])),ReconciliationData[[#This Row],[Order_Date]]&gt;ReconciliationData[[#This Row],[End_Date]]),1,0)</f>
        <v>0</v>
      </c>
      <c r="U895">
        <f>IF(AND(NOT(ISBLANK(ReconciliationData[[#This Row],[last_return_date]])),ReconciliationData[[#This Row],[last_return_date]]&gt;ReconciliationData[[#This Row],[Order_Date]]+60),1,0)</f>
        <v>0</v>
      </c>
      <c r="V895">
        <f>IF(ReconciliationData[[#This Row],[total_returned_units]]&gt;ReconciliationData[[#This Row],[ordered_units]],1,0)</f>
        <v>0</v>
      </c>
      <c r="W8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95">
        <f>ReconciliationData[[#This Row],[Billed_Units]]*ReconciliationData[[#This Row],[Billed_Price]]</f>
        <v>-1508.3340000000001</v>
      </c>
      <c r="Y895">
        <f>ReconciliationData[[#This Row],[ordered_units]]*ReconciliationData[[#This Row],[List_Price]]</f>
        <v>377.08350000000002</v>
      </c>
      <c r="Z895">
        <f>ReconciliationData[[#This Row],[billed_revenue]]-ReconciliationData[[#This Row],[expected_revenue]]</f>
        <v>-1885.4175</v>
      </c>
      <c r="AA8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895" t="str">
        <f>IF(ReconciliationData[[#This Row],[severity_score]]=0,"LOW",
 IF(ReconciliationData[[#This Row],[severity_score]]&lt;=5,"MEDIUM","HIGH"))</f>
        <v>HIGH</v>
      </c>
      <c r="AC895" t="str">
        <f>TEXT(ReconciliationData[[#This Row],[Order_Date]],"YYYY-MM")</f>
        <v>2024-07</v>
      </c>
    </row>
    <row r="896" spans="1:29">
      <c r="A896" t="s">
        <v>2753</v>
      </c>
      <c r="B896" s="1">
        <v>45519</v>
      </c>
      <c r="C896" t="s">
        <v>1202</v>
      </c>
      <c r="D896" t="s">
        <v>768</v>
      </c>
      <c r="E896">
        <v>104</v>
      </c>
      <c r="F896" t="s">
        <v>2754</v>
      </c>
      <c r="G896">
        <v>104</v>
      </c>
      <c r="H896">
        <v>410.02</v>
      </c>
      <c r="N896">
        <v>410.02</v>
      </c>
      <c r="O896" s="1">
        <v>45017</v>
      </c>
      <c r="P896">
        <f>IF(ISBLANK(ReconciliationData[[#This Row],[Invoice_ID]]),1,0)</f>
        <v>0</v>
      </c>
      <c r="Q896">
        <f>IF(AND(NOT(ISBLANK(ReconciliationData[[#This Row],[Billed_Units]])),ReconciliationData[[#This Row],[ordered_units]]&lt;&gt;ReconciliationData[[#This Row],[Billed_Units]]),1,0)</f>
        <v>0</v>
      </c>
      <c r="R8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96">
        <f>IF(AND(NOT(ISBLANK(ReconciliationData[[#This Row],[Contract_Price]])),ReconciliationData[[#This Row],[Billed_Price]]&lt;&gt;ReconciliationData[[#This Row],[Contract_Price]]),1,0)</f>
        <v>0</v>
      </c>
      <c r="T896">
        <f>IF(AND(NOT(ISBLANK(ReconciliationData[[#This Row],[End_Date]])),ReconciliationData[[#This Row],[Order_Date]]&gt;ReconciliationData[[#This Row],[End_Date]]),1,0)</f>
        <v>0</v>
      </c>
      <c r="U896">
        <f>IF(AND(NOT(ISBLANK(ReconciliationData[[#This Row],[last_return_date]])),ReconciliationData[[#This Row],[last_return_date]]&gt;ReconciliationData[[#This Row],[Order_Date]]+60),1,0)</f>
        <v>0</v>
      </c>
      <c r="V896">
        <f>IF(ReconciliationData[[#This Row],[total_returned_units]]&gt;ReconciliationData[[#This Row],[ordered_units]],1,0)</f>
        <v>0</v>
      </c>
      <c r="W8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96">
        <f>ReconciliationData[[#This Row],[Billed_Units]]*ReconciliationData[[#This Row],[Billed_Price]]</f>
        <v>42642.080000000002</v>
      </c>
      <c r="Y896">
        <f>ReconciliationData[[#This Row],[ordered_units]]*ReconciliationData[[#This Row],[List_Price]]</f>
        <v>42642.080000000002</v>
      </c>
      <c r="Z896">
        <f>ReconciliationData[[#This Row],[billed_revenue]]-ReconciliationData[[#This Row],[expected_revenue]]</f>
        <v>0</v>
      </c>
      <c r="AA8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96" t="str">
        <f>IF(ReconciliationData[[#This Row],[severity_score]]=0,"LOW",
 IF(ReconciliationData[[#This Row],[severity_score]]&lt;=5,"MEDIUM","HIGH"))</f>
        <v>LOW</v>
      </c>
      <c r="AC896" t="str">
        <f>TEXT(ReconciliationData[[#This Row],[Order_Date]],"YYYY-MM")</f>
        <v>2024-08</v>
      </c>
    </row>
    <row r="897" spans="1:29">
      <c r="A897" t="s">
        <v>2755</v>
      </c>
      <c r="B897" s="1">
        <v>44958</v>
      </c>
      <c r="C897" t="s">
        <v>1948</v>
      </c>
      <c r="D897" t="s">
        <v>1812</v>
      </c>
      <c r="E897">
        <v>136</v>
      </c>
      <c r="F897" t="s">
        <v>2756</v>
      </c>
      <c r="G897">
        <v>136</v>
      </c>
      <c r="H897">
        <v>224.72319999999999</v>
      </c>
      <c r="N897">
        <v>224.72319999999999</v>
      </c>
      <c r="O897" s="1">
        <v>44805</v>
      </c>
      <c r="P897">
        <f>IF(ISBLANK(ReconciliationData[[#This Row],[Invoice_ID]]),1,0)</f>
        <v>0</v>
      </c>
      <c r="Q897">
        <f>IF(AND(NOT(ISBLANK(ReconciliationData[[#This Row],[Billed_Units]])),ReconciliationData[[#This Row],[ordered_units]]&lt;&gt;ReconciliationData[[#This Row],[Billed_Units]]),1,0)</f>
        <v>0</v>
      </c>
      <c r="R8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97">
        <f>IF(AND(NOT(ISBLANK(ReconciliationData[[#This Row],[Contract_Price]])),ReconciliationData[[#This Row],[Billed_Price]]&lt;&gt;ReconciliationData[[#This Row],[Contract_Price]]),1,0)</f>
        <v>0</v>
      </c>
      <c r="T897">
        <f>IF(AND(NOT(ISBLANK(ReconciliationData[[#This Row],[End_Date]])),ReconciliationData[[#This Row],[Order_Date]]&gt;ReconciliationData[[#This Row],[End_Date]]),1,0)</f>
        <v>0</v>
      </c>
      <c r="U897">
        <f>IF(AND(NOT(ISBLANK(ReconciliationData[[#This Row],[last_return_date]])),ReconciliationData[[#This Row],[last_return_date]]&gt;ReconciliationData[[#This Row],[Order_Date]]+60),1,0)</f>
        <v>0</v>
      </c>
      <c r="V897">
        <f>IF(ReconciliationData[[#This Row],[total_returned_units]]&gt;ReconciliationData[[#This Row],[ordered_units]],1,0)</f>
        <v>0</v>
      </c>
      <c r="W8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97">
        <f>ReconciliationData[[#This Row],[Billed_Units]]*ReconciliationData[[#This Row],[Billed_Price]]</f>
        <v>30562.355199999998</v>
      </c>
      <c r="Y897">
        <f>ReconciliationData[[#This Row],[ordered_units]]*ReconciliationData[[#This Row],[List_Price]]</f>
        <v>30562.355199999998</v>
      </c>
      <c r="Z897">
        <f>ReconciliationData[[#This Row],[billed_revenue]]-ReconciliationData[[#This Row],[expected_revenue]]</f>
        <v>0</v>
      </c>
      <c r="AA8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97" t="str">
        <f>IF(ReconciliationData[[#This Row],[severity_score]]=0,"LOW",
 IF(ReconciliationData[[#This Row],[severity_score]]&lt;=5,"MEDIUM","HIGH"))</f>
        <v>LOW</v>
      </c>
      <c r="AC897" t="str">
        <f>TEXT(ReconciliationData[[#This Row],[Order_Date]],"YYYY-MM")</f>
        <v>2023-02</v>
      </c>
    </row>
    <row r="898" spans="1:29">
      <c r="A898" t="s">
        <v>2757</v>
      </c>
      <c r="B898" s="1">
        <v>45496</v>
      </c>
      <c r="C898" t="s">
        <v>2758</v>
      </c>
      <c r="D898" t="s">
        <v>1459</v>
      </c>
      <c r="E898">
        <v>102</v>
      </c>
      <c r="F898" t="s">
        <v>2759</v>
      </c>
      <c r="G898">
        <v>102</v>
      </c>
      <c r="H898">
        <v>1149.8634</v>
      </c>
      <c r="N898">
        <v>1149.8634</v>
      </c>
      <c r="O898" s="1">
        <v>45135</v>
      </c>
      <c r="P898">
        <f>IF(ISBLANK(ReconciliationData[[#This Row],[Invoice_ID]]),1,0)</f>
        <v>0</v>
      </c>
      <c r="Q898">
        <f>IF(AND(NOT(ISBLANK(ReconciliationData[[#This Row],[Billed_Units]])),ReconciliationData[[#This Row],[ordered_units]]&lt;&gt;ReconciliationData[[#This Row],[Billed_Units]]),1,0)</f>
        <v>0</v>
      </c>
      <c r="R8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898">
        <f>IF(AND(NOT(ISBLANK(ReconciliationData[[#This Row],[Contract_Price]])),ReconciliationData[[#This Row],[Billed_Price]]&lt;&gt;ReconciliationData[[#This Row],[Contract_Price]]),1,0)</f>
        <v>0</v>
      </c>
      <c r="T898">
        <f>IF(AND(NOT(ISBLANK(ReconciliationData[[#This Row],[End_Date]])),ReconciliationData[[#This Row],[Order_Date]]&gt;ReconciliationData[[#This Row],[End_Date]]),1,0)</f>
        <v>0</v>
      </c>
      <c r="U898">
        <f>IF(AND(NOT(ISBLANK(ReconciliationData[[#This Row],[last_return_date]])),ReconciliationData[[#This Row],[last_return_date]]&gt;ReconciliationData[[#This Row],[Order_Date]]+60),1,0)</f>
        <v>0</v>
      </c>
      <c r="V898">
        <f>IF(ReconciliationData[[#This Row],[total_returned_units]]&gt;ReconciliationData[[#This Row],[ordered_units]],1,0)</f>
        <v>0</v>
      </c>
      <c r="W8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898">
        <f>ReconciliationData[[#This Row],[Billed_Units]]*ReconciliationData[[#This Row],[Billed_Price]]</f>
        <v>117286.0668</v>
      </c>
      <c r="Y898">
        <f>ReconciliationData[[#This Row],[ordered_units]]*ReconciliationData[[#This Row],[List_Price]]</f>
        <v>117286.0668</v>
      </c>
      <c r="Z898">
        <f>ReconciliationData[[#This Row],[billed_revenue]]-ReconciliationData[[#This Row],[expected_revenue]]</f>
        <v>0</v>
      </c>
      <c r="AA8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898" t="str">
        <f>IF(ReconciliationData[[#This Row],[severity_score]]=0,"LOW",
 IF(ReconciliationData[[#This Row],[severity_score]]&lt;=5,"MEDIUM","HIGH"))</f>
        <v>LOW</v>
      </c>
      <c r="AC898" t="str">
        <f>TEXT(ReconciliationData[[#This Row],[Order_Date]],"YYYY-MM")</f>
        <v>2024-07</v>
      </c>
    </row>
    <row r="899" spans="1:29">
      <c r="A899" t="s">
        <v>2760</v>
      </c>
      <c r="B899" s="1">
        <v>45231</v>
      </c>
      <c r="C899" t="s">
        <v>2190</v>
      </c>
      <c r="D899" t="s">
        <v>883</v>
      </c>
      <c r="E899">
        <v>154</v>
      </c>
      <c r="F899" t="s">
        <v>2761</v>
      </c>
      <c r="G899">
        <v>154</v>
      </c>
      <c r="H899">
        <v>403.49609405074534</v>
      </c>
      <c r="N899">
        <v>403.01909999999998</v>
      </c>
      <c r="O899" s="1">
        <v>45056</v>
      </c>
      <c r="P899">
        <f>IF(ISBLANK(ReconciliationData[[#This Row],[Invoice_ID]]),1,0)</f>
        <v>0</v>
      </c>
      <c r="Q899">
        <f>IF(AND(NOT(ISBLANK(ReconciliationData[[#This Row],[Billed_Units]])),ReconciliationData[[#This Row],[ordered_units]]&lt;&gt;ReconciliationData[[#This Row],[Billed_Units]]),1,0)</f>
        <v>0</v>
      </c>
      <c r="R89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899">
        <f>IF(AND(NOT(ISBLANK(ReconciliationData[[#This Row],[Contract_Price]])),ReconciliationData[[#This Row],[Billed_Price]]&lt;&gt;ReconciliationData[[#This Row],[Contract_Price]]),1,0)</f>
        <v>0</v>
      </c>
      <c r="T899">
        <f>IF(AND(NOT(ISBLANK(ReconciliationData[[#This Row],[End_Date]])),ReconciliationData[[#This Row],[Order_Date]]&gt;ReconciliationData[[#This Row],[End_Date]]),1,0)</f>
        <v>0</v>
      </c>
      <c r="U899">
        <f>IF(AND(NOT(ISBLANK(ReconciliationData[[#This Row],[last_return_date]])),ReconciliationData[[#This Row],[last_return_date]]&gt;ReconciliationData[[#This Row],[Order_Date]]+60),1,0)</f>
        <v>0</v>
      </c>
      <c r="V899">
        <f>IF(ReconciliationData[[#This Row],[total_returned_units]]&gt;ReconciliationData[[#This Row],[ordered_units]],1,0)</f>
        <v>0</v>
      </c>
      <c r="W8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899">
        <f>ReconciliationData[[#This Row],[Billed_Units]]*ReconciliationData[[#This Row],[Billed_Price]]</f>
        <v>62138.398483814781</v>
      </c>
      <c r="Y899">
        <f>ReconciliationData[[#This Row],[ordered_units]]*ReconciliationData[[#This Row],[List_Price]]</f>
        <v>62064.941399999996</v>
      </c>
      <c r="Z899">
        <f>ReconciliationData[[#This Row],[billed_revenue]]-ReconciliationData[[#This Row],[expected_revenue]]</f>
        <v>73.45708381478471</v>
      </c>
      <c r="AA8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899" t="str">
        <f>IF(ReconciliationData[[#This Row],[severity_score]]=0,"LOW",
 IF(ReconciliationData[[#This Row],[severity_score]]&lt;=5,"MEDIUM","HIGH"))</f>
        <v>MEDIUM</v>
      </c>
      <c r="AC899" t="str">
        <f>TEXT(ReconciliationData[[#This Row],[Order_Date]],"YYYY-MM")</f>
        <v>2023-11</v>
      </c>
    </row>
    <row r="900" spans="1:29">
      <c r="A900" t="s">
        <v>2762</v>
      </c>
      <c r="B900" s="1">
        <v>45051</v>
      </c>
      <c r="C900" t="s">
        <v>2034</v>
      </c>
      <c r="D900" t="s">
        <v>722</v>
      </c>
      <c r="E900">
        <v>132</v>
      </c>
      <c r="F900" t="s">
        <v>2763</v>
      </c>
      <c r="G900">
        <v>132</v>
      </c>
      <c r="H900">
        <v>343.34190000000001</v>
      </c>
      <c r="N900">
        <v>343.34190000000001</v>
      </c>
      <c r="O900" s="1">
        <v>44836</v>
      </c>
      <c r="P900">
        <f>IF(ISBLANK(ReconciliationData[[#This Row],[Invoice_ID]]),1,0)</f>
        <v>0</v>
      </c>
      <c r="Q900">
        <f>IF(AND(NOT(ISBLANK(ReconciliationData[[#This Row],[Billed_Units]])),ReconciliationData[[#This Row],[ordered_units]]&lt;&gt;ReconciliationData[[#This Row],[Billed_Units]]),1,0)</f>
        <v>0</v>
      </c>
      <c r="R9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0">
        <f>IF(AND(NOT(ISBLANK(ReconciliationData[[#This Row],[Contract_Price]])),ReconciliationData[[#This Row],[Billed_Price]]&lt;&gt;ReconciliationData[[#This Row],[Contract_Price]]),1,0)</f>
        <v>0</v>
      </c>
      <c r="T900">
        <f>IF(AND(NOT(ISBLANK(ReconciliationData[[#This Row],[End_Date]])),ReconciliationData[[#This Row],[Order_Date]]&gt;ReconciliationData[[#This Row],[End_Date]]),1,0)</f>
        <v>0</v>
      </c>
      <c r="U900">
        <f>IF(AND(NOT(ISBLANK(ReconciliationData[[#This Row],[last_return_date]])),ReconciliationData[[#This Row],[last_return_date]]&gt;ReconciliationData[[#This Row],[Order_Date]]+60),1,0)</f>
        <v>0</v>
      </c>
      <c r="V900">
        <f>IF(ReconciliationData[[#This Row],[total_returned_units]]&gt;ReconciliationData[[#This Row],[ordered_units]],1,0)</f>
        <v>0</v>
      </c>
      <c r="W9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00">
        <f>ReconciliationData[[#This Row],[Billed_Units]]*ReconciliationData[[#This Row],[Billed_Price]]</f>
        <v>45321.130799999999</v>
      </c>
      <c r="Y900">
        <f>ReconciliationData[[#This Row],[ordered_units]]*ReconciliationData[[#This Row],[List_Price]]</f>
        <v>45321.130799999999</v>
      </c>
      <c r="Z900">
        <f>ReconciliationData[[#This Row],[billed_revenue]]-ReconciliationData[[#This Row],[expected_revenue]]</f>
        <v>0</v>
      </c>
      <c r="AA9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00" t="str">
        <f>IF(ReconciliationData[[#This Row],[severity_score]]=0,"LOW",
 IF(ReconciliationData[[#This Row],[severity_score]]&lt;=5,"MEDIUM","HIGH"))</f>
        <v>LOW</v>
      </c>
      <c r="AC900" t="str">
        <f>TEXT(ReconciliationData[[#This Row],[Order_Date]],"YYYY-MM")</f>
        <v>2023-05</v>
      </c>
    </row>
    <row r="901" spans="1:29">
      <c r="A901" t="s">
        <v>2764</v>
      </c>
      <c r="B901" s="1">
        <v>45108</v>
      </c>
      <c r="C901" t="s">
        <v>1291</v>
      </c>
      <c r="D901" t="s">
        <v>2765</v>
      </c>
      <c r="E901">
        <v>96</v>
      </c>
      <c r="F901" t="s">
        <v>2766</v>
      </c>
      <c r="G901">
        <v>96</v>
      </c>
      <c r="H901">
        <v>987.07560000000001</v>
      </c>
      <c r="N901">
        <v>987.07560000000001</v>
      </c>
      <c r="O901" s="1">
        <v>44877</v>
      </c>
      <c r="P901">
        <f>IF(ISBLANK(ReconciliationData[[#This Row],[Invoice_ID]]),1,0)</f>
        <v>0</v>
      </c>
      <c r="Q901">
        <f>IF(AND(NOT(ISBLANK(ReconciliationData[[#This Row],[Billed_Units]])),ReconciliationData[[#This Row],[ordered_units]]&lt;&gt;ReconciliationData[[#This Row],[Billed_Units]]),1,0)</f>
        <v>0</v>
      </c>
      <c r="R9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1">
        <f>IF(AND(NOT(ISBLANK(ReconciliationData[[#This Row],[Contract_Price]])),ReconciliationData[[#This Row],[Billed_Price]]&lt;&gt;ReconciliationData[[#This Row],[Contract_Price]]),1,0)</f>
        <v>0</v>
      </c>
      <c r="T901">
        <f>IF(AND(NOT(ISBLANK(ReconciliationData[[#This Row],[End_Date]])),ReconciliationData[[#This Row],[Order_Date]]&gt;ReconciliationData[[#This Row],[End_Date]]),1,0)</f>
        <v>0</v>
      </c>
      <c r="U901">
        <f>IF(AND(NOT(ISBLANK(ReconciliationData[[#This Row],[last_return_date]])),ReconciliationData[[#This Row],[last_return_date]]&gt;ReconciliationData[[#This Row],[Order_Date]]+60),1,0)</f>
        <v>0</v>
      </c>
      <c r="V901">
        <f>IF(ReconciliationData[[#This Row],[total_returned_units]]&gt;ReconciliationData[[#This Row],[ordered_units]],1,0)</f>
        <v>0</v>
      </c>
      <c r="W9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01">
        <f>ReconciliationData[[#This Row],[Billed_Units]]*ReconciliationData[[#This Row],[Billed_Price]]</f>
        <v>94759.257599999997</v>
      </c>
      <c r="Y901">
        <f>ReconciliationData[[#This Row],[ordered_units]]*ReconciliationData[[#This Row],[List_Price]]</f>
        <v>94759.257599999997</v>
      </c>
      <c r="Z901">
        <f>ReconciliationData[[#This Row],[billed_revenue]]-ReconciliationData[[#This Row],[expected_revenue]]</f>
        <v>0</v>
      </c>
      <c r="AA9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01" t="str">
        <f>IF(ReconciliationData[[#This Row],[severity_score]]=0,"LOW",
 IF(ReconciliationData[[#This Row],[severity_score]]&lt;=5,"MEDIUM","HIGH"))</f>
        <v>LOW</v>
      </c>
      <c r="AC901" t="str">
        <f>TEXT(ReconciliationData[[#This Row],[Order_Date]],"YYYY-MM")</f>
        <v>2023-07</v>
      </c>
    </row>
    <row r="902" spans="1:29">
      <c r="A902" t="s">
        <v>2767</v>
      </c>
      <c r="B902" s="1">
        <v>45204</v>
      </c>
      <c r="C902" t="s">
        <v>2768</v>
      </c>
      <c r="D902" t="s">
        <v>2331</v>
      </c>
      <c r="E902">
        <v>147</v>
      </c>
      <c r="F902" t="s">
        <v>2769</v>
      </c>
      <c r="G902">
        <v>147</v>
      </c>
      <c r="H902">
        <v>983.19460000000004</v>
      </c>
      <c r="N902">
        <v>983.19460000000004</v>
      </c>
      <c r="O902" s="1">
        <v>45142</v>
      </c>
      <c r="P902">
        <f>IF(ISBLANK(ReconciliationData[[#This Row],[Invoice_ID]]),1,0)</f>
        <v>0</v>
      </c>
      <c r="Q902">
        <f>IF(AND(NOT(ISBLANK(ReconciliationData[[#This Row],[Billed_Units]])),ReconciliationData[[#This Row],[ordered_units]]&lt;&gt;ReconciliationData[[#This Row],[Billed_Units]]),1,0)</f>
        <v>0</v>
      </c>
      <c r="R9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2">
        <f>IF(AND(NOT(ISBLANK(ReconciliationData[[#This Row],[Contract_Price]])),ReconciliationData[[#This Row],[Billed_Price]]&lt;&gt;ReconciliationData[[#This Row],[Contract_Price]]),1,0)</f>
        <v>0</v>
      </c>
      <c r="T902">
        <f>IF(AND(NOT(ISBLANK(ReconciliationData[[#This Row],[End_Date]])),ReconciliationData[[#This Row],[Order_Date]]&gt;ReconciliationData[[#This Row],[End_Date]]),1,0)</f>
        <v>0</v>
      </c>
      <c r="U902">
        <f>IF(AND(NOT(ISBLANK(ReconciliationData[[#This Row],[last_return_date]])),ReconciliationData[[#This Row],[last_return_date]]&gt;ReconciliationData[[#This Row],[Order_Date]]+60),1,0)</f>
        <v>0</v>
      </c>
      <c r="V902">
        <f>IF(ReconciliationData[[#This Row],[total_returned_units]]&gt;ReconciliationData[[#This Row],[ordered_units]],1,0)</f>
        <v>0</v>
      </c>
      <c r="W9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02">
        <f>ReconciliationData[[#This Row],[Billed_Units]]*ReconciliationData[[#This Row],[Billed_Price]]</f>
        <v>144529.60620000001</v>
      </c>
      <c r="Y902">
        <f>ReconciliationData[[#This Row],[ordered_units]]*ReconciliationData[[#This Row],[List_Price]]</f>
        <v>144529.60620000001</v>
      </c>
      <c r="Z902">
        <f>ReconciliationData[[#This Row],[billed_revenue]]-ReconciliationData[[#This Row],[expected_revenue]]</f>
        <v>0</v>
      </c>
      <c r="AA9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02" t="str">
        <f>IF(ReconciliationData[[#This Row],[severity_score]]=0,"LOW",
 IF(ReconciliationData[[#This Row],[severity_score]]&lt;=5,"MEDIUM","HIGH"))</f>
        <v>LOW</v>
      </c>
      <c r="AC902" t="str">
        <f>TEXT(ReconciliationData[[#This Row],[Order_Date]],"YYYY-MM")</f>
        <v>2023-10</v>
      </c>
    </row>
    <row r="903" spans="1:29">
      <c r="A903" t="s">
        <v>2770</v>
      </c>
      <c r="B903" s="1">
        <v>45586</v>
      </c>
      <c r="C903" t="s">
        <v>2302</v>
      </c>
      <c r="D903" t="s">
        <v>1886</v>
      </c>
      <c r="E903">
        <v>199</v>
      </c>
      <c r="F903" t="s">
        <v>2771</v>
      </c>
      <c r="G903">
        <v>199</v>
      </c>
      <c r="H903">
        <v>1092.5376000000001</v>
      </c>
      <c r="N903">
        <v>1092.5376000000001</v>
      </c>
      <c r="O903" s="1">
        <v>44996</v>
      </c>
      <c r="P903">
        <f>IF(ISBLANK(ReconciliationData[[#This Row],[Invoice_ID]]),1,0)</f>
        <v>0</v>
      </c>
      <c r="Q903">
        <f>IF(AND(NOT(ISBLANK(ReconciliationData[[#This Row],[Billed_Units]])),ReconciliationData[[#This Row],[ordered_units]]&lt;&gt;ReconciliationData[[#This Row],[Billed_Units]]),1,0)</f>
        <v>0</v>
      </c>
      <c r="R9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3">
        <f>IF(AND(NOT(ISBLANK(ReconciliationData[[#This Row],[Contract_Price]])),ReconciliationData[[#This Row],[Billed_Price]]&lt;&gt;ReconciliationData[[#This Row],[Contract_Price]]),1,0)</f>
        <v>0</v>
      </c>
      <c r="T903">
        <f>IF(AND(NOT(ISBLANK(ReconciliationData[[#This Row],[End_Date]])),ReconciliationData[[#This Row],[Order_Date]]&gt;ReconciliationData[[#This Row],[End_Date]]),1,0)</f>
        <v>0</v>
      </c>
      <c r="U903">
        <f>IF(AND(NOT(ISBLANK(ReconciliationData[[#This Row],[last_return_date]])),ReconciliationData[[#This Row],[last_return_date]]&gt;ReconciliationData[[#This Row],[Order_Date]]+60),1,0)</f>
        <v>0</v>
      </c>
      <c r="V903">
        <f>IF(ReconciliationData[[#This Row],[total_returned_units]]&gt;ReconciliationData[[#This Row],[ordered_units]],1,0)</f>
        <v>0</v>
      </c>
      <c r="W9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03">
        <f>ReconciliationData[[#This Row],[Billed_Units]]*ReconciliationData[[#This Row],[Billed_Price]]</f>
        <v>217414.98240000001</v>
      </c>
      <c r="Y903">
        <f>ReconciliationData[[#This Row],[ordered_units]]*ReconciliationData[[#This Row],[List_Price]]</f>
        <v>217414.98240000001</v>
      </c>
      <c r="Z903">
        <f>ReconciliationData[[#This Row],[billed_revenue]]-ReconciliationData[[#This Row],[expected_revenue]]</f>
        <v>0</v>
      </c>
      <c r="AA9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03" t="str">
        <f>IF(ReconciliationData[[#This Row],[severity_score]]=0,"LOW",
 IF(ReconciliationData[[#This Row],[severity_score]]&lt;=5,"MEDIUM","HIGH"))</f>
        <v>LOW</v>
      </c>
      <c r="AC903" t="str">
        <f>TEXT(ReconciliationData[[#This Row],[Order_Date]],"YYYY-MM")</f>
        <v>2024-10</v>
      </c>
    </row>
    <row r="904" spans="1:29">
      <c r="A904" t="s">
        <v>2772</v>
      </c>
      <c r="B904" s="1">
        <v>45323</v>
      </c>
      <c r="C904" t="s">
        <v>1082</v>
      </c>
      <c r="D904" t="s">
        <v>775</v>
      </c>
      <c r="E904">
        <v>84</v>
      </c>
      <c r="F904" t="s">
        <v>2773</v>
      </c>
      <c r="G904">
        <v>84</v>
      </c>
      <c r="H904">
        <v>1231.8180000000002</v>
      </c>
      <c r="N904">
        <v>1231.8180000000002</v>
      </c>
      <c r="O904" s="1">
        <v>45048</v>
      </c>
      <c r="P904">
        <f>IF(ISBLANK(ReconciliationData[[#This Row],[Invoice_ID]]),1,0)</f>
        <v>0</v>
      </c>
      <c r="Q904">
        <f>IF(AND(NOT(ISBLANK(ReconciliationData[[#This Row],[Billed_Units]])),ReconciliationData[[#This Row],[ordered_units]]&lt;&gt;ReconciliationData[[#This Row],[Billed_Units]]),1,0)</f>
        <v>0</v>
      </c>
      <c r="R9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4">
        <f>IF(AND(NOT(ISBLANK(ReconciliationData[[#This Row],[Contract_Price]])),ReconciliationData[[#This Row],[Billed_Price]]&lt;&gt;ReconciliationData[[#This Row],[Contract_Price]]),1,0)</f>
        <v>0</v>
      </c>
      <c r="T904">
        <f>IF(AND(NOT(ISBLANK(ReconciliationData[[#This Row],[End_Date]])),ReconciliationData[[#This Row],[Order_Date]]&gt;ReconciliationData[[#This Row],[End_Date]]),1,0)</f>
        <v>0</v>
      </c>
      <c r="U904">
        <f>IF(AND(NOT(ISBLANK(ReconciliationData[[#This Row],[last_return_date]])),ReconciliationData[[#This Row],[last_return_date]]&gt;ReconciliationData[[#This Row],[Order_Date]]+60),1,0)</f>
        <v>0</v>
      </c>
      <c r="V904">
        <f>IF(ReconciliationData[[#This Row],[total_returned_units]]&gt;ReconciliationData[[#This Row],[ordered_units]],1,0)</f>
        <v>0</v>
      </c>
      <c r="W9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04">
        <f>ReconciliationData[[#This Row],[Billed_Units]]*ReconciliationData[[#This Row],[Billed_Price]]</f>
        <v>103472.71200000001</v>
      </c>
      <c r="Y904">
        <f>ReconciliationData[[#This Row],[ordered_units]]*ReconciliationData[[#This Row],[List_Price]]</f>
        <v>103472.71200000001</v>
      </c>
      <c r="Z904">
        <f>ReconciliationData[[#This Row],[billed_revenue]]-ReconciliationData[[#This Row],[expected_revenue]]</f>
        <v>0</v>
      </c>
      <c r="AA9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04" t="str">
        <f>IF(ReconciliationData[[#This Row],[severity_score]]=0,"LOW",
 IF(ReconciliationData[[#This Row],[severity_score]]&lt;=5,"MEDIUM","HIGH"))</f>
        <v>LOW</v>
      </c>
      <c r="AC904" t="str">
        <f>TEXT(ReconciliationData[[#This Row],[Order_Date]],"YYYY-MM")</f>
        <v>2024-02</v>
      </c>
    </row>
    <row r="905" spans="1:29">
      <c r="A905" t="s">
        <v>2774</v>
      </c>
      <c r="B905" s="1">
        <v>45529</v>
      </c>
      <c r="C905" t="s">
        <v>2775</v>
      </c>
      <c r="D905" t="s">
        <v>190</v>
      </c>
      <c r="E905">
        <v>154</v>
      </c>
      <c r="F905" t="s">
        <v>2776</v>
      </c>
      <c r="G905">
        <v>154</v>
      </c>
      <c r="H905">
        <v>265.44960000000003</v>
      </c>
      <c r="N905">
        <v>265.44960000000003</v>
      </c>
      <c r="O905" s="1">
        <v>44999</v>
      </c>
      <c r="P905">
        <f>IF(ISBLANK(ReconciliationData[[#This Row],[Invoice_ID]]),1,0)</f>
        <v>0</v>
      </c>
      <c r="Q905">
        <f>IF(AND(NOT(ISBLANK(ReconciliationData[[#This Row],[Billed_Units]])),ReconciliationData[[#This Row],[ordered_units]]&lt;&gt;ReconciliationData[[#This Row],[Billed_Units]]),1,0)</f>
        <v>0</v>
      </c>
      <c r="R9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5">
        <f>IF(AND(NOT(ISBLANK(ReconciliationData[[#This Row],[Contract_Price]])),ReconciliationData[[#This Row],[Billed_Price]]&lt;&gt;ReconciliationData[[#This Row],[Contract_Price]]),1,0)</f>
        <v>0</v>
      </c>
      <c r="T905">
        <f>IF(AND(NOT(ISBLANK(ReconciliationData[[#This Row],[End_Date]])),ReconciliationData[[#This Row],[Order_Date]]&gt;ReconciliationData[[#This Row],[End_Date]]),1,0)</f>
        <v>0</v>
      </c>
      <c r="U905">
        <f>IF(AND(NOT(ISBLANK(ReconciliationData[[#This Row],[last_return_date]])),ReconciliationData[[#This Row],[last_return_date]]&gt;ReconciliationData[[#This Row],[Order_Date]]+60),1,0)</f>
        <v>0</v>
      </c>
      <c r="V905">
        <f>IF(ReconciliationData[[#This Row],[total_returned_units]]&gt;ReconciliationData[[#This Row],[ordered_units]],1,0)</f>
        <v>0</v>
      </c>
      <c r="W9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05">
        <f>ReconciliationData[[#This Row],[Billed_Units]]*ReconciliationData[[#This Row],[Billed_Price]]</f>
        <v>40879.238400000002</v>
      </c>
      <c r="Y905">
        <f>ReconciliationData[[#This Row],[ordered_units]]*ReconciliationData[[#This Row],[List_Price]]</f>
        <v>40879.238400000002</v>
      </c>
      <c r="Z905">
        <f>ReconciliationData[[#This Row],[billed_revenue]]-ReconciliationData[[#This Row],[expected_revenue]]</f>
        <v>0</v>
      </c>
      <c r="AA9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05" t="str">
        <f>IF(ReconciliationData[[#This Row],[severity_score]]=0,"LOW",
 IF(ReconciliationData[[#This Row],[severity_score]]&lt;=5,"MEDIUM","HIGH"))</f>
        <v>LOW</v>
      </c>
      <c r="AC905" t="str">
        <f>TEXT(ReconciliationData[[#This Row],[Order_Date]],"YYYY-MM")</f>
        <v>2024-08</v>
      </c>
    </row>
    <row r="906" spans="1:29">
      <c r="A906" t="s">
        <v>2777</v>
      </c>
      <c r="B906" s="1">
        <v>45415</v>
      </c>
      <c r="C906" t="s">
        <v>2778</v>
      </c>
      <c r="D906" t="s">
        <v>370</v>
      </c>
      <c r="E906">
        <v>116</v>
      </c>
      <c r="F906" t="s">
        <v>2779</v>
      </c>
      <c r="G906">
        <v>118</v>
      </c>
      <c r="H906">
        <v>639.91840000000002</v>
      </c>
      <c r="N906">
        <v>639.91840000000002</v>
      </c>
      <c r="O906" s="1">
        <v>44930</v>
      </c>
      <c r="P906">
        <f>IF(ISBLANK(ReconciliationData[[#This Row],[Invoice_ID]]),1,0)</f>
        <v>0</v>
      </c>
      <c r="Q906">
        <f>IF(AND(NOT(ISBLANK(ReconciliationData[[#This Row],[Billed_Units]])),ReconciliationData[[#This Row],[ordered_units]]&lt;&gt;ReconciliationData[[#This Row],[Billed_Units]]),1,0)</f>
        <v>1</v>
      </c>
      <c r="R9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6">
        <f>IF(AND(NOT(ISBLANK(ReconciliationData[[#This Row],[Contract_Price]])),ReconciliationData[[#This Row],[Billed_Price]]&lt;&gt;ReconciliationData[[#This Row],[Contract_Price]]),1,0)</f>
        <v>0</v>
      </c>
      <c r="T906">
        <f>IF(AND(NOT(ISBLANK(ReconciliationData[[#This Row],[End_Date]])),ReconciliationData[[#This Row],[Order_Date]]&gt;ReconciliationData[[#This Row],[End_Date]]),1,0)</f>
        <v>0</v>
      </c>
      <c r="U906">
        <f>IF(AND(NOT(ISBLANK(ReconciliationData[[#This Row],[last_return_date]])),ReconciliationData[[#This Row],[last_return_date]]&gt;ReconciliationData[[#This Row],[Order_Date]]+60),1,0)</f>
        <v>0</v>
      </c>
      <c r="V906">
        <f>IF(ReconciliationData[[#This Row],[total_returned_units]]&gt;ReconciliationData[[#This Row],[ordered_units]],1,0)</f>
        <v>0</v>
      </c>
      <c r="W9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06">
        <f>ReconciliationData[[#This Row],[Billed_Units]]*ReconciliationData[[#This Row],[Billed_Price]]</f>
        <v>75510.371200000009</v>
      </c>
      <c r="Y906">
        <f>ReconciliationData[[#This Row],[ordered_units]]*ReconciliationData[[#This Row],[List_Price]]</f>
        <v>74230.534400000004</v>
      </c>
      <c r="Z906">
        <f>ReconciliationData[[#This Row],[billed_revenue]]-ReconciliationData[[#This Row],[expected_revenue]]</f>
        <v>1279.8368000000046</v>
      </c>
      <c r="AA9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906" t="str">
        <f>IF(ReconciliationData[[#This Row],[severity_score]]=0,"LOW",
 IF(ReconciliationData[[#This Row],[severity_score]]&lt;=5,"MEDIUM","HIGH"))</f>
        <v>HIGH</v>
      </c>
      <c r="AC906" t="str">
        <f>TEXT(ReconciliationData[[#This Row],[Order_Date]],"YYYY-MM")</f>
        <v>2024-05</v>
      </c>
    </row>
    <row r="907" spans="1:29">
      <c r="A907" t="s">
        <v>2780</v>
      </c>
      <c r="B907" s="1">
        <v>45409</v>
      </c>
      <c r="C907" t="s">
        <v>1178</v>
      </c>
      <c r="D907" t="s">
        <v>658</v>
      </c>
      <c r="E907">
        <v>125</v>
      </c>
      <c r="F907" t="s">
        <v>2781</v>
      </c>
      <c r="G907">
        <v>125</v>
      </c>
      <c r="H907">
        <v>88.578000000000003</v>
      </c>
      <c r="N907">
        <v>88.578000000000003</v>
      </c>
      <c r="O907" s="1">
        <v>45107</v>
      </c>
      <c r="P907">
        <f>IF(ISBLANK(ReconciliationData[[#This Row],[Invoice_ID]]),1,0)</f>
        <v>0</v>
      </c>
      <c r="Q907">
        <f>IF(AND(NOT(ISBLANK(ReconciliationData[[#This Row],[Billed_Units]])),ReconciliationData[[#This Row],[ordered_units]]&lt;&gt;ReconciliationData[[#This Row],[Billed_Units]]),1,0)</f>
        <v>0</v>
      </c>
      <c r="R9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7">
        <f>IF(AND(NOT(ISBLANK(ReconciliationData[[#This Row],[Contract_Price]])),ReconciliationData[[#This Row],[Billed_Price]]&lt;&gt;ReconciliationData[[#This Row],[Contract_Price]]),1,0)</f>
        <v>0</v>
      </c>
      <c r="T907">
        <f>IF(AND(NOT(ISBLANK(ReconciliationData[[#This Row],[End_Date]])),ReconciliationData[[#This Row],[Order_Date]]&gt;ReconciliationData[[#This Row],[End_Date]]),1,0)</f>
        <v>0</v>
      </c>
      <c r="U907">
        <f>IF(AND(NOT(ISBLANK(ReconciliationData[[#This Row],[last_return_date]])),ReconciliationData[[#This Row],[last_return_date]]&gt;ReconciliationData[[#This Row],[Order_Date]]+60),1,0)</f>
        <v>0</v>
      </c>
      <c r="V907">
        <f>IF(ReconciliationData[[#This Row],[total_returned_units]]&gt;ReconciliationData[[#This Row],[ordered_units]],1,0)</f>
        <v>0</v>
      </c>
      <c r="W9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07">
        <f>ReconciliationData[[#This Row],[Billed_Units]]*ReconciliationData[[#This Row],[Billed_Price]]</f>
        <v>11072.25</v>
      </c>
      <c r="Y907">
        <f>ReconciliationData[[#This Row],[ordered_units]]*ReconciliationData[[#This Row],[List_Price]]</f>
        <v>11072.25</v>
      </c>
      <c r="Z907">
        <f>ReconciliationData[[#This Row],[billed_revenue]]-ReconciliationData[[#This Row],[expected_revenue]]</f>
        <v>0</v>
      </c>
      <c r="AA9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07" t="str">
        <f>IF(ReconciliationData[[#This Row],[severity_score]]=0,"LOW",
 IF(ReconciliationData[[#This Row],[severity_score]]&lt;=5,"MEDIUM","HIGH"))</f>
        <v>LOW</v>
      </c>
      <c r="AC907" t="str">
        <f>TEXT(ReconciliationData[[#This Row],[Order_Date]],"YYYY-MM")</f>
        <v>2024-04</v>
      </c>
    </row>
    <row r="908" spans="1:29">
      <c r="A908" t="s">
        <v>2782</v>
      </c>
      <c r="B908" s="1">
        <v>44953</v>
      </c>
      <c r="C908" t="s">
        <v>149</v>
      </c>
      <c r="D908" t="s">
        <v>231</v>
      </c>
      <c r="E908">
        <v>41</v>
      </c>
      <c r="F908" t="s">
        <v>2783</v>
      </c>
      <c r="G908">
        <v>41</v>
      </c>
      <c r="H908">
        <v>74.271000000000001</v>
      </c>
      <c r="I908">
        <v>2</v>
      </c>
      <c r="J908" s="1">
        <v>45180</v>
      </c>
      <c r="N908">
        <v>74.271000000000001</v>
      </c>
      <c r="O908" s="1">
        <v>44935</v>
      </c>
      <c r="P908">
        <f>IF(ISBLANK(ReconciliationData[[#This Row],[Invoice_ID]]),1,0)</f>
        <v>0</v>
      </c>
      <c r="Q908">
        <f>IF(AND(NOT(ISBLANK(ReconciliationData[[#This Row],[Billed_Units]])),ReconciliationData[[#This Row],[ordered_units]]&lt;&gt;ReconciliationData[[#This Row],[Billed_Units]]),1,0)</f>
        <v>0</v>
      </c>
      <c r="R9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8">
        <f>IF(AND(NOT(ISBLANK(ReconciliationData[[#This Row],[Contract_Price]])),ReconciliationData[[#This Row],[Billed_Price]]&lt;&gt;ReconciliationData[[#This Row],[Contract_Price]]),1,0)</f>
        <v>0</v>
      </c>
      <c r="T908">
        <f>IF(AND(NOT(ISBLANK(ReconciliationData[[#This Row],[End_Date]])),ReconciliationData[[#This Row],[Order_Date]]&gt;ReconciliationData[[#This Row],[End_Date]]),1,0)</f>
        <v>0</v>
      </c>
      <c r="U908">
        <f>IF(AND(NOT(ISBLANK(ReconciliationData[[#This Row],[last_return_date]])),ReconciliationData[[#This Row],[last_return_date]]&gt;ReconciliationData[[#This Row],[Order_Date]]+60),1,0)</f>
        <v>1</v>
      </c>
      <c r="V908">
        <f>IF(ReconciliationData[[#This Row],[total_returned_units]]&gt;ReconciliationData[[#This Row],[ordered_units]],1,0)</f>
        <v>0</v>
      </c>
      <c r="W9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08">
        <f>ReconciliationData[[#This Row],[Billed_Units]]*ReconciliationData[[#This Row],[Billed_Price]]</f>
        <v>3045.1109999999999</v>
      </c>
      <c r="Y908">
        <f>ReconciliationData[[#This Row],[ordered_units]]*ReconciliationData[[#This Row],[List_Price]]</f>
        <v>3045.1109999999999</v>
      </c>
      <c r="Z908">
        <f>ReconciliationData[[#This Row],[billed_revenue]]-ReconciliationData[[#This Row],[expected_revenue]]</f>
        <v>0</v>
      </c>
      <c r="AA9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908" t="str">
        <f>IF(ReconciliationData[[#This Row],[severity_score]]=0,"LOW",
 IF(ReconciliationData[[#This Row],[severity_score]]&lt;=5,"MEDIUM","HIGH"))</f>
        <v>MEDIUM</v>
      </c>
      <c r="AC908" t="str">
        <f>TEXT(ReconciliationData[[#This Row],[Order_Date]],"YYYY-MM")</f>
        <v>2023-01</v>
      </c>
    </row>
    <row r="909" spans="1:29">
      <c r="A909" t="s">
        <v>2784</v>
      </c>
      <c r="B909" s="1">
        <v>45253</v>
      </c>
      <c r="C909" t="s">
        <v>666</v>
      </c>
      <c r="D909" t="s">
        <v>263</v>
      </c>
      <c r="E909">
        <v>185</v>
      </c>
      <c r="F909" t="s">
        <v>2785</v>
      </c>
      <c r="G909">
        <v>185</v>
      </c>
      <c r="H909">
        <v>1147.3289</v>
      </c>
      <c r="N909">
        <v>1147.3289</v>
      </c>
      <c r="O909" s="1">
        <v>44945</v>
      </c>
      <c r="P909">
        <f>IF(ISBLANK(ReconciliationData[[#This Row],[Invoice_ID]]),1,0)</f>
        <v>0</v>
      </c>
      <c r="Q909">
        <f>IF(AND(NOT(ISBLANK(ReconciliationData[[#This Row],[Billed_Units]])),ReconciliationData[[#This Row],[ordered_units]]&lt;&gt;ReconciliationData[[#This Row],[Billed_Units]]),1,0)</f>
        <v>0</v>
      </c>
      <c r="R9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09">
        <f>IF(AND(NOT(ISBLANK(ReconciliationData[[#This Row],[Contract_Price]])),ReconciliationData[[#This Row],[Billed_Price]]&lt;&gt;ReconciliationData[[#This Row],[Contract_Price]]),1,0)</f>
        <v>0</v>
      </c>
      <c r="T909">
        <f>IF(AND(NOT(ISBLANK(ReconciliationData[[#This Row],[End_Date]])),ReconciliationData[[#This Row],[Order_Date]]&gt;ReconciliationData[[#This Row],[End_Date]]),1,0)</f>
        <v>0</v>
      </c>
      <c r="U909">
        <f>IF(AND(NOT(ISBLANK(ReconciliationData[[#This Row],[last_return_date]])),ReconciliationData[[#This Row],[last_return_date]]&gt;ReconciliationData[[#This Row],[Order_Date]]+60),1,0)</f>
        <v>0</v>
      </c>
      <c r="V909">
        <f>IF(ReconciliationData[[#This Row],[total_returned_units]]&gt;ReconciliationData[[#This Row],[ordered_units]],1,0)</f>
        <v>0</v>
      </c>
      <c r="W9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09">
        <f>ReconciliationData[[#This Row],[Billed_Units]]*ReconciliationData[[#This Row],[Billed_Price]]</f>
        <v>212255.84649999999</v>
      </c>
      <c r="Y909">
        <f>ReconciliationData[[#This Row],[ordered_units]]*ReconciliationData[[#This Row],[List_Price]]</f>
        <v>212255.84649999999</v>
      </c>
      <c r="Z909">
        <f>ReconciliationData[[#This Row],[billed_revenue]]-ReconciliationData[[#This Row],[expected_revenue]]</f>
        <v>0</v>
      </c>
      <c r="AA9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09" t="str">
        <f>IF(ReconciliationData[[#This Row],[severity_score]]=0,"LOW",
 IF(ReconciliationData[[#This Row],[severity_score]]&lt;=5,"MEDIUM","HIGH"))</f>
        <v>LOW</v>
      </c>
      <c r="AC909" t="str">
        <f>TEXT(ReconciliationData[[#This Row],[Order_Date]],"YYYY-MM")</f>
        <v>2023-11</v>
      </c>
    </row>
    <row r="910" spans="1:29">
      <c r="A910" t="s">
        <v>2786</v>
      </c>
      <c r="B910" s="1">
        <v>45611</v>
      </c>
      <c r="C910" t="s">
        <v>1993</v>
      </c>
      <c r="D910" t="s">
        <v>782</v>
      </c>
      <c r="E910">
        <v>101</v>
      </c>
      <c r="F910" t="s">
        <v>2787</v>
      </c>
      <c r="G910">
        <v>109</v>
      </c>
      <c r="H910">
        <v>216.2484</v>
      </c>
      <c r="N910">
        <v>216.2484</v>
      </c>
      <c r="O910" s="1">
        <v>44944</v>
      </c>
      <c r="P910">
        <f>IF(ISBLANK(ReconciliationData[[#This Row],[Invoice_ID]]),1,0)</f>
        <v>0</v>
      </c>
      <c r="Q910">
        <f>IF(AND(NOT(ISBLANK(ReconciliationData[[#This Row],[Billed_Units]])),ReconciliationData[[#This Row],[ordered_units]]&lt;&gt;ReconciliationData[[#This Row],[Billed_Units]]),1,0)</f>
        <v>1</v>
      </c>
      <c r="R9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10">
        <f>IF(AND(NOT(ISBLANK(ReconciliationData[[#This Row],[Contract_Price]])),ReconciliationData[[#This Row],[Billed_Price]]&lt;&gt;ReconciliationData[[#This Row],[Contract_Price]]),1,0)</f>
        <v>0</v>
      </c>
      <c r="T910">
        <f>IF(AND(NOT(ISBLANK(ReconciliationData[[#This Row],[End_Date]])),ReconciliationData[[#This Row],[Order_Date]]&gt;ReconciliationData[[#This Row],[End_Date]]),1,0)</f>
        <v>0</v>
      </c>
      <c r="U910">
        <f>IF(AND(NOT(ISBLANK(ReconciliationData[[#This Row],[last_return_date]])),ReconciliationData[[#This Row],[last_return_date]]&gt;ReconciliationData[[#This Row],[Order_Date]]+60),1,0)</f>
        <v>0</v>
      </c>
      <c r="V910">
        <f>IF(ReconciliationData[[#This Row],[total_returned_units]]&gt;ReconciliationData[[#This Row],[ordered_units]],1,0)</f>
        <v>0</v>
      </c>
      <c r="W9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10">
        <f>ReconciliationData[[#This Row],[Billed_Units]]*ReconciliationData[[#This Row],[Billed_Price]]</f>
        <v>23571.0756</v>
      </c>
      <c r="Y910">
        <f>ReconciliationData[[#This Row],[ordered_units]]*ReconciliationData[[#This Row],[List_Price]]</f>
        <v>21841.088400000001</v>
      </c>
      <c r="Z910">
        <f>ReconciliationData[[#This Row],[billed_revenue]]-ReconciliationData[[#This Row],[expected_revenue]]</f>
        <v>1729.9871999999996</v>
      </c>
      <c r="AA9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910" t="str">
        <f>IF(ReconciliationData[[#This Row],[severity_score]]=0,"LOW",
 IF(ReconciliationData[[#This Row],[severity_score]]&lt;=5,"MEDIUM","HIGH"))</f>
        <v>HIGH</v>
      </c>
      <c r="AC910" t="str">
        <f>TEXT(ReconciliationData[[#This Row],[Order_Date]],"YYYY-MM")</f>
        <v>2024-11</v>
      </c>
    </row>
    <row r="911" spans="1:29">
      <c r="A911" t="s">
        <v>2788</v>
      </c>
      <c r="B911" s="1">
        <v>45151</v>
      </c>
      <c r="C911" t="s">
        <v>2789</v>
      </c>
      <c r="D911" t="s">
        <v>1961</v>
      </c>
      <c r="E911">
        <v>190</v>
      </c>
      <c r="F911" t="s">
        <v>2790</v>
      </c>
      <c r="G911">
        <v>190</v>
      </c>
      <c r="H911">
        <v>717.0471</v>
      </c>
      <c r="N911">
        <v>717.0471</v>
      </c>
      <c r="O911" s="1">
        <v>44984</v>
      </c>
      <c r="P911">
        <f>IF(ISBLANK(ReconciliationData[[#This Row],[Invoice_ID]]),1,0)</f>
        <v>0</v>
      </c>
      <c r="Q911">
        <f>IF(AND(NOT(ISBLANK(ReconciliationData[[#This Row],[Billed_Units]])),ReconciliationData[[#This Row],[ordered_units]]&lt;&gt;ReconciliationData[[#This Row],[Billed_Units]]),1,0)</f>
        <v>0</v>
      </c>
      <c r="R9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11">
        <f>IF(AND(NOT(ISBLANK(ReconciliationData[[#This Row],[Contract_Price]])),ReconciliationData[[#This Row],[Billed_Price]]&lt;&gt;ReconciliationData[[#This Row],[Contract_Price]]),1,0)</f>
        <v>0</v>
      </c>
      <c r="T911">
        <f>IF(AND(NOT(ISBLANK(ReconciliationData[[#This Row],[End_Date]])),ReconciliationData[[#This Row],[Order_Date]]&gt;ReconciliationData[[#This Row],[End_Date]]),1,0)</f>
        <v>0</v>
      </c>
      <c r="U911">
        <f>IF(AND(NOT(ISBLANK(ReconciliationData[[#This Row],[last_return_date]])),ReconciliationData[[#This Row],[last_return_date]]&gt;ReconciliationData[[#This Row],[Order_Date]]+60),1,0)</f>
        <v>0</v>
      </c>
      <c r="V911">
        <f>IF(ReconciliationData[[#This Row],[total_returned_units]]&gt;ReconciliationData[[#This Row],[ordered_units]],1,0)</f>
        <v>0</v>
      </c>
      <c r="W9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11">
        <f>ReconciliationData[[#This Row],[Billed_Units]]*ReconciliationData[[#This Row],[Billed_Price]]</f>
        <v>136238.94899999999</v>
      </c>
      <c r="Y911">
        <f>ReconciliationData[[#This Row],[ordered_units]]*ReconciliationData[[#This Row],[List_Price]]</f>
        <v>136238.94899999999</v>
      </c>
      <c r="Z911">
        <f>ReconciliationData[[#This Row],[billed_revenue]]-ReconciliationData[[#This Row],[expected_revenue]]</f>
        <v>0</v>
      </c>
      <c r="AA9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11" t="str">
        <f>IF(ReconciliationData[[#This Row],[severity_score]]=0,"LOW",
 IF(ReconciliationData[[#This Row],[severity_score]]&lt;=5,"MEDIUM","HIGH"))</f>
        <v>LOW</v>
      </c>
      <c r="AC911" t="str">
        <f>TEXT(ReconciliationData[[#This Row],[Order_Date]],"YYYY-MM")</f>
        <v>2023-08</v>
      </c>
    </row>
    <row r="912" spans="1:29">
      <c r="A912" t="s">
        <v>2791</v>
      </c>
      <c r="B912" s="1">
        <v>45415</v>
      </c>
      <c r="C912" t="s">
        <v>444</v>
      </c>
      <c r="D912" t="s">
        <v>533</v>
      </c>
      <c r="E912">
        <v>136</v>
      </c>
      <c r="F912" t="s">
        <v>2792</v>
      </c>
      <c r="G912">
        <v>132</v>
      </c>
      <c r="H912">
        <v>833.73500000000001</v>
      </c>
      <c r="N912">
        <v>833.73500000000001</v>
      </c>
      <c r="O912" s="1">
        <v>45167</v>
      </c>
      <c r="P912">
        <f>IF(ISBLANK(ReconciliationData[[#This Row],[Invoice_ID]]),1,0)</f>
        <v>0</v>
      </c>
      <c r="Q912">
        <f>IF(AND(NOT(ISBLANK(ReconciliationData[[#This Row],[Billed_Units]])),ReconciliationData[[#This Row],[ordered_units]]&lt;&gt;ReconciliationData[[#This Row],[Billed_Units]]),1,0)</f>
        <v>1</v>
      </c>
      <c r="R9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12">
        <f>IF(AND(NOT(ISBLANK(ReconciliationData[[#This Row],[Contract_Price]])),ReconciliationData[[#This Row],[Billed_Price]]&lt;&gt;ReconciliationData[[#This Row],[Contract_Price]]),1,0)</f>
        <v>0</v>
      </c>
      <c r="T912">
        <f>IF(AND(NOT(ISBLANK(ReconciliationData[[#This Row],[End_Date]])),ReconciliationData[[#This Row],[Order_Date]]&gt;ReconciliationData[[#This Row],[End_Date]]),1,0)</f>
        <v>0</v>
      </c>
      <c r="U912">
        <f>IF(AND(NOT(ISBLANK(ReconciliationData[[#This Row],[last_return_date]])),ReconciliationData[[#This Row],[last_return_date]]&gt;ReconciliationData[[#This Row],[Order_Date]]+60),1,0)</f>
        <v>0</v>
      </c>
      <c r="V912">
        <f>IF(ReconciliationData[[#This Row],[total_returned_units]]&gt;ReconciliationData[[#This Row],[ordered_units]],1,0)</f>
        <v>0</v>
      </c>
      <c r="W9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12">
        <f>ReconciliationData[[#This Row],[Billed_Units]]*ReconciliationData[[#This Row],[Billed_Price]]</f>
        <v>110053.02</v>
      </c>
      <c r="Y912">
        <f>ReconciliationData[[#This Row],[ordered_units]]*ReconciliationData[[#This Row],[List_Price]]</f>
        <v>113387.96</v>
      </c>
      <c r="Z912">
        <f>ReconciliationData[[#This Row],[billed_revenue]]-ReconciliationData[[#This Row],[expected_revenue]]</f>
        <v>-3334.9400000000023</v>
      </c>
      <c r="AA9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912" t="str">
        <f>IF(ReconciliationData[[#This Row],[severity_score]]=0,"LOW",
 IF(ReconciliationData[[#This Row],[severity_score]]&lt;=5,"MEDIUM","HIGH"))</f>
        <v>HIGH</v>
      </c>
      <c r="AC912" t="str">
        <f>TEXT(ReconciliationData[[#This Row],[Order_Date]],"YYYY-MM")</f>
        <v>2024-05</v>
      </c>
    </row>
    <row r="913" spans="1:29">
      <c r="A913" t="s">
        <v>2793</v>
      </c>
      <c r="B913" s="1">
        <v>45591</v>
      </c>
      <c r="C913" t="s">
        <v>2494</v>
      </c>
      <c r="D913" t="s">
        <v>360</v>
      </c>
      <c r="E913">
        <v>164</v>
      </c>
      <c r="F913" t="s">
        <v>2794</v>
      </c>
      <c r="G913">
        <v>164</v>
      </c>
      <c r="H913">
        <v>465.21179999999998</v>
      </c>
      <c r="N913">
        <v>465.21179999999998</v>
      </c>
      <c r="O913" s="1">
        <v>45137</v>
      </c>
      <c r="P913">
        <f>IF(ISBLANK(ReconciliationData[[#This Row],[Invoice_ID]]),1,0)</f>
        <v>0</v>
      </c>
      <c r="Q913">
        <f>IF(AND(NOT(ISBLANK(ReconciliationData[[#This Row],[Billed_Units]])),ReconciliationData[[#This Row],[ordered_units]]&lt;&gt;ReconciliationData[[#This Row],[Billed_Units]]),1,0)</f>
        <v>0</v>
      </c>
      <c r="R9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13">
        <f>IF(AND(NOT(ISBLANK(ReconciliationData[[#This Row],[Contract_Price]])),ReconciliationData[[#This Row],[Billed_Price]]&lt;&gt;ReconciliationData[[#This Row],[Contract_Price]]),1,0)</f>
        <v>0</v>
      </c>
      <c r="T913">
        <f>IF(AND(NOT(ISBLANK(ReconciliationData[[#This Row],[End_Date]])),ReconciliationData[[#This Row],[Order_Date]]&gt;ReconciliationData[[#This Row],[End_Date]]),1,0)</f>
        <v>0</v>
      </c>
      <c r="U913">
        <f>IF(AND(NOT(ISBLANK(ReconciliationData[[#This Row],[last_return_date]])),ReconciliationData[[#This Row],[last_return_date]]&gt;ReconciliationData[[#This Row],[Order_Date]]+60),1,0)</f>
        <v>0</v>
      </c>
      <c r="V913">
        <f>IF(ReconciliationData[[#This Row],[total_returned_units]]&gt;ReconciliationData[[#This Row],[ordered_units]],1,0)</f>
        <v>0</v>
      </c>
      <c r="W9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13">
        <f>ReconciliationData[[#This Row],[Billed_Units]]*ReconciliationData[[#This Row],[Billed_Price]]</f>
        <v>76294.735199999996</v>
      </c>
      <c r="Y913">
        <f>ReconciliationData[[#This Row],[ordered_units]]*ReconciliationData[[#This Row],[List_Price]]</f>
        <v>76294.735199999996</v>
      </c>
      <c r="Z913">
        <f>ReconciliationData[[#This Row],[billed_revenue]]-ReconciliationData[[#This Row],[expected_revenue]]</f>
        <v>0</v>
      </c>
      <c r="AA9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13" t="str">
        <f>IF(ReconciliationData[[#This Row],[severity_score]]=0,"LOW",
 IF(ReconciliationData[[#This Row],[severity_score]]&lt;=5,"MEDIUM","HIGH"))</f>
        <v>LOW</v>
      </c>
      <c r="AC913" t="str">
        <f>TEXT(ReconciliationData[[#This Row],[Order_Date]],"YYYY-MM")</f>
        <v>2024-10</v>
      </c>
    </row>
    <row r="914" spans="1:29">
      <c r="A914" t="s">
        <v>2795</v>
      </c>
      <c r="B914" s="1">
        <v>45411</v>
      </c>
      <c r="C914" t="s">
        <v>2796</v>
      </c>
      <c r="D914" t="s">
        <v>684</v>
      </c>
      <c r="E914">
        <v>136</v>
      </c>
      <c r="F914" t="s">
        <v>2797</v>
      </c>
      <c r="G914">
        <v>136</v>
      </c>
      <c r="H914">
        <v>75.620999999999995</v>
      </c>
      <c r="N914">
        <v>75.620999999999995</v>
      </c>
      <c r="O914" s="1">
        <v>45108</v>
      </c>
      <c r="P914">
        <f>IF(ISBLANK(ReconciliationData[[#This Row],[Invoice_ID]]),1,0)</f>
        <v>0</v>
      </c>
      <c r="Q914">
        <f>IF(AND(NOT(ISBLANK(ReconciliationData[[#This Row],[Billed_Units]])),ReconciliationData[[#This Row],[ordered_units]]&lt;&gt;ReconciliationData[[#This Row],[Billed_Units]]),1,0)</f>
        <v>0</v>
      </c>
      <c r="R9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14">
        <f>IF(AND(NOT(ISBLANK(ReconciliationData[[#This Row],[Contract_Price]])),ReconciliationData[[#This Row],[Billed_Price]]&lt;&gt;ReconciliationData[[#This Row],[Contract_Price]]),1,0)</f>
        <v>0</v>
      </c>
      <c r="T914">
        <f>IF(AND(NOT(ISBLANK(ReconciliationData[[#This Row],[End_Date]])),ReconciliationData[[#This Row],[Order_Date]]&gt;ReconciliationData[[#This Row],[End_Date]]),1,0)</f>
        <v>0</v>
      </c>
      <c r="U914">
        <f>IF(AND(NOT(ISBLANK(ReconciliationData[[#This Row],[last_return_date]])),ReconciliationData[[#This Row],[last_return_date]]&gt;ReconciliationData[[#This Row],[Order_Date]]+60),1,0)</f>
        <v>0</v>
      </c>
      <c r="V914">
        <f>IF(ReconciliationData[[#This Row],[total_returned_units]]&gt;ReconciliationData[[#This Row],[ordered_units]],1,0)</f>
        <v>0</v>
      </c>
      <c r="W9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14">
        <f>ReconciliationData[[#This Row],[Billed_Units]]*ReconciliationData[[#This Row],[Billed_Price]]</f>
        <v>10284.456</v>
      </c>
      <c r="Y914">
        <f>ReconciliationData[[#This Row],[ordered_units]]*ReconciliationData[[#This Row],[List_Price]]</f>
        <v>10284.456</v>
      </c>
      <c r="Z914">
        <f>ReconciliationData[[#This Row],[billed_revenue]]-ReconciliationData[[#This Row],[expected_revenue]]</f>
        <v>0</v>
      </c>
      <c r="AA9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14" t="str">
        <f>IF(ReconciliationData[[#This Row],[severity_score]]=0,"LOW",
 IF(ReconciliationData[[#This Row],[severity_score]]&lt;=5,"MEDIUM","HIGH"))</f>
        <v>LOW</v>
      </c>
      <c r="AC914" t="str">
        <f>TEXT(ReconciliationData[[#This Row],[Order_Date]],"YYYY-MM")</f>
        <v>2024-04</v>
      </c>
    </row>
    <row r="915" spans="1:29">
      <c r="A915" t="s">
        <v>2798</v>
      </c>
      <c r="B915" s="1">
        <v>45384</v>
      </c>
      <c r="C915" t="s">
        <v>1345</v>
      </c>
      <c r="D915" t="s">
        <v>1848</v>
      </c>
      <c r="E915">
        <v>175</v>
      </c>
      <c r="F915" t="s">
        <v>2799</v>
      </c>
      <c r="G915">
        <v>175</v>
      </c>
      <c r="H915">
        <v>93.091271058912639</v>
      </c>
      <c r="N915">
        <v>92.962000000000003</v>
      </c>
      <c r="O915" s="1">
        <v>45151</v>
      </c>
      <c r="P915">
        <f>IF(ISBLANK(ReconciliationData[[#This Row],[Invoice_ID]]),1,0)</f>
        <v>0</v>
      </c>
      <c r="Q915">
        <f>IF(AND(NOT(ISBLANK(ReconciliationData[[#This Row],[Billed_Units]])),ReconciliationData[[#This Row],[ordered_units]]&lt;&gt;ReconciliationData[[#This Row],[Billed_Units]]),1,0)</f>
        <v>0</v>
      </c>
      <c r="R91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915">
        <f>IF(AND(NOT(ISBLANK(ReconciliationData[[#This Row],[Contract_Price]])),ReconciliationData[[#This Row],[Billed_Price]]&lt;&gt;ReconciliationData[[#This Row],[Contract_Price]]),1,0)</f>
        <v>0</v>
      </c>
      <c r="T915">
        <f>IF(AND(NOT(ISBLANK(ReconciliationData[[#This Row],[End_Date]])),ReconciliationData[[#This Row],[Order_Date]]&gt;ReconciliationData[[#This Row],[End_Date]]),1,0)</f>
        <v>0</v>
      </c>
      <c r="U915">
        <f>IF(AND(NOT(ISBLANK(ReconciliationData[[#This Row],[last_return_date]])),ReconciliationData[[#This Row],[last_return_date]]&gt;ReconciliationData[[#This Row],[Order_Date]]+60),1,0)</f>
        <v>0</v>
      </c>
      <c r="V915">
        <f>IF(ReconciliationData[[#This Row],[total_returned_units]]&gt;ReconciliationData[[#This Row],[ordered_units]],1,0)</f>
        <v>0</v>
      </c>
      <c r="W9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15">
        <f>ReconciliationData[[#This Row],[Billed_Units]]*ReconciliationData[[#This Row],[Billed_Price]]</f>
        <v>16290.972435309712</v>
      </c>
      <c r="Y915">
        <f>ReconciliationData[[#This Row],[ordered_units]]*ReconciliationData[[#This Row],[List_Price]]</f>
        <v>16268.35</v>
      </c>
      <c r="Z915">
        <f>ReconciliationData[[#This Row],[billed_revenue]]-ReconciliationData[[#This Row],[expected_revenue]]</f>
        <v>22.622435309711364</v>
      </c>
      <c r="AA9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915" t="str">
        <f>IF(ReconciliationData[[#This Row],[severity_score]]=0,"LOW",
 IF(ReconciliationData[[#This Row],[severity_score]]&lt;=5,"MEDIUM","HIGH"))</f>
        <v>MEDIUM</v>
      </c>
      <c r="AC915" t="str">
        <f>TEXT(ReconciliationData[[#This Row],[Order_Date]],"YYYY-MM")</f>
        <v>2024-04</v>
      </c>
    </row>
    <row r="916" spans="1:29">
      <c r="A916" t="s">
        <v>2800</v>
      </c>
      <c r="B916" s="1">
        <v>45077</v>
      </c>
      <c r="C916" t="s">
        <v>1027</v>
      </c>
      <c r="D916" t="s">
        <v>1105</v>
      </c>
      <c r="E916">
        <v>80</v>
      </c>
      <c r="F916" t="s">
        <v>2801</v>
      </c>
      <c r="G916">
        <v>80</v>
      </c>
      <c r="H916">
        <v>860.25239999999997</v>
      </c>
      <c r="N916">
        <v>860.25239999999997</v>
      </c>
      <c r="O916" s="1">
        <v>44774</v>
      </c>
      <c r="P916">
        <f>IF(ISBLANK(ReconciliationData[[#This Row],[Invoice_ID]]),1,0)</f>
        <v>0</v>
      </c>
      <c r="Q916">
        <f>IF(AND(NOT(ISBLANK(ReconciliationData[[#This Row],[Billed_Units]])),ReconciliationData[[#This Row],[ordered_units]]&lt;&gt;ReconciliationData[[#This Row],[Billed_Units]]),1,0)</f>
        <v>0</v>
      </c>
      <c r="R9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16">
        <f>IF(AND(NOT(ISBLANK(ReconciliationData[[#This Row],[Contract_Price]])),ReconciliationData[[#This Row],[Billed_Price]]&lt;&gt;ReconciliationData[[#This Row],[Contract_Price]]),1,0)</f>
        <v>0</v>
      </c>
      <c r="T916">
        <f>IF(AND(NOT(ISBLANK(ReconciliationData[[#This Row],[End_Date]])),ReconciliationData[[#This Row],[Order_Date]]&gt;ReconciliationData[[#This Row],[End_Date]]),1,0)</f>
        <v>0</v>
      </c>
      <c r="U916">
        <f>IF(AND(NOT(ISBLANK(ReconciliationData[[#This Row],[last_return_date]])),ReconciliationData[[#This Row],[last_return_date]]&gt;ReconciliationData[[#This Row],[Order_Date]]+60),1,0)</f>
        <v>0</v>
      </c>
      <c r="V916">
        <f>IF(ReconciliationData[[#This Row],[total_returned_units]]&gt;ReconciliationData[[#This Row],[ordered_units]],1,0)</f>
        <v>0</v>
      </c>
      <c r="W9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16">
        <f>ReconciliationData[[#This Row],[Billed_Units]]*ReconciliationData[[#This Row],[Billed_Price]]</f>
        <v>68820.191999999995</v>
      </c>
      <c r="Y916">
        <f>ReconciliationData[[#This Row],[ordered_units]]*ReconciliationData[[#This Row],[List_Price]]</f>
        <v>68820.191999999995</v>
      </c>
      <c r="Z916">
        <f>ReconciliationData[[#This Row],[billed_revenue]]-ReconciliationData[[#This Row],[expected_revenue]]</f>
        <v>0</v>
      </c>
      <c r="AA9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16" t="str">
        <f>IF(ReconciliationData[[#This Row],[severity_score]]=0,"LOW",
 IF(ReconciliationData[[#This Row],[severity_score]]&lt;=5,"MEDIUM","HIGH"))</f>
        <v>LOW</v>
      </c>
      <c r="AC916" t="str">
        <f>TEXT(ReconciliationData[[#This Row],[Order_Date]],"YYYY-MM")</f>
        <v>2023-05</v>
      </c>
    </row>
    <row r="917" spans="1:29">
      <c r="A917" t="s">
        <v>2802</v>
      </c>
      <c r="B917" s="1">
        <v>45562</v>
      </c>
      <c r="C917" t="s">
        <v>1021</v>
      </c>
      <c r="D917" t="s">
        <v>1238</v>
      </c>
      <c r="E917">
        <v>85</v>
      </c>
      <c r="F917" t="s">
        <v>2803</v>
      </c>
      <c r="G917">
        <v>85</v>
      </c>
      <c r="H917">
        <v>355.32000000000005</v>
      </c>
      <c r="N917">
        <v>355.32000000000005</v>
      </c>
      <c r="O917" s="1">
        <v>45058</v>
      </c>
      <c r="P917">
        <f>IF(ISBLANK(ReconciliationData[[#This Row],[Invoice_ID]]),1,0)</f>
        <v>0</v>
      </c>
      <c r="Q917">
        <f>IF(AND(NOT(ISBLANK(ReconciliationData[[#This Row],[Billed_Units]])),ReconciliationData[[#This Row],[ordered_units]]&lt;&gt;ReconciliationData[[#This Row],[Billed_Units]]),1,0)</f>
        <v>0</v>
      </c>
      <c r="R9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17">
        <f>IF(AND(NOT(ISBLANK(ReconciliationData[[#This Row],[Contract_Price]])),ReconciliationData[[#This Row],[Billed_Price]]&lt;&gt;ReconciliationData[[#This Row],[Contract_Price]]),1,0)</f>
        <v>0</v>
      </c>
      <c r="T917">
        <f>IF(AND(NOT(ISBLANK(ReconciliationData[[#This Row],[End_Date]])),ReconciliationData[[#This Row],[Order_Date]]&gt;ReconciliationData[[#This Row],[End_Date]]),1,0)</f>
        <v>0</v>
      </c>
      <c r="U917">
        <f>IF(AND(NOT(ISBLANK(ReconciliationData[[#This Row],[last_return_date]])),ReconciliationData[[#This Row],[last_return_date]]&gt;ReconciliationData[[#This Row],[Order_Date]]+60),1,0)</f>
        <v>0</v>
      </c>
      <c r="V917">
        <f>IF(ReconciliationData[[#This Row],[total_returned_units]]&gt;ReconciliationData[[#This Row],[ordered_units]],1,0)</f>
        <v>0</v>
      </c>
      <c r="W9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17">
        <f>ReconciliationData[[#This Row],[Billed_Units]]*ReconciliationData[[#This Row],[Billed_Price]]</f>
        <v>30202.200000000004</v>
      </c>
      <c r="Y917">
        <f>ReconciliationData[[#This Row],[ordered_units]]*ReconciliationData[[#This Row],[List_Price]]</f>
        <v>30202.200000000004</v>
      </c>
      <c r="Z917">
        <f>ReconciliationData[[#This Row],[billed_revenue]]-ReconciliationData[[#This Row],[expected_revenue]]</f>
        <v>0</v>
      </c>
      <c r="AA9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17" t="str">
        <f>IF(ReconciliationData[[#This Row],[severity_score]]=0,"LOW",
 IF(ReconciliationData[[#This Row],[severity_score]]&lt;=5,"MEDIUM","HIGH"))</f>
        <v>LOW</v>
      </c>
      <c r="AC917" t="str">
        <f>TEXT(ReconciliationData[[#This Row],[Order_Date]],"YYYY-MM")</f>
        <v>2024-09</v>
      </c>
    </row>
    <row r="918" spans="1:29">
      <c r="A918" t="s">
        <v>2804</v>
      </c>
      <c r="B918" s="1">
        <v>45651</v>
      </c>
      <c r="C918" t="s">
        <v>620</v>
      </c>
      <c r="D918" t="s">
        <v>1420</v>
      </c>
      <c r="E918">
        <v>145</v>
      </c>
      <c r="F918" t="s">
        <v>2805</v>
      </c>
      <c r="G918">
        <v>145</v>
      </c>
      <c r="H918">
        <v>77.178600000000003</v>
      </c>
      <c r="N918">
        <v>77.178600000000003</v>
      </c>
      <c r="O918" s="1">
        <v>44975</v>
      </c>
      <c r="P918">
        <f>IF(ISBLANK(ReconciliationData[[#This Row],[Invoice_ID]]),1,0)</f>
        <v>0</v>
      </c>
      <c r="Q918">
        <f>IF(AND(NOT(ISBLANK(ReconciliationData[[#This Row],[Billed_Units]])),ReconciliationData[[#This Row],[ordered_units]]&lt;&gt;ReconciliationData[[#This Row],[Billed_Units]]),1,0)</f>
        <v>0</v>
      </c>
      <c r="R9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18">
        <f>IF(AND(NOT(ISBLANK(ReconciliationData[[#This Row],[Contract_Price]])),ReconciliationData[[#This Row],[Billed_Price]]&lt;&gt;ReconciliationData[[#This Row],[Contract_Price]]),1,0)</f>
        <v>0</v>
      </c>
      <c r="T918">
        <f>IF(AND(NOT(ISBLANK(ReconciliationData[[#This Row],[End_Date]])),ReconciliationData[[#This Row],[Order_Date]]&gt;ReconciliationData[[#This Row],[End_Date]]),1,0)</f>
        <v>0</v>
      </c>
      <c r="U918">
        <f>IF(AND(NOT(ISBLANK(ReconciliationData[[#This Row],[last_return_date]])),ReconciliationData[[#This Row],[last_return_date]]&gt;ReconciliationData[[#This Row],[Order_Date]]+60),1,0)</f>
        <v>0</v>
      </c>
      <c r="V918">
        <f>IF(ReconciliationData[[#This Row],[total_returned_units]]&gt;ReconciliationData[[#This Row],[ordered_units]],1,0)</f>
        <v>0</v>
      </c>
      <c r="W9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18">
        <f>ReconciliationData[[#This Row],[Billed_Units]]*ReconciliationData[[#This Row],[Billed_Price]]</f>
        <v>11190.897000000001</v>
      </c>
      <c r="Y918">
        <f>ReconciliationData[[#This Row],[ordered_units]]*ReconciliationData[[#This Row],[List_Price]]</f>
        <v>11190.897000000001</v>
      </c>
      <c r="Z918">
        <f>ReconciliationData[[#This Row],[billed_revenue]]-ReconciliationData[[#This Row],[expected_revenue]]</f>
        <v>0</v>
      </c>
      <c r="AA9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18" t="str">
        <f>IF(ReconciliationData[[#This Row],[severity_score]]=0,"LOW",
 IF(ReconciliationData[[#This Row],[severity_score]]&lt;=5,"MEDIUM","HIGH"))</f>
        <v>LOW</v>
      </c>
      <c r="AC918" t="str">
        <f>TEXT(ReconciliationData[[#This Row],[Order_Date]],"YYYY-MM")</f>
        <v>2024-12</v>
      </c>
    </row>
    <row r="919" spans="1:29">
      <c r="A919" t="s">
        <v>2806</v>
      </c>
      <c r="B919" s="1">
        <v>45179</v>
      </c>
      <c r="C919" t="s">
        <v>521</v>
      </c>
      <c r="D919" t="s">
        <v>1315</v>
      </c>
      <c r="E919">
        <v>168</v>
      </c>
      <c r="F919" t="s">
        <v>2807</v>
      </c>
      <c r="G919">
        <v>168</v>
      </c>
      <c r="H919">
        <v>334.24649999999997</v>
      </c>
      <c r="N919">
        <v>334.24649999999997</v>
      </c>
      <c r="O919" s="1">
        <v>45125</v>
      </c>
      <c r="P919">
        <f>IF(ISBLANK(ReconciliationData[[#This Row],[Invoice_ID]]),1,0)</f>
        <v>0</v>
      </c>
      <c r="Q919">
        <f>IF(AND(NOT(ISBLANK(ReconciliationData[[#This Row],[Billed_Units]])),ReconciliationData[[#This Row],[ordered_units]]&lt;&gt;ReconciliationData[[#This Row],[Billed_Units]]),1,0)</f>
        <v>0</v>
      </c>
      <c r="R9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19">
        <f>IF(AND(NOT(ISBLANK(ReconciliationData[[#This Row],[Contract_Price]])),ReconciliationData[[#This Row],[Billed_Price]]&lt;&gt;ReconciliationData[[#This Row],[Contract_Price]]),1,0)</f>
        <v>0</v>
      </c>
      <c r="T919">
        <f>IF(AND(NOT(ISBLANK(ReconciliationData[[#This Row],[End_Date]])),ReconciliationData[[#This Row],[Order_Date]]&gt;ReconciliationData[[#This Row],[End_Date]]),1,0)</f>
        <v>0</v>
      </c>
      <c r="U919">
        <f>IF(AND(NOT(ISBLANK(ReconciliationData[[#This Row],[last_return_date]])),ReconciliationData[[#This Row],[last_return_date]]&gt;ReconciliationData[[#This Row],[Order_Date]]+60),1,0)</f>
        <v>0</v>
      </c>
      <c r="V919">
        <f>IF(ReconciliationData[[#This Row],[total_returned_units]]&gt;ReconciliationData[[#This Row],[ordered_units]],1,0)</f>
        <v>0</v>
      </c>
      <c r="W9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19">
        <f>ReconciliationData[[#This Row],[Billed_Units]]*ReconciliationData[[#This Row],[Billed_Price]]</f>
        <v>56153.411999999997</v>
      </c>
      <c r="Y919">
        <f>ReconciliationData[[#This Row],[ordered_units]]*ReconciliationData[[#This Row],[List_Price]]</f>
        <v>56153.411999999997</v>
      </c>
      <c r="Z919">
        <f>ReconciliationData[[#This Row],[billed_revenue]]-ReconciliationData[[#This Row],[expected_revenue]]</f>
        <v>0</v>
      </c>
      <c r="AA9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19" t="str">
        <f>IF(ReconciliationData[[#This Row],[severity_score]]=0,"LOW",
 IF(ReconciliationData[[#This Row],[severity_score]]&lt;=5,"MEDIUM","HIGH"))</f>
        <v>LOW</v>
      </c>
      <c r="AC919" t="str">
        <f>TEXT(ReconciliationData[[#This Row],[Order_Date]],"YYYY-MM")</f>
        <v>2023-09</v>
      </c>
    </row>
    <row r="920" spans="1:29">
      <c r="A920" t="s">
        <v>2808</v>
      </c>
      <c r="B920" s="1">
        <v>45443</v>
      </c>
      <c r="C920" t="s">
        <v>2809</v>
      </c>
      <c r="D920" t="s">
        <v>898</v>
      </c>
      <c r="E920">
        <v>175</v>
      </c>
      <c r="F920" t="s">
        <v>2810</v>
      </c>
      <c r="G920">
        <v>175</v>
      </c>
      <c r="H920">
        <v>744.98490000000004</v>
      </c>
      <c r="I920">
        <v>15</v>
      </c>
      <c r="J920" s="1">
        <v>45470</v>
      </c>
      <c r="N920">
        <v>744.98490000000004</v>
      </c>
      <c r="O920" s="1">
        <v>45138</v>
      </c>
      <c r="P920">
        <f>IF(ISBLANK(ReconciliationData[[#This Row],[Invoice_ID]]),1,0)</f>
        <v>0</v>
      </c>
      <c r="Q920">
        <f>IF(AND(NOT(ISBLANK(ReconciliationData[[#This Row],[Billed_Units]])),ReconciliationData[[#This Row],[ordered_units]]&lt;&gt;ReconciliationData[[#This Row],[Billed_Units]]),1,0)</f>
        <v>0</v>
      </c>
      <c r="R9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0">
        <f>IF(AND(NOT(ISBLANK(ReconciliationData[[#This Row],[Contract_Price]])),ReconciliationData[[#This Row],[Billed_Price]]&lt;&gt;ReconciliationData[[#This Row],[Contract_Price]]),1,0)</f>
        <v>0</v>
      </c>
      <c r="T920">
        <f>IF(AND(NOT(ISBLANK(ReconciliationData[[#This Row],[End_Date]])),ReconciliationData[[#This Row],[Order_Date]]&gt;ReconciliationData[[#This Row],[End_Date]]),1,0)</f>
        <v>0</v>
      </c>
      <c r="U920">
        <f>IF(AND(NOT(ISBLANK(ReconciliationData[[#This Row],[last_return_date]])),ReconciliationData[[#This Row],[last_return_date]]&gt;ReconciliationData[[#This Row],[Order_Date]]+60),1,0)</f>
        <v>0</v>
      </c>
      <c r="V920">
        <f>IF(ReconciliationData[[#This Row],[total_returned_units]]&gt;ReconciliationData[[#This Row],[ordered_units]],1,0)</f>
        <v>0</v>
      </c>
      <c r="W9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20">
        <f>ReconciliationData[[#This Row],[Billed_Units]]*ReconciliationData[[#This Row],[Billed_Price]]</f>
        <v>130372.35750000001</v>
      </c>
      <c r="Y920">
        <f>ReconciliationData[[#This Row],[ordered_units]]*ReconciliationData[[#This Row],[List_Price]]</f>
        <v>130372.35750000001</v>
      </c>
      <c r="Z920">
        <f>ReconciliationData[[#This Row],[billed_revenue]]-ReconciliationData[[#This Row],[expected_revenue]]</f>
        <v>0</v>
      </c>
      <c r="AA9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20" t="str">
        <f>IF(ReconciliationData[[#This Row],[severity_score]]=0,"LOW",
 IF(ReconciliationData[[#This Row],[severity_score]]&lt;=5,"MEDIUM","HIGH"))</f>
        <v>LOW</v>
      </c>
      <c r="AC920" t="str">
        <f>TEXT(ReconciliationData[[#This Row],[Order_Date]],"YYYY-MM")</f>
        <v>2024-05</v>
      </c>
    </row>
    <row r="921" spans="1:29">
      <c r="A921" t="s">
        <v>2811</v>
      </c>
      <c r="B921" s="1">
        <v>45370</v>
      </c>
      <c r="C921" t="s">
        <v>1423</v>
      </c>
      <c r="D921" t="s">
        <v>1245</v>
      </c>
      <c r="E921">
        <v>117</v>
      </c>
      <c r="F921" t="s">
        <v>2812</v>
      </c>
      <c r="G921">
        <v>117</v>
      </c>
      <c r="H921">
        <v>247.48920000000001</v>
      </c>
      <c r="N921">
        <v>247.48920000000001</v>
      </c>
      <c r="O921" s="1">
        <v>45088</v>
      </c>
      <c r="P921">
        <f>IF(ISBLANK(ReconciliationData[[#This Row],[Invoice_ID]]),1,0)</f>
        <v>0</v>
      </c>
      <c r="Q921">
        <f>IF(AND(NOT(ISBLANK(ReconciliationData[[#This Row],[Billed_Units]])),ReconciliationData[[#This Row],[ordered_units]]&lt;&gt;ReconciliationData[[#This Row],[Billed_Units]]),1,0)</f>
        <v>0</v>
      </c>
      <c r="R9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1">
        <f>IF(AND(NOT(ISBLANK(ReconciliationData[[#This Row],[Contract_Price]])),ReconciliationData[[#This Row],[Billed_Price]]&lt;&gt;ReconciliationData[[#This Row],[Contract_Price]]),1,0)</f>
        <v>0</v>
      </c>
      <c r="T921">
        <f>IF(AND(NOT(ISBLANK(ReconciliationData[[#This Row],[End_Date]])),ReconciliationData[[#This Row],[Order_Date]]&gt;ReconciliationData[[#This Row],[End_Date]]),1,0)</f>
        <v>0</v>
      </c>
      <c r="U921">
        <f>IF(AND(NOT(ISBLANK(ReconciliationData[[#This Row],[last_return_date]])),ReconciliationData[[#This Row],[last_return_date]]&gt;ReconciliationData[[#This Row],[Order_Date]]+60),1,0)</f>
        <v>0</v>
      </c>
      <c r="V921">
        <f>IF(ReconciliationData[[#This Row],[total_returned_units]]&gt;ReconciliationData[[#This Row],[ordered_units]],1,0)</f>
        <v>0</v>
      </c>
      <c r="W9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21">
        <f>ReconciliationData[[#This Row],[Billed_Units]]*ReconciliationData[[#This Row],[Billed_Price]]</f>
        <v>28956.236400000002</v>
      </c>
      <c r="Y921">
        <f>ReconciliationData[[#This Row],[ordered_units]]*ReconciliationData[[#This Row],[List_Price]]</f>
        <v>28956.236400000002</v>
      </c>
      <c r="Z921">
        <f>ReconciliationData[[#This Row],[billed_revenue]]-ReconciliationData[[#This Row],[expected_revenue]]</f>
        <v>0</v>
      </c>
      <c r="AA9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21" t="str">
        <f>IF(ReconciliationData[[#This Row],[severity_score]]=0,"LOW",
 IF(ReconciliationData[[#This Row],[severity_score]]&lt;=5,"MEDIUM","HIGH"))</f>
        <v>LOW</v>
      </c>
      <c r="AC921" t="str">
        <f>TEXT(ReconciliationData[[#This Row],[Order_Date]],"YYYY-MM")</f>
        <v>2024-03</v>
      </c>
    </row>
    <row r="922" spans="1:29">
      <c r="A922" t="s">
        <v>2813</v>
      </c>
      <c r="B922" s="1">
        <v>45337</v>
      </c>
      <c r="C922" t="s">
        <v>2814</v>
      </c>
      <c r="D922" t="s">
        <v>863</v>
      </c>
      <c r="E922">
        <v>29</v>
      </c>
      <c r="F922" t="s">
        <v>2815</v>
      </c>
      <c r="G922">
        <v>29</v>
      </c>
      <c r="H922">
        <v>815.08680000000004</v>
      </c>
      <c r="N922">
        <v>815.08680000000004</v>
      </c>
      <c r="O922" s="1">
        <v>45062</v>
      </c>
      <c r="P922">
        <f>IF(ISBLANK(ReconciliationData[[#This Row],[Invoice_ID]]),1,0)</f>
        <v>0</v>
      </c>
      <c r="Q922">
        <f>IF(AND(NOT(ISBLANK(ReconciliationData[[#This Row],[Billed_Units]])),ReconciliationData[[#This Row],[ordered_units]]&lt;&gt;ReconciliationData[[#This Row],[Billed_Units]]),1,0)</f>
        <v>0</v>
      </c>
      <c r="R9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2">
        <f>IF(AND(NOT(ISBLANK(ReconciliationData[[#This Row],[Contract_Price]])),ReconciliationData[[#This Row],[Billed_Price]]&lt;&gt;ReconciliationData[[#This Row],[Contract_Price]]),1,0)</f>
        <v>0</v>
      </c>
      <c r="T922">
        <f>IF(AND(NOT(ISBLANK(ReconciliationData[[#This Row],[End_Date]])),ReconciliationData[[#This Row],[Order_Date]]&gt;ReconciliationData[[#This Row],[End_Date]]),1,0)</f>
        <v>0</v>
      </c>
      <c r="U922">
        <f>IF(AND(NOT(ISBLANK(ReconciliationData[[#This Row],[last_return_date]])),ReconciliationData[[#This Row],[last_return_date]]&gt;ReconciliationData[[#This Row],[Order_Date]]+60),1,0)</f>
        <v>0</v>
      </c>
      <c r="V922">
        <f>IF(ReconciliationData[[#This Row],[total_returned_units]]&gt;ReconciliationData[[#This Row],[ordered_units]],1,0)</f>
        <v>0</v>
      </c>
      <c r="W9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22">
        <f>ReconciliationData[[#This Row],[Billed_Units]]*ReconciliationData[[#This Row],[Billed_Price]]</f>
        <v>23637.517200000002</v>
      </c>
      <c r="Y922">
        <f>ReconciliationData[[#This Row],[ordered_units]]*ReconciliationData[[#This Row],[List_Price]]</f>
        <v>23637.517200000002</v>
      </c>
      <c r="Z922">
        <f>ReconciliationData[[#This Row],[billed_revenue]]-ReconciliationData[[#This Row],[expected_revenue]]</f>
        <v>0</v>
      </c>
      <c r="AA9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22" t="str">
        <f>IF(ReconciliationData[[#This Row],[severity_score]]=0,"LOW",
 IF(ReconciliationData[[#This Row],[severity_score]]&lt;=5,"MEDIUM","HIGH"))</f>
        <v>LOW</v>
      </c>
      <c r="AC922" t="str">
        <f>TEXT(ReconciliationData[[#This Row],[Order_Date]],"YYYY-MM")</f>
        <v>2024-02</v>
      </c>
    </row>
    <row r="923" spans="1:29">
      <c r="A923" t="s">
        <v>2816</v>
      </c>
      <c r="B923" s="1">
        <v>45495</v>
      </c>
      <c r="C923" t="s">
        <v>599</v>
      </c>
      <c r="D923" t="s">
        <v>624</v>
      </c>
      <c r="E923">
        <v>115</v>
      </c>
      <c r="F923" t="s">
        <v>2817</v>
      </c>
      <c r="G923">
        <v>115</v>
      </c>
      <c r="H923">
        <v>147.17669999999998</v>
      </c>
      <c r="N923">
        <v>147.17669999999998</v>
      </c>
      <c r="O923" s="1">
        <v>45039</v>
      </c>
      <c r="P923">
        <f>IF(ISBLANK(ReconciliationData[[#This Row],[Invoice_ID]]),1,0)</f>
        <v>0</v>
      </c>
      <c r="Q923">
        <f>IF(AND(NOT(ISBLANK(ReconciliationData[[#This Row],[Billed_Units]])),ReconciliationData[[#This Row],[ordered_units]]&lt;&gt;ReconciliationData[[#This Row],[Billed_Units]]),1,0)</f>
        <v>0</v>
      </c>
      <c r="R9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3">
        <f>IF(AND(NOT(ISBLANK(ReconciliationData[[#This Row],[Contract_Price]])),ReconciliationData[[#This Row],[Billed_Price]]&lt;&gt;ReconciliationData[[#This Row],[Contract_Price]]),1,0)</f>
        <v>0</v>
      </c>
      <c r="T923">
        <f>IF(AND(NOT(ISBLANK(ReconciliationData[[#This Row],[End_Date]])),ReconciliationData[[#This Row],[Order_Date]]&gt;ReconciliationData[[#This Row],[End_Date]]),1,0)</f>
        <v>0</v>
      </c>
      <c r="U923">
        <f>IF(AND(NOT(ISBLANK(ReconciliationData[[#This Row],[last_return_date]])),ReconciliationData[[#This Row],[last_return_date]]&gt;ReconciliationData[[#This Row],[Order_Date]]+60),1,0)</f>
        <v>0</v>
      </c>
      <c r="V923">
        <f>IF(ReconciliationData[[#This Row],[total_returned_units]]&gt;ReconciliationData[[#This Row],[ordered_units]],1,0)</f>
        <v>0</v>
      </c>
      <c r="W9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23">
        <f>ReconciliationData[[#This Row],[Billed_Units]]*ReconciliationData[[#This Row],[Billed_Price]]</f>
        <v>16925.320499999998</v>
      </c>
      <c r="Y923">
        <f>ReconciliationData[[#This Row],[ordered_units]]*ReconciliationData[[#This Row],[List_Price]]</f>
        <v>16925.320499999998</v>
      </c>
      <c r="Z923">
        <f>ReconciliationData[[#This Row],[billed_revenue]]-ReconciliationData[[#This Row],[expected_revenue]]</f>
        <v>0</v>
      </c>
      <c r="AA9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23" t="str">
        <f>IF(ReconciliationData[[#This Row],[severity_score]]=0,"LOW",
 IF(ReconciliationData[[#This Row],[severity_score]]&lt;=5,"MEDIUM","HIGH"))</f>
        <v>LOW</v>
      </c>
      <c r="AC923" t="str">
        <f>TEXT(ReconciliationData[[#This Row],[Order_Date]],"YYYY-MM")</f>
        <v>2024-07</v>
      </c>
    </row>
    <row r="924" spans="1:29">
      <c r="A924" t="s">
        <v>2818</v>
      </c>
      <c r="B924" s="1">
        <v>45281</v>
      </c>
      <c r="C924" t="s">
        <v>2819</v>
      </c>
      <c r="D924" t="s">
        <v>1794</v>
      </c>
      <c r="E924">
        <v>150</v>
      </c>
      <c r="F924" t="s">
        <v>2820</v>
      </c>
      <c r="G924">
        <v>150</v>
      </c>
      <c r="H924">
        <v>491.10239999999999</v>
      </c>
      <c r="N924">
        <v>491.10239999999999</v>
      </c>
      <c r="O924" s="1">
        <v>45187</v>
      </c>
      <c r="P924">
        <f>IF(ISBLANK(ReconciliationData[[#This Row],[Invoice_ID]]),1,0)</f>
        <v>0</v>
      </c>
      <c r="Q924">
        <f>IF(AND(NOT(ISBLANK(ReconciliationData[[#This Row],[Billed_Units]])),ReconciliationData[[#This Row],[ordered_units]]&lt;&gt;ReconciliationData[[#This Row],[Billed_Units]]),1,0)</f>
        <v>0</v>
      </c>
      <c r="R9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4">
        <f>IF(AND(NOT(ISBLANK(ReconciliationData[[#This Row],[Contract_Price]])),ReconciliationData[[#This Row],[Billed_Price]]&lt;&gt;ReconciliationData[[#This Row],[Contract_Price]]),1,0)</f>
        <v>0</v>
      </c>
      <c r="T924">
        <f>IF(AND(NOT(ISBLANK(ReconciliationData[[#This Row],[End_Date]])),ReconciliationData[[#This Row],[Order_Date]]&gt;ReconciliationData[[#This Row],[End_Date]]),1,0)</f>
        <v>0</v>
      </c>
      <c r="U924">
        <f>IF(AND(NOT(ISBLANK(ReconciliationData[[#This Row],[last_return_date]])),ReconciliationData[[#This Row],[last_return_date]]&gt;ReconciliationData[[#This Row],[Order_Date]]+60),1,0)</f>
        <v>0</v>
      </c>
      <c r="V924">
        <f>IF(ReconciliationData[[#This Row],[total_returned_units]]&gt;ReconciliationData[[#This Row],[ordered_units]],1,0)</f>
        <v>0</v>
      </c>
      <c r="W9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24">
        <f>ReconciliationData[[#This Row],[Billed_Units]]*ReconciliationData[[#This Row],[Billed_Price]]</f>
        <v>73665.36</v>
      </c>
      <c r="Y924">
        <f>ReconciliationData[[#This Row],[ordered_units]]*ReconciliationData[[#This Row],[List_Price]]</f>
        <v>73665.36</v>
      </c>
      <c r="Z924">
        <f>ReconciliationData[[#This Row],[billed_revenue]]-ReconciliationData[[#This Row],[expected_revenue]]</f>
        <v>0</v>
      </c>
      <c r="AA9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24" t="str">
        <f>IF(ReconciliationData[[#This Row],[severity_score]]=0,"LOW",
 IF(ReconciliationData[[#This Row],[severity_score]]&lt;=5,"MEDIUM","HIGH"))</f>
        <v>LOW</v>
      </c>
      <c r="AC924" t="str">
        <f>TEXT(ReconciliationData[[#This Row],[Order_Date]],"YYYY-MM")</f>
        <v>2023-12</v>
      </c>
    </row>
    <row r="925" spans="1:29">
      <c r="A925" t="s">
        <v>2821</v>
      </c>
      <c r="B925" s="1">
        <v>45276</v>
      </c>
      <c r="C925" t="s">
        <v>1244</v>
      </c>
      <c r="D925" t="s">
        <v>174</v>
      </c>
      <c r="E925">
        <v>181</v>
      </c>
      <c r="F925" t="s">
        <v>2822</v>
      </c>
      <c r="G925">
        <v>181</v>
      </c>
      <c r="H925">
        <v>461.69279999999998</v>
      </c>
      <c r="I925">
        <v>20</v>
      </c>
      <c r="J925" s="1">
        <v>45202</v>
      </c>
      <c r="N925">
        <v>461.69279999999998</v>
      </c>
      <c r="O925" s="1">
        <v>45031</v>
      </c>
      <c r="P925">
        <f>IF(ISBLANK(ReconciliationData[[#This Row],[Invoice_ID]]),1,0)</f>
        <v>0</v>
      </c>
      <c r="Q925">
        <f>IF(AND(NOT(ISBLANK(ReconciliationData[[#This Row],[Billed_Units]])),ReconciliationData[[#This Row],[ordered_units]]&lt;&gt;ReconciliationData[[#This Row],[Billed_Units]]),1,0)</f>
        <v>0</v>
      </c>
      <c r="R9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5">
        <f>IF(AND(NOT(ISBLANK(ReconciliationData[[#This Row],[Contract_Price]])),ReconciliationData[[#This Row],[Billed_Price]]&lt;&gt;ReconciliationData[[#This Row],[Contract_Price]]),1,0)</f>
        <v>0</v>
      </c>
      <c r="T925">
        <f>IF(AND(NOT(ISBLANK(ReconciliationData[[#This Row],[End_Date]])),ReconciliationData[[#This Row],[Order_Date]]&gt;ReconciliationData[[#This Row],[End_Date]]),1,0)</f>
        <v>0</v>
      </c>
      <c r="U925">
        <f>IF(AND(NOT(ISBLANK(ReconciliationData[[#This Row],[last_return_date]])),ReconciliationData[[#This Row],[last_return_date]]&gt;ReconciliationData[[#This Row],[Order_Date]]+60),1,0)</f>
        <v>0</v>
      </c>
      <c r="V925">
        <f>IF(ReconciliationData[[#This Row],[total_returned_units]]&gt;ReconciliationData[[#This Row],[ordered_units]],1,0)</f>
        <v>0</v>
      </c>
      <c r="W9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25">
        <f>ReconciliationData[[#This Row],[Billed_Units]]*ReconciliationData[[#This Row],[Billed_Price]]</f>
        <v>83566.396800000002</v>
      </c>
      <c r="Y925">
        <f>ReconciliationData[[#This Row],[ordered_units]]*ReconciliationData[[#This Row],[List_Price]]</f>
        <v>83566.396800000002</v>
      </c>
      <c r="Z925">
        <f>ReconciliationData[[#This Row],[billed_revenue]]-ReconciliationData[[#This Row],[expected_revenue]]</f>
        <v>0</v>
      </c>
      <c r="AA9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25" t="str">
        <f>IF(ReconciliationData[[#This Row],[severity_score]]=0,"LOW",
 IF(ReconciliationData[[#This Row],[severity_score]]&lt;=5,"MEDIUM","HIGH"))</f>
        <v>LOW</v>
      </c>
      <c r="AC925" t="str">
        <f>TEXT(ReconciliationData[[#This Row],[Order_Date]],"YYYY-MM")</f>
        <v>2023-12</v>
      </c>
    </row>
    <row r="926" spans="1:29">
      <c r="A926" t="s">
        <v>2823</v>
      </c>
      <c r="B926" s="1">
        <v>45064</v>
      </c>
      <c r="C926" t="s">
        <v>254</v>
      </c>
      <c r="D926" t="s">
        <v>1420</v>
      </c>
      <c r="E926">
        <v>65</v>
      </c>
      <c r="F926" t="s">
        <v>2824</v>
      </c>
      <c r="G926">
        <v>60</v>
      </c>
      <c r="H926">
        <v>77.178600000000003</v>
      </c>
      <c r="I926">
        <v>5</v>
      </c>
      <c r="J926" s="1">
        <v>45694</v>
      </c>
      <c r="N926">
        <v>77.178600000000003</v>
      </c>
      <c r="O926" s="1">
        <v>44975</v>
      </c>
      <c r="P926">
        <f>IF(ISBLANK(ReconciliationData[[#This Row],[Invoice_ID]]),1,0)</f>
        <v>0</v>
      </c>
      <c r="Q926">
        <f>IF(AND(NOT(ISBLANK(ReconciliationData[[#This Row],[Billed_Units]])),ReconciliationData[[#This Row],[ordered_units]]&lt;&gt;ReconciliationData[[#This Row],[Billed_Units]]),1,0)</f>
        <v>1</v>
      </c>
      <c r="R9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6">
        <f>IF(AND(NOT(ISBLANK(ReconciliationData[[#This Row],[Contract_Price]])),ReconciliationData[[#This Row],[Billed_Price]]&lt;&gt;ReconciliationData[[#This Row],[Contract_Price]]),1,0)</f>
        <v>0</v>
      </c>
      <c r="T926">
        <f>IF(AND(NOT(ISBLANK(ReconciliationData[[#This Row],[End_Date]])),ReconciliationData[[#This Row],[Order_Date]]&gt;ReconciliationData[[#This Row],[End_Date]]),1,0)</f>
        <v>0</v>
      </c>
      <c r="U926">
        <f>IF(AND(NOT(ISBLANK(ReconciliationData[[#This Row],[last_return_date]])),ReconciliationData[[#This Row],[last_return_date]]&gt;ReconciliationData[[#This Row],[Order_Date]]+60),1,0)</f>
        <v>1</v>
      </c>
      <c r="V926">
        <f>IF(ReconciliationData[[#This Row],[total_returned_units]]&gt;ReconciliationData[[#This Row],[ordered_units]],1,0)</f>
        <v>0</v>
      </c>
      <c r="W9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26">
        <f>ReconciliationData[[#This Row],[Billed_Units]]*ReconciliationData[[#This Row],[Billed_Price]]</f>
        <v>4630.7160000000003</v>
      </c>
      <c r="Y926">
        <f>ReconciliationData[[#This Row],[ordered_units]]*ReconciliationData[[#This Row],[List_Price]]</f>
        <v>5016.6090000000004</v>
      </c>
      <c r="Z926">
        <f>ReconciliationData[[#This Row],[billed_revenue]]-ReconciliationData[[#This Row],[expected_revenue]]</f>
        <v>-385.89300000000003</v>
      </c>
      <c r="AA9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5</v>
      </c>
      <c r="AB926" t="str">
        <f>IF(ReconciliationData[[#This Row],[severity_score]]=0,"LOW",
 IF(ReconciliationData[[#This Row],[severity_score]]&lt;=5,"MEDIUM","HIGH"))</f>
        <v>MEDIUM</v>
      </c>
      <c r="AC926" t="str">
        <f>TEXT(ReconciliationData[[#This Row],[Order_Date]],"YYYY-MM")</f>
        <v>2023-05</v>
      </c>
    </row>
    <row r="927" spans="1:29">
      <c r="A927" t="s">
        <v>2825</v>
      </c>
      <c r="B927" s="1">
        <v>45366</v>
      </c>
      <c r="C927" t="s">
        <v>1395</v>
      </c>
      <c r="D927" t="s">
        <v>1333</v>
      </c>
      <c r="E927">
        <v>175</v>
      </c>
      <c r="F927" t="s">
        <v>2826</v>
      </c>
      <c r="G927">
        <v>175</v>
      </c>
      <c r="H927">
        <v>418.93040000000002</v>
      </c>
      <c r="N927">
        <v>418.93040000000002</v>
      </c>
      <c r="O927" s="1">
        <v>45214</v>
      </c>
      <c r="P927">
        <f>IF(ISBLANK(ReconciliationData[[#This Row],[Invoice_ID]]),1,0)</f>
        <v>0</v>
      </c>
      <c r="Q927">
        <f>IF(AND(NOT(ISBLANK(ReconciliationData[[#This Row],[Billed_Units]])),ReconciliationData[[#This Row],[ordered_units]]&lt;&gt;ReconciliationData[[#This Row],[Billed_Units]]),1,0)</f>
        <v>0</v>
      </c>
      <c r="R9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7">
        <f>IF(AND(NOT(ISBLANK(ReconciliationData[[#This Row],[Contract_Price]])),ReconciliationData[[#This Row],[Billed_Price]]&lt;&gt;ReconciliationData[[#This Row],[Contract_Price]]),1,0)</f>
        <v>0</v>
      </c>
      <c r="T927">
        <f>IF(AND(NOT(ISBLANK(ReconciliationData[[#This Row],[End_Date]])),ReconciliationData[[#This Row],[Order_Date]]&gt;ReconciliationData[[#This Row],[End_Date]]),1,0)</f>
        <v>0</v>
      </c>
      <c r="U927">
        <f>IF(AND(NOT(ISBLANK(ReconciliationData[[#This Row],[last_return_date]])),ReconciliationData[[#This Row],[last_return_date]]&gt;ReconciliationData[[#This Row],[Order_Date]]+60),1,0)</f>
        <v>0</v>
      </c>
      <c r="V927">
        <f>IF(ReconciliationData[[#This Row],[total_returned_units]]&gt;ReconciliationData[[#This Row],[ordered_units]],1,0)</f>
        <v>0</v>
      </c>
      <c r="W9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27">
        <f>ReconciliationData[[#This Row],[Billed_Units]]*ReconciliationData[[#This Row],[Billed_Price]]</f>
        <v>73312.820000000007</v>
      </c>
      <c r="Y927">
        <f>ReconciliationData[[#This Row],[ordered_units]]*ReconciliationData[[#This Row],[List_Price]]</f>
        <v>73312.820000000007</v>
      </c>
      <c r="Z927">
        <f>ReconciliationData[[#This Row],[billed_revenue]]-ReconciliationData[[#This Row],[expected_revenue]]</f>
        <v>0</v>
      </c>
      <c r="AA9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27" t="str">
        <f>IF(ReconciliationData[[#This Row],[severity_score]]=0,"LOW",
 IF(ReconciliationData[[#This Row],[severity_score]]&lt;=5,"MEDIUM","HIGH"))</f>
        <v>LOW</v>
      </c>
      <c r="AC927" t="str">
        <f>TEXT(ReconciliationData[[#This Row],[Order_Date]],"YYYY-MM")</f>
        <v>2024-03</v>
      </c>
    </row>
    <row r="928" spans="1:29">
      <c r="A928" t="s">
        <v>2827</v>
      </c>
      <c r="B928" s="1">
        <v>45503</v>
      </c>
      <c r="C928" t="s">
        <v>2415</v>
      </c>
      <c r="D928" t="s">
        <v>381</v>
      </c>
      <c r="E928">
        <v>169</v>
      </c>
      <c r="F928" t="s">
        <v>2828</v>
      </c>
      <c r="G928">
        <v>169</v>
      </c>
      <c r="H928">
        <v>942.54840000000013</v>
      </c>
      <c r="N928">
        <v>942.54840000000013</v>
      </c>
      <c r="O928" s="1">
        <v>45086</v>
      </c>
      <c r="P928">
        <f>IF(ISBLANK(ReconciliationData[[#This Row],[Invoice_ID]]),1,0)</f>
        <v>0</v>
      </c>
      <c r="Q928">
        <f>IF(AND(NOT(ISBLANK(ReconciliationData[[#This Row],[Billed_Units]])),ReconciliationData[[#This Row],[ordered_units]]&lt;&gt;ReconciliationData[[#This Row],[Billed_Units]]),1,0)</f>
        <v>0</v>
      </c>
      <c r="R9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8">
        <f>IF(AND(NOT(ISBLANK(ReconciliationData[[#This Row],[Contract_Price]])),ReconciliationData[[#This Row],[Billed_Price]]&lt;&gt;ReconciliationData[[#This Row],[Contract_Price]]),1,0)</f>
        <v>0</v>
      </c>
      <c r="T928">
        <f>IF(AND(NOT(ISBLANK(ReconciliationData[[#This Row],[End_Date]])),ReconciliationData[[#This Row],[Order_Date]]&gt;ReconciliationData[[#This Row],[End_Date]]),1,0)</f>
        <v>0</v>
      </c>
      <c r="U928">
        <f>IF(AND(NOT(ISBLANK(ReconciliationData[[#This Row],[last_return_date]])),ReconciliationData[[#This Row],[last_return_date]]&gt;ReconciliationData[[#This Row],[Order_Date]]+60),1,0)</f>
        <v>0</v>
      </c>
      <c r="V928">
        <f>IF(ReconciliationData[[#This Row],[total_returned_units]]&gt;ReconciliationData[[#This Row],[ordered_units]],1,0)</f>
        <v>0</v>
      </c>
      <c r="W9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28">
        <f>ReconciliationData[[#This Row],[Billed_Units]]*ReconciliationData[[#This Row],[Billed_Price]]</f>
        <v>159290.67960000003</v>
      </c>
      <c r="Y928">
        <f>ReconciliationData[[#This Row],[ordered_units]]*ReconciliationData[[#This Row],[List_Price]]</f>
        <v>159290.67960000003</v>
      </c>
      <c r="Z928">
        <f>ReconciliationData[[#This Row],[billed_revenue]]-ReconciliationData[[#This Row],[expected_revenue]]</f>
        <v>0</v>
      </c>
      <c r="AA9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28" t="str">
        <f>IF(ReconciliationData[[#This Row],[severity_score]]=0,"LOW",
 IF(ReconciliationData[[#This Row],[severity_score]]&lt;=5,"MEDIUM","HIGH"))</f>
        <v>LOW</v>
      </c>
      <c r="AC928" t="str">
        <f>TEXT(ReconciliationData[[#This Row],[Order_Date]],"YYYY-MM")</f>
        <v>2024-07</v>
      </c>
    </row>
    <row r="929" spans="1:29">
      <c r="A929" t="s">
        <v>2829</v>
      </c>
      <c r="B929" s="1">
        <v>45580</v>
      </c>
      <c r="C929" t="s">
        <v>2830</v>
      </c>
      <c r="D929" t="s">
        <v>1754</v>
      </c>
      <c r="E929">
        <v>137</v>
      </c>
      <c r="F929" t="s">
        <v>2831</v>
      </c>
      <c r="G929">
        <v>137</v>
      </c>
      <c r="H929">
        <v>1072.2954</v>
      </c>
      <c r="N929">
        <v>1072.2954</v>
      </c>
      <c r="O929" s="1">
        <v>45120</v>
      </c>
      <c r="P929">
        <f>IF(ISBLANK(ReconciliationData[[#This Row],[Invoice_ID]]),1,0)</f>
        <v>0</v>
      </c>
      <c r="Q929">
        <f>IF(AND(NOT(ISBLANK(ReconciliationData[[#This Row],[Billed_Units]])),ReconciliationData[[#This Row],[ordered_units]]&lt;&gt;ReconciliationData[[#This Row],[Billed_Units]]),1,0)</f>
        <v>0</v>
      </c>
      <c r="R9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29">
        <f>IF(AND(NOT(ISBLANK(ReconciliationData[[#This Row],[Contract_Price]])),ReconciliationData[[#This Row],[Billed_Price]]&lt;&gt;ReconciliationData[[#This Row],[Contract_Price]]),1,0)</f>
        <v>0</v>
      </c>
      <c r="T929">
        <f>IF(AND(NOT(ISBLANK(ReconciliationData[[#This Row],[End_Date]])),ReconciliationData[[#This Row],[Order_Date]]&gt;ReconciliationData[[#This Row],[End_Date]]),1,0)</f>
        <v>0</v>
      </c>
      <c r="U929">
        <f>IF(AND(NOT(ISBLANK(ReconciliationData[[#This Row],[last_return_date]])),ReconciliationData[[#This Row],[last_return_date]]&gt;ReconciliationData[[#This Row],[Order_Date]]+60),1,0)</f>
        <v>0</v>
      </c>
      <c r="V929">
        <f>IF(ReconciliationData[[#This Row],[total_returned_units]]&gt;ReconciliationData[[#This Row],[ordered_units]],1,0)</f>
        <v>0</v>
      </c>
      <c r="W9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29">
        <f>ReconciliationData[[#This Row],[Billed_Units]]*ReconciliationData[[#This Row],[Billed_Price]]</f>
        <v>146904.46979999999</v>
      </c>
      <c r="Y929">
        <f>ReconciliationData[[#This Row],[ordered_units]]*ReconciliationData[[#This Row],[List_Price]]</f>
        <v>146904.46979999999</v>
      </c>
      <c r="Z929">
        <f>ReconciliationData[[#This Row],[billed_revenue]]-ReconciliationData[[#This Row],[expected_revenue]]</f>
        <v>0</v>
      </c>
      <c r="AA9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29" t="str">
        <f>IF(ReconciliationData[[#This Row],[severity_score]]=0,"LOW",
 IF(ReconciliationData[[#This Row],[severity_score]]&lt;=5,"MEDIUM","HIGH"))</f>
        <v>LOW</v>
      </c>
      <c r="AC929" t="str">
        <f>TEXT(ReconciliationData[[#This Row],[Order_Date]],"YYYY-MM")</f>
        <v>2024-10</v>
      </c>
    </row>
    <row r="930" spans="1:29">
      <c r="A930" t="s">
        <v>2832</v>
      </c>
      <c r="B930" s="1">
        <v>45056</v>
      </c>
      <c r="C930" t="s">
        <v>2833</v>
      </c>
      <c r="D930" t="s">
        <v>345</v>
      </c>
      <c r="E930">
        <v>97</v>
      </c>
      <c r="F930" t="s">
        <v>2834</v>
      </c>
      <c r="G930">
        <v>92</v>
      </c>
      <c r="H930">
        <v>574.3415</v>
      </c>
      <c r="N930">
        <v>574.3415</v>
      </c>
      <c r="O930" s="1">
        <v>44806</v>
      </c>
      <c r="P930">
        <f>IF(ISBLANK(ReconciliationData[[#This Row],[Invoice_ID]]),1,0)</f>
        <v>0</v>
      </c>
      <c r="Q930">
        <f>IF(AND(NOT(ISBLANK(ReconciliationData[[#This Row],[Billed_Units]])),ReconciliationData[[#This Row],[ordered_units]]&lt;&gt;ReconciliationData[[#This Row],[Billed_Units]]),1,0)</f>
        <v>1</v>
      </c>
      <c r="R9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30">
        <f>IF(AND(NOT(ISBLANK(ReconciliationData[[#This Row],[Contract_Price]])),ReconciliationData[[#This Row],[Billed_Price]]&lt;&gt;ReconciliationData[[#This Row],[Contract_Price]]),1,0)</f>
        <v>0</v>
      </c>
      <c r="T930">
        <f>IF(AND(NOT(ISBLANK(ReconciliationData[[#This Row],[End_Date]])),ReconciliationData[[#This Row],[Order_Date]]&gt;ReconciliationData[[#This Row],[End_Date]]),1,0)</f>
        <v>0</v>
      </c>
      <c r="U930">
        <f>IF(AND(NOT(ISBLANK(ReconciliationData[[#This Row],[last_return_date]])),ReconciliationData[[#This Row],[last_return_date]]&gt;ReconciliationData[[#This Row],[Order_Date]]+60),1,0)</f>
        <v>0</v>
      </c>
      <c r="V930">
        <f>IF(ReconciliationData[[#This Row],[total_returned_units]]&gt;ReconciliationData[[#This Row],[ordered_units]],1,0)</f>
        <v>0</v>
      </c>
      <c r="W9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30">
        <f>ReconciliationData[[#This Row],[Billed_Units]]*ReconciliationData[[#This Row],[Billed_Price]]</f>
        <v>52839.417999999998</v>
      </c>
      <c r="Y930">
        <f>ReconciliationData[[#This Row],[ordered_units]]*ReconciliationData[[#This Row],[List_Price]]</f>
        <v>55711.125500000002</v>
      </c>
      <c r="Z930">
        <f>ReconciliationData[[#This Row],[billed_revenue]]-ReconciliationData[[#This Row],[expected_revenue]]</f>
        <v>-2871.7075000000041</v>
      </c>
      <c r="AA9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930" t="str">
        <f>IF(ReconciliationData[[#This Row],[severity_score]]=0,"LOW",
 IF(ReconciliationData[[#This Row],[severity_score]]&lt;=5,"MEDIUM","HIGH"))</f>
        <v>HIGH</v>
      </c>
      <c r="AC930" t="str">
        <f>TEXT(ReconciliationData[[#This Row],[Order_Date]],"YYYY-MM")</f>
        <v>2023-05</v>
      </c>
    </row>
    <row r="931" spans="1:29">
      <c r="A931" t="s">
        <v>2835</v>
      </c>
      <c r="B931" s="1">
        <v>45093</v>
      </c>
      <c r="C931" t="s">
        <v>1178</v>
      </c>
      <c r="D931" t="s">
        <v>329</v>
      </c>
      <c r="E931">
        <v>123</v>
      </c>
      <c r="F931" t="s">
        <v>2836</v>
      </c>
      <c r="G931">
        <v>123</v>
      </c>
      <c r="H931">
        <v>385.42419999999998</v>
      </c>
      <c r="N931">
        <v>385.42419999999998</v>
      </c>
      <c r="O931" s="1">
        <v>45079</v>
      </c>
      <c r="P931">
        <f>IF(ISBLANK(ReconciliationData[[#This Row],[Invoice_ID]]),1,0)</f>
        <v>0</v>
      </c>
      <c r="Q931">
        <f>IF(AND(NOT(ISBLANK(ReconciliationData[[#This Row],[Billed_Units]])),ReconciliationData[[#This Row],[ordered_units]]&lt;&gt;ReconciliationData[[#This Row],[Billed_Units]]),1,0)</f>
        <v>0</v>
      </c>
      <c r="R9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31">
        <f>IF(AND(NOT(ISBLANK(ReconciliationData[[#This Row],[Contract_Price]])),ReconciliationData[[#This Row],[Billed_Price]]&lt;&gt;ReconciliationData[[#This Row],[Contract_Price]]),1,0)</f>
        <v>0</v>
      </c>
      <c r="T931">
        <f>IF(AND(NOT(ISBLANK(ReconciliationData[[#This Row],[End_Date]])),ReconciliationData[[#This Row],[Order_Date]]&gt;ReconciliationData[[#This Row],[End_Date]]),1,0)</f>
        <v>0</v>
      </c>
      <c r="U931">
        <f>IF(AND(NOT(ISBLANK(ReconciliationData[[#This Row],[last_return_date]])),ReconciliationData[[#This Row],[last_return_date]]&gt;ReconciliationData[[#This Row],[Order_Date]]+60),1,0)</f>
        <v>0</v>
      </c>
      <c r="V931">
        <f>IF(ReconciliationData[[#This Row],[total_returned_units]]&gt;ReconciliationData[[#This Row],[ordered_units]],1,0)</f>
        <v>0</v>
      </c>
      <c r="W9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31">
        <f>ReconciliationData[[#This Row],[Billed_Units]]*ReconciliationData[[#This Row],[Billed_Price]]</f>
        <v>47407.176599999999</v>
      </c>
      <c r="Y931">
        <f>ReconciliationData[[#This Row],[ordered_units]]*ReconciliationData[[#This Row],[List_Price]]</f>
        <v>47407.176599999999</v>
      </c>
      <c r="Z931">
        <f>ReconciliationData[[#This Row],[billed_revenue]]-ReconciliationData[[#This Row],[expected_revenue]]</f>
        <v>0</v>
      </c>
      <c r="AA9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31" t="str">
        <f>IF(ReconciliationData[[#This Row],[severity_score]]=0,"LOW",
 IF(ReconciliationData[[#This Row],[severity_score]]&lt;=5,"MEDIUM","HIGH"))</f>
        <v>LOW</v>
      </c>
      <c r="AC931" t="str">
        <f>TEXT(ReconciliationData[[#This Row],[Order_Date]],"YYYY-MM")</f>
        <v>2023-06</v>
      </c>
    </row>
    <row r="932" spans="1:29">
      <c r="A932" t="s">
        <v>2837</v>
      </c>
      <c r="B932" s="1">
        <v>45519</v>
      </c>
      <c r="C932" t="s">
        <v>2018</v>
      </c>
      <c r="D932" t="s">
        <v>267</v>
      </c>
      <c r="E932">
        <v>134</v>
      </c>
      <c r="F932" t="s">
        <v>2838</v>
      </c>
      <c r="G932">
        <v>134</v>
      </c>
      <c r="H932">
        <v>973.43799999999999</v>
      </c>
      <c r="N932">
        <v>973.43799999999999</v>
      </c>
      <c r="O932" s="1">
        <v>45011</v>
      </c>
      <c r="P932">
        <f>IF(ISBLANK(ReconciliationData[[#This Row],[Invoice_ID]]),1,0)</f>
        <v>0</v>
      </c>
      <c r="Q932">
        <f>IF(AND(NOT(ISBLANK(ReconciliationData[[#This Row],[Billed_Units]])),ReconciliationData[[#This Row],[ordered_units]]&lt;&gt;ReconciliationData[[#This Row],[Billed_Units]]),1,0)</f>
        <v>0</v>
      </c>
      <c r="R9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32">
        <f>IF(AND(NOT(ISBLANK(ReconciliationData[[#This Row],[Contract_Price]])),ReconciliationData[[#This Row],[Billed_Price]]&lt;&gt;ReconciliationData[[#This Row],[Contract_Price]]),1,0)</f>
        <v>0</v>
      </c>
      <c r="T932">
        <f>IF(AND(NOT(ISBLANK(ReconciliationData[[#This Row],[End_Date]])),ReconciliationData[[#This Row],[Order_Date]]&gt;ReconciliationData[[#This Row],[End_Date]]),1,0)</f>
        <v>0</v>
      </c>
      <c r="U932">
        <f>IF(AND(NOT(ISBLANK(ReconciliationData[[#This Row],[last_return_date]])),ReconciliationData[[#This Row],[last_return_date]]&gt;ReconciliationData[[#This Row],[Order_Date]]+60),1,0)</f>
        <v>0</v>
      </c>
      <c r="V932">
        <f>IF(ReconciliationData[[#This Row],[total_returned_units]]&gt;ReconciliationData[[#This Row],[ordered_units]],1,0)</f>
        <v>0</v>
      </c>
      <c r="W9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32">
        <f>ReconciliationData[[#This Row],[Billed_Units]]*ReconciliationData[[#This Row],[Billed_Price]]</f>
        <v>130440.692</v>
      </c>
      <c r="Y932">
        <f>ReconciliationData[[#This Row],[ordered_units]]*ReconciliationData[[#This Row],[List_Price]]</f>
        <v>130440.692</v>
      </c>
      <c r="Z932">
        <f>ReconciliationData[[#This Row],[billed_revenue]]-ReconciliationData[[#This Row],[expected_revenue]]</f>
        <v>0</v>
      </c>
      <c r="AA9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32" t="str">
        <f>IF(ReconciliationData[[#This Row],[severity_score]]=0,"LOW",
 IF(ReconciliationData[[#This Row],[severity_score]]&lt;=5,"MEDIUM","HIGH"))</f>
        <v>LOW</v>
      </c>
      <c r="AC932" t="str">
        <f>TEXT(ReconciliationData[[#This Row],[Order_Date]],"YYYY-MM")</f>
        <v>2024-08</v>
      </c>
    </row>
    <row r="933" spans="1:29">
      <c r="A933" t="s">
        <v>2839</v>
      </c>
      <c r="B933" s="1">
        <v>45332</v>
      </c>
      <c r="C933" t="s">
        <v>1920</v>
      </c>
      <c r="D933" t="s">
        <v>1142</v>
      </c>
      <c r="E933">
        <v>185</v>
      </c>
      <c r="F933" t="s">
        <v>2840</v>
      </c>
      <c r="G933">
        <v>185</v>
      </c>
      <c r="H933">
        <v>624.69097367154347</v>
      </c>
      <c r="N933">
        <v>624.37260000000003</v>
      </c>
      <c r="O933" s="1">
        <v>44932</v>
      </c>
      <c r="P933">
        <f>IF(ISBLANK(ReconciliationData[[#This Row],[Invoice_ID]]),1,0)</f>
        <v>0</v>
      </c>
      <c r="Q933">
        <f>IF(AND(NOT(ISBLANK(ReconciliationData[[#This Row],[Billed_Units]])),ReconciliationData[[#This Row],[ordered_units]]&lt;&gt;ReconciliationData[[#This Row],[Billed_Units]]),1,0)</f>
        <v>0</v>
      </c>
      <c r="R93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933">
        <f>IF(AND(NOT(ISBLANK(ReconciliationData[[#This Row],[Contract_Price]])),ReconciliationData[[#This Row],[Billed_Price]]&lt;&gt;ReconciliationData[[#This Row],[Contract_Price]]),1,0)</f>
        <v>0</v>
      </c>
      <c r="T933">
        <f>IF(AND(NOT(ISBLANK(ReconciliationData[[#This Row],[End_Date]])),ReconciliationData[[#This Row],[Order_Date]]&gt;ReconciliationData[[#This Row],[End_Date]]),1,0)</f>
        <v>0</v>
      </c>
      <c r="U933">
        <f>IF(AND(NOT(ISBLANK(ReconciliationData[[#This Row],[last_return_date]])),ReconciliationData[[#This Row],[last_return_date]]&gt;ReconciliationData[[#This Row],[Order_Date]]+60),1,0)</f>
        <v>0</v>
      </c>
      <c r="V933">
        <f>IF(ReconciliationData[[#This Row],[total_returned_units]]&gt;ReconciliationData[[#This Row],[ordered_units]],1,0)</f>
        <v>0</v>
      </c>
      <c r="W9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33">
        <f>ReconciliationData[[#This Row],[Billed_Units]]*ReconciliationData[[#This Row],[Billed_Price]]</f>
        <v>115567.83012923555</v>
      </c>
      <c r="Y933">
        <f>ReconciliationData[[#This Row],[ordered_units]]*ReconciliationData[[#This Row],[List_Price]]</f>
        <v>115508.93100000001</v>
      </c>
      <c r="Z933">
        <f>ReconciliationData[[#This Row],[billed_revenue]]-ReconciliationData[[#This Row],[expected_revenue]]</f>
        <v>58.899129235534929</v>
      </c>
      <c r="AA9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933" t="str">
        <f>IF(ReconciliationData[[#This Row],[severity_score]]=0,"LOW",
 IF(ReconciliationData[[#This Row],[severity_score]]&lt;=5,"MEDIUM","HIGH"))</f>
        <v>MEDIUM</v>
      </c>
      <c r="AC933" t="str">
        <f>TEXT(ReconciliationData[[#This Row],[Order_Date]],"YYYY-MM")</f>
        <v>2024-02</v>
      </c>
    </row>
    <row r="934" spans="1:29">
      <c r="A934" t="s">
        <v>2841</v>
      </c>
      <c r="B934" s="1">
        <v>45091</v>
      </c>
      <c r="C934" t="s">
        <v>348</v>
      </c>
      <c r="D934" t="s">
        <v>345</v>
      </c>
      <c r="E934">
        <v>96</v>
      </c>
      <c r="F934" t="s">
        <v>2842</v>
      </c>
      <c r="G934">
        <v>96</v>
      </c>
      <c r="H934">
        <v>574.3415</v>
      </c>
      <c r="N934">
        <v>574.3415</v>
      </c>
      <c r="O934" s="1">
        <v>44806</v>
      </c>
      <c r="P934">
        <f>IF(ISBLANK(ReconciliationData[[#This Row],[Invoice_ID]]),1,0)</f>
        <v>0</v>
      </c>
      <c r="Q934">
        <f>IF(AND(NOT(ISBLANK(ReconciliationData[[#This Row],[Billed_Units]])),ReconciliationData[[#This Row],[ordered_units]]&lt;&gt;ReconciliationData[[#This Row],[Billed_Units]]),1,0)</f>
        <v>0</v>
      </c>
      <c r="R9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34">
        <f>IF(AND(NOT(ISBLANK(ReconciliationData[[#This Row],[Contract_Price]])),ReconciliationData[[#This Row],[Billed_Price]]&lt;&gt;ReconciliationData[[#This Row],[Contract_Price]]),1,0)</f>
        <v>0</v>
      </c>
      <c r="T934">
        <f>IF(AND(NOT(ISBLANK(ReconciliationData[[#This Row],[End_Date]])),ReconciliationData[[#This Row],[Order_Date]]&gt;ReconciliationData[[#This Row],[End_Date]]),1,0)</f>
        <v>0</v>
      </c>
      <c r="U934">
        <f>IF(AND(NOT(ISBLANK(ReconciliationData[[#This Row],[last_return_date]])),ReconciliationData[[#This Row],[last_return_date]]&gt;ReconciliationData[[#This Row],[Order_Date]]+60),1,0)</f>
        <v>0</v>
      </c>
      <c r="V934">
        <f>IF(ReconciliationData[[#This Row],[total_returned_units]]&gt;ReconciliationData[[#This Row],[ordered_units]],1,0)</f>
        <v>0</v>
      </c>
      <c r="W9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34">
        <f>ReconciliationData[[#This Row],[Billed_Units]]*ReconciliationData[[#This Row],[Billed_Price]]</f>
        <v>55136.784</v>
      </c>
      <c r="Y934">
        <f>ReconciliationData[[#This Row],[ordered_units]]*ReconciliationData[[#This Row],[List_Price]]</f>
        <v>55136.784</v>
      </c>
      <c r="Z934">
        <f>ReconciliationData[[#This Row],[billed_revenue]]-ReconciliationData[[#This Row],[expected_revenue]]</f>
        <v>0</v>
      </c>
      <c r="AA9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34" t="str">
        <f>IF(ReconciliationData[[#This Row],[severity_score]]=0,"LOW",
 IF(ReconciliationData[[#This Row],[severity_score]]&lt;=5,"MEDIUM","HIGH"))</f>
        <v>LOW</v>
      </c>
      <c r="AC934" t="str">
        <f>TEXT(ReconciliationData[[#This Row],[Order_Date]],"YYYY-MM")</f>
        <v>2023-06</v>
      </c>
    </row>
    <row r="935" spans="1:29">
      <c r="A935" t="s">
        <v>2843</v>
      </c>
      <c r="B935" s="1">
        <v>45245</v>
      </c>
      <c r="C935" t="s">
        <v>536</v>
      </c>
      <c r="D935" t="s">
        <v>2321</v>
      </c>
      <c r="E935">
        <v>156</v>
      </c>
      <c r="F935" t="s">
        <v>2844</v>
      </c>
      <c r="G935">
        <v>156</v>
      </c>
      <c r="H935">
        <v>153.69479999999999</v>
      </c>
      <c r="N935">
        <v>153.69479999999999</v>
      </c>
      <c r="O935" s="1">
        <v>44960</v>
      </c>
      <c r="P935">
        <f>IF(ISBLANK(ReconciliationData[[#This Row],[Invoice_ID]]),1,0)</f>
        <v>0</v>
      </c>
      <c r="Q935">
        <f>IF(AND(NOT(ISBLANK(ReconciliationData[[#This Row],[Billed_Units]])),ReconciliationData[[#This Row],[ordered_units]]&lt;&gt;ReconciliationData[[#This Row],[Billed_Units]]),1,0)</f>
        <v>0</v>
      </c>
      <c r="R9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35">
        <f>IF(AND(NOT(ISBLANK(ReconciliationData[[#This Row],[Contract_Price]])),ReconciliationData[[#This Row],[Billed_Price]]&lt;&gt;ReconciliationData[[#This Row],[Contract_Price]]),1,0)</f>
        <v>0</v>
      </c>
      <c r="T935">
        <f>IF(AND(NOT(ISBLANK(ReconciliationData[[#This Row],[End_Date]])),ReconciliationData[[#This Row],[Order_Date]]&gt;ReconciliationData[[#This Row],[End_Date]]),1,0)</f>
        <v>0</v>
      </c>
      <c r="U935">
        <f>IF(AND(NOT(ISBLANK(ReconciliationData[[#This Row],[last_return_date]])),ReconciliationData[[#This Row],[last_return_date]]&gt;ReconciliationData[[#This Row],[Order_Date]]+60),1,0)</f>
        <v>0</v>
      </c>
      <c r="V935">
        <f>IF(ReconciliationData[[#This Row],[total_returned_units]]&gt;ReconciliationData[[#This Row],[ordered_units]],1,0)</f>
        <v>0</v>
      </c>
      <c r="W9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35">
        <f>ReconciliationData[[#This Row],[Billed_Units]]*ReconciliationData[[#This Row],[Billed_Price]]</f>
        <v>23976.388799999997</v>
      </c>
      <c r="Y935">
        <f>ReconciliationData[[#This Row],[ordered_units]]*ReconciliationData[[#This Row],[List_Price]]</f>
        <v>23976.388799999997</v>
      </c>
      <c r="Z935">
        <f>ReconciliationData[[#This Row],[billed_revenue]]-ReconciliationData[[#This Row],[expected_revenue]]</f>
        <v>0</v>
      </c>
      <c r="AA9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35" t="str">
        <f>IF(ReconciliationData[[#This Row],[severity_score]]=0,"LOW",
 IF(ReconciliationData[[#This Row],[severity_score]]&lt;=5,"MEDIUM","HIGH"))</f>
        <v>LOW</v>
      </c>
      <c r="AC935" t="str">
        <f>TEXT(ReconciliationData[[#This Row],[Order_Date]],"YYYY-MM")</f>
        <v>2023-11</v>
      </c>
    </row>
    <row r="936" spans="1:29">
      <c r="A936" t="s">
        <v>2845</v>
      </c>
      <c r="B936" s="1">
        <v>45284</v>
      </c>
      <c r="C936" t="s">
        <v>528</v>
      </c>
      <c r="D936" t="s">
        <v>299</v>
      </c>
      <c r="E936">
        <v>66</v>
      </c>
      <c r="F936" t="s">
        <v>2846</v>
      </c>
      <c r="G936">
        <v>66</v>
      </c>
      <c r="H936">
        <v>182.4273</v>
      </c>
      <c r="N936">
        <v>182.4273</v>
      </c>
      <c r="O936" s="1">
        <v>44989</v>
      </c>
      <c r="P936">
        <f>IF(ISBLANK(ReconciliationData[[#This Row],[Invoice_ID]]),1,0)</f>
        <v>0</v>
      </c>
      <c r="Q936">
        <f>IF(AND(NOT(ISBLANK(ReconciliationData[[#This Row],[Billed_Units]])),ReconciliationData[[#This Row],[ordered_units]]&lt;&gt;ReconciliationData[[#This Row],[Billed_Units]]),1,0)</f>
        <v>0</v>
      </c>
      <c r="R9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36">
        <f>IF(AND(NOT(ISBLANK(ReconciliationData[[#This Row],[Contract_Price]])),ReconciliationData[[#This Row],[Billed_Price]]&lt;&gt;ReconciliationData[[#This Row],[Contract_Price]]),1,0)</f>
        <v>0</v>
      </c>
      <c r="T936">
        <f>IF(AND(NOT(ISBLANK(ReconciliationData[[#This Row],[End_Date]])),ReconciliationData[[#This Row],[Order_Date]]&gt;ReconciliationData[[#This Row],[End_Date]]),1,0)</f>
        <v>0</v>
      </c>
      <c r="U936">
        <f>IF(AND(NOT(ISBLANK(ReconciliationData[[#This Row],[last_return_date]])),ReconciliationData[[#This Row],[last_return_date]]&gt;ReconciliationData[[#This Row],[Order_Date]]+60),1,0)</f>
        <v>0</v>
      </c>
      <c r="V936">
        <f>IF(ReconciliationData[[#This Row],[total_returned_units]]&gt;ReconciliationData[[#This Row],[ordered_units]],1,0)</f>
        <v>0</v>
      </c>
      <c r="W9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36">
        <f>ReconciliationData[[#This Row],[Billed_Units]]*ReconciliationData[[#This Row],[Billed_Price]]</f>
        <v>12040.201800000001</v>
      </c>
      <c r="Y936">
        <f>ReconciliationData[[#This Row],[ordered_units]]*ReconciliationData[[#This Row],[List_Price]]</f>
        <v>12040.201800000001</v>
      </c>
      <c r="Z936">
        <f>ReconciliationData[[#This Row],[billed_revenue]]-ReconciliationData[[#This Row],[expected_revenue]]</f>
        <v>0</v>
      </c>
      <c r="AA9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36" t="str">
        <f>IF(ReconciliationData[[#This Row],[severity_score]]=0,"LOW",
 IF(ReconciliationData[[#This Row],[severity_score]]&lt;=5,"MEDIUM","HIGH"))</f>
        <v>LOW</v>
      </c>
      <c r="AC936" t="str">
        <f>TEXT(ReconciliationData[[#This Row],[Order_Date]],"YYYY-MM")</f>
        <v>2023-12</v>
      </c>
    </row>
    <row r="937" spans="1:29">
      <c r="A937" t="s">
        <v>2847</v>
      </c>
      <c r="B937" s="1">
        <v>45486</v>
      </c>
      <c r="C937" t="s">
        <v>2848</v>
      </c>
      <c r="D937" t="s">
        <v>445</v>
      </c>
      <c r="E937">
        <v>43</v>
      </c>
      <c r="F937" t="s">
        <v>2849</v>
      </c>
      <c r="G937">
        <v>43</v>
      </c>
      <c r="H937">
        <v>791.35360000000003</v>
      </c>
      <c r="N937">
        <v>791.35360000000003</v>
      </c>
      <c r="O937" s="1">
        <v>45097</v>
      </c>
      <c r="P937">
        <f>IF(ISBLANK(ReconciliationData[[#This Row],[Invoice_ID]]),1,0)</f>
        <v>0</v>
      </c>
      <c r="Q937">
        <f>IF(AND(NOT(ISBLANK(ReconciliationData[[#This Row],[Billed_Units]])),ReconciliationData[[#This Row],[ordered_units]]&lt;&gt;ReconciliationData[[#This Row],[Billed_Units]]),1,0)</f>
        <v>0</v>
      </c>
      <c r="R9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37">
        <f>IF(AND(NOT(ISBLANK(ReconciliationData[[#This Row],[Contract_Price]])),ReconciliationData[[#This Row],[Billed_Price]]&lt;&gt;ReconciliationData[[#This Row],[Contract_Price]]),1,0)</f>
        <v>0</v>
      </c>
      <c r="T937">
        <f>IF(AND(NOT(ISBLANK(ReconciliationData[[#This Row],[End_Date]])),ReconciliationData[[#This Row],[Order_Date]]&gt;ReconciliationData[[#This Row],[End_Date]]),1,0)</f>
        <v>0</v>
      </c>
      <c r="U937">
        <f>IF(AND(NOT(ISBLANK(ReconciliationData[[#This Row],[last_return_date]])),ReconciliationData[[#This Row],[last_return_date]]&gt;ReconciliationData[[#This Row],[Order_Date]]+60),1,0)</f>
        <v>0</v>
      </c>
      <c r="V937">
        <f>IF(ReconciliationData[[#This Row],[total_returned_units]]&gt;ReconciliationData[[#This Row],[ordered_units]],1,0)</f>
        <v>0</v>
      </c>
      <c r="W9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37">
        <f>ReconciliationData[[#This Row],[Billed_Units]]*ReconciliationData[[#This Row],[Billed_Price]]</f>
        <v>34028.2048</v>
      </c>
      <c r="Y937">
        <f>ReconciliationData[[#This Row],[ordered_units]]*ReconciliationData[[#This Row],[List_Price]]</f>
        <v>34028.2048</v>
      </c>
      <c r="Z937">
        <f>ReconciliationData[[#This Row],[billed_revenue]]-ReconciliationData[[#This Row],[expected_revenue]]</f>
        <v>0</v>
      </c>
      <c r="AA9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37" t="str">
        <f>IF(ReconciliationData[[#This Row],[severity_score]]=0,"LOW",
 IF(ReconciliationData[[#This Row],[severity_score]]&lt;=5,"MEDIUM","HIGH"))</f>
        <v>LOW</v>
      </c>
      <c r="AC937" t="str">
        <f>TEXT(ReconciliationData[[#This Row],[Order_Date]],"YYYY-MM")</f>
        <v>2024-07</v>
      </c>
    </row>
    <row r="938" spans="1:29">
      <c r="A938" t="s">
        <v>2850</v>
      </c>
      <c r="B938" s="1">
        <v>45454</v>
      </c>
      <c r="C938" t="s">
        <v>767</v>
      </c>
      <c r="D938" t="s">
        <v>2045</v>
      </c>
      <c r="E938">
        <v>101</v>
      </c>
      <c r="F938" t="s">
        <v>2851</v>
      </c>
      <c r="G938">
        <v>101</v>
      </c>
      <c r="H938">
        <v>990.72749999999996</v>
      </c>
      <c r="N938">
        <v>990.72749999999996</v>
      </c>
      <c r="O938" s="1">
        <v>45068</v>
      </c>
      <c r="P938">
        <f>IF(ISBLANK(ReconciliationData[[#This Row],[Invoice_ID]]),1,0)</f>
        <v>0</v>
      </c>
      <c r="Q938">
        <f>IF(AND(NOT(ISBLANK(ReconciliationData[[#This Row],[Billed_Units]])),ReconciliationData[[#This Row],[ordered_units]]&lt;&gt;ReconciliationData[[#This Row],[Billed_Units]]),1,0)</f>
        <v>0</v>
      </c>
      <c r="R9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38">
        <f>IF(AND(NOT(ISBLANK(ReconciliationData[[#This Row],[Contract_Price]])),ReconciliationData[[#This Row],[Billed_Price]]&lt;&gt;ReconciliationData[[#This Row],[Contract_Price]]),1,0)</f>
        <v>0</v>
      </c>
      <c r="T938">
        <f>IF(AND(NOT(ISBLANK(ReconciliationData[[#This Row],[End_Date]])),ReconciliationData[[#This Row],[Order_Date]]&gt;ReconciliationData[[#This Row],[End_Date]]),1,0)</f>
        <v>0</v>
      </c>
      <c r="U938">
        <f>IF(AND(NOT(ISBLANK(ReconciliationData[[#This Row],[last_return_date]])),ReconciliationData[[#This Row],[last_return_date]]&gt;ReconciliationData[[#This Row],[Order_Date]]+60),1,0)</f>
        <v>0</v>
      </c>
      <c r="V938">
        <f>IF(ReconciliationData[[#This Row],[total_returned_units]]&gt;ReconciliationData[[#This Row],[ordered_units]],1,0)</f>
        <v>0</v>
      </c>
      <c r="W9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38">
        <f>ReconciliationData[[#This Row],[Billed_Units]]*ReconciliationData[[#This Row],[Billed_Price]]</f>
        <v>100063.47749999999</v>
      </c>
      <c r="Y938">
        <f>ReconciliationData[[#This Row],[ordered_units]]*ReconciliationData[[#This Row],[List_Price]]</f>
        <v>100063.47749999999</v>
      </c>
      <c r="Z938">
        <f>ReconciliationData[[#This Row],[billed_revenue]]-ReconciliationData[[#This Row],[expected_revenue]]</f>
        <v>0</v>
      </c>
      <c r="AA9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38" t="str">
        <f>IF(ReconciliationData[[#This Row],[severity_score]]=0,"LOW",
 IF(ReconciliationData[[#This Row],[severity_score]]&lt;=5,"MEDIUM","HIGH"))</f>
        <v>LOW</v>
      </c>
      <c r="AC938" t="str">
        <f>TEXT(ReconciliationData[[#This Row],[Order_Date]],"YYYY-MM")</f>
        <v>2024-06</v>
      </c>
    </row>
    <row r="939" spans="1:29">
      <c r="A939" t="s">
        <v>2852</v>
      </c>
      <c r="B939" s="1">
        <v>45105</v>
      </c>
      <c r="C939" t="s">
        <v>904</v>
      </c>
      <c r="D939" t="s">
        <v>2853</v>
      </c>
      <c r="E939">
        <v>57</v>
      </c>
      <c r="F939" t="s">
        <v>2854</v>
      </c>
      <c r="G939">
        <v>57</v>
      </c>
      <c r="H939">
        <v>273.17022766352352</v>
      </c>
      <c r="N939">
        <v>272.97059999999999</v>
      </c>
      <c r="O939" s="1">
        <v>44883</v>
      </c>
      <c r="P939">
        <f>IF(ISBLANK(ReconciliationData[[#This Row],[Invoice_ID]]),1,0)</f>
        <v>0</v>
      </c>
      <c r="Q939">
        <f>IF(AND(NOT(ISBLANK(ReconciliationData[[#This Row],[Billed_Units]])),ReconciliationData[[#This Row],[ordered_units]]&lt;&gt;ReconciliationData[[#This Row],[Billed_Units]]),1,0)</f>
        <v>0</v>
      </c>
      <c r="R93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939">
        <f>IF(AND(NOT(ISBLANK(ReconciliationData[[#This Row],[Contract_Price]])),ReconciliationData[[#This Row],[Billed_Price]]&lt;&gt;ReconciliationData[[#This Row],[Contract_Price]]),1,0)</f>
        <v>0</v>
      </c>
      <c r="T939">
        <f>IF(AND(NOT(ISBLANK(ReconciliationData[[#This Row],[End_Date]])),ReconciliationData[[#This Row],[Order_Date]]&gt;ReconciliationData[[#This Row],[End_Date]]),1,0)</f>
        <v>0</v>
      </c>
      <c r="U939">
        <f>IF(AND(NOT(ISBLANK(ReconciliationData[[#This Row],[last_return_date]])),ReconciliationData[[#This Row],[last_return_date]]&gt;ReconciliationData[[#This Row],[Order_Date]]+60),1,0)</f>
        <v>0</v>
      </c>
      <c r="V939">
        <f>IF(ReconciliationData[[#This Row],[total_returned_units]]&gt;ReconciliationData[[#This Row],[ordered_units]],1,0)</f>
        <v>0</v>
      </c>
      <c r="W9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39">
        <f>ReconciliationData[[#This Row],[Billed_Units]]*ReconciliationData[[#This Row],[Billed_Price]]</f>
        <v>15570.702976820841</v>
      </c>
      <c r="Y939">
        <f>ReconciliationData[[#This Row],[ordered_units]]*ReconciliationData[[#This Row],[List_Price]]</f>
        <v>15559.324199999999</v>
      </c>
      <c r="Z939">
        <f>ReconciliationData[[#This Row],[billed_revenue]]-ReconciliationData[[#This Row],[expected_revenue]]</f>
        <v>11.378776820842177</v>
      </c>
      <c r="AA9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939" t="str">
        <f>IF(ReconciliationData[[#This Row],[severity_score]]=0,"LOW",
 IF(ReconciliationData[[#This Row],[severity_score]]&lt;=5,"MEDIUM","HIGH"))</f>
        <v>MEDIUM</v>
      </c>
      <c r="AC939" t="str">
        <f>TEXT(ReconciliationData[[#This Row],[Order_Date]],"YYYY-MM")</f>
        <v>2023-06</v>
      </c>
    </row>
    <row r="940" spans="1:29">
      <c r="A940" t="s">
        <v>2855</v>
      </c>
      <c r="B940" s="1">
        <v>45639</v>
      </c>
      <c r="C940" t="s">
        <v>1566</v>
      </c>
      <c r="D940" t="s">
        <v>259</v>
      </c>
      <c r="E940">
        <v>142</v>
      </c>
      <c r="F940" t="s">
        <v>2856</v>
      </c>
      <c r="G940">
        <v>142</v>
      </c>
      <c r="H940">
        <v>360.68479999999994</v>
      </c>
      <c r="I940">
        <v>9</v>
      </c>
      <c r="J940" s="1">
        <v>45442</v>
      </c>
      <c r="N940">
        <v>360.68479999999994</v>
      </c>
      <c r="O940" s="1">
        <v>45072</v>
      </c>
      <c r="P940">
        <f>IF(ISBLANK(ReconciliationData[[#This Row],[Invoice_ID]]),1,0)</f>
        <v>0</v>
      </c>
      <c r="Q940">
        <f>IF(AND(NOT(ISBLANK(ReconciliationData[[#This Row],[Billed_Units]])),ReconciliationData[[#This Row],[ordered_units]]&lt;&gt;ReconciliationData[[#This Row],[Billed_Units]]),1,0)</f>
        <v>0</v>
      </c>
      <c r="R9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0">
        <f>IF(AND(NOT(ISBLANK(ReconciliationData[[#This Row],[Contract_Price]])),ReconciliationData[[#This Row],[Billed_Price]]&lt;&gt;ReconciliationData[[#This Row],[Contract_Price]]),1,0)</f>
        <v>0</v>
      </c>
      <c r="T940">
        <f>IF(AND(NOT(ISBLANK(ReconciliationData[[#This Row],[End_Date]])),ReconciliationData[[#This Row],[Order_Date]]&gt;ReconciliationData[[#This Row],[End_Date]]),1,0)</f>
        <v>0</v>
      </c>
      <c r="U940">
        <f>IF(AND(NOT(ISBLANK(ReconciliationData[[#This Row],[last_return_date]])),ReconciliationData[[#This Row],[last_return_date]]&gt;ReconciliationData[[#This Row],[Order_Date]]+60),1,0)</f>
        <v>0</v>
      </c>
      <c r="V940">
        <f>IF(ReconciliationData[[#This Row],[total_returned_units]]&gt;ReconciliationData[[#This Row],[ordered_units]],1,0)</f>
        <v>0</v>
      </c>
      <c r="W9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0">
        <f>ReconciliationData[[#This Row],[Billed_Units]]*ReconciliationData[[#This Row],[Billed_Price]]</f>
        <v>51217.241599999994</v>
      </c>
      <c r="Y940">
        <f>ReconciliationData[[#This Row],[ordered_units]]*ReconciliationData[[#This Row],[List_Price]]</f>
        <v>51217.241599999994</v>
      </c>
      <c r="Z940">
        <f>ReconciliationData[[#This Row],[billed_revenue]]-ReconciliationData[[#This Row],[expected_revenue]]</f>
        <v>0</v>
      </c>
      <c r="AA9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0" t="str">
        <f>IF(ReconciliationData[[#This Row],[severity_score]]=0,"LOW",
 IF(ReconciliationData[[#This Row],[severity_score]]&lt;=5,"MEDIUM","HIGH"))</f>
        <v>LOW</v>
      </c>
      <c r="AC940" t="str">
        <f>TEXT(ReconciliationData[[#This Row],[Order_Date]],"YYYY-MM")</f>
        <v>2024-12</v>
      </c>
    </row>
    <row r="941" spans="1:29">
      <c r="A941" t="s">
        <v>2857</v>
      </c>
      <c r="B941" s="1">
        <v>45551</v>
      </c>
      <c r="C941" t="s">
        <v>2157</v>
      </c>
      <c r="D941" t="s">
        <v>1362</v>
      </c>
      <c r="E941">
        <v>106</v>
      </c>
      <c r="F941" t="s">
        <v>2858</v>
      </c>
      <c r="G941">
        <v>106</v>
      </c>
      <c r="H941">
        <v>82.749600000000015</v>
      </c>
      <c r="N941">
        <v>82.749600000000015</v>
      </c>
      <c r="O941" s="1">
        <v>45068</v>
      </c>
      <c r="P941">
        <f>IF(ISBLANK(ReconciliationData[[#This Row],[Invoice_ID]]),1,0)</f>
        <v>0</v>
      </c>
      <c r="Q941">
        <f>IF(AND(NOT(ISBLANK(ReconciliationData[[#This Row],[Billed_Units]])),ReconciliationData[[#This Row],[ordered_units]]&lt;&gt;ReconciliationData[[#This Row],[Billed_Units]]),1,0)</f>
        <v>0</v>
      </c>
      <c r="R9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1">
        <f>IF(AND(NOT(ISBLANK(ReconciliationData[[#This Row],[Contract_Price]])),ReconciliationData[[#This Row],[Billed_Price]]&lt;&gt;ReconciliationData[[#This Row],[Contract_Price]]),1,0)</f>
        <v>0</v>
      </c>
      <c r="T941">
        <f>IF(AND(NOT(ISBLANK(ReconciliationData[[#This Row],[End_Date]])),ReconciliationData[[#This Row],[Order_Date]]&gt;ReconciliationData[[#This Row],[End_Date]]),1,0)</f>
        <v>0</v>
      </c>
      <c r="U941">
        <f>IF(AND(NOT(ISBLANK(ReconciliationData[[#This Row],[last_return_date]])),ReconciliationData[[#This Row],[last_return_date]]&gt;ReconciliationData[[#This Row],[Order_Date]]+60),1,0)</f>
        <v>0</v>
      </c>
      <c r="V941">
        <f>IF(ReconciliationData[[#This Row],[total_returned_units]]&gt;ReconciliationData[[#This Row],[ordered_units]],1,0)</f>
        <v>0</v>
      </c>
      <c r="W9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1">
        <f>ReconciliationData[[#This Row],[Billed_Units]]*ReconciliationData[[#This Row],[Billed_Price]]</f>
        <v>8771.4576000000015</v>
      </c>
      <c r="Y941">
        <f>ReconciliationData[[#This Row],[ordered_units]]*ReconciliationData[[#This Row],[List_Price]]</f>
        <v>8771.4576000000015</v>
      </c>
      <c r="Z941">
        <f>ReconciliationData[[#This Row],[billed_revenue]]-ReconciliationData[[#This Row],[expected_revenue]]</f>
        <v>0</v>
      </c>
      <c r="AA9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1" t="str">
        <f>IF(ReconciliationData[[#This Row],[severity_score]]=0,"LOW",
 IF(ReconciliationData[[#This Row],[severity_score]]&lt;=5,"MEDIUM","HIGH"))</f>
        <v>LOW</v>
      </c>
      <c r="AC941" t="str">
        <f>TEXT(ReconciliationData[[#This Row],[Order_Date]],"YYYY-MM")</f>
        <v>2024-09</v>
      </c>
    </row>
    <row r="942" spans="1:29">
      <c r="A942" t="s">
        <v>2859</v>
      </c>
      <c r="B942" s="1">
        <v>45325</v>
      </c>
      <c r="C942" t="s">
        <v>1270</v>
      </c>
      <c r="D942" t="s">
        <v>2331</v>
      </c>
      <c r="E942">
        <v>200</v>
      </c>
      <c r="F942" t="s">
        <v>2860</v>
      </c>
      <c r="G942">
        <v>200</v>
      </c>
      <c r="H942">
        <v>983.19460000000004</v>
      </c>
      <c r="N942">
        <v>983.19460000000004</v>
      </c>
      <c r="O942" s="1">
        <v>45142</v>
      </c>
      <c r="P942">
        <f>IF(ISBLANK(ReconciliationData[[#This Row],[Invoice_ID]]),1,0)</f>
        <v>0</v>
      </c>
      <c r="Q942">
        <f>IF(AND(NOT(ISBLANK(ReconciliationData[[#This Row],[Billed_Units]])),ReconciliationData[[#This Row],[ordered_units]]&lt;&gt;ReconciliationData[[#This Row],[Billed_Units]]),1,0)</f>
        <v>0</v>
      </c>
      <c r="R9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2">
        <f>IF(AND(NOT(ISBLANK(ReconciliationData[[#This Row],[Contract_Price]])),ReconciliationData[[#This Row],[Billed_Price]]&lt;&gt;ReconciliationData[[#This Row],[Contract_Price]]),1,0)</f>
        <v>0</v>
      </c>
      <c r="T942">
        <f>IF(AND(NOT(ISBLANK(ReconciliationData[[#This Row],[End_Date]])),ReconciliationData[[#This Row],[Order_Date]]&gt;ReconciliationData[[#This Row],[End_Date]]),1,0)</f>
        <v>0</v>
      </c>
      <c r="U942">
        <f>IF(AND(NOT(ISBLANK(ReconciliationData[[#This Row],[last_return_date]])),ReconciliationData[[#This Row],[last_return_date]]&gt;ReconciliationData[[#This Row],[Order_Date]]+60),1,0)</f>
        <v>0</v>
      </c>
      <c r="V942">
        <f>IF(ReconciliationData[[#This Row],[total_returned_units]]&gt;ReconciliationData[[#This Row],[ordered_units]],1,0)</f>
        <v>0</v>
      </c>
      <c r="W9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2">
        <f>ReconciliationData[[#This Row],[Billed_Units]]*ReconciliationData[[#This Row],[Billed_Price]]</f>
        <v>196638.92</v>
      </c>
      <c r="Y942">
        <f>ReconciliationData[[#This Row],[ordered_units]]*ReconciliationData[[#This Row],[List_Price]]</f>
        <v>196638.92</v>
      </c>
      <c r="Z942">
        <f>ReconciliationData[[#This Row],[billed_revenue]]-ReconciliationData[[#This Row],[expected_revenue]]</f>
        <v>0</v>
      </c>
      <c r="AA9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2" t="str">
        <f>IF(ReconciliationData[[#This Row],[severity_score]]=0,"LOW",
 IF(ReconciliationData[[#This Row],[severity_score]]&lt;=5,"MEDIUM","HIGH"))</f>
        <v>LOW</v>
      </c>
      <c r="AC942" t="str">
        <f>TEXT(ReconciliationData[[#This Row],[Order_Date]],"YYYY-MM")</f>
        <v>2024-02</v>
      </c>
    </row>
    <row r="943" spans="1:29">
      <c r="A943" t="s">
        <v>2861</v>
      </c>
      <c r="B943" s="1">
        <v>44989</v>
      </c>
      <c r="C943" t="s">
        <v>415</v>
      </c>
      <c r="D943" t="s">
        <v>738</v>
      </c>
      <c r="E943">
        <v>156</v>
      </c>
      <c r="F943" t="s">
        <v>2862</v>
      </c>
      <c r="G943">
        <v>156</v>
      </c>
      <c r="H943">
        <v>733.42080000000021</v>
      </c>
      <c r="N943">
        <v>733.42080000000021</v>
      </c>
      <c r="O943" s="1">
        <v>44856</v>
      </c>
      <c r="P943">
        <f>IF(ISBLANK(ReconciliationData[[#This Row],[Invoice_ID]]),1,0)</f>
        <v>0</v>
      </c>
      <c r="Q943">
        <f>IF(AND(NOT(ISBLANK(ReconciliationData[[#This Row],[Billed_Units]])),ReconciliationData[[#This Row],[ordered_units]]&lt;&gt;ReconciliationData[[#This Row],[Billed_Units]]),1,0)</f>
        <v>0</v>
      </c>
      <c r="R9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3">
        <f>IF(AND(NOT(ISBLANK(ReconciliationData[[#This Row],[Contract_Price]])),ReconciliationData[[#This Row],[Billed_Price]]&lt;&gt;ReconciliationData[[#This Row],[Contract_Price]]),1,0)</f>
        <v>0</v>
      </c>
      <c r="T943">
        <f>IF(AND(NOT(ISBLANK(ReconciliationData[[#This Row],[End_Date]])),ReconciliationData[[#This Row],[Order_Date]]&gt;ReconciliationData[[#This Row],[End_Date]]),1,0)</f>
        <v>0</v>
      </c>
      <c r="U943">
        <f>IF(AND(NOT(ISBLANK(ReconciliationData[[#This Row],[last_return_date]])),ReconciliationData[[#This Row],[last_return_date]]&gt;ReconciliationData[[#This Row],[Order_Date]]+60),1,0)</f>
        <v>0</v>
      </c>
      <c r="V943">
        <f>IF(ReconciliationData[[#This Row],[total_returned_units]]&gt;ReconciliationData[[#This Row],[ordered_units]],1,0)</f>
        <v>0</v>
      </c>
      <c r="W9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3">
        <f>ReconciliationData[[#This Row],[Billed_Units]]*ReconciliationData[[#This Row],[Billed_Price]]</f>
        <v>114413.64480000004</v>
      </c>
      <c r="Y943">
        <f>ReconciliationData[[#This Row],[ordered_units]]*ReconciliationData[[#This Row],[List_Price]]</f>
        <v>114413.64480000004</v>
      </c>
      <c r="Z943">
        <f>ReconciliationData[[#This Row],[billed_revenue]]-ReconciliationData[[#This Row],[expected_revenue]]</f>
        <v>0</v>
      </c>
      <c r="AA9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3" t="str">
        <f>IF(ReconciliationData[[#This Row],[severity_score]]=0,"LOW",
 IF(ReconciliationData[[#This Row],[severity_score]]&lt;=5,"MEDIUM","HIGH"))</f>
        <v>LOW</v>
      </c>
      <c r="AC943" t="str">
        <f>TEXT(ReconciliationData[[#This Row],[Order_Date]],"YYYY-MM")</f>
        <v>2023-03</v>
      </c>
    </row>
    <row r="944" spans="1:29">
      <c r="A944" t="s">
        <v>2863</v>
      </c>
      <c r="B944" s="1">
        <v>45558</v>
      </c>
      <c r="C944" t="s">
        <v>2864</v>
      </c>
      <c r="D944" t="s">
        <v>768</v>
      </c>
      <c r="E944">
        <v>166</v>
      </c>
      <c r="F944" t="s">
        <v>2865</v>
      </c>
      <c r="G944">
        <v>166</v>
      </c>
      <c r="H944">
        <v>410.02</v>
      </c>
      <c r="N944">
        <v>410.02</v>
      </c>
      <c r="O944" s="1">
        <v>45017</v>
      </c>
      <c r="P944">
        <f>IF(ISBLANK(ReconciliationData[[#This Row],[Invoice_ID]]),1,0)</f>
        <v>0</v>
      </c>
      <c r="Q944">
        <f>IF(AND(NOT(ISBLANK(ReconciliationData[[#This Row],[Billed_Units]])),ReconciliationData[[#This Row],[ordered_units]]&lt;&gt;ReconciliationData[[#This Row],[Billed_Units]]),1,0)</f>
        <v>0</v>
      </c>
      <c r="R9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4">
        <f>IF(AND(NOT(ISBLANK(ReconciliationData[[#This Row],[Contract_Price]])),ReconciliationData[[#This Row],[Billed_Price]]&lt;&gt;ReconciliationData[[#This Row],[Contract_Price]]),1,0)</f>
        <v>0</v>
      </c>
      <c r="T944">
        <f>IF(AND(NOT(ISBLANK(ReconciliationData[[#This Row],[End_Date]])),ReconciliationData[[#This Row],[Order_Date]]&gt;ReconciliationData[[#This Row],[End_Date]]),1,0)</f>
        <v>0</v>
      </c>
      <c r="U944">
        <f>IF(AND(NOT(ISBLANK(ReconciliationData[[#This Row],[last_return_date]])),ReconciliationData[[#This Row],[last_return_date]]&gt;ReconciliationData[[#This Row],[Order_Date]]+60),1,0)</f>
        <v>0</v>
      </c>
      <c r="V944">
        <f>IF(ReconciliationData[[#This Row],[total_returned_units]]&gt;ReconciliationData[[#This Row],[ordered_units]],1,0)</f>
        <v>0</v>
      </c>
      <c r="W9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4">
        <f>ReconciliationData[[#This Row],[Billed_Units]]*ReconciliationData[[#This Row],[Billed_Price]]</f>
        <v>68063.319999999992</v>
      </c>
      <c r="Y944">
        <f>ReconciliationData[[#This Row],[ordered_units]]*ReconciliationData[[#This Row],[List_Price]]</f>
        <v>68063.319999999992</v>
      </c>
      <c r="Z944">
        <f>ReconciliationData[[#This Row],[billed_revenue]]-ReconciliationData[[#This Row],[expected_revenue]]</f>
        <v>0</v>
      </c>
      <c r="AA9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4" t="str">
        <f>IF(ReconciliationData[[#This Row],[severity_score]]=0,"LOW",
 IF(ReconciliationData[[#This Row],[severity_score]]&lt;=5,"MEDIUM","HIGH"))</f>
        <v>LOW</v>
      </c>
      <c r="AC944" t="str">
        <f>TEXT(ReconciliationData[[#This Row],[Order_Date]],"YYYY-MM")</f>
        <v>2024-09</v>
      </c>
    </row>
    <row r="945" spans="1:29">
      <c r="A945" t="s">
        <v>2866</v>
      </c>
      <c r="B945" s="1">
        <v>45224</v>
      </c>
      <c r="C945" t="s">
        <v>290</v>
      </c>
      <c r="D945" t="s">
        <v>349</v>
      </c>
      <c r="E945">
        <v>183</v>
      </c>
      <c r="F945" t="s">
        <v>2867</v>
      </c>
      <c r="G945">
        <v>183</v>
      </c>
      <c r="H945">
        <v>63.7194</v>
      </c>
      <c r="N945">
        <v>63.7194</v>
      </c>
      <c r="O945" s="1">
        <v>44867</v>
      </c>
      <c r="P945">
        <f>IF(ISBLANK(ReconciliationData[[#This Row],[Invoice_ID]]),1,0)</f>
        <v>0</v>
      </c>
      <c r="Q945">
        <f>IF(AND(NOT(ISBLANK(ReconciliationData[[#This Row],[Billed_Units]])),ReconciliationData[[#This Row],[ordered_units]]&lt;&gt;ReconciliationData[[#This Row],[Billed_Units]]),1,0)</f>
        <v>0</v>
      </c>
      <c r="R9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5">
        <f>IF(AND(NOT(ISBLANK(ReconciliationData[[#This Row],[Contract_Price]])),ReconciliationData[[#This Row],[Billed_Price]]&lt;&gt;ReconciliationData[[#This Row],[Contract_Price]]),1,0)</f>
        <v>0</v>
      </c>
      <c r="T945">
        <f>IF(AND(NOT(ISBLANK(ReconciliationData[[#This Row],[End_Date]])),ReconciliationData[[#This Row],[Order_Date]]&gt;ReconciliationData[[#This Row],[End_Date]]),1,0)</f>
        <v>0</v>
      </c>
      <c r="U945">
        <f>IF(AND(NOT(ISBLANK(ReconciliationData[[#This Row],[last_return_date]])),ReconciliationData[[#This Row],[last_return_date]]&gt;ReconciliationData[[#This Row],[Order_Date]]+60),1,0)</f>
        <v>0</v>
      </c>
      <c r="V945">
        <f>IF(ReconciliationData[[#This Row],[total_returned_units]]&gt;ReconciliationData[[#This Row],[ordered_units]],1,0)</f>
        <v>0</v>
      </c>
      <c r="W9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5">
        <f>ReconciliationData[[#This Row],[Billed_Units]]*ReconciliationData[[#This Row],[Billed_Price]]</f>
        <v>11660.6502</v>
      </c>
      <c r="Y945">
        <f>ReconciliationData[[#This Row],[ordered_units]]*ReconciliationData[[#This Row],[List_Price]]</f>
        <v>11660.6502</v>
      </c>
      <c r="Z945">
        <f>ReconciliationData[[#This Row],[billed_revenue]]-ReconciliationData[[#This Row],[expected_revenue]]</f>
        <v>0</v>
      </c>
      <c r="AA9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5" t="str">
        <f>IF(ReconciliationData[[#This Row],[severity_score]]=0,"LOW",
 IF(ReconciliationData[[#This Row],[severity_score]]&lt;=5,"MEDIUM","HIGH"))</f>
        <v>LOW</v>
      </c>
      <c r="AC945" t="str">
        <f>TEXT(ReconciliationData[[#This Row],[Order_Date]],"YYYY-MM")</f>
        <v>2023-10</v>
      </c>
    </row>
    <row r="946" spans="1:29">
      <c r="A946" t="s">
        <v>2868</v>
      </c>
      <c r="B946" s="1">
        <v>45637</v>
      </c>
      <c r="C946" t="s">
        <v>1558</v>
      </c>
      <c r="D946" t="s">
        <v>178</v>
      </c>
      <c r="E946">
        <v>163</v>
      </c>
      <c r="F946" t="s">
        <v>2869</v>
      </c>
      <c r="G946">
        <v>163</v>
      </c>
      <c r="H946">
        <v>687.65840000000003</v>
      </c>
      <c r="N946">
        <v>687.65840000000003</v>
      </c>
      <c r="O946" s="1">
        <v>45139</v>
      </c>
      <c r="P946">
        <f>IF(ISBLANK(ReconciliationData[[#This Row],[Invoice_ID]]),1,0)</f>
        <v>0</v>
      </c>
      <c r="Q946">
        <f>IF(AND(NOT(ISBLANK(ReconciliationData[[#This Row],[Billed_Units]])),ReconciliationData[[#This Row],[ordered_units]]&lt;&gt;ReconciliationData[[#This Row],[Billed_Units]]),1,0)</f>
        <v>0</v>
      </c>
      <c r="R9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6">
        <f>IF(AND(NOT(ISBLANK(ReconciliationData[[#This Row],[Contract_Price]])),ReconciliationData[[#This Row],[Billed_Price]]&lt;&gt;ReconciliationData[[#This Row],[Contract_Price]]),1,0)</f>
        <v>0</v>
      </c>
      <c r="T946">
        <f>IF(AND(NOT(ISBLANK(ReconciliationData[[#This Row],[End_Date]])),ReconciliationData[[#This Row],[Order_Date]]&gt;ReconciliationData[[#This Row],[End_Date]]),1,0)</f>
        <v>0</v>
      </c>
      <c r="U946">
        <f>IF(AND(NOT(ISBLANK(ReconciliationData[[#This Row],[last_return_date]])),ReconciliationData[[#This Row],[last_return_date]]&gt;ReconciliationData[[#This Row],[Order_Date]]+60),1,0)</f>
        <v>0</v>
      </c>
      <c r="V946">
        <f>IF(ReconciliationData[[#This Row],[total_returned_units]]&gt;ReconciliationData[[#This Row],[ordered_units]],1,0)</f>
        <v>0</v>
      </c>
      <c r="W9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6">
        <f>ReconciliationData[[#This Row],[Billed_Units]]*ReconciliationData[[#This Row],[Billed_Price]]</f>
        <v>112088.3192</v>
      </c>
      <c r="Y946">
        <f>ReconciliationData[[#This Row],[ordered_units]]*ReconciliationData[[#This Row],[List_Price]]</f>
        <v>112088.3192</v>
      </c>
      <c r="Z946">
        <f>ReconciliationData[[#This Row],[billed_revenue]]-ReconciliationData[[#This Row],[expected_revenue]]</f>
        <v>0</v>
      </c>
      <c r="AA9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6" t="str">
        <f>IF(ReconciliationData[[#This Row],[severity_score]]=0,"LOW",
 IF(ReconciliationData[[#This Row],[severity_score]]&lt;=5,"MEDIUM","HIGH"))</f>
        <v>LOW</v>
      </c>
      <c r="AC946" t="str">
        <f>TEXT(ReconciliationData[[#This Row],[Order_Date]],"YYYY-MM")</f>
        <v>2024-12</v>
      </c>
    </row>
    <row r="947" spans="1:29">
      <c r="A947" t="s">
        <v>2870</v>
      </c>
      <c r="B947" s="1">
        <v>45119</v>
      </c>
      <c r="C947" t="s">
        <v>2871</v>
      </c>
      <c r="D947" t="s">
        <v>983</v>
      </c>
      <c r="E947">
        <v>197</v>
      </c>
      <c r="F947" t="s">
        <v>2872</v>
      </c>
      <c r="G947">
        <v>197</v>
      </c>
      <c r="H947">
        <v>249.2424</v>
      </c>
      <c r="N947">
        <v>249.2424</v>
      </c>
      <c r="O947" s="1">
        <v>45006</v>
      </c>
      <c r="P947">
        <f>IF(ISBLANK(ReconciliationData[[#This Row],[Invoice_ID]]),1,0)</f>
        <v>0</v>
      </c>
      <c r="Q947">
        <f>IF(AND(NOT(ISBLANK(ReconciliationData[[#This Row],[Billed_Units]])),ReconciliationData[[#This Row],[ordered_units]]&lt;&gt;ReconciliationData[[#This Row],[Billed_Units]]),1,0)</f>
        <v>0</v>
      </c>
      <c r="R9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7">
        <f>IF(AND(NOT(ISBLANK(ReconciliationData[[#This Row],[Contract_Price]])),ReconciliationData[[#This Row],[Billed_Price]]&lt;&gt;ReconciliationData[[#This Row],[Contract_Price]]),1,0)</f>
        <v>0</v>
      </c>
      <c r="T947">
        <f>IF(AND(NOT(ISBLANK(ReconciliationData[[#This Row],[End_Date]])),ReconciliationData[[#This Row],[Order_Date]]&gt;ReconciliationData[[#This Row],[End_Date]]),1,0)</f>
        <v>0</v>
      </c>
      <c r="U947">
        <f>IF(AND(NOT(ISBLANK(ReconciliationData[[#This Row],[last_return_date]])),ReconciliationData[[#This Row],[last_return_date]]&gt;ReconciliationData[[#This Row],[Order_Date]]+60),1,0)</f>
        <v>0</v>
      </c>
      <c r="V947">
        <f>IF(ReconciliationData[[#This Row],[total_returned_units]]&gt;ReconciliationData[[#This Row],[ordered_units]],1,0)</f>
        <v>0</v>
      </c>
      <c r="W9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7">
        <f>ReconciliationData[[#This Row],[Billed_Units]]*ReconciliationData[[#This Row],[Billed_Price]]</f>
        <v>49100.752800000002</v>
      </c>
      <c r="Y947">
        <f>ReconciliationData[[#This Row],[ordered_units]]*ReconciliationData[[#This Row],[List_Price]]</f>
        <v>49100.752800000002</v>
      </c>
      <c r="Z947">
        <f>ReconciliationData[[#This Row],[billed_revenue]]-ReconciliationData[[#This Row],[expected_revenue]]</f>
        <v>0</v>
      </c>
      <c r="AA9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7" t="str">
        <f>IF(ReconciliationData[[#This Row],[severity_score]]=0,"LOW",
 IF(ReconciliationData[[#This Row],[severity_score]]&lt;=5,"MEDIUM","HIGH"))</f>
        <v>LOW</v>
      </c>
      <c r="AC947" t="str">
        <f>TEXT(ReconciliationData[[#This Row],[Order_Date]],"YYYY-MM")</f>
        <v>2023-07</v>
      </c>
    </row>
    <row r="948" spans="1:29">
      <c r="A948" t="s">
        <v>2873</v>
      </c>
      <c r="B948" s="1">
        <v>45030</v>
      </c>
      <c r="C948" t="s">
        <v>316</v>
      </c>
      <c r="D948" t="s">
        <v>453</v>
      </c>
      <c r="E948">
        <v>186</v>
      </c>
      <c r="F948" t="s">
        <v>2874</v>
      </c>
      <c r="G948">
        <v>186</v>
      </c>
      <c r="H948">
        <v>1138.4856</v>
      </c>
      <c r="N948">
        <v>1138.4856</v>
      </c>
      <c r="O948" s="1">
        <v>44865</v>
      </c>
      <c r="P948">
        <f>IF(ISBLANK(ReconciliationData[[#This Row],[Invoice_ID]]),1,0)</f>
        <v>0</v>
      </c>
      <c r="Q948">
        <f>IF(AND(NOT(ISBLANK(ReconciliationData[[#This Row],[Billed_Units]])),ReconciliationData[[#This Row],[ordered_units]]&lt;&gt;ReconciliationData[[#This Row],[Billed_Units]]),1,0)</f>
        <v>0</v>
      </c>
      <c r="R9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8">
        <f>IF(AND(NOT(ISBLANK(ReconciliationData[[#This Row],[Contract_Price]])),ReconciliationData[[#This Row],[Billed_Price]]&lt;&gt;ReconciliationData[[#This Row],[Contract_Price]]),1,0)</f>
        <v>0</v>
      </c>
      <c r="T948">
        <f>IF(AND(NOT(ISBLANK(ReconciliationData[[#This Row],[End_Date]])),ReconciliationData[[#This Row],[Order_Date]]&gt;ReconciliationData[[#This Row],[End_Date]]),1,0)</f>
        <v>0</v>
      </c>
      <c r="U948">
        <f>IF(AND(NOT(ISBLANK(ReconciliationData[[#This Row],[last_return_date]])),ReconciliationData[[#This Row],[last_return_date]]&gt;ReconciliationData[[#This Row],[Order_Date]]+60),1,0)</f>
        <v>0</v>
      </c>
      <c r="V948">
        <f>IF(ReconciliationData[[#This Row],[total_returned_units]]&gt;ReconciliationData[[#This Row],[ordered_units]],1,0)</f>
        <v>0</v>
      </c>
      <c r="W9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8">
        <f>ReconciliationData[[#This Row],[Billed_Units]]*ReconciliationData[[#This Row],[Billed_Price]]</f>
        <v>211758.3216</v>
      </c>
      <c r="Y948">
        <f>ReconciliationData[[#This Row],[ordered_units]]*ReconciliationData[[#This Row],[List_Price]]</f>
        <v>211758.3216</v>
      </c>
      <c r="Z948">
        <f>ReconciliationData[[#This Row],[billed_revenue]]-ReconciliationData[[#This Row],[expected_revenue]]</f>
        <v>0</v>
      </c>
      <c r="AA9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8" t="str">
        <f>IF(ReconciliationData[[#This Row],[severity_score]]=0,"LOW",
 IF(ReconciliationData[[#This Row],[severity_score]]&lt;=5,"MEDIUM","HIGH"))</f>
        <v>LOW</v>
      </c>
      <c r="AC948" t="str">
        <f>TEXT(ReconciliationData[[#This Row],[Order_Date]],"YYYY-MM")</f>
        <v>2023-04</v>
      </c>
    </row>
    <row r="949" spans="1:29">
      <c r="A949" t="s">
        <v>2875</v>
      </c>
      <c r="B949" s="1">
        <v>44965</v>
      </c>
      <c r="C949" t="s">
        <v>1908</v>
      </c>
      <c r="D949" t="s">
        <v>1294</v>
      </c>
      <c r="E949">
        <v>4</v>
      </c>
      <c r="F949" t="s">
        <v>2876</v>
      </c>
      <c r="G949">
        <v>4</v>
      </c>
      <c r="H949">
        <v>793.03560000000004</v>
      </c>
      <c r="N949">
        <v>793.03560000000004</v>
      </c>
      <c r="O949" s="1">
        <v>44892</v>
      </c>
      <c r="P949">
        <f>IF(ISBLANK(ReconciliationData[[#This Row],[Invoice_ID]]),1,0)</f>
        <v>0</v>
      </c>
      <c r="Q949">
        <f>IF(AND(NOT(ISBLANK(ReconciliationData[[#This Row],[Billed_Units]])),ReconciliationData[[#This Row],[ordered_units]]&lt;&gt;ReconciliationData[[#This Row],[Billed_Units]]),1,0)</f>
        <v>0</v>
      </c>
      <c r="R9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49">
        <f>IF(AND(NOT(ISBLANK(ReconciliationData[[#This Row],[Contract_Price]])),ReconciliationData[[#This Row],[Billed_Price]]&lt;&gt;ReconciliationData[[#This Row],[Contract_Price]]),1,0)</f>
        <v>0</v>
      </c>
      <c r="T949">
        <f>IF(AND(NOT(ISBLANK(ReconciliationData[[#This Row],[End_Date]])),ReconciliationData[[#This Row],[Order_Date]]&gt;ReconciliationData[[#This Row],[End_Date]]),1,0)</f>
        <v>0</v>
      </c>
      <c r="U949">
        <f>IF(AND(NOT(ISBLANK(ReconciliationData[[#This Row],[last_return_date]])),ReconciliationData[[#This Row],[last_return_date]]&gt;ReconciliationData[[#This Row],[Order_Date]]+60),1,0)</f>
        <v>0</v>
      </c>
      <c r="V949">
        <f>IF(ReconciliationData[[#This Row],[total_returned_units]]&gt;ReconciliationData[[#This Row],[ordered_units]],1,0)</f>
        <v>0</v>
      </c>
      <c r="W9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49">
        <f>ReconciliationData[[#This Row],[Billed_Units]]*ReconciliationData[[#This Row],[Billed_Price]]</f>
        <v>3172.1424000000002</v>
      </c>
      <c r="Y949">
        <f>ReconciliationData[[#This Row],[ordered_units]]*ReconciliationData[[#This Row],[List_Price]]</f>
        <v>3172.1424000000002</v>
      </c>
      <c r="Z949">
        <f>ReconciliationData[[#This Row],[billed_revenue]]-ReconciliationData[[#This Row],[expected_revenue]]</f>
        <v>0</v>
      </c>
      <c r="AA9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49" t="str">
        <f>IF(ReconciliationData[[#This Row],[severity_score]]=0,"LOW",
 IF(ReconciliationData[[#This Row],[severity_score]]&lt;=5,"MEDIUM","HIGH"))</f>
        <v>LOW</v>
      </c>
      <c r="AC949" t="str">
        <f>TEXT(ReconciliationData[[#This Row],[Order_Date]],"YYYY-MM")</f>
        <v>2023-02</v>
      </c>
    </row>
    <row r="950" spans="1:29">
      <c r="A950" t="s">
        <v>2877</v>
      </c>
      <c r="B950" s="1">
        <v>45355</v>
      </c>
      <c r="C950" t="s">
        <v>1199</v>
      </c>
      <c r="D950" t="s">
        <v>374</v>
      </c>
      <c r="E950">
        <v>87</v>
      </c>
      <c r="F950" t="s">
        <v>2878</v>
      </c>
      <c r="G950">
        <v>87</v>
      </c>
      <c r="H950">
        <v>517.39100000000008</v>
      </c>
      <c r="N950">
        <v>517.39100000000008</v>
      </c>
      <c r="O950" s="1">
        <v>45045</v>
      </c>
      <c r="P950">
        <f>IF(ISBLANK(ReconciliationData[[#This Row],[Invoice_ID]]),1,0)</f>
        <v>0</v>
      </c>
      <c r="Q950">
        <f>IF(AND(NOT(ISBLANK(ReconciliationData[[#This Row],[Billed_Units]])),ReconciliationData[[#This Row],[ordered_units]]&lt;&gt;ReconciliationData[[#This Row],[Billed_Units]]),1,0)</f>
        <v>0</v>
      </c>
      <c r="R9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0">
        <f>IF(AND(NOT(ISBLANK(ReconciliationData[[#This Row],[Contract_Price]])),ReconciliationData[[#This Row],[Billed_Price]]&lt;&gt;ReconciliationData[[#This Row],[Contract_Price]]),1,0)</f>
        <v>0</v>
      </c>
      <c r="T950">
        <f>IF(AND(NOT(ISBLANK(ReconciliationData[[#This Row],[End_Date]])),ReconciliationData[[#This Row],[Order_Date]]&gt;ReconciliationData[[#This Row],[End_Date]]),1,0)</f>
        <v>0</v>
      </c>
      <c r="U950">
        <f>IF(AND(NOT(ISBLANK(ReconciliationData[[#This Row],[last_return_date]])),ReconciliationData[[#This Row],[last_return_date]]&gt;ReconciliationData[[#This Row],[Order_Date]]+60),1,0)</f>
        <v>0</v>
      </c>
      <c r="V950">
        <f>IF(ReconciliationData[[#This Row],[total_returned_units]]&gt;ReconciliationData[[#This Row],[ordered_units]],1,0)</f>
        <v>0</v>
      </c>
      <c r="W9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50">
        <f>ReconciliationData[[#This Row],[Billed_Units]]*ReconciliationData[[#This Row],[Billed_Price]]</f>
        <v>45013.017000000007</v>
      </c>
      <c r="Y950">
        <f>ReconciliationData[[#This Row],[ordered_units]]*ReconciliationData[[#This Row],[List_Price]]</f>
        <v>45013.017000000007</v>
      </c>
      <c r="Z950">
        <f>ReconciliationData[[#This Row],[billed_revenue]]-ReconciliationData[[#This Row],[expected_revenue]]</f>
        <v>0</v>
      </c>
      <c r="AA9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50" t="str">
        <f>IF(ReconciliationData[[#This Row],[severity_score]]=0,"LOW",
 IF(ReconciliationData[[#This Row],[severity_score]]&lt;=5,"MEDIUM","HIGH"))</f>
        <v>LOW</v>
      </c>
      <c r="AC950" t="str">
        <f>TEXT(ReconciliationData[[#This Row],[Order_Date]],"YYYY-MM")</f>
        <v>2024-03</v>
      </c>
    </row>
    <row r="951" spans="1:29">
      <c r="A951" t="s">
        <v>2879</v>
      </c>
      <c r="B951" s="1">
        <v>45051</v>
      </c>
      <c r="C951" t="s">
        <v>1631</v>
      </c>
      <c r="D951" t="s">
        <v>655</v>
      </c>
      <c r="E951">
        <v>47</v>
      </c>
      <c r="F951" t="s">
        <v>2880</v>
      </c>
      <c r="G951">
        <v>47</v>
      </c>
      <c r="H951">
        <v>134.64880000000002</v>
      </c>
      <c r="N951">
        <v>134.64880000000002</v>
      </c>
      <c r="O951" s="1">
        <v>44991</v>
      </c>
      <c r="P951">
        <f>IF(ISBLANK(ReconciliationData[[#This Row],[Invoice_ID]]),1,0)</f>
        <v>0</v>
      </c>
      <c r="Q951">
        <f>IF(AND(NOT(ISBLANK(ReconciliationData[[#This Row],[Billed_Units]])),ReconciliationData[[#This Row],[ordered_units]]&lt;&gt;ReconciliationData[[#This Row],[Billed_Units]]),1,0)</f>
        <v>0</v>
      </c>
      <c r="R9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1">
        <f>IF(AND(NOT(ISBLANK(ReconciliationData[[#This Row],[Contract_Price]])),ReconciliationData[[#This Row],[Billed_Price]]&lt;&gt;ReconciliationData[[#This Row],[Contract_Price]]),1,0)</f>
        <v>0</v>
      </c>
      <c r="T951">
        <f>IF(AND(NOT(ISBLANK(ReconciliationData[[#This Row],[End_Date]])),ReconciliationData[[#This Row],[Order_Date]]&gt;ReconciliationData[[#This Row],[End_Date]]),1,0)</f>
        <v>0</v>
      </c>
      <c r="U951">
        <f>IF(AND(NOT(ISBLANK(ReconciliationData[[#This Row],[last_return_date]])),ReconciliationData[[#This Row],[last_return_date]]&gt;ReconciliationData[[#This Row],[Order_Date]]+60),1,0)</f>
        <v>0</v>
      </c>
      <c r="V951">
        <f>IF(ReconciliationData[[#This Row],[total_returned_units]]&gt;ReconciliationData[[#This Row],[ordered_units]],1,0)</f>
        <v>0</v>
      </c>
      <c r="W9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51">
        <f>ReconciliationData[[#This Row],[Billed_Units]]*ReconciliationData[[#This Row],[Billed_Price]]</f>
        <v>6328.4936000000007</v>
      </c>
      <c r="Y951">
        <f>ReconciliationData[[#This Row],[ordered_units]]*ReconciliationData[[#This Row],[List_Price]]</f>
        <v>6328.4936000000007</v>
      </c>
      <c r="Z951">
        <f>ReconciliationData[[#This Row],[billed_revenue]]-ReconciliationData[[#This Row],[expected_revenue]]</f>
        <v>0</v>
      </c>
      <c r="AA9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51" t="str">
        <f>IF(ReconciliationData[[#This Row],[severity_score]]=0,"LOW",
 IF(ReconciliationData[[#This Row],[severity_score]]&lt;=5,"MEDIUM","HIGH"))</f>
        <v>LOW</v>
      </c>
      <c r="AC951" t="str">
        <f>TEXT(ReconciliationData[[#This Row],[Order_Date]],"YYYY-MM")</f>
        <v>2023-05</v>
      </c>
    </row>
    <row r="952" spans="1:29">
      <c r="A952" t="s">
        <v>2881</v>
      </c>
      <c r="B952" s="1">
        <v>45381</v>
      </c>
      <c r="C952" t="s">
        <v>1056</v>
      </c>
      <c r="D952" t="s">
        <v>166</v>
      </c>
      <c r="E952">
        <v>127</v>
      </c>
      <c r="F952" t="s">
        <v>2882</v>
      </c>
      <c r="G952">
        <v>127</v>
      </c>
      <c r="H952">
        <v>376.82319999999999</v>
      </c>
      <c r="N952">
        <v>376.82319999999999</v>
      </c>
      <c r="O952" s="1">
        <v>45171</v>
      </c>
      <c r="P952">
        <f>IF(ISBLANK(ReconciliationData[[#This Row],[Invoice_ID]]),1,0)</f>
        <v>0</v>
      </c>
      <c r="Q952">
        <f>IF(AND(NOT(ISBLANK(ReconciliationData[[#This Row],[Billed_Units]])),ReconciliationData[[#This Row],[ordered_units]]&lt;&gt;ReconciliationData[[#This Row],[Billed_Units]]),1,0)</f>
        <v>0</v>
      </c>
      <c r="R9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2">
        <f>IF(AND(NOT(ISBLANK(ReconciliationData[[#This Row],[Contract_Price]])),ReconciliationData[[#This Row],[Billed_Price]]&lt;&gt;ReconciliationData[[#This Row],[Contract_Price]]),1,0)</f>
        <v>0</v>
      </c>
      <c r="T952">
        <f>IF(AND(NOT(ISBLANK(ReconciliationData[[#This Row],[End_Date]])),ReconciliationData[[#This Row],[Order_Date]]&gt;ReconciliationData[[#This Row],[End_Date]]),1,0)</f>
        <v>0</v>
      </c>
      <c r="U952">
        <f>IF(AND(NOT(ISBLANK(ReconciliationData[[#This Row],[last_return_date]])),ReconciliationData[[#This Row],[last_return_date]]&gt;ReconciliationData[[#This Row],[Order_Date]]+60),1,0)</f>
        <v>0</v>
      </c>
      <c r="V952">
        <f>IF(ReconciliationData[[#This Row],[total_returned_units]]&gt;ReconciliationData[[#This Row],[ordered_units]],1,0)</f>
        <v>0</v>
      </c>
      <c r="W9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52">
        <f>ReconciliationData[[#This Row],[Billed_Units]]*ReconciliationData[[#This Row],[Billed_Price]]</f>
        <v>47856.546399999999</v>
      </c>
      <c r="Y952">
        <f>ReconciliationData[[#This Row],[ordered_units]]*ReconciliationData[[#This Row],[List_Price]]</f>
        <v>47856.546399999999</v>
      </c>
      <c r="Z952">
        <f>ReconciliationData[[#This Row],[billed_revenue]]-ReconciliationData[[#This Row],[expected_revenue]]</f>
        <v>0</v>
      </c>
      <c r="AA9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52" t="str">
        <f>IF(ReconciliationData[[#This Row],[severity_score]]=0,"LOW",
 IF(ReconciliationData[[#This Row],[severity_score]]&lt;=5,"MEDIUM","HIGH"))</f>
        <v>LOW</v>
      </c>
      <c r="AC952" t="str">
        <f>TEXT(ReconciliationData[[#This Row],[Order_Date]],"YYYY-MM")</f>
        <v>2024-03</v>
      </c>
    </row>
    <row r="953" spans="1:29">
      <c r="A953" t="s">
        <v>2883</v>
      </c>
      <c r="B953" s="1">
        <v>45105</v>
      </c>
      <c r="C953" t="s">
        <v>2884</v>
      </c>
      <c r="D953" t="s">
        <v>647</v>
      </c>
      <c r="E953">
        <v>64</v>
      </c>
      <c r="F953" t="s">
        <v>2885</v>
      </c>
      <c r="G953">
        <v>64</v>
      </c>
      <c r="H953">
        <v>279.42789999999997</v>
      </c>
      <c r="N953">
        <v>279.42789999999997</v>
      </c>
      <c r="O953" s="1">
        <v>45103</v>
      </c>
      <c r="P953">
        <f>IF(ISBLANK(ReconciliationData[[#This Row],[Invoice_ID]]),1,0)</f>
        <v>0</v>
      </c>
      <c r="Q953">
        <f>IF(AND(NOT(ISBLANK(ReconciliationData[[#This Row],[Billed_Units]])),ReconciliationData[[#This Row],[ordered_units]]&lt;&gt;ReconciliationData[[#This Row],[Billed_Units]]),1,0)</f>
        <v>0</v>
      </c>
      <c r="R9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3">
        <f>IF(AND(NOT(ISBLANK(ReconciliationData[[#This Row],[Contract_Price]])),ReconciliationData[[#This Row],[Billed_Price]]&lt;&gt;ReconciliationData[[#This Row],[Contract_Price]]),1,0)</f>
        <v>0</v>
      </c>
      <c r="T953">
        <f>IF(AND(NOT(ISBLANK(ReconciliationData[[#This Row],[End_Date]])),ReconciliationData[[#This Row],[Order_Date]]&gt;ReconciliationData[[#This Row],[End_Date]]),1,0)</f>
        <v>0</v>
      </c>
      <c r="U953">
        <f>IF(AND(NOT(ISBLANK(ReconciliationData[[#This Row],[last_return_date]])),ReconciliationData[[#This Row],[last_return_date]]&gt;ReconciliationData[[#This Row],[Order_Date]]+60),1,0)</f>
        <v>0</v>
      </c>
      <c r="V953">
        <f>IF(ReconciliationData[[#This Row],[total_returned_units]]&gt;ReconciliationData[[#This Row],[ordered_units]],1,0)</f>
        <v>0</v>
      </c>
      <c r="W9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53">
        <f>ReconciliationData[[#This Row],[Billed_Units]]*ReconciliationData[[#This Row],[Billed_Price]]</f>
        <v>17883.385599999998</v>
      </c>
      <c r="Y953">
        <f>ReconciliationData[[#This Row],[ordered_units]]*ReconciliationData[[#This Row],[List_Price]]</f>
        <v>17883.385599999998</v>
      </c>
      <c r="Z953">
        <f>ReconciliationData[[#This Row],[billed_revenue]]-ReconciliationData[[#This Row],[expected_revenue]]</f>
        <v>0</v>
      </c>
      <c r="AA9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53" t="str">
        <f>IF(ReconciliationData[[#This Row],[severity_score]]=0,"LOW",
 IF(ReconciliationData[[#This Row],[severity_score]]&lt;=5,"MEDIUM","HIGH"))</f>
        <v>LOW</v>
      </c>
      <c r="AC953" t="str">
        <f>TEXT(ReconciliationData[[#This Row],[Order_Date]],"YYYY-MM")</f>
        <v>2023-06</v>
      </c>
    </row>
    <row r="954" spans="1:29">
      <c r="A954" t="s">
        <v>2886</v>
      </c>
      <c r="B954" s="1">
        <v>45127</v>
      </c>
      <c r="C954" t="s">
        <v>384</v>
      </c>
      <c r="D954" t="s">
        <v>529</v>
      </c>
      <c r="E954">
        <v>42</v>
      </c>
      <c r="F954" t="s">
        <v>2887</v>
      </c>
      <c r="G954">
        <v>42</v>
      </c>
      <c r="H954">
        <v>560.37830000000008</v>
      </c>
      <c r="N954">
        <v>560.37830000000008</v>
      </c>
      <c r="O954" s="1">
        <v>45089</v>
      </c>
      <c r="P954">
        <f>IF(ISBLANK(ReconciliationData[[#This Row],[Invoice_ID]]),1,0)</f>
        <v>0</v>
      </c>
      <c r="Q954">
        <f>IF(AND(NOT(ISBLANK(ReconciliationData[[#This Row],[Billed_Units]])),ReconciliationData[[#This Row],[ordered_units]]&lt;&gt;ReconciliationData[[#This Row],[Billed_Units]]),1,0)</f>
        <v>0</v>
      </c>
      <c r="R9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4">
        <f>IF(AND(NOT(ISBLANK(ReconciliationData[[#This Row],[Contract_Price]])),ReconciliationData[[#This Row],[Billed_Price]]&lt;&gt;ReconciliationData[[#This Row],[Contract_Price]]),1,0)</f>
        <v>0</v>
      </c>
      <c r="T954">
        <f>IF(AND(NOT(ISBLANK(ReconciliationData[[#This Row],[End_Date]])),ReconciliationData[[#This Row],[Order_Date]]&gt;ReconciliationData[[#This Row],[End_Date]]),1,0)</f>
        <v>0</v>
      </c>
      <c r="U954">
        <f>IF(AND(NOT(ISBLANK(ReconciliationData[[#This Row],[last_return_date]])),ReconciliationData[[#This Row],[last_return_date]]&gt;ReconciliationData[[#This Row],[Order_Date]]+60),1,0)</f>
        <v>0</v>
      </c>
      <c r="V954">
        <f>IF(ReconciliationData[[#This Row],[total_returned_units]]&gt;ReconciliationData[[#This Row],[ordered_units]],1,0)</f>
        <v>0</v>
      </c>
      <c r="W9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54">
        <f>ReconciliationData[[#This Row],[Billed_Units]]*ReconciliationData[[#This Row],[Billed_Price]]</f>
        <v>23535.888600000002</v>
      </c>
      <c r="Y954">
        <f>ReconciliationData[[#This Row],[ordered_units]]*ReconciliationData[[#This Row],[List_Price]]</f>
        <v>23535.888600000002</v>
      </c>
      <c r="Z954">
        <f>ReconciliationData[[#This Row],[billed_revenue]]-ReconciliationData[[#This Row],[expected_revenue]]</f>
        <v>0</v>
      </c>
      <c r="AA9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54" t="str">
        <f>IF(ReconciliationData[[#This Row],[severity_score]]=0,"LOW",
 IF(ReconciliationData[[#This Row],[severity_score]]&lt;=5,"MEDIUM","HIGH"))</f>
        <v>LOW</v>
      </c>
      <c r="AC954" t="str">
        <f>TEXT(ReconciliationData[[#This Row],[Order_Date]],"YYYY-MM")</f>
        <v>2023-07</v>
      </c>
    </row>
    <row r="955" spans="1:29">
      <c r="A955" t="s">
        <v>2888</v>
      </c>
      <c r="B955" s="1">
        <v>45525</v>
      </c>
      <c r="C955" t="s">
        <v>1753</v>
      </c>
      <c r="D955" t="s">
        <v>472</v>
      </c>
      <c r="E955">
        <v>149</v>
      </c>
      <c r="F955" t="s">
        <v>2889</v>
      </c>
      <c r="G955">
        <v>149</v>
      </c>
      <c r="H955">
        <v>730.7886000000002</v>
      </c>
      <c r="N955">
        <v>730.7886000000002</v>
      </c>
      <c r="O955" s="1">
        <v>45099</v>
      </c>
      <c r="P955">
        <f>IF(ISBLANK(ReconciliationData[[#This Row],[Invoice_ID]]),1,0)</f>
        <v>0</v>
      </c>
      <c r="Q955">
        <f>IF(AND(NOT(ISBLANK(ReconciliationData[[#This Row],[Billed_Units]])),ReconciliationData[[#This Row],[ordered_units]]&lt;&gt;ReconciliationData[[#This Row],[Billed_Units]]),1,0)</f>
        <v>0</v>
      </c>
      <c r="R9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5">
        <f>IF(AND(NOT(ISBLANK(ReconciliationData[[#This Row],[Contract_Price]])),ReconciliationData[[#This Row],[Billed_Price]]&lt;&gt;ReconciliationData[[#This Row],[Contract_Price]]),1,0)</f>
        <v>0</v>
      </c>
      <c r="T955">
        <f>IF(AND(NOT(ISBLANK(ReconciliationData[[#This Row],[End_Date]])),ReconciliationData[[#This Row],[Order_Date]]&gt;ReconciliationData[[#This Row],[End_Date]]),1,0)</f>
        <v>0</v>
      </c>
      <c r="U955">
        <f>IF(AND(NOT(ISBLANK(ReconciliationData[[#This Row],[last_return_date]])),ReconciliationData[[#This Row],[last_return_date]]&gt;ReconciliationData[[#This Row],[Order_Date]]+60),1,0)</f>
        <v>0</v>
      </c>
      <c r="V955">
        <f>IF(ReconciliationData[[#This Row],[total_returned_units]]&gt;ReconciliationData[[#This Row],[ordered_units]],1,0)</f>
        <v>0</v>
      </c>
      <c r="W9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55">
        <f>ReconciliationData[[#This Row],[Billed_Units]]*ReconciliationData[[#This Row],[Billed_Price]]</f>
        <v>108887.50140000002</v>
      </c>
      <c r="Y955">
        <f>ReconciliationData[[#This Row],[ordered_units]]*ReconciliationData[[#This Row],[List_Price]]</f>
        <v>108887.50140000002</v>
      </c>
      <c r="Z955">
        <f>ReconciliationData[[#This Row],[billed_revenue]]-ReconciliationData[[#This Row],[expected_revenue]]</f>
        <v>0</v>
      </c>
      <c r="AA9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55" t="str">
        <f>IF(ReconciliationData[[#This Row],[severity_score]]=0,"LOW",
 IF(ReconciliationData[[#This Row],[severity_score]]&lt;=5,"MEDIUM","HIGH"))</f>
        <v>LOW</v>
      </c>
      <c r="AC955" t="str">
        <f>TEXT(ReconciliationData[[#This Row],[Order_Date]],"YYYY-MM")</f>
        <v>2024-08</v>
      </c>
    </row>
    <row r="956" spans="1:29">
      <c r="A956" t="s">
        <v>2890</v>
      </c>
      <c r="B956" s="1">
        <v>45488</v>
      </c>
      <c r="C956" t="s">
        <v>1410</v>
      </c>
      <c r="D956" t="s">
        <v>504</v>
      </c>
      <c r="E956">
        <v>32</v>
      </c>
      <c r="F956" t="s">
        <v>2891</v>
      </c>
      <c r="G956">
        <v>32</v>
      </c>
      <c r="H956">
        <v>245.8853</v>
      </c>
      <c r="N956">
        <v>245.8853</v>
      </c>
      <c r="O956" s="1">
        <v>45025</v>
      </c>
      <c r="P956">
        <f>IF(ISBLANK(ReconciliationData[[#This Row],[Invoice_ID]]),1,0)</f>
        <v>0</v>
      </c>
      <c r="Q956">
        <f>IF(AND(NOT(ISBLANK(ReconciliationData[[#This Row],[Billed_Units]])),ReconciliationData[[#This Row],[ordered_units]]&lt;&gt;ReconciliationData[[#This Row],[Billed_Units]]),1,0)</f>
        <v>0</v>
      </c>
      <c r="R9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6">
        <f>IF(AND(NOT(ISBLANK(ReconciliationData[[#This Row],[Contract_Price]])),ReconciliationData[[#This Row],[Billed_Price]]&lt;&gt;ReconciliationData[[#This Row],[Contract_Price]]),1,0)</f>
        <v>0</v>
      </c>
      <c r="T956">
        <f>IF(AND(NOT(ISBLANK(ReconciliationData[[#This Row],[End_Date]])),ReconciliationData[[#This Row],[Order_Date]]&gt;ReconciliationData[[#This Row],[End_Date]]),1,0)</f>
        <v>0</v>
      </c>
      <c r="U956">
        <f>IF(AND(NOT(ISBLANK(ReconciliationData[[#This Row],[last_return_date]])),ReconciliationData[[#This Row],[last_return_date]]&gt;ReconciliationData[[#This Row],[Order_Date]]+60),1,0)</f>
        <v>0</v>
      </c>
      <c r="V956">
        <f>IF(ReconciliationData[[#This Row],[total_returned_units]]&gt;ReconciliationData[[#This Row],[ordered_units]],1,0)</f>
        <v>0</v>
      </c>
      <c r="W9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56">
        <f>ReconciliationData[[#This Row],[Billed_Units]]*ReconciliationData[[#This Row],[Billed_Price]]</f>
        <v>7868.3296</v>
      </c>
      <c r="Y956">
        <f>ReconciliationData[[#This Row],[ordered_units]]*ReconciliationData[[#This Row],[List_Price]]</f>
        <v>7868.3296</v>
      </c>
      <c r="Z956">
        <f>ReconciliationData[[#This Row],[billed_revenue]]-ReconciliationData[[#This Row],[expected_revenue]]</f>
        <v>0</v>
      </c>
      <c r="AA9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56" t="str">
        <f>IF(ReconciliationData[[#This Row],[severity_score]]=0,"LOW",
 IF(ReconciliationData[[#This Row],[severity_score]]&lt;=5,"MEDIUM","HIGH"))</f>
        <v>LOW</v>
      </c>
      <c r="AC956" t="str">
        <f>TEXT(ReconciliationData[[#This Row],[Order_Date]],"YYYY-MM")</f>
        <v>2024-07</v>
      </c>
    </row>
    <row r="957" spans="1:29">
      <c r="A957" t="s">
        <v>2892</v>
      </c>
      <c r="B957" s="1">
        <v>45361</v>
      </c>
      <c r="C957" t="s">
        <v>161</v>
      </c>
      <c r="D957" t="s">
        <v>494</v>
      </c>
      <c r="E957">
        <v>176</v>
      </c>
      <c r="F957" t="s">
        <v>2893</v>
      </c>
      <c r="G957">
        <v>176</v>
      </c>
      <c r="H957">
        <v>262.37120000000004</v>
      </c>
      <c r="I957">
        <v>16</v>
      </c>
      <c r="J957" s="1">
        <v>45246</v>
      </c>
      <c r="N957">
        <v>262.37120000000004</v>
      </c>
      <c r="O957" s="1">
        <v>45105</v>
      </c>
      <c r="P957">
        <f>IF(ISBLANK(ReconciliationData[[#This Row],[Invoice_ID]]),1,0)</f>
        <v>0</v>
      </c>
      <c r="Q957">
        <f>IF(AND(NOT(ISBLANK(ReconciliationData[[#This Row],[Billed_Units]])),ReconciliationData[[#This Row],[ordered_units]]&lt;&gt;ReconciliationData[[#This Row],[Billed_Units]]),1,0)</f>
        <v>0</v>
      </c>
      <c r="R9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7">
        <f>IF(AND(NOT(ISBLANK(ReconciliationData[[#This Row],[Contract_Price]])),ReconciliationData[[#This Row],[Billed_Price]]&lt;&gt;ReconciliationData[[#This Row],[Contract_Price]]),1,0)</f>
        <v>0</v>
      </c>
      <c r="T957">
        <f>IF(AND(NOT(ISBLANK(ReconciliationData[[#This Row],[End_Date]])),ReconciliationData[[#This Row],[Order_Date]]&gt;ReconciliationData[[#This Row],[End_Date]]),1,0)</f>
        <v>0</v>
      </c>
      <c r="U957">
        <f>IF(AND(NOT(ISBLANK(ReconciliationData[[#This Row],[last_return_date]])),ReconciliationData[[#This Row],[last_return_date]]&gt;ReconciliationData[[#This Row],[Order_Date]]+60),1,0)</f>
        <v>0</v>
      </c>
      <c r="V957">
        <f>IF(ReconciliationData[[#This Row],[total_returned_units]]&gt;ReconciliationData[[#This Row],[ordered_units]],1,0)</f>
        <v>0</v>
      </c>
      <c r="W9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57">
        <f>ReconciliationData[[#This Row],[Billed_Units]]*ReconciliationData[[#This Row],[Billed_Price]]</f>
        <v>46177.331200000008</v>
      </c>
      <c r="Y957">
        <f>ReconciliationData[[#This Row],[ordered_units]]*ReconciliationData[[#This Row],[List_Price]]</f>
        <v>46177.331200000008</v>
      </c>
      <c r="Z957">
        <f>ReconciliationData[[#This Row],[billed_revenue]]-ReconciliationData[[#This Row],[expected_revenue]]</f>
        <v>0</v>
      </c>
      <c r="AA9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57" t="str">
        <f>IF(ReconciliationData[[#This Row],[severity_score]]=0,"LOW",
 IF(ReconciliationData[[#This Row],[severity_score]]&lt;=5,"MEDIUM","HIGH"))</f>
        <v>LOW</v>
      </c>
      <c r="AC957" t="str">
        <f>TEXT(ReconciliationData[[#This Row],[Order_Date]],"YYYY-MM")</f>
        <v>2024-03</v>
      </c>
    </row>
    <row r="958" spans="1:29">
      <c r="A958" t="s">
        <v>2894</v>
      </c>
      <c r="B958" s="1">
        <v>45279</v>
      </c>
      <c r="C958" t="s">
        <v>1241</v>
      </c>
      <c r="D958" t="s">
        <v>1533</v>
      </c>
      <c r="E958">
        <v>42</v>
      </c>
      <c r="F958" t="s">
        <v>2895</v>
      </c>
      <c r="G958">
        <v>42</v>
      </c>
      <c r="H958">
        <v>952.36940000000004</v>
      </c>
      <c r="I958">
        <v>12</v>
      </c>
      <c r="J958" s="1">
        <v>45667</v>
      </c>
      <c r="N958">
        <v>952.36940000000004</v>
      </c>
      <c r="O958" s="1">
        <v>45169</v>
      </c>
      <c r="P958">
        <f>IF(ISBLANK(ReconciliationData[[#This Row],[Invoice_ID]]),1,0)</f>
        <v>0</v>
      </c>
      <c r="Q958">
        <f>IF(AND(NOT(ISBLANK(ReconciliationData[[#This Row],[Billed_Units]])),ReconciliationData[[#This Row],[ordered_units]]&lt;&gt;ReconciliationData[[#This Row],[Billed_Units]]),1,0)</f>
        <v>0</v>
      </c>
      <c r="R9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8">
        <f>IF(AND(NOT(ISBLANK(ReconciliationData[[#This Row],[Contract_Price]])),ReconciliationData[[#This Row],[Billed_Price]]&lt;&gt;ReconciliationData[[#This Row],[Contract_Price]]),1,0)</f>
        <v>0</v>
      </c>
      <c r="T958">
        <f>IF(AND(NOT(ISBLANK(ReconciliationData[[#This Row],[End_Date]])),ReconciliationData[[#This Row],[Order_Date]]&gt;ReconciliationData[[#This Row],[End_Date]]),1,0)</f>
        <v>0</v>
      </c>
      <c r="U958">
        <f>IF(AND(NOT(ISBLANK(ReconciliationData[[#This Row],[last_return_date]])),ReconciliationData[[#This Row],[last_return_date]]&gt;ReconciliationData[[#This Row],[Order_Date]]+60),1,0)</f>
        <v>1</v>
      </c>
      <c r="V958">
        <f>IF(ReconciliationData[[#This Row],[total_returned_units]]&gt;ReconciliationData[[#This Row],[ordered_units]],1,0)</f>
        <v>0</v>
      </c>
      <c r="W9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58">
        <f>ReconciliationData[[#This Row],[Billed_Units]]*ReconciliationData[[#This Row],[Billed_Price]]</f>
        <v>39999.514800000004</v>
      </c>
      <c r="Y958">
        <f>ReconciliationData[[#This Row],[ordered_units]]*ReconciliationData[[#This Row],[List_Price]]</f>
        <v>39999.514800000004</v>
      </c>
      <c r="Z958">
        <f>ReconciliationData[[#This Row],[billed_revenue]]-ReconciliationData[[#This Row],[expected_revenue]]</f>
        <v>0</v>
      </c>
      <c r="AA9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958" t="str">
        <f>IF(ReconciliationData[[#This Row],[severity_score]]=0,"LOW",
 IF(ReconciliationData[[#This Row],[severity_score]]&lt;=5,"MEDIUM","HIGH"))</f>
        <v>MEDIUM</v>
      </c>
      <c r="AC958" t="str">
        <f>TEXT(ReconciliationData[[#This Row],[Order_Date]],"YYYY-MM")</f>
        <v>2023-12</v>
      </c>
    </row>
    <row r="959" spans="1:29">
      <c r="A959" t="s">
        <v>2896</v>
      </c>
      <c r="B959" s="1">
        <v>45117</v>
      </c>
      <c r="C959" t="s">
        <v>1588</v>
      </c>
      <c r="D959" t="s">
        <v>1706</v>
      </c>
      <c r="E959">
        <v>94</v>
      </c>
      <c r="F959" t="s">
        <v>2897</v>
      </c>
      <c r="G959">
        <v>94</v>
      </c>
      <c r="H959">
        <v>854.74350000000004</v>
      </c>
      <c r="N959">
        <v>854.74350000000004</v>
      </c>
      <c r="O959" s="1">
        <v>44984</v>
      </c>
      <c r="P959">
        <f>IF(ISBLANK(ReconciliationData[[#This Row],[Invoice_ID]]),1,0)</f>
        <v>0</v>
      </c>
      <c r="Q959">
        <f>IF(AND(NOT(ISBLANK(ReconciliationData[[#This Row],[Billed_Units]])),ReconciliationData[[#This Row],[ordered_units]]&lt;&gt;ReconciliationData[[#This Row],[Billed_Units]]),1,0)</f>
        <v>0</v>
      </c>
      <c r="R9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59">
        <f>IF(AND(NOT(ISBLANK(ReconciliationData[[#This Row],[Contract_Price]])),ReconciliationData[[#This Row],[Billed_Price]]&lt;&gt;ReconciliationData[[#This Row],[Contract_Price]]),1,0)</f>
        <v>0</v>
      </c>
      <c r="T959">
        <f>IF(AND(NOT(ISBLANK(ReconciliationData[[#This Row],[End_Date]])),ReconciliationData[[#This Row],[Order_Date]]&gt;ReconciliationData[[#This Row],[End_Date]]),1,0)</f>
        <v>0</v>
      </c>
      <c r="U959">
        <f>IF(AND(NOT(ISBLANK(ReconciliationData[[#This Row],[last_return_date]])),ReconciliationData[[#This Row],[last_return_date]]&gt;ReconciliationData[[#This Row],[Order_Date]]+60),1,0)</f>
        <v>0</v>
      </c>
      <c r="V959">
        <f>IF(ReconciliationData[[#This Row],[total_returned_units]]&gt;ReconciliationData[[#This Row],[ordered_units]],1,0)</f>
        <v>0</v>
      </c>
      <c r="W9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59">
        <f>ReconciliationData[[#This Row],[Billed_Units]]*ReconciliationData[[#This Row],[Billed_Price]]</f>
        <v>80345.88900000001</v>
      </c>
      <c r="Y959">
        <f>ReconciliationData[[#This Row],[ordered_units]]*ReconciliationData[[#This Row],[List_Price]]</f>
        <v>80345.88900000001</v>
      </c>
      <c r="Z959">
        <f>ReconciliationData[[#This Row],[billed_revenue]]-ReconciliationData[[#This Row],[expected_revenue]]</f>
        <v>0</v>
      </c>
      <c r="AA9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59" t="str">
        <f>IF(ReconciliationData[[#This Row],[severity_score]]=0,"LOW",
 IF(ReconciliationData[[#This Row],[severity_score]]&lt;=5,"MEDIUM","HIGH"))</f>
        <v>LOW</v>
      </c>
      <c r="AC959" t="str">
        <f>TEXT(ReconciliationData[[#This Row],[Order_Date]],"YYYY-MM")</f>
        <v>2023-07</v>
      </c>
    </row>
    <row r="960" spans="1:29">
      <c r="A960" t="s">
        <v>2898</v>
      </c>
      <c r="B960" s="1">
        <v>44995</v>
      </c>
      <c r="C960" t="s">
        <v>2899</v>
      </c>
      <c r="D960" t="s">
        <v>291</v>
      </c>
      <c r="E960">
        <v>183</v>
      </c>
      <c r="F960" t="s">
        <v>2900</v>
      </c>
      <c r="G960">
        <v>183</v>
      </c>
      <c r="H960">
        <v>429.23</v>
      </c>
      <c r="I960">
        <v>18</v>
      </c>
      <c r="J960" s="1">
        <v>45444</v>
      </c>
      <c r="N960">
        <v>429.23</v>
      </c>
      <c r="O960" s="1">
        <v>44617</v>
      </c>
      <c r="P960">
        <f>IF(ISBLANK(ReconciliationData[[#This Row],[Invoice_ID]]),1,0)</f>
        <v>0</v>
      </c>
      <c r="Q960">
        <f>IF(AND(NOT(ISBLANK(ReconciliationData[[#This Row],[Billed_Units]])),ReconciliationData[[#This Row],[ordered_units]]&lt;&gt;ReconciliationData[[#This Row],[Billed_Units]]),1,0)</f>
        <v>0</v>
      </c>
      <c r="R9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60">
        <f>IF(AND(NOT(ISBLANK(ReconciliationData[[#This Row],[Contract_Price]])),ReconciliationData[[#This Row],[Billed_Price]]&lt;&gt;ReconciliationData[[#This Row],[Contract_Price]]),1,0)</f>
        <v>0</v>
      </c>
      <c r="T960">
        <f>IF(AND(NOT(ISBLANK(ReconciliationData[[#This Row],[End_Date]])),ReconciliationData[[#This Row],[Order_Date]]&gt;ReconciliationData[[#This Row],[End_Date]]),1,0)</f>
        <v>0</v>
      </c>
      <c r="U960">
        <f>IF(AND(NOT(ISBLANK(ReconciliationData[[#This Row],[last_return_date]])),ReconciliationData[[#This Row],[last_return_date]]&gt;ReconciliationData[[#This Row],[Order_Date]]+60),1,0)</f>
        <v>1</v>
      </c>
      <c r="V960">
        <f>IF(ReconciliationData[[#This Row],[total_returned_units]]&gt;ReconciliationData[[#This Row],[ordered_units]],1,0)</f>
        <v>0</v>
      </c>
      <c r="W9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60">
        <f>ReconciliationData[[#This Row],[Billed_Units]]*ReconciliationData[[#This Row],[Billed_Price]]</f>
        <v>78549.09</v>
      </c>
      <c r="Y960">
        <f>ReconciliationData[[#This Row],[ordered_units]]*ReconciliationData[[#This Row],[List_Price]]</f>
        <v>78549.09</v>
      </c>
      <c r="Z960">
        <f>ReconciliationData[[#This Row],[billed_revenue]]-ReconciliationData[[#This Row],[expected_revenue]]</f>
        <v>0</v>
      </c>
      <c r="AA9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960" t="str">
        <f>IF(ReconciliationData[[#This Row],[severity_score]]=0,"LOW",
 IF(ReconciliationData[[#This Row],[severity_score]]&lt;=5,"MEDIUM","HIGH"))</f>
        <v>MEDIUM</v>
      </c>
      <c r="AC960" t="str">
        <f>TEXT(ReconciliationData[[#This Row],[Order_Date]],"YYYY-MM")</f>
        <v>2023-03</v>
      </c>
    </row>
    <row r="961" spans="1:29">
      <c r="A961" t="s">
        <v>2901</v>
      </c>
      <c r="B961" s="1">
        <v>45427</v>
      </c>
      <c r="C961" t="s">
        <v>2902</v>
      </c>
      <c r="D961" t="s">
        <v>863</v>
      </c>
      <c r="E961">
        <v>14</v>
      </c>
      <c r="F961" t="s">
        <v>2903</v>
      </c>
      <c r="G961">
        <v>14</v>
      </c>
      <c r="H961">
        <v>815.08680000000004</v>
      </c>
      <c r="N961">
        <v>815.08680000000004</v>
      </c>
      <c r="O961" s="1">
        <v>45062</v>
      </c>
      <c r="P961">
        <f>IF(ISBLANK(ReconciliationData[[#This Row],[Invoice_ID]]),1,0)</f>
        <v>0</v>
      </c>
      <c r="Q961">
        <f>IF(AND(NOT(ISBLANK(ReconciliationData[[#This Row],[Billed_Units]])),ReconciliationData[[#This Row],[ordered_units]]&lt;&gt;ReconciliationData[[#This Row],[Billed_Units]]),1,0)</f>
        <v>0</v>
      </c>
      <c r="R9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61">
        <f>IF(AND(NOT(ISBLANK(ReconciliationData[[#This Row],[Contract_Price]])),ReconciliationData[[#This Row],[Billed_Price]]&lt;&gt;ReconciliationData[[#This Row],[Contract_Price]]),1,0)</f>
        <v>0</v>
      </c>
      <c r="T961">
        <f>IF(AND(NOT(ISBLANK(ReconciliationData[[#This Row],[End_Date]])),ReconciliationData[[#This Row],[Order_Date]]&gt;ReconciliationData[[#This Row],[End_Date]]),1,0)</f>
        <v>0</v>
      </c>
      <c r="U961">
        <f>IF(AND(NOT(ISBLANK(ReconciliationData[[#This Row],[last_return_date]])),ReconciliationData[[#This Row],[last_return_date]]&gt;ReconciliationData[[#This Row],[Order_Date]]+60),1,0)</f>
        <v>0</v>
      </c>
      <c r="V961">
        <f>IF(ReconciliationData[[#This Row],[total_returned_units]]&gt;ReconciliationData[[#This Row],[ordered_units]],1,0)</f>
        <v>0</v>
      </c>
      <c r="W9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61">
        <f>ReconciliationData[[#This Row],[Billed_Units]]*ReconciliationData[[#This Row],[Billed_Price]]</f>
        <v>11411.215200000001</v>
      </c>
      <c r="Y961">
        <f>ReconciliationData[[#This Row],[ordered_units]]*ReconciliationData[[#This Row],[List_Price]]</f>
        <v>11411.215200000001</v>
      </c>
      <c r="Z961">
        <f>ReconciliationData[[#This Row],[billed_revenue]]-ReconciliationData[[#This Row],[expected_revenue]]</f>
        <v>0</v>
      </c>
      <c r="AA9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61" t="str">
        <f>IF(ReconciliationData[[#This Row],[severity_score]]=0,"LOW",
 IF(ReconciliationData[[#This Row],[severity_score]]&lt;=5,"MEDIUM","HIGH"))</f>
        <v>LOW</v>
      </c>
      <c r="AC961" t="str">
        <f>TEXT(ReconciliationData[[#This Row],[Order_Date]],"YYYY-MM")</f>
        <v>2024-05</v>
      </c>
    </row>
    <row r="962" spans="1:29">
      <c r="A962" t="s">
        <v>2904</v>
      </c>
      <c r="B962" s="1">
        <v>45270</v>
      </c>
      <c r="C962" t="s">
        <v>1375</v>
      </c>
      <c r="D962" t="s">
        <v>987</v>
      </c>
      <c r="E962">
        <v>58</v>
      </c>
      <c r="F962" t="s">
        <v>2905</v>
      </c>
      <c r="G962">
        <v>58</v>
      </c>
      <c r="H962">
        <v>233.05156292628871</v>
      </c>
      <c r="I962">
        <v>19</v>
      </c>
      <c r="J962" s="1">
        <v>45211</v>
      </c>
      <c r="N962">
        <v>232.3732</v>
      </c>
      <c r="O962" s="1">
        <v>45065</v>
      </c>
      <c r="P962">
        <f>IF(ISBLANK(ReconciliationData[[#This Row],[Invoice_ID]]),1,0)</f>
        <v>0</v>
      </c>
      <c r="Q962">
        <f>IF(AND(NOT(ISBLANK(ReconciliationData[[#This Row],[Billed_Units]])),ReconciliationData[[#This Row],[ordered_units]]&lt;&gt;ReconciliationData[[#This Row],[Billed_Units]]),1,0)</f>
        <v>0</v>
      </c>
      <c r="R96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962">
        <f>IF(AND(NOT(ISBLANK(ReconciliationData[[#This Row],[Contract_Price]])),ReconciliationData[[#This Row],[Billed_Price]]&lt;&gt;ReconciliationData[[#This Row],[Contract_Price]]),1,0)</f>
        <v>0</v>
      </c>
      <c r="T962">
        <f>IF(AND(NOT(ISBLANK(ReconciliationData[[#This Row],[End_Date]])),ReconciliationData[[#This Row],[Order_Date]]&gt;ReconciliationData[[#This Row],[End_Date]]),1,0)</f>
        <v>0</v>
      </c>
      <c r="U962">
        <f>IF(AND(NOT(ISBLANK(ReconciliationData[[#This Row],[last_return_date]])),ReconciliationData[[#This Row],[last_return_date]]&gt;ReconciliationData[[#This Row],[Order_Date]]+60),1,0)</f>
        <v>0</v>
      </c>
      <c r="V962">
        <f>IF(ReconciliationData[[#This Row],[total_returned_units]]&gt;ReconciliationData[[#This Row],[ordered_units]],1,0)</f>
        <v>0</v>
      </c>
      <c r="W9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62">
        <f>ReconciliationData[[#This Row],[Billed_Units]]*ReconciliationData[[#This Row],[Billed_Price]]</f>
        <v>13516.990649724745</v>
      </c>
      <c r="Y962">
        <f>ReconciliationData[[#This Row],[ordered_units]]*ReconciliationData[[#This Row],[List_Price]]</f>
        <v>13477.6456</v>
      </c>
      <c r="Z962">
        <f>ReconciliationData[[#This Row],[billed_revenue]]-ReconciliationData[[#This Row],[expected_revenue]]</f>
        <v>39.345049724744968</v>
      </c>
      <c r="AA9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962" t="str">
        <f>IF(ReconciliationData[[#This Row],[severity_score]]=0,"LOW",
 IF(ReconciliationData[[#This Row],[severity_score]]&lt;=5,"MEDIUM","HIGH"))</f>
        <v>MEDIUM</v>
      </c>
      <c r="AC962" t="str">
        <f>TEXT(ReconciliationData[[#This Row],[Order_Date]],"YYYY-MM")</f>
        <v>2023-12</v>
      </c>
    </row>
    <row r="963" spans="1:29">
      <c r="A963" t="s">
        <v>2906</v>
      </c>
      <c r="B963" s="1">
        <v>45136</v>
      </c>
      <c r="C963" t="s">
        <v>1920</v>
      </c>
      <c r="D963" t="s">
        <v>684</v>
      </c>
      <c r="E963">
        <v>66</v>
      </c>
      <c r="F963" t="s">
        <v>2907</v>
      </c>
      <c r="G963">
        <v>66</v>
      </c>
      <c r="H963">
        <v>75.620999999999995</v>
      </c>
      <c r="I963">
        <v>16</v>
      </c>
      <c r="J963" s="1">
        <v>45016</v>
      </c>
      <c r="N963">
        <v>75.620999999999995</v>
      </c>
      <c r="O963" s="1">
        <v>45108</v>
      </c>
      <c r="P963">
        <f>IF(ISBLANK(ReconciliationData[[#This Row],[Invoice_ID]]),1,0)</f>
        <v>0</v>
      </c>
      <c r="Q963">
        <f>IF(AND(NOT(ISBLANK(ReconciliationData[[#This Row],[Billed_Units]])),ReconciliationData[[#This Row],[ordered_units]]&lt;&gt;ReconciliationData[[#This Row],[Billed_Units]]),1,0)</f>
        <v>0</v>
      </c>
      <c r="R9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63">
        <f>IF(AND(NOT(ISBLANK(ReconciliationData[[#This Row],[Contract_Price]])),ReconciliationData[[#This Row],[Billed_Price]]&lt;&gt;ReconciliationData[[#This Row],[Contract_Price]]),1,0)</f>
        <v>0</v>
      </c>
      <c r="T963">
        <f>IF(AND(NOT(ISBLANK(ReconciliationData[[#This Row],[End_Date]])),ReconciliationData[[#This Row],[Order_Date]]&gt;ReconciliationData[[#This Row],[End_Date]]),1,0)</f>
        <v>0</v>
      </c>
      <c r="U963">
        <f>IF(AND(NOT(ISBLANK(ReconciliationData[[#This Row],[last_return_date]])),ReconciliationData[[#This Row],[last_return_date]]&gt;ReconciliationData[[#This Row],[Order_Date]]+60),1,0)</f>
        <v>0</v>
      </c>
      <c r="V963">
        <f>IF(ReconciliationData[[#This Row],[total_returned_units]]&gt;ReconciliationData[[#This Row],[ordered_units]],1,0)</f>
        <v>0</v>
      </c>
      <c r="W9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63">
        <f>ReconciliationData[[#This Row],[Billed_Units]]*ReconciliationData[[#This Row],[Billed_Price]]</f>
        <v>4990.9859999999999</v>
      </c>
      <c r="Y963">
        <f>ReconciliationData[[#This Row],[ordered_units]]*ReconciliationData[[#This Row],[List_Price]]</f>
        <v>4990.9859999999999</v>
      </c>
      <c r="Z963">
        <f>ReconciliationData[[#This Row],[billed_revenue]]-ReconciliationData[[#This Row],[expected_revenue]]</f>
        <v>0</v>
      </c>
      <c r="AA9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63" t="str">
        <f>IF(ReconciliationData[[#This Row],[severity_score]]=0,"LOW",
 IF(ReconciliationData[[#This Row],[severity_score]]&lt;=5,"MEDIUM","HIGH"))</f>
        <v>LOW</v>
      </c>
      <c r="AC963" t="str">
        <f>TEXT(ReconciliationData[[#This Row],[Order_Date]],"YYYY-MM")</f>
        <v>2023-07</v>
      </c>
    </row>
    <row r="964" spans="1:29">
      <c r="A964" t="s">
        <v>2908</v>
      </c>
      <c r="B964" s="1">
        <v>44940</v>
      </c>
      <c r="C964" t="s">
        <v>205</v>
      </c>
      <c r="D964" t="s">
        <v>186</v>
      </c>
      <c r="E964">
        <v>156</v>
      </c>
      <c r="F964" t="s">
        <v>2909</v>
      </c>
      <c r="G964">
        <v>158</v>
      </c>
      <c r="H964">
        <v>248.24449999999999</v>
      </c>
      <c r="N964">
        <v>248.24449999999999</v>
      </c>
      <c r="O964" s="1">
        <v>44933</v>
      </c>
      <c r="P964">
        <f>IF(ISBLANK(ReconciliationData[[#This Row],[Invoice_ID]]),1,0)</f>
        <v>0</v>
      </c>
      <c r="Q964">
        <f>IF(AND(NOT(ISBLANK(ReconciliationData[[#This Row],[Billed_Units]])),ReconciliationData[[#This Row],[ordered_units]]&lt;&gt;ReconciliationData[[#This Row],[Billed_Units]]),1,0)</f>
        <v>1</v>
      </c>
      <c r="R9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64">
        <f>IF(AND(NOT(ISBLANK(ReconciliationData[[#This Row],[Contract_Price]])),ReconciliationData[[#This Row],[Billed_Price]]&lt;&gt;ReconciliationData[[#This Row],[Contract_Price]]),1,0)</f>
        <v>0</v>
      </c>
      <c r="T964">
        <f>IF(AND(NOT(ISBLANK(ReconciliationData[[#This Row],[End_Date]])),ReconciliationData[[#This Row],[Order_Date]]&gt;ReconciliationData[[#This Row],[End_Date]]),1,0)</f>
        <v>0</v>
      </c>
      <c r="U964">
        <f>IF(AND(NOT(ISBLANK(ReconciliationData[[#This Row],[last_return_date]])),ReconciliationData[[#This Row],[last_return_date]]&gt;ReconciliationData[[#This Row],[Order_Date]]+60),1,0)</f>
        <v>0</v>
      </c>
      <c r="V964">
        <f>IF(ReconciliationData[[#This Row],[total_returned_units]]&gt;ReconciliationData[[#This Row],[ordered_units]],1,0)</f>
        <v>0</v>
      </c>
      <c r="W9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64">
        <f>ReconciliationData[[#This Row],[Billed_Units]]*ReconciliationData[[#This Row],[Billed_Price]]</f>
        <v>39222.631000000001</v>
      </c>
      <c r="Y964">
        <f>ReconciliationData[[#This Row],[ordered_units]]*ReconciliationData[[#This Row],[List_Price]]</f>
        <v>38726.142</v>
      </c>
      <c r="Z964">
        <f>ReconciliationData[[#This Row],[billed_revenue]]-ReconciliationData[[#This Row],[expected_revenue]]</f>
        <v>496.4890000000014</v>
      </c>
      <c r="AA9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964" t="str">
        <f>IF(ReconciliationData[[#This Row],[severity_score]]=0,"LOW",
 IF(ReconciliationData[[#This Row],[severity_score]]&lt;=5,"MEDIUM","HIGH"))</f>
        <v>MEDIUM</v>
      </c>
      <c r="AC964" t="str">
        <f>TEXT(ReconciliationData[[#This Row],[Order_Date]],"YYYY-MM")</f>
        <v>2023-01</v>
      </c>
    </row>
    <row r="965" spans="1:29">
      <c r="A965" t="s">
        <v>2910</v>
      </c>
      <c r="B965" s="1">
        <v>45053</v>
      </c>
      <c r="C965" t="s">
        <v>1208</v>
      </c>
      <c r="D965" t="s">
        <v>1094</v>
      </c>
      <c r="E965">
        <v>86</v>
      </c>
      <c r="F965" t="s">
        <v>2911</v>
      </c>
      <c r="G965">
        <v>86</v>
      </c>
      <c r="H965">
        <v>977.22280000000001</v>
      </c>
      <c r="N965">
        <v>977.22280000000001</v>
      </c>
      <c r="O965" s="1">
        <v>44984</v>
      </c>
      <c r="P965">
        <f>IF(ISBLANK(ReconciliationData[[#This Row],[Invoice_ID]]),1,0)</f>
        <v>0</v>
      </c>
      <c r="Q965">
        <f>IF(AND(NOT(ISBLANK(ReconciliationData[[#This Row],[Billed_Units]])),ReconciliationData[[#This Row],[ordered_units]]&lt;&gt;ReconciliationData[[#This Row],[Billed_Units]]),1,0)</f>
        <v>0</v>
      </c>
      <c r="R9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65">
        <f>IF(AND(NOT(ISBLANK(ReconciliationData[[#This Row],[Contract_Price]])),ReconciliationData[[#This Row],[Billed_Price]]&lt;&gt;ReconciliationData[[#This Row],[Contract_Price]]),1,0)</f>
        <v>0</v>
      </c>
      <c r="T965">
        <f>IF(AND(NOT(ISBLANK(ReconciliationData[[#This Row],[End_Date]])),ReconciliationData[[#This Row],[Order_Date]]&gt;ReconciliationData[[#This Row],[End_Date]]),1,0)</f>
        <v>0</v>
      </c>
      <c r="U965">
        <f>IF(AND(NOT(ISBLANK(ReconciliationData[[#This Row],[last_return_date]])),ReconciliationData[[#This Row],[last_return_date]]&gt;ReconciliationData[[#This Row],[Order_Date]]+60),1,0)</f>
        <v>0</v>
      </c>
      <c r="V965">
        <f>IF(ReconciliationData[[#This Row],[total_returned_units]]&gt;ReconciliationData[[#This Row],[ordered_units]],1,0)</f>
        <v>0</v>
      </c>
      <c r="W9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65">
        <f>ReconciliationData[[#This Row],[Billed_Units]]*ReconciliationData[[#This Row],[Billed_Price]]</f>
        <v>84041.160799999998</v>
      </c>
      <c r="Y965">
        <f>ReconciliationData[[#This Row],[ordered_units]]*ReconciliationData[[#This Row],[List_Price]]</f>
        <v>84041.160799999998</v>
      </c>
      <c r="Z965">
        <f>ReconciliationData[[#This Row],[billed_revenue]]-ReconciliationData[[#This Row],[expected_revenue]]</f>
        <v>0</v>
      </c>
      <c r="AA9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65" t="str">
        <f>IF(ReconciliationData[[#This Row],[severity_score]]=0,"LOW",
 IF(ReconciliationData[[#This Row],[severity_score]]&lt;=5,"MEDIUM","HIGH"))</f>
        <v>LOW</v>
      </c>
      <c r="AC965" t="str">
        <f>TEXT(ReconciliationData[[#This Row],[Order_Date]],"YYYY-MM")</f>
        <v>2023-05</v>
      </c>
    </row>
    <row r="966" spans="1:29">
      <c r="A966" t="s">
        <v>2912</v>
      </c>
      <c r="B966" s="1">
        <v>45540</v>
      </c>
      <c r="C966" t="s">
        <v>1674</v>
      </c>
      <c r="D966" t="s">
        <v>647</v>
      </c>
      <c r="E966">
        <v>59</v>
      </c>
      <c r="F966" t="s">
        <v>2913</v>
      </c>
      <c r="G966">
        <v>59</v>
      </c>
      <c r="H966">
        <v>279.42789999999997</v>
      </c>
      <c r="N966">
        <v>279.42789999999997</v>
      </c>
      <c r="O966" s="1">
        <v>45103</v>
      </c>
      <c r="P966">
        <f>IF(ISBLANK(ReconciliationData[[#This Row],[Invoice_ID]]),1,0)</f>
        <v>0</v>
      </c>
      <c r="Q966">
        <f>IF(AND(NOT(ISBLANK(ReconciliationData[[#This Row],[Billed_Units]])),ReconciliationData[[#This Row],[ordered_units]]&lt;&gt;ReconciliationData[[#This Row],[Billed_Units]]),1,0)</f>
        <v>0</v>
      </c>
      <c r="R9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66">
        <f>IF(AND(NOT(ISBLANK(ReconciliationData[[#This Row],[Contract_Price]])),ReconciliationData[[#This Row],[Billed_Price]]&lt;&gt;ReconciliationData[[#This Row],[Contract_Price]]),1,0)</f>
        <v>0</v>
      </c>
      <c r="T966">
        <f>IF(AND(NOT(ISBLANK(ReconciliationData[[#This Row],[End_Date]])),ReconciliationData[[#This Row],[Order_Date]]&gt;ReconciliationData[[#This Row],[End_Date]]),1,0)</f>
        <v>0</v>
      </c>
      <c r="U966">
        <f>IF(AND(NOT(ISBLANK(ReconciliationData[[#This Row],[last_return_date]])),ReconciliationData[[#This Row],[last_return_date]]&gt;ReconciliationData[[#This Row],[Order_Date]]+60),1,0)</f>
        <v>0</v>
      </c>
      <c r="V966">
        <f>IF(ReconciliationData[[#This Row],[total_returned_units]]&gt;ReconciliationData[[#This Row],[ordered_units]],1,0)</f>
        <v>0</v>
      </c>
      <c r="W9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66">
        <f>ReconciliationData[[#This Row],[Billed_Units]]*ReconciliationData[[#This Row],[Billed_Price]]</f>
        <v>16486.246099999997</v>
      </c>
      <c r="Y966">
        <f>ReconciliationData[[#This Row],[ordered_units]]*ReconciliationData[[#This Row],[List_Price]]</f>
        <v>16486.246099999997</v>
      </c>
      <c r="Z966">
        <f>ReconciliationData[[#This Row],[billed_revenue]]-ReconciliationData[[#This Row],[expected_revenue]]</f>
        <v>0</v>
      </c>
      <c r="AA9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66" t="str">
        <f>IF(ReconciliationData[[#This Row],[severity_score]]=0,"LOW",
 IF(ReconciliationData[[#This Row],[severity_score]]&lt;=5,"MEDIUM","HIGH"))</f>
        <v>LOW</v>
      </c>
      <c r="AC966" t="str">
        <f>TEXT(ReconciliationData[[#This Row],[Order_Date]],"YYYY-MM")</f>
        <v>2024-09</v>
      </c>
    </row>
    <row r="967" spans="1:29">
      <c r="A967" t="s">
        <v>2914</v>
      </c>
      <c r="B967" s="1">
        <v>45545</v>
      </c>
      <c r="C967" t="s">
        <v>2104</v>
      </c>
      <c r="D967" t="s">
        <v>1298</v>
      </c>
      <c r="E967">
        <v>190</v>
      </c>
      <c r="F967" t="s">
        <v>2915</v>
      </c>
      <c r="G967">
        <v>190</v>
      </c>
      <c r="H967">
        <v>1099.82</v>
      </c>
      <c r="I967">
        <v>16</v>
      </c>
      <c r="J967" s="1">
        <v>45153</v>
      </c>
      <c r="N967">
        <v>1099.82</v>
      </c>
      <c r="O967" s="1">
        <v>44962</v>
      </c>
      <c r="P967">
        <f>IF(ISBLANK(ReconciliationData[[#This Row],[Invoice_ID]]),1,0)</f>
        <v>0</v>
      </c>
      <c r="Q967">
        <f>IF(AND(NOT(ISBLANK(ReconciliationData[[#This Row],[Billed_Units]])),ReconciliationData[[#This Row],[ordered_units]]&lt;&gt;ReconciliationData[[#This Row],[Billed_Units]]),1,0)</f>
        <v>0</v>
      </c>
      <c r="R9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67">
        <f>IF(AND(NOT(ISBLANK(ReconciliationData[[#This Row],[Contract_Price]])),ReconciliationData[[#This Row],[Billed_Price]]&lt;&gt;ReconciliationData[[#This Row],[Contract_Price]]),1,0)</f>
        <v>0</v>
      </c>
      <c r="T967">
        <f>IF(AND(NOT(ISBLANK(ReconciliationData[[#This Row],[End_Date]])),ReconciliationData[[#This Row],[Order_Date]]&gt;ReconciliationData[[#This Row],[End_Date]]),1,0)</f>
        <v>0</v>
      </c>
      <c r="U967">
        <f>IF(AND(NOT(ISBLANK(ReconciliationData[[#This Row],[last_return_date]])),ReconciliationData[[#This Row],[last_return_date]]&gt;ReconciliationData[[#This Row],[Order_Date]]+60),1,0)</f>
        <v>0</v>
      </c>
      <c r="V967">
        <f>IF(ReconciliationData[[#This Row],[total_returned_units]]&gt;ReconciliationData[[#This Row],[ordered_units]],1,0)</f>
        <v>0</v>
      </c>
      <c r="W9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67">
        <f>ReconciliationData[[#This Row],[Billed_Units]]*ReconciliationData[[#This Row],[Billed_Price]]</f>
        <v>208965.8</v>
      </c>
      <c r="Y967">
        <f>ReconciliationData[[#This Row],[ordered_units]]*ReconciliationData[[#This Row],[List_Price]]</f>
        <v>208965.8</v>
      </c>
      <c r="Z967">
        <f>ReconciliationData[[#This Row],[billed_revenue]]-ReconciliationData[[#This Row],[expected_revenue]]</f>
        <v>0</v>
      </c>
      <c r="AA9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67" t="str">
        <f>IF(ReconciliationData[[#This Row],[severity_score]]=0,"LOW",
 IF(ReconciliationData[[#This Row],[severity_score]]&lt;=5,"MEDIUM","HIGH"))</f>
        <v>LOW</v>
      </c>
      <c r="AC967" t="str">
        <f>TEXT(ReconciliationData[[#This Row],[Order_Date]],"YYYY-MM")</f>
        <v>2024-09</v>
      </c>
    </row>
    <row r="968" spans="1:29">
      <c r="A968" t="s">
        <v>2916</v>
      </c>
      <c r="B968" s="1">
        <v>45510</v>
      </c>
      <c r="C968" t="s">
        <v>2917</v>
      </c>
      <c r="D968" t="s">
        <v>1385</v>
      </c>
      <c r="E968">
        <v>103</v>
      </c>
      <c r="F968" t="s">
        <v>2918</v>
      </c>
      <c r="G968">
        <v>103</v>
      </c>
      <c r="H968">
        <v>287.90559999999999</v>
      </c>
      <c r="N968">
        <v>287.90559999999999</v>
      </c>
      <c r="O968" s="1">
        <v>45224</v>
      </c>
      <c r="P968">
        <f>IF(ISBLANK(ReconciliationData[[#This Row],[Invoice_ID]]),1,0)</f>
        <v>0</v>
      </c>
      <c r="Q968">
        <f>IF(AND(NOT(ISBLANK(ReconciliationData[[#This Row],[Billed_Units]])),ReconciliationData[[#This Row],[ordered_units]]&lt;&gt;ReconciliationData[[#This Row],[Billed_Units]]),1,0)</f>
        <v>0</v>
      </c>
      <c r="R9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68">
        <f>IF(AND(NOT(ISBLANK(ReconciliationData[[#This Row],[Contract_Price]])),ReconciliationData[[#This Row],[Billed_Price]]&lt;&gt;ReconciliationData[[#This Row],[Contract_Price]]),1,0)</f>
        <v>0</v>
      </c>
      <c r="T968">
        <f>IF(AND(NOT(ISBLANK(ReconciliationData[[#This Row],[End_Date]])),ReconciliationData[[#This Row],[Order_Date]]&gt;ReconciliationData[[#This Row],[End_Date]]),1,0)</f>
        <v>0</v>
      </c>
      <c r="U968">
        <f>IF(AND(NOT(ISBLANK(ReconciliationData[[#This Row],[last_return_date]])),ReconciliationData[[#This Row],[last_return_date]]&gt;ReconciliationData[[#This Row],[Order_Date]]+60),1,0)</f>
        <v>0</v>
      </c>
      <c r="V968">
        <f>IF(ReconciliationData[[#This Row],[total_returned_units]]&gt;ReconciliationData[[#This Row],[ordered_units]],1,0)</f>
        <v>0</v>
      </c>
      <c r="W9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68">
        <f>ReconciliationData[[#This Row],[Billed_Units]]*ReconciliationData[[#This Row],[Billed_Price]]</f>
        <v>29654.2768</v>
      </c>
      <c r="Y968">
        <f>ReconciliationData[[#This Row],[ordered_units]]*ReconciliationData[[#This Row],[List_Price]]</f>
        <v>29654.2768</v>
      </c>
      <c r="Z968">
        <f>ReconciliationData[[#This Row],[billed_revenue]]-ReconciliationData[[#This Row],[expected_revenue]]</f>
        <v>0</v>
      </c>
      <c r="AA9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68" t="str">
        <f>IF(ReconciliationData[[#This Row],[severity_score]]=0,"LOW",
 IF(ReconciliationData[[#This Row],[severity_score]]&lt;=5,"MEDIUM","HIGH"))</f>
        <v>LOW</v>
      </c>
      <c r="AC968" t="str">
        <f>TEXT(ReconciliationData[[#This Row],[Order_Date]],"YYYY-MM")</f>
        <v>2024-08</v>
      </c>
    </row>
    <row r="969" spans="1:29">
      <c r="A969" t="s">
        <v>2919</v>
      </c>
      <c r="B969" s="1">
        <v>45459</v>
      </c>
      <c r="C969" t="s">
        <v>2920</v>
      </c>
      <c r="D969" t="s">
        <v>1616</v>
      </c>
      <c r="E969">
        <v>12</v>
      </c>
      <c r="F969" t="s">
        <v>2921</v>
      </c>
      <c r="G969">
        <v>12</v>
      </c>
      <c r="H969">
        <v>1137.9636</v>
      </c>
      <c r="N969">
        <v>1137.9636</v>
      </c>
      <c r="O969" s="1">
        <v>45007</v>
      </c>
      <c r="P969">
        <f>IF(ISBLANK(ReconciliationData[[#This Row],[Invoice_ID]]),1,0)</f>
        <v>0</v>
      </c>
      <c r="Q969">
        <f>IF(AND(NOT(ISBLANK(ReconciliationData[[#This Row],[Billed_Units]])),ReconciliationData[[#This Row],[ordered_units]]&lt;&gt;ReconciliationData[[#This Row],[Billed_Units]]),1,0)</f>
        <v>0</v>
      </c>
      <c r="R9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69">
        <f>IF(AND(NOT(ISBLANK(ReconciliationData[[#This Row],[Contract_Price]])),ReconciliationData[[#This Row],[Billed_Price]]&lt;&gt;ReconciliationData[[#This Row],[Contract_Price]]),1,0)</f>
        <v>0</v>
      </c>
      <c r="T969">
        <f>IF(AND(NOT(ISBLANK(ReconciliationData[[#This Row],[End_Date]])),ReconciliationData[[#This Row],[Order_Date]]&gt;ReconciliationData[[#This Row],[End_Date]]),1,0)</f>
        <v>0</v>
      </c>
      <c r="U969">
        <f>IF(AND(NOT(ISBLANK(ReconciliationData[[#This Row],[last_return_date]])),ReconciliationData[[#This Row],[last_return_date]]&gt;ReconciliationData[[#This Row],[Order_Date]]+60),1,0)</f>
        <v>0</v>
      </c>
      <c r="V969">
        <f>IF(ReconciliationData[[#This Row],[total_returned_units]]&gt;ReconciliationData[[#This Row],[ordered_units]],1,0)</f>
        <v>0</v>
      </c>
      <c r="W9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69">
        <f>ReconciliationData[[#This Row],[Billed_Units]]*ReconciliationData[[#This Row],[Billed_Price]]</f>
        <v>13655.563200000001</v>
      </c>
      <c r="Y969">
        <f>ReconciliationData[[#This Row],[ordered_units]]*ReconciliationData[[#This Row],[List_Price]]</f>
        <v>13655.563200000001</v>
      </c>
      <c r="Z969">
        <f>ReconciliationData[[#This Row],[billed_revenue]]-ReconciliationData[[#This Row],[expected_revenue]]</f>
        <v>0</v>
      </c>
      <c r="AA9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69" t="str">
        <f>IF(ReconciliationData[[#This Row],[severity_score]]=0,"LOW",
 IF(ReconciliationData[[#This Row],[severity_score]]&lt;=5,"MEDIUM","HIGH"))</f>
        <v>LOW</v>
      </c>
      <c r="AC969" t="str">
        <f>TEXT(ReconciliationData[[#This Row],[Order_Date]],"YYYY-MM")</f>
        <v>2024-06</v>
      </c>
    </row>
    <row r="970" spans="1:29">
      <c r="A970" t="s">
        <v>2922</v>
      </c>
      <c r="B970" s="1">
        <v>45642</v>
      </c>
      <c r="C970" t="s">
        <v>2330</v>
      </c>
      <c r="D970" t="s">
        <v>1495</v>
      </c>
      <c r="E970">
        <v>164</v>
      </c>
      <c r="F970" t="s">
        <v>2923</v>
      </c>
      <c r="G970">
        <v>164</v>
      </c>
      <c r="H970">
        <v>377.08350000000002</v>
      </c>
      <c r="N970">
        <v>377.08350000000002</v>
      </c>
      <c r="O970" s="1">
        <v>45064</v>
      </c>
      <c r="P970">
        <f>IF(ISBLANK(ReconciliationData[[#This Row],[Invoice_ID]]),1,0)</f>
        <v>0</v>
      </c>
      <c r="Q970">
        <f>IF(AND(NOT(ISBLANK(ReconciliationData[[#This Row],[Billed_Units]])),ReconciliationData[[#This Row],[ordered_units]]&lt;&gt;ReconciliationData[[#This Row],[Billed_Units]]),1,0)</f>
        <v>0</v>
      </c>
      <c r="R9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70">
        <f>IF(AND(NOT(ISBLANK(ReconciliationData[[#This Row],[Contract_Price]])),ReconciliationData[[#This Row],[Billed_Price]]&lt;&gt;ReconciliationData[[#This Row],[Contract_Price]]),1,0)</f>
        <v>0</v>
      </c>
      <c r="T970">
        <f>IF(AND(NOT(ISBLANK(ReconciliationData[[#This Row],[End_Date]])),ReconciliationData[[#This Row],[Order_Date]]&gt;ReconciliationData[[#This Row],[End_Date]]),1,0)</f>
        <v>0</v>
      </c>
      <c r="U970">
        <f>IF(AND(NOT(ISBLANK(ReconciliationData[[#This Row],[last_return_date]])),ReconciliationData[[#This Row],[last_return_date]]&gt;ReconciliationData[[#This Row],[Order_Date]]+60),1,0)</f>
        <v>0</v>
      </c>
      <c r="V970">
        <f>IF(ReconciliationData[[#This Row],[total_returned_units]]&gt;ReconciliationData[[#This Row],[ordered_units]],1,0)</f>
        <v>0</v>
      </c>
      <c r="W9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70">
        <f>ReconciliationData[[#This Row],[Billed_Units]]*ReconciliationData[[#This Row],[Billed_Price]]</f>
        <v>61841.694000000003</v>
      </c>
      <c r="Y970">
        <f>ReconciliationData[[#This Row],[ordered_units]]*ReconciliationData[[#This Row],[List_Price]]</f>
        <v>61841.694000000003</v>
      </c>
      <c r="Z970">
        <f>ReconciliationData[[#This Row],[billed_revenue]]-ReconciliationData[[#This Row],[expected_revenue]]</f>
        <v>0</v>
      </c>
      <c r="AA9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70" t="str">
        <f>IF(ReconciliationData[[#This Row],[severity_score]]=0,"LOW",
 IF(ReconciliationData[[#This Row],[severity_score]]&lt;=5,"MEDIUM","HIGH"))</f>
        <v>LOW</v>
      </c>
      <c r="AC970" t="str">
        <f>TEXT(ReconciliationData[[#This Row],[Order_Date]],"YYYY-MM")</f>
        <v>2024-12</v>
      </c>
    </row>
    <row r="971" spans="1:29">
      <c r="A971" t="s">
        <v>2924</v>
      </c>
      <c r="B971" s="1">
        <v>44972</v>
      </c>
      <c r="C971" t="s">
        <v>1723</v>
      </c>
      <c r="D971" t="s">
        <v>325</v>
      </c>
      <c r="E971">
        <v>18</v>
      </c>
      <c r="F971" t="s">
        <v>2925</v>
      </c>
      <c r="G971">
        <v>18</v>
      </c>
      <c r="H971">
        <v>499.27679999999998</v>
      </c>
      <c r="N971">
        <v>499.27679999999998</v>
      </c>
      <c r="O971" s="1">
        <v>44840</v>
      </c>
      <c r="P971">
        <f>IF(ISBLANK(ReconciliationData[[#This Row],[Invoice_ID]]),1,0)</f>
        <v>0</v>
      </c>
      <c r="Q971">
        <f>IF(AND(NOT(ISBLANK(ReconciliationData[[#This Row],[Billed_Units]])),ReconciliationData[[#This Row],[ordered_units]]&lt;&gt;ReconciliationData[[#This Row],[Billed_Units]]),1,0)</f>
        <v>0</v>
      </c>
      <c r="R9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71">
        <f>IF(AND(NOT(ISBLANK(ReconciliationData[[#This Row],[Contract_Price]])),ReconciliationData[[#This Row],[Billed_Price]]&lt;&gt;ReconciliationData[[#This Row],[Contract_Price]]),1,0)</f>
        <v>0</v>
      </c>
      <c r="T971">
        <f>IF(AND(NOT(ISBLANK(ReconciliationData[[#This Row],[End_Date]])),ReconciliationData[[#This Row],[Order_Date]]&gt;ReconciliationData[[#This Row],[End_Date]]),1,0)</f>
        <v>0</v>
      </c>
      <c r="U971">
        <f>IF(AND(NOT(ISBLANK(ReconciliationData[[#This Row],[last_return_date]])),ReconciliationData[[#This Row],[last_return_date]]&gt;ReconciliationData[[#This Row],[Order_Date]]+60),1,0)</f>
        <v>0</v>
      </c>
      <c r="V971">
        <f>IF(ReconciliationData[[#This Row],[total_returned_units]]&gt;ReconciliationData[[#This Row],[ordered_units]],1,0)</f>
        <v>0</v>
      </c>
      <c r="W9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71">
        <f>ReconciliationData[[#This Row],[Billed_Units]]*ReconciliationData[[#This Row],[Billed_Price]]</f>
        <v>8986.982399999999</v>
      </c>
      <c r="Y971">
        <f>ReconciliationData[[#This Row],[ordered_units]]*ReconciliationData[[#This Row],[List_Price]]</f>
        <v>8986.982399999999</v>
      </c>
      <c r="Z971">
        <f>ReconciliationData[[#This Row],[billed_revenue]]-ReconciliationData[[#This Row],[expected_revenue]]</f>
        <v>0</v>
      </c>
      <c r="AA9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71" t="str">
        <f>IF(ReconciliationData[[#This Row],[severity_score]]=0,"LOW",
 IF(ReconciliationData[[#This Row],[severity_score]]&lt;=5,"MEDIUM","HIGH"))</f>
        <v>LOW</v>
      </c>
      <c r="AC971" t="str">
        <f>TEXT(ReconciliationData[[#This Row],[Order_Date]],"YYYY-MM")</f>
        <v>2023-02</v>
      </c>
    </row>
    <row r="972" spans="1:29">
      <c r="A972" t="s">
        <v>2926</v>
      </c>
      <c r="B972" s="1">
        <v>45050</v>
      </c>
      <c r="C972" t="s">
        <v>2349</v>
      </c>
      <c r="D972" t="s">
        <v>798</v>
      </c>
      <c r="E972">
        <v>184</v>
      </c>
      <c r="F972" t="s">
        <v>2927</v>
      </c>
      <c r="G972">
        <v>184</v>
      </c>
      <c r="H972">
        <v>145.72999999999999</v>
      </c>
      <c r="N972">
        <v>145.72999999999999</v>
      </c>
      <c r="O972" s="1">
        <v>44899</v>
      </c>
      <c r="P972">
        <f>IF(ISBLANK(ReconciliationData[[#This Row],[Invoice_ID]]),1,0)</f>
        <v>0</v>
      </c>
      <c r="Q972">
        <f>IF(AND(NOT(ISBLANK(ReconciliationData[[#This Row],[Billed_Units]])),ReconciliationData[[#This Row],[ordered_units]]&lt;&gt;ReconciliationData[[#This Row],[Billed_Units]]),1,0)</f>
        <v>0</v>
      </c>
      <c r="R9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72">
        <f>IF(AND(NOT(ISBLANK(ReconciliationData[[#This Row],[Contract_Price]])),ReconciliationData[[#This Row],[Billed_Price]]&lt;&gt;ReconciliationData[[#This Row],[Contract_Price]]),1,0)</f>
        <v>0</v>
      </c>
      <c r="T972">
        <f>IF(AND(NOT(ISBLANK(ReconciliationData[[#This Row],[End_Date]])),ReconciliationData[[#This Row],[Order_Date]]&gt;ReconciliationData[[#This Row],[End_Date]]),1,0)</f>
        <v>0</v>
      </c>
      <c r="U972">
        <f>IF(AND(NOT(ISBLANK(ReconciliationData[[#This Row],[last_return_date]])),ReconciliationData[[#This Row],[last_return_date]]&gt;ReconciliationData[[#This Row],[Order_Date]]+60),1,0)</f>
        <v>0</v>
      </c>
      <c r="V972">
        <f>IF(ReconciliationData[[#This Row],[total_returned_units]]&gt;ReconciliationData[[#This Row],[ordered_units]],1,0)</f>
        <v>0</v>
      </c>
      <c r="W9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72">
        <f>ReconciliationData[[#This Row],[Billed_Units]]*ReconciliationData[[#This Row],[Billed_Price]]</f>
        <v>26814.32</v>
      </c>
      <c r="Y972">
        <f>ReconciliationData[[#This Row],[ordered_units]]*ReconciliationData[[#This Row],[List_Price]]</f>
        <v>26814.32</v>
      </c>
      <c r="Z972">
        <f>ReconciliationData[[#This Row],[billed_revenue]]-ReconciliationData[[#This Row],[expected_revenue]]</f>
        <v>0</v>
      </c>
      <c r="AA9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72" t="str">
        <f>IF(ReconciliationData[[#This Row],[severity_score]]=0,"LOW",
 IF(ReconciliationData[[#This Row],[severity_score]]&lt;=5,"MEDIUM","HIGH"))</f>
        <v>LOW</v>
      </c>
      <c r="AC972" t="str">
        <f>TEXT(ReconciliationData[[#This Row],[Order_Date]],"YYYY-MM")</f>
        <v>2023-05</v>
      </c>
    </row>
    <row r="973" spans="1:29">
      <c r="A973" t="s">
        <v>2928</v>
      </c>
      <c r="B973" s="1">
        <v>45625</v>
      </c>
      <c r="C973" t="s">
        <v>2217</v>
      </c>
      <c r="D973" t="s">
        <v>674</v>
      </c>
      <c r="E973">
        <v>172</v>
      </c>
      <c r="F973" t="s">
        <v>2929</v>
      </c>
      <c r="G973">
        <v>172</v>
      </c>
      <c r="H973">
        <v>1061.8340332814646</v>
      </c>
      <c r="N973">
        <v>1061.7264</v>
      </c>
      <c r="O973" s="1">
        <v>45180</v>
      </c>
      <c r="P973">
        <f>IF(ISBLANK(ReconciliationData[[#This Row],[Invoice_ID]]),1,0)</f>
        <v>0</v>
      </c>
      <c r="Q973">
        <f>IF(AND(NOT(ISBLANK(ReconciliationData[[#This Row],[Billed_Units]])),ReconciliationData[[#This Row],[ordered_units]]&lt;&gt;ReconciliationData[[#This Row],[Billed_Units]]),1,0)</f>
        <v>0</v>
      </c>
      <c r="R97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973">
        <f>IF(AND(NOT(ISBLANK(ReconciliationData[[#This Row],[Contract_Price]])),ReconciliationData[[#This Row],[Billed_Price]]&lt;&gt;ReconciliationData[[#This Row],[Contract_Price]]),1,0)</f>
        <v>0</v>
      </c>
      <c r="T973">
        <f>IF(AND(NOT(ISBLANK(ReconciliationData[[#This Row],[End_Date]])),ReconciliationData[[#This Row],[Order_Date]]&gt;ReconciliationData[[#This Row],[End_Date]]),1,0)</f>
        <v>0</v>
      </c>
      <c r="U973">
        <f>IF(AND(NOT(ISBLANK(ReconciliationData[[#This Row],[last_return_date]])),ReconciliationData[[#This Row],[last_return_date]]&gt;ReconciliationData[[#This Row],[Order_Date]]+60),1,0)</f>
        <v>0</v>
      </c>
      <c r="V973">
        <f>IF(ReconciliationData[[#This Row],[total_returned_units]]&gt;ReconciliationData[[#This Row],[ordered_units]],1,0)</f>
        <v>0</v>
      </c>
      <c r="W9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73">
        <f>ReconciliationData[[#This Row],[Billed_Units]]*ReconciliationData[[#This Row],[Billed_Price]]</f>
        <v>182635.4537244119</v>
      </c>
      <c r="Y973">
        <f>ReconciliationData[[#This Row],[ordered_units]]*ReconciliationData[[#This Row],[List_Price]]</f>
        <v>182616.94080000001</v>
      </c>
      <c r="Z973">
        <f>ReconciliationData[[#This Row],[billed_revenue]]-ReconciliationData[[#This Row],[expected_revenue]]</f>
        <v>18.51292441188707</v>
      </c>
      <c r="AA9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973" t="str">
        <f>IF(ReconciliationData[[#This Row],[severity_score]]=0,"LOW",
 IF(ReconciliationData[[#This Row],[severity_score]]&lt;=5,"MEDIUM","HIGH"))</f>
        <v>MEDIUM</v>
      </c>
      <c r="AC973" t="str">
        <f>TEXT(ReconciliationData[[#This Row],[Order_Date]],"YYYY-MM")</f>
        <v>2024-11</v>
      </c>
    </row>
    <row r="974" spans="1:29">
      <c r="A974" t="s">
        <v>2930</v>
      </c>
      <c r="B974" s="1">
        <v>45654</v>
      </c>
      <c r="C974" t="s">
        <v>1330</v>
      </c>
      <c r="D974" t="s">
        <v>711</v>
      </c>
      <c r="E974">
        <v>1</v>
      </c>
      <c r="F974" t="s">
        <v>2931</v>
      </c>
      <c r="G974">
        <v>1</v>
      </c>
      <c r="H974">
        <v>405.98</v>
      </c>
      <c r="N974">
        <v>405.98</v>
      </c>
      <c r="O974" s="1">
        <v>45152</v>
      </c>
      <c r="P974">
        <f>IF(ISBLANK(ReconciliationData[[#This Row],[Invoice_ID]]),1,0)</f>
        <v>0</v>
      </c>
      <c r="Q974">
        <f>IF(AND(NOT(ISBLANK(ReconciliationData[[#This Row],[Billed_Units]])),ReconciliationData[[#This Row],[ordered_units]]&lt;&gt;ReconciliationData[[#This Row],[Billed_Units]]),1,0)</f>
        <v>0</v>
      </c>
      <c r="R9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74">
        <f>IF(AND(NOT(ISBLANK(ReconciliationData[[#This Row],[Contract_Price]])),ReconciliationData[[#This Row],[Billed_Price]]&lt;&gt;ReconciliationData[[#This Row],[Contract_Price]]),1,0)</f>
        <v>0</v>
      </c>
      <c r="T974">
        <f>IF(AND(NOT(ISBLANK(ReconciliationData[[#This Row],[End_Date]])),ReconciliationData[[#This Row],[Order_Date]]&gt;ReconciliationData[[#This Row],[End_Date]]),1,0)</f>
        <v>0</v>
      </c>
      <c r="U974">
        <f>IF(AND(NOT(ISBLANK(ReconciliationData[[#This Row],[last_return_date]])),ReconciliationData[[#This Row],[last_return_date]]&gt;ReconciliationData[[#This Row],[Order_Date]]+60),1,0)</f>
        <v>0</v>
      </c>
      <c r="V974">
        <f>IF(ReconciliationData[[#This Row],[total_returned_units]]&gt;ReconciliationData[[#This Row],[ordered_units]],1,0)</f>
        <v>0</v>
      </c>
      <c r="W9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74">
        <f>ReconciliationData[[#This Row],[Billed_Units]]*ReconciliationData[[#This Row],[Billed_Price]]</f>
        <v>405.98</v>
      </c>
      <c r="Y974">
        <f>ReconciliationData[[#This Row],[ordered_units]]*ReconciliationData[[#This Row],[List_Price]]</f>
        <v>405.98</v>
      </c>
      <c r="Z974">
        <f>ReconciliationData[[#This Row],[billed_revenue]]-ReconciliationData[[#This Row],[expected_revenue]]</f>
        <v>0</v>
      </c>
      <c r="AA9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74" t="str">
        <f>IF(ReconciliationData[[#This Row],[severity_score]]=0,"LOW",
 IF(ReconciliationData[[#This Row],[severity_score]]&lt;=5,"MEDIUM","HIGH"))</f>
        <v>LOW</v>
      </c>
      <c r="AC974" t="str">
        <f>TEXT(ReconciliationData[[#This Row],[Order_Date]],"YYYY-MM")</f>
        <v>2024-12</v>
      </c>
    </row>
    <row r="975" spans="1:29">
      <c r="A975" t="s">
        <v>2932</v>
      </c>
      <c r="B975" s="1">
        <v>45137</v>
      </c>
      <c r="C975" t="s">
        <v>872</v>
      </c>
      <c r="D975" t="s">
        <v>490</v>
      </c>
      <c r="E975">
        <v>170</v>
      </c>
      <c r="F975" t="s">
        <v>2933</v>
      </c>
      <c r="G975">
        <v>170</v>
      </c>
      <c r="H975">
        <v>1157.6343999999999</v>
      </c>
      <c r="N975">
        <v>1157.6343999999999</v>
      </c>
      <c r="O975" s="1">
        <v>44959</v>
      </c>
      <c r="P975">
        <f>IF(ISBLANK(ReconciliationData[[#This Row],[Invoice_ID]]),1,0)</f>
        <v>0</v>
      </c>
      <c r="Q975">
        <f>IF(AND(NOT(ISBLANK(ReconciliationData[[#This Row],[Billed_Units]])),ReconciliationData[[#This Row],[ordered_units]]&lt;&gt;ReconciliationData[[#This Row],[Billed_Units]]),1,0)</f>
        <v>0</v>
      </c>
      <c r="R9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75">
        <f>IF(AND(NOT(ISBLANK(ReconciliationData[[#This Row],[Contract_Price]])),ReconciliationData[[#This Row],[Billed_Price]]&lt;&gt;ReconciliationData[[#This Row],[Contract_Price]]),1,0)</f>
        <v>0</v>
      </c>
      <c r="T975">
        <f>IF(AND(NOT(ISBLANK(ReconciliationData[[#This Row],[End_Date]])),ReconciliationData[[#This Row],[Order_Date]]&gt;ReconciliationData[[#This Row],[End_Date]]),1,0)</f>
        <v>0</v>
      </c>
      <c r="U975">
        <f>IF(AND(NOT(ISBLANK(ReconciliationData[[#This Row],[last_return_date]])),ReconciliationData[[#This Row],[last_return_date]]&gt;ReconciliationData[[#This Row],[Order_Date]]+60),1,0)</f>
        <v>0</v>
      </c>
      <c r="V975">
        <f>IF(ReconciliationData[[#This Row],[total_returned_units]]&gt;ReconciliationData[[#This Row],[ordered_units]],1,0)</f>
        <v>0</v>
      </c>
      <c r="W9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75">
        <f>ReconciliationData[[#This Row],[Billed_Units]]*ReconciliationData[[#This Row],[Billed_Price]]</f>
        <v>196797.848</v>
      </c>
      <c r="Y975">
        <f>ReconciliationData[[#This Row],[ordered_units]]*ReconciliationData[[#This Row],[List_Price]]</f>
        <v>196797.848</v>
      </c>
      <c r="Z975">
        <f>ReconciliationData[[#This Row],[billed_revenue]]-ReconciliationData[[#This Row],[expected_revenue]]</f>
        <v>0</v>
      </c>
      <c r="AA9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75" t="str">
        <f>IF(ReconciliationData[[#This Row],[severity_score]]=0,"LOW",
 IF(ReconciliationData[[#This Row],[severity_score]]&lt;=5,"MEDIUM","HIGH"))</f>
        <v>LOW</v>
      </c>
      <c r="AC975" t="str">
        <f>TEXT(ReconciliationData[[#This Row],[Order_Date]],"YYYY-MM")</f>
        <v>2023-07</v>
      </c>
    </row>
    <row r="976" spans="1:29">
      <c r="A976" t="s">
        <v>2934</v>
      </c>
      <c r="B976" s="1">
        <v>44937</v>
      </c>
      <c r="C976" t="s">
        <v>1825</v>
      </c>
      <c r="D976" t="s">
        <v>1530</v>
      </c>
      <c r="E976">
        <v>63</v>
      </c>
      <c r="F976" t="s">
        <v>2935</v>
      </c>
      <c r="G976">
        <v>63</v>
      </c>
      <c r="H976">
        <v>1131.7711000000002</v>
      </c>
      <c r="N976">
        <v>1131.7711000000002</v>
      </c>
      <c r="O976" s="1">
        <v>44869</v>
      </c>
      <c r="P976">
        <f>IF(ISBLANK(ReconciliationData[[#This Row],[Invoice_ID]]),1,0)</f>
        <v>0</v>
      </c>
      <c r="Q976">
        <f>IF(AND(NOT(ISBLANK(ReconciliationData[[#This Row],[Billed_Units]])),ReconciliationData[[#This Row],[ordered_units]]&lt;&gt;ReconciliationData[[#This Row],[Billed_Units]]),1,0)</f>
        <v>0</v>
      </c>
      <c r="R9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76">
        <f>IF(AND(NOT(ISBLANK(ReconciliationData[[#This Row],[Contract_Price]])),ReconciliationData[[#This Row],[Billed_Price]]&lt;&gt;ReconciliationData[[#This Row],[Contract_Price]]),1,0)</f>
        <v>0</v>
      </c>
      <c r="T976">
        <f>IF(AND(NOT(ISBLANK(ReconciliationData[[#This Row],[End_Date]])),ReconciliationData[[#This Row],[Order_Date]]&gt;ReconciliationData[[#This Row],[End_Date]]),1,0)</f>
        <v>0</v>
      </c>
      <c r="U976">
        <f>IF(AND(NOT(ISBLANK(ReconciliationData[[#This Row],[last_return_date]])),ReconciliationData[[#This Row],[last_return_date]]&gt;ReconciliationData[[#This Row],[Order_Date]]+60),1,0)</f>
        <v>0</v>
      </c>
      <c r="V976">
        <f>IF(ReconciliationData[[#This Row],[total_returned_units]]&gt;ReconciliationData[[#This Row],[ordered_units]],1,0)</f>
        <v>0</v>
      </c>
      <c r="W9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76">
        <f>ReconciliationData[[#This Row],[Billed_Units]]*ReconciliationData[[#This Row],[Billed_Price]]</f>
        <v>71301.579300000012</v>
      </c>
      <c r="Y976">
        <f>ReconciliationData[[#This Row],[ordered_units]]*ReconciliationData[[#This Row],[List_Price]]</f>
        <v>71301.579300000012</v>
      </c>
      <c r="Z976">
        <f>ReconciliationData[[#This Row],[billed_revenue]]-ReconciliationData[[#This Row],[expected_revenue]]</f>
        <v>0</v>
      </c>
      <c r="AA9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76" t="str">
        <f>IF(ReconciliationData[[#This Row],[severity_score]]=0,"LOW",
 IF(ReconciliationData[[#This Row],[severity_score]]&lt;=5,"MEDIUM","HIGH"))</f>
        <v>LOW</v>
      </c>
      <c r="AC976" t="str">
        <f>TEXT(ReconciliationData[[#This Row],[Order_Date]],"YYYY-MM")</f>
        <v>2023-01</v>
      </c>
    </row>
    <row r="977" spans="1:29">
      <c r="A977" t="s">
        <v>2936</v>
      </c>
      <c r="B977" s="1">
        <v>45378</v>
      </c>
      <c r="C977" t="s">
        <v>2937</v>
      </c>
      <c r="D977" t="s">
        <v>251</v>
      </c>
      <c r="E977">
        <v>95</v>
      </c>
      <c r="F977" t="s">
        <v>2938</v>
      </c>
      <c r="G977">
        <v>95</v>
      </c>
      <c r="H977">
        <v>957.65700000000015</v>
      </c>
      <c r="N977">
        <v>957.65700000000015</v>
      </c>
      <c r="O977" s="1">
        <v>45057</v>
      </c>
      <c r="P977">
        <f>IF(ISBLANK(ReconciliationData[[#This Row],[Invoice_ID]]),1,0)</f>
        <v>0</v>
      </c>
      <c r="Q977">
        <f>IF(AND(NOT(ISBLANK(ReconciliationData[[#This Row],[Billed_Units]])),ReconciliationData[[#This Row],[ordered_units]]&lt;&gt;ReconciliationData[[#This Row],[Billed_Units]]),1,0)</f>
        <v>0</v>
      </c>
      <c r="R9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77">
        <f>IF(AND(NOT(ISBLANK(ReconciliationData[[#This Row],[Contract_Price]])),ReconciliationData[[#This Row],[Billed_Price]]&lt;&gt;ReconciliationData[[#This Row],[Contract_Price]]),1,0)</f>
        <v>0</v>
      </c>
      <c r="T977">
        <f>IF(AND(NOT(ISBLANK(ReconciliationData[[#This Row],[End_Date]])),ReconciliationData[[#This Row],[Order_Date]]&gt;ReconciliationData[[#This Row],[End_Date]]),1,0)</f>
        <v>0</v>
      </c>
      <c r="U977">
        <f>IF(AND(NOT(ISBLANK(ReconciliationData[[#This Row],[last_return_date]])),ReconciliationData[[#This Row],[last_return_date]]&gt;ReconciliationData[[#This Row],[Order_Date]]+60),1,0)</f>
        <v>0</v>
      </c>
      <c r="V977">
        <f>IF(ReconciliationData[[#This Row],[total_returned_units]]&gt;ReconciliationData[[#This Row],[ordered_units]],1,0)</f>
        <v>0</v>
      </c>
      <c r="W9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77">
        <f>ReconciliationData[[#This Row],[Billed_Units]]*ReconciliationData[[#This Row],[Billed_Price]]</f>
        <v>90977.415000000008</v>
      </c>
      <c r="Y977">
        <f>ReconciliationData[[#This Row],[ordered_units]]*ReconciliationData[[#This Row],[List_Price]]</f>
        <v>90977.415000000008</v>
      </c>
      <c r="Z977">
        <f>ReconciliationData[[#This Row],[billed_revenue]]-ReconciliationData[[#This Row],[expected_revenue]]</f>
        <v>0</v>
      </c>
      <c r="AA9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77" t="str">
        <f>IF(ReconciliationData[[#This Row],[severity_score]]=0,"LOW",
 IF(ReconciliationData[[#This Row],[severity_score]]&lt;=5,"MEDIUM","HIGH"))</f>
        <v>LOW</v>
      </c>
      <c r="AC977" t="str">
        <f>TEXT(ReconciliationData[[#This Row],[Order_Date]],"YYYY-MM")</f>
        <v>2024-03</v>
      </c>
    </row>
    <row r="978" spans="1:29">
      <c r="A978" t="s">
        <v>2939</v>
      </c>
      <c r="B978" s="1">
        <v>45317</v>
      </c>
      <c r="C978" t="s">
        <v>2940</v>
      </c>
      <c r="D978" t="s">
        <v>216</v>
      </c>
      <c r="E978">
        <v>66</v>
      </c>
      <c r="F978" t="s">
        <v>2941</v>
      </c>
      <c r="G978">
        <v>66</v>
      </c>
      <c r="H978">
        <v>1046.6099999999999</v>
      </c>
      <c r="N978">
        <v>1046.6099999999999</v>
      </c>
      <c r="O978" s="1">
        <v>44940</v>
      </c>
      <c r="P978">
        <f>IF(ISBLANK(ReconciliationData[[#This Row],[Invoice_ID]]),1,0)</f>
        <v>0</v>
      </c>
      <c r="Q978">
        <f>IF(AND(NOT(ISBLANK(ReconciliationData[[#This Row],[Billed_Units]])),ReconciliationData[[#This Row],[ordered_units]]&lt;&gt;ReconciliationData[[#This Row],[Billed_Units]]),1,0)</f>
        <v>0</v>
      </c>
      <c r="R9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78">
        <f>IF(AND(NOT(ISBLANK(ReconciliationData[[#This Row],[Contract_Price]])),ReconciliationData[[#This Row],[Billed_Price]]&lt;&gt;ReconciliationData[[#This Row],[Contract_Price]]),1,0)</f>
        <v>0</v>
      </c>
      <c r="T978">
        <f>IF(AND(NOT(ISBLANK(ReconciliationData[[#This Row],[End_Date]])),ReconciliationData[[#This Row],[Order_Date]]&gt;ReconciliationData[[#This Row],[End_Date]]),1,0)</f>
        <v>0</v>
      </c>
      <c r="U978">
        <f>IF(AND(NOT(ISBLANK(ReconciliationData[[#This Row],[last_return_date]])),ReconciliationData[[#This Row],[last_return_date]]&gt;ReconciliationData[[#This Row],[Order_Date]]+60),1,0)</f>
        <v>0</v>
      </c>
      <c r="V978">
        <f>IF(ReconciliationData[[#This Row],[total_returned_units]]&gt;ReconciliationData[[#This Row],[ordered_units]],1,0)</f>
        <v>0</v>
      </c>
      <c r="W9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78">
        <f>ReconciliationData[[#This Row],[Billed_Units]]*ReconciliationData[[#This Row],[Billed_Price]]</f>
        <v>69076.259999999995</v>
      </c>
      <c r="Y978">
        <f>ReconciliationData[[#This Row],[ordered_units]]*ReconciliationData[[#This Row],[List_Price]]</f>
        <v>69076.259999999995</v>
      </c>
      <c r="Z978">
        <f>ReconciliationData[[#This Row],[billed_revenue]]-ReconciliationData[[#This Row],[expected_revenue]]</f>
        <v>0</v>
      </c>
      <c r="AA9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78" t="str">
        <f>IF(ReconciliationData[[#This Row],[severity_score]]=0,"LOW",
 IF(ReconciliationData[[#This Row],[severity_score]]&lt;=5,"MEDIUM","HIGH"))</f>
        <v>LOW</v>
      </c>
      <c r="AC978" t="str">
        <f>TEXT(ReconciliationData[[#This Row],[Order_Date]],"YYYY-MM")</f>
        <v>2024-01</v>
      </c>
    </row>
    <row r="979" spans="1:29">
      <c r="A979" t="s">
        <v>2942</v>
      </c>
      <c r="B979" s="1">
        <v>45377</v>
      </c>
      <c r="C979" t="s">
        <v>2943</v>
      </c>
      <c r="D979" t="s">
        <v>1775</v>
      </c>
      <c r="E979">
        <v>24</v>
      </c>
      <c r="F979" t="s">
        <v>2944</v>
      </c>
      <c r="G979">
        <v>24</v>
      </c>
      <c r="H979">
        <v>908.12130000000002</v>
      </c>
      <c r="N979">
        <v>908.12130000000002</v>
      </c>
      <c r="O979" s="1">
        <v>45140</v>
      </c>
      <c r="P979">
        <f>IF(ISBLANK(ReconciliationData[[#This Row],[Invoice_ID]]),1,0)</f>
        <v>0</v>
      </c>
      <c r="Q979">
        <f>IF(AND(NOT(ISBLANK(ReconciliationData[[#This Row],[Billed_Units]])),ReconciliationData[[#This Row],[ordered_units]]&lt;&gt;ReconciliationData[[#This Row],[Billed_Units]]),1,0)</f>
        <v>0</v>
      </c>
      <c r="R9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79">
        <f>IF(AND(NOT(ISBLANK(ReconciliationData[[#This Row],[Contract_Price]])),ReconciliationData[[#This Row],[Billed_Price]]&lt;&gt;ReconciliationData[[#This Row],[Contract_Price]]),1,0)</f>
        <v>0</v>
      </c>
      <c r="T979">
        <f>IF(AND(NOT(ISBLANK(ReconciliationData[[#This Row],[End_Date]])),ReconciliationData[[#This Row],[Order_Date]]&gt;ReconciliationData[[#This Row],[End_Date]]),1,0)</f>
        <v>0</v>
      </c>
      <c r="U979">
        <f>IF(AND(NOT(ISBLANK(ReconciliationData[[#This Row],[last_return_date]])),ReconciliationData[[#This Row],[last_return_date]]&gt;ReconciliationData[[#This Row],[Order_Date]]+60),1,0)</f>
        <v>0</v>
      </c>
      <c r="V979">
        <f>IF(ReconciliationData[[#This Row],[total_returned_units]]&gt;ReconciliationData[[#This Row],[ordered_units]],1,0)</f>
        <v>0</v>
      </c>
      <c r="W9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79">
        <f>ReconciliationData[[#This Row],[Billed_Units]]*ReconciliationData[[#This Row],[Billed_Price]]</f>
        <v>21794.911200000002</v>
      </c>
      <c r="Y979">
        <f>ReconciliationData[[#This Row],[ordered_units]]*ReconciliationData[[#This Row],[List_Price]]</f>
        <v>21794.911200000002</v>
      </c>
      <c r="Z979">
        <f>ReconciliationData[[#This Row],[billed_revenue]]-ReconciliationData[[#This Row],[expected_revenue]]</f>
        <v>0</v>
      </c>
      <c r="AA9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79" t="str">
        <f>IF(ReconciliationData[[#This Row],[severity_score]]=0,"LOW",
 IF(ReconciliationData[[#This Row],[severity_score]]&lt;=5,"MEDIUM","HIGH"))</f>
        <v>LOW</v>
      </c>
      <c r="AC979" t="str">
        <f>TEXT(ReconciliationData[[#This Row],[Order_Date]],"YYYY-MM")</f>
        <v>2024-03</v>
      </c>
    </row>
    <row r="980" spans="1:29">
      <c r="A980" t="s">
        <v>2945</v>
      </c>
      <c r="B980" s="1">
        <v>45042</v>
      </c>
      <c r="C980" t="s">
        <v>1640</v>
      </c>
      <c r="D980" t="s">
        <v>1294</v>
      </c>
      <c r="E980">
        <v>167</v>
      </c>
      <c r="F980" t="s">
        <v>2946</v>
      </c>
      <c r="G980">
        <v>167</v>
      </c>
      <c r="H980">
        <v>793.03560000000004</v>
      </c>
      <c r="I980">
        <v>5</v>
      </c>
      <c r="J980" s="1">
        <v>45228</v>
      </c>
      <c r="N980">
        <v>793.03560000000004</v>
      </c>
      <c r="O980" s="1">
        <v>44892</v>
      </c>
      <c r="P980">
        <f>IF(ISBLANK(ReconciliationData[[#This Row],[Invoice_ID]]),1,0)</f>
        <v>0</v>
      </c>
      <c r="Q980">
        <f>IF(AND(NOT(ISBLANK(ReconciliationData[[#This Row],[Billed_Units]])),ReconciliationData[[#This Row],[ordered_units]]&lt;&gt;ReconciliationData[[#This Row],[Billed_Units]]),1,0)</f>
        <v>0</v>
      </c>
      <c r="R9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0">
        <f>IF(AND(NOT(ISBLANK(ReconciliationData[[#This Row],[Contract_Price]])),ReconciliationData[[#This Row],[Billed_Price]]&lt;&gt;ReconciliationData[[#This Row],[Contract_Price]]),1,0)</f>
        <v>0</v>
      </c>
      <c r="T980">
        <f>IF(AND(NOT(ISBLANK(ReconciliationData[[#This Row],[End_Date]])),ReconciliationData[[#This Row],[Order_Date]]&gt;ReconciliationData[[#This Row],[End_Date]]),1,0)</f>
        <v>0</v>
      </c>
      <c r="U980">
        <f>IF(AND(NOT(ISBLANK(ReconciliationData[[#This Row],[last_return_date]])),ReconciliationData[[#This Row],[last_return_date]]&gt;ReconciliationData[[#This Row],[Order_Date]]+60),1,0)</f>
        <v>1</v>
      </c>
      <c r="V980">
        <f>IF(ReconciliationData[[#This Row],[total_returned_units]]&gt;ReconciliationData[[#This Row],[ordered_units]],1,0)</f>
        <v>0</v>
      </c>
      <c r="W9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80">
        <f>ReconciliationData[[#This Row],[Billed_Units]]*ReconciliationData[[#This Row],[Billed_Price]]</f>
        <v>132436.94520000002</v>
      </c>
      <c r="Y980">
        <f>ReconciliationData[[#This Row],[ordered_units]]*ReconciliationData[[#This Row],[List_Price]]</f>
        <v>132436.94520000002</v>
      </c>
      <c r="Z980">
        <f>ReconciliationData[[#This Row],[billed_revenue]]-ReconciliationData[[#This Row],[expected_revenue]]</f>
        <v>0</v>
      </c>
      <c r="AA9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980" t="str">
        <f>IF(ReconciliationData[[#This Row],[severity_score]]=0,"LOW",
 IF(ReconciliationData[[#This Row],[severity_score]]&lt;=5,"MEDIUM","HIGH"))</f>
        <v>MEDIUM</v>
      </c>
      <c r="AC980" t="str">
        <f>TEXT(ReconciliationData[[#This Row],[Order_Date]],"YYYY-MM")</f>
        <v>2023-04</v>
      </c>
    </row>
    <row r="981" spans="1:29">
      <c r="A981" t="s">
        <v>2947</v>
      </c>
      <c r="B981" s="1">
        <v>45589</v>
      </c>
      <c r="C981" t="s">
        <v>831</v>
      </c>
      <c r="D981" t="s">
        <v>461</v>
      </c>
      <c r="E981">
        <v>118</v>
      </c>
      <c r="F981" t="s">
        <v>2948</v>
      </c>
      <c r="G981">
        <v>118</v>
      </c>
      <c r="H981">
        <v>1114.2336</v>
      </c>
      <c r="N981">
        <v>1114.2336</v>
      </c>
      <c r="O981" s="1">
        <v>45141</v>
      </c>
      <c r="P981">
        <f>IF(ISBLANK(ReconciliationData[[#This Row],[Invoice_ID]]),1,0)</f>
        <v>0</v>
      </c>
      <c r="Q981">
        <f>IF(AND(NOT(ISBLANK(ReconciliationData[[#This Row],[Billed_Units]])),ReconciliationData[[#This Row],[ordered_units]]&lt;&gt;ReconciliationData[[#This Row],[Billed_Units]]),1,0)</f>
        <v>0</v>
      </c>
      <c r="R9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1">
        <f>IF(AND(NOT(ISBLANK(ReconciliationData[[#This Row],[Contract_Price]])),ReconciliationData[[#This Row],[Billed_Price]]&lt;&gt;ReconciliationData[[#This Row],[Contract_Price]]),1,0)</f>
        <v>0</v>
      </c>
      <c r="T981">
        <f>IF(AND(NOT(ISBLANK(ReconciliationData[[#This Row],[End_Date]])),ReconciliationData[[#This Row],[Order_Date]]&gt;ReconciliationData[[#This Row],[End_Date]]),1,0)</f>
        <v>0</v>
      </c>
      <c r="U981">
        <f>IF(AND(NOT(ISBLANK(ReconciliationData[[#This Row],[last_return_date]])),ReconciliationData[[#This Row],[last_return_date]]&gt;ReconciliationData[[#This Row],[Order_Date]]+60),1,0)</f>
        <v>0</v>
      </c>
      <c r="V981">
        <f>IF(ReconciliationData[[#This Row],[total_returned_units]]&gt;ReconciliationData[[#This Row],[ordered_units]],1,0)</f>
        <v>0</v>
      </c>
      <c r="W9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81">
        <f>ReconciliationData[[#This Row],[Billed_Units]]*ReconciliationData[[#This Row],[Billed_Price]]</f>
        <v>131479.56479999999</v>
      </c>
      <c r="Y981">
        <f>ReconciliationData[[#This Row],[ordered_units]]*ReconciliationData[[#This Row],[List_Price]]</f>
        <v>131479.56479999999</v>
      </c>
      <c r="Z981">
        <f>ReconciliationData[[#This Row],[billed_revenue]]-ReconciliationData[[#This Row],[expected_revenue]]</f>
        <v>0</v>
      </c>
      <c r="AA9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81" t="str">
        <f>IF(ReconciliationData[[#This Row],[severity_score]]=0,"LOW",
 IF(ReconciliationData[[#This Row],[severity_score]]&lt;=5,"MEDIUM","HIGH"))</f>
        <v>LOW</v>
      </c>
      <c r="AC981" t="str">
        <f>TEXT(ReconciliationData[[#This Row],[Order_Date]],"YYYY-MM")</f>
        <v>2024-10</v>
      </c>
    </row>
    <row r="982" spans="1:29">
      <c r="A982" t="s">
        <v>2949</v>
      </c>
      <c r="B982" s="1">
        <v>45434</v>
      </c>
      <c r="C982" t="s">
        <v>1781</v>
      </c>
      <c r="D982" t="s">
        <v>1235</v>
      </c>
      <c r="E982">
        <v>75</v>
      </c>
      <c r="F982" t="s">
        <v>2950</v>
      </c>
      <c r="G982">
        <v>75</v>
      </c>
      <c r="H982">
        <v>892.55520000000013</v>
      </c>
      <c r="N982">
        <v>892.55520000000013</v>
      </c>
      <c r="O982" s="1">
        <v>44985</v>
      </c>
      <c r="P982">
        <f>IF(ISBLANK(ReconciliationData[[#This Row],[Invoice_ID]]),1,0)</f>
        <v>0</v>
      </c>
      <c r="Q982">
        <f>IF(AND(NOT(ISBLANK(ReconciliationData[[#This Row],[Billed_Units]])),ReconciliationData[[#This Row],[ordered_units]]&lt;&gt;ReconciliationData[[#This Row],[Billed_Units]]),1,0)</f>
        <v>0</v>
      </c>
      <c r="R9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2">
        <f>IF(AND(NOT(ISBLANK(ReconciliationData[[#This Row],[Contract_Price]])),ReconciliationData[[#This Row],[Billed_Price]]&lt;&gt;ReconciliationData[[#This Row],[Contract_Price]]),1,0)</f>
        <v>0</v>
      </c>
      <c r="T982">
        <f>IF(AND(NOT(ISBLANK(ReconciliationData[[#This Row],[End_Date]])),ReconciliationData[[#This Row],[Order_Date]]&gt;ReconciliationData[[#This Row],[End_Date]]),1,0)</f>
        <v>0</v>
      </c>
      <c r="U982">
        <f>IF(AND(NOT(ISBLANK(ReconciliationData[[#This Row],[last_return_date]])),ReconciliationData[[#This Row],[last_return_date]]&gt;ReconciliationData[[#This Row],[Order_Date]]+60),1,0)</f>
        <v>0</v>
      </c>
      <c r="V982">
        <f>IF(ReconciliationData[[#This Row],[total_returned_units]]&gt;ReconciliationData[[#This Row],[ordered_units]],1,0)</f>
        <v>0</v>
      </c>
      <c r="W9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82">
        <f>ReconciliationData[[#This Row],[Billed_Units]]*ReconciliationData[[#This Row],[Billed_Price]]</f>
        <v>66941.640000000014</v>
      </c>
      <c r="Y982">
        <f>ReconciliationData[[#This Row],[ordered_units]]*ReconciliationData[[#This Row],[List_Price]]</f>
        <v>66941.640000000014</v>
      </c>
      <c r="Z982">
        <f>ReconciliationData[[#This Row],[billed_revenue]]-ReconciliationData[[#This Row],[expected_revenue]]</f>
        <v>0</v>
      </c>
      <c r="AA9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82" t="str">
        <f>IF(ReconciliationData[[#This Row],[severity_score]]=0,"LOW",
 IF(ReconciliationData[[#This Row],[severity_score]]&lt;=5,"MEDIUM","HIGH"))</f>
        <v>LOW</v>
      </c>
      <c r="AC982" t="str">
        <f>TEXT(ReconciliationData[[#This Row],[Order_Date]],"YYYY-MM")</f>
        <v>2024-05</v>
      </c>
    </row>
    <row r="983" spans="1:29">
      <c r="A983" t="s">
        <v>2951</v>
      </c>
      <c r="B983" s="1">
        <v>45232</v>
      </c>
      <c r="C983" t="s">
        <v>254</v>
      </c>
      <c r="D983" t="s">
        <v>2101</v>
      </c>
      <c r="E983">
        <v>120</v>
      </c>
      <c r="F983" t="s">
        <v>2952</v>
      </c>
      <c r="G983">
        <v>120</v>
      </c>
      <c r="H983">
        <v>230.7345</v>
      </c>
      <c r="N983">
        <v>230.7345</v>
      </c>
      <c r="O983" s="1">
        <v>45142</v>
      </c>
      <c r="P983">
        <f>IF(ISBLANK(ReconciliationData[[#This Row],[Invoice_ID]]),1,0)</f>
        <v>0</v>
      </c>
      <c r="Q983">
        <f>IF(AND(NOT(ISBLANK(ReconciliationData[[#This Row],[Billed_Units]])),ReconciliationData[[#This Row],[ordered_units]]&lt;&gt;ReconciliationData[[#This Row],[Billed_Units]]),1,0)</f>
        <v>0</v>
      </c>
      <c r="R9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3">
        <f>IF(AND(NOT(ISBLANK(ReconciliationData[[#This Row],[Contract_Price]])),ReconciliationData[[#This Row],[Billed_Price]]&lt;&gt;ReconciliationData[[#This Row],[Contract_Price]]),1,0)</f>
        <v>0</v>
      </c>
      <c r="T983">
        <f>IF(AND(NOT(ISBLANK(ReconciliationData[[#This Row],[End_Date]])),ReconciliationData[[#This Row],[Order_Date]]&gt;ReconciliationData[[#This Row],[End_Date]]),1,0)</f>
        <v>0</v>
      </c>
      <c r="U983">
        <f>IF(AND(NOT(ISBLANK(ReconciliationData[[#This Row],[last_return_date]])),ReconciliationData[[#This Row],[last_return_date]]&gt;ReconciliationData[[#This Row],[Order_Date]]+60),1,0)</f>
        <v>0</v>
      </c>
      <c r="V983">
        <f>IF(ReconciliationData[[#This Row],[total_returned_units]]&gt;ReconciliationData[[#This Row],[ordered_units]],1,0)</f>
        <v>0</v>
      </c>
      <c r="W9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83">
        <f>ReconciliationData[[#This Row],[Billed_Units]]*ReconciliationData[[#This Row],[Billed_Price]]</f>
        <v>27688.14</v>
      </c>
      <c r="Y983">
        <f>ReconciliationData[[#This Row],[ordered_units]]*ReconciliationData[[#This Row],[List_Price]]</f>
        <v>27688.14</v>
      </c>
      <c r="Z983">
        <f>ReconciliationData[[#This Row],[billed_revenue]]-ReconciliationData[[#This Row],[expected_revenue]]</f>
        <v>0</v>
      </c>
      <c r="AA9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83" t="str">
        <f>IF(ReconciliationData[[#This Row],[severity_score]]=0,"LOW",
 IF(ReconciliationData[[#This Row],[severity_score]]&lt;=5,"MEDIUM","HIGH"))</f>
        <v>LOW</v>
      </c>
      <c r="AC983" t="str">
        <f>TEXT(ReconciliationData[[#This Row],[Order_Date]],"YYYY-MM")</f>
        <v>2023-11</v>
      </c>
    </row>
    <row r="984" spans="1:29">
      <c r="A984" t="s">
        <v>2953</v>
      </c>
      <c r="B984" s="1">
        <v>45590</v>
      </c>
      <c r="C984" t="s">
        <v>572</v>
      </c>
      <c r="D984" t="s">
        <v>775</v>
      </c>
      <c r="E984">
        <v>71</v>
      </c>
      <c r="F984" t="s">
        <v>2954</v>
      </c>
      <c r="G984">
        <v>71</v>
      </c>
      <c r="H984">
        <v>1231.8180000000002</v>
      </c>
      <c r="N984">
        <v>1231.8180000000002</v>
      </c>
      <c r="O984" s="1">
        <v>45048</v>
      </c>
      <c r="P984">
        <f>IF(ISBLANK(ReconciliationData[[#This Row],[Invoice_ID]]),1,0)</f>
        <v>0</v>
      </c>
      <c r="Q984">
        <f>IF(AND(NOT(ISBLANK(ReconciliationData[[#This Row],[Billed_Units]])),ReconciliationData[[#This Row],[ordered_units]]&lt;&gt;ReconciliationData[[#This Row],[Billed_Units]]),1,0)</f>
        <v>0</v>
      </c>
      <c r="R9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4">
        <f>IF(AND(NOT(ISBLANK(ReconciliationData[[#This Row],[Contract_Price]])),ReconciliationData[[#This Row],[Billed_Price]]&lt;&gt;ReconciliationData[[#This Row],[Contract_Price]]),1,0)</f>
        <v>0</v>
      </c>
      <c r="T984">
        <f>IF(AND(NOT(ISBLANK(ReconciliationData[[#This Row],[End_Date]])),ReconciliationData[[#This Row],[Order_Date]]&gt;ReconciliationData[[#This Row],[End_Date]]),1,0)</f>
        <v>0</v>
      </c>
      <c r="U984">
        <f>IF(AND(NOT(ISBLANK(ReconciliationData[[#This Row],[last_return_date]])),ReconciliationData[[#This Row],[last_return_date]]&gt;ReconciliationData[[#This Row],[Order_Date]]+60),1,0)</f>
        <v>0</v>
      </c>
      <c r="V984">
        <f>IF(ReconciliationData[[#This Row],[total_returned_units]]&gt;ReconciliationData[[#This Row],[ordered_units]],1,0)</f>
        <v>0</v>
      </c>
      <c r="W9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84">
        <f>ReconciliationData[[#This Row],[Billed_Units]]*ReconciliationData[[#This Row],[Billed_Price]]</f>
        <v>87459.078000000009</v>
      </c>
      <c r="Y984">
        <f>ReconciliationData[[#This Row],[ordered_units]]*ReconciliationData[[#This Row],[List_Price]]</f>
        <v>87459.078000000009</v>
      </c>
      <c r="Z984">
        <f>ReconciliationData[[#This Row],[billed_revenue]]-ReconciliationData[[#This Row],[expected_revenue]]</f>
        <v>0</v>
      </c>
      <c r="AA9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84" t="str">
        <f>IF(ReconciliationData[[#This Row],[severity_score]]=0,"LOW",
 IF(ReconciliationData[[#This Row],[severity_score]]&lt;=5,"MEDIUM","HIGH"))</f>
        <v>LOW</v>
      </c>
      <c r="AC984" t="str">
        <f>TEXT(ReconciliationData[[#This Row],[Order_Date]],"YYYY-MM")</f>
        <v>2024-10</v>
      </c>
    </row>
    <row r="985" spans="1:29">
      <c r="A985" t="s">
        <v>2955</v>
      </c>
      <c r="B985" s="1">
        <v>45193</v>
      </c>
      <c r="C985" t="s">
        <v>511</v>
      </c>
      <c r="D985" t="s">
        <v>190</v>
      </c>
      <c r="E985">
        <v>118</v>
      </c>
      <c r="F985" t="s">
        <v>2956</v>
      </c>
      <c r="G985">
        <v>118</v>
      </c>
      <c r="H985">
        <v>265.44960000000003</v>
      </c>
      <c r="N985">
        <v>265.44960000000003</v>
      </c>
      <c r="O985" s="1">
        <v>44999</v>
      </c>
      <c r="P985">
        <f>IF(ISBLANK(ReconciliationData[[#This Row],[Invoice_ID]]),1,0)</f>
        <v>0</v>
      </c>
      <c r="Q985">
        <f>IF(AND(NOT(ISBLANK(ReconciliationData[[#This Row],[Billed_Units]])),ReconciliationData[[#This Row],[ordered_units]]&lt;&gt;ReconciliationData[[#This Row],[Billed_Units]]),1,0)</f>
        <v>0</v>
      </c>
      <c r="R9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5">
        <f>IF(AND(NOT(ISBLANK(ReconciliationData[[#This Row],[Contract_Price]])),ReconciliationData[[#This Row],[Billed_Price]]&lt;&gt;ReconciliationData[[#This Row],[Contract_Price]]),1,0)</f>
        <v>0</v>
      </c>
      <c r="T985">
        <f>IF(AND(NOT(ISBLANK(ReconciliationData[[#This Row],[End_Date]])),ReconciliationData[[#This Row],[Order_Date]]&gt;ReconciliationData[[#This Row],[End_Date]]),1,0)</f>
        <v>0</v>
      </c>
      <c r="U985">
        <f>IF(AND(NOT(ISBLANK(ReconciliationData[[#This Row],[last_return_date]])),ReconciliationData[[#This Row],[last_return_date]]&gt;ReconciliationData[[#This Row],[Order_Date]]+60),1,0)</f>
        <v>0</v>
      </c>
      <c r="V985">
        <f>IF(ReconciliationData[[#This Row],[total_returned_units]]&gt;ReconciliationData[[#This Row],[ordered_units]],1,0)</f>
        <v>0</v>
      </c>
      <c r="W9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85">
        <f>ReconciliationData[[#This Row],[Billed_Units]]*ReconciliationData[[#This Row],[Billed_Price]]</f>
        <v>31323.052800000005</v>
      </c>
      <c r="Y985">
        <f>ReconciliationData[[#This Row],[ordered_units]]*ReconciliationData[[#This Row],[List_Price]]</f>
        <v>31323.052800000005</v>
      </c>
      <c r="Z985">
        <f>ReconciliationData[[#This Row],[billed_revenue]]-ReconciliationData[[#This Row],[expected_revenue]]</f>
        <v>0</v>
      </c>
      <c r="AA9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85" t="str">
        <f>IF(ReconciliationData[[#This Row],[severity_score]]=0,"LOW",
 IF(ReconciliationData[[#This Row],[severity_score]]&lt;=5,"MEDIUM","HIGH"))</f>
        <v>LOW</v>
      </c>
      <c r="AC985" t="str">
        <f>TEXT(ReconciliationData[[#This Row],[Order_Date]],"YYYY-MM")</f>
        <v>2023-09</v>
      </c>
    </row>
    <row r="986" spans="1:29">
      <c r="A986" t="s">
        <v>2957</v>
      </c>
      <c r="B986" s="1">
        <v>45486</v>
      </c>
      <c r="C986" t="s">
        <v>2625</v>
      </c>
      <c r="D986" t="s">
        <v>1414</v>
      </c>
      <c r="E986">
        <v>25</v>
      </c>
      <c r="F986" t="s">
        <v>2958</v>
      </c>
      <c r="G986">
        <v>25</v>
      </c>
      <c r="H986">
        <v>872.7808</v>
      </c>
      <c r="N986">
        <v>872.7808</v>
      </c>
      <c r="O986" s="1">
        <v>45225</v>
      </c>
      <c r="P986">
        <f>IF(ISBLANK(ReconciliationData[[#This Row],[Invoice_ID]]),1,0)</f>
        <v>0</v>
      </c>
      <c r="Q986">
        <f>IF(AND(NOT(ISBLANK(ReconciliationData[[#This Row],[Billed_Units]])),ReconciliationData[[#This Row],[ordered_units]]&lt;&gt;ReconciliationData[[#This Row],[Billed_Units]]),1,0)</f>
        <v>0</v>
      </c>
      <c r="R9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6">
        <f>IF(AND(NOT(ISBLANK(ReconciliationData[[#This Row],[Contract_Price]])),ReconciliationData[[#This Row],[Billed_Price]]&lt;&gt;ReconciliationData[[#This Row],[Contract_Price]]),1,0)</f>
        <v>0</v>
      </c>
      <c r="T986">
        <f>IF(AND(NOT(ISBLANK(ReconciliationData[[#This Row],[End_Date]])),ReconciliationData[[#This Row],[Order_Date]]&gt;ReconciliationData[[#This Row],[End_Date]]),1,0)</f>
        <v>0</v>
      </c>
      <c r="U986">
        <f>IF(AND(NOT(ISBLANK(ReconciliationData[[#This Row],[last_return_date]])),ReconciliationData[[#This Row],[last_return_date]]&gt;ReconciliationData[[#This Row],[Order_Date]]+60),1,0)</f>
        <v>0</v>
      </c>
      <c r="V986">
        <f>IF(ReconciliationData[[#This Row],[total_returned_units]]&gt;ReconciliationData[[#This Row],[ordered_units]],1,0)</f>
        <v>0</v>
      </c>
      <c r="W9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86">
        <f>ReconciliationData[[#This Row],[Billed_Units]]*ReconciliationData[[#This Row],[Billed_Price]]</f>
        <v>21819.52</v>
      </c>
      <c r="Y986">
        <f>ReconciliationData[[#This Row],[ordered_units]]*ReconciliationData[[#This Row],[List_Price]]</f>
        <v>21819.52</v>
      </c>
      <c r="Z986">
        <f>ReconciliationData[[#This Row],[billed_revenue]]-ReconciliationData[[#This Row],[expected_revenue]]</f>
        <v>0</v>
      </c>
      <c r="AA9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86" t="str">
        <f>IF(ReconciliationData[[#This Row],[severity_score]]=0,"LOW",
 IF(ReconciliationData[[#This Row],[severity_score]]&lt;=5,"MEDIUM","HIGH"))</f>
        <v>LOW</v>
      </c>
      <c r="AC986" t="str">
        <f>TEXT(ReconciliationData[[#This Row],[Order_Date]],"YYYY-MM")</f>
        <v>2024-07</v>
      </c>
    </row>
    <row r="987" spans="1:29">
      <c r="A987" t="s">
        <v>2959</v>
      </c>
      <c r="B987" s="1">
        <v>45513</v>
      </c>
      <c r="C987" t="s">
        <v>2758</v>
      </c>
      <c r="D987" t="s">
        <v>828</v>
      </c>
      <c r="E987">
        <v>2</v>
      </c>
      <c r="F987" t="s">
        <v>2960</v>
      </c>
      <c r="G987">
        <v>2</v>
      </c>
      <c r="H987">
        <v>893.8972</v>
      </c>
      <c r="N987">
        <v>893.8972</v>
      </c>
      <c r="O987" s="1">
        <v>45049</v>
      </c>
      <c r="P987">
        <f>IF(ISBLANK(ReconciliationData[[#This Row],[Invoice_ID]]),1,0)</f>
        <v>0</v>
      </c>
      <c r="Q987">
        <f>IF(AND(NOT(ISBLANK(ReconciliationData[[#This Row],[Billed_Units]])),ReconciliationData[[#This Row],[ordered_units]]&lt;&gt;ReconciliationData[[#This Row],[Billed_Units]]),1,0)</f>
        <v>0</v>
      </c>
      <c r="R9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7">
        <f>IF(AND(NOT(ISBLANK(ReconciliationData[[#This Row],[Contract_Price]])),ReconciliationData[[#This Row],[Billed_Price]]&lt;&gt;ReconciliationData[[#This Row],[Contract_Price]]),1,0)</f>
        <v>0</v>
      </c>
      <c r="T987">
        <f>IF(AND(NOT(ISBLANK(ReconciliationData[[#This Row],[End_Date]])),ReconciliationData[[#This Row],[Order_Date]]&gt;ReconciliationData[[#This Row],[End_Date]]),1,0)</f>
        <v>0</v>
      </c>
      <c r="U987">
        <f>IF(AND(NOT(ISBLANK(ReconciliationData[[#This Row],[last_return_date]])),ReconciliationData[[#This Row],[last_return_date]]&gt;ReconciliationData[[#This Row],[Order_Date]]+60),1,0)</f>
        <v>0</v>
      </c>
      <c r="V987">
        <f>IF(ReconciliationData[[#This Row],[total_returned_units]]&gt;ReconciliationData[[#This Row],[ordered_units]],1,0)</f>
        <v>0</v>
      </c>
      <c r="W9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87">
        <f>ReconciliationData[[#This Row],[Billed_Units]]*ReconciliationData[[#This Row],[Billed_Price]]</f>
        <v>1787.7944</v>
      </c>
      <c r="Y987">
        <f>ReconciliationData[[#This Row],[ordered_units]]*ReconciliationData[[#This Row],[List_Price]]</f>
        <v>1787.7944</v>
      </c>
      <c r="Z987">
        <f>ReconciliationData[[#This Row],[billed_revenue]]-ReconciliationData[[#This Row],[expected_revenue]]</f>
        <v>0</v>
      </c>
      <c r="AA9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87" t="str">
        <f>IF(ReconciliationData[[#This Row],[severity_score]]=0,"LOW",
 IF(ReconciliationData[[#This Row],[severity_score]]&lt;=5,"MEDIUM","HIGH"))</f>
        <v>LOW</v>
      </c>
      <c r="AC987" t="str">
        <f>TEXT(ReconciliationData[[#This Row],[Order_Date]],"YYYY-MM")</f>
        <v>2024-08</v>
      </c>
    </row>
    <row r="988" spans="1:29">
      <c r="A988" t="s">
        <v>2961</v>
      </c>
      <c r="B988" s="1">
        <v>45212</v>
      </c>
      <c r="C988" t="s">
        <v>2962</v>
      </c>
      <c r="D988" t="s">
        <v>564</v>
      </c>
      <c r="E988">
        <v>177</v>
      </c>
      <c r="F988" t="s">
        <v>2963</v>
      </c>
      <c r="G988">
        <v>177</v>
      </c>
      <c r="H988">
        <v>1171.7046</v>
      </c>
      <c r="N988">
        <v>1171.7046</v>
      </c>
      <c r="O988" s="1">
        <v>45077</v>
      </c>
      <c r="P988">
        <f>IF(ISBLANK(ReconciliationData[[#This Row],[Invoice_ID]]),1,0)</f>
        <v>0</v>
      </c>
      <c r="Q988">
        <f>IF(AND(NOT(ISBLANK(ReconciliationData[[#This Row],[Billed_Units]])),ReconciliationData[[#This Row],[ordered_units]]&lt;&gt;ReconciliationData[[#This Row],[Billed_Units]]),1,0)</f>
        <v>0</v>
      </c>
      <c r="R9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8">
        <f>IF(AND(NOT(ISBLANK(ReconciliationData[[#This Row],[Contract_Price]])),ReconciliationData[[#This Row],[Billed_Price]]&lt;&gt;ReconciliationData[[#This Row],[Contract_Price]]),1,0)</f>
        <v>0</v>
      </c>
      <c r="T988">
        <f>IF(AND(NOT(ISBLANK(ReconciliationData[[#This Row],[End_Date]])),ReconciliationData[[#This Row],[Order_Date]]&gt;ReconciliationData[[#This Row],[End_Date]]),1,0)</f>
        <v>0</v>
      </c>
      <c r="U988">
        <f>IF(AND(NOT(ISBLANK(ReconciliationData[[#This Row],[last_return_date]])),ReconciliationData[[#This Row],[last_return_date]]&gt;ReconciliationData[[#This Row],[Order_Date]]+60),1,0)</f>
        <v>0</v>
      </c>
      <c r="V988">
        <f>IF(ReconciliationData[[#This Row],[total_returned_units]]&gt;ReconciliationData[[#This Row],[ordered_units]],1,0)</f>
        <v>0</v>
      </c>
      <c r="W9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88">
        <f>ReconciliationData[[#This Row],[Billed_Units]]*ReconciliationData[[#This Row],[Billed_Price]]</f>
        <v>207391.71420000002</v>
      </c>
      <c r="Y988">
        <f>ReconciliationData[[#This Row],[ordered_units]]*ReconciliationData[[#This Row],[List_Price]]</f>
        <v>207391.71420000002</v>
      </c>
      <c r="Z988">
        <f>ReconciliationData[[#This Row],[billed_revenue]]-ReconciliationData[[#This Row],[expected_revenue]]</f>
        <v>0</v>
      </c>
      <c r="AA9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88" t="str">
        <f>IF(ReconciliationData[[#This Row],[severity_score]]=0,"LOW",
 IF(ReconciliationData[[#This Row],[severity_score]]&lt;=5,"MEDIUM","HIGH"))</f>
        <v>LOW</v>
      </c>
      <c r="AC988" t="str">
        <f>TEXT(ReconciliationData[[#This Row],[Order_Date]],"YYYY-MM")</f>
        <v>2023-10</v>
      </c>
    </row>
    <row r="989" spans="1:29">
      <c r="A989" t="s">
        <v>2964</v>
      </c>
      <c r="B989" s="1">
        <v>44958</v>
      </c>
      <c r="C989" t="s">
        <v>286</v>
      </c>
      <c r="D989" t="s">
        <v>1671</v>
      </c>
      <c r="E989">
        <v>188</v>
      </c>
      <c r="F989" t="s">
        <v>2965</v>
      </c>
      <c r="G989">
        <v>188</v>
      </c>
      <c r="H989">
        <v>465.6096</v>
      </c>
      <c r="N989">
        <v>465.6096</v>
      </c>
      <c r="O989" s="1">
        <v>44810</v>
      </c>
      <c r="P989">
        <f>IF(ISBLANK(ReconciliationData[[#This Row],[Invoice_ID]]),1,0)</f>
        <v>0</v>
      </c>
      <c r="Q989">
        <f>IF(AND(NOT(ISBLANK(ReconciliationData[[#This Row],[Billed_Units]])),ReconciliationData[[#This Row],[ordered_units]]&lt;&gt;ReconciliationData[[#This Row],[Billed_Units]]),1,0)</f>
        <v>0</v>
      </c>
      <c r="R9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89">
        <f>IF(AND(NOT(ISBLANK(ReconciliationData[[#This Row],[Contract_Price]])),ReconciliationData[[#This Row],[Billed_Price]]&lt;&gt;ReconciliationData[[#This Row],[Contract_Price]]),1,0)</f>
        <v>0</v>
      </c>
      <c r="T989">
        <f>IF(AND(NOT(ISBLANK(ReconciliationData[[#This Row],[End_Date]])),ReconciliationData[[#This Row],[Order_Date]]&gt;ReconciliationData[[#This Row],[End_Date]]),1,0)</f>
        <v>0</v>
      </c>
      <c r="U989">
        <f>IF(AND(NOT(ISBLANK(ReconciliationData[[#This Row],[last_return_date]])),ReconciliationData[[#This Row],[last_return_date]]&gt;ReconciliationData[[#This Row],[Order_Date]]+60),1,0)</f>
        <v>0</v>
      </c>
      <c r="V989">
        <f>IF(ReconciliationData[[#This Row],[total_returned_units]]&gt;ReconciliationData[[#This Row],[ordered_units]],1,0)</f>
        <v>0</v>
      </c>
      <c r="W9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89">
        <f>ReconciliationData[[#This Row],[Billed_Units]]*ReconciliationData[[#This Row],[Billed_Price]]</f>
        <v>87534.604800000001</v>
      </c>
      <c r="Y989">
        <f>ReconciliationData[[#This Row],[ordered_units]]*ReconciliationData[[#This Row],[List_Price]]</f>
        <v>87534.604800000001</v>
      </c>
      <c r="Z989">
        <f>ReconciliationData[[#This Row],[billed_revenue]]-ReconciliationData[[#This Row],[expected_revenue]]</f>
        <v>0</v>
      </c>
      <c r="AA9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89" t="str">
        <f>IF(ReconciliationData[[#This Row],[severity_score]]=0,"LOW",
 IF(ReconciliationData[[#This Row],[severity_score]]&lt;=5,"MEDIUM","HIGH"))</f>
        <v>LOW</v>
      </c>
      <c r="AC989" t="str">
        <f>TEXT(ReconciliationData[[#This Row],[Order_Date]],"YYYY-MM")</f>
        <v>2023-02</v>
      </c>
    </row>
    <row r="990" spans="1:29">
      <c r="A990" t="s">
        <v>2966</v>
      </c>
      <c r="B990" s="1">
        <v>45147</v>
      </c>
      <c r="C990" t="s">
        <v>1248</v>
      </c>
      <c r="D990" t="s">
        <v>1362</v>
      </c>
      <c r="E990">
        <v>199</v>
      </c>
      <c r="F990" t="s">
        <v>2967</v>
      </c>
      <c r="G990">
        <v>199</v>
      </c>
      <c r="H990">
        <v>82.749600000000015</v>
      </c>
      <c r="N990">
        <v>82.749600000000015</v>
      </c>
      <c r="O990" s="1">
        <v>45068</v>
      </c>
      <c r="P990">
        <f>IF(ISBLANK(ReconciliationData[[#This Row],[Invoice_ID]]),1,0)</f>
        <v>0</v>
      </c>
      <c r="Q990">
        <f>IF(AND(NOT(ISBLANK(ReconciliationData[[#This Row],[Billed_Units]])),ReconciliationData[[#This Row],[ordered_units]]&lt;&gt;ReconciliationData[[#This Row],[Billed_Units]]),1,0)</f>
        <v>0</v>
      </c>
      <c r="R9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0">
        <f>IF(AND(NOT(ISBLANK(ReconciliationData[[#This Row],[Contract_Price]])),ReconciliationData[[#This Row],[Billed_Price]]&lt;&gt;ReconciliationData[[#This Row],[Contract_Price]]),1,0)</f>
        <v>0</v>
      </c>
      <c r="T990">
        <f>IF(AND(NOT(ISBLANK(ReconciliationData[[#This Row],[End_Date]])),ReconciliationData[[#This Row],[Order_Date]]&gt;ReconciliationData[[#This Row],[End_Date]]),1,0)</f>
        <v>0</v>
      </c>
      <c r="U990">
        <f>IF(AND(NOT(ISBLANK(ReconciliationData[[#This Row],[last_return_date]])),ReconciliationData[[#This Row],[last_return_date]]&gt;ReconciliationData[[#This Row],[Order_Date]]+60),1,0)</f>
        <v>0</v>
      </c>
      <c r="V990">
        <f>IF(ReconciliationData[[#This Row],[total_returned_units]]&gt;ReconciliationData[[#This Row],[ordered_units]],1,0)</f>
        <v>0</v>
      </c>
      <c r="W9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90">
        <f>ReconciliationData[[#This Row],[Billed_Units]]*ReconciliationData[[#This Row],[Billed_Price]]</f>
        <v>16467.170400000003</v>
      </c>
      <c r="Y990">
        <f>ReconciliationData[[#This Row],[ordered_units]]*ReconciliationData[[#This Row],[List_Price]]</f>
        <v>16467.170400000003</v>
      </c>
      <c r="Z990">
        <f>ReconciliationData[[#This Row],[billed_revenue]]-ReconciliationData[[#This Row],[expected_revenue]]</f>
        <v>0</v>
      </c>
      <c r="AA9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90" t="str">
        <f>IF(ReconciliationData[[#This Row],[severity_score]]=0,"LOW",
 IF(ReconciliationData[[#This Row],[severity_score]]&lt;=5,"MEDIUM","HIGH"))</f>
        <v>LOW</v>
      </c>
      <c r="AC990" t="str">
        <f>TEXT(ReconciliationData[[#This Row],[Order_Date]],"YYYY-MM")</f>
        <v>2023-08</v>
      </c>
    </row>
    <row r="991" spans="1:29">
      <c r="A991" t="s">
        <v>2968</v>
      </c>
      <c r="B991" s="1">
        <v>45307</v>
      </c>
      <c r="C991" t="s">
        <v>2745</v>
      </c>
      <c r="D991" t="s">
        <v>564</v>
      </c>
      <c r="E991">
        <v>193</v>
      </c>
      <c r="F991" t="s">
        <v>2969</v>
      </c>
      <c r="G991">
        <v>193</v>
      </c>
      <c r="H991">
        <v>1171.7046</v>
      </c>
      <c r="N991">
        <v>1171.7046</v>
      </c>
      <c r="O991" s="1">
        <v>45077</v>
      </c>
      <c r="P991">
        <f>IF(ISBLANK(ReconciliationData[[#This Row],[Invoice_ID]]),1,0)</f>
        <v>0</v>
      </c>
      <c r="Q991">
        <f>IF(AND(NOT(ISBLANK(ReconciliationData[[#This Row],[Billed_Units]])),ReconciliationData[[#This Row],[ordered_units]]&lt;&gt;ReconciliationData[[#This Row],[Billed_Units]]),1,0)</f>
        <v>0</v>
      </c>
      <c r="R9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1">
        <f>IF(AND(NOT(ISBLANK(ReconciliationData[[#This Row],[Contract_Price]])),ReconciliationData[[#This Row],[Billed_Price]]&lt;&gt;ReconciliationData[[#This Row],[Contract_Price]]),1,0)</f>
        <v>0</v>
      </c>
      <c r="T991">
        <f>IF(AND(NOT(ISBLANK(ReconciliationData[[#This Row],[End_Date]])),ReconciliationData[[#This Row],[Order_Date]]&gt;ReconciliationData[[#This Row],[End_Date]]),1,0)</f>
        <v>0</v>
      </c>
      <c r="U991">
        <f>IF(AND(NOT(ISBLANK(ReconciliationData[[#This Row],[last_return_date]])),ReconciliationData[[#This Row],[last_return_date]]&gt;ReconciliationData[[#This Row],[Order_Date]]+60),1,0)</f>
        <v>0</v>
      </c>
      <c r="V991">
        <f>IF(ReconciliationData[[#This Row],[total_returned_units]]&gt;ReconciliationData[[#This Row],[ordered_units]],1,0)</f>
        <v>0</v>
      </c>
      <c r="W9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91">
        <f>ReconciliationData[[#This Row],[Billed_Units]]*ReconciliationData[[#This Row],[Billed_Price]]</f>
        <v>226138.9878</v>
      </c>
      <c r="Y991">
        <f>ReconciliationData[[#This Row],[ordered_units]]*ReconciliationData[[#This Row],[List_Price]]</f>
        <v>226138.9878</v>
      </c>
      <c r="Z991">
        <f>ReconciliationData[[#This Row],[billed_revenue]]-ReconciliationData[[#This Row],[expected_revenue]]</f>
        <v>0</v>
      </c>
      <c r="AA9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91" t="str">
        <f>IF(ReconciliationData[[#This Row],[severity_score]]=0,"LOW",
 IF(ReconciliationData[[#This Row],[severity_score]]&lt;=5,"MEDIUM","HIGH"))</f>
        <v>LOW</v>
      </c>
      <c r="AC991" t="str">
        <f>TEXT(ReconciliationData[[#This Row],[Order_Date]],"YYYY-MM")</f>
        <v>2024-01</v>
      </c>
    </row>
    <row r="992" spans="1:29">
      <c r="A992" t="s">
        <v>2970</v>
      </c>
      <c r="B992" s="1">
        <v>45073</v>
      </c>
      <c r="C992" t="s">
        <v>2971</v>
      </c>
      <c r="D992" t="s">
        <v>1542</v>
      </c>
      <c r="E992">
        <v>38</v>
      </c>
      <c r="F992" t="s">
        <v>2972</v>
      </c>
      <c r="G992">
        <v>38</v>
      </c>
      <c r="H992">
        <v>374.4615</v>
      </c>
      <c r="N992">
        <v>374.4615</v>
      </c>
      <c r="O992" s="1">
        <v>44992</v>
      </c>
      <c r="P992">
        <f>IF(ISBLANK(ReconciliationData[[#This Row],[Invoice_ID]]),1,0)</f>
        <v>0</v>
      </c>
      <c r="Q992">
        <f>IF(AND(NOT(ISBLANK(ReconciliationData[[#This Row],[Billed_Units]])),ReconciliationData[[#This Row],[ordered_units]]&lt;&gt;ReconciliationData[[#This Row],[Billed_Units]]),1,0)</f>
        <v>0</v>
      </c>
      <c r="R9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2">
        <f>IF(AND(NOT(ISBLANK(ReconciliationData[[#This Row],[Contract_Price]])),ReconciliationData[[#This Row],[Billed_Price]]&lt;&gt;ReconciliationData[[#This Row],[Contract_Price]]),1,0)</f>
        <v>0</v>
      </c>
      <c r="T992">
        <f>IF(AND(NOT(ISBLANK(ReconciliationData[[#This Row],[End_Date]])),ReconciliationData[[#This Row],[Order_Date]]&gt;ReconciliationData[[#This Row],[End_Date]]),1,0)</f>
        <v>0</v>
      </c>
      <c r="U992">
        <f>IF(AND(NOT(ISBLANK(ReconciliationData[[#This Row],[last_return_date]])),ReconciliationData[[#This Row],[last_return_date]]&gt;ReconciliationData[[#This Row],[Order_Date]]+60),1,0)</f>
        <v>0</v>
      </c>
      <c r="V992">
        <f>IF(ReconciliationData[[#This Row],[total_returned_units]]&gt;ReconciliationData[[#This Row],[ordered_units]],1,0)</f>
        <v>0</v>
      </c>
      <c r="W9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92">
        <f>ReconciliationData[[#This Row],[Billed_Units]]*ReconciliationData[[#This Row],[Billed_Price]]</f>
        <v>14229.537</v>
      </c>
      <c r="Y992">
        <f>ReconciliationData[[#This Row],[ordered_units]]*ReconciliationData[[#This Row],[List_Price]]</f>
        <v>14229.537</v>
      </c>
      <c r="Z992">
        <f>ReconciliationData[[#This Row],[billed_revenue]]-ReconciliationData[[#This Row],[expected_revenue]]</f>
        <v>0</v>
      </c>
      <c r="AA9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92" t="str">
        <f>IF(ReconciliationData[[#This Row],[severity_score]]=0,"LOW",
 IF(ReconciliationData[[#This Row],[severity_score]]&lt;=5,"MEDIUM","HIGH"))</f>
        <v>LOW</v>
      </c>
      <c r="AC992" t="str">
        <f>TEXT(ReconciliationData[[#This Row],[Order_Date]],"YYYY-MM")</f>
        <v>2023-05</v>
      </c>
    </row>
    <row r="993" spans="1:29">
      <c r="A993" t="s">
        <v>2973</v>
      </c>
      <c r="B993" s="1">
        <v>45137</v>
      </c>
      <c r="C993" t="s">
        <v>2642</v>
      </c>
      <c r="D993" t="s">
        <v>1802</v>
      </c>
      <c r="E993">
        <v>15</v>
      </c>
      <c r="F993" t="s">
        <v>2974</v>
      </c>
      <c r="G993">
        <v>15</v>
      </c>
      <c r="H993">
        <v>648.86940000000004</v>
      </c>
      <c r="I993">
        <v>18</v>
      </c>
      <c r="J993" s="1">
        <v>45410</v>
      </c>
      <c r="N993">
        <v>648.86940000000004</v>
      </c>
      <c r="O993" s="1">
        <v>45064</v>
      </c>
      <c r="P993">
        <f>IF(ISBLANK(ReconciliationData[[#This Row],[Invoice_ID]]),1,0)</f>
        <v>0</v>
      </c>
      <c r="Q993">
        <f>IF(AND(NOT(ISBLANK(ReconciliationData[[#This Row],[Billed_Units]])),ReconciliationData[[#This Row],[ordered_units]]&lt;&gt;ReconciliationData[[#This Row],[Billed_Units]]),1,0)</f>
        <v>0</v>
      </c>
      <c r="R9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3">
        <f>IF(AND(NOT(ISBLANK(ReconciliationData[[#This Row],[Contract_Price]])),ReconciliationData[[#This Row],[Billed_Price]]&lt;&gt;ReconciliationData[[#This Row],[Contract_Price]]),1,0)</f>
        <v>0</v>
      </c>
      <c r="T993">
        <f>IF(AND(NOT(ISBLANK(ReconciliationData[[#This Row],[End_Date]])),ReconciliationData[[#This Row],[Order_Date]]&gt;ReconciliationData[[#This Row],[End_Date]]),1,0)</f>
        <v>0</v>
      </c>
      <c r="U993">
        <f>IF(AND(NOT(ISBLANK(ReconciliationData[[#This Row],[last_return_date]])),ReconciliationData[[#This Row],[last_return_date]]&gt;ReconciliationData[[#This Row],[Order_Date]]+60),1,0)</f>
        <v>1</v>
      </c>
      <c r="V993">
        <f>IF(ReconciliationData[[#This Row],[total_returned_units]]&gt;ReconciliationData[[#This Row],[ordered_units]],1,0)</f>
        <v>1</v>
      </c>
      <c r="W9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993">
        <f>ReconciliationData[[#This Row],[Billed_Units]]*ReconciliationData[[#This Row],[Billed_Price]]</f>
        <v>9733.0410000000011</v>
      </c>
      <c r="Y993">
        <f>ReconciliationData[[#This Row],[ordered_units]]*ReconciliationData[[#This Row],[List_Price]]</f>
        <v>9733.0410000000011</v>
      </c>
      <c r="Z993">
        <f>ReconciliationData[[#This Row],[billed_revenue]]-ReconciliationData[[#This Row],[expected_revenue]]</f>
        <v>0</v>
      </c>
      <c r="AA9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5</v>
      </c>
      <c r="AB993" t="str">
        <f>IF(ReconciliationData[[#This Row],[severity_score]]=0,"LOW",
 IF(ReconciliationData[[#This Row],[severity_score]]&lt;=5,"MEDIUM","HIGH"))</f>
        <v>MEDIUM</v>
      </c>
      <c r="AC993" t="str">
        <f>TEXT(ReconciliationData[[#This Row],[Order_Date]],"YYYY-MM")</f>
        <v>2023-07</v>
      </c>
    </row>
    <row r="994" spans="1:29">
      <c r="A994" t="s">
        <v>2975</v>
      </c>
      <c r="B994" s="1">
        <v>44983</v>
      </c>
      <c r="C994" t="s">
        <v>2976</v>
      </c>
      <c r="D994" t="s">
        <v>738</v>
      </c>
      <c r="E994">
        <v>94</v>
      </c>
      <c r="F994" t="s">
        <v>2977</v>
      </c>
      <c r="G994">
        <v>94</v>
      </c>
      <c r="H994">
        <v>733.42080000000021</v>
      </c>
      <c r="N994">
        <v>733.42080000000021</v>
      </c>
      <c r="O994" s="1">
        <v>44856</v>
      </c>
      <c r="P994">
        <f>IF(ISBLANK(ReconciliationData[[#This Row],[Invoice_ID]]),1,0)</f>
        <v>0</v>
      </c>
      <c r="Q994">
        <f>IF(AND(NOT(ISBLANK(ReconciliationData[[#This Row],[Billed_Units]])),ReconciliationData[[#This Row],[ordered_units]]&lt;&gt;ReconciliationData[[#This Row],[Billed_Units]]),1,0)</f>
        <v>0</v>
      </c>
      <c r="R9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4">
        <f>IF(AND(NOT(ISBLANK(ReconciliationData[[#This Row],[Contract_Price]])),ReconciliationData[[#This Row],[Billed_Price]]&lt;&gt;ReconciliationData[[#This Row],[Contract_Price]]),1,0)</f>
        <v>0</v>
      </c>
      <c r="T994">
        <f>IF(AND(NOT(ISBLANK(ReconciliationData[[#This Row],[End_Date]])),ReconciliationData[[#This Row],[Order_Date]]&gt;ReconciliationData[[#This Row],[End_Date]]),1,0)</f>
        <v>0</v>
      </c>
      <c r="U994">
        <f>IF(AND(NOT(ISBLANK(ReconciliationData[[#This Row],[last_return_date]])),ReconciliationData[[#This Row],[last_return_date]]&gt;ReconciliationData[[#This Row],[Order_Date]]+60),1,0)</f>
        <v>0</v>
      </c>
      <c r="V994">
        <f>IF(ReconciliationData[[#This Row],[total_returned_units]]&gt;ReconciliationData[[#This Row],[ordered_units]],1,0)</f>
        <v>0</v>
      </c>
      <c r="W9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94">
        <f>ReconciliationData[[#This Row],[Billed_Units]]*ReconciliationData[[#This Row],[Billed_Price]]</f>
        <v>68941.555200000017</v>
      </c>
      <c r="Y994">
        <f>ReconciliationData[[#This Row],[ordered_units]]*ReconciliationData[[#This Row],[List_Price]]</f>
        <v>68941.555200000017</v>
      </c>
      <c r="Z994">
        <f>ReconciliationData[[#This Row],[billed_revenue]]-ReconciliationData[[#This Row],[expected_revenue]]</f>
        <v>0</v>
      </c>
      <c r="AA9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94" t="str">
        <f>IF(ReconciliationData[[#This Row],[severity_score]]=0,"LOW",
 IF(ReconciliationData[[#This Row],[severity_score]]&lt;=5,"MEDIUM","HIGH"))</f>
        <v>LOW</v>
      </c>
      <c r="AC994" t="str">
        <f>TEXT(ReconciliationData[[#This Row],[Order_Date]],"YYYY-MM")</f>
        <v>2023-02</v>
      </c>
    </row>
    <row r="995" spans="1:29">
      <c r="A995" t="s">
        <v>2978</v>
      </c>
      <c r="B995" s="1">
        <v>45372</v>
      </c>
      <c r="C995" t="s">
        <v>2979</v>
      </c>
      <c r="D995" t="s">
        <v>2064</v>
      </c>
      <c r="E995">
        <v>55</v>
      </c>
      <c r="F995" t="s">
        <v>2980</v>
      </c>
      <c r="G995">
        <v>55</v>
      </c>
      <c r="H995">
        <v>251.7122</v>
      </c>
      <c r="N995">
        <v>251.7122</v>
      </c>
      <c r="O995" s="1">
        <v>45088</v>
      </c>
      <c r="P995">
        <f>IF(ISBLANK(ReconciliationData[[#This Row],[Invoice_ID]]),1,0)</f>
        <v>0</v>
      </c>
      <c r="Q995">
        <f>IF(AND(NOT(ISBLANK(ReconciliationData[[#This Row],[Billed_Units]])),ReconciliationData[[#This Row],[ordered_units]]&lt;&gt;ReconciliationData[[#This Row],[Billed_Units]]),1,0)</f>
        <v>0</v>
      </c>
      <c r="R9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5">
        <f>IF(AND(NOT(ISBLANK(ReconciliationData[[#This Row],[Contract_Price]])),ReconciliationData[[#This Row],[Billed_Price]]&lt;&gt;ReconciliationData[[#This Row],[Contract_Price]]),1,0)</f>
        <v>0</v>
      </c>
      <c r="T995">
        <f>IF(AND(NOT(ISBLANK(ReconciliationData[[#This Row],[End_Date]])),ReconciliationData[[#This Row],[Order_Date]]&gt;ReconciliationData[[#This Row],[End_Date]]),1,0)</f>
        <v>0</v>
      </c>
      <c r="U995">
        <f>IF(AND(NOT(ISBLANK(ReconciliationData[[#This Row],[last_return_date]])),ReconciliationData[[#This Row],[last_return_date]]&gt;ReconciliationData[[#This Row],[Order_Date]]+60),1,0)</f>
        <v>0</v>
      </c>
      <c r="V995">
        <f>IF(ReconciliationData[[#This Row],[total_returned_units]]&gt;ReconciliationData[[#This Row],[ordered_units]],1,0)</f>
        <v>0</v>
      </c>
      <c r="W9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95">
        <f>ReconciliationData[[#This Row],[Billed_Units]]*ReconciliationData[[#This Row],[Billed_Price]]</f>
        <v>13844.171</v>
      </c>
      <c r="Y995">
        <f>ReconciliationData[[#This Row],[ordered_units]]*ReconciliationData[[#This Row],[List_Price]]</f>
        <v>13844.171</v>
      </c>
      <c r="Z995">
        <f>ReconciliationData[[#This Row],[billed_revenue]]-ReconciliationData[[#This Row],[expected_revenue]]</f>
        <v>0</v>
      </c>
      <c r="AA9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95" t="str">
        <f>IF(ReconciliationData[[#This Row],[severity_score]]=0,"LOW",
 IF(ReconciliationData[[#This Row],[severity_score]]&lt;=5,"MEDIUM","HIGH"))</f>
        <v>LOW</v>
      </c>
      <c r="AC995" t="str">
        <f>TEXT(ReconciliationData[[#This Row],[Order_Date]],"YYYY-MM")</f>
        <v>2024-03</v>
      </c>
    </row>
    <row r="996" spans="1:29">
      <c r="A996" t="s">
        <v>2981</v>
      </c>
      <c r="B996" s="1">
        <v>45397</v>
      </c>
      <c r="C996" t="s">
        <v>2833</v>
      </c>
      <c r="D996" t="s">
        <v>1735</v>
      </c>
      <c r="E996">
        <v>199</v>
      </c>
      <c r="F996" t="s">
        <v>2982</v>
      </c>
      <c r="G996">
        <v>199</v>
      </c>
      <c r="H996">
        <v>191.1936</v>
      </c>
      <c r="N996">
        <v>191.1936</v>
      </c>
      <c r="O996" s="1">
        <v>45026</v>
      </c>
      <c r="P996">
        <f>IF(ISBLANK(ReconciliationData[[#This Row],[Invoice_ID]]),1,0)</f>
        <v>0</v>
      </c>
      <c r="Q996">
        <f>IF(AND(NOT(ISBLANK(ReconciliationData[[#This Row],[Billed_Units]])),ReconciliationData[[#This Row],[ordered_units]]&lt;&gt;ReconciliationData[[#This Row],[Billed_Units]]),1,0)</f>
        <v>0</v>
      </c>
      <c r="R9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6">
        <f>IF(AND(NOT(ISBLANK(ReconciliationData[[#This Row],[Contract_Price]])),ReconciliationData[[#This Row],[Billed_Price]]&lt;&gt;ReconciliationData[[#This Row],[Contract_Price]]),1,0)</f>
        <v>0</v>
      </c>
      <c r="T996">
        <f>IF(AND(NOT(ISBLANK(ReconciliationData[[#This Row],[End_Date]])),ReconciliationData[[#This Row],[Order_Date]]&gt;ReconciliationData[[#This Row],[End_Date]]),1,0)</f>
        <v>0</v>
      </c>
      <c r="U996">
        <f>IF(AND(NOT(ISBLANK(ReconciliationData[[#This Row],[last_return_date]])),ReconciliationData[[#This Row],[last_return_date]]&gt;ReconciliationData[[#This Row],[Order_Date]]+60),1,0)</f>
        <v>0</v>
      </c>
      <c r="V996">
        <f>IF(ReconciliationData[[#This Row],[total_returned_units]]&gt;ReconciliationData[[#This Row],[ordered_units]],1,0)</f>
        <v>0</v>
      </c>
      <c r="W9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96">
        <f>ReconciliationData[[#This Row],[Billed_Units]]*ReconciliationData[[#This Row],[Billed_Price]]</f>
        <v>38047.526400000002</v>
      </c>
      <c r="Y996">
        <f>ReconciliationData[[#This Row],[ordered_units]]*ReconciliationData[[#This Row],[List_Price]]</f>
        <v>38047.526400000002</v>
      </c>
      <c r="Z996">
        <f>ReconciliationData[[#This Row],[billed_revenue]]-ReconciliationData[[#This Row],[expected_revenue]]</f>
        <v>0</v>
      </c>
      <c r="AA9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96" t="str">
        <f>IF(ReconciliationData[[#This Row],[severity_score]]=0,"LOW",
 IF(ReconciliationData[[#This Row],[severity_score]]&lt;=5,"MEDIUM","HIGH"))</f>
        <v>LOW</v>
      </c>
      <c r="AC996" t="str">
        <f>TEXT(ReconciliationData[[#This Row],[Order_Date]],"YYYY-MM")</f>
        <v>2024-04</v>
      </c>
    </row>
    <row r="997" spans="1:29">
      <c r="A997" t="s">
        <v>2983</v>
      </c>
      <c r="B997" s="1">
        <v>45190</v>
      </c>
      <c r="C997" t="s">
        <v>1259</v>
      </c>
      <c r="D997" t="s">
        <v>174</v>
      </c>
      <c r="E997">
        <v>91</v>
      </c>
      <c r="F997" t="s">
        <v>2984</v>
      </c>
      <c r="G997">
        <v>91</v>
      </c>
      <c r="H997">
        <v>461.69279999999998</v>
      </c>
      <c r="N997">
        <v>461.69279999999998</v>
      </c>
      <c r="O997" s="1">
        <v>45031</v>
      </c>
      <c r="P997">
        <f>IF(ISBLANK(ReconciliationData[[#This Row],[Invoice_ID]]),1,0)</f>
        <v>0</v>
      </c>
      <c r="Q997">
        <f>IF(AND(NOT(ISBLANK(ReconciliationData[[#This Row],[Billed_Units]])),ReconciliationData[[#This Row],[ordered_units]]&lt;&gt;ReconciliationData[[#This Row],[Billed_Units]]),1,0)</f>
        <v>0</v>
      </c>
      <c r="R9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7">
        <f>IF(AND(NOT(ISBLANK(ReconciliationData[[#This Row],[Contract_Price]])),ReconciliationData[[#This Row],[Billed_Price]]&lt;&gt;ReconciliationData[[#This Row],[Contract_Price]]),1,0)</f>
        <v>0</v>
      </c>
      <c r="T997">
        <f>IF(AND(NOT(ISBLANK(ReconciliationData[[#This Row],[End_Date]])),ReconciliationData[[#This Row],[Order_Date]]&gt;ReconciliationData[[#This Row],[End_Date]]),1,0)</f>
        <v>0</v>
      </c>
      <c r="U997">
        <f>IF(AND(NOT(ISBLANK(ReconciliationData[[#This Row],[last_return_date]])),ReconciliationData[[#This Row],[last_return_date]]&gt;ReconciliationData[[#This Row],[Order_Date]]+60),1,0)</f>
        <v>0</v>
      </c>
      <c r="V997">
        <f>IF(ReconciliationData[[#This Row],[total_returned_units]]&gt;ReconciliationData[[#This Row],[ordered_units]],1,0)</f>
        <v>0</v>
      </c>
      <c r="W9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97">
        <f>ReconciliationData[[#This Row],[Billed_Units]]*ReconciliationData[[#This Row],[Billed_Price]]</f>
        <v>42014.044799999996</v>
      </c>
      <c r="Y997">
        <f>ReconciliationData[[#This Row],[ordered_units]]*ReconciliationData[[#This Row],[List_Price]]</f>
        <v>42014.044799999996</v>
      </c>
      <c r="Z997">
        <f>ReconciliationData[[#This Row],[billed_revenue]]-ReconciliationData[[#This Row],[expected_revenue]]</f>
        <v>0</v>
      </c>
      <c r="AA9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97" t="str">
        <f>IF(ReconciliationData[[#This Row],[severity_score]]=0,"LOW",
 IF(ReconciliationData[[#This Row],[severity_score]]&lt;=5,"MEDIUM","HIGH"))</f>
        <v>LOW</v>
      </c>
      <c r="AC997" t="str">
        <f>TEXT(ReconciliationData[[#This Row],[Order_Date]],"YYYY-MM")</f>
        <v>2023-09</v>
      </c>
    </row>
    <row r="998" spans="1:29">
      <c r="A998" t="s">
        <v>2985</v>
      </c>
      <c r="B998" s="1">
        <v>45496</v>
      </c>
      <c r="C998" t="s">
        <v>460</v>
      </c>
      <c r="D998" t="s">
        <v>1050</v>
      </c>
      <c r="E998">
        <v>124</v>
      </c>
      <c r="F998" t="s">
        <v>2986</v>
      </c>
      <c r="G998">
        <v>124</v>
      </c>
      <c r="H998">
        <v>575.53650000000005</v>
      </c>
      <c r="N998">
        <v>575.53650000000005</v>
      </c>
      <c r="O998" s="1">
        <v>45181</v>
      </c>
      <c r="P998">
        <f>IF(ISBLANK(ReconciliationData[[#This Row],[Invoice_ID]]),1,0)</f>
        <v>0</v>
      </c>
      <c r="Q998">
        <f>IF(AND(NOT(ISBLANK(ReconciliationData[[#This Row],[Billed_Units]])),ReconciliationData[[#This Row],[ordered_units]]&lt;&gt;ReconciliationData[[#This Row],[Billed_Units]]),1,0)</f>
        <v>0</v>
      </c>
      <c r="R9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8">
        <f>IF(AND(NOT(ISBLANK(ReconciliationData[[#This Row],[Contract_Price]])),ReconciliationData[[#This Row],[Billed_Price]]&lt;&gt;ReconciliationData[[#This Row],[Contract_Price]]),1,0)</f>
        <v>0</v>
      </c>
      <c r="T998">
        <f>IF(AND(NOT(ISBLANK(ReconciliationData[[#This Row],[End_Date]])),ReconciliationData[[#This Row],[Order_Date]]&gt;ReconciliationData[[#This Row],[End_Date]]),1,0)</f>
        <v>0</v>
      </c>
      <c r="U998">
        <f>IF(AND(NOT(ISBLANK(ReconciliationData[[#This Row],[last_return_date]])),ReconciliationData[[#This Row],[last_return_date]]&gt;ReconciliationData[[#This Row],[Order_Date]]+60),1,0)</f>
        <v>0</v>
      </c>
      <c r="V998">
        <f>IF(ReconciliationData[[#This Row],[total_returned_units]]&gt;ReconciliationData[[#This Row],[ordered_units]],1,0)</f>
        <v>0</v>
      </c>
      <c r="W9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98">
        <f>ReconciliationData[[#This Row],[Billed_Units]]*ReconciliationData[[#This Row],[Billed_Price]]</f>
        <v>71366.526000000013</v>
      </c>
      <c r="Y998">
        <f>ReconciliationData[[#This Row],[ordered_units]]*ReconciliationData[[#This Row],[List_Price]]</f>
        <v>71366.526000000013</v>
      </c>
      <c r="Z998">
        <f>ReconciliationData[[#This Row],[billed_revenue]]-ReconciliationData[[#This Row],[expected_revenue]]</f>
        <v>0</v>
      </c>
      <c r="AA9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98" t="str">
        <f>IF(ReconciliationData[[#This Row],[severity_score]]=0,"LOW",
 IF(ReconciliationData[[#This Row],[severity_score]]&lt;=5,"MEDIUM","HIGH"))</f>
        <v>LOW</v>
      </c>
      <c r="AC998" t="str">
        <f>TEXT(ReconciliationData[[#This Row],[Order_Date]],"YYYY-MM")</f>
        <v>2024-07</v>
      </c>
    </row>
    <row r="999" spans="1:29">
      <c r="A999" t="s">
        <v>2987</v>
      </c>
      <c r="B999" s="1">
        <v>45324</v>
      </c>
      <c r="C999" t="s">
        <v>888</v>
      </c>
      <c r="D999" t="s">
        <v>2050</v>
      </c>
      <c r="E999">
        <v>40</v>
      </c>
      <c r="F999" t="s">
        <v>2988</v>
      </c>
      <c r="G999">
        <v>40</v>
      </c>
      <c r="H999">
        <v>994.85640000000001</v>
      </c>
      <c r="N999">
        <v>994.85640000000001</v>
      </c>
      <c r="O999" s="1">
        <v>45149</v>
      </c>
      <c r="P999">
        <f>IF(ISBLANK(ReconciliationData[[#This Row],[Invoice_ID]]),1,0)</f>
        <v>0</v>
      </c>
      <c r="Q999">
        <f>IF(AND(NOT(ISBLANK(ReconciliationData[[#This Row],[Billed_Units]])),ReconciliationData[[#This Row],[ordered_units]]&lt;&gt;ReconciliationData[[#This Row],[Billed_Units]]),1,0)</f>
        <v>0</v>
      </c>
      <c r="R9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999">
        <f>IF(AND(NOT(ISBLANK(ReconciliationData[[#This Row],[Contract_Price]])),ReconciliationData[[#This Row],[Billed_Price]]&lt;&gt;ReconciliationData[[#This Row],[Contract_Price]]),1,0)</f>
        <v>0</v>
      </c>
      <c r="T999">
        <f>IF(AND(NOT(ISBLANK(ReconciliationData[[#This Row],[End_Date]])),ReconciliationData[[#This Row],[Order_Date]]&gt;ReconciliationData[[#This Row],[End_Date]]),1,0)</f>
        <v>0</v>
      </c>
      <c r="U999">
        <f>IF(AND(NOT(ISBLANK(ReconciliationData[[#This Row],[last_return_date]])),ReconciliationData[[#This Row],[last_return_date]]&gt;ReconciliationData[[#This Row],[Order_Date]]+60),1,0)</f>
        <v>0</v>
      </c>
      <c r="V999">
        <f>IF(ReconciliationData[[#This Row],[total_returned_units]]&gt;ReconciliationData[[#This Row],[ordered_units]],1,0)</f>
        <v>0</v>
      </c>
      <c r="W9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999">
        <f>ReconciliationData[[#This Row],[Billed_Units]]*ReconciliationData[[#This Row],[Billed_Price]]</f>
        <v>39794.256000000001</v>
      </c>
      <c r="Y999">
        <f>ReconciliationData[[#This Row],[ordered_units]]*ReconciliationData[[#This Row],[List_Price]]</f>
        <v>39794.256000000001</v>
      </c>
      <c r="Z999">
        <f>ReconciliationData[[#This Row],[billed_revenue]]-ReconciliationData[[#This Row],[expected_revenue]]</f>
        <v>0</v>
      </c>
      <c r="AA9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999" t="str">
        <f>IF(ReconciliationData[[#This Row],[severity_score]]=0,"LOW",
 IF(ReconciliationData[[#This Row],[severity_score]]&lt;=5,"MEDIUM","HIGH"))</f>
        <v>LOW</v>
      </c>
      <c r="AC999" t="str">
        <f>TEXT(ReconciliationData[[#This Row],[Order_Date]],"YYYY-MM")</f>
        <v>2024-02</v>
      </c>
    </row>
    <row r="1000" spans="1:29">
      <c r="A1000" t="s">
        <v>2989</v>
      </c>
      <c r="B1000" s="1">
        <v>45509</v>
      </c>
      <c r="C1000" t="s">
        <v>803</v>
      </c>
      <c r="D1000" t="s">
        <v>1530</v>
      </c>
      <c r="E1000">
        <v>103</v>
      </c>
      <c r="F1000" t="s">
        <v>2990</v>
      </c>
      <c r="G1000">
        <v>103</v>
      </c>
      <c r="H1000">
        <v>1131.7711000000002</v>
      </c>
      <c r="N1000">
        <v>1131.7711000000002</v>
      </c>
      <c r="O1000" s="1">
        <v>45048</v>
      </c>
      <c r="P1000">
        <f>IF(ISBLANK(ReconciliationData[[#This Row],[Invoice_ID]]),1,0)</f>
        <v>0</v>
      </c>
      <c r="Q1000">
        <f>IF(AND(NOT(ISBLANK(ReconciliationData[[#This Row],[Billed_Units]])),ReconciliationData[[#This Row],[ordered_units]]&lt;&gt;ReconciliationData[[#This Row],[Billed_Units]]),1,0)</f>
        <v>0</v>
      </c>
      <c r="R10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0">
        <f>IF(AND(NOT(ISBLANK(ReconciliationData[[#This Row],[Contract_Price]])),ReconciliationData[[#This Row],[Billed_Price]]&lt;&gt;ReconciliationData[[#This Row],[Contract_Price]]),1,0)</f>
        <v>0</v>
      </c>
      <c r="T1000">
        <f>IF(AND(NOT(ISBLANK(ReconciliationData[[#This Row],[End_Date]])),ReconciliationData[[#This Row],[Order_Date]]&gt;ReconciliationData[[#This Row],[End_Date]]),1,0)</f>
        <v>0</v>
      </c>
      <c r="U1000">
        <f>IF(AND(NOT(ISBLANK(ReconciliationData[[#This Row],[last_return_date]])),ReconciliationData[[#This Row],[last_return_date]]&gt;ReconciliationData[[#This Row],[Order_Date]]+60),1,0)</f>
        <v>0</v>
      </c>
      <c r="V1000">
        <f>IF(ReconciliationData[[#This Row],[total_returned_units]]&gt;ReconciliationData[[#This Row],[ordered_units]],1,0)</f>
        <v>0</v>
      </c>
      <c r="W10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00">
        <f>ReconciliationData[[#This Row],[Billed_Units]]*ReconciliationData[[#This Row],[Billed_Price]]</f>
        <v>116572.42330000001</v>
      </c>
      <c r="Y1000">
        <f>ReconciliationData[[#This Row],[ordered_units]]*ReconciliationData[[#This Row],[List_Price]]</f>
        <v>116572.42330000001</v>
      </c>
      <c r="Z1000">
        <f>ReconciliationData[[#This Row],[billed_revenue]]-ReconciliationData[[#This Row],[expected_revenue]]</f>
        <v>0</v>
      </c>
      <c r="AA10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00" t="str">
        <f>IF(ReconciliationData[[#This Row],[severity_score]]=0,"LOW",
 IF(ReconciliationData[[#This Row],[severity_score]]&lt;=5,"MEDIUM","HIGH"))</f>
        <v>LOW</v>
      </c>
      <c r="AC1000" t="str">
        <f>TEXT(ReconciliationData[[#This Row],[Order_Date]],"YYYY-MM")</f>
        <v>2024-08</v>
      </c>
    </row>
    <row r="1001" spans="1:29">
      <c r="A1001" t="s">
        <v>2991</v>
      </c>
      <c r="B1001" s="1">
        <v>45175</v>
      </c>
      <c r="C1001" t="s">
        <v>209</v>
      </c>
      <c r="D1001" t="s">
        <v>930</v>
      </c>
      <c r="E1001">
        <v>99</v>
      </c>
      <c r="F1001" t="s">
        <v>2992</v>
      </c>
      <c r="G1001">
        <v>99</v>
      </c>
      <c r="H1001">
        <v>159.06059999999999</v>
      </c>
      <c r="I1001">
        <v>15</v>
      </c>
      <c r="J1001" s="1">
        <v>45654</v>
      </c>
      <c r="N1001">
        <v>159.06059999999999</v>
      </c>
      <c r="O1001" s="1">
        <v>44944</v>
      </c>
      <c r="P1001">
        <f>IF(ISBLANK(ReconciliationData[[#This Row],[Invoice_ID]]),1,0)</f>
        <v>0</v>
      </c>
      <c r="Q1001">
        <f>IF(AND(NOT(ISBLANK(ReconciliationData[[#This Row],[Billed_Units]])),ReconciliationData[[#This Row],[ordered_units]]&lt;&gt;ReconciliationData[[#This Row],[Billed_Units]]),1,0)</f>
        <v>0</v>
      </c>
      <c r="R10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1">
        <f>IF(AND(NOT(ISBLANK(ReconciliationData[[#This Row],[Contract_Price]])),ReconciliationData[[#This Row],[Billed_Price]]&lt;&gt;ReconciliationData[[#This Row],[Contract_Price]]),1,0)</f>
        <v>0</v>
      </c>
      <c r="T1001">
        <f>IF(AND(NOT(ISBLANK(ReconciliationData[[#This Row],[End_Date]])),ReconciliationData[[#This Row],[Order_Date]]&gt;ReconciliationData[[#This Row],[End_Date]]),1,0)</f>
        <v>0</v>
      </c>
      <c r="U1001">
        <f>IF(AND(NOT(ISBLANK(ReconciliationData[[#This Row],[last_return_date]])),ReconciliationData[[#This Row],[last_return_date]]&gt;ReconciliationData[[#This Row],[Order_Date]]+60),1,0)</f>
        <v>1</v>
      </c>
      <c r="V1001">
        <f>IF(ReconciliationData[[#This Row],[total_returned_units]]&gt;ReconciliationData[[#This Row],[ordered_units]],1,0)</f>
        <v>0</v>
      </c>
      <c r="W10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01">
        <f>ReconciliationData[[#This Row],[Billed_Units]]*ReconciliationData[[#This Row],[Billed_Price]]</f>
        <v>15746.999399999999</v>
      </c>
      <c r="Y1001">
        <f>ReconciliationData[[#This Row],[ordered_units]]*ReconciliationData[[#This Row],[List_Price]]</f>
        <v>15746.999399999999</v>
      </c>
      <c r="Z1001">
        <f>ReconciliationData[[#This Row],[billed_revenue]]-ReconciliationData[[#This Row],[expected_revenue]]</f>
        <v>0</v>
      </c>
      <c r="AA10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001" t="str">
        <f>IF(ReconciliationData[[#This Row],[severity_score]]=0,"LOW",
 IF(ReconciliationData[[#This Row],[severity_score]]&lt;=5,"MEDIUM","HIGH"))</f>
        <v>MEDIUM</v>
      </c>
      <c r="AC1001" t="str">
        <f>TEXT(ReconciliationData[[#This Row],[Order_Date]],"YYYY-MM")</f>
        <v>2023-09</v>
      </c>
    </row>
    <row r="1002" spans="1:29">
      <c r="A1002" t="s">
        <v>2993</v>
      </c>
      <c r="B1002" s="1">
        <v>45042</v>
      </c>
      <c r="C1002" t="s">
        <v>2943</v>
      </c>
      <c r="D1002" t="s">
        <v>1245</v>
      </c>
      <c r="E1002">
        <v>82</v>
      </c>
      <c r="F1002" t="s">
        <v>2994</v>
      </c>
      <c r="G1002">
        <v>82</v>
      </c>
      <c r="H1002">
        <v>255.06540000000001</v>
      </c>
      <c r="I1002">
        <v>13</v>
      </c>
      <c r="J1002" s="1">
        <v>45039</v>
      </c>
      <c r="N1002">
        <v>255.06540000000001</v>
      </c>
      <c r="O1002" s="1">
        <v>44978</v>
      </c>
      <c r="P1002">
        <f>IF(ISBLANK(ReconciliationData[[#This Row],[Invoice_ID]]),1,0)</f>
        <v>0</v>
      </c>
      <c r="Q1002">
        <f>IF(AND(NOT(ISBLANK(ReconciliationData[[#This Row],[Billed_Units]])),ReconciliationData[[#This Row],[ordered_units]]&lt;&gt;ReconciliationData[[#This Row],[Billed_Units]]),1,0)</f>
        <v>0</v>
      </c>
      <c r="R10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2">
        <f>IF(AND(NOT(ISBLANK(ReconciliationData[[#This Row],[Contract_Price]])),ReconciliationData[[#This Row],[Billed_Price]]&lt;&gt;ReconciliationData[[#This Row],[Contract_Price]]),1,0)</f>
        <v>0</v>
      </c>
      <c r="T1002">
        <f>IF(AND(NOT(ISBLANK(ReconciliationData[[#This Row],[End_Date]])),ReconciliationData[[#This Row],[Order_Date]]&gt;ReconciliationData[[#This Row],[End_Date]]),1,0)</f>
        <v>0</v>
      </c>
      <c r="U1002">
        <f>IF(AND(NOT(ISBLANK(ReconciliationData[[#This Row],[last_return_date]])),ReconciliationData[[#This Row],[last_return_date]]&gt;ReconciliationData[[#This Row],[Order_Date]]+60),1,0)</f>
        <v>0</v>
      </c>
      <c r="V1002">
        <f>IF(ReconciliationData[[#This Row],[total_returned_units]]&gt;ReconciliationData[[#This Row],[ordered_units]],1,0)</f>
        <v>0</v>
      </c>
      <c r="W10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02">
        <f>ReconciliationData[[#This Row],[Billed_Units]]*ReconciliationData[[#This Row],[Billed_Price]]</f>
        <v>20915.362800000003</v>
      </c>
      <c r="Y1002">
        <f>ReconciliationData[[#This Row],[ordered_units]]*ReconciliationData[[#This Row],[List_Price]]</f>
        <v>20915.362800000003</v>
      </c>
      <c r="Z1002">
        <f>ReconciliationData[[#This Row],[billed_revenue]]-ReconciliationData[[#This Row],[expected_revenue]]</f>
        <v>0</v>
      </c>
      <c r="AA10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02" t="str">
        <f>IF(ReconciliationData[[#This Row],[severity_score]]=0,"LOW",
 IF(ReconciliationData[[#This Row],[severity_score]]&lt;=5,"MEDIUM","HIGH"))</f>
        <v>LOW</v>
      </c>
      <c r="AC1002" t="str">
        <f>TEXT(ReconciliationData[[#This Row],[Order_Date]],"YYYY-MM")</f>
        <v>2023-04</v>
      </c>
    </row>
    <row r="1003" spans="1:29">
      <c r="A1003" t="s">
        <v>2995</v>
      </c>
      <c r="B1003" s="1">
        <v>45565</v>
      </c>
      <c r="C1003" t="s">
        <v>2848</v>
      </c>
      <c r="D1003" t="s">
        <v>573</v>
      </c>
      <c r="E1003">
        <v>100</v>
      </c>
      <c r="F1003" t="s">
        <v>2996</v>
      </c>
      <c r="G1003">
        <v>100</v>
      </c>
      <c r="H1003">
        <v>1223.9694</v>
      </c>
      <c r="N1003">
        <v>1223.9694</v>
      </c>
      <c r="O1003" s="1">
        <v>45154</v>
      </c>
      <c r="P1003">
        <f>IF(ISBLANK(ReconciliationData[[#This Row],[Invoice_ID]]),1,0)</f>
        <v>0</v>
      </c>
      <c r="Q1003">
        <f>IF(AND(NOT(ISBLANK(ReconciliationData[[#This Row],[Billed_Units]])),ReconciliationData[[#This Row],[ordered_units]]&lt;&gt;ReconciliationData[[#This Row],[Billed_Units]]),1,0)</f>
        <v>0</v>
      </c>
      <c r="R10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3">
        <f>IF(AND(NOT(ISBLANK(ReconciliationData[[#This Row],[Contract_Price]])),ReconciliationData[[#This Row],[Billed_Price]]&lt;&gt;ReconciliationData[[#This Row],[Contract_Price]]),1,0)</f>
        <v>0</v>
      </c>
      <c r="T1003">
        <f>IF(AND(NOT(ISBLANK(ReconciliationData[[#This Row],[End_Date]])),ReconciliationData[[#This Row],[Order_Date]]&gt;ReconciliationData[[#This Row],[End_Date]]),1,0)</f>
        <v>0</v>
      </c>
      <c r="U1003">
        <f>IF(AND(NOT(ISBLANK(ReconciliationData[[#This Row],[last_return_date]])),ReconciliationData[[#This Row],[last_return_date]]&gt;ReconciliationData[[#This Row],[Order_Date]]+60),1,0)</f>
        <v>0</v>
      </c>
      <c r="V1003">
        <f>IF(ReconciliationData[[#This Row],[total_returned_units]]&gt;ReconciliationData[[#This Row],[ordered_units]],1,0)</f>
        <v>0</v>
      </c>
      <c r="W10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03">
        <f>ReconciliationData[[#This Row],[Billed_Units]]*ReconciliationData[[#This Row],[Billed_Price]]</f>
        <v>122396.94</v>
      </c>
      <c r="Y1003">
        <f>ReconciliationData[[#This Row],[ordered_units]]*ReconciliationData[[#This Row],[List_Price]]</f>
        <v>122396.94</v>
      </c>
      <c r="Z1003">
        <f>ReconciliationData[[#This Row],[billed_revenue]]-ReconciliationData[[#This Row],[expected_revenue]]</f>
        <v>0</v>
      </c>
      <c r="AA10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03" t="str">
        <f>IF(ReconciliationData[[#This Row],[severity_score]]=0,"LOW",
 IF(ReconciliationData[[#This Row],[severity_score]]&lt;=5,"MEDIUM","HIGH"))</f>
        <v>LOW</v>
      </c>
      <c r="AC1003" t="str">
        <f>TEXT(ReconciliationData[[#This Row],[Order_Date]],"YYYY-MM")</f>
        <v>2024-09</v>
      </c>
    </row>
    <row r="1004" spans="1:29">
      <c r="A1004" t="s">
        <v>2997</v>
      </c>
      <c r="B1004" s="1">
        <v>45095</v>
      </c>
      <c r="C1004" t="s">
        <v>2998</v>
      </c>
      <c r="D1004" t="s">
        <v>283</v>
      </c>
      <c r="E1004">
        <v>114</v>
      </c>
      <c r="F1004" t="s">
        <v>2999</v>
      </c>
      <c r="G1004">
        <v>114</v>
      </c>
      <c r="H1004">
        <v>415.70589999999999</v>
      </c>
      <c r="N1004">
        <v>415.70589999999999</v>
      </c>
      <c r="O1004" s="1">
        <v>44989</v>
      </c>
      <c r="P1004">
        <f>IF(ISBLANK(ReconciliationData[[#This Row],[Invoice_ID]]),1,0)</f>
        <v>0</v>
      </c>
      <c r="Q1004">
        <f>IF(AND(NOT(ISBLANK(ReconciliationData[[#This Row],[Billed_Units]])),ReconciliationData[[#This Row],[ordered_units]]&lt;&gt;ReconciliationData[[#This Row],[Billed_Units]]),1,0)</f>
        <v>0</v>
      </c>
      <c r="R10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4">
        <f>IF(AND(NOT(ISBLANK(ReconciliationData[[#This Row],[Contract_Price]])),ReconciliationData[[#This Row],[Billed_Price]]&lt;&gt;ReconciliationData[[#This Row],[Contract_Price]]),1,0)</f>
        <v>0</v>
      </c>
      <c r="T1004">
        <f>IF(AND(NOT(ISBLANK(ReconciliationData[[#This Row],[End_Date]])),ReconciliationData[[#This Row],[Order_Date]]&gt;ReconciliationData[[#This Row],[End_Date]]),1,0)</f>
        <v>0</v>
      </c>
      <c r="U1004">
        <f>IF(AND(NOT(ISBLANK(ReconciliationData[[#This Row],[last_return_date]])),ReconciliationData[[#This Row],[last_return_date]]&gt;ReconciliationData[[#This Row],[Order_Date]]+60),1,0)</f>
        <v>0</v>
      </c>
      <c r="V1004">
        <f>IF(ReconciliationData[[#This Row],[total_returned_units]]&gt;ReconciliationData[[#This Row],[ordered_units]],1,0)</f>
        <v>0</v>
      </c>
      <c r="W10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04">
        <f>ReconciliationData[[#This Row],[Billed_Units]]*ReconciliationData[[#This Row],[Billed_Price]]</f>
        <v>47390.472600000001</v>
      </c>
      <c r="Y1004">
        <f>ReconciliationData[[#This Row],[ordered_units]]*ReconciliationData[[#This Row],[List_Price]]</f>
        <v>47390.472600000001</v>
      </c>
      <c r="Z1004">
        <f>ReconciliationData[[#This Row],[billed_revenue]]-ReconciliationData[[#This Row],[expected_revenue]]</f>
        <v>0</v>
      </c>
      <c r="AA10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04" t="str">
        <f>IF(ReconciliationData[[#This Row],[severity_score]]=0,"LOW",
 IF(ReconciliationData[[#This Row],[severity_score]]&lt;=5,"MEDIUM","HIGH"))</f>
        <v>LOW</v>
      </c>
      <c r="AC1004" t="str">
        <f>TEXT(ReconciliationData[[#This Row],[Order_Date]],"YYYY-MM")</f>
        <v>2023-06</v>
      </c>
    </row>
    <row r="1005" spans="1:29">
      <c r="A1005" t="s">
        <v>3000</v>
      </c>
      <c r="B1005" s="1">
        <v>45053</v>
      </c>
      <c r="C1005" t="s">
        <v>1510</v>
      </c>
      <c r="D1005" t="s">
        <v>577</v>
      </c>
      <c r="E1005">
        <v>179</v>
      </c>
      <c r="F1005" t="s">
        <v>3001</v>
      </c>
      <c r="G1005">
        <v>179</v>
      </c>
      <c r="H1005">
        <v>1093.1199999999999</v>
      </c>
      <c r="N1005">
        <v>1093.1199999999999</v>
      </c>
      <c r="O1005" s="1">
        <v>45035</v>
      </c>
      <c r="P1005">
        <f>IF(ISBLANK(ReconciliationData[[#This Row],[Invoice_ID]]),1,0)</f>
        <v>0</v>
      </c>
      <c r="Q1005">
        <f>IF(AND(NOT(ISBLANK(ReconciliationData[[#This Row],[Billed_Units]])),ReconciliationData[[#This Row],[ordered_units]]&lt;&gt;ReconciliationData[[#This Row],[Billed_Units]]),1,0)</f>
        <v>0</v>
      </c>
      <c r="R10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5">
        <f>IF(AND(NOT(ISBLANK(ReconciliationData[[#This Row],[Contract_Price]])),ReconciliationData[[#This Row],[Billed_Price]]&lt;&gt;ReconciliationData[[#This Row],[Contract_Price]]),1,0)</f>
        <v>0</v>
      </c>
      <c r="T1005">
        <f>IF(AND(NOT(ISBLANK(ReconciliationData[[#This Row],[End_Date]])),ReconciliationData[[#This Row],[Order_Date]]&gt;ReconciliationData[[#This Row],[End_Date]]),1,0)</f>
        <v>0</v>
      </c>
      <c r="U1005">
        <f>IF(AND(NOT(ISBLANK(ReconciliationData[[#This Row],[last_return_date]])),ReconciliationData[[#This Row],[last_return_date]]&gt;ReconciliationData[[#This Row],[Order_Date]]+60),1,0)</f>
        <v>0</v>
      </c>
      <c r="V1005">
        <f>IF(ReconciliationData[[#This Row],[total_returned_units]]&gt;ReconciliationData[[#This Row],[ordered_units]],1,0)</f>
        <v>0</v>
      </c>
      <c r="W10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05">
        <f>ReconciliationData[[#This Row],[Billed_Units]]*ReconciliationData[[#This Row],[Billed_Price]]</f>
        <v>195668.47999999998</v>
      </c>
      <c r="Y1005">
        <f>ReconciliationData[[#This Row],[ordered_units]]*ReconciliationData[[#This Row],[List_Price]]</f>
        <v>195668.47999999998</v>
      </c>
      <c r="Z1005">
        <f>ReconciliationData[[#This Row],[billed_revenue]]-ReconciliationData[[#This Row],[expected_revenue]]</f>
        <v>0</v>
      </c>
      <c r="AA10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05" t="str">
        <f>IF(ReconciliationData[[#This Row],[severity_score]]=0,"LOW",
 IF(ReconciliationData[[#This Row],[severity_score]]&lt;=5,"MEDIUM","HIGH"))</f>
        <v>LOW</v>
      </c>
      <c r="AC1005" t="str">
        <f>TEXT(ReconciliationData[[#This Row],[Order_Date]],"YYYY-MM")</f>
        <v>2023-05</v>
      </c>
    </row>
    <row r="1006" spans="1:29">
      <c r="A1006" t="s">
        <v>3002</v>
      </c>
      <c r="B1006" s="1">
        <v>45004</v>
      </c>
      <c r="C1006" t="s">
        <v>3003</v>
      </c>
      <c r="D1006" t="s">
        <v>1146</v>
      </c>
      <c r="E1006">
        <v>61</v>
      </c>
      <c r="F1006" t="s">
        <v>3004</v>
      </c>
      <c r="G1006">
        <v>61</v>
      </c>
      <c r="H1006">
        <v>440.25290000000001</v>
      </c>
      <c r="N1006">
        <v>440.25290000000001</v>
      </c>
      <c r="O1006" s="1">
        <v>44809</v>
      </c>
      <c r="P1006">
        <f>IF(ISBLANK(ReconciliationData[[#This Row],[Invoice_ID]]),1,0)</f>
        <v>0</v>
      </c>
      <c r="Q1006">
        <f>IF(AND(NOT(ISBLANK(ReconciliationData[[#This Row],[Billed_Units]])),ReconciliationData[[#This Row],[ordered_units]]&lt;&gt;ReconciliationData[[#This Row],[Billed_Units]]),1,0)</f>
        <v>0</v>
      </c>
      <c r="R10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6">
        <f>IF(AND(NOT(ISBLANK(ReconciliationData[[#This Row],[Contract_Price]])),ReconciliationData[[#This Row],[Billed_Price]]&lt;&gt;ReconciliationData[[#This Row],[Contract_Price]]),1,0)</f>
        <v>0</v>
      </c>
      <c r="T1006">
        <f>IF(AND(NOT(ISBLANK(ReconciliationData[[#This Row],[End_Date]])),ReconciliationData[[#This Row],[Order_Date]]&gt;ReconciliationData[[#This Row],[End_Date]]),1,0)</f>
        <v>0</v>
      </c>
      <c r="U1006">
        <f>IF(AND(NOT(ISBLANK(ReconciliationData[[#This Row],[last_return_date]])),ReconciliationData[[#This Row],[last_return_date]]&gt;ReconciliationData[[#This Row],[Order_Date]]+60),1,0)</f>
        <v>0</v>
      </c>
      <c r="V1006">
        <f>IF(ReconciliationData[[#This Row],[total_returned_units]]&gt;ReconciliationData[[#This Row],[ordered_units]],1,0)</f>
        <v>0</v>
      </c>
      <c r="W10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06">
        <f>ReconciliationData[[#This Row],[Billed_Units]]*ReconciliationData[[#This Row],[Billed_Price]]</f>
        <v>26855.426900000002</v>
      </c>
      <c r="Y1006">
        <f>ReconciliationData[[#This Row],[ordered_units]]*ReconciliationData[[#This Row],[List_Price]]</f>
        <v>26855.426900000002</v>
      </c>
      <c r="Z1006">
        <f>ReconciliationData[[#This Row],[billed_revenue]]-ReconciliationData[[#This Row],[expected_revenue]]</f>
        <v>0</v>
      </c>
      <c r="AA10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06" t="str">
        <f>IF(ReconciliationData[[#This Row],[severity_score]]=0,"LOW",
 IF(ReconciliationData[[#This Row],[severity_score]]&lt;=5,"MEDIUM","HIGH"))</f>
        <v>LOW</v>
      </c>
      <c r="AC1006" t="str">
        <f>TEXT(ReconciliationData[[#This Row],[Order_Date]],"YYYY-MM")</f>
        <v>2023-03</v>
      </c>
    </row>
    <row r="1007" spans="1:29">
      <c r="A1007" t="s">
        <v>3005</v>
      </c>
      <c r="B1007" s="1">
        <v>45470</v>
      </c>
      <c r="C1007" t="s">
        <v>145</v>
      </c>
      <c r="D1007" t="s">
        <v>3006</v>
      </c>
      <c r="E1007">
        <v>23</v>
      </c>
      <c r="F1007" t="s">
        <v>3007</v>
      </c>
      <c r="G1007">
        <v>23</v>
      </c>
      <c r="H1007">
        <v>720.47380000000021</v>
      </c>
      <c r="N1007">
        <v>720.47380000000021</v>
      </c>
      <c r="O1007" s="1">
        <v>45026</v>
      </c>
      <c r="P1007">
        <f>IF(ISBLANK(ReconciliationData[[#This Row],[Invoice_ID]]),1,0)</f>
        <v>0</v>
      </c>
      <c r="Q1007">
        <f>IF(AND(NOT(ISBLANK(ReconciliationData[[#This Row],[Billed_Units]])),ReconciliationData[[#This Row],[ordered_units]]&lt;&gt;ReconciliationData[[#This Row],[Billed_Units]]),1,0)</f>
        <v>0</v>
      </c>
      <c r="R10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7">
        <f>IF(AND(NOT(ISBLANK(ReconciliationData[[#This Row],[Contract_Price]])),ReconciliationData[[#This Row],[Billed_Price]]&lt;&gt;ReconciliationData[[#This Row],[Contract_Price]]),1,0)</f>
        <v>0</v>
      </c>
      <c r="T1007">
        <f>IF(AND(NOT(ISBLANK(ReconciliationData[[#This Row],[End_Date]])),ReconciliationData[[#This Row],[Order_Date]]&gt;ReconciliationData[[#This Row],[End_Date]]),1,0)</f>
        <v>0</v>
      </c>
      <c r="U1007">
        <f>IF(AND(NOT(ISBLANK(ReconciliationData[[#This Row],[last_return_date]])),ReconciliationData[[#This Row],[last_return_date]]&gt;ReconciliationData[[#This Row],[Order_Date]]+60),1,0)</f>
        <v>0</v>
      </c>
      <c r="V1007">
        <f>IF(ReconciliationData[[#This Row],[total_returned_units]]&gt;ReconciliationData[[#This Row],[ordered_units]],1,0)</f>
        <v>0</v>
      </c>
      <c r="W10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07">
        <f>ReconciliationData[[#This Row],[Billed_Units]]*ReconciliationData[[#This Row],[Billed_Price]]</f>
        <v>16570.897400000005</v>
      </c>
      <c r="Y1007">
        <f>ReconciliationData[[#This Row],[ordered_units]]*ReconciliationData[[#This Row],[List_Price]]</f>
        <v>16570.897400000005</v>
      </c>
      <c r="Z1007">
        <f>ReconciliationData[[#This Row],[billed_revenue]]-ReconciliationData[[#This Row],[expected_revenue]]</f>
        <v>0</v>
      </c>
      <c r="AA10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07" t="str">
        <f>IF(ReconciliationData[[#This Row],[severity_score]]=0,"LOW",
 IF(ReconciliationData[[#This Row],[severity_score]]&lt;=5,"MEDIUM","HIGH"))</f>
        <v>LOW</v>
      </c>
      <c r="AC1007" t="str">
        <f>TEXT(ReconciliationData[[#This Row],[Order_Date]],"YYYY-MM")</f>
        <v>2024-06</v>
      </c>
    </row>
    <row r="1008" spans="1:29">
      <c r="A1008" t="s">
        <v>3008</v>
      </c>
      <c r="B1008" s="1">
        <v>45443</v>
      </c>
      <c r="C1008" t="s">
        <v>907</v>
      </c>
      <c r="D1008" t="s">
        <v>1294</v>
      </c>
      <c r="E1008">
        <v>192</v>
      </c>
      <c r="F1008" t="s">
        <v>3009</v>
      </c>
      <c r="G1008">
        <v>192</v>
      </c>
      <c r="H1008">
        <v>825.40440000000001</v>
      </c>
      <c r="N1008">
        <v>825.40440000000001</v>
      </c>
      <c r="O1008" s="1">
        <v>45105</v>
      </c>
      <c r="P1008">
        <f>IF(ISBLANK(ReconciliationData[[#This Row],[Invoice_ID]]),1,0)</f>
        <v>0</v>
      </c>
      <c r="Q1008">
        <f>IF(AND(NOT(ISBLANK(ReconciliationData[[#This Row],[Billed_Units]])),ReconciliationData[[#This Row],[ordered_units]]&lt;&gt;ReconciliationData[[#This Row],[Billed_Units]]),1,0)</f>
        <v>0</v>
      </c>
      <c r="R10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8">
        <f>IF(AND(NOT(ISBLANK(ReconciliationData[[#This Row],[Contract_Price]])),ReconciliationData[[#This Row],[Billed_Price]]&lt;&gt;ReconciliationData[[#This Row],[Contract_Price]]),1,0)</f>
        <v>0</v>
      </c>
      <c r="T1008">
        <f>IF(AND(NOT(ISBLANK(ReconciliationData[[#This Row],[End_Date]])),ReconciliationData[[#This Row],[Order_Date]]&gt;ReconciliationData[[#This Row],[End_Date]]),1,0)</f>
        <v>0</v>
      </c>
      <c r="U1008">
        <f>IF(AND(NOT(ISBLANK(ReconciliationData[[#This Row],[last_return_date]])),ReconciliationData[[#This Row],[last_return_date]]&gt;ReconciliationData[[#This Row],[Order_Date]]+60),1,0)</f>
        <v>0</v>
      </c>
      <c r="V1008">
        <f>IF(ReconciliationData[[#This Row],[total_returned_units]]&gt;ReconciliationData[[#This Row],[ordered_units]],1,0)</f>
        <v>0</v>
      </c>
      <c r="W10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08">
        <f>ReconciliationData[[#This Row],[Billed_Units]]*ReconciliationData[[#This Row],[Billed_Price]]</f>
        <v>158477.64480000001</v>
      </c>
      <c r="Y1008">
        <f>ReconciliationData[[#This Row],[ordered_units]]*ReconciliationData[[#This Row],[List_Price]]</f>
        <v>158477.64480000001</v>
      </c>
      <c r="Z1008">
        <f>ReconciliationData[[#This Row],[billed_revenue]]-ReconciliationData[[#This Row],[expected_revenue]]</f>
        <v>0</v>
      </c>
      <c r="AA10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08" t="str">
        <f>IF(ReconciliationData[[#This Row],[severity_score]]=0,"LOW",
 IF(ReconciliationData[[#This Row],[severity_score]]&lt;=5,"MEDIUM","HIGH"))</f>
        <v>LOW</v>
      </c>
      <c r="AC1008" t="str">
        <f>TEXT(ReconciliationData[[#This Row],[Order_Date]],"YYYY-MM")</f>
        <v>2024-05</v>
      </c>
    </row>
    <row r="1009" spans="1:29">
      <c r="A1009" t="s">
        <v>3010</v>
      </c>
      <c r="B1009" s="1">
        <v>45281</v>
      </c>
      <c r="C1009" t="s">
        <v>3011</v>
      </c>
      <c r="D1009" t="s">
        <v>958</v>
      </c>
      <c r="E1009">
        <v>28</v>
      </c>
      <c r="F1009" t="s">
        <v>3012</v>
      </c>
      <c r="G1009">
        <v>28</v>
      </c>
      <c r="H1009">
        <v>147.87150000000003</v>
      </c>
      <c r="N1009">
        <v>147.87150000000003</v>
      </c>
      <c r="O1009" s="1">
        <v>44972</v>
      </c>
      <c r="P1009">
        <f>IF(ISBLANK(ReconciliationData[[#This Row],[Invoice_ID]]),1,0)</f>
        <v>0</v>
      </c>
      <c r="Q1009">
        <f>IF(AND(NOT(ISBLANK(ReconciliationData[[#This Row],[Billed_Units]])),ReconciliationData[[#This Row],[ordered_units]]&lt;&gt;ReconciliationData[[#This Row],[Billed_Units]]),1,0)</f>
        <v>0</v>
      </c>
      <c r="R10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09">
        <f>IF(AND(NOT(ISBLANK(ReconciliationData[[#This Row],[Contract_Price]])),ReconciliationData[[#This Row],[Billed_Price]]&lt;&gt;ReconciliationData[[#This Row],[Contract_Price]]),1,0)</f>
        <v>0</v>
      </c>
      <c r="T1009">
        <f>IF(AND(NOT(ISBLANK(ReconciliationData[[#This Row],[End_Date]])),ReconciliationData[[#This Row],[Order_Date]]&gt;ReconciliationData[[#This Row],[End_Date]]),1,0)</f>
        <v>0</v>
      </c>
      <c r="U1009">
        <f>IF(AND(NOT(ISBLANK(ReconciliationData[[#This Row],[last_return_date]])),ReconciliationData[[#This Row],[last_return_date]]&gt;ReconciliationData[[#This Row],[Order_Date]]+60),1,0)</f>
        <v>0</v>
      </c>
      <c r="V1009">
        <f>IF(ReconciliationData[[#This Row],[total_returned_units]]&gt;ReconciliationData[[#This Row],[ordered_units]],1,0)</f>
        <v>0</v>
      </c>
      <c r="W10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09">
        <f>ReconciliationData[[#This Row],[Billed_Units]]*ReconciliationData[[#This Row],[Billed_Price]]</f>
        <v>4140.402000000001</v>
      </c>
      <c r="Y1009">
        <f>ReconciliationData[[#This Row],[ordered_units]]*ReconciliationData[[#This Row],[List_Price]]</f>
        <v>4140.402000000001</v>
      </c>
      <c r="Z1009">
        <f>ReconciliationData[[#This Row],[billed_revenue]]-ReconciliationData[[#This Row],[expected_revenue]]</f>
        <v>0</v>
      </c>
      <c r="AA10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09" t="str">
        <f>IF(ReconciliationData[[#This Row],[severity_score]]=0,"LOW",
 IF(ReconciliationData[[#This Row],[severity_score]]&lt;=5,"MEDIUM","HIGH"))</f>
        <v>LOW</v>
      </c>
      <c r="AC1009" t="str">
        <f>TEXT(ReconciliationData[[#This Row],[Order_Date]],"YYYY-MM")</f>
        <v>2023-12</v>
      </c>
    </row>
    <row r="1010" spans="1:29">
      <c r="A1010" t="s">
        <v>3013</v>
      </c>
      <c r="B1010" s="1">
        <v>45312</v>
      </c>
      <c r="C1010" t="s">
        <v>2687</v>
      </c>
      <c r="D1010" t="s">
        <v>2765</v>
      </c>
      <c r="E1010">
        <v>104</v>
      </c>
      <c r="F1010" t="s">
        <v>3014</v>
      </c>
      <c r="G1010">
        <v>104</v>
      </c>
      <c r="H1010">
        <v>1037.4366</v>
      </c>
      <c r="N1010">
        <v>1037.4366</v>
      </c>
      <c r="O1010" s="1">
        <v>45198</v>
      </c>
      <c r="P1010">
        <f>IF(ISBLANK(ReconciliationData[[#This Row],[Invoice_ID]]),1,0)</f>
        <v>0</v>
      </c>
      <c r="Q1010">
        <f>IF(AND(NOT(ISBLANK(ReconciliationData[[#This Row],[Billed_Units]])),ReconciliationData[[#This Row],[ordered_units]]&lt;&gt;ReconciliationData[[#This Row],[Billed_Units]]),1,0)</f>
        <v>0</v>
      </c>
      <c r="R10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0">
        <f>IF(AND(NOT(ISBLANK(ReconciliationData[[#This Row],[Contract_Price]])),ReconciliationData[[#This Row],[Billed_Price]]&lt;&gt;ReconciliationData[[#This Row],[Contract_Price]]),1,0)</f>
        <v>0</v>
      </c>
      <c r="T1010">
        <f>IF(AND(NOT(ISBLANK(ReconciliationData[[#This Row],[End_Date]])),ReconciliationData[[#This Row],[Order_Date]]&gt;ReconciliationData[[#This Row],[End_Date]]),1,0)</f>
        <v>0</v>
      </c>
      <c r="U1010">
        <f>IF(AND(NOT(ISBLANK(ReconciliationData[[#This Row],[last_return_date]])),ReconciliationData[[#This Row],[last_return_date]]&gt;ReconciliationData[[#This Row],[Order_Date]]+60),1,0)</f>
        <v>0</v>
      </c>
      <c r="V1010">
        <f>IF(ReconciliationData[[#This Row],[total_returned_units]]&gt;ReconciliationData[[#This Row],[ordered_units]],1,0)</f>
        <v>0</v>
      </c>
      <c r="W10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0">
        <f>ReconciliationData[[#This Row],[Billed_Units]]*ReconciliationData[[#This Row],[Billed_Price]]</f>
        <v>107893.40640000001</v>
      </c>
      <c r="Y1010">
        <f>ReconciliationData[[#This Row],[ordered_units]]*ReconciliationData[[#This Row],[List_Price]]</f>
        <v>107893.40640000001</v>
      </c>
      <c r="Z1010">
        <f>ReconciliationData[[#This Row],[billed_revenue]]-ReconciliationData[[#This Row],[expected_revenue]]</f>
        <v>0</v>
      </c>
      <c r="AA10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0" t="str">
        <f>IF(ReconciliationData[[#This Row],[severity_score]]=0,"LOW",
 IF(ReconciliationData[[#This Row],[severity_score]]&lt;=5,"MEDIUM","HIGH"))</f>
        <v>LOW</v>
      </c>
      <c r="AC1010" t="str">
        <f>TEXT(ReconciliationData[[#This Row],[Order_Date]],"YYYY-MM")</f>
        <v>2024-01</v>
      </c>
    </row>
    <row r="1011" spans="1:29">
      <c r="A1011" t="s">
        <v>3015</v>
      </c>
      <c r="B1011" s="1">
        <v>45634</v>
      </c>
      <c r="C1011" t="s">
        <v>1920</v>
      </c>
      <c r="D1011" t="s">
        <v>453</v>
      </c>
      <c r="E1011">
        <v>170</v>
      </c>
      <c r="F1011" t="s">
        <v>3016</v>
      </c>
      <c r="G1011">
        <v>170</v>
      </c>
      <c r="H1011">
        <v>1184.9544000000001</v>
      </c>
      <c r="N1011">
        <v>1184.9544000000001</v>
      </c>
      <c r="O1011" s="1">
        <v>45171</v>
      </c>
      <c r="P1011">
        <f>IF(ISBLANK(ReconciliationData[[#This Row],[Invoice_ID]]),1,0)</f>
        <v>0</v>
      </c>
      <c r="Q1011">
        <f>IF(AND(NOT(ISBLANK(ReconciliationData[[#This Row],[Billed_Units]])),ReconciliationData[[#This Row],[ordered_units]]&lt;&gt;ReconciliationData[[#This Row],[Billed_Units]]),1,0)</f>
        <v>0</v>
      </c>
      <c r="R10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1">
        <f>IF(AND(NOT(ISBLANK(ReconciliationData[[#This Row],[Contract_Price]])),ReconciliationData[[#This Row],[Billed_Price]]&lt;&gt;ReconciliationData[[#This Row],[Contract_Price]]),1,0)</f>
        <v>0</v>
      </c>
      <c r="T1011">
        <f>IF(AND(NOT(ISBLANK(ReconciliationData[[#This Row],[End_Date]])),ReconciliationData[[#This Row],[Order_Date]]&gt;ReconciliationData[[#This Row],[End_Date]]),1,0)</f>
        <v>0</v>
      </c>
      <c r="U1011">
        <f>IF(AND(NOT(ISBLANK(ReconciliationData[[#This Row],[last_return_date]])),ReconciliationData[[#This Row],[last_return_date]]&gt;ReconciliationData[[#This Row],[Order_Date]]+60),1,0)</f>
        <v>0</v>
      </c>
      <c r="V1011">
        <f>IF(ReconciliationData[[#This Row],[total_returned_units]]&gt;ReconciliationData[[#This Row],[ordered_units]],1,0)</f>
        <v>0</v>
      </c>
      <c r="W10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1">
        <f>ReconciliationData[[#This Row],[Billed_Units]]*ReconciliationData[[#This Row],[Billed_Price]]</f>
        <v>201442.24800000002</v>
      </c>
      <c r="Y1011">
        <f>ReconciliationData[[#This Row],[ordered_units]]*ReconciliationData[[#This Row],[List_Price]]</f>
        <v>201442.24800000002</v>
      </c>
      <c r="Z1011">
        <f>ReconciliationData[[#This Row],[billed_revenue]]-ReconciliationData[[#This Row],[expected_revenue]]</f>
        <v>0</v>
      </c>
      <c r="AA10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1" t="str">
        <f>IF(ReconciliationData[[#This Row],[severity_score]]=0,"LOW",
 IF(ReconciliationData[[#This Row],[severity_score]]&lt;=5,"MEDIUM","HIGH"))</f>
        <v>LOW</v>
      </c>
      <c r="AC1011" t="str">
        <f>TEXT(ReconciliationData[[#This Row],[Order_Date]],"YYYY-MM")</f>
        <v>2024-12</v>
      </c>
    </row>
    <row r="1012" spans="1:29">
      <c r="A1012" t="s">
        <v>3017</v>
      </c>
      <c r="B1012" s="1">
        <v>45399</v>
      </c>
      <c r="C1012" t="s">
        <v>929</v>
      </c>
      <c r="D1012" t="s">
        <v>194</v>
      </c>
      <c r="E1012">
        <v>25</v>
      </c>
      <c r="F1012" t="s">
        <v>3018</v>
      </c>
      <c r="G1012">
        <v>25</v>
      </c>
      <c r="H1012">
        <v>1039.0536</v>
      </c>
      <c r="I1012">
        <v>20</v>
      </c>
      <c r="J1012" s="1">
        <v>45332</v>
      </c>
      <c r="N1012">
        <v>1039.0536</v>
      </c>
      <c r="O1012" s="1">
        <v>45054</v>
      </c>
      <c r="P1012">
        <f>IF(ISBLANK(ReconciliationData[[#This Row],[Invoice_ID]]),1,0)</f>
        <v>0</v>
      </c>
      <c r="Q1012">
        <f>IF(AND(NOT(ISBLANK(ReconciliationData[[#This Row],[Billed_Units]])),ReconciliationData[[#This Row],[ordered_units]]&lt;&gt;ReconciliationData[[#This Row],[Billed_Units]]),1,0)</f>
        <v>0</v>
      </c>
      <c r="R10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2">
        <f>IF(AND(NOT(ISBLANK(ReconciliationData[[#This Row],[Contract_Price]])),ReconciliationData[[#This Row],[Billed_Price]]&lt;&gt;ReconciliationData[[#This Row],[Contract_Price]]),1,0)</f>
        <v>0</v>
      </c>
      <c r="T1012">
        <f>IF(AND(NOT(ISBLANK(ReconciliationData[[#This Row],[End_Date]])),ReconciliationData[[#This Row],[Order_Date]]&gt;ReconciliationData[[#This Row],[End_Date]]),1,0)</f>
        <v>0</v>
      </c>
      <c r="U1012">
        <f>IF(AND(NOT(ISBLANK(ReconciliationData[[#This Row],[last_return_date]])),ReconciliationData[[#This Row],[last_return_date]]&gt;ReconciliationData[[#This Row],[Order_Date]]+60),1,0)</f>
        <v>0</v>
      </c>
      <c r="V1012">
        <f>IF(ReconciliationData[[#This Row],[total_returned_units]]&gt;ReconciliationData[[#This Row],[ordered_units]],1,0)</f>
        <v>0</v>
      </c>
      <c r="W10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2">
        <f>ReconciliationData[[#This Row],[Billed_Units]]*ReconciliationData[[#This Row],[Billed_Price]]</f>
        <v>25976.34</v>
      </c>
      <c r="Y1012">
        <f>ReconciliationData[[#This Row],[ordered_units]]*ReconciliationData[[#This Row],[List_Price]]</f>
        <v>25976.34</v>
      </c>
      <c r="Z1012">
        <f>ReconciliationData[[#This Row],[billed_revenue]]-ReconciliationData[[#This Row],[expected_revenue]]</f>
        <v>0</v>
      </c>
      <c r="AA10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2" t="str">
        <f>IF(ReconciliationData[[#This Row],[severity_score]]=0,"LOW",
 IF(ReconciliationData[[#This Row],[severity_score]]&lt;=5,"MEDIUM","HIGH"))</f>
        <v>LOW</v>
      </c>
      <c r="AC1012" t="str">
        <f>TEXT(ReconciliationData[[#This Row],[Order_Date]],"YYYY-MM")</f>
        <v>2024-04</v>
      </c>
    </row>
    <row r="1013" spans="1:29">
      <c r="A1013" t="s">
        <v>3019</v>
      </c>
      <c r="B1013" s="1">
        <v>45449</v>
      </c>
      <c r="C1013" t="s">
        <v>693</v>
      </c>
      <c r="D1013" t="s">
        <v>647</v>
      </c>
      <c r="E1013">
        <v>141</v>
      </c>
      <c r="F1013" t="s">
        <v>3020</v>
      </c>
      <c r="G1013">
        <v>141</v>
      </c>
      <c r="H1013">
        <v>279.42789999999997</v>
      </c>
      <c r="N1013">
        <v>279.42789999999997</v>
      </c>
      <c r="O1013" s="1">
        <v>45103</v>
      </c>
      <c r="P1013">
        <f>IF(ISBLANK(ReconciliationData[[#This Row],[Invoice_ID]]),1,0)</f>
        <v>0</v>
      </c>
      <c r="Q1013">
        <f>IF(AND(NOT(ISBLANK(ReconciliationData[[#This Row],[Billed_Units]])),ReconciliationData[[#This Row],[ordered_units]]&lt;&gt;ReconciliationData[[#This Row],[Billed_Units]]),1,0)</f>
        <v>0</v>
      </c>
      <c r="R10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3">
        <f>IF(AND(NOT(ISBLANK(ReconciliationData[[#This Row],[Contract_Price]])),ReconciliationData[[#This Row],[Billed_Price]]&lt;&gt;ReconciliationData[[#This Row],[Contract_Price]]),1,0)</f>
        <v>0</v>
      </c>
      <c r="T1013">
        <f>IF(AND(NOT(ISBLANK(ReconciliationData[[#This Row],[End_Date]])),ReconciliationData[[#This Row],[Order_Date]]&gt;ReconciliationData[[#This Row],[End_Date]]),1,0)</f>
        <v>0</v>
      </c>
      <c r="U1013">
        <f>IF(AND(NOT(ISBLANK(ReconciliationData[[#This Row],[last_return_date]])),ReconciliationData[[#This Row],[last_return_date]]&gt;ReconciliationData[[#This Row],[Order_Date]]+60),1,0)</f>
        <v>0</v>
      </c>
      <c r="V1013">
        <f>IF(ReconciliationData[[#This Row],[total_returned_units]]&gt;ReconciliationData[[#This Row],[ordered_units]],1,0)</f>
        <v>0</v>
      </c>
      <c r="W10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3">
        <f>ReconciliationData[[#This Row],[Billed_Units]]*ReconciliationData[[#This Row],[Billed_Price]]</f>
        <v>39399.333899999998</v>
      </c>
      <c r="Y1013">
        <f>ReconciliationData[[#This Row],[ordered_units]]*ReconciliationData[[#This Row],[List_Price]]</f>
        <v>39399.333899999998</v>
      </c>
      <c r="Z1013">
        <f>ReconciliationData[[#This Row],[billed_revenue]]-ReconciliationData[[#This Row],[expected_revenue]]</f>
        <v>0</v>
      </c>
      <c r="AA10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3" t="str">
        <f>IF(ReconciliationData[[#This Row],[severity_score]]=0,"LOW",
 IF(ReconciliationData[[#This Row],[severity_score]]&lt;=5,"MEDIUM","HIGH"))</f>
        <v>LOW</v>
      </c>
      <c r="AC1013" t="str">
        <f>TEXT(ReconciliationData[[#This Row],[Order_Date]],"YYYY-MM")</f>
        <v>2024-06</v>
      </c>
    </row>
    <row r="1014" spans="1:29">
      <c r="A1014" t="s">
        <v>3021</v>
      </c>
      <c r="B1014" s="1">
        <v>44996</v>
      </c>
      <c r="C1014" t="s">
        <v>1111</v>
      </c>
      <c r="D1014" t="s">
        <v>138</v>
      </c>
      <c r="E1014">
        <v>22</v>
      </c>
      <c r="F1014" t="s">
        <v>3022</v>
      </c>
      <c r="G1014">
        <v>22</v>
      </c>
      <c r="H1014">
        <v>466.43099999999998</v>
      </c>
      <c r="N1014">
        <v>466.43099999999998</v>
      </c>
      <c r="O1014" s="1">
        <v>44882</v>
      </c>
      <c r="P1014">
        <f>IF(ISBLANK(ReconciliationData[[#This Row],[Invoice_ID]]),1,0)</f>
        <v>0</v>
      </c>
      <c r="Q1014">
        <f>IF(AND(NOT(ISBLANK(ReconciliationData[[#This Row],[Billed_Units]])),ReconciliationData[[#This Row],[ordered_units]]&lt;&gt;ReconciliationData[[#This Row],[Billed_Units]]),1,0)</f>
        <v>0</v>
      </c>
      <c r="R10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4">
        <f>IF(AND(NOT(ISBLANK(ReconciliationData[[#This Row],[Contract_Price]])),ReconciliationData[[#This Row],[Billed_Price]]&lt;&gt;ReconciliationData[[#This Row],[Contract_Price]]),1,0)</f>
        <v>0</v>
      </c>
      <c r="T1014">
        <f>IF(AND(NOT(ISBLANK(ReconciliationData[[#This Row],[End_Date]])),ReconciliationData[[#This Row],[Order_Date]]&gt;ReconciliationData[[#This Row],[End_Date]]),1,0)</f>
        <v>0</v>
      </c>
      <c r="U1014">
        <f>IF(AND(NOT(ISBLANK(ReconciliationData[[#This Row],[last_return_date]])),ReconciliationData[[#This Row],[last_return_date]]&gt;ReconciliationData[[#This Row],[Order_Date]]+60),1,0)</f>
        <v>0</v>
      </c>
      <c r="V1014">
        <f>IF(ReconciliationData[[#This Row],[total_returned_units]]&gt;ReconciliationData[[#This Row],[ordered_units]],1,0)</f>
        <v>0</v>
      </c>
      <c r="W10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4">
        <f>ReconciliationData[[#This Row],[Billed_Units]]*ReconciliationData[[#This Row],[Billed_Price]]</f>
        <v>10261.482</v>
      </c>
      <c r="Y1014">
        <f>ReconciliationData[[#This Row],[ordered_units]]*ReconciliationData[[#This Row],[List_Price]]</f>
        <v>10261.482</v>
      </c>
      <c r="Z1014">
        <f>ReconciliationData[[#This Row],[billed_revenue]]-ReconciliationData[[#This Row],[expected_revenue]]</f>
        <v>0</v>
      </c>
      <c r="AA10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4" t="str">
        <f>IF(ReconciliationData[[#This Row],[severity_score]]=0,"LOW",
 IF(ReconciliationData[[#This Row],[severity_score]]&lt;=5,"MEDIUM","HIGH"))</f>
        <v>LOW</v>
      </c>
      <c r="AC1014" t="str">
        <f>TEXT(ReconciliationData[[#This Row],[Order_Date]],"YYYY-MM")</f>
        <v>2023-03</v>
      </c>
    </row>
    <row r="1015" spans="1:29">
      <c r="A1015" t="s">
        <v>3023</v>
      </c>
      <c r="B1015" s="1">
        <v>45392</v>
      </c>
      <c r="C1015" t="s">
        <v>173</v>
      </c>
      <c r="D1015" t="s">
        <v>529</v>
      </c>
      <c r="E1015">
        <v>60</v>
      </c>
      <c r="F1015" t="s">
        <v>3024</v>
      </c>
      <c r="G1015">
        <v>60</v>
      </c>
      <c r="H1015">
        <v>560.37830000000008</v>
      </c>
      <c r="N1015">
        <v>560.37830000000008</v>
      </c>
      <c r="O1015" s="1">
        <v>45089</v>
      </c>
      <c r="P1015">
        <f>IF(ISBLANK(ReconciliationData[[#This Row],[Invoice_ID]]),1,0)</f>
        <v>0</v>
      </c>
      <c r="Q1015">
        <f>IF(AND(NOT(ISBLANK(ReconciliationData[[#This Row],[Billed_Units]])),ReconciliationData[[#This Row],[ordered_units]]&lt;&gt;ReconciliationData[[#This Row],[Billed_Units]]),1,0)</f>
        <v>0</v>
      </c>
      <c r="R10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5">
        <f>IF(AND(NOT(ISBLANK(ReconciliationData[[#This Row],[Contract_Price]])),ReconciliationData[[#This Row],[Billed_Price]]&lt;&gt;ReconciliationData[[#This Row],[Contract_Price]]),1,0)</f>
        <v>0</v>
      </c>
      <c r="T1015">
        <f>IF(AND(NOT(ISBLANK(ReconciliationData[[#This Row],[End_Date]])),ReconciliationData[[#This Row],[Order_Date]]&gt;ReconciliationData[[#This Row],[End_Date]]),1,0)</f>
        <v>0</v>
      </c>
      <c r="U1015">
        <f>IF(AND(NOT(ISBLANK(ReconciliationData[[#This Row],[last_return_date]])),ReconciliationData[[#This Row],[last_return_date]]&gt;ReconciliationData[[#This Row],[Order_Date]]+60),1,0)</f>
        <v>0</v>
      </c>
      <c r="V1015">
        <f>IF(ReconciliationData[[#This Row],[total_returned_units]]&gt;ReconciliationData[[#This Row],[ordered_units]],1,0)</f>
        <v>0</v>
      </c>
      <c r="W10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5">
        <f>ReconciliationData[[#This Row],[Billed_Units]]*ReconciliationData[[#This Row],[Billed_Price]]</f>
        <v>33622.698000000004</v>
      </c>
      <c r="Y1015">
        <f>ReconciliationData[[#This Row],[ordered_units]]*ReconciliationData[[#This Row],[List_Price]]</f>
        <v>33622.698000000004</v>
      </c>
      <c r="Z1015">
        <f>ReconciliationData[[#This Row],[billed_revenue]]-ReconciliationData[[#This Row],[expected_revenue]]</f>
        <v>0</v>
      </c>
      <c r="AA10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5" t="str">
        <f>IF(ReconciliationData[[#This Row],[severity_score]]=0,"LOW",
 IF(ReconciliationData[[#This Row],[severity_score]]&lt;=5,"MEDIUM","HIGH"))</f>
        <v>LOW</v>
      </c>
      <c r="AC1015" t="str">
        <f>TEXT(ReconciliationData[[#This Row],[Order_Date]],"YYYY-MM")</f>
        <v>2024-04</v>
      </c>
    </row>
    <row r="1016" spans="1:29">
      <c r="A1016" t="s">
        <v>3025</v>
      </c>
      <c r="B1016" s="1">
        <v>45612</v>
      </c>
      <c r="C1016" t="s">
        <v>670</v>
      </c>
      <c r="D1016" t="s">
        <v>170</v>
      </c>
      <c r="E1016">
        <v>154</v>
      </c>
      <c r="F1016" t="s">
        <v>3026</v>
      </c>
      <c r="G1016">
        <v>154</v>
      </c>
      <c r="H1016">
        <v>397.40159999999997</v>
      </c>
      <c r="N1016">
        <v>397.40159999999997</v>
      </c>
      <c r="O1016" s="1">
        <v>45021</v>
      </c>
      <c r="P1016">
        <f>IF(ISBLANK(ReconciliationData[[#This Row],[Invoice_ID]]),1,0)</f>
        <v>0</v>
      </c>
      <c r="Q1016">
        <f>IF(AND(NOT(ISBLANK(ReconciliationData[[#This Row],[Billed_Units]])),ReconciliationData[[#This Row],[ordered_units]]&lt;&gt;ReconciliationData[[#This Row],[Billed_Units]]),1,0)</f>
        <v>0</v>
      </c>
      <c r="R10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6">
        <f>IF(AND(NOT(ISBLANK(ReconciliationData[[#This Row],[Contract_Price]])),ReconciliationData[[#This Row],[Billed_Price]]&lt;&gt;ReconciliationData[[#This Row],[Contract_Price]]),1,0)</f>
        <v>0</v>
      </c>
      <c r="T1016">
        <f>IF(AND(NOT(ISBLANK(ReconciliationData[[#This Row],[End_Date]])),ReconciliationData[[#This Row],[Order_Date]]&gt;ReconciliationData[[#This Row],[End_Date]]),1,0)</f>
        <v>0</v>
      </c>
      <c r="U1016">
        <f>IF(AND(NOT(ISBLANK(ReconciliationData[[#This Row],[last_return_date]])),ReconciliationData[[#This Row],[last_return_date]]&gt;ReconciliationData[[#This Row],[Order_Date]]+60),1,0)</f>
        <v>0</v>
      </c>
      <c r="V1016">
        <f>IF(ReconciliationData[[#This Row],[total_returned_units]]&gt;ReconciliationData[[#This Row],[ordered_units]],1,0)</f>
        <v>0</v>
      </c>
      <c r="W10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6">
        <f>ReconciliationData[[#This Row],[Billed_Units]]*ReconciliationData[[#This Row],[Billed_Price]]</f>
        <v>61199.846399999995</v>
      </c>
      <c r="Y1016">
        <f>ReconciliationData[[#This Row],[ordered_units]]*ReconciliationData[[#This Row],[List_Price]]</f>
        <v>61199.846399999995</v>
      </c>
      <c r="Z1016">
        <f>ReconciliationData[[#This Row],[billed_revenue]]-ReconciliationData[[#This Row],[expected_revenue]]</f>
        <v>0</v>
      </c>
      <c r="AA10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6" t="str">
        <f>IF(ReconciliationData[[#This Row],[severity_score]]=0,"LOW",
 IF(ReconciliationData[[#This Row],[severity_score]]&lt;=5,"MEDIUM","HIGH"))</f>
        <v>LOW</v>
      </c>
      <c r="AC1016" t="str">
        <f>TEXT(ReconciliationData[[#This Row],[Order_Date]],"YYYY-MM")</f>
        <v>2024-11</v>
      </c>
    </row>
    <row r="1017" spans="1:29">
      <c r="A1017" t="s">
        <v>3027</v>
      </c>
      <c r="B1017" s="1">
        <v>45061</v>
      </c>
      <c r="C1017" t="s">
        <v>2131</v>
      </c>
      <c r="D1017" t="s">
        <v>647</v>
      </c>
      <c r="E1017">
        <v>195</v>
      </c>
      <c r="F1017" t="s">
        <v>3028</v>
      </c>
      <c r="G1017">
        <v>195</v>
      </c>
      <c r="H1017">
        <v>288.07</v>
      </c>
      <c r="N1017">
        <v>288.07</v>
      </c>
      <c r="O1017" s="1">
        <v>44954</v>
      </c>
      <c r="P1017">
        <f>IF(ISBLANK(ReconciliationData[[#This Row],[Invoice_ID]]),1,0)</f>
        <v>0</v>
      </c>
      <c r="Q1017">
        <f>IF(AND(NOT(ISBLANK(ReconciliationData[[#This Row],[Billed_Units]])),ReconciliationData[[#This Row],[ordered_units]]&lt;&gt;ReconciliationData[[#This Row],[Billed_Units]]),1,0)</f>
        <v>0</v>
      </c>
      <c r="R10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7">
        <f>IF(AND(NOT(ISBLANK(ReconciliationData[[#This Row],[Contract_Price]])),ReconciliationData[[#This Row],[Billed_Price]]&lt;&gt;ReconciliationData[[#This Row],[Contract_Price]]),1,0)</f>
        <v>0</v>
      </c>
      <c r="T1017">
        <f>IF(AND(NOT(ISBLANK(ReconciliationData[[#This Row],[End_Date]])),ReconciliationData[[#This Row],[Order_Date]]&gt;ReconciliationData[[#This Row],[End_Date]]),1,0)</f>
        <v>0</v>
      </c>
      <c r="U1017">
        <f>IF(AND(NOT(ISBLANK(ReconciliationData[[#This Row],[last_return_date]])),ReconciliationData[[#This Row],[last_return_date]]&gt;ReconciliationData[[#This Row],[Order_Date]]+60),1,0)</f>
        <v>0</v>
      </c>
      <c r="V1017">
        <f>IF(ReconciliationData[[#This Row],[total_returned_units]]&gt;ReconciliationData[[#This Row],[ordered_units]],1,0)</f>
        <v>0</v>
      </c>
      <c r="W10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7">
        <f>ReconciliationData[[#This Row],[Billed_Units]]*ReconciliationData[[#This Row],[Billed_Price]]</f>
        <v>56173.65</v>
      </c>
      <c r="Y1017">
        <f>ReconciliationData[[#This Row],[ordered_units]]*ReconciliationData[[#This Row],[List_Price]]</f>
        <v>56173.65</v>
      </c>
      <c r="Z1017">
        <f>ReconciliationData[[#This Row],[billed_revenue]]-ReconciliationData[[#This Row],[expected_revenue]]</f>
        <v>0</v>
      </c>
      <c r="AA10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7" t="str">
        <f>IF(ReconciliationData[[#This Row],[severity_score]]=0,"LOW",
 IF(ReconciliationData[[#This Row],[severity_score]]&lt;=5,"MEDIUM","HIGH"))</f>
        <v>LOW</v>
      </c>
      <c r="AC1017" t="str">
        <f>TEXT(ReconciliationData[[#This Row],[Order_Date]],"YYYY-MM")</f>
        <v>2023-05</v>
      </c>
    </row>
    <row r="1018" spans="1:29">
      <c r="A1018" t="s">
        <v>3029</v>
      </c>
      <c r="B1018" s="1">
        <v>44990</v>
      </c>
      <c r="C1018" t="s">
        <v>3030</v>
      </c>
      <c r="D1018" t="s">
        <v>1886</v>
      </c>
      <c r="E1018">
        <v>86</v>
      </c>
      <c r="F1018" t="s">
        <v>3031</v>
      </c>
      <c r="G1018">
        <v>86</v>
      </c>
      <c r="H1018">
        <v>1138.06</v>
      </c>
      <c r="N1018">
        <v>1138.06</v>
      </c>
      <c r="O1018" s="1">
        <v>44763</v>
      </c>
      <c r="P1018">
        <f>IF(ISBLANK(ReconciliationData[[#This Row],[Invoice_ID]]),1,0)</f>
        <v>0</v>
      </c>
      <c r="Q1018">
        <f>IF(AND(NOT(ISBLANK(ReconciliationData[[#This Row],[Billed_Units]])),ReconciliationData[[#This Row],[ordered_units]]&lt;&gt;ReconciliationData[[#This Row],[Billed_Units]]),1,0)</f>
        <v>0</v>
      </c>
      <c r="R10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8">
        <f>IF(AND(NOT(ISBLANK(ReconciliationData[[#This Row],[Contract_Price]])),ReconciliationData[[#This Row],[Billed_Price]]&lt;&gt;ReconciliationData[[#This Row],[Contract_Price]]),1,0)</f>
        <v>0</v>
      </c>
      <c r="T1018">
        <f>IF(AND(NOT(ISBLANK(ReconciliationData[[#This Row],[End_Date]])),ReconciliationData[[#This Row],[Order_Date]]&gt;ReconciliationData[[#This Row],[End_Date]]),1,0)</f>
        <v>0</v>
      </c>
      <c r="U1018">
        <f>IF(AND(NOT(ISBLANK(ReconciliationData[[#This Row],[last_return_date]])),ReconciliationData[[#This Row],[last_return_date]]&gt;ReconciliationData[[#This Row],[Order_Date]]+60),1,0)</f>
        <v>0</v>
      </c>
      <c r="V1018">
        <f>IF(ReconciliationData[[#This Row],[total_returned_units]]&gt;ReconciliationData[[#This Row],[ordered_units]],1,0)</f>
        <v>0</v>
      </c>
      <c r="W10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8">
        <f>ReconciliationData[[#This Row],[Billed_Units]]*ReconciliationData[[#This Row],[Billed_Price]]</f>
        <v>97873.159999999989</v>
      </c>
      <c r="Y1018">
        <f>ReconciliationData[[#This Row],[ordered_units]]*ReconciliationData[[#This Row],[List_Price]]</f>
        <v>97873.159999999989</v>
      </c>
      <c r="Z1018">
        <f>ReconciliationData[[#This Row],[billed_revenue]]-ReconciliationData[[#This Row],[expected_revenue]]</f>
        <v>0</v>
      </c>
      <c r="AA10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8" t="str">
        <f>IF(ReconciliationData[[#This Row],[severity_score]]=0,"LOW",
 IF(ReconciliationData[[#This Row],[severity_score]]&lt;=5,"MEDIUM","HIGH"))</f>
        <v>LOW</v>
      </c>
      <c r="AC1018" t="str">
        <f>TEXT(ReconciliationData[[#This Row],[Order_Date]],"YYYY-MM")</f>
        <v>2023-03</v>
      </c>
    </row>
    <row r="1019" spans="1:29">
      <c r="A1019" t="s">
        <v>3032</v>
      </c>
      <c r="B1019" s="1">
        <v>45504</v>
      </c>
      <c r="C1019" t="s">
        <v>3033</v>
      </c>
      <c r="D1019" t="s">
        <v>1322</v>
      </c>
      <c r="E1019">
        <v>115</v>
      </c>
      <c r="F1019" t="s">
        <v>3034</v>
      </c>
      <c r="G1019">
        <v>115</v>
      </c>
      <c r="H1019">
        <v>69.45</v>
      </c>
      <c r="N1019">
        <v>69.45</v>
      </c>
      <c r="O1019" s="1">
        <v>45169</v>
      </c>
      <c r="P1019">
        <f>IF(ISBLANK(ReconciliationData[[#This Row],[Invoice_ID]]),1,0)</f>
        <v>0</v>
      </c>
      <c r="Q1019">
        <f>IF(AND(NOT(ISBLANK(ReconciliationData[[#This Row],[Billed_Units]])),ReconciliationData[[#This Row],[ordered_units]]&lt;&gt;ReconciliationData[[#This Row],[Billed_Units]]),1,0)</f>
        <v>0</v>
      </c>
      <c r="R10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19">
        <f>IF(AND(NOT(ISBLANK(ReconciliationData[[#This Row],[Contract_Price]])),ReconciliationData[[#This Row],[Billed_Price]]&lt;&gt;ReconciliationData[[#This Row],[Contract_Price]]),1,0)</f>
        <v>0</v>
      </c>
      <c r="T1019">
        <f>IF(AND(NOT(ISBLANK(ReconciliationData[[#This Row],[End_Date]])),ReconciliationData[[#This Row],[Order_Date]]&gt;ReconciliationData[[#This Row],[End_Date]]),1,0)</f>
        <v>0</v>
      </c>
      <c r="U1019">
        <f>IF(AND(NOT(ISBLANK(ReconciliationData[[#This Row],[last_return_date]])),ReconciliationData[[#This Row],[last_return_date]]&gt;ReconciliationData[[#This Row],[Order_Date]]+60),1,0)</f>
        <v>0</v>
      </c>
      <c r="V1019">
        <f>IF(ReconciliationData[[#This Row],[total_returned_units]]&gt;ReconciliationData[[#This Row],[ordered_units]],1,0)</f>
        <v>0</v>
      </c>
      <c r="W10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19">
        <f>ReconciliationData[[#This Row],[Billed_Units]]*ReconciliationData[[#This Row],[Billed_Price]]</f>
        <v>7986.75</v>
      </c>
      <c r="Y1019">
        <f>ReconciliationData[[#This Row],[ordered_units]]*ReconciliationData[[#This Row],[List_Price]]</f>
        <v>7986.75</v>
      </c>
      <c r="Z1019">
        <f>ReconciliationData[[#This Row],[billed_revenue]]-ReconciliationData[[#This Row],[expected_revenue]]</f>
        <v>0</v>
      </c>
      <c r="AA10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19" t="str">
        <f>IF(ReconciliationData[[#This Row],[severity_score]]=0,"LOW",
 IF(ReconciliationData[[#This Row],[severity_score]]&lt;=5,"MEDIUM","HIGH"))</f>
        <v>LOW</v>
      </c>
      <c r="AC1019" t="str">
        <f>TEXT(ReconciliationData[[#This Row],[Order_Date]],"YYYY-MM")</f>
        <v>2024-07</v>
      </c>
    </row>
    <row r="1020" spans="1:29">
      <c r="A1020" t="s">
        <v>3035</v>
      </c>
      <c r="B1020" s="1">
        <v>45118</v>
      </c>
      <c r="C1020" t="s">
        <v>2359</v>
      </c>
      <c r="D1020" t="s">
        <v>3036</v>
      </c>
      <c r="E1020">
        <v>122</v>
      </c>
      <c r="F1020" t="s">
        <v>3037</v>
      </c>
      <c r="G1020">
        <v>122</v>
      </c>
      <c r="H1020">
        <v>880.29480000000001</v>
      </c>
      <c r="I1020">
        <v>11</v>
      </c>
      <c r="J1020" s="1">
        <v>45598</v>
      </c>
      <c r="N1020">
        <v>880.29480000000001</v>
      </c>
      <c r="O1020" s="1">
        <v>44998</v>
      </c>
      <c r="P1020">
        <f>IF(ISBLANK(ReconciliationData[[#This Row],[Invoice_ID]]),1,0)</f>
        <v>0</v>
      </c>
      <c r="Q1020">
        <f>IF(AND(NOT(ISBLANK(ReconciliationData[[#This Row],[Billed_Units]])),ReconciliationData[[#This Row],[ordered_units]]&lt;&gt;ReconciliationData[[#This Row],[Billed_Units]]),1,0)</f>
        <v>0</v>
      </c>
      <c r="R10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0">
        <f>IF(AND(NOT(ISBLANK(ReconciliationData[[#This Row],[Contract_Price]])),ReconciliationData[[#This Row],[Billed_Price]]&lt;&gt;ReconciliationData[[#This Row],[Contract_Price]]),1,0)</f>
        <v>0</v>
      </c>
      <c r="T1020">
        <f>IF(AND(NOT(ISBLANK(ReconciliationData[[#This Row],[End_Date]])),ReconciliationData[[#This Row],[Order_Date]]&gt;ReconciliationData[[#This Row],[End_Date]]),1,0)</f>
        <v>0</v>
      </c>
      <c r="U1020">
        <f>IF(AND(NOT(ISBLANK(ReconciliationData[[#This Row],[last_return_date]])),ReconciliationData[[#This Row],[last_return_date]]&gt;ReconciliationData[[#This Row],[Order_Date]]+60),1,0)</f>
        <v>1</v>
      </c>
      <c r="V1020">
        <f>IF(ReconciliationData[[#This Row],[total_returned_units]]&gt;ReconciliationData[[#This Row],[ordered_units]],1,0)</f>
        <v>0</v>
      </c>
      <c r="W10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20">
        <f>ReconciliationData[[#This Row],[Billed_Units]]*ReconciliationData[[#This Row],[Billed_Price]]</f>
        <v>107395.9656</v>
      </c>
      <c r="Y1020">
        <f>ReconciliationData[[#This Row],[ordered_units]]*ReconciliationData[[#This Row],[List_Price]]</f>
        <v>107395.9656</v>
      </c>
      <c r="Z1020">
        <f>ReconciliationData[[#This Row],[billed_revenue]]-ReconciliationData[[#This Row],[expected_revenue]]</f>
        <v>0</v>
      </c>
      <c r="AA10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020" t="str">
        <f>IF(ReconciliationData[[#This Row],[severity_score]]=0,"LOW",
 IF(ReconciliationData[[#This Row],[severity_score]]&lt;=5,"MEDIUM","HIGH"))</f>
        <v>MEDIUM</v>
      </c>
      <c r="AC1020" t="str">
        <f>TEXT(ReconciliationData[[#This Row],[Order_Date]],"YYYY-MM")</f>
        <v>2023-07</v>
      </c>
    </row>
    <row r="1021" spans="1:29">
      <c r="A1021" t="s">
        <v>3038</v>
      </c>
      <c r="B1021" s="1">
        <v>45653</v>
      </c>
      <c r="C1021" t="s">
        <v>3039</v>
      </c>
      <c r="D1021" t="s">
        <v>206</v>
      </c>
      <c r="E1021">
        <v>106</v>
      </c>
      <c r="F1021" t="s">
        <v>3040</v>
      </c>
      <c r="G1021">
        <v>106</v>
      </c>
      <c r="H1021">
        <v>337.47280000000001</v>
      </c>
      <c r="N1021">
        <v>337.47280000000001</v>
      </c>
      <c r="O1021" s="1">
        <v>45171</v>
      </c>
      <c r="P1021">
        <f>IF(ISBLANK(ReconciliationData[[#This Row],[Invoice_ID]]),1,0)</f>
        <v>0</v>
      </c>
      <c r="Q1021">
        <f>IF(AND(NOT(ISBLANK(ReconciliationData[[#This Row],[Billed_Units]])),ReconciliationData[[#This Row],[ordered_units]]&lt;&gt;ReconciliationData[[#This Row],[Billed_Units]]),1,0)</f>
        <v>0</v>
      </c>
      <c r="R10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1">
        <f>IF(AND(NOT(ISBLANK(ReconciliationData[[#This Row],[Contract_Price]])),ReconciliationData[[#This Row],[Billed_Price]]&lt;&gt;ReconciliationData[[#This Row],[Contract_Price]]),1,0)</f>
        <v>0</v>
      </c>
      <c r="T1021">
        <f>IF(AND(NOT(ISBLANK(ReconciliationData[[#This Row],[End_Date]])),ReconciliationData[[#This Row],[Order_Date]]&gt;ReconciliationData[[#This Row],[End_Date]]),1,0)</f>
        <v>0</v>
      </c>
      <c r="U1021">
        <f>IF(AND(NOT(ISBLANK(ReconciliationData[[#This Row],[last_return_date]])),ReconciliationData[[#This Row],[last_return_date]]&gt;ReconciliationData[[#This Row],[Order_Date]]+60),1,0)</f>
        <v>0</v>
      </c>
      <c r="V1021">
        <f>IF(ReconciliationData[[#This Row],[total_returned_units]]&gt;ReconciliationData[[#This Row],[ordered_units]],1,0)</f>
        <v>0</v>
      </c>
      <c r="W10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21">
        <f>ReconciliationData[[#This Row],[Billed_Units]]*ReconciliationData[[#This Row],[Billed_Price]]</f>
        <v>35772.116800000003</v>
      </c>
      <c r="Y1021">
        <f>ReconciliationData[[#This Row],[ordered_units]]*ReconciliationData[[#This Row],[List_Price]]</f>
        <v>35772.116800000003</v>
      </c>
      <c r="Z1021">
        <f>ReconciliationData[[#This Row],[billed_revenue]]-ReconciliationData[[#This Row],[expected_revenue]]</f>
        <v>0</v>
      </c>
      <c r="AA10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21" t="str">
        <f>IF(ReconciliationData[[#This Row],[severity_score]]=0,"LOW",
 IF(ReconciliationData[[#This Row],[severity_score]]&lt;=5,"MEDIUM","HIGH"))</f>
        <v>LOW</v>
      </c>
      <c r="AC1021" t="str">
        <f>TEXT(ReconciliationData[[#This Row],[Order_Date]],"YYYY-MM")</f>
        <v>2024-12</v>
      </c>
    </row>
    <row r="1022" spans="1:29">
      <c r="A1022" t="s">
        <v>3041</v>
      </c>
      <c r="B1022" s="1">
        <v>45145</v>
      </c>
      <c r="C1022" t="s">
        <v>1515</v>
      </c>
      <c r="D1022" t="s">
        <v>1404</v>
      </c>
      <c r="E1022">
        <v>196</v>
      </c>
      <c r="F1022" t="s">
        <v>3042</v>
      </c>
      <c r="G1022">
        <v>196</v>
      </c>
      <c r="H1022">
        <v>655.93800000000022</v>
      </c>
      <c r="N1022">
        <v>655.93800000000022</v>
      </c>
      <c r="O1022" s="1">
        <v>45075</v>
      </c>
      <c r="P1022">
        <f>IF(ISBLANK(ReconciliationData[[#This Row],[Invoice_ID]]),1,0)</f>
        <v>0</v>
      </c>
      <c r="Q1022">
        <f>IF(AND(NOT(ISBLANK(ReconciliationData[[#This Row],[Billed_Units]])),ReconciliationData[[#This Row],[ordered_units]]&lt;&gt;ReconciliationData[[#This Row],[Billed_Units]]),1,0)</f>
        <v>0</v>
      </c>
      <c r="R10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2">
        <f>IF(AND(NOT(ISBLANK(ReconciliationData[[#This Row],[Contract_Price]])),ReconciliationData[[#This Row],[Billed_Price]]&lt;&gt;ReconciliationData[[#This Row],[Contract_Price]]),1,0)</f>
        <v>0</v>
      </c>
      <c r="T1022">
        <f>IF(AND(NOT(ISBLANK(ReconciliationData[[#This Row],[End_Date]])),ReconciliationData[[#This Row],[Order_Date]]&gt;ReconciliationData[[#This Row],[End_Date]]),1,0)</f>
        <v>0</v>
      </c>
      <c r="U1022">
        <f>IF(AND(NOT(ISBLANK(ReconciliationData[[#This Row],[last_return_date]])),ReconciliationData[[#This Row],[last_return_date]]&gt;ReconciliationData[[#This Row],[Order_Date]]+60),1,0)</f>
        <v>0</v>
      </c>
      <c r="V1022">
        <f>IF(ReconciliationData[[#This Row],[total_returned_units]]&gt;ReconciliationData[[#This Row],[ordered_units]],1,0)</f>
        <v>0</v>
      </c>
      <c r="W10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22">
        <f>ReconciliationData[[#This Row],[Billed_Units]]*ReconciliationData[[#This Row],[Billed_Price]]</f>
        <v>128563.84800000004</v>
      </c>
      <c r="Y1022">
        <f>ReconciliationData[[#This Row],[ordered_units]]*ReconciliationData[[#This Row],[List_Price]]</f>
        <v>128563.84800000004</v>
      </c>
      <c r="Z1022">
        <f>ReconciliationData[[#This Row],[billed_revenue]]-ReconciliationData[[#This Row],[expected_revenue]]</f>
        <v>0</v>
      </c>
      <c r="AA10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22" t="str">
        <f>IF(ReconciliationData[[#This Row],[severity_score]]=0,"LOW",
 IF(ReconciliationData[[#This Row],[severity_score]]&lt;=5,"MEDIUM","HIGH"))</f>
        <v>LOW</v>
      </c>
      <c r="AC1022" t="str">
        <f>TEXT(ReconciliationData[[#This Row],[Order_Date]],"YYYY-MM")</f>
        <v>2023-08</v>
      </c>
    </row>
    <row r="1023" spans="1:29">
      <c r="A1023" t="s">
        <v>3043</v>
      </c>
      <c r="B1023" s="1">
        <v>45165</v>
      </c>
      <c r="C1023" t="s">
        <v>373</v>
      </c>
      <c r="D1023" t="s">
        <v>1487</v>
      </c>
      <c r="E1023">
        <v>61</v>
      </c>
      <c r="F1023" t="s">
        <v>3044</v>
      </c>
      <c r="G1023">
        <v>61</v>
      </c>
      <c r="H1023">
        <v>273.24680000000001</v>
      </c>
      <c r="N1023">
        <v>273.24680000000001</v>
      </c>
      <c r="O1023" s="1">
        <v>45103</v>
      </c>
      <c r="P1023">
        <f>IF(ISBLANK(ReconciliationData[[#This Row],[Invoice_ID]]),1,0)</f>
        <v>0</v>
      </c>
      <c r="Q1023">
        <f>IF(AND(NOT(ISBLANK(ReconciliationData[[#This Row],[Billed_Units]])),ReconciliationData[[#This Row],[ordered_units]]&lt;&gt;ReconciliationData[[#This Row],[Billed_Units]]),1,0)</f>
        <v>0</v>
      </c>
      <c r="R10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3">
        <f>IF(AND(NOT(ISBLANK(ReconciliationData[[#This Row],[Contract_Price]])),ReconciliationData[[#This Row],[Billed_Price]]&lt;&gt;ReconciliationData[[#This Row],[Contract_Price]]),1,0)</f>
        <v>0</v>
      </c>
      <c r="T1023">
        <f>IF(AND(NOT(ISBLANK(ReconciliationData[[#This Row],[End_Date]])),ReconciliationData[[#This Row],[Order_Date]]&gt;ReconciliationData[[#This Row],[End_Date]]),1,0)</f>
        <v>0</v>
      </c>
      <c r="U1023">
        <f>IF(AND(NOT(ISBLANK(ReconciliationData[[#This Row],[last_return_date]])),ReconciliationData[[#This Row],[last_return_date]]&gt;ReconciliationData[[#This Row],[Order_Date]]+60),1,0)</f>
        <v>0</v>
      </c>
      <c r="V1023">
        <f>IF(ReconciliationData[[#This Row],[total_returned_units]]&gt;ReconciliationData[[#This Row],[ordered_units]],1,0)</f>
        <v>0</v>
      </c>
      <c r="W10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23">
        <f>ReconciliationData[[#This Row],[Billed_Units]]*ReconciliationData[[#This Row],[Billed_Price]]</f>
        <v>16668.054800000002</v>
      </c>
      <c r="Y1023">
        <f>ReconciliationData[[#This Row],[ordered_units]]*ReconciliationData[[#This Row],[List_Price]]</f>
        <v>16668.054800000002</v>
      </c>
      <c r="Z1023">
        <f>ReconciliationData[[#This Row],[billed_revenue]]-ReconciliationData[[#This Row],[expected_revenue]]</f>
        <v>0</v>
      </c>
      <c r="AA10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23" t="str">
        <f>IF(ReconciliationData[[#This Row],[severity_score]]=0,"LOW",
 IF(ReconciliationData[[#This Row],[severity_score]]&lt;=5,"MEDIUM","HIGH"))</f>
        <v>LOW</v>
      </c>
      <c r="AC1023" t="str">
        <f>TEXT(ReconciliationData[[#This Row],[Order_Date]],"YYYY-MM")</f>
        <v>2023-08</v>
      </c>
    </row>
    <row r="1024" spans="1:29">
      <c r="A1024" t="s">
        <v>3045</v>
      </c>
      <c r="B1024" s="1">
        <v>45229</v>
      </c>
      <c r="C1024" t="s">
        <v>1021</v>
      </c>
      <c r="D1024" t="s">
        <v>445</v>
      </c>
      <c r="E1024">
        <v>18</v>
      </c>
      <c r="F1024" t="s">
        <v>3046</v>
      </c>
      <c r="G1024">
        <v>18</v>
      </c>
      <c r="H1024">
        <v>791.35360000000003</v>
      </c>
      <c r="N1024">
        <v>791.35360000000003</v>
      </c>
      <c r="O1024" s="1">
        <v>45097</v>
      </c>
      <c r="P1024">
        <f>IF(ISBLANK(ReconciliationData[[#This Row],[Invoice_ID]]),1,0)</f>
        <v>0</v>
      </c>
      <c r="Q1024">
        <f>IF(AND(NOT(ISBLANK(ReconciliationData[[#This Row],[Billed_Units]])),ReconciliationData[[#This Row],[ordered_units]]&lt;&gt;ReconciliationData[[#This Row],[Billed_Units]]),1,0)</f>
        <v>0</v>
      </c>
      <c r="R10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4">
        <f>IF(AND(NOT(ISBLANK(ReconciliationData[[#This Row],[Contract_Price]])),ReconciliationData[[#This Row],[Billed_Price]]&lt;&gt;ReconciliationData[[#This Row],[Contract_Price]]),1,0)</f>
        <v>0</v>
      </c>
      <c r="T1024">
        <f>IF(AND(NOT(ISBLANK(ReconciliationData[[#This Row],[End_Date]])),ReconciliationData[[#This Row],[Order_Date]]&gt;ReconciliationData[[#This Row],[End_Date]]),1,0)</f>
        <v>0</v>
      </c>
      <c r="U1024">
        <f>IF(AND(NOT(ISBLANK(ReconciliationData[[#This Row],[last_return_date]])),ReconciliationData[[#This Row],[last_return_date]]&gt;ReconciliationData[[#This Row],[Order_Date]]+60),1,0)</f>
        <v>0</v>
      </c>
      <c r="V1024">
        <f>IF(ReconciliationData[[#This Row],[total_returned_units]]&gt;ReconciliationData[[#This Row],[ordered_units]],1,0)</f>
        <v>0</v>
      </c>
      <c r="W10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24">
        <f>ReconciliationData[[#This Row],[Billed_Units]]*ReconciliationData[[#This Row],[Billed_Price]]</f>
        <v>14244.364800000001</v>
      </c>
      <c r="Y1024">
        <f>ReconciliationData[[#This Row],[ordered_units]]*ReconciliationData[[#This Row],[List_Price]]</f>
        <v>14244.364800000001</v>
      </c>
      <c r="Z1024">
        <f>ReconciliationData[[#This Row],[billed_revenue]]-ReconciliationData[[#This Row],[expected_revenue]]</f>
        <v>0</v>
      </c>
      <c r="AA10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24" t="str">
        <f>IF(ReconciliationData[[#This Row],[severity_score]]=0,"LOW",
 IF(ReconciliationData[[#This Row],[severity_score]]&lt;=5,"MEDIUM","HIGH"))</f>
        <v>LOW</v>
      </c>
      <c r="AC1024" t="str">
        <f>TEXT(ReconciliationData[[#This Row],[Order_Date]],"YYYY-MM")</f>
        <v>2023-10</v>
      </c>
    </row>
    <row r="1025" spans="1:29">
      <c r="A1025" t="s">
        <v>3047</v>
      </c>
      <c r="B1025" s="1">
        <v>45091</v>
      </c>
      <c r="C1025" t="s">
        <v>3048</v>
      </c>
      <c r="D1025" t="s">
        <v>370</v>
      </c>
      <c r="E1025">
        <v>86</v>
      </c>
      <c r="F1025" t="s">
        <v>3049</v>
      </c>
      <c r="G1025">
        <v>86</v>
      </c>
      <c r="H1025">
        <v>639.91840000000002</v>
      </c>
      <c r="N1025">
        <v>639.91840000000002</v>
      </c>
      <c r="O1025" s="1">
        <v>44930</v>
      </c>
      <c r="P1025">
        <f>IF(ISBLANK(ReconciliationData[[#This Row],[Invoice_ID]]),1,0)</f>
        <v>0</v>
      </c>
      <c r="Q1025">
        <f>IF(AND(NOT(ISBLANK(ReconciliationData[[#This Row],[Billed_Units]])),ReconciliationData[[#This Row],[ordered_units]]&lt;&gt;ReconciliationData[[#This Row],[Billed_Units]]),1,0)</f>
        <v>0</v>
      </c>
      <c r="R10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5">
        <f>IF(AND(NOT(ISBLANK(ReconciliationData[[#This Row],[Contract_Price]])),ReconciliationData[[#This Row],[Billed_Price]]&lt;&gt;ReconciliationData[[#This Row],[Contract_Price]]),1,0)</f>
        <v>0</v>
      </c>
      <c r="T1025">
        <f>IF(AND(NOT(ISBLANK(ReconciliationData[[#This Row],[End_Date]])),ReconciliationData[[#This Row],[Order_Date]]&gt;ReconciliationData[[#This Row],[End_Date]]),1,0)</f>
        <v>0</v>
      </c>
      <c r="U1025">
        <f>IF(AND(NOT(ISBLANK(ReconciliationData[[#This Row],[last_return_date]])),ReconciliationData[[#This Row],[last_return_date]]&gt;ReconciliationData[[#This Row],[Order_Date]]+60),1,0)</f>
        <v>0</v>
      </c>
      <c r="V1025">
        <f>IF(ReconciliationData[[#This Row],[total_returned_units]]&gt;ReconciliationData[[#This Row],[ordered_units]],1,0)</f>
        <v>0</v>
      </c>
      <c r="W10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25">
        <f>ReconciliationData[[#This Row],[Billed_Units]]*ReconciliationData[[#This Row],[Billed_Price]]</f>
        <v>55032.982400000001</v>
      </c>
      <c r="Y1025">
        <f>ReconciliationData[[#This Row],[ordered_units]]*ReconciliationData[[#This Row],[List_Price]]</f>
        <v>55032.982400000001</v>
      </c>
      <c r="Z1025">
        <f>ReconciliationData[[#This Row],[billed_revenue]]-ReconciliationData[[#This Row],[expected_revenue]]</f>
        <v>0</v>
      </c>
      <c r="AA10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25" t="str">
        <f>IF(ReconciliationData[[#This Row],[severity_score]]=0,"LOW",
 IF(ReconciliationData[[#This Row],[severity_score]]&lt;=5,"MEDIUM","HIGH"))</f>
        <v>LOW</v>
      </c>
      <c r="AC1025" t="str">
        <f>TEXT(ReconciliationData[[#This Row],[Order_Date]],"YYYY-MM")</f>
        <v>2023-06</v>
      </c>
    </row>
    <row r="1026" spans="1:29">
      <c r="A1026" t="s">
        <v>3050</v>
      </c>
      <c r="B1026" s="1">
        <v>45030</v>
      </c>
      <c r="C1026" t="s">
        <v>3051</v>
      </c>
      <c r="D1026" t="s">
        <v>1530</v>
      </c>
      <c r="E1026">
        <v>1</v>
      </c>
      <c r="F1026" t="s">
        <v>3052</v>
      </c>
      <c r="G1026">
        <v>1</v>
      </c>
      <c r="H1026">
        <v>1131.7711000000002</v>
      </c>
      <c r="N1026">
        <v>1131.7711000000002</v>
      </c>
      <c r="O1026" s="1">
        <v>44869</v>
      </c>
      <c r="P1026">
        <f>IF(ISBLANK(ReconciliationData[[#This Row],[Invoice_ID]]),1,0)</f>
        <v>0</v>
      </c>
      <c r="Q1026">
        <f>IF(AND(NOT(ISBLANK(ReconciliationData[[#This Row],[Billed_Units]])),ReconciliationData[[#This Row],[ordered_units]]&lt;&gt;ReconciliationData[[#This Row],[Billed_Units]]),1,0)</f>
        <v>0</v>
      </c>
      <c r="R10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6">
        <f>IF(AND(NOT(ISBLANK(ReconciliationData[[#This Row],[Contract_Price]])),ReconciliationData[[#This Row],[Billed_Price]]&lt;&gt;ReconciliationData[[#This Row],[Contract_Price]]),1,0)</f>
        <v>0</v>
      </c>
      <c r="T1026">
        <f>IF(AND(NOT(ISBLANK(ReconciliationData[[#This Row],[End_Date]])),ReconciliationData[[#This Row],[Order_Date]]&gt;ReconciliationData[[#This Row],[End_Date]]),1,0)</f>
        <v>0</v>
      </c>
      <c r="U1026">
        <f>IF(AND(NOT(ISBLANK(ReconciliationData[[#This Row],[last_return_date]])),ReconciliationData[[#This Row],[last_return_date]]&gt;ReconciliationData[[#This Row],[Order_Date]]+60),1,0)</f>
        <v>0</v>
      </c>
      <c r="V1026">
        <f>IF(ReconciliationData[[#This Row],[total_returned_units]]&gt;ReconciliationData[[#This Row],[ordered_units]],1,0)</f>
        <v>0</v>
      </c>
      <c r="W10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26">
        <f>ReconciliationData[[#This Row],[Billed_Units]]*ReconciliationData[[#This Row],[Billed_Price]]</f>
        <v>1131.7711000000002</v>
      </c>
      <c r="Y1026">
        <f>ReconciliationData[[#This Row],[ordered_units]]*ReconciliationData[[#This Row],[List_Price]]</f>
        <v>1131.7711000000002</v>
      </c>
      <c r="Z1026">
        <f>ReconciliationData[[#This Row],[billed_revenue]]-ReconciliationData[[#This Row],[expected_revenue]]</f>
        <v>0</v>
      </c>
      <c r="AA10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26" t="str">
        <f>IF(ReconciliationData[[#This Row],[severity_score]]=0,"LOW",
 IF(ReconciliationData[[#This Row],[severity_score]]&lt;=5,"MEDIUM","HIGH"))</f>
        <v>LOW</v>
      </c>
      <c r="AC1026" t="str">
        <f>TEXT(ReconciliationData[[#This Row],[Order_Date]],"YYYY-MM")</f>
        <v>2023-04</v>
      </c>
    </row>
    <row r="1027" spans="1:29">
      <c r="A1027" t="s">
        <v>3053</v>
      </c>
      <c r="B1027" s="1">
        <v>45240</v>
      </c>
      <c r="C1027" t="s">
        <v>1831</v>
      </c>
      <c r="D1027" t="s">
        <v>313</v>
      </c>
      <c r="E1027">
        <v>102</v>
      </c>
      <c r="F1027" t="s">
        <v>3054</v>
      </c>
      <c r="G1027">
        <v>102</v>
      </c>
      <c r="H1027">
        <v>1190.6054999999999</v>
      </c>
      <c r="N1027">
        <v>1190.6054999999999</v>
      </c>
      <c r="O1027" s="1">
        <v>44984</v>
      </c>
      <c r="P1027">
        <f>IF(ISBLANK(ReconciliationData[[#This Row],[Invoice_ID]]),1,0)</f>
        <v>0</v>
      </c>
      <c r="Q1027">
        <f>IF(AND(NOT(ISBLANK(ReconciliationData[[#This Row],[Billed_Units]])),ReconciliationData[[#This Row],[ordered_units]]&lt;&gt;ReconciliationData[[#This Row],[Billed_Units]]),1,0)</f>
        <v>0</v>
      </c>
      <c r="R10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7">
        <f>IF(AND(NOT(ISBLANK(ReconciliationData[[#This Row],[Contract_Price]])),ReconciliationData[[#This Row],[Billed_Price]]&lt;&gt;ReconciliationData[[#This Row],[Contract_Price]]),1,0)</f>
        <v>0</v>
      </c>
      <c r="T1027">
        <f>IF(AND(NOT(ISBLANK(ReconciliationData[[#This Row],[End_Date]])),ReconciliationData[[#This Row],[Order_Date]]&gt;ReconciliationData[[#This Row],[End_Date]]),1,0)</f>
        <v>0</v>
      </c>
      <c r="U1027">
        <f>IF(AND(NOT(ISBLANK(ReconciliationData[[#This Row],[last_return_date]])),ReconciliationData[[#This Row],[last_return_date]]&gt;ReconciliationData[[#This Row],[Order_Date]]+60),1,0)</f>
        <v>0</v>
      </c>
      <c r="V1027">
        <f>IF(ReconciliationData[[#This Row],[total_returned_units]]&gt;ReconciliationData[[#This Row],[ordered_units]],1,0)</f>
        <v>0</v>
      </c>
      <c r="W10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27">
        <f>ReconciliationData[[#This Row],[Billed_Units]]*ReconciliationData[[#This Row],[Billed_Price]]</f>
        <v>121441.76099999998</v>
      </c>
      <c r="Y1027">
        <f>ReconciliationData[[#This Row],[ordered_units]]*ReconciliationData[[#This Row],[List_Price]]</f>
        <v>121441.76099999998</v>
      </c>
      <c r="Z1027">
        <f>ReconciliationData[[#This Row],[billed_revenue]]-ReconciliationData[[#This Row],[expected_revenue]]</f>
        <v>0</v>
      </c>
      <c r="AA10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27" t="str">
        <f>IF(ReconciliationData[[#This Row],[severity_score]]=0,"LOW",
 IF(ReconciliationData[[#This Row],[severity_score]]&lt;=5,"MEDIUM","HIGH"))</f>
        <v>LOW</v>
      </c>
      <c r="AC1027" t="str">
        <f>TEXT(ReconciliationData[[#This Row],[Order_Date]],"YYYY-MM")</f>
        <v>2023-11</v>
      </c>
    </row>
    <row r="1028" spans="1:29">
      <c r="A1028" t="s">
        <v>3055</v>
      </c>
      <c r="B1028" s="1">
        <v>45502</v>
      </c>
      <c r="C1028" t="s">
        <v>2268</v>
      </c>
      <c r="D1028" t="s">
        <v>757</v>
      </c>
      <c r="E1028">
        <v>94</v>
      </c>
      <c r="F1028" t="s">
        <v>3056</v>
      </c>
      <c r="G1028">
        <v>94</v>
      </c>
      <c r="H1028">
        <v>744.44590000000005</v>
      </c>
      <c r="N1028">
        <v>744.44590000000005</v>
      </c>
      <c r="O1028" s="1">
        <v>45008</v>
      </c>
      <c r="P1028">
        <f>IF(ISBLANK(ReconciliationData[[#This Row],[Invoice_ID]]),1,0)</f>
        <v>0</v>
      </c>
      <c r="Q1028">
        <f>IF(AND(NOT(ISBLANK(ReconciliationData[[#This Row],[Billed_Units]])),ReconciliationData[[#This Row],[ordered_units]]&lt;&gt;ReconciliationData[[#This Row],[Billed_Units]]),1,0)</f>
        <v>0</v>
      </c>
      <c r="R10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8">
        <f>IF(AND(NOT(ISBLANK(ReconciliationData[[#This Row],[Contract_Price]])),ReconciliationData[[#This Row],[Billed_Price]]&lt;&gt;ReconciliationData[[#This Row],[Contract_Price]]),1,0)</f>
        <v>0</v>
      </c>
      <c r="T1028">
        <f>IF(AND(NOT(ISBLANK(ReconciliationData[[#This Row],[End_Date]])),ReconciliationData[[#This Row],[Order_Date]]&gt;ReconciliationData[[#This Row],[End_Date]]),1,0)</f>
        <v>0</v>
      </c>
      <c r="U1028">
        <f>IF(AND(NOT(ISBLANK(ReconciliationData[[#This Row],[last_return_date]])),ReconciliationData[[#This Row],[last_return_date]]&gt;ReconciliationData[[#This Row],[Order_Date]]+60),1,0)</f>
        <v>0</v>
      </c>
      <c r="V1028">
        <f>IF(ReconciliationData[[#This Row],[total_returned_units]]&gt;ReconciliationData[[#This Row],[ordered_units]],1,0)</f>
        <v>0</v>
      </c>
      <c r="W10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28">
        <f>ReconciliationData[[#This Row],[Billed_Units]]*ReconciliationData[[#This Row],[Billed_Price]]</f>
        <v>69977.914600000004</v>
      </c>
      <c r="Y1028">
        <f>ReconciliationData[[#This Row],[ordered_units]]*ReconciliationData[[#This Row],[List_Price]]</f>
        <v>69977.914600000004</v>
      </c>
      <c r="Z1028">
        <f>ReconciliationData[[#This Row],[billed_revenue]]-ReconciliationData[[#This Row],[expected_revenue]]</f>
        <v>0</v>
      </c>
      <c r="AA10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28" t="str">
        <f>IF(ReconciliationData[[#This Row],[severity_score]]=0,"LOW",
 IF(ReconciliationData[[#This Row],[severity_score]]&lt;=5,"MEDIUM","HIGH"))</f>
        <v>LOW</v>
      </c>
      <c r="AC1028" t="str">
        <f>TEXT(ReconciliationData[[#This Row],[Order_Date]],"YYYY-MM")</f>
        <v>2024-07</v>
      </c>
    </row>
    <row r="1029" spans="1:29">
      <c r="A1029" t="s">
        <v>3057</v>
      </c>
      <c r="B1029" s="1">
        <v>45477</v>
      </c>
      <c r="C1029" t="s">
        <v>1336</v>
      </c>
      <c r="D1029" t="s">
        <v>600</v>
      </c>
      <c r="E1029">
        <v>2</v>
      </c>
      <c r="F1029" t="s">
        <v>3058</v>
      </c>
      <c r="G1029">
        <v>2</v>
      </c>
      <c r="H1029">
        <v>52.185000000000002</v>
      </c>
      <c r="N1029">
        <v>52.185000000000002</v>
      </c>
      <c r="O1029" s="1">
        <v>44998</v>
      </c>
      <c r="P1029">
        <f>IF(ISBLANK(ReconciliationData[[#This Row],[Invoice_ID]]),1,0)</f>
        <v>0</v>
      </c>
      <c r="Q1029">
        <f>IF(AND(NOT(ISBLANK(ReconciliationData[[#This Row],[Billed_Units]])),ReconciliationData[[#This Row],[ordered_units]]&lt;&gt;ReconciliationData[[#This Row],[Billed_Units]]),1,0)</f>
        <v>0</v>
      </c>
      <c r="R10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29">
        <f>IF(AND(NOT(ISBLANK(ReconciliationData[[#This Row],[Contract_Price]])),ReconciliationData[[#This Row],[Billed_Price]]&lt;&gt;ReconciliationData[[#This Row],[Contract_Price]]),1,0)</f>
        <v>0</v>
      </c>
      <c r="T1029">
        <f>IF(AND(NOT(ISBLANK(ReconciliationData[[#This Row],[End_Date]])),ReconciliationData[[#This Row],[Order_Date]]&gt;ReconciliationData[[#This Row],[End_Date]]),1,0)</f>
        <v>0</v>
      </c>
      <c r="U1029">
        <f>IF(AND(NOT(ISBLANK(ReconciliationData[[#This Row],[last_return_date]])),ReconciliationData[[#This Row],[last_return_date]]&gt;ReconciliationData[[#This Row],[Order_Date]]+60),1,0)</f>
        <v>0</v>
      </c>
      <c r="V1029">
        <f>IF(ReconciliationData[[#This Row],[total_returned_units]]&gt;ReconciliationData[[#This Row],[ordered_units]],1,0)</f>
        <v>0</v>
      </c>
      <c r="W10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29">
        <f>ReconciliationData[[#This Row],[Billed_Units]]*ReconciliationData[[#This Row],[Billed_Price]]</f>
        <v>104.37</v>
      </c>
      <c r="Y1029">
        <f>ReconciliationData[[#This Row],[ordered_units]]*ReconciliationData[[#This Row],[List_Price]]</f>
        <v>104.37</v>
      </c>
      <c r="Z1029">
        <f>ReconciliationData[[#This Row],[billed_revenue]]-ReconciliationData[[#This Row],[expected_revenue]]</f>
        <v>0</v>
      </c>
      <c r="AA10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29" t="str">
        <f>IF(ReconciliationData[[#This Row],[severity_score]]=0,"LOW",
 IF(ReconciliationData[[#This Row],[severity_score]]&lt;=5,"MEDIUM","HIGH"))</f>
        <v>LOW</v>
      </c>
      <c r="AC1029" t="str">
        <f>TEXT(ReconciliationData[[#This Row],[Order_Date]],"YYYY-MM")</f>
        <v>2024-07</v>
      </c>
    </row>
    <row r="1030" spans="1:29">
      <c r="A1030" t="s">
        <v>3059</v>
      </c>
      <c r="B1030" s="1">
        <v>45001</v>
      </c>
      <c r="C1030" t="s">
        <v>3060</v>
      </c>
      <c r="D1030" t="s">
        <v>841</v>
      </c>
      <c r="E1030">
        <v>61</v>
      </c>
      <c r="F1030" t="s">
        <v>3061</v>
      </c>
      <c r="G1030">
        <v>61</v>
      </c>
      <c r="H1030">
        <v>171.78</v>
      </c>
      <c r="N1030">
        <v>171.78</v>
      </c>
      <c r="O1030" s="1">
        <v>44598</v>
      </c>
      <c r="P1030">
        <f>IF(ISBLANK(ReconciliationData[[#This Row],[Invoice_ID]]),1,0)</f>
        <v>0</v>
      </c>
      <c r="Q1030">
        <f>IF(AND(NOT(ISBLANK(ReconciliationData[[#This Row],[Billed_Units]])),ReconciliationData[[#This Row],[ordered_units]]&lt;&gt;ReconciliationData[[#This Row],[Billed_Units]]),1,0)</f>
        <v>0</v>
      </c>
      <c r="R10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0">
        <f>IF(AND(NOT(ISBLANK(ReconciliationData[[#This Row],[Contract_Price]])),ReconciliationData[[#This Row],[Billed_Price]]&lt;&gt;ReconciliationData[[#This Row],[Contract_Price]]),1,0)</f>
        <v>0</v>
      </c>
      <c r="T1030">
        <f>IF(AND(NOT(ISBLANK(ReconciliationData[[#This Row],[End_Date]])),ReconciliationData[[#This Row],[Order_Date]]&gt;ReconciliationData[[#This Row],[End_Date]]),1,0)</f>
        <v>0</v>
      </c>
      <c r="U1030">
        <f>IF(AND(NOT(ISBLANK(ReconciliationData[[#This Row],[last_return_date]])),ReconciliationData[[#This Row],[last_return_date]]&gt;ReconciliationData[[#This Row],[Order_Date]]+60),1,0)</f>
        <v>0</v>
      </c>
      <c r="V1030">
        <f>IF(ReconciliationData[[#This Row],[total_returned_units]]&gt;ReconciliationData[[#This Row],[ordered_units]],1,0)</f>
        <v>0</v>
      </c>
      <c r="W10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30">
        <f>ReconciliationData[[#This Row],[Billed_Units]]*ReconciliationData[[#This Row],[Billed_Price]]</f>
        <v>10478.58</v>
      </c>
      <c r="Y1030">
        <f>ReconciliationData[[#This Row],[ordered_units]]*ReconciliationData[[#This Row],[List_Price]]</f>
        <v>10478.58</v>
      </c>
      <c r="Z1030">
        <f>ReconciliationData[[#This Row],[billed_revenue]]-ReconciliationData[[#This Row],[expected_revenue]]</f>
        <v>0</v>
      </c>
      <c r="AA10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30" t="str">
        <f>IF(ReconciliationData[[#This Row],[severity_score]]=0,"LOW",
 IF(ReconciliationData[[#This Row],[severity_score]]&lt;=5,"MEDIUM","HIGH"))</f>
        <v>LOW</v>
      </c>
      <c r="AC1030" t="str">
        <f>TEXT(ReconciliationData[[#This Row],[Order_Date]],"YYYY-MM")</f>
        <v>2023-03</v>
      </c>
    </row>
    <row r="1031" spans="1:29">
      <c r="A1031" t="s">
        <v>3062</v>
      </c>
      <c r="B1031" s="1">
        <v>45378</v>
      </c>
      <c r="C1031" t="s">
        <v>3063</v>
      </c>
      <c r="D1031" t="s">
        <v>1382</v>
      </c>
      <c r="E1031">
        <v>54</v>
      </c>
      <c r="F1031" t="s">
        <v>3064</v>
      </c>
      <c r="G1031">
        <v>54</v>
      </c>
      <c r="H1031">
        <v>82.026000000000025</v>
      </c>
      <c r="I1031">
        <v>9</v>
      </c>
      <c r="J1031" s="1">
        <v>44962</v>
      </c>
      <c r="N1031">
        <v>82.026000000000025</v>
      </c>
      <c r="O1031" s="1">
        <v>45061</v>
      </c>
      <c r="P1031">
        <f>IF(ISBLANK(ReconciliationData[[#This Row],[Invoice_ID]]),1,0)</f>
        <v>0</v>
      </c>
      <c r="Q1031">
        <f>IF(AND(NOT(ISBLANK(ReconciliationData[[#This Row],[Billed_Units]])),ReconciliationData[[#This Row],[ordered_units]]&lt;&gt;ReconciliationData[[#This Row],[Billed_Units]]),1,0)</f>
        <v>0</v>
      </c>
      <c r="R10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1">
        <f>IF(AND(NOT(ISBLANK(ReconciliationData[[#This Row],[Contract_Price]])),ReconciliationData[[#This Row],[Billed_Price]]&lt;&gt;ReconciliationData[[#This Row],[Contract_Price]]),1,0)</f>
        <v>0</v>
      </c>
      <c r="T1031">
        <f>IF(AND(NOT(ISBLANK(ReconciliationData[[#This Row],[End_Date]])),ReconciliationData[[#This Row],[Order_Date]]&gt;ReconciliationData[[#This Row],[End_Date]]),1,0)</f>
        <v>0</v>
      </c>
      <c r="U1031">
        <f>IF(AND(NOT(ISBLANK(ReconciliationData[[#This Row],[last_return_date]])),ReconciliationData[[#This Row],[last_return_date]]&gt;ReconciliationData[[#This Row],[Order_Date]]+60),1,0)</f>
        <v>0</v>
      </c>
      <c r="V1031">
        <f>IF(ReconciliationData[[#This Row],[total_returned_units]]&gt;ReconciliationData[[#This Row],[ordered_units]],1,0)</f>
        <v>0</v>
      </c>
      <c r="W10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31">
        <f>ReconciliationData[[#This Row],[Billed_Units]]*ReconciliationData[[#This Row],[Billed_Price]]</f>
        <v>4429.4040000000014</v>
      </c>
      <c r="Y1031">
        <f>ReconciliationData[[#This Row],[ordered_units]]*ReconciliationData[[#This Row],[List_Price]]</f>
        <v>4429.4040000000014</v>
      </c>
      <c r="Z1031">
        <f>ReconciliationData[[#This Row],[billed_revenue]]-ReconciliationData[[#This Row],[expected_revenue]]</f>
        <v>0</v>
      </c>
      <c r="AA10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31" t="str">
        <f>IF(ReconciliationData[[#This Row],[severity_score]]=0,"LOW",
 IF(ReconciliationData[[#This Row],[severity_score]]&lt;=5,"MEDIUM","HIGH"))</f>
        <v>LOW</v>
      </c>
      <c r="AC1031" t="str">
        <f>TEXT(ReconciliationData[[#This Row],[Order_Date]],"YYYY-MM")</f>
        <v>2024-03</v>
      </c>
    </row>
    <row r="1032" spans="1:29">
      <c r="A1032" t="s">
        <v>3065</v>
      </c>
      <c r="B1032" s="1">
        <v>45159</v>
      </c>
      <c r="C1032" t="s">
        <v>3066</v>
      </c>
      <c r="D1032" t="s">
        <v>216</v>
      </c>
      <c r="E1032">
        <v>85</v>
      </c>
      <c r="F1032" t="s">
        <v>3067</v>
      </c>
      <c r="G1032">
        <v>85</v>
      </c>
      <c r="H1032">
        <v>1046.6099999999999</v>
      </c>
      <c r="N1032">
        <v>1046.6099999999999</v>
      </c>
      <c r="O1032" s="1">
        <v>44940</v>
      </c>
      <c r="P1032">
        <f>IF(ISBLANK(ReconciliationData[[#This Row],[Invoice_ID]]),1,0)</f>
        <v>0</v>
      </c>
      <c r="Q1032">
        <f>IF(AND(NOT(ISBLANK(ReconciliationData[[#This Row],[Billed_Units]])),ReconciliationData[[#This Row],[ordered_units]]&lt;&gt;ReconciliationData[[#This Row],[Billed_Units]]),1,0)</f>
        <v>0</v>
      </c>
      <c r="R10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2">
        <f>IF(AND(NOT(ISBLANK(ReconciliationData[[#This Row],[Contract_Price]])),ReconciliationData[[#This Row],[Billed_Price]]&lt;&gt;ReconciliationData[[#This Row],[Contract_Price]]),1,0)</f>
        <v>0</v>
      </c>
      <c r="T1032">
        <f>IF(AND(NOT(ISBLANK(ReconciliationData[[#This Row],[End_Date]])),ReconciliationData[[#This Row],[Order_Date]]&gt;ReconciliationData[[#This Row],[End_Date]]),1,0)</f>
        <v>0</v>
      </c>
      <c r="U1032">
        <f>IF(AND(NOT(ISBLANK(ReconciliationData[[#This Row],[last_return_date]])),ReconciliationData[[#This Row],[last_return_date]]&gt;ReconciliationData[[#This Row],[Order_Date]]+60),1,0)</f>
        <v>0</v>
      </c>
      <c r="V1032">
        <f>IF(ReconciliationData[[#This Row],[total_returned_units]]&gt;ReconciliationData[[#This Row],[ordered_units]],1,0)</f>
        <v>0</v>
      </c>
      <c r="W10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32">
        <f>ReconciliationData[[#This Row],[Billed_Units]]*ReconciliationData[[#This Row],[Billed_Price]]</f>
        <v>88961.849999999991</v>
      </c>
      <c r="Y1032">
        <f>ReconciliationData[[#This Row],[ordered_units]]*ReconciliationData[[#This Row],[List_Price]]</f>
        <v>88961.849999999991</v>
      </c>
      <c r="Z1032">
        <f>ReconciliationData[[#This Row],[billed_revenue]]-ReconciliationData[[#This Row],[expected_revenue]]</f>
        <v>0</v>
      </c>
      <c r="AA10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32" t="str">
        <f>IF(ReconciliationData[[#This Row],[severity_score]]=0,"LOW",
 IF(ReconciliationData[[#This Row],[severity_score]]&lt;=5,"MEDIUM","HIGH"))</f>
        <v>LOW</v>
      </c>
      <c r="AC1032" t="str">
        <f>TEXT(ReconciliationData[[#This Row],[Order_Date]],"YYYY-MM")</f>
        <v>2023-08</v>
      </c>
    </row>
    <row r="1033" spans="1:29">
      <c r="A1033" t="s">
        <v>3068</v>
      </c>
      <c r="B1033" s="1">
        <v>45285</v>
      </c>
      <c r="C1033" t="s">
        <v>448</v>
      </c>
      <c r="D1033" t="s">
        <v>577</v>
      </c>
      <c r="E1033">
        <v>118</v>
      </c>
      <c r="F1033" t="s">
        <v>3069</v>
      </c>
      <c r="G1033">
        <v>118</v>
      </c>
      <c r="H1033">
        <v>1093.1199999999999</v>
      </c>
      <c r="I1033">
        <v>8</v>
      </c>
      <c r="J1033" s="1">
        <v>45467</v>
      </c>
      <c r="N1033">
        <v>1093.1199999999999</v>
      </c>
      <c r="O1033" s="1">
        <v>45035</v>
      </c>
      <c r="P1033">
        <f>IF(ISBLANK(ReconciliationData[[#This Row],[Invoice_ID]]),1,0)</f>
        <v>0</v>
      </c>
      <c r="Q1033">
        <f>IF(AND(NOT(ISBLANK(ReconciliationData[[#This Row],[Billed_Units]])),ReconciliationData[[#This Row],[ordered_units]]&lt;&gt;ReconciliationData[[#This Row],[Billed_Units]]),1,0)</f>
        <v>0</v>
      </c>
      <c r="R10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3">
        <f>IF(AND(NOT(ISBLANK(ReconciliationData[[#This Row],[Contract_Price]])),ReconciliationData[[#This Row],[Billed_Price]]&lt;&gt;ReconciliationData[[#This Row],[Contract_Price]]),1,0)</f>
        <v>0</v>
      </c>
      <c r="T1033">
        <f>IF(AND(NOT(ISBLANK(ReconciliationData[[#This Row],[End_Date]])),ReconciliationData[[#This Row],[Order_Date]]&gt;ReconciliationData[[#This Row],[End_Date]]),1,0)</f>
        <v>0</v>
      </c>
      <c r="U1033">
        <f>IF(AND(NOT(ISBLANK(ReconciliationData[[#This Row],[last_return_date]])),ReconciliationData[[#This Row],[last_return_date]]&gt;ReconciliationData[[#This Row],[Order_Date]]+60),1,0)</f>
        <v>1</v>
      </c>
      <c r="V1033">
        <f>IF(ReconciliationData[[#This Row],[total_returned_units]]&gt;ReconciliationData[[#This Row],[ordered_units]],1,0)</f>
        <v>0</v>
      </c>
      <c r="W10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33">
        <f>ReconciliationData[[#This Row],[Billed_Units]]*ReconciliationData[[#This Row],[Billed_Price]]</f>
        <v>128988.15999999999</v>
      </c>
      <c r="Y1033">
        <f>ReconciliationData[[#This Row],[ordered_units]]*ReconciliationData[[#This Row],[List_Price]]</f>
        <v>128988.15999999999</v>
      </c>
      <c r="Z1033">
        <f>ReconciliationData[[#This Row],[billed_revenue]]-ReconciliationData[[#This Row],[expected_revenue]]</f>
        <v>0</v>
      </c>
      <c r="AA10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033" t="str">
        <f>IF(ReconciliationData[[#This Row],[severity_score]]=0,"LOW",
 IF(ReconciliationData[[#This Row],[severity_score]]&lt;=5,"MEDIUM","HIGH"))</f>
        <v>MEDIUM</v>
      </c>
      <c r="AC1033" t="str">
        <f>TEXT(ReconciliationData[[#This Row],[Order_Date]],"YYYY-MM")</f>
        <v>2023-12</v>
      </c>
    </row>
    <row r="1034" spans="1:29">
      <c r="A1034" t="s">
        <v>3070</v>
      </c>
      <c r="B1034" s="1">
        <v>45472</v>
      </c>
      <c r="C1034" t="s">
        <v>426</v>
      </c>
      <c r="D1034" t="s">
        <v>275</v>
      </c>
      <c r="E1034">
        <v>114</v>
      </c>
      <c r="F1034" t="s">
        <v>3071</v>
      </c>
      <c r="G1034">
        <v>114</v>
      </c>
      <c r="H1034">
        <v>397.19560000000001</v>
      </c>
      <c r="N1034">
        <v>397.19560000000001</v>
      </c>
      <c r="O1034" s="1">
        <v>44932</v>
      </c>
      <c r="P1034">
        <f>IF(ISBLANK(ReconciliationData[[#This Row],[Invoice_ID]]),1,0)</f>
        <v>0</v>
      </c>
      <c r="Q1034">
        <f>IF(AND(NOT(ISBLANK(ReconciliationData[[#This Row],[Billed_Units]])),ReconciliationData[[#This Row],[ordered_units]]&lt;&gt;ReconciliationData[[#This Row],[Billed_Units]]),1,0)</f>
        <v>0</v>
      </c>
      <c r="R10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4">
        <f>IF(AND(NOT(ISBLANK(ReconciliationData[[#This Row],[Contract_Price]])),ReconciliationData[[#This Row],[Billed_Price]]&lt;&gt;ReconciliationData[[#This Row],[Contract_Price]]),1,0)</f>
        <v>0</v>
      </c>
      <c r="T1034">
        <f>IF(AND(NOT(ISBLANK(ReconciliationData[[#This Row],[End_Date]])),ReconciliationData[[#This Row],[Order_Date]]&gt;ReconciliationData[[#This Row],[End_Date]]),1,0)</f>
        <v>0</v>
      </c>
      <c r="U1034">
        <f>IF(AND(NOT(ISBLANK(ReconciliationData[[#This Row],[last_return_date]])),ReconciliationData[[#This Row],[last_return_date]]&gt;ReconciliationData[[#This Row],[Order_Date]]+60),1,0)</f>
        <v>0</v>
      </c>
      <c r="V1034">
        <f>IF(ReconciliationData[[#This Row],[total_returned_units]]&gt;ReconciliationData[[#This Row],[ordered_units]],1,0)</f>
        <v>0</v>
      </c>
      <c r="W10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34">
        <f>ReconciliationData[[#This Row],[Billed_Units]]*ReconciliationData[[#This Row],[Billed_Price]]</f>
        <v>45280.2984</v>
      </c>
      <c r="Y1034">
        <f>ReconciliationData[[#This Row],[ordered_units]]*ReconciliationData[[#This Row],[List_Price]]</f>
        <v>45280.2984</v>
      </c>
      <c r="Z1034">
        <f>ReconciliationData[[#This Row],[billed_revenue]]-ReconciliationData[[#This Row],[expected_revenue]]</f>
        <v>0</v>
      </c>
      <c r="AA10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34" t="str">
        <f>IF(ReconciliationData[[#This Row],[severity_score]]=0,"LOW",
 IF(ReconciliationData[[#This Row],[severity_score]]&lt;=5,"MEDIUM","HIGH"))</f>
        <v>LOW</v>
      </c>
      <c r="AC1034" t="str">
        <f>TEXT(ReconciliationData[[#This Row],[Order_Date]],"YYYY-MM")</f>
        <v>2024-06</v>
      </c>
    </row>
    <row r="1035" spans="1:29">
      <c r="A1035" t="s">
        <v>3072</v>
      </c>
      <c r="B1035" s="1">
        <v>45572</v>
      </c>
      <c r="C1035" t="s">
        <v>3073</v>
      </c>
      <c r="D1035" t="s">
        <v>1848</v>
      </c>
      <c r="E1035">
        <v>68</v>
      </c>
      <c r="F1035" t="s">
        <v>3074</v>
      </c>
      <c r="G1035">
        <v>68</v>
      </c>
      <c r="H1035">
        <v>92.962000000000003</v>
      </c>
      <c r="N1035">
        <v>92.962000000000003</v>
      </c>
      <c r="O1035" s="1">
        <v>45151</v>
      </c>
      <c r="P1035">
        <f>IF(ISBLANK(ReconciliationData[[#This Row],[Invoice_ID]]),1,0)</f>
        <v>0</v>
      </c>
      <c r="Q1035">
        <f>IF(AND(NOT(ISBLANK(ReconciliationData[[#This Row],[Billed_Units]])),ReconciliationData[[#This Row],[ordered_units]]&lt;&gt;ReconciliationData[[#This Row],[Billed_Units]]),1,0)</f>
        <v>0</v>
      </c>
      <c r="R10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5">
        <f>IF(AND(NOT(ISBLANK(ReconciliationData[[#This Row],[Contract_Price]])),ReconciliationData[[#This Row],[Billed_Price]]&lt;&gt;ReconciliationData[[#This Row],[Contract_Price]]),1,0)</f>
        <v>0</v>
      </c>
      <c r="T1035">
        <f>IF(AND(NOT(ISBLANK(ReconciliationData[[#This Row],[End_Date]])),ReconciliationData[[#This Row],[Order_Date]]&gt;ReconciliationData[[#This Row],[End_Date]]),1,0)</f>
        <v>0</v>
      </c>
      <c r="U1035">
        <f>IF(AND(NOT(ISBLANK(ReconciliationData[[#This Row],[last_return_date]])),ReconciliationData[[#This Row],[last_return_date]]&gt;ReconciliationData[[#This Row],[Order_Date]]+60),1,0)</f>
        <v>0</v>
      </c>
      <c r="V1035">
        <f>IF(ReconciliationData[[#This Row],[total_returned_units]]&gt;ReconciliationData[[#This Row],[ordered_units]],1,0)</f>
        <v>0</v>
      </c>
      <c r="W10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35">
        <f>ReconciliationData[[#This Row],[Billed_Units]]*ReconciliationData[[#This Row],[Billed_Price]]</f>
        <v>6321.4160000000002</v>
      </c>
      <c r="Y1035">
        <f>ReconciliationData[[#This Row],[ordered_units]]*ReconciliationData[[#This Row],[List_Price]]</f>
        <v>6321.4160000000002</v>
      </c>
      <c r="Z1035">
        <f>ReconciliationData[[#This Row],[billed_revenue]]-ReconciliationData[[#This Row],[expected_revenue]]</f>
        <v>0</v>
      </c>
      <c r="AA10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35" t="str">
        <f>IF(ReconciliationData[[#This Row],[severity_score]]=0,"LOW",
 IF(ReconciliationData[[#This Row],[severity_score]]&lt;=5,"MEDIUM","HIGH"))</f>
        <v>LOW</v>
      </c>
      <c r="AC1035" t="str">
        <f>TEXT(ReconciliationData[[#This Row],[Order_Date]],"YYYY-MM")</f>
        <v>2024-10</v>
      </c>
    </row>
    <row r="1036" spans="1:29">
      <c r="A1036" t="s">
        <v>3075</v>
      </c>
      <c r="B1036" s="1">
        <v>45619</v>
      </c>
      <c r="C1036" t="s">
        <v>3076</v>
      </c>
      <c r="D1036" t="s">
        <v>1583</v>
      </c>
      <c r="E1036">
        <v>42</v>
      </c>
      <c r="F1036" t="s">
        <v>3077</v>
      </c>
      <c r="G1036">
        <v>42</v>
      </c>
      <c r="H1036">
        <v>1182.1740000000002</v>
      </c>
      <c r="N1036">
        <v>1182.1740000000002</v>
      </c>
      <c r="O1036" s="1">
        <v>45130</v>
      </c>
      <c r="P1036">
        <f>IF(ISBLANK(ReconciliationData[[#This Row],[Invoice_ID]]),1,0)</f>
        <v>0</v>
      </c>
      <c r="Q1036">
        <f>IF(AND(NOT(ISBLANK(ReconciliationData[[#This Row],[Billed_Units]])),ReconciliationData[[#This Row],[ordered_units]]&lt;&gt;ReconciliationData[[#This Row],[Billed_Units]]),1,0)</f>
        <v>0</v>
      </c>
      <c r="R10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6">
        <f>IF(AND(NOT(ISBLANK(ReconciliationData[[#This Row],[Contract_Price]])),ReconciliationData[[#This Row],[Billed_Price]]&lt;&gt;ReconciliationData[[#This Row],[Contract_Price]]),1,0)</f>
        <v>0</v>
      </c>
      <c r="T1036">
        <f>IF(AND(NOT(ISBLANK(ReconciliationData[[#This Row],[End_Date]])),ReconciliationData[[#This Row],[Order_Date]]&gt;ReconciliationData[[#This Row],[End_Date]]),1,0)</f>
        <v>0</v>
      </c>
      <c r="U1036">
        <f>IF(AND(NOT(ISBLANK(ReconciliationData[[#This Row],[last_return_date]])),ReconciliationData[[#This Row],[last_return_date]]&gt;ReconciliationData[[#This Row],[Order_Date]]+60),1,0)</f>
        <v>0</v>
      </c>
      <c r="V1036">
        <f>IF(ReconciliationData[[#This Row],[total_returned_units]]&gt;ReconciliationData[[#This Row],[ordered_units]],1,0)</f>
        <v>0</v>
      </c>
      <c r="W10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36">
        <f>ReconciliationData[[#This Row],[Billed_Units]]*ReconciliationData[[#This Row],[Billed_Price]]</f>
        <v>49651.308000000012</v>
      </c>
      <c r="Y1036">
        <f>ReconciliationData[[#This Row],[ordered_units]]*ReconciliationData[[#This Row],[List_Price]]</f>
        <v>49651.308000000012</v>
      </c>
      <c r="Z1036">
        <f>ReconciliationData[[#This Row],[billed_revenue]]-ReconciliationData[[#This Row],[expected_revenue]]</f>
        <v>0</v>
      </c>
      <c r="AA10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36" t="str">
        <f>IF(ReconciliationData[[#This Row],[severity_score]]=0,"LOW",
 IF(ReconciliationData[[#This Row],[severity_score]]&lt;=5,"MEDIUM","HIGH"))</f>
        <v>LOW</v>
      </c>
      <c r="AC1036" t="str">
        <f>TEXT(ReconciliationData[[#This Row],[Order_Date]],"YYYY-MM")</f>
        <v>2024-11</v>
      </c>
    </row>
    <row r="1037" spans="1:29">
      <c r="A1037" t="s">
        <v>3078</v>
      </c>
      <c r="B1037" s="1">
        <v>45646</v>
      </c>
      <c r="C1037" t="s">
        <v>149</v>
      </c>
      <c r="D1037" t="s">
        <v>138</v>
      </c>
      <c r="E1037">
        <v>173</v>
      </c>
      <c r="F1037" t="s">
        <v>3079</v>
      </c>
      <c r="G1037">
        <v>173</v>
      </c>
      <c r="H1037">
        <v>444.22</v>
      </c>
      <c r="N1037">
        <v>444.22</v>
      </c>
      <c r="O1037" s="1">
        <v>45074</v>
      </c>
      <c r="P1037">
        <f>IF(ISBLANK(ReconciliationData[[#This Row],[Invoice_ID]]),1,0)</f>
        <v>0</v>
      </c>
      <c r="Q1037">
        <f>IF(AND(NOT(ISBLANK(ReconciliationData[[#This Row],[Billed_Units]])),ReconciliationData[[#This Row],[ordered_units]]&lt;&gt;ReconciliationData[[#This Row],[Billed_Units]]),1,0)</f>
        <v>0</v>
      </c>
      <c r="R10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7">
        <f>IF(AND(NOT(ISBLANK(ReconciliationData[[#This Row],[Contract_Price]])),ReconciliationData[[#This Row],[Billed_Price]]&lt;&gt;ReconciliationData[[#This Row],[Contract_Price]]),1,0)</f>
        <v>0</v>
      </c>
      <c r="T1037">
        <f>IF(AND(NOT(ISBLANK(ReconciliationData[[#This Row],[End_Date]])),ReconciliationData[[#This Row],[Order_Date]]&gt;ReconciliationData[[#This Row],[End_Date]]),1,0)</f>
        <v>0</v>
      </c>
      <c r="U1037">
        <f>IF(AND(NOT(ISBLANK(ReconciliationData[[#This Row],[last_return_date]])),ReconciliationData[[#This Row],[last_return_date]]&gt;ReconciliationData[[#This Row],[Order_Date]]+60),1,0)</f>
        <v>0</v>
      </c>
      <c r="V1037">
        <f>IF(ReconciliationData[[#This Row],[total_returned_units]]&gt;ReconciliationData[[#This Row],[ordered_units]],1,0)</f>
        <v>0</v>
      </c>
      <c r="W10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37">
        <f>ReconciliationData[[#This Row],[Billed_Units]]*ReconciliationData[[#This Row],[Billed_Price]]</f>
        <v>76850.06</v>
      </c>
      <c r="Y1037">
        <f>ReconciliationData[[#This Row],[ordered_units]]*ReconciliationData[[#This Row],[List_Price]]</f>
        <v>76850.06</v>
      </c>
      <c r="Z1037">
        <f>ReconciliationData[[#This Row],[billed_revenue]]-ReconciliationData[[#This Row],[expected_revenue]]</f>
        <v>0</v>
      </c>
      <c r="AA10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37" t="str">
        <f>IF(ReconciliationData[[#This Row],[severity_score]]=0,"LOW",
 IF(ReconciliationData[[#This Row],[severity_score]]&lt;=5,"MEDIUM","HIGH"))</f>
        <v>LOW</v>
      </c>
      <c r="AC1037" t="str">
        <f>TEXT(ReconciliationData[[#This Row],[Order_Date]],"YYYY-MM")</f>
        <v>2024-12</v>
      </c>
    </row>
    <row r="1038" spans="1:29">
      <c r="A1038" t="s">
        <v>3080</v>
      </c>
      <c r="B1038" s="1">
        <v>45164</v>
      </c>
      <c r="C1038" t="s">
        <v>3081</v>
      </c>
      <c r="D1038" t="s">
        <v>577</v>
      </c>
      <c r="E1038">
        <v>98</v>
      </c>
      <c r="F1038" t="s">
        <v>3082</v>
      </c>
      <c r="G1038">
        <v>98</v>
      </c>
      <c r="H1038">
        <v>1093.1199999999999</v>
      </c>
      <c r="N1038">
        <v>1093.1199999999999</v>
      </c>
      <c r="O1038" s="1">
        <v>45035</v>
      </c>
      <c r="P1038">
        <f>IF(ISBLANK(ReconciliationData[[#This Row],[Invoice_ID]]),1,0)</f>
        <v>0</v>
      </c>
      <c r="Q1038">
        <f>IF(AND(NOT(ISBLANK(ReconciliationData[[#This Row],[Billed_Units]])),ReconciliationData[[#This Row],[ordered_units]]&lt;&gt;ReconciliationData[[#This Row],[Billed_Units]]),1,0)</f>
        <v>0</v>
      </c>
      <c r="R10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8">
        <f>IF(AND(NOT(ISBLANK(ReconciliationData[[#This Row],[Contract_Price]])),ReconciliationData[[#This Row],[Billed_Price]]&lt;&gt;ReconciliationData[[#This Row],[Contract_Price]]),1,0)</f>
        <v>0</v>
      </c>
      <c r="T1038">
        <f>IF(AND(NOT(ISBLANK(ReconciliationData[[#This Row],[End_Date]])),ReconciliationData[[#This Row],[Order_Date]]&gt;ReconciliationData[[#This Row],[End_Date]]),1,0)</f>
        <v>0</v>
      </c>
      <c r="U1038">
        <f>IF(AND(NOT(ISBLANK(ReconciliationData[[#This Row],[last_return_date]])),ReconciliationData[[#This Row],[last_return_date]]&gt;ReconciliationData[[#This Row],[Order_Date]]+60),1,0)</f>
        <v>0</v>
      </c>
      <c r="V1038">
        <f>IF(ReconciliationData[[#This Row],[total_returned_units]]&gt;ReconciliationData[[#This Row],[ordered_units]],1,0)</f>
        <v>0</v>
      </c>
      <c r="W10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38">
        <f>ReconciliationData[[#This Row],[Billed_Units]]*ReconciliationData[[#This Row],[Billed_Price]]</f>
        <v>107125.75999999999</v>
      </c>
      <c r="Y1038">
        <f>ReconciliationData[[#This Row],[ordered_units]]*ReconciliationData[[#This Row],[List_Price]]</f>
        <v>107125.75999999999</v>
      </c>
      <c r="Z1038">
        <f>ReconciliationData[[#This Row],[billed_revenue]]-ReconciliationData[[#This Row],[expected_revenue]]</f>
        <v>0</v>
      </c>
      <c r="AA10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38" t="str">
        <f>IF(ReconciliationData[[#This Row],[severity_score]]=0,"LOW",
 IF(ReconciliationData[[#This Row],[severity_score]]&lt;=5,"MEDIUM","HIGH"))</f>
        <v>LOW</v>
      </c>
      <c r="AC1038" t="str">
        <f>TEXT(ReconciliationData[[#This Row],[Order_Date]],"YYYY-MM")</f>
        <v>2023-08</v>
      </c>
    </row>
    <row r="1039" spans="1:29">
      <c r="A1039" t="s">
        <v>3083</v>
      </c>
      <c r="B1039" s="1">
        <v>45139</v>
      </c>
      <c r="C1039" t="s">
        <v>3084</v>
      </c>
      <c r="D1039" t="s">
        <v>2101</v>
      </c>
      <c r="E1039">
        <v>190</v>
      </c>
      <c r="F1039" t="s">
        <v>3085</v>
      </c>
      <c r="G1039">
        <v>193</v>
      </c>
      <c r="H1039">
        <v>228.45</v>
      </c>
      <c r="N1039">
        <v>228.45</v>
      </c>
      <c r="O1039" s="1">
        <v>44968</v>
      </c>
      <c r="P1039">
        <f>IF(ISBLANK(ReconciliationData[[#This Row],[Invoice_ID]]),1,0)</f>
        <v>0</v>
      </c>
      <c r="Q1039">
        <f>IF(AND(NOT(ISBLANK(ReconciliationData[[#This Row],[Billed_Units]])),ReconciliationData[[#This Row],[ordered_units]]&lt;&gt;ReconciliationData[[#This Row],[Billed_Units]]),1,0)</f>
        <v>1</v>
      </c>
      <c r="R10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39">
        <f>IF(AND(NOT(ISBLANK(ReconciliationData[[#This Row],[Contract_Price]])),ReconciliationData[[#This Row],[Billed_Price]]&lt;&gt;ReconciliationData[[#This Row],[Contract_Price]]),1,0)</f>
        <v>0</v>
      </c>
      <c r="T1039">
        <f>IF(AND(NOT(ISBLANK(ReconciliationData[[#This Row],[End_Date]])),ReconciliationData[[#This Row],[Order_Date]]&gt;ReconciliationData[[#This Row],[End_Date]]),1,0)</f>
        <v>0</v>
      </c>
      <c r="U1039">
        <f>IF(AND(NOT(ISBLANK(ReconciliationData[[#This Row],[last_return_date]])),ReconciliationData[[#This Row],[last_return_date]]&gt;ReconciliationData[[#This Row],[Order_Date]]+60),1,0)</f>
        <v>0</v>
      </c>
      <c r="V1039">
        <f>IF(ReconciliationData[[#This Row],[total_returned_units]]&gt;ReconciliationData[[#This Row],[ordered_units]],1,0)</f>
        <v>0</v>
      </c>
      <c r="W10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39">
        <f>ReconciliationData[[#This Row],[Billed_Units]]*ReconciliationData[[#This Row],[Billed_Price]]</f>
        <v>44090.85</v>
      </c>
      <c r="Y1039">
        <f>ReconciliationData[[#This Row],[ordered_units]]*ReconciliationData[[#This Row],[List_Price]]</f>
        <v>43405.5</v>
      </c>
      <c r="Z1039">
        <f>ReconciliationData[[#This Row],[billed_revenue]]-ReconciliationData[[#This Row],[expected_revenue]]</f>
        <v>685.34999999999854</v>
      </c>
      <c r="AA10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039" t="str">
        <f>IF(ReconciliationData[[#This Row],[severity_score]]=0,"LOW",
 IF(ReconciliationData[[#This Row],[severity_score]]&lt;=5,"MEDIUM","HIGH"))</f>
        <v>HIGH</v>
      </c>
      <c r="AC1039" t="str">
        <f>TEXT(ReconciliationData[[#This Row],[Order_Date]],"YYYY-MM")</f>
        <v>2023-08</v>
      </c>
    </row>
    <row r="1040" spans="1:29">
      <c r="A1040" t="s">
        <v>3086</v>
      </c>
      <c r="B1040" s="1">
        <v>45100</v>
      </c>
      <c r="C1040" t="s">
        <v>3087</v>
      </c>
      <c r="D1040" t="s">
        <v>569</v>
      </c>
      <c r="E1040">
        <v>152</v>
      </c>
      <c r="F1040" t="s">
        <v>3088</v>
      </c>
      <c r="G1040">
        <v>152</v>
      </c>
      <c r="H1040">
        <v>1231.9933000000001</v>
      </c>
      <c r="N1040">
        <v>1231.9933000000001</v>
      </c>
      <c r="O1040" s="1">
        <v>44934</v>
      </c>
      <c r="P1040">
        <f>IF(ISBLANK(ReconciliationData[[#This Row],[Invoice_ID]]),1,0)</f>
        <v>0</v>
      </c>
      <c r="Q1040">
        <f>IF(AND(NOT(ISBLANK(ReconciliationData[[#This Row],[Billed_Units]])),ReconciliationData[[#This Row],[ordered_units]]&lt;&gt;ReconciliationData[[#This Row],[Billed_Units]]),1,0)</f>
        <v>0</v>
      </c>
      <c r="R10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0">
        <f>IF(AND(NOT(ISBLANK(ReconciliationData[[#This Row],[Contract_Price]])),ReconciliationData[[#This Row],[Billed_Price]]&lt;&gt;ReconciliationData[[#This Row],[Contract_Price]]),1,0)</f>
        <v>0</v>
      </c>
      <c r="T1040">
        <f>IF(AND(NOT(ISBLANK(ReconciliationData[[#This Row],[End_Date]])),ReconciliationData[[#This Row],[Order_Date]]&gt;ReconciliationData[[#This Row],[End_Date]]),1,0)</f>
        <v>0</v>
      </c>
      <c r="U1040">
        <f>IF(AND(NOT(ISBLANK(ReconciliationData[[#This Row],[last_return_date]])),ReconciliationData[[#This Row],[last_return_date]]&gt;ReconciliationData[[#This Row],[Order_Date]]+60),1,0)</f>
        <v>0</v>
      </c>
      <c r="V1040">
        <f>IF(ReconciliationData[[#This Row],[total_returned_units]]&gt;ReconciliationData[[#This Row],[ordered_units]],1,0)</f>
        <v>0</v>
      </c>
      <c r="W10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40">
        <f>ReconciliationData[[#This Row],[Billed_Units]]*ReconciliationData[[#This Row],[Billed_Price]]</f>
        <v>187262.9816</v>
      </c>
      <c r="Y1040">
        <f>ReconciliationData[[#This Row],[ordered_units]]*ReconciliationData[[#This Row],[List_Price]]</f>
        <v>187262.9816</v>
      </c>
      <c r="Z1040">
        <f>ReconciliationData[[#This Row],[billed_revenue]]-ReconciliationData[[#This Row],[expected_revenue]]</f>
        <v>0</v>
      </c>
      <c r="AA10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40" t="str">
        <f>IF(ReconciliationData[[#This Row],[severity_score]]=0,"LOW",
 IF(ReconciliationData[[#This Row],[severity_score]]&lt;=5,"MEDIUM","HIGH"))</f>
        <v>LOW</v>
      </c>
      <c r="AC1040" t="str">
        <f>TEXT(ReconciliationData[[#This Row],[Order_Date]],"YYYY-MM")</f>
        <v>2023-06</v>
      </c>
    </row>
    <row r="1041" spans="1:29">
      <c r="A1041" t="s">
        <v>3089</v>
      </c>
      <c r="B1041" s="1">
        <v>45084</v>
      </c>
      <c r="C1041" t="s">
        <v>2302</v>
      </c>
      <c r="D1041" t="s">
        <v>667</v>
      </c>
      <c r="E1041">
        <v>27</v>
      </c>
      <c r="F1041" t="s">
        <v>3090</v>
      </c>
      <c r="G1041">
        <v>27</v>
      </c>
      <c r="H1041">
        <v>989.96579999999994</v>
      </c>
      <c r="N1041">
        <v>989.96579999999994</v>
      </c>
      <c r="O1041" s="1">
        <v>44975</v>
      </c>
      <c r="P1041">
        <f>IF(ISBLANK(ReconciliationData[[#This Row],[Invoice_ID]]),1,0)</f>
        <v>0</v>
      </c>
      <c r="Q1041">
        <f>IF(AND(NOT(ISBLANK(ReconciliationData[[#This Row],[Billed_Units]])),ReconciliationData[[#This Row],[ordered_units]]&lt;&gt;ReconciliationData[[#This Row],[Billed_Units]]),1,0)</f>
        <v>0</v>
      </c>
      <c r="R10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1">
        <f>IF(AND(NOT(ISBLANK(ReconciliationData[[#This Row],[Contract_Price]])),ReconciliationData[[#This Row],[Billed_Price]]&lt;&gt;ReconciliationData[[#This Row],[Contract_Price]]),1,0)</f>
        <v>0</v>
      </c>
      <c r="T1041">
        <f>IF(AND(NOT(ISBLANK(ReconciliationData[[#This Row],[End_Date]])),ReconciliationData[[#This Row],[Order_Date]]&gt;ReconciliationData[[#This Row],[End_Date]]),1,0)</f>
        <v>0</v>
      </c>
      <c r="U1041">
        <f>IF(AND(NOT(ISBLANK(ReconciliationData[[#This Row],[last_return_date]])),ReconciliationData[[#This Row],[last_return_date]]&gt;ReconciliationData[[#This Row],[Order_Date]]+60),1,0)</f>
        <v>0</v>
      </c>
      <c r="V1041">
        <f>IF(ReconciliationData[[#This Row],[total_returned_units]]&gt;ReconciliationData[[#This Row],[ordered_units]],1,0)</f>
        <v>0</v>
      </c>
      <c r="W10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41">
        <f>ReconciliationData[[#This Row],[Billed_Units]]*ReconciliationData[[#This Row],[Billed_Price]]</f>
        <v>26729.0766</v>
      </c>
      <c r="Y1041">
        <f>ReconciliationData[[#This Row],[ordered_units]]*ReconciliationData[[#This Row],[List_Price]]</f>
        <v>26729.0766</v>
      </c>
      <c r="Z1041">
        <f>ReconciliationData[[#This Row],[billed_revenue]]-ReconciliationData[[#This Row],[expected_revenue]]</f>
        <v>0</v>
      </c>
      <c r="AA10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41" t="str">
        <f>IF(ReconciliationData[[#This Row],[severity_score]]=0,"LOW",
 IF(ReconciliationData[[#This Row],[severity_score]]&lt;=5,"MEDIUM","HIGH"))</f>
        <v>LOW</v>
      </c>
      <c r="AC1041" t="str">
        <f>TEXT(ReconciliationData[[#This Row],[Order_Date]],"YYYY-MM")</f>
        <v>2023-06</v>
      </c>
    </row>
    <row r="1042" spans="1:29">
      <c r="A1042" t="s">
        <v>3091</v>
      </c>
      <c r="B1042" s="1">
        <v>45488</v>
      </c>
      <c r="C1042" t="s">
        <v>1505</v>
      </c>
      <c r="D1042" t="s">
        <v>951</v>
      </c>
      <c r="E1042">
        <v>7</v>
      </c>
      <c r="F1042" t="s">
        <v>3092</v>
      </c>
      <c r="G1042">
        <v>7</v>
      </c>
      <c r="H1042">
        <v>571.32999999999993</v>
      </c>
      <c r="N1042">
        <v>571.32999999999993</v>
      </c>
      <c r="O1042" s="1">
        <v>45206</v>
      </c>
      <c r="P1042">
        <f>IF(ISBLANK(ReconciliationData[[#This Row],[Invoice_ID]]),1,0)</f>
        <v>0</v>
      </c>
      <c r="Q1042">
        <f>IF(AND(NOT(ISBLANK(ReconciliationData[[#This Row],[Billed_Units]])),ReconciliationData[[#This Row],[ordered_units]]&lt;&gt;ReconciliationData[[#This Row],[Billed_Units]]),1,0)</f>
        <v>0</v>
      </c>
      <c r="R10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2">
        <f>IF(AND(NOT(ISBLANK(ReconciliationData[[#This Row],[Contract_Price]])),ReconciliationData[[#This Row],[Billed_Price]]&lt;&gt;ReconciliationData[[#This Row],[Contract_Price]]),1,0)</f>
        <v>0</v>
      </c>
      <c r="T1042">
        <f>IF(AND(NOT(ISBLANK(ReconciliationData[[#This Row],[End_Date]])),ReconciliationData[[#This Row],[Order_Date]]&gt;ReconciliationData[[#This Row],[End_Date]]),1,0)</f>
        <v>0</v>
      </c>
      <c r="U1042">
        <f>IF(AND(NOT(ISBLANK(ReconciliationData[[#This Row],[last_return_date]])),ReconciliationData[[#This Row],[last_return_date]]&gt;ReconciliationData[[#This Row],[Order_Date]]+60),1,0)</f>
        <v>0</v>
      </c>
      <c r="V1042">
        <f>IF(ReconciliationData[[#This Row],[total_returned_units]]&gt;ReconciliationData[[#This Row],[ordered_units]],1,0)</f>
        <v>0</v>
      </c>
      <c r="W10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42">
        <f>ReconciliationData[[#This Row],[Billed_Units]]*ReconciliationData[[#This Row],[Billed_Price]]</f>
        <v>3999.3099999999995</v>
      </c>
      <c r="Y1042">
        <f>ReconciliationData[[#This Row],[ordered_units]]*ReconciliationData[[#This Row],[List_Price]]</f>
        <v>3999.3099999999995</v>
      </c>
      <c r="Z1042">
        <f>ReconciliationData[[#This Row],[billed_revenue]]-ReconciliationData[[#This Row],[expected_revenue]]</f>
        <v>0</v>
      </c>
      <c r="AA10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42" t="str">
        <f>IF(ReconciliationData[[#This Row],[severity_score]]=0,"LOW",
 IF(ReconciliationData[[#This Row],[severity_score]]&lt;=5,"MEDIUM","HIGH"))</f>
        <v>LOW</v>
      </c>
      <c r="AC1042" t="str">
        <f>TEXT(ReconciliationData[[#This Row],[Order_Date]],"YYYY-MM")</f>
        <v>2024-07</v>
      </c>
    </row>
    <row r="1043" spans="1:29">
      <c r="A1043" t="s">
        <v>3093</v>
      </c>
      <c r="B1043" s="1">
        <v>44928</v>
      </c>
      <c r="C1043" t="s">
        <v>1351</v>
      </c>
      <c r="D1043" t="s">
        <v>178</v>
      </c>
      <c r="E1043">
        <v>149</v>
      </c>
      <c r="F1043" t="s">
        <v>3094</v>
      </c>
      <c r="G1043">
        <v>149</v>
      </c>
      <c r="H1043">
        <v>634.76160000000004</v>
      </c>
      <c r="N1043">
        <v>634.76160000000004</v>
      </c>
      <c r="O1043" s="1">
        <v>44928</v>
      </c>
      <c r="P1043">
        <f>IF(ISBLANK(ReconciliationData[[#This Row],[Invoice_ID]]),1,0)</f>
        <v>0</v>
      </c>
      <c r="Q1043">
        <f>IF(AND(NOT(ISBLANK(ReconciliationData[[#This Row],[Billed_Units]])),ReconciliationData[[#This Row],[ordered_units]]&lt;&gt;ReconciliationData[[#This Row],[Billed_Units]]),1,0)</f>
        <v>0</v>
      </c>
      <c r="R10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3">
        <f>IF(AND(NOT(ISBLANK(ReconciliationData[[#This Row],[Contract_Price]])),ReconciliationData[[#This Row],[Billed_Price]]&lt;&gt;ReconciliationData[[#This Row],[Contract_Price]]),1,0)</f>
        <v>0</v>
      </c>
      <c r="T1043">
        <f>IF(AND(NOT(ISBLANK(ReconciliationData[[#This Row],[End_Date]])),ReconciliationData[[#This Row],[Order_Date]]&gt;ReconciliationData[[#This Row],[End_Date]]),1,0)</f>
        <v>0</v>
      </c>
      <c r="U1043">
        <f>IF(AND(NOT(ISBLANK(ReconciliationData[[#This Row],[last_return_date]])),ReconciliationData[[#This Row],[last_return_date]]&gt;ReconciliationData[[#This Row],[Order_Date]]+60),1,0)</f>
        <v>0</v>
      </c>
      <c r="V1043">
        <f>IF(ReconciliationData[[#This Row],[total_returned_units]]&gt;ReconciliationData[[#This Row],[ordered_units]],1,0)</f>
        <v>0</v>
      </c>
      <c r="W10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43">
        <f>ReconciliationData[[#This Row],[Billed_Units]]*ReconciliationData[[#This Row],[Billed_Price]]</f>
        <v>94579.478400000007</v>
      </c>
      <c r="Y1043">
        <f>ReconciliationData[[#This Row],[ordered_units]]*ReconciliationData[[#This Row],[List_Price]]</f>
        <v>94579.478400000007</v>
      </c>
      <c r="Z1043">
        <f>ReconciliationData[[#This Row],[billed_revenue]]-ReconciliationData[[#This Row],[expected_revenue]]</f>
        <v>0</v>
      </c>
      <c r="AA10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43" t="str">
        <f>IF(ReconciliationData[[#This Row],[severity_score]]=0,"LOW",
 IF(ReconciliationData[[#This Row],[severity_score]]&lt;=5,"MEDIUM","HIGH"))</f>
        <v>LOW</v>
      </c>
      <c r="AC1043" t="str">
        <f>TEXT(ReconciliationData[[#This Row],[Order_Date]],"YYYY-MM")</f>
        <v>2023-01</v>
      </c>
    </row>
    <row r="1044" spans="1:29">
      <c r="A1044" t="s">
        <v>3095</v>
      </c>
      <c r="B1044" s="1">
        <v>45376</v>
      </c>
      <c r="C1044" t="s">
        <v>1734</v>
      </c>
      <c r="D1044" t="s">
        <v>1567</v>
      </c>
      <c r="E1044">
        <v>189</v>
      </c>
      <c r="F1044" t="s">
        <v>3096</v>
      </c>
      <c r="G1044">
        <v>189</v>
      </c>
      <c r="H1044">
        <v>799.8357000000002</v>
      </c>
      <c r="N1044">
        <v>799.8357000000002</v>
      </c>
      <c r="O1044" s="1">
        <v>45063</v>
      </c>
      <c r="P1044">
        <f>IF(ISBLANK(ReconciliationData[[#This Row],[Invoice_ID]]),1,0)</f>
        <v>0</v>
      </c>
      <c r="Q1044">
        <f>IF(AND(NOT(ISBLANK(ReconciliationData[[#This Row],[Billed_Units]])),ReconciliationData[[#This Row],[ordered_units]]&lt;&gt;ReconciliationData[[#This Row],[Billed_Units]]),1,0)</f>
        <v>0</v>
      </c>
      <c r="R10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4">
        <f>IF(AND(NOT(ISBLANK(ReconciliationData[[#This Row],[Contract_Price]])),ReconciliationData[[#This Row],[Billed_Price]]&lt;&gt;ReconciliationData[[#This Row],[Contract_Price]]),1,0)</f>
        <v>0</v>
      </c>
      <c r="T1044">
        <f>IF(AND(NOT(ISBLANK(ReconciliationData[[#This Row],[End_Date]])),ReconciliationData[[#This Row],[Order_Date]]&gt;ReconciliationData[[#This Row],[End_Date]]),1,0)</f>
        <v>0</v>
      </c>
      <c r="U1044">
        <f>IF(AND(NOT(ISBLANK(ReconciliationData[[#This Row],[last_return_date]])),ReconciliationData[[#This Row],[last_return_date]]&gt;ReconciliationData[[#This Row],[Order_Date]]+60),1,0)</f>
        <v>0</v>
      </c>
      <c r="V1044">
        <f>IF(ReconciliationData[[#This Row],[total_returned_units]]&gt;ReconciliationData[[#This Row],[ordered_units]],1,0)</f>
        <v>0</v>
      </c>
      <c r="W10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44">
        <f>ReconciliationData[[#This Row],[Billed_Units]]*ReconciliationData[[#This Row],[Billed_Price]]</f>
        <v>151168.94730000003</v>
      </c>
      <c r="Y1044">
        <f>ReconciliationData[[#This Row],[ordered_units]]*ReconciliationData[[#This Row],[List_Price]]</f>
        <v>151168.94730000003</v>
      </c>
      <c r="Z1044">
        <f>ReconciliationData[[#This Row],[billed_revenue]]-ReconciliationData[[#This Row],[expected_revenue]]</f>
        <v>0</v>
      </c>
      <c r="AA10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44" t="str">
        <f>IF(ReconciliationData[[#This Row],[severity_score]]=0,"LOW",
 IF(ReconciliationData[[#This Row],[severity_score]]&lt;=5,"MEDIUM","HIGH"))</f>
        <v>LOW</v>
      </c>
      <c r="AC1044" t="str">
        <f>TEXT(ReconciliationData[[#This Row],[Order_Date]],"YYYY-MM")</f>
        <v>2024-03</v>
      </c>
    </row>
    <row r="1045" spans="1:29">
      <c r="A1045" t="s">
        <v>3097</v>
      </c>
      <c r="B1045" s="1">
        <v>45002</v>
      </c>
      <c r="C1045" t="s">
        <v>1552</v>
      </c>
      <c r="D1045" t="s">
        <v>2050</v>
      </c>
      <c r="E1045">
        <v>61</v>
      </c>
      <c r="F1045" t="s">
        <v>3098</v>
      </c>
      <c r="G1045">
        <v>61</v>
      </c>
      <c r="H1045">
        <v>956.22119999999995</v>
      </c>
      <c r="I1045">
        <v>10</v>
      </c>
      <c r="J1045" s="1">
        <v>45624</v>
      </c>
      <c r="N1045">
        <v>956.22119999999995</v>
      </c>
      <c r="O1045" s="1">
        <v>44906</v>
      </c>
      <c r="P1045">
        <f>IF(ISBLANK(ReconciliationData[[#This Row],[Invoice_ID]]),1,0)</f>
        <v>0</v>
      </c>
      <c r="Q1045">
        <f>IF(AND(NOT(ISBLANK(ReconciliationData[[#This Row],[Billed_Units]])),ReconciliationData[[#This Row],[ordered_units]]&lt;&gt;ReconciliationData[[#This Row],[Billed_Units]]),1,0)</f>
        <v>0</v>
      </c>
      <c r="R10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5">
        <f>IF(AND(NOT(ISBLANK(ReconciliationData[[#This Row],[Contract_Price]])),ReconciliationData[[#This Row],[Billed_Price]]&lt;&gt;ReconciliationData[[#This Row],[Contract_Price]]),1,0)</f>
        <v>0</v>
      </c>
      <c r="T1045">
        <f>IF(AND(NOT(ISBLANK(ReconciliationData[[#This Row],[End_Date]])),ReconciliationData[[#This Row],[Order_Date]]&gt;ReconciliationData[[#This Row],[End_Date]]),1,0)</f>
        <v>0</v>
      </c>
      <c r="U1045">
        <f>IF(AND(NOT(ISBLANK(ReconciliationData[[#This Row],[last_return_date]])),ReconciliationData[[#This Row],[last_return_date]]&gt;ReconciliationData[[#This Row],[Order_Date]]+60),1,0)</f>
        <v>1</v>
      </c>
      <c r="V1045">
        <f>IF(ReconciliationData[[#This Row],[total_returned_units]]&gt;ReconciliationData[[#This Row],[ordered_units]],1,0)</f>
        <v>0</v>
      </c>
      <c r="W10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45">
        <f>ReconciliationData[[#This Row],[Billed_Units]]*ReconciliationData[[#This Row],[Billed_Price]]</f>
        <v>58329.493199999997</v>
      </c>
      <c r="Y1045">
        <f>ReconciliationData[[#This Row],[ordered_units]]*ReconciliationData[[#This Row],[List_Price]]</f>
        <v>58329.493199999997</v>
      </c>
      <c r="Z1045">
        <f>ReconciliationData[[#This Row],[billed_revenue]]-ReconciliationData[[#This Row],[expected_revenue]]</f>
        <v>0</v>
      </c>
      <c r="AA10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045" t="str">
        <f>IF(ReconciliationData[[#This Row],[severity_score]]=0,"LOW",
 IF(ReconciliationData[[#This Row],[severity_score]]&lt;=5,"MEDIUM","HIGH"))</f>
        <v>MEDIUM</v>
      </c>
      <c r="AC1045" t="str">
        <f>TEXT(ReconciliationData[[#This Row],[Order_Date]],"YYYY-MM")</f>
        <v>2023-03</v>
      </c>
    </row>
    <row r="1046" spans="1:29">
      <c r="A1046" t="s">
        <v>3099</v>
      </c>
      <c r="B1046" s="1">
        <v>45076</v>
      </c>
      <c r="C1046" t="s">
        <v>290</v>
      </c>
      <c r="D1046" t="s">
        <v>798</v>
      </c>
      <c r="E1046">
        <v>94</v>
      </c>
      <c r="F1046" t="s">
        <v>3100</v>
      </c>
      <c r="G1046">
        <v>94</v>
      </c>
      <c r="H1046">
        <v>153.01650000000001</v>
      </c>
      <c r="N1046">
        <v>153.01650000000001</v>
      </c>
      <c r="O1046" s="1">
        <v>45064</v>
      </c>
      <c r="P1046">
        <f>IF(ISBLANK(ReconciliationData[[#This Row],[Invoice_ID]]),1,0)</f>
        <v>0</v>
      </c>
      <c r="Q1046">
        <f>IF(AND(NOT(ISBLANK(ReconciliationData[[#This Row],[Billed_Units]])),ReconciliationData[[#This Row],[ordered_units]]&lt;&gt;ReconciliationData[[#This Row],[Billed_Units]]),1,0)</f>
        <v>0</v>
      </c>
      <c r="R10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6">
        <f>IF(AND(NOT(ISBLANK(ReconciliationData[[#This Row],[Contract_Price]])),ReconciliationData[[#This Row],[Billed_Price]]&lt;&gt;ReconciliationData[[#This Row],[Contract_Price]]),1,0)</f>
        <v>0</v>
      </c>
      <c r="T1046">
        <f>IF(AND(NOT(ISBLANK(ReconciliationData[[#This Row],[End_Date]])),ReconciliationData[[#This Row],[Order_Date]]&gt;ReconciliationData[[#This Row],[End_Date]]),1,0)</f>
        <v>0</v>
      </c>
      <c r="U1046">
        <f>IF(AND(NOT(ISBLANK(ReconciliationData[[#This Row],[last_return_date]])),ReconciliationData[[#This Row],[last_return_date]]&gt;ReconciliationData[[#This Row],[Order_Date]]+60),1,0)</f>
        <v>0</v>
      </c>
      <c r="V1046">
        <f>IF(ReconciliationData[[#This Row],[total_returned_units]]&gt;ReconciliationData[[#This Row],[ordered_units]],1,0)</f>
        <v>0</v>
      </c>
      <c r="W10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46">
        <f>ReconciliationData[[#This Row],[Billed_Units]]*ReconciliationData[[#This Row],[Billed_Price]]</f>
        <v>14383.551000000001</v>
      </c>
      <c r="Y1046">
        <f>ReconciliationData[[#This Row],[ordered_units]]*ReconciliationData[[#This Row],[List_Price]]</f>
        <v>14383.551000000001</v>
      </c>
      <c r="Z1046">
        <f>ReconciliationData[[#This Row],[billed_revenue]]-ReconciliationData[[#This Row],[expected_revenue]]</f>
        <v>0</v>
      </c>
      <c r="AA10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46" t="str">
        <f>IF(ReconciliationData[[#This Row],[severity_score]]=0,"LOW",
 IF(ReconciliationData[[#This Row],[severity_score]]&lt;=5,"MEDIUM","HIGH"))</f>
        <v>LOW</v>
      </c>
      <c r="AC1046" t="str">
        <f>TEXT(ReconciliationData[[#This Row],[Order_Date]],"YYYY-MM")</f>
        <v>2023-05</v>
      </c>
    </row>
    <row r="1047" spans="1:29">
      <c r="A1047" t="s">
        <v>3101</v>
      </c>
      <c r="B1047" s="1">
        <v>45166</v>
      </c>
      <c r="C1047" t="s">
        <v>728</v>
      </c>
      <c r="D1047" t="s">
        <v>1583</v>
      </c>
      <c r="E1047">
        <v>129</v>
      </c>
      <c r="F1047" t="s">
        <v>3102</v>
      </c>
      <c r="G1047">
        <v>129</v>
      </c>
      <c r="H1047">
        <v>1182.1740000000002</v>
      </c>
      <c r="N1047">
        <v>1182.1740000000002</v>
      </c>
      <c r="O1047" s="1">
        <v>45130</v>
      </c>
      <c r="P1047">
        <f>IF(ISBLANK(ReconciliationData[[#This Row],[Invoice_ID]]),1,0)</f>
        <v>0</v>
      </c>
      <c r="Q1047">
        <f>IF(AND(NOT(ISBLANK(ReconciliationData[[#This Row],[Billed_Units]])),ReconciliationData[[#This Row],[ordered_units]]&lt;&gt;ReconciliationData[[#This Row],[Billed_Units]]),1,0)</f>
        <v>0</v>
      </c>
      <c r="R10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7">
        <f>IF(AND(NOT(ISBLANK(ReconciliationData[[#This Row],[Contract_Price]])),ReconciliationData[[#This Row],[Billed_Price]]&lt;&gt;ReconciliationData[[#This Row],[Contract_Price]]),1,0)</f>
        <v>0</v>
      </c>
      <c r="T1047">
        <f>IF(AND(NOT(ISBLANK(ReconciliationData[[#This Row],[End_Date]])),ReconciliationData[[#This Row],[Order_Date]]&gt;ReconciliationData[[#This Row],[End_Date]]),1,0)</f>
        <v>0</v>
      </c>
      <c r="U1047">
        <f>IF(AND(NOT(ISBLANK(ReconciliationData[[#This Row],[last_return_date]])),ReconciliationData[[#This Row],[last_return_date]]&gt;ReconciliationData[[#This Row],[Order_Date]]+60),1,0)</f>
        <v>0</v>
      </c>
      <c r="V1047">
        <f>IF(ReconciliationData[[#This Row],[total_returned_units]]&gt;ReconciliationData[[#This Row],[ordered_units]],1,0)</f>
        <v>0</v>
      </c>
      <c r="W10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47">
        <f>ReconciliationData[[#This Row],[Billed_Units]]*ReconciliationData[[#This Row],[Billed_Price]]</f>
        <v>152500.44600000003</v>
      </c>
      <c r="Y1047">
        <f>ReconciliationData[[#This Row],[ordered_units]]*ReconciliationData[[#This Row],[List_Price]]</f>
        <v>152500.44600000003</v>
      </c>
      <c r="Z1047">
        <f>ReconciliationData[[#This Row],[billed_revenue]]-ReconciliationData[[#This Row],[expected_revenue]]</f>
        <v>0</v>
      </c>
      <c r="AA10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47" t="str">
        <f>IF(ReconciliationData[[#This Row],[severity_score]]=0,"LOW",
 IF(ReconciliationData[[#This Row],[severity_score]]&lt;=5,"MEDIUM","HIGH"))</f>
        <v>LOW</v>
      </c>
      <c r="AC1047" t="str">
        <f>TEXT(ReconciliationData[[#This Row],[Order_Date]],"YYYY-MM")</f>
        <v>2023-08</v>
      </c>
    </row>
    <row r="1048" spans="1:29">
      <c r="A1048" t="s">
        <v>3103</v>
      </c>
      <c r="B1048" s="1">
        <v>45524</v>
      </c>
      <c r="C1048" t="s">
        <v>2723</v>
      </c>
      <c r="D1048" t="s">
        <v>548</v>
      </c>
      <c r="E1048">
        <v>36</v>
      </c>
      <c r="F1048" t="s">
        <v>3104</v>
      </c>
      <c r="G1048">
        <v>36</v>
      </c>
      <c r="H1048">
        <v>1072.1079000000002</v>
      </c>
      <c r="I1048">
        <v>15</v>
      </c>
      <c r="J1048" s="1">
        <v>45510</v>
      </c>
      <c r="N1048">
        <v>1072.1079000000002</v>
      </c>
      <c r="O1048" s="1">
        <v>45035</v>
      </c>
      <c r="P1048">
        <f>IF(ISBLANK(ReconciliationData[[#This Row],[Invoice_ID]]),1,0)</f>
        <v>0</v>
      </c>
      <c r="Q1048">
        <f>IF(AND(NOT(ISBLANK(ReconciliationData[[#This Row],[Billed_Units]])),ReconciliationData[[#This Row],[ordered_units]]&lt;&gt;ReconciliationData[[#This Row],[Billed_Units]]),1,0)</f>
        <v>0</v>
      </c>
      <c r="R10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8">
        <f>IF(AND(NOT(ISBLANK(ReconciliationData[[#This Row],[Contract_Price]])),ReconciliationData[[#This Row],[Billed_Price]]&lt;&gt;ReconciliationData[[#This Row],[Contract_Price]]),1,0)</f>
        <v>0</v>
      </c>
      <c r="T1048">
        <f>IF(AND(NOT(ISBLANK(ReconciliationData[[#This Row],[End_Date]])),ReconciliationData[[#This Row],[Order_Date]]&gt;ReconciliationData[[#This Row],[End_Date]]),1,0)</f>
        <v>0</v>
      </c>
      <c r="U1048">
        <f>IF(AND(NOT(ISBLANK(ReconciliationData[[#This Row],[last_return_date]])),ReconciliationData[[#This Row],[last_return_date]]&gt;ReconciliationData[[#This Row],[Order_Date]]+60),1,0)</f>
        <v>0</v>
      </c>
      <c r="V1048">
        <f>IF(ReconciliationData[[#This Row],[total_returned_units]]&gt;ReconciliationData[[#This Row],[ordered_units]],1,0)</f>
        <v>0</v>
      </c>
      <c r="W10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48">
        <f>ReconciliationData[[#This Row],[Billed_Units]]*ReconciliationData[[#This Row],[Billed_Price]]</f>
        <v>38595.88440000001</v>
      </c>
      <c r="Y1048">
        <f>ReconciliationData[[#This Row],[ordered_units]]*ReconciliationData[[#This Row],[List_Price]]</f>
        <v>38595.88440000001</v>
      </c>
      <c r="Z1048">
        <f>ReconciliationData[[#This Row],[billed_revenue]]-ReconciliationData[[#This Row],[expected_revenue]]</f>
        <v>0</v>
      </c>
      <c r="AA10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48" t="str">
        <f>IF(ReconciliationData[[#This Row],[severity_score]]=0,"LOW",
 IF(ReconciliationData[[#This Row],[severity_score]]&lt;=5,"MEDIUM","HIGH"))</f>
        <v>LOW</v>
      </c>
      <c r="AC1048" t="str">
        <f>TEXT(ReconciliationData[[#This Row],[Order_Date]],"YYYY-MM")</f>
        <v>2024-08</v>
      </c>
    </row>
    <row r="1049" spans="1:29">
      <c r="A1049" t="s">
        <v>3105</v>
      </c>
      <c r="B1049" s="1">
        <v>44994</v>
      </c>
      <c r="C1049" t="s">
        <v>1120</v>
      </c>
      <c r="D1049" t="s">
        <v>684</v>
      </c>
      <c r="E1049">
        <v>147</v>
      </c>
      <c r="F1049" t="s">
        <v>3106</v>
      </c>
      <c r="G1049">
        <v>147</v>
      </c>
      <c r="H1049">
        <v>68.418999999999997</v>
      </c>
      <c r="N1049">
        <v>68.418999999999997</v>
      </c>
      <c r="O1049" s="1">
        <v>44780</v>
      </c>
      <c r="P1049">
        <f>IF(ISBLANK(ReconciliationData[[#This Row],[Invoice_ID]]),1,0)</f>
        <v>0</v>
      </c>
      <c r="Q1049">
        <f>IF(AND(NOT(ISBLANK(ReconciliationData[[#This Row],[Billed_Units]])),ReconciliationData[[#This Row],[ordered_units]]&lt;&gt;ReconciliationData[[#This Row],[Billed_Units]]),1,0)</f>
        <v>0</v>
      </c>
      <c r="R10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49">
        <f>IF(AND(NOT(ISBLANK(ReconciliationData[[#This Row],[Contract_Price]])),ReconciliationData[[#This Row],[Billed_Price]]&lt;&gt;ReconciliationData[[#This Row],[Contract_Price]]),1,0)</f>
        <v>0</v>
      </c>
      <c r="T1049">
        <f>IF(AND(NOT(ISBLANK(ReconciliationData[[#This Row],[End_Date]])),ReconciliationData[[#This Row],[Order_Date]]&gt;ReconciliationData[[#This Row],[End_Date]]),1,0)</f>
        <v>0</v>
      </c>
      <c r="U1049">
        <f>IF(AND(NOT(ISBLANK(ReconciliationData[[#This Row],[last_return_date]])),ReconciliationData[[#This Row],[last_return_date]]&gt;ReconciliationData[[#This Row],[Order_Date]]+60),1,0)</f>
        <v>0</v>
      </c>
      <c r="V1049">
        <f>IF(ReconciliationData[[#This Row],[total_returned_units]]&gt;ReconciliationData[[#This Row],[ordered_units]],1,0)</f>
        <v>0</v>
      </c>
      <c r="W10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49">
        <f>ReconciliationData[[#This Row],[Billed_Units]]*ReconciliationData[[#This Row],[Billed_Price]]</f>
        <v>10057.592999999999</v>
      </c>
      <c r="Y1049">
        <f>ReconciliationData[[#This Row],[ordered_units]]*ReconciliationData[[#This Row],[List_Price]]</f>
        <v>10057.592999999999</v>
      </c>
      <c r="Z1049">
        <f>ReconciliationData[[#This Row],[billed_revenue]]-ReconciliationData[[#This Row],[expected_revenue]]</f>
        <v>0</v>
      </c>
      <c r="AA10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49" t="str">
        <f>IF(ReconciliationData[[#This Row],[severity_score]]=0,"LOW",
 IF(ReconciliationData[[#This Row],[severity_score]]&lt;=5,"MEDIUM","HIGH"))</f>
        <v>LOW</v>
      </c>
      <c r="AC1049" t="str">
        <f>TEXT(ReconciliationData[[#This Row],[Order_Date]],"YYYY-MM")</f>
        <v>2023-03</v>
      </c>
    </row>
    <row r="1050" spans="1:29">
      <c r="A1050" t="s">
        <v>3107</v>
      </c>
      <c r="B1050" s="1">
        <v>45361</v>
      </c>
      <c r="C1050" t="s">
        <v>2920</v>
      </c>
      <c r="D1050" t="s">
        <v>1449</v>
      </c>
      <c r="E1050">
        <v>80</v>
      </c>
      <c r="F1050" t="s">
        <v>3108</v>
      </c>
      <c r="G1050">
        <v>80</v>
      </c>
      <c r="H1050">
        <v>960.85850000000005</v>
      </c>
      <c r="N1050">
        <v>960.85850000000005</v>
      </c>
      <c r="O1050" s="1">
        <v>45049</v>
      </c>
      <c r="P1050">
        <f>IF(ISBLANK(ReconciliationData[[#This Row],[Invoice_ID]]),1,0)</f>
        <v>0</v>
      </c>
      <c r="Q1050">
        <f>IF(AND(NOT(ISBLANK(ReconciliationData[[#This Row],[Billed_Units]])),ReconciliationData[[#This Row],[ordered_units]]&lt;&gt;ReconciliationData[[#This Row],[Billed_Units]]),1,0)</f>
        <v>0</v>
      </c>
      <c r="R10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0">
        <f>IF(AND(NOT(ISBLANK(ReconciliationData[[#This Row],[Contract_Price]])),ReconciliationData[[#This Row],[Billed_Price]]&lt;&gt;ReconciliationData[[#This Row],[Contract_Price]]),1,0)</f>
        <v>0</v>
      </c>
      <c r="T1050">
        <f>IF(AND(NOT(ISBLANK(ReconciliationData[[#This Row],[End_Date]])),ReconciliationData[[#This Row],[Order_Date]]&gt;ReconciliationData[[#This Row],[End_Date]]),1,0)</f>
        <v>0</v>
      </c>
      <c r="U1050">
        <f>IF(AND(NOT(ISBLANK(ReconciliationData[[#This Row],[last_return_date]])),ReconciliationData[[#This Row],[last_return_date]]&gt;ReconciliationData[[#This Row],[Order_Date]]+60),1,0)</f>
        <v>0</v>
      </c>
      <c r="V1050">
        <f>IF(ReconciliationData[[#This Row],[total_returned_units]]&gt;ReconciliationData[[#This Row],[ordered_units]],1,0)</f>
        <v>0</v>
      </c>
      <c r="W10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50">
        <f>ReconciliationData[[#This Row],[Billed_Units]]*ReconciliationData[[#This Row],[Billed_Price]]</f>
        <v>76868.680000000008</v>
      </c>
      <c r="Y1050">
        <f>ReconciliationData[[#This Row],[ordered_units]]*ReconciliationData[[#This Row],[List_Price]]</f>
        <v>76868.680000000008</v>
      </c>
      <c r="Z1050">
        <f>ReconciliationData[[#This Row],[billed_revenue]]-ReconciliationData[[#This Row],[expected_revenue]]</f>
        <v>0</v>
      </c>
      <c r="AA10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50" t="str">
        <f>IF(ReconciliationData[[#This Row],[severity_score]]=0,"LOW",
 IF(ReconciliationData[[#This Row],[severity_score]]&lt;=5,"MEDIUM","HIGH"))</f>
        <v>LOW</v>
      </c>
      <c r="AC1050" t="str">
        <f>TEXT(ReconciliationData[[#This Row],[Order_Date]],"YYYY-MM")</f>
        <v>2024-03</v>
      </c>
    </row>
    <row r="1051" spans="1:29">
      <c r="A1051" t="s">
        <v>3109</v>
      </c>
      <c r="B1051" s="1">
        <v>44967</v>
      </c>
      <c r="C1051" t="s">
        <v>1928</v>
      </c>
      <c r="D1051" t="s">
        <v>381</v>
      </c>
      <c r="E1051">
        <v>73</v>
      </c>
      <c r="F1051" t="s">
        <v>3110</v>
      </c>
      <c r="G1051">
        <v>73</v>
      </c>
      <c r="H1051">
        <v>933.82110000000011</v>
      </c>
      <c r="N1051">
        <v>933.82110000000011</v>
      </c>
      <c r="O1051" s="1">
        <v>44855</v>
      </c>
      <c r="P1051">
        <f>IF(ISBLANK(ReconciliationData[[#This Row],[Invoice_ID]]),1,0)</f>
        <v>0</v>
      </c>
      <c r="Q1051">
        <f>IF(AND(NOT(ISBLANK(ReconciliationData[[#This Row],[Billed_Units]])),ReconciliationData[[#This Row],[ordered_units]]&lt;&gt;ReconciliationData[[#This Row],[Billed_Units]]),1,0)</f>
        <v>0</v>
      </c>
      <c r="R10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1">
        <f>IF(AND(NOT(ISBLANK(ReconciliationData[[#This Row],[Contract_Price]])),ReconciliationData[[#This Row],[Billed_Price]]&lt;&gt;ReconciliationData[[#This Row],[Contract_Price]]),1,0)</f>
        <v>0</v>
      </c>
      <c r="T1051">
        <f>IF(AND(NOT(ISBLANK(ReconciliationData[[#This Row],[End_Date]])),ReconciliationData[[#This Row],[Order_Date]]&gt;ReconciliationData[[#This Row],[End_Date]]),1,0)</f>
        <v>0</v>
      </c>
      <c r="U1051">
        <f>IF(AND(NOT(ISBLANK(ReconciliationData[[#This Row],[last_return_date]])),ReconciliationData[[#This Row],[last_return_date]]&gt;ReconciliationData[[#This Row],[Order_Date]]+60),1,0)</f>
        <v>0</v>
      </c>
      <c r="V1051">
        <f>IF(ReconciliationData[[#This Row],[total_returned_units]]&gt;ReconciliationData[[#This Row],[ordered_units]],1,0)</f>
        <v>0</v>
      </c>
      <c r="W10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51">
        <f>ReconciliationData[[#This Row],[Billed_Units]]*ReconciliationData[[#This Row],[Billed_Price]]</f>
        <v>68168.940300000002</v>
      </c>
      <c r="Y1051">
        <f>ReconciliationData[[#This Row],[ordered_units]]*ReconciliationData[[#This Row],[List_Price]]</f>
        <v>68168.940300000002</v>
      </c>
      <c r="Z1051">
        <f>ReconciliationData[[#This Row],[billed_revenue]]-ReconciliationData[[#This Row],[expected_revenue]]</f>
        <v>0</v>
      </c>
      <c r="AA10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51" t="str">
        <f>IF(ReconciliationData[[#This Row],[severity_score]]=0,"LOW",
 IF(ReconciliationData[[#This Row],[severity_score]]&lt;=5,"MEDIUM","HIGH"))</f>
        <v>LOW</v>
      </c>
      <c r="AC1051" t="str">
        <f>TEXT(ReconciliationData[[#This Row],[Order_Date]],"YYYY-MM")</f>
        <v>2023-02</v>
      </c>
    </row>
    <row r="1052" spans="1:29">
      <c r="A1052" t="s">
        <v>3111</v>
      </c>
      <c r="B1052" s="1">
        <v>45131</v>
      </c>
      <c r="C1052" t="s">
        <v>2871</v>
      </c>
      <c r="D1052" t="s">
        <v>798</v>
      </c>
      <c r="E1052">
        <v>85</v>
      </c>
      <c r="F1052" t="s">
        <v>3112</v>
      </c>
      <c r="G1052">
        <v>85</v>
      </c>
      <c r="H1052">
        <v>153.01650000000001</v>
      </c>
      <c r="N1052">
        <v>153.01650000000001</v>
      </c>
      <c r="O1052" s="1">
        <v>45064</v>
      </c>
      <c r="P1052">
        <f>IF(ISBLANK(ReconciliationData[[#This Row],[Invoice_ID]]),1,0)</f>
        <v>0</v>
      </c>
      <c r="Q1052">
        <f>IF(AND(NOT(ISBLANK(ReconciliationData[[#This Row],[Billed_Units]])),ReconciliationData[[#This Row],[ordered_units]]&lt;&gt;ReconciliationData[[#This Row],[Billed_Units]]),1,0)</f>
        <v>0</v>
      </c>
      <c r="R10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2">
        <f>IF(AND(NOT(ISBLANK(ReconciliationData[[#This Row],[Contract_Price]])),ReconciliationData[[#This Row],[Billed_Price]]&lt;&gt;ReconciliationData[[#This Row],[Contract_Price]]),1,0)</f>
        <v>0</v>
      </c>
      <c r="T1052">
        <f>IF(AND(NOT(ISBLANK(ReconciliationData[[#This Row],[End_Date]])),ReconciliationData[[#This Row],[Order_Date]]&gt;ReconciliationData[[#This Row],[End_Date]]),1,0)</f>
        <v>0</v>
      </c>
      <c r="U1052">
        <f>IF(AND(NOT(ISBLANK(ReconciliationData[[#This Row],[last_return_date]])),ReconciliationData[[#This Row],[last_return_date]]&gt;ReconciliationData[[#This Row],[Order_Date]]+60),1,0)</f>
        <v>0</v>
      </c>
      <c r="V1052">
        <f>IF(ReconciliationData[[#This Row],[total_returned_units]]&gt;ReconciliationData[[#This Row],[ordered_units]],1,0)</f>
        <v>0</v>
      </c>
      <c r="W10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52">
        <f>ReconciliationData[[#This Row],[Billed_Units]]*ReconciliationData[[#This Row],[Billed_Price]]</f>
        <v>13006.4025</v>
      </c>
      <c r="Y1052">
        <f>ReconciliationData[[#This Row],[ordered_units]]*ReconciliationData[[#This Row],[List_Price]]</f>
        <v>13006.4025</v>
      </c>
      <c r="Z1052">
        <f>ReconciliationData[[#This Row],[billed_revenue]]-ReconciliationData[[#This Row],[expected_revenue]]</f>
        <v>0</v>
      </c>
      <c r="AA10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52" t="str">
        <f>IF(ReconciliationData[[#This Row],[severity_score]]=0,"LOW",
 IF(ReconciliationData[[#This Row],[severity_score]]&lt;=5,"MEDIUM","HIGH"))</f>
        <v>LOW</v>
      </c>
      <c r="AC1052" t="str">
        <f>TEXT(ReconciliationData[[#This Row],[Order_Date]],"YYYY-MM")</f>
        <v>2023-07</v>
      </c>
    </row>
    <row r="1053" spans="1:29">
      <c r="A1053" t="s">
        <v>3113</v>
      </c>
      <c r="B1053" s="1">
        <v>45231</v>
      </c>
      <c r="C1053" t="s">
        <v>290</v>
      </c>
      <c r="D1053" t="s">
        <v>430</v>
      </c>
      <c r="E1053">
        <v>58</v>
      </c>
      <c r="F1053" t="s">
        <v>3114</v>
      </c>
      <c r="G1053">
        <v>58</v>
      </c>
      <c r="H1053">
        <v>876.32749999999999</v>
      </c>
      <c r="N1053">
        <v>876.32749999999999</v>
      </c>
      <c r="O1053" s="1">
        <v>45106</v>
      </c>
      <c r="P1053">
        <f>IF(ISBLANK(ReconciliationData[[#This Row],[Invoice_ID]]),1,0)</f>
        <v>0</v>
      </c>
      <c r="Q1053">
        <f>IF(AND(NOT(ISBLANK(ReconciliationData[[#This Row],[Billed_Units]])),ReconciliationData[[#This Row],[ordered_units]]&lt;&gt;ReconciliationData[[#This Row],[Billed_Units]]),1,0)</f>
        <v>0</v>
      </c>
      <c r="R10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3">
        <f>IF(AND(NOT(ISBLANK(ReconciliationData[[#This Row],[Contract_Price]])),ReconciliationData[[#This Row],[Billed_Price]]&lt;&gt;ReconciliationData[[#This Row],[Contract_Price]]),1,0)</f>
        <v>0</v>
      </c>
      <c r="T1053">
        <f>IF(AND(NOT(ISBLANK(ReconciliationData[[#This Row],[End_Date]])),ReconciliationData[[#This Row],[Order_Date]]&gt;ReconciliationData[[#This Row],[End_Date]]),1,0)</f>
        <v>0</v>
      </c>
      <c r="U1053">
        <f>IF(AND(NOT(ISBLANK(ReconciliationData[[#This Row],[last_return_date]])),ReconciliationData[[#This Row],[last_return_date]]&gt;ReconciliationData[[#This Row],[Order_Date]]+60),1,0)</f>
        <v>0</v>
      </c>
      <c r="V1053">
        <f>IF(ReconciliationData[[#This Row],[total_returned_units]]&gt;ReconciliationData[[#This Row],[ordered_units]],1,0)</f>
        <v>0</v>
      </c>
      <c r="W10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53">
        <f>ReconciliationData[[#This Row],[Billed_Units]]*ReconciliationData[[#This Row],[Billed_Price]]</f>
        <v>50826.995000000003</v>
      </c>
      <c r="Y1053">
        <f>ReconciliationData[[#This Row],[ordered_units]]*ReconciliationData[[#This Row],[List_Price]]</f>
        <v>50826.995000000003</v>
      </c>
      <c r="Z1053">
        <f>ReconciliationData[[#This Row],[billed_revenue]]-ReconciliationData[[#This Row],[expected_revenue]]</f>
        <v>0</v>
      </c>
      <c r="AA10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53" t="str">
        <f>IF(ReconciliationData[[#This Row],[severity_score]]=0,"LOW",
 IF(ReconciliationData[[#This Row],[severity_score]]&lt;=5,"MEDIUM","HIGH"))</f>
        <v>LOW</v>
      </c>
      <c r="AC1053" t="str">
        <f>TEXT(ReconciliationData[[#This Row],[Order_Date]],"YYYY-MM")</f>
        <v>2023-11</v>
      </c>
    </row>
    <row r="1054" spans="1:29">
      <c r="A1054" t="s">
        <v>3115</v>
      </c>
      <c r="B1054" s="1">
        <v>44986</v>
      </c>
      <c r="C1054" t="s">
        <v>262</v>
      </c>
      <c r="D1054" t="s">
        <v>841</v>
      </c>
      <c r="E1054">
        <v>28</v>
      </c>
      <c r="F1054" t="s">
        <v>3116</v>
      </c>
      <c r="G1054">
        <v>28</v>
      </c>
      <c r="H1054">
        <v>171.78</v>
      </c>
      <c r="N1054">
        <v>171.78</v>
      </c>
      <c r="O1054" s="1">
        <v>44598</v>
      </c>
      <c r="P1054">
        <f>IF(ISBLANK(ReconciliationData[[#This Row],[Invoice_ID]]),1,0)</f>
        <v>0</v>
      </c>
      <c r="Q1054">
        <f>IF(AND(NOT(ISBLANK(ReconciliationData[[#This Row],[Billed_Units]])),ReconciliationData[[#This Row],[ordered_units]]&lt;&gt;ReconciliationData[[#This Row],[Billed_Units]]),1,0)</f>
        <v>0</v>
      </c>
      <c r="R10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4">
        <f>IF(AND(NOT(ISBLANK(ReconciliationData[[#This Row],[Contract_Price]])),ReconciliationData[[#This Row],[Billed_Price]]&lt;&gt;ReconciliationData[[#This Row],[Contract_Price]]),1,0)</f>
        <v>0</v>
      </c>
      <c r="T1054">
        <f>IF(AND(NOT(ISBLANK(ReconciliationData[[#This Row],[End_Date]])),ReconciliationData[[#This Row],[Order_Date]]&gt;ReconciliationData[[#This Row],[End_Date]]),1,0)</f>
        <v>0</v>
      </c>
      <c r="U1054">
        <f>IF(AND(NOT(ISBLANK(ReconciliationData[[#This Row],[last_return_date]])),ReconciliationData[[#This Row],[last_return_date]]&gt;ReconciliationData[[#This Row],[Order_Date]]+60),1,0)</f>
        <v>0</v>
      </c>
      <c r="V1054">
        <f>IF(ReconciliationData[[#This Row],[total_returned_units]]&gt;ReconciliationData[[#This Row],[ordered_units]],1,0)</f>
        <v>0</v>
      </c>
      <c r="W10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54">
        <f>ReconciliationData[[#This Row],[Billed_Units]]*ReconciliationData[[#This Row],[Billed_Price]]</f>
        <v>4809.84</v>
      </c>
      <c r="Y1054">
        <f>ReconciliationData[[#This Row],[ordered_units]]*ReconciliationData[[#This Row],[List_Price]]</f>
        <v>4809.84</v>
      </c>
      <c r="Z1054">
        <f>ReconciliationData[[#This Row],[billed_revenue]]-ReconciliationData[[#This Row],[expected_revenue]]</f>
        <v>0</v>
      </c>
      <c r="AA10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54" t="str">
        <f>IF(ReconciliationData[[#This Row],[severity_score]]=0,"LOW",
 IF(ReconciliationData[[#This Row],[severity_score]]&lt;=5,"MEDIUM","HIGH"))</f>
        <v>LOW</v>
      </c>
      <c r="AC1054" t="str">
        <f>TEXT(ReconciliationData[[#This Row],[Order_Date]],"YYYY-MM")</f>
        <v>2023-03</v>
      </c>
    </row>
    <row r="1055" spans="1:29">
      <c r="A1055" t="s">
        <v>3117</v>
      </c>
      <c r="B1055" s="1">
        <v>45595</v>
      </c>
      <c r="C1055" t="s">
        <v>2430</v>
      </c>
      <c r="D1055" t="s">
        <v>655</v>
      </c>
      <c r="E1055">
        <v>155</v>
      </c>
      <c r="F1055" t="s">
        <v>3118</v>
      </c>
      <c r="G1055">
        <v>155</v>
      </c>
      <c r="H1055">
        <v>130.87360000000001</v>
      </c>
      <c r="N1055">
        <v>130.87360000000001</v>
      </c>
      <c r="O1055" s="1">
        <v>45074</v>
      </c>
      <c r="P1055">
        <f>IF(ISBLANK(ReconciliationData[[#This Row],[Invoice_ID]]),1,0)</f>
        <v>0</v>
      </c>
      <c r="Q1055">
        <f>IF(AND(NOT(ISBLANK(ReconciliationData[[#This Row],[Billed_Units]])),ReconciliationData[[#This Row],[ordered_units]]&lt;&gt;ReconciliationData[[#This Row],[Billed_Units]]),1,0)</f>
        <v>0</v>
      </c>
      <c r="R10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5">
        <f>IF(AND(NOT(ISBLANK(ReconciliationData[[#This Row],[Contract_Price]])),ReconciliationData[[#This Row],[Billed_Price]]&lt;&gt;ReconciliationData[[#This Row],[Contract_Price]]),1,0)</f>
        <v>0</v>
      </c>
      <c r="T1055">
        <f>IF(AND(NOT(ISBLANK(ReconciliationData[[#This Row],[End_Date]])),ReconciliationData[[#This Row],[Order_Date]]&gt;ReconciliationData[[#This Row],[End_Date]]),1,0)</f>
        <v>0</v>
      </c>
      <c r="U1055">
        <f>IF(AND(NOT(ISBLANK(ReconciliationData[[#This Row],[last_return_date]])),ReconciliationData[[#This Row],[last_return_date]]&gt;ReconciliationData[[#This Row],[Order_Date]]+60),1,0)</f>
        <v>0</v>
      </c>
      <c r="V1055">
        <f>IF(ReconciliationData[[#This Row],[total_returned_units]]&gt;ReconciliationData[[#This Row],[ordered_units]],1,0)</f>
        <v>0</v>
      </c>
      <c r="W10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55">
        <f>ReconciliationData[[#This Row],[Billed_Units]]*ReconciliationData[[#This Row],[Billed_Price]]</f>
        <v>20285.408000000003</v>
      </c>
      <c r="Y1055">
        <f>ReconciliationData[[#This Row],[ordered_units]]*ReconciliationData[[#This Row],[List_Price]]</f>
        <v>20285.408000000003</v>
      </c>
      <c r="Z1055">
        <f>ReconciliationData[[#This Row],[billed_revenue]]-ReconciliationData[[#This Row],[expected_revenue]]</f>
        <v>0</v>
      </c>
      <c r="AA10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55" t="str">
        <f>IF(ReconciliationData[[#This Row],[severity_score]]=0,"LOW",
 IF(ReconciliationData[[#This Row],[severity_score]]&lt;=5,"MEDIUM","HIGH"))</f>
        <v>LOW</v>
      </c>
      <c r="AC1055" t="str">
        <f>TEXT(ReconciliationData[[#This Row],[Order_Date]],"YYYY-MM")</f>
        <v>2024-10</v>
      </c>
    </row>
    <row r="1056" spans="1:29">
      <c r="A1056" t="s">
        <v>3119</v>
      </c>
      <c r="B1056" s="1">
        <v>45451</v>
      </c>
      <c r="C1056" t="s">
        <v>1908</v>
      </c>
      <c r="D1056" t="s">
        <v>718</v>
      </c>
      <c r="E1056">
        <v>37</v>
      </c>
      <c r="F1056" t="s">
        <v>3120</v>
      </c>
      <c r="G1056">
        <v>37</v>
      </c>
      <c r="H1056">
        <v>287.14</v>
      </c>
      <c r="N1056">
        <v>287.14</v>
      </c>
      <c r="O1056" s="1">
        <v>44977</v>
      </c>
      <c r="P1056">
        <f>IF(ISBLANK(ReconciliationData[[#This Row],[Invoice_ID]]),1,0)</f>
        <v>0</v>
      </c>
      <c r="Q1056">
        <f>IF(AND(NOT(ISBLANK(ReconciliationData[[#This Row],[Billed_Units]])),ReconciliationData[[#This Row],[ordered_units]]&lt;&gt;ReconciliationData[[#This Row],[Billed_Units]]),1,0)</f>
        <v>0</v>
      </c>
      <c r="R10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6">
        <f>IF(AND(NOT(ISBLANK(ReconciliationData[[#This Row],[Contract_Price]])),ReconciliationData[[#This Row],[Billed_Price]]&lt;&gt;ReconciliationData[[#This Row],[Contract_Price]]),1,0)</f>
        <v>0</v>
      </c>
      <c r="T1056">
        <f>IF(AND(NOT(ISBLANK(ReconciliationData[[#This Row],[End_Date]])),ReconciliationData[[#This Row],[Order_Date]]&gt;ReconciliationData[[#This Row],[End_Date]]),1,0)</f>
        <v>0</v>
      </c>
      <c r="U1056">
        <f>IF(AND(NOT(ISBLANK(ReconciliationData[[#This Row],[last_return_date]])),ReconciliationData[[#This Row],[last_return_date]]&gt;ReconciliationData[[#This Row],[Order_Date]]+60),1,0)</f>
        <v>0</v>
      </c>
      <c r="V1056">
        <f>IF(ReconciliationData[[#This Row],[total_returned_units]]&gt;ReconciliationData[[#This Row],[ordered_units]],1,0)</f>
        <v>0</v>
      </c>
      <c r="W10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56">
        <f>ReconciliationData[[#This Row],[Billed_Units]]*ReconciliationData[[#This Row],[Billed_Price]]</f>
        <v>10624.18</v>
      </c>
      <c r="Y1056">
        <f>ReconciliationData[[#This Row],[ordered_units]]*ReconciliationData[[#This Row],[List_Price]]</f>
        <v>10624.18</v>
      </c>
      <c r="Z1056">
        <f>ReconciliationData[[#This Row],[billed_revenue]]-ReconciliationData[[#This Row],[expected_revenue]]</f>
        <v>0</v>
      </c>
      <c r="AA10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56" t="str">
        <f>IF(ReconciliationData[[#This Row],[severity_score]]=0,"LOW",
 IF(ReconciliationData[[#This Row],[severity_score]]&lt;=5,"MEDIUM","HIGH"))</f>
        <v>LOW</v>
      </c>
      <c r="AC1056" t="str">
        <f>TEXT(ReconciliationData[[#This Row],[Order_Date]],"YYYY-MM")</f>
        <v>2024-06</v>
      </c>
    </row>
    <row r="1057" spans="1:29">
      <c r="A1057" t="s">
        <v>3121</v>
      </c>
      <c r="B1057" s="1">
        <v>45653</v>
      </c>
      <c r="C1057" t="s">
        <v>728</v>
      </c>
      <c r="D1057" t="s">
        <v>393</v>
      </c>
      <c r="E1057">
        <v>95</v>
      </c>
      <c r="F1057" t="s">
        <v>3122</v>
      </c>
      <c r="G1057">
        <v>95</v>
      </c>
      <c r="H1057">
        <v>1080.0740000000001</v>
      </c>
      <c r="N1057">
        <v>1080.0740000000001</v>
      </c>
      <c r="O1057" s="1">
        <v>45058</v>
      </c>
      <c r="P1057">
        <f>IF(ISBLANK(ReconciliationData[[#This Row],[Invoice_ID]]),1,0)</f>
        <v>0</v>
      </c>
      <c r="Q1057">
        <f>IF(AND(NOT(ISBLANK(ReconciliationData[[#This Row],[Billed_Units]])),ReconciliationData[[#This Row],[ordered_units]]&lt;&gt;ReconciliationData[[#This Row],[Billed_Units]]),1,0)</f>
        <v>0</v>
      </c>
      <c r="R10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7">
        <f>IF(AND(NOT(ISBLANK(ReconciliationData[[#This Row],[Contract_Price]])),ReconciliationData[[#This Row],[Billed_Price]]&lt;&gt;ReconciliationData[[#This Row],[Contract_Price]]),1,0)</f>
        <v>0</v>
      </c>
      <c r="T1057">
        <f>IF(AND(NOT(ISBLANK(ReconciliationData[[#This Row],[End_Date]])),ReconciliationData[[#This Row],[Order_Date]]&gt;ReconciliationData[[#This Row],[End_Date]]),1,0)</f>
        <v>0</v>
      </c>
      <c r="U1057">
        <f>IF(AND(NOT(ISBLANK(ReconciliationData[[#This Row],[last_return_date]])),ReconciliationData[[#This Row],[last_return_date]]&gt;ReconciliationData[[#This Row],[Order_Date]]+60),1,0)</f>
        <v>0</v>
      </c>
      <c r="V1057">
        <f>IF(ReconciliationData[[#This Row],[total_returned_units]]&gt;ReconciliationData[[#This Row],[ordered_units]],1,0)</f>
        <v>0</v>
      </c>
      <c r="W10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57">
        <f>ReconciliationData[[#This Row],[Billed_Units]]*ReconciliationData[[#This Row],[Billed_Price]]</f>
        <v>102607.03000000001</v>
      </c>
      <c r="Y1057">
        <f>ReconciliationData[[#This Row],[ordered_units]]*ReconciliationData[[#This Row],[List_Price]]</f>
        <v>102607.03000000001</v>
      </c>
      <c r="Z1057">
        <f>ReconciliationData[[#This Row],[billed_revenue]]-ReconciliationData[[#This Row],[expected_revenue]]</f>
        <v>0</v>
      </c>
      <c r="AA10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57" t="str">
        <f>IF(ReconciliationData[[#This Row],[severity_score]]=0,"LOW",
 IF(ReconciliationData[[#This Row],[severity_score]]&lt;=5,"MEDIUM","HIGH"))</f>
        <v>LOW</v>
      </c>
      <c r="AC1057" t="str">
        <f>TEXT(ReconciliationData[[#This Row],[Order_Date]],"YYYY-MM")</f>
        <v>2024-12</v>
      </c>
    </row>
    <row r="1058" spans="1:29">
      <c r="A1058" t="s">
        <v>3123</v>
      </c>
      <c r="B1058" s="1">
        <v>45088</v>
      </c>
      <c r="C1058" t="s">
        <v>771</v>
      </c>
      <c r="D1058" t="s">
        <v>529</v>
      </c>
      <c r="E1058">
        <v>63</v>
      </c>
      <c r="F1058" t="s">
        <v>3124</v>
      </c>
      <c r="G1058">
        <v>73</v>
      </c>
      <c r="H1058">
        <v>599.21640000000014</v>
      </c>
      <c r="I1058">
        <v>15</v>
      </c>
      <c r="J1058" s="1">
        <v>45370</v>
      </c>
      <c r="N1058">
        <v>599.21640000000014</v>
      </c>
      <c r="O1058" s="1">
        <v>45055</v>
      </c>
      <c r="P1058">
        <f>IF(ISBLANK(ReconciliationData[[#This Row],[Invoice_ID]]),1,0)</f>
        <v>0</v>
      </c>
      <c r="Q1058">
        <f>IF(AND(NOT(ISBLANK(ReconciliationData[[#This Row],[Billed_Units]])),ReconciliationData[[#This Row],[ordered_units]]&lt;&gt;ReconciliationData[[#This Row],[Billed_Units]]),1,0)</f>
        <v>1</v>
      </c>
      <c r="R10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8">
        <f>IF(AND(NOT(ISBLANK(ReconciliationData[[#This Row],[Contract_Price]])),ReconciliationData[[#This Row],[Billed_Price]]&lt;&gt;ReconciliationData[[#This Row],[Contract_Price]]),1,0)</f>
        <v>0</v>
      </c>
      <c r="T1058">
        <f>IF(AND(NOT(ISBLANK(ReconciliationData[[#This Row],[End_Date]])),ReconciliationData[[#This Row],[Order_Date]]&gt;ReconciliationData[[#This Row],[End_Date]]),1,0)</f>
        <v>0</v>
      </c>
      <c r="U1058">
        <f>IF(AND(NOT(ISBLANK(ReconciliationData[[#This Row],[last_return_date]])),ReconciliationData[[#This Row],[last_return_date]]&gt;ReconciliationData[[#This Row],[Order_Date]]+60),1,0)</f>
        <v>1</v>
      </c>
      <c r="V1058">
        <f>IF(ReconciliationData[[#This Row],[total_returned_units]]&gt;ReconciliationData[[#This Row],[ordered_units]],1,0)</f>
        <v>0</v>
      </c>
      <c r="W10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58">
        <f>ReconciliationData[[#This Row],[Billed_Units]]*ReconciliationData[[#This Row],[Billed_Price]]</f>
        <v>43742.797200000008</v>
      </c>
      <c r="Y1058">
        <f>ReconciliationData[[#This Row],[ordered_units]]*ReconciliationData[[#This Row],[List_Price]]</f>
        <v>37750.633200000011</v>
      </c>
      <c r="Z1058">
        <f>ReconciliationData[[#This Row],[billed_revenue]]-ReconciliationData[[#This Row],[expected_revenue]]</f>
        <v>5992.163999999997</v>
      </c>
      <c r="AA10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10</v>
      </c>
      <c r="AB1058" t="str">
        <f>IF(ReconciliationData[[#This Row],[severity_score]]=0,"LOW",
 IF(ReconciliationData[[#This Row],[severity_score]]&lt;=5,"MEDIUM","HIGH"))</f>
        <v>HIGH</v>
      </c>
      <c r="AC1058" t="str">
        <f>TEXT(ReconciliationData[[#This Row],[Order_Date]],"YYYY-MM")</f>
        <v>2023-06</v>
      </c>
    </row>
    <row r="1059" spans="1:29">
      <c r="A1059" t="s">
        <v>3125</v>
      </c>
      <c r="B1059" s="1">
        <v>44963</v>
      </c>
      <c r="C1059" t="s">
        <v>831</v>
      </c>
      <c r="D1059" t="s">
        <v>639</v>
      </c>
      <c r="E1059">
        <v>26</v>
      </c>
      <c r="F1059" t="s">
        <v>3126</v>
      </c>
      <c r="G1059">
        <v>26</v>
      </c>
      <c r="H1059">
        <v>900.37</v>
      </c>
      <c r="N1059">
        <v>900.37</v>
      </c>
      <c r="O1059" s="1">
        <v>44705</v>
      </c>
      <c r="P1059">
        <f>IF(ISBLANK(ReconciliationData[[#This Row],[Invoice_ID]]),1,0)</f>
        <v>0</v>
      </c>
      <c r="Q1059">
        <f>IF(AND(NOT(ISBLANK(ReconciliationData[[#This Row],[Billed_Units]])),ReconciliationData[[#This Row],[ordered_units]]&lt;&gt;ReconciliationData[[#This Row],[Billed_Units]]),1,0)</f>
        <v>0</v>
      </c>
      <c r="R10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59">
        <f>IF(AND(NOT(ISBLANK(ReconciliationData[[#This Row],[Contract_Price]])),ReconciliationData[[#This Row],[Billed_Price]]&lt;&gt;ReconciliationData[[#This Row],[Contract_Price]]),1,0)</f>
        <v>0</v>
      </c>
      <c r="T1059">
        <f>IF(AND(NOT(ISBLANK(ReconciliationData[[#This Row],[End_Date]])),ReconciliationData[[#This Row],[Order_Date]]&gt;ReconciliationData[[#This Row],[End_Date]]),1,0)</f>
        <v>0</v>
      </c>
      <c r="U1059">
        <f>IF(AND(NOT(ISBLANK(ReconciliationData[[#This Row],[last_return_date]])),ReconciliationData[[#This Row],[last_return_date]]&gt;ReconciliationData[[#This Row],[Order_Date]]+60),1,0)</f>
        <v>0</v>
      </c>
      <c r="V1059">
        <f>IF(ReconciliationData[[#This Row],[total_returned_units]]&gt;ReconciliationData[[#This Row],[ordered_units]],1,0)</f>
        <v>0</v>
      </c>
      <c r="W10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59">
        <f>ReconciliationData[[#This Row],[Billed_Units]]*ReconciliationData[[#This Row],[Billed_Price]]</f>
        <v>23409.62</v>
      </c>
      <c r="Y1059">
        <f>ReconciliationData[[#This Row],[ordered_units]]*ReconciliationData[[#This Row],[List_Price]]</f>
        <v>23409.62</v>
      </c>
      <c r="Z1059">
        <f>ReconciliationData[[#This Row],[billed_revenue]]-ReconciliationData[[#This Row],[expected_revenue]]</f>
        <v>0</v>
      </c>
      <c r="AA10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59" t="str">
        <f>IF(ReconciliationData[[#This Row],[severity_score]]=0,"LOW",
 IF(ReconciliationData[[#This Row],[severity_score]]&lt;=5,"MEDIUM","HIGH"))</f>
        <v>LOW</v>
      </c>
      <c r="AC1059" t="str">
        <f>TEXT(ReconciliationData[[#This Row],[Order_Date]],"YYYY-MM")</f>
        <v>2023-02</v>
      </c>
    </row>
    <row r="1060" spans="1:29">
      <c r="A1060" t="s">
        <v>3127</v>
      </c>
      <c r="B1060" s="1">
        <v>45073</v>
      </c>
      <c r="C1060" t="s">
        <v>543</v>
      </c>
      <c r="D1060" t="s">
        <v>508</v>
      </c>
      <c r="E1060">
        <v>28</v>
      </c>
      <c r="F1060" t="s">
        <v>3128</v>
      </c>
      <c r="G1060">
        <v>28</v>
      </c>
      <c r="H1060">
        <v>443.27359999999999</v>
      </c>
      <c r="N1060">
        <v>443.27359999999999</v>
      </c>
      <c r="O1060" s="1">
        <v>44972</v>
      </c>
      <c r="P1060">
        <f>IF(ISBLANK(ReconciliationData[[#This Row],[Invoice_ID]]),1,0)</f>
        <v>0</v>
      </c>
      <c r="Q1060">
        <f>IF(AND(NOT(ISBLANK(ReconciliationData[[#This Row],[Billed_Units]])),ReconciliationData[[#This Row],[ordered_units]]&lt;&gt;ReconciliationData[[#This Row],[Billed_Units]]),1,0)</f>
        <v>0</v>
      </c>
      <c r="R10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0">
        <f>IF(AND(NOT(ISBLANK(ReconciliationData[[#This Row],[Contract_Price]])),ReconciliationData[[#This Row],[Billed_Price]]&lt;&gt;ReconciliationData[[#This Row],[Contract_Price]]),1,0)</f>
        <v>0</v>
      </c>
      <c r="T1060">
        <f>IF(AND(NOT(ISBLANK(ReconciliationData[[#This Row],[End_Date]])),ReconciliationData[[#This Row],[Order_Date]]&gt;ReconciliationData[[#This Row],[End_Date]]),1,0)</f>
        <v>0</v>
      </c>
      <c r="U1060">
        <f>IF(AND(NOT(ISBLANK(ReconciliationData[[#This Row],[last_return_date]])),ReconciliationData[[#This Row],[last_return_date]]&gt;ReconciliationData[[#This Row],[Order_Date]]+60),1,0)</f>
        <v>0</v>
      </c>
      <c r="V1060">
        <f>IF(ReconciliationData[[#This Row],[total_returned_units]]&gt;ReconciliationData[[#This Row],[ordered_units]],1,0)</f>
        <v>0</v>
      </c>
      <c r="W10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60">
        <f>ReconciliationData[[#This Row],[Billed_Units]]*ReconciliationData[[#This Row],[Billed_Price]]</f>
        <v>12411.6608</v>
      </c>
      <c r="Y1060">
        <f>ReconciliationData[[#This Row],[ordered_units]]*ReconciliationData[[#This Row],[List_Price]]</f>
        <v>12411.6608</v>
      </c>
      <c r="Z1060">
        <f>ReconciliationData[[#This Row],[billed_revenue]]-ReconciliationData[[#This Row],[expected_revenue]]</f>
        <v>0</v>
      </c>
      <c r="AA10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60" t="str">
        <f>IF(ReconciliationData[[#This Row],[severity_score]]=0,"LOW",
 IF(ReconciliationData[[#This Row],[severity_score]]&lt;=5,"MEDIUM","HIGH"))</f>
        <v>LOW</v>
      </c>
      <c r="AC1060" t="str">
        <f>TEXT(ReconciliationData[[#This Row],[Order_Date]],"YYYY-MM")</f>
        <v>2023-05</v>
      </c>
    </row>
    <row r="1061" spans="1:29">
      <c r="A1061" t="s">
        <v>3129</v>
      </c>
      <c r="B1061" s="1">
        <v>45001</v>
      </c>
      <c r="C1061" t="s">
        <v>1648</v>
      </c>
      <c r="D1061" t="s">
        <v>2471</v>
      </c>
      <c r="E1061">
        <v>107</v>
      </c>
      <c r="F1061" t="s">
        <v>3130</v>
      </c>
      <c r="G1061">
        <v>107</v>
      </c>
      <c r="H1061">
        <v>1077.26</v>
      </c>
      <c r="I1061">
        <v>4</v>
      </c>
      <c r="J1061" s="1">
        <v>45282</v>
      </c>
      <c r="N1061">
        <v>1077.26</v>
      </c>
      <c r="O1061" s="1">
        <v>44711</v>
      </c>
      <c r="P1061">
        <f>IF(ISBLANK(ReconciliationData[[#This Row],[Invoice_ID]]),1,0)</f>
        <v>0</v>
      </c>
      <c r="Q1061">
        <f>IF(AND(NOT(ISBLANK(ReconciliationData[[#This Row],[Billed_Units]])),ReconciliationData[[#This Row],[ordered_units]]&lt;&gt;ReconciliationData[[#This Row],[Billed_Units]]),1,0)</f>
        <v>0</v>
      </c>
      <c r="R10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1">
        <f>IF(AND(NOT(ISBLANK(ReconciliationData[[#This Row],[Contract_Price]])),ReconciliationData[[#This Row],[Billed_Price]]&lt;&gt;ReconciliationData[[#This Row],[Contract_Price]]),1,0)</f>
        <v>0</v>
      </c>
      <c r="T1061">
        <f>IF(AND(NOT(ISBLANK(ReconciliationData[[#This Row],[End_Date]])),ReconciliationData[[#This Row],[Order_Date]]&gt;ReconciliationData[[#This Row],[End_Date]]),1,0)</f>
        <v>0</v>
      </c>
      <c r="U1061">
        <f>IF(AND(NOT(ISBLANK(ReconciliationData[[#This Row],[last_return_date]])),ReconciliationData[[#This Row],[last_return_date]]&gt;ReconciliationData[[#This Row],[Order_Date]]+60),1,0)</f>
        <v>1</v>
      </c>
      <c r="V1061">
        <f>IF(ReconciliationData[[#This Row],[total_returned_units]]&gt;ReconciliationData[[#This Row],[ordered_units]],1,0)</f>
        <v>0</v>
      </c>
      <c r="W10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61">
        <f>ReconciliationData[[#This Row],[Billed_Units]]*ReconciliationData[[#This Row],[Billed_Price]]</f>
        <v>115266.81999999999</v>
      </c>
      <c r="Y1061">
        <f>ReconciliationData[[#This Row],[ordered_units]]*ReconciliationData[[#This Row],[List_Price]]</f>
        <v>115266.81999999999</v>
      </c>
      <c r="Z1061">
        <f>ReconciliationData[[#This Row],[billed_revenue]]-ReconciliationData[[#This Row],[expected_revenue]]</f>
        <v>0</v>
      </c>
      <c r="AA10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061" t="str">
        <f>IF(ReconciliationData[[#This Row],[severity_score]]=0,"LOW",
 IF(ReconciliationData[[#This Row],[severity_score]]&lt;=5,"MEDIUM","HIGH"))</f>
        <v>MEDIUM</v>
      </c>
      <c r="AC1061" t="str">
        <f>TEXT(ReconciliationData[[#This Row],[Order_Date]],"YYYY-MM")</f>
        <v>2023-03</v>
      </c>
    </row>
    <row r="1062" spans="1:29">
      <c r="A1062" t="s">
        <v>3131</v>
      </c>
      <c r="B1062" s="1">
        <v>45198</v>
      </c>
      <c r="C1062" t="s">
        <v>2497</v>
      </c>
      <c r="D1062" t="s">
        <v>544</v>
      </c>
      <c r="E1062">
        <v>17</v>
      </c>
      <c r="F1062" t="s">
        <v>3132</v>
      </c>
      <c r="G1062">
        <v>17</v>
      </c>
      <c r="H1062">
        <v>765.52319999999997</v>
      </c>
      <c r="I1062">
        <v>14</v>
      </c>
      <c r="J1062" s="1">
        <v>45121</v>
      </c>
      <c r="N1062">
        <v>765.52319999999997</v>
      </c>
      <c r="O1062" s="1">
        <v>45174</v>
      </c>
      <c r="P1062">
        <f>IF(ISBLANK(ReconciliationData[[#This Row],[Invoice_ID]]),1,0)</f>
        <v>0</v>
      </c>
      <c r="Q1062">
        <f>IF(AND(NOT(ISBLANK(ReconciliationData[[#This Row],[Billed_Units]])),ReconciliationData[[#This Row],[ordered_units]]&lt;&gt;ReconciliationData[[#This Row],[Billed_Units]]),1,0)</f>
        <v>0</v>
      </c>
      <c r="R10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2">
        <f>IF(AND(NOT(ISBLANK(ReconciliationData[[#This Row],[Contract_Price]])),ReconciliationData[[#This Row],[Billed_Price]]&lt;&gt;ReconciliationData[[#This Row],[Contract_Price]]),1,0)</f>
        <v>0</v>
      </c>
      <c r="T1062">
        <f>IF(AND(NOT(ISBLANK(ReconciliationData[[#This Row],[End_Date]])),ReconciliationData[[#This Row],[Order_Date]]&gt;ReconciliationData[[#This Row],[End_Date]]),1,0)</f>
        <v>0</v>
      </c>
      <c r="U1062">
        <f>IF(AND(NOT(ISBLANK(ReconciliationData[[#This Row],[last_return_date]])),ReconciliationData[[#This Row],[last_return_date]]&gt;ReconciliationData[[#This Row],[Order_Date]]+60),1,0)</f>
        <v>0</v>
      </c>
      <c r="V1062">
        <f>IF(ReconciliationData[[#This Row],[total_returned_units]]&gt;ReconciliationData[[#This Row],[ordered_units]],1,0)</f>
        <v>0</v>
      </c>
      <c r="W10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62">
        <f>ReconciliationData[[#This Row],[Billed_Units]]*ReconciliationData[[#This Row],[Billed_Price]]</f>
        <v>13013.894399999999</v>
      </c>
      <c r="Y1062">
        <f>ReconciliationData[[#This Row],[ordered_units]]*ReconciliationData[[#This Row],[List_Price]]</f>
        <v>13013.894399999999</v>
      </c>
      <c r="Z1062">
        <f>ReconciliationData[[#This Row],[billed_revenue]]-ReconciliationData[[#This Row],[expected_revenue]]</f>
        <v>0</v>
      </c>
      <c r="AA10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62" t="str">
        <f>IF(ReconciliationData[[#This Row],[severity_score]]=0,"LOW",
 IF(ReconciliationData[[#This Row],[severity_score]]&lt;=5,"MEDIUM","HIGH"))</f>
        <v>LOW</v>
      </c>
      <c r="AC1062" t="str">
        <f>TEXT(ReconciliationData[[#This Row],[Order_Date]],"YYYY-MM")</f>
        <v>2023-09</v>
      </c>
    </row>
    <row r="1063" spans="1:29">
      <c r="A1063" t="s">
        <v>3133</v>
      </c>
      <c r="B1063" s="1">
        <v>45282</v>
      </c>
      <c r="C1063" t="s">
        <v>1709</v>
      </c>
      <c r="D1063" t="s">
        <v>958</v>
      </c>
      <c r="E1063">
        <v>39</v>
      </c>
      <c r="F1063" t="s">
        <v>3134</v>
      </c>
      <c r="G1063">
        <v>39</v>
      </c>
      <c r="H1063">
        <v>147.87150000000003</v>
      </c>
      <c r="N1063">
        <v>147.87150000000003</v>
      </c>
      <c r="O1063" s="1">
        <v>44972</v>
      </c>
      <c r="P1063">
        <f>IF(ISBLANK(ReconciliationData[[#This Row],[Invoice_ID]]),1,0)</f>
        <v>0</v>
      </c>
      <c r="Q1063">
        <f>IF(AND(NOT(ISBLANK(ReconciliationData[[#This Row],[Billed_Units]])),ReconciliationData[[#This Row],[ordered_units]]&lt;&gt;ReconciliationData[[#This Row],[Billed_Units]]),1,0)</f>
        <v>0</v>
      </c>
      <c r="R10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3">
        <f>IF(AND(NOT(ISBLANK(ReconciliationData[[#This Row],[Contract_Price]])),ReconciliationData[[#This Row],[Billed_Price]]&lt;&gt;ReconciliationData[[#This Row],[Contract_Price]]),1,0)</f>
        <v>0</v>
      </c>
      <c r="T1063">
        <f>IF(AND(NOT(ISBLANK(ReconciliationData[[#This Row],[End_Date]])),ReconciliationData[[#This Row],[Order_Date]]&gt;ReconciliationData[[#This Row],[End_Date]]),1,0)</f>
        <v>0</v>
      </c>
      <c r="U1063">
        <f>IF(AND(NOT(ISBLANK(ReconciliationData[[#This Row],[last_return_date]])),ReconciliationData[[#This Row],[last_return_date]]&gt;ReconciliationData[[#This Row],[Order_Date]]+60),1,0)</f>
        <v>0</v>
      </c>
      <c r="V1063">
        <f>IF(ReconciliationData[[#This Row],[total_returned_units]]&gt;ReconciliationData[[#This Row],[ordered_units]],1,0)</f>
        <v>0</v>
      </c>
      <c r="W10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63">
        <f>ReconciliationData[[#This Row],[Billed_Units]]*ReconciliationData[[#This Row],[Billed_Price]]</f>
        <v>5766.9885000000013</v>
      </c>
      <c r="Y1063">
        <f>ReconciliationData[[#This Row],[ordered_units]]*ReconciliationData[[#This Row],[List_Price]]</f>
        <v>5766.9885000000013</v>
      </c>
      <c r="Z1063">
        <f>ReconciliationData[[#This Row],[billed_revenue]]-ReconciliationData[[#This Row],[expected_revenue]]</f>
        <v>0</v>
      </c>
      <c r="AA10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63" t="str">
        <f>IF(ReconciliationData[[#This Row],[severity_score]]=0,"LOW",
 IF(ReconciliationData[[#This Row],[severity_score]]&lt;=5,"MEDIUM","HIGH"))</f>
        <v>LOW</v>
      </c>
      <c r="AC1063" t="str">
        <f>TEXT(ReconciliationData[[#This Row],[Order_Date]],"YYYY-MM")</f>
        <v>2023-12</v>
      </c>
    </row>
    <row r="1064" spans="1:29">
      <c r="A1064" t="s">
        <v>3135</v>
      </c>
      <c r="B1064" s="1">
        <v>45312</v>
      </c>
      <c r="C1064" t="s">
        <v>968</v>
      </c>
      <c r="D1064" t="s">
        <v>1400</v>
      </c>
      <c r="E1064">
        <v>76</v>
      </c>
      <c r="F1064" t="s">
        <v>3136</v>
      </c>
      <c r="G1064">
        <v>76</v>
      </c>
      <c r="H1064">
        <v>512.04</v>
      </c>
      <c r="N1064">
        <v>512.04</v>
      </c>
      <c r="O1064" s="1">
        <v>44928</v>
      </c>
      <c r="P1064">
        <f>IF(ISBLANK(ReconciliationData[[#This Row],[Invoice_ID]]),1,0)</f>
        <v>0</v>
      </c>
      <c r="Q1064">
        <f>IF(AND(NOT(ISBLANK(ReconciliationData[[#This Row],[Billed_Units]])),ReconciliationData[[#This Row],[ordered_units]]&lt;&gt;ReconciliationData[[#This Row],[Billed_Units]]),1,0)</f>
        <v>0</v>
      </c>
      <c r="R10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4">
        <f>IF(AND(NOT(ISBLANK(ReconciliationData[[#This Row],[Contract_Price]])),ReconciliationData[[#This Row],[Billed_Price]]&lt;&gt;ReconciliationData[[#This Row],[Contract_Price]]),1,0)</f>
        <v>0</v>
      </c>
      <c r="T1064">
        <f>IF(AND(NOT(ISBLANK(ReconciliationData[[#This Row],[End_Date]])),ReconciliationData[[#This Row],[Order_Date]]&gt;ReconciliationData[[#This Row],[End_Date]]),1,0)</f>
        <v>0</v>
      </c>
      <c r="U1064">
        <f>IF(AND(NOT(ISBLANK(ReconciliationData[[#This Row],[last_return_date]])),ReconciliationData[[#This Row],[last_return_date]]&gt;ReconciliationData[[#This Row],[Order_Date]]+60),1,0)</f>
        <v>0</v>
      </c>
      <c r="V1064">
        <f>IF(ReconciliationData[[#This Row],[total_returned_units]]&gt;ReconciliationData[[#This Row],[ordered_units]],1,0)</f>
        <v>0</v>
      </c>
      <c r="W10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64">
        <f>ReconciliationData[[#This Row],[Billed_Units]]*ReconciliationData[[#This Row],[Billed_Price]]</f>
        <v>38915.039999999994</v>
      </c>
      <c r="Y1064">
        <f>ReconciliationData[[#This Row],[ordered_units]]*ReconciliationData[[#This Row],[List_Price]]</f>
        <v>38915.039999999994</v>
      </c>
      <c r="Z1064">
        <f>ReconciliationData[[#This Row],[billed_revenue]]-ReconciliationData[[#This Row],[expected_revenue]]</f>
        <v>0</v>
      </c>
      <c r="AA10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64" t="str">
        <f>IF(ReconciliationData[[#This Row],[severity_score]]=0,"LOW",
 IF(ReconciliationData[[#This Row],[severity_score]]&lt;=5,"MEDIUM","HIGH"))</f>
        <v>LOW</v>
      </c>
      <c r="AC1064" t="str">
        <f>TEXT(ReconciliationData[[#This Row],[Order_Date]],"YYYY-MM")</f>
        <v>2024-01</v>
      </c>
    </row>
    <row r="1065" spans="1:29">
      <c r="A1065" t="s">
        <v>3137</v>
      </c>
      <c r="B1065" s="1">
        <v>45068</v>
      </c>
      <c r="C1065" t="s">
        <v>2430</v>
      </c>
      <c r="D1065" t="s">
        <v>722</v>
      </c>
      <c r="E1065">
        <v>112</v>
      </c>
      <c r="F1065" t="s">
        <v>3138</v>
      </c>
      <c r="G1065">
        <v>112</v>
      </c>
      <c r="H1065">
        <v>343.34190000000001</v>
      </c>
      <c r="N1065">
        <v>343.34190000000001</v>
      </c>
      <c r="O1065" s="1">
        <v>44836</v>
      </c>
      <c r="P1065">
        <f>IF(ISBLANK(ReconciliationData[[#This Row],[Invoice_ID]]),1,0)</f>
        <v>0</v>
      </c>
      <c r="Q1065">
        <f>IF(AND(NOT(ISBLANK(ReconciliationData[[#This Row],[Billed_Units]])),ReconciliationData[[#This Row],[ordered_units]]&lt;&gt;ReconciliationData[[#This Row],[Billed_Units]]),1,0)</f>
        <v>0</v>
      </c>
      <c r="R10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5">
        <f>IF(AND(NOT(ISBLANK(ReconciliationData[[#This Row],[Contract_Price]])),ReconciliationData[[#This Row],[Billed_Price]]&lt;&gt;ReconciliationData[[#This Row],[Contract_Price]]),1,0)</f>
        <v>0</v>
      </c>
      <c r="T1065">
        <f>IF(AND(NOT(ISBLANK(ReconciliationData[[#This Row],[End_Date]])),ReconciliationData[[#This Row],[Order_Date]]&gt;ReconciliationData[[#This Row],[End_Date]]),1,0)</f>
        <v>0</v>
      </c>
      <c r="U1065">
        <f>IF(AND(NOT(ISBLANK(ReconciliationData[[#This Row],[last_return_date]])),ReconciliationData[[#This Row],[last_return_date]]&gt;ReconciliationData[[#This Row],[Order_Date]]+60),1,0)</f>
        <v>0</v>
      </c>
      <c r="V1065">
        <f>IF(ReconciliationData[[#This Row],[total_returned_units]]&gt;ReconciliationData[[#This Row],[ordered_units]],1,0)</f>
        <v>0</v>
      </c>
      <c r="W10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65">
        <f>ReconciliationData[[#This Row],[Billed_Units]]*ReconciliationData[[#This Row],[Billed_Price]]</f>
        <v>38454.292800000003</v>
      </c>
      <c r="Y1065">
        <f>ReconciliationData[[#This Row],[ordered_units]]*ReconciliationData[[#This Row],[List_Price]]</f>
        <v>38454.292800000003</v>
      </c>
      <c r="Z1065">
        <f>ReconciliationData[[#This Row],[billed_revenue]]-ReconciliationData[[#This Row],[expected_revenue]]</f>
        <v>0</v>
      </c>
      <c r="AA10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65" t="str">
        <f>IF(ReconciliationData[[#This Row],[severity_score]]=0,"LOW",
 IF(ReconciliationData[[#This Row],[severity_score]]&lt;=5,"MEDIUM","HIGH"))</f>
        <v>LOW</v>
      </c>
      <c r="AC1065" t="str">
        <f>TEXT(ReconciliationData[[#This Row],[Order_Date]],"YYYY-MM")</f>
        <v>2023-05</v>
      </c>
    </row>
    <row r="1066" spans="1:29">
      <c r="A1066" t="s">
        <v>3139</v>
      </c>
      <c r="B1066" s="1">
        <v>45276</v>
      </c>
      <c r="C1066" t="s">
        <v>3140</v>
      </c>
      <c r="D1066" t="s">
        <v>190</v>
      </c>
      <c r="E1066">
        <v>50</v>
      </c>
      <c r="F1066" t="s">
        <v>3141</v>
      </c>
      <c r="G1066">
        <v>50</v>
      </c>
      <c r="H1066">
        <v>265.44960000000003</v>
      </c>
      <c r="N1066">
        <v>265.44960000000003</v>
      </c>
      <c r="O1066" s="1">
        <v>44999</v>
      </c>
      <c r="P1066">
        <f>IF(ISBLANK(ReconciliationData[[#This Row],[Invoice_ID]]),1,0)</f>
        <v>0</v>
      </c>
      <c r="Q1066">
        <f>IF(AND(NOT(ISBLANK(ReconciliationData[[#This Row],[Billed_Units]])),ReconciliationData[[#This Row],[ordered_units]]&lt;&gt;ReconciliationData[[#This Row],[Billed_Units]]),1,0)</f>
        <v>0</v>
      </c>
      <c r="R10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6">
        <f>IF(AND(NOT(ISBLANK(ReconciliationData[[#This Row],[Contract_Price]])),ReconciliationData[[#This Row],[Billed_Price]]&lt;&gt;ReconciliationData[[#This Row],[Contract_Price]]),1,0)</f>
        <v>0</v>
      </c>
      <c r="T1066">
        <f>IF(AND(NOT(ISBLANK(ReconciliationData[[#This Row],[End_Date]])),ReconciliationData[[#This Row],[Order_Date]]&gt;ReconciliationData[[#This Row],[End_Date]]),1,0)</f>
        <v>0</v>
      </c>
      <c r="U1066">
        <f>IF(AND(NOT(ISBLANK(ReconciliationData[[#This Row],[last_return_date]])),ReconciliationData[[#This Row],[last_return_date]]&gt;ReconciliationData[[#This Row],[Order_Date]]+60),1,0)</f>
        <v>0</v>
      </c>
      <c r="V1066">
        <f>IF(ReconciliationData[[#This Row],[total_returned_units]]&gt;ReconciliationData[[#This Row],[ordered_units]],1,0)</f>
        <v>0</v>
      </c>
      <c r="W10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66">
        <f>ReconciliationData[[#This Row],[Billed_Units]]*ReconciliationData[[#This Row],[Billed_Price]]</f>
        <v>13272.480000000001</v>
      </c>
      <c r="Y1066">
        <f>ReconciliationData[[#This Row],[ordered_units]]*ReconciliationData[[#This Row],[List_Price]]</f>
        <v>13272.480000000001</v>
      </c>
      <c r="Z1066">
        <f>ReconciliationData[[#This Row],[billed_revenue]]-ReconciliationData[[#This Row],[expected_revenue]]</f>
        <v>0</v>
      </c>
      <c r="AA10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66" t="str">
        <f>IF(ReconciliationData[[#This Row],[severity_score]]=0,"LOW",
 IF(ReconciliationData[[#This Row],[severity_score]]&lt;=5,"MEDIUM","HIGH"))</f>
        <v>LOW</v>
      </c>
      <c r="AC1066" t="str">
        <f>TEXT(ReconciliationData[[#This Row],[Order_Date]],"YYYY-MM")</f>
        <v>2023-12</v>
      </c>
    </row>
    <row r="1067" spans="1:29">
      <c r="A1067" t="s">
        <v>3142</v>
      </c>
      <c r="B1067" s="1">
        <v>45257</v>
      </c>
      <c r="C1067" t="s">
        <v>2500</v>
      </c>
      <c r="D1067" t="s">
        <v>983</v>
      </c>
      <c r="E1067">
        <v>35</v>
      </c>
      <c r="F1067" t="s">
        <v>3143</v>
      </c>
      <c r="G1067">
        <v>35</v>
      </c>
      <c r="H1067">
        <v>226.1644</v>
      </c>
      <c r="N1067">
        <v>226.1644</v>
      </c>
      <c r="O1067" s="1">
        <v>45139</v>
      </c>
      <c r="P1067">
        <f>IF(ISBLANK(ReconciliationData[[#This Row],[Invoice_ID]]),1,0)</f>
        <v>0</v>
      </c>
      <c r="Q1067">
        <f>IF(AND(NOT(ISBLANK(ReconciliationData[[#This Row],[Billed_Units]])),ReconciliationData[[#This Row],[ordered_units]]&lt;&gt;ReconciliationData[[#This Row],[Billed_Units]]),1,0)</f>
        <v>0</v>
      </c>
      <c r="R10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7">
        <f>IF(AND(NOT(ISBLANK(ReconciliationData[[#This Row],[Contract_Price]])),ReconciliationData[[#This Row],[Billed_Price]]&lt;&gt;ReconciliationData[[#This Row],[Contract_Price]]),1,0)</f>
        <v>0</v>
      </c>
      <c r="T1067">
        <f>IF(AND(NOT(ISBLANK(ReconciliationData[[#This Row],[End_Date]])),ReconciliationData[[#This Row],[Order_Date]]&gt;ReconciliationData[[#This Row],[End_Date]]),1,0)</f>
        <v>0</v>
      </c>
      <c r="U1067">
        <f>IF(AND(NOT(ISBLANK(ReconciliationData[[#This Row],[last_return_date]])),ReconciliationData[[#This Row],[last_return_date]]&gt;ReconciliationData[[#This Row],[Order_Date]]+60),1,0)</f>
        <v>0</v>
      </c>
      <c r="V1067">
        <f>IF(ReconciliationData[[#This Row],[total_returned_units]]&gt;ReconciliationData[[#This Row],[ordered_units]],1,0)</f>
        <v>0</v>
      </c>
      <c r="W10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67">
        <f>ReconciliationData[[#This Row],[Billed_Units]]*ReconciliationData[[#This Row],[Billed_Price]]</f>
        <v>7915.7539999999999</v>
      </c>
      <c r="Y1067">
        <f>ReconciliationData[[#This Row],[ordered_units]]*ReconciliationData[[#This Row],[List_Price]]</f>
        <v>7915.7539999999999</v>
      </c>
      <c r="Z1067">
        <f>ReconciliationData[[#This Row],[billed_revenue]]-ReconciliationData[[#This Row],[expected_revenue]]</f>
        <v>0</v>
      </c>
      <c r="AA10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67" t="str">
        <f>IF(ReconciliationData[[#This Row],[severity_score]]=0,"LOW",
 IF(ReconciliationData[[#This Row],[severity_score]]&lt;=5,"MEDIUM","HIGH"))</f>
        <v>LOW</v>
      </c>
      <c r="AC1067" t="str">
        <f>TEXT(ReconciliationData[[#This Row],[Order_Date]],"YYYY-MM")</f>
        <v>2023-11</v>
      </c>
    </row>
    <row r="1068" spans="1:29">
      <c r="A1068" t="s">
        <v>3144</v>
      </c>
      <c r="B1068" s="1">
        <v>45637</v>
      </c>
      <c r="C1068" t="s">
        <v>3145</v>
      </c>
      <c r="D1068" t="s">
        <v>544</v>
      </c>
      <c r="E1068">
        <v>167</v>
      </c>
      <c r="F1068" t="s">
        <v>3146</v>
      </c>
      <c r="G1068">
        <v>167</v>
      </c>
      <c r="H1068">
        <v>765.52319999999997</v>
      </c>
      <c r="N1068">
        <v>765.52319999999997</v>
      </c>
      <c r="O1068" s="1">
        <v>45174</v>
      </c>
      <c r="P1068">
        <f>IF(ISBLANK(ReconciliationData[[#This Row],[Invoice_ID]]),1,0)</f>
        <v>0</v>
      </c>
      <c r="Q1068">
        <f>IF(AND(NOT(ISBLANK(ReconciliationData[[#This Row],[Billed_Units]])),ReconciliationData[[#This Row],[ordered_units]]&lt;&gt;ReconciliationData[[#This Row],[Billed_Units]]),1,0)</f>
        <v>0</v>
      </c>
      <c r="R10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8">
        <f>IF(AND(NOT(ISBLANK(ReconciliationData[[#This Row],[Contract_Price]])),ReconciliationData[[#This Row],[Billed_Price]]&lt;&gt;ReconciliationData[[#This Row],[Contract_Price]]),1,0)</f>
        <v>0</v>
      </c>
      <c r="T1068">
        <f>IF(AND(NOT(ISBLANK(ReconciliationData[[#This Row],[End_Date]])),ReconciliationData[[#This Row],[Order_Date]]&gt;ReconciliationData[[#This Row],[End_Date]]),1,0)</f>
        <v>0</v>
      </c>
      <c r="U1068">
        <f>IF(AND(NOT(ISBLANK(ReconciliationData[[#This Row],[last_return_date]])),ReconciliationData[[#This Row],[last_return_date]]&gt;ReconciliationData[[#This Row],[Order_Date]]+60),1,0)</f>
        <v>0</v>
      </c>
      <c r="V1068">
        <f>IF(ReconciliationData[[#This Row],[total_returned_units]]&gt;ReconciliationData[[#This Row],[ordered_units]],1,0)</f>
        <v>0</v>
      </c>
      <c r="W10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68">
        <f>ReconciliationData[[#This Row],[Billed_Units]]*ReconciliationData[[#This Row],[Billed_Price]]</f>
        <v>127842.3744</v>
      </c>
      <c r="Y1068">
        <f>ReconciliationData[[#This Row],[ordered_units]]*ReconciliationData[[#This Row],[List_Price]]</f>
        <v>127842.3744</v>
      </c>
      <c r="Z1068">
        <f>ReconciliationData[[#This Row],[billed_revenue]]-ReconciliationData[[#This Row],[expected_revenue]]</f>
        <v>0</v>
      </c>
      <c r="AA10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68" t="str">
        <f>IF(ReconciliationData[[#This Row],[severity_score]]=0,"LOW",
 IF(ReconciliationData[[#This Row],[severity_score]]&lt;=5,"MEDIUM","HIGH"))</f>
        <v>LOW</v>
      </c>
      <c r="AC1068" t="str">
        <f>TEXT(ReconciliationData[[#This Row],[Order_Date]],"YYYY-MM")</f>
        <v>2024-12</v>
      </c>
    </row>
    <row r="1069" spans="1:29">
      <c r="A1069" t="s">
        <v>3147</v>
      </c>
      <c r="B1069" s="1">
        <v>45608</v>
      </c>
      <c r="C1069" t="s">
        <v>3148</v>
      </c>
      <c r="D1069" t="s">
        <v>1179</v>
      </c>
      <c r="E1069">
        <v>32</v>
      </c>
      <c r="F1069" t="s">
        <v>3149</v>
      </c>
      <c r="G1069">
        <v>32</v>
      </c>
      <c r="H1069">
        <v>892.1431</v>
      </c>
      <c r="N1069">
        <v>892.1431</v>
      </c>
      <c r="O1069" s="1">
        <v>45222</v>
      </c>
      <c r="P1069">
        <f>IF(ISBLANK(ReconciliationData[[#This Row],[Invoice_ID]]),1,0)</f>
        <v>0</v>
      </c>
      <c r="Q1069">
        <f>IF(AND(NOT(ISBLANK(ReconciliationData[[#This Row],[Billed_Units]])),ReconciliationData[[#This Row],[ordered_units]]&lt;&gt;ReconciliationData[[#This Row],[Billed_Units]]),1,0)</f>
        <v>0</v>
      </c>
      <c r="R10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69">
        <f>IF(AND(NOT(ISBLANK(ReconciliationData[[#This Row],[Contract_Price]])),ReconciliationData[[#This Row],[Billed_Price]]&lt;&gt;ReconciliationData[[#This Row],[Contract_Price]]),1,0)</f>
        <v>0</v>
      </c>
      <c r="T1069">
        <f>IF(AND(NOT(ISBLANK(ReconciliationData[[#This Row],[End_Date]])),ReconciliationData[[#This Row],[Order_Date]]&gt;ReconciliationData[[#This Row],[End_Date]]),1,0)</f>
        <v>0</v>
      </c>
      <c r="U1069">
        <f>IF(AND(NOT(ISBLANK(ReconciliationData[[#This Row],[last_return_date]])),ReconciliationData[[#This Row],[last_return_date]]&gt;ReconciliationData[[#This Row],[Order_Date]]+60),1,0)</f>
        <v>0</v>
      </c>
      <c r="V1069">
        <f>IF(ReconciliationData[[#This Row],[total_returned_units]]&gt;ReconciliationData[[#This Row],[ordered_units]],1,0)</f>
        <v>0</v>
      </c>
      <c r="W10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69">
        <f>ReconciliationData[[#This Row],[Billed_Units]]*ReconciliationData[[#This Row],[Billed_Price]]</f>
        <v>28548.5792</v>
      </c>
      <c r="Y1069">
        <f>ReconciliationData[[#This Row],[ordered_units]]*ReconciliationData[[#This Row],[List_Price]]</f>
        <v>28548.5792</v>
      </c>
      <c r="Z1069">
        <f>ReconciliationData[[#This Row],[billed_revenue]]-ReconciliationData[[#This Row],[expected_revenue]]</f>
        <v>0</v>
      </c>
      <c r="AA10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69" t="str">
        <f>IF(ReconciliationData[[#This Row],[severity_score]]=0,"LOW",
 IF(ReconciliationData[[#This Row],[severity_score]]&lt;=5,"MEDIUM","HIGH"))</f>
        <v>LOW</v>
      </c>
      <c r="AC1069" t="str">
        <f>TEXT(ReconciliationData[[#This Row],[Order_Date]],"YYYY-MM")</f>
        <v>2024-11</v>
      </c>
    </row>
    <row r="1070" spans="1:29">
      <c r="A1070" t="s">
        <v>3150</v>
      </c>
      <c r="B1070" s="1">
        <v>45282</v>
      </c>
      <c r="C1070" t="s">
        <v>1439</v>
      </c>
      <c r="D1070" t="s">
        <v>1495</v>
      </c>
      <c r="E1070">
        <v>65</v>
      </c>
      <c r="F1070" t="s">
        <v>3151</v>
      </c>
      <c r="G1070">
        <v>65</v>
      </c>
      <c r="H1070">
        <v>377.08350000000002</v>
      </c>
      <c r="N1070">
        <v>377.08350000000002</v>
      </c>
      <c r="O1070" s="1">
        <v>45064</v>
      </c>
      <c r="P1070">
        <f>IF(ISBLANK(ReconciliationData[[#This Row],[Invoice_ID]]),1,0)</f>
        <v>0</v>
      </c>
      <c r="Q1070">
        <f>IF(AND(NOT(ISBLANK(ReconciliationData[[#This Row],[Billed_Units]])),ReconciliationData[[#This Row],[ordered_units]]&lt;&gt;ReconciliationData[[#This Row],[Billed_Units]]),1,0)</f>
        <v>0</v>
      </c>
      <c r="R10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0">
        <f>IF(AND(NOT(ISBLANK(ReconciliationData[[#This Row],[Contract_Price]])),ReconciliationData[[#This Row],[Billed_Price]]&lt;&gt;ReconciliationData[[#This Row],[Contract_Price]]),1,0)</f>
        <v>0</v>
      </c>
      <c r="T1070">
        <f>IF(AND(NOT(ISBLANK(ReconciliationData[[#This Row],[End_Date]])),ReconciliationData[[#This Row],[Order_Date]]&gt;ReconciliationData[[#This Row],[End_Date]]),1,0)</f>
        <v>0</v>
      </c>
      <c r="U1070">
        <f>IF(AND(NOT(ISBLANK(ReconciliationData[[#This Row],[last_return_date]])),ReconciliationData[[#This Row],[last_return_date]]&gt;ReconciliationData[[#This Row],[Order_Date]]+60),1,0)</f>
        <v>0</v>
      </c>
      <c r="V1070">
        <f>IF(ReconciliationData[[#This Row],[total_returned_units]]&gt;ReconciliationData[[#This Row],[ordered_units]],1,0)</f>
        <v>0</v>
      </c>
      <c r="W10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0">
        <f>ReconciliationData[[#This Row],[Billed_Units]]*ReconciliationData[[#This Row],[Billed_Price]]</f>
        <v>24510.427500000002</v>
      </c>
      <c r="Y1070">
        <f>ReconciliationData[[#This Row],[ordered_units]]*ReconciliationData[[#This Row],[List_Price]]</f>
        <v>24510.427500000002</v>
      </c>
      <c r="Z1070">
        <f>ReconciliationData[[#This Row],[billed_revenue]]-ReconciliationData[[#This Row],[expected_revenue]]</f>
        <v>0</v>
      </c>
      <c r="AA10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0" t="str">
        <f>IF(ReconciliationData[[#This Row],[severity_score]]=0,"LOW",
 IF(ReconciliationData[[#This Row],[severity_score]]&lt;=5,"MEDIUM","HIGH"))</f>
        <v>LOW</v>
      </c>
      <c r="AC1070" t="str">
        <f>TEXT(ReconciliationData[[#This Row],[Order_Date]],"YYYY-MM")</f>
        <v>2023-12</v>
      </c>
    </row>
    <row r="1071" spans="1:29">
      <c r="A1071" t="s">
        <v>3152</v>
      </c>
      <c r="B1071" s="1">
        <v>45531</v>
      </c>
      <c r="C1071" t="s">
        <v>1801</v>
      </c>
      <c r="D1071" t="s">
        <v>190</v>
      </c>
      <c r="E1071">
        <v>43</v>
      </c>
      <c r="F1071" t="s">
        <v>3153</v>
      </c>
      <c r="G1071">
        <v>43</v>
      </c>
      <c r="H1071">
        <v>265.44960000000003</v>
      </c>
      <c r="N1071">
        <v>265.44960000000003</v>
      </c>
      <c r="O1071" s="1">
        <v>44999</v>
      </c>
      <c r="P1071">
        <f>IF(ISBLANK(ReconciliationData[[#This Row],[Invoice_ID]]),1,0)</f>
        <v>0</v>
      </c>
      <c r="Q1071">
        <f>IF(AND(NOT(ISBLANK(ReconciliationData[[#This Row],[Billed_Units]])),ReconciliationData[[#This Row],[ordered_units]]&lt;&gt;ReconciliationData[[#This Row],[Billed_Units]]),1,0)</f>
        <v>0</v>
      </c>
      <c r="R10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1">
        <f>IF(AND(NOT(ISBLANK(ReconciliationData[[#This Row],[Contract_Price]])),ReconciliationData[[#This Row],[Billed_Price]]&lt;&gt;ReconciliationData[[#This Row],[Contract_Price]]),1,0)</f>
        <v>0</v>
      </c>
      <c r="T1071">
        <f>IF(AND(NOT(ISBLANK(ReconciliationData[[#This Row],[End_Date]])),ReconciliationData[[#This Row],[Order_Date]]&gt;ReconciliationData[[#This Row],[End_Date]]),1,0)</f>
        <v>0</v>
      </c>
      <c r="U1071">
        <f>IF(AND(NOT(ISBLANK(ReconciliationData[[#This Row],[last_return_date]])),ReconciliationData[[#This Row],[last_return_date]]&gt;ReconciliationData[[#This Row],[Order_Date]]+60),1,0)</f>
        <v>0</v>
      </c>
      <c r="V1071">
        <f>IF(ReconciliationData[[#This Row],[total_returned_units]]&gt;ReconciliationData[[#This Row],[ordered_units]],1,0)</f>
        <v>0</v>
      </c>
      <c r="W10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1">
        <f>ReconciliationData[[#This Row],[Billed_Units]]*ReconciliationData[[#This Row],[Billed_Price]]</f>
        <v>11414.332800000002</v>
      </c>
      <c r="Y1071">
        <f>ReconciliationData[[#This Row],[ordered_units]]*ReconciliationData[[#This Row],[List_Price]]</f>
        <v>11414.332800000002</v>
      </c>
      <c r="Z1071">
        <f>ReconciliationData[[#This Row],[billed_revenue]]-ReconciliationData[[#This Row],[expected_revenue]]</f>
        <v>0</v>
      </c>
      <c r="AA10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1" t="str">
        <f>IF(ReconciliationData[[#This Row],[severity_score]]=0,"LOW",
 IF(ReconciliationData[[#This Row],[severity_score]]&lt;=5,"MEDIUM","HIGH"))</f>
        <v>LOW</v>
      </c>
      <c r="AC1071" t="str">
        <f>TEXT(ReconciliationData[[#This Row],[Order_Date]],"YYYY-MM")</f>
        <v>2024-08</v>
      </c>
    </row>
    <row r="1072" spans="1:29">
      <c r="A1072" t="s">
        <v>3154</v>
      </c>
      <c r="B1072" s="1">
        <v>45417</v>
      </c>
      <c r="C1072" t="s">
        <v>2639</v>
      </c>
      <c r="D1072" t="s">
        <v>573</v>
      </c>
      <c r="E1072">
        <v>173</v>
      </c>
      <c r="F1072" t="s">
        <v>3155</v>
      </c>
      <c r="G1072">
        <v>173</v>
      </c>
      <c r="H1072">
        <v>1223.9694</v>
      </c>
      <c r="N1072">
        <v>1223.9694</v>
      </c>
      <c r="O1072" s="1">
        <v>45154</v>
      </c>
      <c r="P1072">
        <f>IF(ISBLANK(ReconciliationData[[#This Row],[Invoice_ID]]),1,0)</f>
        <v>0</v>
      </c>
      <c r="Q1072">
        <f>IF(AND(NOT(ISBLANK(ReconciliationData[[#This Row],[Billed_Units]])),ReconciliationData[[#This Row],[ordered_units]]&lt;&gt;ReconciliationData[[#This Row],[Billed_Units]]),1,0)</f>
        <v>0</v>
      </c>
      <c r="R10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2">
        <f>IF(AND(NOT(ISBLANK(ReconciliationData[[#This Row],[Contract_Price]])),ReconciliationData[[#This Row],[Billed_Price]]&lt;&gt;ReconciliationData[[#This Row],[Contract_Price]]),1,0)</f>
        <v>0</v>
      </c>
      <c r="T1072">
        <f>IF(AND(NOT(ISBLANK(ReconciliationData[[#This Row],[End_Date]])),ReconciliationData[[#This Row],[Order_Date]]&gt;ReconciliationData[[#This Row],[End_Date]]),1,0)</f>
        <v>0</v>
      </c>
      <c r="U1072">
        <f>IF(AND(NOT(ISBLANK(ReconciliationData[[#This Row],[last_return_date]])),ReconciliationData[[#This Row],[last_return_date]]&gt;ReconciliationData[[#This Row],[Order_Date]]+60),1,0)</f>
        <v>0</v>
      </c>
      <c r="V1072">
        <f>IF(ReconciliationData[[#This Row],[total_returned_units]]&gt;ReconciliationData[[#This Row],[ordered_units]],1,0)</f>
        <v>0</v>
      </c>
      <c r="W10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2">
        <f>ReconciliationData[[#This Row],[Billed_Units]]*ReconciliationData[[#This Row],[Billed_Price]]</f>
        <v>211746.70619999999</v>
      </c>
      <c r="Y1072">
        <f>ReconciliationData[[#This Row],[ordered_units]]*ReconciliationData[[#This Row],[List_Price]]</f>
        <v>211746.70619999999</v>
      </c>
      <c r="Z1072">
        <f>ReconciliationData[[#This Row],[billed_revenue]]-ReconciliationData[[#This Row],[expected_revenue]]</f>
        <v>0</v>
      </c>
      <c r="AA10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2" t="str">
        <f>IF(ReconciliationData[[#This Row],[severity_score]]=0,"LOW",
 IF(ReconciliationData[[#This Row],[severity_score]]&lt;=5,"MEDIUM","HIGH"))</f>
        <v>LOW</v>
      </c>
      <c r="AC1072" t="str">
        <f>TEXT(ReconciliationData[[#This Row],[Order_Date]],"YYYY-MM")</f>
        <v>2024-05</v>
      </c>
    </row>
    <row r="1073" spans="1:29">
      <c r="A1073" t="s">
        <v>3156</v>
      </c>
      <c r="B1073" s="1">
        <v>45288</v>
      </c>
      <c r="C1073" t="s">
        <v>3157</v>
      </c>
      <c r="D1073" t="s">
        <v>271</v>
      </c>
      <c r="E1073">
        <v>114</v>
      </c>
      <c r="F1073" t="s">
        <v>3158</v>
      </c>
      <c r="G1073">
        <v>114</v>
      </c>
      <c r="H1073">
        <v>54.580199999999998</v>
      </c>
      <c r="N1073">
        <v>54.580199999999998</v>
      </c>
      <c r="O1073" s="1">
        <v>44984</v>
      </c>
      <c r="P1073">
        <f>IF(ISBLANK(ReconciliationData[[#This Row],[Invoice_ID]]),1,0)</f>
        <v>0</v>
      </c>
      <c r="Q1073">
        <f>IF(AND(NOT(ISBLANK(ReconciliationData[[#This Row],[Billed_Units]])),ReconciliationData[[#This Row],[ordered_units]]&lt;&gt;ReconciliationData[[#This Row],[Billed_Units]]),1,0)</f>
        <v>0</v>
      </c>
      <c r="R10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3">
        <f>IF(AND(NOT(ISBLANK(ReconciliationData[[#This Row],[Contract_Price]])),ReconciliationData[[#This Row],[Billed_Price]]&lt;&gt;ReconciliationData[[#This Row],[Contract_Price]]),1,0)</f>
        <v>0</v>
      </c>
      <c r="T1073">
        <f>IF(AND(NOT(ISBLANK(ReconciliationData[[#This Row],[End_Date]])),ReconciliationData[[#This Row],[Order_Date]]&gt;ReconciliationData[[#This Row],[End_Date]]),1,0)</f>
        <v>0</v>
      </c>
      <c r="U1073">
        <f>IF(AND(NOT(ISBLANK(ReconciliationData[[#This Row],[last_return_date]])),ReconciliationData[[#This Row],[last_return_date]]&gt;ReconciliationData[[#This Row],[Order_Date]]+60),1,0)</f>
        <v>0</v>
      </c>
      <c r="V1073">
        <f>IF(ReconciliationData[[#This Row],[total_returned_units]]&gt;ReconciliationData[[#This Row],[ordered_units]],1,0)</f>
        <v>0</v>
      </c>
      <c r="W10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3">
        <f>ReconciliationData[[#This Row],[Billed_Units]]*ReconciliationData[[#This Row],[Billed_Price]]</f>
        <v>6222.1427999999996</v>
      </c>
      <c r="Y1073">
        <f>ReconciliationData[[#This Row],[ordered_units]]*ReconciliationData[[#This Row],[List_Price]]</f>
        <v>6222.1427999999996</v>
      </c>
      <c r="Z1073">
        <f>ReconciliationData[[#This Row],[billed_revenue]]-ReconciliationData[[#This Row],[expected_revenue]]</f>
        <v>0</v>
      </c>
      <c r="AA10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3" t="str">
        <f>IF(ReconciliationData[[#This Row],[severity_score]]=0,"LOW",
 IF(ReconciliationData[[#This Row],[severity_score]]&lt;=5,"MEDIUM","HIGH"))</f>
        <v>LOW</v>
      </c>
      <c r="AC1073" t="str">
        <f>TEXT(ReconciliationData[[#This Row],[Order_Date]],"YYYY-MM")</f>
        <v>2023-12</v>
      </c>
    </row>
    <row r="1074" spans="1:29">
      <c r="A1074" t="s">
        <v>3159</v>
      </c>
      <c r="B1074" s="1">
        <v>45052</v>
      </c>
      <c r="C1074" t="s">
        <v>3160</v>
      </c>
      <c r="D1074" t="s">
        <v>2765</v>
      </c>
      <c r="E1074">
        <v>13</v>
      </c>
      <c r="F1074" t="s">
        <v>3161</v>
      </c>
      <c r="G1074">
        <v>13</v>
      </c>
      <c r="H1074">
        <v>987.07560000000001</v>
      </c>
      <c r="N1074">
        <v>987.07560000000001</v>
      </c>
      <c r="O1074" s="1">
        <v>44877</v>
      </c>
      <c r="P1074">
        <f>IF(ISBLANK(ReconciliationData[[#This Row],[Invoice_ID]]),1,0)</f>
        <v>0</v>
      </c>
      <c r="Q1074">
        <f>IF(AND(NOT(ISBLANK(ReconciliationData[[#This Row],[Billed_Units]])),ReconciliationData[[#This Row],[ordered_units]]&lt;&gt;ReconciliationData[[#This Row],[Billed_Units]]),1,0)</f>
        <v>0</v>
      </c>
      <c r="R10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4">
        <f>IF(AND(NOT(ISBLANK(ReconciliationData[[#This Row],[Contract_Price]])),ReconciliationData[[#This Row],[Billed_Price]]&lt;&gt;ReconciliationData[[#This Row],[Contract_Price]]),1,0)</f>
        <v>0</v>
      </c>
      <c r="T1074">
        <f>IF(AND(NOT(ISBLANK(ReconciliationData[[#This Row],[End_Date]])),ReconciliationData[[#This Row],[Order_Date]]&gt;ReconciliationData[[#This Row],[End_Date]]),1,0)</f>
        <v>0</v>
      </c>
      <c r="U1074">
        <f>IF(AND(NOT(ISBLANK(ReconciliationData[[#This Row],[last_return_date]])),ReconciliationData[[#This Row],[last_return_date]]&gt;ReconciliationData[[#This Row],[Order_Date]]+60),1,0)</f>
        <v>0</v>
      </c>
      <c r="V1074">
        <f>IF(ReconciliationData[[#This Row],[total_returned_units]]&gt;ReconciliationData[[#This Row],[ordered_units]],1,0)</f>
        <v>0</v>
      </c>
      <c r="W10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4">
        <f>ReconciliationData[[#This Row],[Billed_Units]]*ReconciliationData[[#This Row],[Billed_Price]]</f>
        <v>12831.9828</v>
      </c>
      <c r="Y1074">
        <f>ReconciliationData[[#This Row],[ordered_units]]*ReconciliationData[[#This Row],[List_Price]]</f>
        <v>12831.9828</v>
      </c>
      <c r="Z1074">
        <f>ReconciliationData[[#This Row],[billed_revenue]]-ReconciliationData[[#This Row],[expected_revenue]]</f>
        <v>0</v>
      </c>
      <c r="AA10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4" t="str">
        <f>IF(ReconciliationData[[#This Row],[severity_score]]=0,"LOW",
 IF(ReconciliationData[[#This Row],[severity_score]]&lt;=5,"MEDIUM","HIGH"))</f>
        <v>LOW</v>
      </c>
      <c r="AC1074" t="str">
        <f>TEXT(ReconciliationData[[#This Row],[Order_Date]],"YYYY-MM")</f>
        <v>2023-05</v>
      </c>
    </row>
    <row r="1075" spans="1:29">
      <c r="A1075" t="s">
        <v>3162</v>
      </c>
      <c r="B1075" s="1">
        <v>45034</v>
      </c>
      <c r="C1075" t="s">
        <v>3140</v>
      </c>
      <c r="D1075" t="s">
        <v>1126</v>
      </c>
      <c r="E1075">
        <v>46</v>
      </c>
      <c r="F1075" t="s">
        <v>3163</v>
      </c>
      <c r="G1075">
        <v>46</v>
      </c>
      <c r="H1075">
        <v>1024.0545</v>
      </c>
      <c r="N1075">
        <v>1024.0545</v>
      </c>
      <c r="O1075" s="1">
        <v>45003</v>
      </c>
      <c r="P1075">
        <f>IF(ISBLANK(ReconciliationData[[#This Row],[Invoice_ID]]),1,0)</f>
        <v>0</v>
      </c>
      <c r="Q1075">
        <f>IF(AND(NOT(ISBLANK(ReconciliationData[[#This Row],[Billed_Units]])),ReconciliationData[[#This Row],[ordered_units]]&lt;&gt;ReconciliationData[[#This Row],[Billed_Units]]),1,0)</f>
        <v>0</v>
      </c>
      <c r="R10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5">
        <f>IF(AND(NOT(ISBLANK(ReconciliationData[[#This Row],[Contract_Price]])),ReconciliationData[[#This Row],[Billed_Price]]&lt;&gt;ReconciliationData[[#This Row],[Contract_Price]]),1,0)</f>
        <v>0</v>
      </c>
      <c r="T1075">
        <f>IF(AND(NOT(ISBLANK(ReconciliationData[[#This Row],[End_Date]])),ReconciliationData[[#This Row],[Order_Date]]&gt;ReconciliationData[[#This Row],[End_Date]]),1,0)</f>
        <v>0</v>
      </c>
      <c r="U1075">
        <f>IF(AND(NOT(ISBLANK(ReconciliationData[[#This Row],[last_return_date]])),ReconciliationData[[#This Row],[last_return_date]]&gt;ReconciliationData[[#This Row],[Order_Date]]+60),1,0)</f>
        <v>0</v>
      </c>
      <c r="V1075">
        <f>IF(ReconciliationData[[#This Row],[total_returned_units]]&gt;ReconciliationData[[#This Row],[ordered_units]],1,0)</f>
        <v>0</v>
      </c>
      <c r="W10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5">
        <f>ReconciliationData[[#This Row],[Billed_Units]]*ReconciliationData[[#This Row],[Billed_Price]]</f>
        <v>47106.506999999998</v>
      </c>
      <c r="Y1075">
        <f>ReconciliationData[[#This Row],[ordered_units]]*ReconciliationData[[#This Row],[List_Price]]</f>
        <v>47106.506999999998</v>
      </c>
      <c r="Z1075">
        <f>ReconciliationData[[#This Row],[billed_revenue]]-ReconciliationData[[#This Row],[expected_revenue]]</f>
        <v>0</v>
      </c>
      <c r="AA10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5" t="str">
        <f>IF(ReconciliationData[[#This Row],[severity_score]]=0,"LOW",
 IF(ReconciliationData[[#This Row],[severity_score]]&lt;=5,"MEDIUM","HIGH"))</f>
        <v>LOW</v>
      </c>
      <c r="AC1075" t="str">
        <f>TEXT(ReconciliationData[[#This Row],[Order_Date]],"YYYY-MM")</f>
        <v>2023-04</v>
      </c>
    </row>
    <row r="1076" spans="1:29">
      <c r="A1076" t="s">
        <v>3164</v>
      </c>
      <c r="B1076" s="1">
        <v>45441</v>
      </c>
      <c r="C1076" t="s">
        <v>2917</v>
      </c>
      <c r="D1076" t="s">
        <v>472</v>
      </c>
      <c r="E1076">
        <v>69</v>
      </c>
      <c r="F1076" t="s">
        <v>3165</v>
      </c>
      <c r="G1076">
        <v>69</v>
      </c>
      <c r="H1076">
        <v>730.7886000000002</v>
      </c>
      <c r="N1076">
        <v>730.7886000000002</v>
      </c>
      <c r="O1076" s="1">
        <v>45099</v>
      </c>
      <c r="P1076">
        <f>IF(ISBLANK(ReconciliationData[[#This Row],[Invoice_ID]]),1,0)</f>
        <v>0</v>
      </c>
      <c r="Q1076">
        <f>IF(AND(NOT(ISBLANK(ReconciliationData[[#This Row],[Billed_Units]])),ReconciliationData[[#This Row],[ordered_units]]&lt;&gt;ReconciliationData[[#This Row],[Billed_Units]]),1,0)</f>
        <v>0</v>
      </c>
      <c r="R10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6">
        <f>IF(AND(NOT(ISBLANK(ReconciliationData[[#This Row],[Contract_Price]])),ReconciliationData[[#This Row],[Billed_Price]]&lt;&gt;ReconciliationData[[#This Row],[Contract_Price]]),1,0)</f>
        <v>0</v>
      </c>
      <c r="T1076">
        <f>IF(AND(NOT(ISBLANK(ReconciliationData[[#This Row],[End_Date]])),ReconciliationData[[#This Row],[Order_Date]]&gt;ReconciliationData[[#This Row],[End_Date]]),1,0)</f>
        <v>0</v>
      </c>
      <c r="U1076">
        <f>IF(AND(NOT(ISBLANK(ReconciliationData[[#This Row],[last_return_date]])),ReconciliationData[[#This Row],[last_return_date]]&gt;ReconciliationData[[#This Row],[Order_Date]]+60),1,0)</f>
        <v>0</v>
      </c>
      <c r="V1076">
        <f>IF(ReconciliationData[[#This Row],[total_returned_units]]&gt;ReconciliationData[[#This Row],[ordered_units]],1,0)</f>
        <v>0</v>
      </c>
      <c r="W10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6">
        <f>ReconciliationData[[#This Row],[Billed_Units]]*ReconciliationData[[#This Row],[Billed_Price]]</f>
        <v>50424.413400000012</v>
      </c>
      <c r="Y1076">
        <f>ReconciliationData[[#This Row],[ordered_units]]*ReconciliationData[[#This Row],[List_Price]]</f>
        <v>50424.413400000012</v>
      </c>
      <c r="Z1076">
        <f>ReconciliationData[[#This Row],[billed_revenue]]-ReconciliationData[[#This Row],[expected_revenue]]</f>
        <v>0</v>
      </c>
      <c r="AA10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6" t="str">
        <f>IF(ReconciliationData[[#This Row],[severity_score]]=0,"LOW",
 IF(ReconciliationData[[#This Row],[severity_score]]&lt;=5,"MEDIUM","HIGH"))</f>
        <v>LOW</v>
      </c>
      <c r="AC1076" t="str">
        <f>TEXT(ReconciliationData[[#This Row],[Order_Date]],"YYYY-MM")</f>
        <v>2024-05</v>
      </c>
    </row>
    <row r="1077" spans="1:29">
      <c r="A1077" t="s">
        <v>3166</v>
      </c>
      <c r="B1077" s="1">
        <v>45159</v>
      </c>
      <c r="C1077" t="s">
        <v>1640</v>
      </c>
      <c r="D1077" t="s">
        <v>883</v>
      </c>
      <c r="E1077">
        <v>55</v>
      </c>
      <c r="F1077" t="s">
        <v>3167</v>
      </c>
      <c r="G1077">
        <v>55</v>
      </c>
      <c r="H1077">
        <v>403.01909999999998</v>
      </c>
      <c r="N1077">
        <v>403.01909999999998</v>
      </c>
      <c r="O1077" s="1">
        <v>45056</v>
      </c>
      <c r="P1077">
        <f>IF(ISBLANK(ReconciliationData[[#This Row],[Invoice_ID]]),1,0)</f>
        <v>0</v>
      </c>
      <c r="Q1077">
        <f>IF(AND(NOT(ISBLANK(ReconciliationData[[#This Row],[Billed_Units]])),ReconciliationData[[#This Row],[ordered_units]]&lt;&gt;ReconciliationData[[#This Row],[Billed_Units]]),1,0)</f>
        <v>0</v>
      </c>
      <c r="R10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7">
        <f>IF(AND(NOT(ISBLANK(ReconciliationData[[#This Row],[Contract_Price]])),ReconciliationData[[#This Row],[Billed_Price]]&lt;&gt;ReconciliationData[[#This Row],[Contract_Price]]),1,0)</f>
        <v>0</v>
      </c>
      <c r="T1077">
        <f>IF(AND(NOT(ISBLANK(ReconciliationData[[#This Row],[End_Date]])),ReconciliationData[[#This Row],[Order_Date]]&gt;ReconciliationData[[#This Row],[End_Date]]),1,0)</f>
        <v>0</v>
      </c>
      <c r="U1077">
        <f>IF(AND(NOT(ISBLANK(ReconciliationData[[#This Row],[last_return_date]])),ReconciliationData[[#This Row],[last_return_date]]&gt;ReconciliationData[[#This Row],[Order_Date]]+60),1,0)</f>
        <v>0</v>
      </c>
      <c r="V1077">
        <f>IF(ReconciliationData[[#This Row],[total_returned_units]]&gt;ReconciliationData[[#This Row],[ordered_units]],1,0)</f>
        <v>0</v>
      </c>
      <c r="W10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7">
        <f>ReconciliationData[[#This Row],[Billed_Units]]*ReconciliationData[[#This Row],[Billed_Price]]</f>
        <v>22166.050499999998</v>
      </c>
      <c r="Y1077">
        <f>ReconciliationData[[#This Row],[ordered_units]]*ReconciliationData[[#This Row],[List_Price]]</f>
        <v>22166.050499999998</v>
      </c>
      <c r="Z1077">
        <f>ReconciliationData[[#This Row],[billed_revenue]]-ReconciliationData[[#This Row],[expected_revenue]]</f>
        <v>0</v>
      </c>
      <c r="AA10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7" t="str">
        <f>IF(ReconciliationData[[#This Row],[severity_score]]=0,"LOW",
 IF(ReconciliationData[[#This Row],[severity_score]]&lt;=5,"MEDIUM","HIGH"))</f>
        <v>LOW</v>
      </c>
      <c r="AC1077" t="str">
        <f>TEXT(ReconciliationData[[#This Row],[Order_Date]],"YYYY-MM")</f>
        <v>2023-08</v>
      </c>
    </row>
    <row r="1078" spans="1:29">
      <c r="A1078" t="s">
        <v>3168</v>
      </c>
      <c r="B1078" s="1">
        <v>45113</v>
      </c>
      <c r="C1078" t="s">
        <v>437</v>
      </c>
      <c r="D1078" t="s">
        <v>880</v>
      </c>
      <c r="E1078">
        <v>183</v>
      </c>
      <c r="F1078" t="s">
        <v>3169</v>
      </c>
      <c r="G1078">
        <v>183</v>
      </c>
      <c r="H1078">
        <v>212.73140000000001</v>
      </c>
      <c r="N1078">
        <v>212.73140000000001</v>
      </c>
      <c r="O1078" s="1">
        <v>45051</v>
      </c>
      <c r="P1078">
        <f>IF(ISBLANK(ReconciliationData[[#This Row],[Invoice_ID]]),1,0)</f>
        <v>0</v>
      </c>
      <c r="Q1078">
        <f>IF(AND(NOT(ISBLANK(ReconciliationData[[#This Row],[Billed_Units]])),ReconciliationData[[#This Row],[ordered_units]]&lt;&gt;ReconciliationData[[#This Row],[Billed_Units]]),1,0)</f>
        <v>0</v>
      </c>
      <c r="R10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8">
        <f>IF(AND(NOT(ISBLANK(ReconciliationData[[#This Row],[Contract_Price]])),ReconciliationData[[#This Row],[Billed_Price]]&lt;&gt;ReconciliationData[[#This Row],[Contract_Price]]),1,0)</f>
        <v>0</v>
      </c>
      <c r="T1078">
        <f>IF(AND(NOT(ISBLANK(ReconciliationData[[#This Row],[End_Date]])),ReconciliationData[[#This Row],[Order_Date]]&gt;ReconciliationData[[#This Row],[End_Date]]),1,0)</f>
        <v>0</v>
      </c>
      <c r="U1078">
        <f>IF(AND(NOT(ISBLANK(ReconciliationData[[#This Row],[last_return_date]])),ReconciliationData[[#This Row],[last_return_date]]&gt;ReconciliationData[[#This Row],[Order_Date]]+60),1,0)</f>
        <v>0</v>
      </c>
      <c r="V1078">
        <f>IF(ReconciliationData[[#This Row],[total_returned_units]]&gt;ReconciliationData[[#This Row],[ordered_units]],1,0)</f>
        <v>0</v>
      </c>
      <c r="W10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8">
        <f>ReconciliationData[[#This Row],[Billed_Units]]*ReconciliationData[[#This Row],[Billed_Price]]</f>
        <v>38929.8462</v>
      </c>
      <c r="Y1078">
        <f>ReconciliationData[[#This Row],[ordered_units]]*ReconciliationData[[#This Row],[List_Price]]</f>
        <v>38929.8462</v>
      </c>
      <c r="Z1078">
        <f>ReconciliationData[[#This Row],[billed_revenue]]-ReconciliationData[[#This Row],[expected_revenue]]</f>
        <v>0</v>
      </c>
      <c r="AA10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8" t="str">
        <f>IF(ReconciliationData[[#This Row],[severity_score]]=0,"LOW",
 IF(ReconciliationData[[#This Row],[severity_score]]&lt;=5,"MEDIUM","HIGH"))</f>
        <v>LOW</v>
      </c>
      <c r="AC1078" t="str">
        <f>TEXT(ReconciliationData[[#This Row],[Order_Date]],"YYYY-MM")</f>
        <v>2023-07</v>
      </c>
    </row>
    <row r="1079" spans="1:29">
      <c r="A1079" t="s">
        <v>3170</v>
      </c>
      <c r="B1079" s="1">
        <v>45029</v>
      </c>
      <c r="C1079" t="s">
        <v>3171</v>
      </c>
      <c r="D1079" t="s">
        <v>1126</v>
      </c>
      <c r="E1079">
        <v>152</v>
      </c>
      <c r="F1079" t="s">
        <v>3172</v>
      </c>
      <c r="G1079">
        <v>152</v>
      </c>
      <c r="H1079">
        <v>1024.0545</v>
      </c>
      <c r="N1079">
        <v>1024.0545</v>
      </c>
      <c r="O1079" s="1">
        <v>45003</v>
      </c>
      <c r="P1079">
        <f>IF(ISBLANK(ReconciliationData[[#This Row],[Invoice_ID]]),1,0)</f>
        <v>0</v>
      </c>
      <c r="Q1079">
        <f>IF(AND(NOT(ISBLANK(ReconciliationData[[#This Row],[Billed_Units]])),ReconciliationData[[#This Row],[ordered_units]]&lt;&gt;ReconciliationData[[#This Row],[Billed_Units]]),1,0)</f>
        <v>0</v>
      </c>
      <c r="R10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79">
        <f>IF(AND(NOT(ISBLANK(ReconciliationData[[#This Row],[Contract_Price]])),ReconciliationData[[#This Row],[Billed_Price]]&lt;&gt;ReconciliationData[[#This Row],[Contract_Price]]),1,0)</f>
        <v>0</v>
      </c>
      <c r="T1079">
        <f>IF(AND(NOT(ISBLANK(ReconciliationData[[#This Row],[End_Date]])),ReconciliationData[[#This Row],[Order_Date]]&gt;ReconciliationData[[#This Row],[End_Date]]),1,0)</f>
        <v>0</v>
      </c>
      <c r="U1079">
        <f>IF(AND(NOT(ISBLANK(ReconciliationData[[#This Row],[last_return_date]])),ReconciliationData[[#This Row],[last_return_date]]&gt;ReconciliationData[[#This Row],[Order_Date]]+60),1,0)</f>
        <v>0</v>
      </c>
      <c r="V1079">
        <f>IF(ReconciliationData[[#This Row],[total_returned_units]]&gt;ReconciliationData[[#This Row],[ordered_units]],1,0)</f>
        <v>0</v>
      </c>
      <c r="W10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79">
        <f>ReconciliationData[[#This Row],[Billed_Units]]*ReconciliationData[[#This Row],[Billed_Price]]</f>
        <v>155656.28399999999</v>
      </c>
      <c r="Y1079">
        <f>ReconciliationData[[#This Row],[ordered_units]]*ReconciliationData[[#This Row],[List_Price]]</f>
        <v>155656.28399999999</v>
      </c>
      <c r="Z1079">
        <f>ReconciliationData[[#This Row],[billed_revenue]]-ReconciliationData[[#This Row],[expected_revenue]]</f>
        <v>0</v>
      </c>
      <c r="AA10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79" t="str">
        <f>IF(ReconciliationData[[#This Row],[severity_score]]=0,"LOW",
 IF(ReconciliationData[[#This Row],[severity_score]]&lt;=5,"MEDIUM","HIGH"))</f>
        <v>LOW</v>
      </c>
      <c r="AC1079" t="str">
        <f>TEXT(ReconciliationData[[#This Row],[Order_Date]],"YYYY-MM")</f>
        <v>2023-04</v>
      </c>
    </row>
    <row r="1080" spans="1:29">
      <c r="A1080" t="s">
        <v>3173</v>
      </c>
      <c r="B1080" s="1">
        <v>44984</v>
      </c>
      <c r="C1080" t="s">
        <v>3174</v>
      </c>
      <c r="D1080" t="s">
        <v>251</v>
      </c>
      <c r="E1080">
        <v>2</v>
      </c>
      <c r="F1080" t="s">
        <v>3175</v>
      </c>
      <c r="G1080">
        <v>2</v>
      </c>
      <c r="H1080">
        <v>975.72600000000011</v>
      </c>
      <c r="N1080">
        <v>975.72600000000011</v>
      </c>
      <c r="O1080" s="1">
        <v>44864</v>
      </c>
      <c r="P1080">
        <f>IF(ISBLANK(ReconciliationData[[#This Row],[Invoice_ID]]),1,0)</f>
        <v>0</v>
      </c>
      <c r="Q1080">
        <f>IF(AND(NOT(ISBLANK(ReconciliationData[[#This Row],[Billed_Units]])),ReconciliationData[[#This Row],[ordered_units]]&lt;&gt;ReconciliationData[[#This Row],[Billed_Units]]),1,0)</f>
        <v>0</v>
      </c>
      <c r="R10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0">
        <f>IF(AND(NOT(ISBLANK(ReconciliationData[[#This Row],[Contract_Price]])),ReconciliationData[[#This Row],[Billed_Price]]&lt;&gt;ReconciliationData[[#This Row],[Contract_Price]]),1,0)</f>
        <v>0</v>
      </c>
      <c r="T1080">
        <f>IF(AND(NOT(ISBLANK(ReconciliationData[[#This Row],[End_Date]])),ReconciliationData[[#This Row],[Order_Date]]&gt;ReconciliationData[[#This Row],[End_Date]]),1,0)</f>
        <v>0</v>
      </c>
      <c r="U1080">
        <f>IF(AND(NOT(ISBLANK(ReconciliationData[[#This Row],[last_return_date]])),ReconciliationData[[#This Row],[last_return_date]]&gt;ReconciliationData[[#This Row],[Order_Date]]+60),1,0)</f>
        <v>0</v>
      </c>
      <c r="V1080">
        <f>IF(ReconciliationData[[#This Row],[total_returned_units]]&gt;ReconciliationData[[#This Row],[ordered_units]],1,0)</f>
        <v>0</v>
      </c>
      <c r="W10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80">
        <f>ReconciliationData[[#This Row],[Billed_Units]]*ReconciliationData[[#This Row],[Billed_Price]]</f>
        <v>1951.4520000000002</v>
      </c>
      <c r="Y1080">
        <f>ReconciliationData[[#This Row],[ordered_units]]*ReconciliationData[[#This Row],[List_Price]]</f>
        <v>1951.4520000000002</v>
      </c>
      <c r="Z1080">
        <f>ReconciliationData[[#This Row],[billed_revenue]]-ReconciliationData[[#This Row],[expected_revenue]]</f>
        <v>0</v>
      </c>
      <c r="AA10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80" t="str">
        <f>IF(ReconciliationData[[#This Row],[severity_score]]=0,"LOW",
 IF(ReconciliationData[[#This Row],[severity_score]]&lt;=5,"MEDIUM","HIGH"))</f>
        <v>LOW</v>
      </c>
      <c r="AC1080" t="str">
        <f>TEXT(ReconciliationData[[#This Row],[Order_Date]],"YYYY-MM")</f>
        <v>2023-02</v>
      </c>
    </row>
    <row r="1081" spans="1:29">
      <c r="A1081" t="s">
        <v>3176</v>
      </c>
      <c r="B1081" s="1">
        <v>45020</v>
      </c>
      <c r="C1081" t="s">
        <v>2401</v>
      </c>
      <c r="D1081" t="s">
        <v>628</v>
      </c>
      <c r="E1081">
        <v>180</v>
      </c>
      <c r="F1081" t="s">
        <v>3177</v>
      </c>
      <c r="G1081">
        <v>180</v>
      </c>
      <c r="H1081">
        <v>303.73439999999999</v>
      </c>
      <c r="I1081">
        <v>5</v>
      </c>
      <c r="J1081" s="1">
        <v>45318</v>
      </c>
      <c r="N1081">
        <v>303.73439999999999</v>
      </c>
      <c r="O1081" s="1">
        <v>44810</v>
      </c>
      <c r="P1081">
        <f>IF(ISBLANK(ReconciliationData[[#This Row],[Invoice_ID]]),1,0)</f>
        <v>0</v>
      </c>
      <c r="Q1081">
        <f>IF(AND(NOT(ISBLANK(ReconciliationData[[#This Row],[Billed_Units]])),ReconciliationData[[#This Row],[ordered_units]]&lt;&gt;ReconciliationData[[#This Row],[Billed_Units]]),1,0)</f>
        <v>0</v>
      </c>
      <c r="R10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1">
        <f>IF(AND(NOT(ISBLANK(ReconciliationData[[#This Row],[Contract_Price]])),ReconciliationData[[#This Row],[Billed_Price]]&lt;&gt;ReconciliationData[[#This Row],[Contract_Price]]),1,0)</f>
        <v>0</v>
      </c>
      <c r="T1081">
        <f>IF(AND(NOT(ISBLANK(ReconciliationData[[#This Row],[End_Date]])),ReconciliationData[[#This Row],[Order_Date]]&gt;ReconciliationData[[#This Row],[End_Date]]),1,0)</f>
        <v>0</v>
      </c>
      <c r="U1081">
        <f>IF(AND(NOT(ISBLANK(ReconciliationData[[#This Row],[last_return_date]])),ReconciliationData[[#This Row],[last_return_date]]&gt;ReconciliationData[[#This Row],[Order_Date]]+60),1,0)</f>
        <v>1</v>
      </c>
      <c r="V1081">
        <f>IF(ReconciliationData[[#This Row],[total_returned_units]]&gt;ReconciliationData[[#This Row],[ordered_units]],1,0)</f>
        <v>0</v>
      </c>
      <c r="W10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81">
        <f>ReconciliationData[[#This Row],[Billed_Units]]*ReconciliationData[[#This Row],[Billed_Price]]</f>
        <v>54672.191999999995</v>
      </c>
      <c r="Y1081">
        <f>ReconciliationData[[#This Row],[ordered_units]]*ReconciliationData[[#This Row],[List_Price]]</f>
        <v>54672.191999999995</v>
      </c>
      <c r="Z1081">
        <f>ReconciliationData[[#This Row],[billed_revenue]]-ReconciliationData[[#This Row],[expected_revenue]]</f>
        <v>0</v>
      </c>
      <c r="AA10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081" t="str">
        <f>IF(ReconciliationData[[#This Row],[severity_score]]=0,"LOW",
 IF(ReconciliationData[[#This Row],[severity_score]]&lt;=5,"MEDIUM","HIGH"))</f>
        <v>MEDIUM</v>
      </c>
      <c r="AC1081" t="str">
        <f>TEXT(ReconciliationData[[#This Row],[Order_Date]],"YYYY-MM")</f>
        <v>2023-04</v>
      </c>
    </row>
    <row r="1082" spans="1:29">
      <c r="A1082" t="s">
        <v>3178</v>
      </c>
      <c r="B1082" s="1">
        <v>45632</v>
      </c>
      <c r="C1082" t="s">
        <v>1665</v>
      </c>
      <c r="D1082" t="s">
        <v>408</v>
      </c>
      <c r="E1082">
        <v>169</v>
      </c>
      <c r="F1082" t="s">
        <v>3179</v>
      </c>
      <c r="G1082">
        <v>169</v>
      </c>
      <c r="H1082">
        <v>660.96040000000005</v>
      </c>
      <c r="N1082">
        <v>660.96040000000005</v>
      </c>
      <c r="O1082" s="1">
        <v>44947</v>
      </c>
      <c r="P1082">
        <f>IF(ISBLANK(ReconciliationData[[#This Row],[Invoice_ID]]),1,0)</f>
        <v>0</v>
      </c>
      <c r="Q1082">
        <f>IF(AND(NOT(ISBLANK(ReconciliationData[[#This Row],[Billed_Units]])),ReconciliationData[[#This Row],[ordered_units]]&lt;&gt;ReconciliationData[[#This Row],[Billed_Units]]),1,0)</f>
        <v>0</v>
      </c>
      <c r="R10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2">
        <f>IF(AND(NOT(ISBLANK(ReconciliationData[[#This Row],[Contract_Price]])),ReconciliationData[[#This Row],[Billed_Price]]&lt;&gt;ReconciliationData[[#This Row],[Contract_Price]]),1,0)</f>
        <v>0</v>
      </c>
      <c r="T1082">
        <f>IF(AND(NOT(ISBLANK(ReconciliationData[[#This Row],[End_Date]])),ReconciliationData[[#This Row],[Order_Date]]&gt;ReconciliationData[[#This Row],[End_Date]]),1,0)</f>
        <v>0</v>
      </c>
      <c r="U1082">
        <f>IF(AND(NOT(ISBLANK(ReconciliationData[[#This Row],[last_return_date]])),ReconciliationData[[#This Row],[last_return_date]]&gt;ReconciliationData[[#This Row],[Order_Date]]+60),1,0)</f>
        <v>0</v>
      </c>
      <c r="V1082">
        <f>IF(ReconciliationData[[#This Row],[total_returned_units]]&gt;ReconciliationData[[#This Row],[ordered_units]],1,0)</f>
        <v>0</v>
      </c>
      <c r="W10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82">
        <f>ReconciliationData[[#This Row],[Billed_Units]]*ReconciliationData[[#This Row],[Billed_Price]]</f>
        <v>111702.30760000001</v>
      </c>
      <c r="Y1082">
        <f>ReconciliationData[[#This Row],[ordered_units]]*ReconciliationData[[#This Row],[List_Price]]</f>
        <v>111702.30760000001</v>
      </c>
      <c r="Z1082">
        <f>ReconciliationData[[#This Row],[billed_revenue]]-ReconciliationData[[#This Row],[expected_revenue]]</f>
        <v>0</v>
      </c>
      <c r="AA10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82" t="str">
        <f>IF(ReconciliationData[[#This Row],[severity_score]]=0,"LOW",
 IF(ReconciliationData[[#This Row],[severity_score]]&lt;=5,"MEDIUM","HIGH"))</f>
        <v>LOW</v>
      </c>
      <c r="AC1082" t="str">
        <f>TEXT(ReconciliationData[[#This Row],[Order_Date]],"YYYY-MM")</f>
        <v>2024-12</v>
      </c>
    </row>
    <row r="1083" spans="1:29">
      <c r="A1083" t="s">
        <v>3180</v>
      </c>
      <c r="B1083" s="1">
        <v>45364</v>
      </c>
      <c r="C1083" t="s">
        <v>2652</v>
      </c>
      <c r="D1083" t="s">
        <v>397</v>
      </c>
      <c r="E1083">
        <v>38</v>
      </c>
      <c r="F1083" t="s">
        <v>3181</v>
      </c>
      <c r="G1083">
        <v>38</v>
      </c>
      <c r="H1083">
        <v>96.6</v>
      </c>
      <c r="N1083">
        <v>96.6</v>
      </c>
      <c r="O1083" s="1">
        <v>45105</v>
      </c>
      <c r="P1083">
        <f>IF(ISBLANK(ReconciliationData[[#This Row],[Invoice_ID]]),1,0)</f>
        <v>0</v>
      </c>
      <c r="Q1083">
        <f>IF(AND(NOT(ISBLANK(ReconciliationData[[#This Row],[Billed_Units]])),ReconciliationData[[#This Row],[ordered_units]]&lt;&gt;ReconciliationData[[#This Row],[Billed_Units]]),1,0)</f>
        <v>0</v>
      </c>
      <c r="R10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3">
        <f>IF(AND(NOT(ISBLANK(ReconciliationData[[#This Row],[Contract_Price]])),ReconciliationData[[#This Row],[Billed_Price]]&lt;&gt;ReconciliationData[[#This Row],[Contract_Price]]),1,0)</f>
        <v>0</v>
      </c>
      <c r="T1083">
        <f>IF(AND(NOT(ISBLANK(ReconciliationData[[#This Row],[End_Date]])),ReconciliationData[[#This Row],[Order_Date]]&gt;ReconciliationData[[#This Row],[End_Date]]),1,0)</f>
        <v>0</v>
      </c>
      <c r="U1083">
        <f>IF(AND(NOT(ISBLANK(ReconciliationData[[#This Row],[last_return_date]])),ReconciliationData[[#This Row],[last_return_date]]&gt;ReconciliationData[[#This Row],[Order_Date]]+60),1,0)</f>
        <v>0</v>
      </c>
      <c r="V1083">
        <f>IF(ReconciliationData[[#This Row],[total_returned_units]]&gt;ReconciliationData[[#This Row],[ordered_units]],1,0)</f>
        <v>0</v>
      </c>
      <c r="W10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83">
        <f>ReconciliationData[[#This Row],[Billed_Units]]*ReconciliationData[[#This Row],[Billed_Price]]</f>
        <v>3670.7999999999997</v>
      </c>
      <c r="Y1083">
        <f>ReconciliationData[[#This Row],[ordered_units]]*ReconciliationData[[#This Row],[List_Price]]</f>
        <v>3670.7999999999997</v>
      </c>
      <c r="Z1083">
        <f>ReconciliationData[[#This Row],[billed_revenue]]-ReconciliationData[[#This Row],[expected_revenue]]</f>
        <v>0</v>
      </c>
      <c r="AA10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83" t="str">
        <f>IF(ReconciliationData[[#This Row],[severity_score]]=0,"LOW",
 IF(ReconciliationData[[#This Row],[severity_score]]&lt;=5,"MEDIUM","HIGH"))</f>
        <v>LOW</v>
      </c>
      <c r="AC1083" t="str">
        <f>TEXT(ReconciliationData[[#This Row],[Order_Date]],"YYYY-MM")</f>
        <v>2024-03</v>
      </c>
    </row>
    <row r="1084" spans="1:29">
      <c r="A1084" t="s">
        <v>3182</v>
      </c>
      <c r="B1084" s="1">
        <v>45215</v>
      </c>
      <c r="C1084" t="s">
        <v>348</v>
      </c>
      <c r="D1084" t="s">
        <v>1358</v>
      </c>
      <c r="E1084">
        <v>167</v>
      </c>
      <c r="F1084" t="s">
        <v>3183</v>
      </c>
      <c r="G1084">
        <v>167</v>
      </c>
      <c r="H1084">
        <v>940.1952</v>
      </c>
      <c r="N1084">
        <v>940.1952</v>
      </c>
      <c r="O1084" s="1">
        <v>45058</v>
      </c>
      <c r="P1084">
        <f>IF(ISBLANK(ReconciliationData[[#This Row],[Invoice_ID]]),1,0)</f>
        <v>0</v>
      </c>
      <c r="Q1084">
        <f>IF(AND(NOT(ISBLANK(ReconciliationData[[#This Row],[Billed_Units]])),ReconciliationData[[#This Row],[ordered_units]]&lt;&gt;ReconciliationData[[#This Row],[Billed_Units]]),1,0)</f>
        <v>0</v>
      </c>
      <c r="R10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4">
        <f>IF(AND(NOT(ISBLANK(ReconciliationData[[#This Row],[Contract_Price]])),ReconciliationData[[#This Row],[Billed_Price]]&lt;&gt;ReconciliationData[[#This Row],[Contract_Price]]),1,0)</f>
        <v>0</v>
      </c>
      <c r="T1084">
        <f>IF(AND(NOT(ISBLANK(ReconciliationData[[#This Row],[End_Date]])),ReconciliationData[[#This Row],[Order_Date]]&gt;ReconciliationData[[#This Row],[End_Date]]),1,0)</f>
        <v>0</v>
      </c>
      <c r="U1084">
        <f>IF(AND(NOT(ISBLANK(ReconciliationData[[#This Row],[last_return_date]])),ReconciliationData[[#This Row],[last_return_date]]&gt;ReconciliationData[[#This Row],[Order_Date]]+60),1,0)</f>
        <v>0</v>
      </c>
      <c r="V1084">
        <f>IF(ReconciliationData[[#This Row],[total_returned_units]]&gt;ReconciliationData[[#This Row],[ordered_units]],1,0)</f>
        <v>0</v>
      </c>
      <c r="W10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84">
        <f>ReconciliationData[[#This Row],[Billed_Units]]*ReconciliationData[[#This Row],[Billed_Price]]</f>
        <v>157012.59839999999</v>
      </c>
      <c r="Y1084">
        <f>ReconciliationData[[#This Row],[ordered_units]]*ReconciliationData[[#This Row],[List_Price]]</f>
        <v>157012.59839999999</v>
      </c>
      <c r="Z1084">
        <f>ReconciliationData[[#This Row],[billed_revenue]]-ReconciliationData[[#This Row],[expected_revenue]]</f>
        <v>0</v>
      </c>
      <c r="AA10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84" t="str">
        <f>IF(ReconciliationData[[#This Row],[severity_score]]=0,"LOW",
 IF(ReconciliationData[[#This Row],[severity_score]]&lt;=5,"MEDIUM","HIGH"))</f>
        <v>LOW</v>
      </c>
      <c r="AC1084" t="str">
        <f>TEXT(ReconciliationData[[#This Row],[Order_Date]],"YYYY-MM")</f>
        <v>2023-10</v>
      </c>
    </row>
    <row r="1085" spans="1:29">
      <c r="A1085" t="s">
        <v>3184</v>
      </c>
      <c r="B1085" s="1">
        <v>45090</v>
      </c>
      <c r="C1085" t="s">
        <v>316</v>
      </c>
      <c r="D1085" t="s">
        <v>916</v>
      </c>
      <c r="E1085">
        <v>152</v>
      </c>
      <c r="F1085" t="s">
        <v>3185</v>
      </c>
      <c r="G1085">
        <v>152</v>
      </c>
      <c r="H1085">
        <v>1158.2643</v>
      </c>
      <c r="N1085">
        <v>1158.2643</v>
      </c>
      <c r="O1085" s="1">
        <v>44771</v>
      </c>
      <c r="P1085">
        <f>IF(ISBLANK(ReconciliationData[[#This Row],[Invoice_ID]]),1,0)</f>
        <v>0</v>
      </c>
      <c r="Q1085">
        <f>IF(AND(NOT(ISBLANK(ReconciliationData[[#This Row],[Billed_Units]])),ReconciliationData[[#This Row],[ordered_units]]&lt;&gt;ReconciliationData[[#This Row],[Billed_Units]]),1,0)</f>
        <v>0</v>
      </c>
      <c r="R10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5">
        <f>IF(AND(NOT(ISBLANK(ReconciliationData[[#This Row],[Contract_Price]])),ReconciliationData[[#This Row],[Billed_Price]]&lt;&gt;ReconciliationData[[#This Row],[Contract_Price]]),1,0)</f>
        <v>0</v>
      </c>
      <c r="T1085">
        <f>IF(AND(NOT(ISBLANK(ReconciliationData[[#This Row],[End_Date]])),ReconciliationData[[#This Row],[Order_Date]]&gt;ReconciliationData[[#This Row],[End_Date]]),1,0)</f>
        <v>0</v>
      </c>
      <c r="U1085">
        <f>IF(AND(NOT(ISBLANK(ReconciliationData[[#This Row],[last_return_date]])),ReconciliationData[[#This Row],[last_return_date]]&gt;ReconciliationData[[#This Row],[Order_Date]]+60),1,0)</f>
        <v>0</v>
      </c>
      <c r="V1085">
        <f>IF(ReconciliationData[[#This Row],[total_returned_units]]&gt;ReconciliationData[[#This Row],[ordered_units]],1,0)</f>
        <v>0</v>
      </c>
      <c r="W10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85">
        <f>ReconciliationData[[#This Row],[Billed_Units]]*ReconciliationData[[#This Row],[Billed_Price]]</f>
        <v>176056.17360000001</v>
      </c>
      <c r="Y1085">
        <f>ReconciliationData[[#This Row],[ordered_units]]*ReconciliationData[[#This Row],[List_Price]]</f>
        <v>176056.17360000001</v>
      </c>
      <c r="Z1085">
        <f>ReconciliationData[[#This Row],[billed_revenue]]-ReconciliationData[[#This Row],[expected_revenue]]</f>
        <v>0</v>
      </c>
      <c r="AA10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85" t="str">
        <f>IF(ReconciliationData[[#This Row],[severity_score]]=0,"LOW",
 IF(ReconciliationData[[#This Row],[severity_score]]&lt;=5,"MEDIUM","HIGH"))</f>
        <v>LOW</v>
      </c>
      <c r="AC1085" t="str">
        <f>TEXT(ReconciliationData[[#This Row],[Order_Date]],"YYYY-MM")</f>
        <v>2023-06</v>
      </c>
    </row>
    <row r="1086" spans="1:29">
      <c r="A1086" t="s">
        <v>3186</v>
      </c>
      <c r="B1086" s="1">
        <v>45322</v>
      </c>
      <c r="C1086" t="s">
        <v>149</v>
      </c>
      <c r="D1086" t="s">
        <v>1495</v>
      </c>
      <c r="E1086">
        <v>66</v>
      </c>
      <c r="F1086" t="s">
        <v>3187</v>
      </c>
      <c r="G1086">
        <v>66</v>
      </c>
      <c r="H1086">
        <v>377.08350000000002</v>
      </c>
      <c r="N1086">
        <v>377.08350000000002</v>
      </c>
      <c r="O1086" s="1">
        <v>45064</v>
      </c>
      <c r="P1086">
        <f>IF(ISBLANK(ReconciliationData[[#This Row],[Invoice_ID]]),1,0)</f>
        <v>0</v>
      </c>
      <c r="Q1086">
        <f>IF(AND(NOT(ISBLANK(ReconciliationData[[#This Row],[Billed_Units]])),ReconciliationData[[#This Row],[ordered_units]]&lt;&gt;ReconciliationData[[#This Row],[Billed_Units]]),1,0)</f>
        <v>0</v>
      </c>
      <c r="R10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6">
        <f>IF(AND(NOT(ISBLANK(ReconciliationData[[#This Row],[Contract_Price]])),ReconciliationData[[#This Row],[Billed_Price]]&lt;&gt;ReconciliationData[[#This Row],[Contract_Price]]),1,0)</f>
        <v>0</v>
      </c>
      <c r="T1086">
        <f>IF(AND(NOT(ISBLANK(ReconciliationData[[#This Row],[End_Date]])),ReconciliationData[[#This Row],[Order_Date]]&gt;ReconciliationData[[#This Row],[End_Date]]),1,0)</f>
        <v>0</v>
      </c>
      <c r="U1086">
        <f>IF(AND(NOT(ISBLANK(ReconciliationData[[#This Row],[last_return_date]])),ReconciliationData[[#This Row],[last_return_date]]&gt;ReconciliationData[[#This Row],[Order_Date]]+60),1,0)</f>
        <v>0</v>
      </c>
      <c r="V1086">
        <f>IF(ReconciliationData[[#This Row],[total_returned_units]]&gt;ReconciliationData[[#This Row],[ordered_units]],1,0)</f>
        <v>0</v>
      </c>
      <c r="W10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86">
        <f>ReconciliationData[[#This Row],[Billed_Units]]*ReconciliationData[[#This Row],[Billed_Price]]</f>
        <v>24887.511000000002</v>
      </c>
      <c r="Y1086">
        <f>ReconciliationData[[#This Row],[ordered_units]]*ReconciliationData[[#This Row],[List_Price]]</f>
        <v>24887.511000000002</v>
      </c>
      <c r="Z1086">
        <f>ReconciliationData[[#This Row],[billed_revenue]]-ReconciliationData[[#This Row],[expected_revenue]]</f>
        <v>0</v>
      </c>
      <c r="AA10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86" t="str">
        <f>IF(ReconciliationData[[#This Row],[severity_score]]=0,"LOW",
 IF(ReconciliationData[[#This Row],[severity_score]]&lt;=5,"MEDIUM","HIGH"))</f>
        <v>LOW</v>
      </c>
      <c r="AC1086" t="str">
        <f>TEXT(ReconciliationData[[#This Row],[Order_Date]],"YYYY-MM")</f>
        <v>2024-01</v>
      </c>
    </row>
    <row r="1087" spans="1:29">
      <c r="A1087" t="s">
        <v>3188</v>
      </c>
      <c r="B1087" s="1">
        <v>45337</v>
      </c>
      <c r="C1087" t="s">
        <v>2848</v>
      </c>
      <c r="D1087" t="s">
        <v>1298</v>
      </c>
      <c r="E1087">
        <v>171</v>
      </c>
      <c r="F1087" t="s">
        <v>3189</v>
      </c>
      <c r="G1087">
        <v>171</v>
      </c>
      <c r="H1087">
        <v>1099.82</v>
      </c>
      <c r="N1087">
        <v>1099.82</v>
      </c>
      <c r="O1087" s="1">
        <v>44962</v>
      </c>
      <c r="P1087">
        <f>IF(ISBLANK(ReconciliationData[[#This Row],[Invoice_ID]]),1,0)</f>
        <v>0</v>
      </c>
      <c r="Q1087">
        <f>IF(AND(NOT(ISBLANK(ReconciliationData[[#This Row],[Billed_Units]])),ReconciliationData[[#This Row],[ordered_units]]&lt;&gt;ReconciliationData[[#This Row],[Billed_Units]]),1,0)</f>
        <v>0</v>
      </c>
      <c r="R10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7">
        <f>IF(AND(NOT(ISBLANK(ReconciliationData[[#This Row],[Contract_Price]])),ReconciliationData[[#This Row],[Billed_Price]]&lt;&gt;ReconciliationData[[#This Row],[Contract_Price]]),1,0)</f>
        <v>0</v>
      </c>
      <c r="T1087">
        <f>IF(AND(NOT(ISBLANK(ReconciliationData[[#This Row],[End_Date]])),ReconciliationData[[#This Row],[Order_Date]]&gt;ReconciliationData[[#This Row],[End_Date]]),1,0)</f>
        <v>0</v>
      </c>
      <c r="U1087">
        <f>IF(AND(NOT(ISBLANK(ReconciliationData[[#This Row],[last_return_date]])),ReconciliationData[[#This Row],[last_return_date]]&gt;ReconciliationData[[#This Row],[Order_Date]]+60),1,0)</f>
        <v>0</v>
      </c>
      <c r="V1087">
        <f>IF(ReconciliationData[[#This Row],[total_returned_units]]&gt;ReconciliationData[[#This Row],[ordered_units]],1,0)</f>
        <v>0</v>
      </c>
      <c r="W10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87">
        <f>ReconciliationData[[#This Row],[Billed_Units]]*ReconciliationData[[#This Row],[Billed_Price]]</f>
        <v>188069.22</v>
      </c>
      <c r="Y1087">
        <f>ReconciliationData[[#This Row],[ordered_units]]*ReconciliationData[[#This Row],[List_Price]]</f>
        <v>188069.22</v>
      </c>
      <c r="Z1087">
        <f>ReconciliationData[[#This Row],[billed_revenue]]-ReconciliationData[[#This Row],[expected_revenue]]</f>
        <v>0</v>
      </c>
      <c r="AA10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87" t="str">
        <f>IF(ReconciliationData[[#This Row],[severity_score]]=0,"LOW",
 IF(ReconciliationData[[#This Row],[severity_score]]&lt;=5,"MEDIUM","HIGH"))</f>
        <v>LOW</v>
      </c>
      <c r="AC1087" t="str">
        <f>TEXT(ReconciliationData[[#This Row],[Order_Date]],"YYYY-MM")</f>
        <v>2024-02</v>
      </c>
    </row>
    <row r="1088" spans="1:29">
      <c r="A1088" t="s">
        <v>3190</v>
      </c>
      <c r="B1088" s="1">
        <v>44930</v>
      </c>
      <c r="C1088" t="s">
        <v>2207</v>
      </c>
      <c r="D1088" t="s">
        <v>923</v>
      </c>
      <c r="E1088">
        <v>65</v>
      </c>
      <c r="F1088" t="s">
        <v>3191</v>
      </c>
      <c r="G1088">
        <v>72</v>
      </c>
      <c r="H1088">
        <v>725.2</v>
      </c>
      <c r="N1088">
        <v>725.2</v>
      </c>
      <c r="O1088" s="1">
        <v>44595</v>
      </c>
      <c r="P1088">
        <f>IF(ISBLANK(ReconciliationData[[#This Row],[Invoice_ID]]),1,0)</f>
        <v>0</v>
      </c>
      <c r="Q1088">
        <f>IF(AND(NOT(ISBLANK(ReconciliationData[[#This Row],[Billed_Units]])),ReconciliationData[[#This Row],[ordered_units]]&lt;&gt;ReconciliationData[[#This Row],[Billed_Units]]),1,0)</f>
        <v>1</v>
      </c>
      <c r="R10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8">
        <f>IF(AND(NOT(ISBLANK(ReconciliationData[[#This Row],[Contract_Price]])),ReconciliationData[[#This Row],[Billed_Price]]&lt;&gt;ReconciliationData[[#This Row],[Contract_Price]]),1,0)</f>
        <v>0</v>
      </c>
      <c r="T1088">
        <f>IF(AND(NOT(ISBLANK(ReconciliationData[[#This Row],[End_Date]])),ReconciliationData[[#This Row],[Order_Date]]&gt;ReconciliationData[[#This Row],[End_Date]]),1,0)</f>
        <v>0</v>
      </c>
      <c r="U1088">
        <f>IF(AND(NOT(ISBLANK(ReconciliationData[[#This Row],[last_return_date]])),ReconciliationData[[#This Row],[last_return_date]]&gt;ReconciliationData[[#This Row],[Order_Date]]+60),1,0)</f>
        <v>0</v>
      </c>
      <c r="V1088">
        <f>IF(ReconciliationData[[#This Row],[total_returned_units]]&gt;ReconciliationData[[#This Row],[ordered_units]],1,0)</f>
        <v>0</v>
      </c>
      <c r="W10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88">
        <f>ReconciliationData[[#This Row],[Billed_Units]]*ReconciliationData[[#This Row],[Billed_Price]]</f>
        <v>52214.400000000001</v>
      </c>
      <c r="Y1088">
        <f>ReconciliationData[[#This Row],[ordered_units]]*ReconciliationData[[#This Row],[List_Price]]</f>
        <v>47138</v>
      </c>
      <c r="Z1088">
        <f>ReconciliationData[[#This Row],[billed_revenue]]-ReconciliationData[[#This Row],[expected_revenue]]</f>
        <v>5076.4000000000015</v>
      </c>
      <c r="AA10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088" t="str">
        <f>IF(ReconciliationData[[#This Row],[severity_score]]=0,"LOW",
 IF(ReconciliationData[[#This Row],[severity_score]]&lt;=5,"MEDIUM","HIGH"))</f>
        <v>HIGH</v>
      </c>
      <c r="AC1088" t="str">
        <f>TEXT(ReconciliationData[[#This Row],[Order_Date]],"YYYY-MM")</f>
        <v>2023-01</v>
      </c>
    </row>
    <row r="1089" spans="1:29">
      <c r="A1089" t="s">
        <v>3192</v>
      </c>
      <c r="B1089" s="1">
        <v>45208</v>
      </c>
      <c r="C1089" t="s">
        <v>3193</v>
      </c>
      <c r="D1089" t="s">
        <v>596</v>
      </c>
      <c r="E1089">
        <v>138</v>
      </c>
      <c r="F1089" t="s">
        <v>3194</v>
      </c>
      <c r="G1089">
        <v>138</v>
      </c>
      <c r="H1089">
        <v>652.1472</v>
      </c>
      <c r="N1089">
        <v>652.1472</v>
      </c>
      <c r="O1089" s="1">
        <v>44959</v>
      </c>
      <c r="P1089">
        <f>IF(ISBLANK(ReconciliationData[[#This Row],[Invoice_ID]]),1,0)</f>
        <v>0</v>
      </c>
      <c r="Q1089">
        <f>IF(AND(NOT(ISBLANK(ReconciliationData[[#This Row],[Billed_Units]])),ReconciliationData[[#This Row],[ordered_units]]&lt;&gt;ReconciliationData[[#This Row],[Billed_Units]]),1,0)</f>
        <v>0</v>
      </c>
      <c r="R10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89">
        <f>IF(AND(NOT(ISBLANK(ReconciliationData[[#This Row],[Contract_Price]])),ReconciliationData[[#This Row],[Billed_Price]]&lt;&gt;ReconciliationData[[#This Row],[Contract_Price]]),1,0)</f>
        <v>0</v>
      </c>
      <c r="T1089">
        <f>IF(AND(NOT(ISBLANK(ReconciliationData[[#This Row],[End_Date]])),ReconciliationData[[#This Row],[Order_Date]]&gt;ReconciliationData[[#This Row],[End_Date]]),1,0)</f>
        <v>0</v>
      </c>
      <c r="U1089">
        <f>IF(AND(NOT(ISBLANK(ReconciliationData[[#This Row],[last_return_date]])),ReconciliationData[[#This Row],[last_return_date]]&gt;ReconciliationData[[#This Row],[Order_Date]]+60),1,0)</f>
        <v>0</v>
      </c>
      <c r="V1089">
        <f>IF(ReconciliationData[[#This Row],[total_returned_units]]&gt;ReconciliationData[[#This Row],[ordered_units]],1,0)</f>
        <v>0</v>
      </c>
      <c r="W10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89">
        <f>ReconciliationData[[#This Row],[Billed_Units]]*ReconciliationData[[#This Row],[Billed_Price]]</f>
        <v>89996.313599999994</v>
      </c>
      <c r="Y1089">
        <f>ReconciliationData[[#This Row],[ordered_units]]*ReconciliationData[[#This Row],[List_Price]]</f>
        <v>89996.313599999994</v>
      </c>
      <c r="Z1089">
        <f>ReconciliationData[[#This Row],[billed_revenue]]-ReconciliationData[[#This Row],[expected_revenue]]</f>
        <v>0</v>
      </c>
      <c r="AA10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89" t="str">
        <f>IF(ReconciliationData[[#This Row],[severity_score]]=0,"LOW",
 IF(ReconciliationData[[#This Row],[severity_score]]&lt;=5,"MEDIUM","HIGH"))</f>
        <v>LOW</v>
      </c>
      <c r="AC1089" t="str">
        <f>TEXT(ReconciliationData[[#This Row],[Order_Date]],"YYYY-MM")</f>
        <v>2023-10</v>
      </c>
    </row>
    <row r="1090" spans="1:29">
      <c r="A1090" t="s">
        <v>3195</v>
      </c>
      <c r="B1090" s="1">
        <v>45201</v>
      </c>
      <c r="C1090" t="s">
        <v>3196</v>
      </c>
      <c r="D1090" t="s">
        <v>1775</v>
      </c>
      <c r="E1090">
        <v>156</v>
      </c>
      <c r="F1090" t="s">
        <v>3197</v>
      </c>
      <c r="G1090">
        <v>156</v>
      </c>
      <c r="H1090">
        <v>908.12130000000002</v>
      </c>
      <c r="N1090">
        <v>908.12130000000002</v>
      </c>
      <c r="O1090" s="1">
        <v>45140</v>
      </c>
      <c r="P1090">
        <f>IF(ISBLANK(ReconciliationData[[#This Row],[Invoice_ID]]),1,0)</f>
        <v>0</v>
      </c>
      <c r="Q1090">
        <f>IF(AND(NOT(ISBLANK(ReconciliationData[[#This Row],[Billed_Units]])),ReconciliationData[[#This Row],[ordered_units]]&lt;&gt;ReconciliationData[[#This Row],[Billed_Units]]),1,0)</f>
        <v>0</v>
      </c>
      <c r="R10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0">
        <f>IF(AND(NOT(ISBLANK(ReconciliationData[[#This Row],[Contract_Price]])),ReconciliationData[[#This Row],[Billed_Price]]&lt;&gt;ReconciliationData[[#This Row],[Contract_Price]]),1,0)</f>
        <v>0</v>
      </c>
      <c r="T1090">
        <f>IF(AND(NOT(ISBLANK(ReconciliationData[[#This Row],[End_Date]])),ReconciliationData[[#This Row],[Order_Date]]&gt;ReconciliationData[[#This Row],[End_Date]]),1,0)</f>
        <v>0</v>
      </c>
      <c r="U1090">
        <f>IF(AND(NOT(ISBLANK(ReconciliationData[[#This Row],[last_return_date]])),ReconciliationData[[#This Row],[last_return_date]]&gt;ReconciliationData[[#This Row],[Order_Date]]+60),1,0)</f>
        <v>0</v>
      </c>
      <c r="V1090">
        <f>IF(ReconciliationData[[#This Row],[total_returned_units]]&gt;ReconciliationData[[#This Row],[ordered_units]],1,0)</f>
        <v>0</v>
      </c>
      <c r="W10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90">
        <f>ReconciliationData[[#This Row],[Billed_Units]]*ReconciliationData[[#This Row],[Billed_Price]]</f>
        <v>141666.9228</v>
      </c>
      <c r="Y1090">
        <f>ReconciliationData[[#This Row],[ordered_units]]*ReconciliationData[[#This Row],[List_Price]]</f>
        <v>141666.9228</v>
      </c>
      <c r="Z1090">
        <f>ReconciliationData[[#This Row],[billed_revenue]]-ReconciliationData[[#This Row],[expected_revenue]]</f>
        <v>0</v>
      </c>
      <c r="AA10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90" t="str">
        <f>IF(ReconciliationData[[#This Row],[severity_score]]=0,"LOW",
 IF(ReconciliationData[[#This Row],[severity_score]]&lt;=5,"MEDIUM","HIGH"))</f>
        <v>LOW</v>
      </c>
      <c r="AC1090" t="str">
        <f>TEXT(ReconciliationData[[#This Row],[Order_Date]],"YYYY-MM")</f>
        <v>2023-10</v>
      </c>
    </row>
    <row r="1091" spans="1:29">
      <c r="A1091" t="s">
        <v>3198</v>
      </c>
      <c r="B1091" s="1">
        <v>45613</v>
      </c>
      <c r="C1091" t="s">
        <v>1936</v>
      </c>
      <c r="D1091" t="s">
        <v>782</v>
      </c>
      <c r="E1091">
        <v>186</v>
      </c>
      <c r="F1091" t="s">
        <v>3199</v>
      </c>
      <c r="G1091">
        <v>186</v>
      </c>
      <c r="H1091">
        <v>216.2484</v>
      </c>
      <c r="N1091">
        <v>216.2484</v>
      </c>
      <c r="O1091" s="1">
        <v>44944</v>
      </c>
      <c r="P1091">
        <f>IF(ISBLANK(ReconciliationData[[#This Row],[Invoice_ID]]),1,0)</f>
        <v>0</v>
      </c>
      <c r="Q1091">
        <f>IF(AND(NOT(ISBLANK(ReconciliationData[[#This Row],[Billed_Units]])),ReconciliationData[[#This Row],[ordered_units]]&lt;&gt;ReconciliationData[[#This Row],[Billed_Units]]),1,0)</f>
        <v>0</v>
      </c>
      <c r="R10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1">
        <f>IF(AND(NOT(ISBLANK(ReconciliationData[[#This Row],[Contract_Price]])),ReconciliationData[[#This Row],[Billed_Price]]&lt;&gt;ReconciliationData[[#This Row],[Contract_Price]]),1,0)</f>
        <v>0</v>
      </c>
      <c r="T1091">
        <f>IF(AND(NOT(ISBLANK(ReconciliationData[[#This Row],[End_Date]])),ReconciliationData[[#This Row],[Order_Date]]&gt;ReconciliationData[[#This Row],[End_Date]]),1,0)</f>
        <v>0</v>
      </c>
      <c r="U1091">
        <f>IF(AND(NOT(ISBLANK(ReconciliationData[[#This Row],[last_return_date]])),ReconciliationData[[#This Row],[last_return_date]]&gt;ReconciliationData[[#This Row],[Order_Date]]+60),1,0)</f>
        <v>0</v>
      </c>
      <c r="V1091">
        <f>IF(ReconciliationData[[#This Row],[total_returned_units]]&gt;ReconciliationData[[#This Row],[ordered_units]],1,0)</f>
        <v>0</v>
      </c>
      <c r="W10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91">
        <f>ReconciliationData[[#This Row],[Billed_Units]]*ReconciliationData[[#This Row],[Billed_Price]]</f>
        <v>40222.202400000002</v>
      </c>
      <c r="Y1091">
        <f>ReconciliationData[[#This Row],[ordered_units]]*ReconciliationData[[#This Row],[List_Price]]</f>
        <v>40222.202400000002</v>
      </c>
      <c r="Z1091">
        <f>ReconciliationData[[#This Row],[billed_revenue]]-ReconciliationData[[#This Row],[expected_revenue]]</f>
        <v>0</v>
      </c>
      <c r="AA10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91" t="str">
        <f>IF(ReconciliationData[[#This Row],[severity_score]]=0,"LOW",
 IF(ReconciliationData[[#This Row],[severity_score]]&lt;=5,"MEDIUM","HIGH"))</f>
        <v>LOW</v>
      </c>
      <c r="AC1091" t="str">
        <f>TEXT(ReconciliationData[[#This Row],[Order_Date]],"YYYY-MM")</f>
        <v>2024-11</v>
      </c>
    </row>
    <row r="1092" spans="1:29">
      <c r="A1092" t="s">
        <v>3200</v>
      </c>
      <c r="B1092" s="1">
        <v>45250</v>
      </c>
      <c r="C1092" t="s">
        <v>1964</v>
      </c>
      <c r="D1092" t="s">
        <v>483</v>
      </c>
      <c r="E1092">
        <v>16</v>
      </c>
      <c r="F1092" t="s">
        <v>3201</v>
      </c>
      <c r="G1092">
        <v>16</v>
      </c>
      <c r="H1092">
        <v>269.178</v>
      </c>
      <c r="N1092">
        <v>269.178</v>
      </c>
      <c r="O1092" s="1">
        <v>45158</v>
      </c>
      <c r="P1092">
        <f>IF(ISBLANK(ReconciliationData[[#This Row],[Invoice_ID]]),1,0)</f>
        <v>0</v>
      </c>
      <c r="Q1092">
        <f>IF(AND(NOT(ISBLANK(ReconciliationData[[#This Row],[Billed_Units]])),ReconciliationData[[#This Row],[ordered_units]]&lt;&gt;ReconciliationData[[#This Row],[Billed_Units]]),1,0)</f>
        <v>0</v>
      </c>
      <c r="R10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2">
        <f>IF(AND(NOT(ISBLANK(ReconciliationData[[#This Row],[Contract_Price]])),ReconciliationData[[#This Row],[Billed_Price]]&lt;&gt;ReconciliationData[[#This Row],[Contract_Price]]),1,0)</f>
        <v>0</v>
      </c>
      <c r="T1092">
        <f>IF(AND(NOT(ISBLANK(ReconciliationData[[#This Row],[End_Date]])),ReconciliationData[[#This Row],[Order_Date]]&gt;ReconciliationData[[#This Row],[End_Date]]),1,0)</f>
        <v>0</v>
      </c>
      <c r="U1092">
        <f>IF(AND(NOT(ISBLANK(ReconciliationData[[#This Row],[last_return_date]])),ReconciliationData[[#This Row],[last_return_date]]&gt;ReconciliationData[[#This Row],[Order_Date]]+60),1,0)</f>
        <v>0</v>
      </c>
      <c r="V1092">
        <f>IF(ReconciliationData[[#This Row],[total_returned_units]]&gt;ReconciliationData[[#This Row],[ordered_units]],1,0)</f>
        <v>0</v>
      </c>
      <c r="W10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92">
        <f>ReconciliationData[[#This Row],[Billed_Units]]*ReconciliationData[[#This Row],[Billed_Price]]</f>
        <v>4306.848</v>
      </c>
      <c r="Y1092">
        <f>ReconciliationData[[#This Row],[ordered_units]]*ReconciliationData[[#This Row],[List_Price]]</f>
        <v>4306.848</v>
      </c>
      <c r="Z1092">
        <f>ReconciliationData[[#This Row],[billed_revenue]]-ReconciliationData[[#This Row],[expected_revenue]]</f>
        <v>0</v>
      </c>
      <c r="AA10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92" t="str">
        <f>IF(ReconciliationData[[#This Row],[severity_score]]=0,"LOW",
 IF(ReconciliationData[[#This Row],[severity_score]]&lt;=5,"MEDIUM","HIGH"))</f>
        <v>LOW</v>
      </c>
      <c r="AC1092" t="str">
        <f>TEXT(ReconciliationData[[#This Row],[Order_Date]],"YYYY-MM")</f>
        <v>2023-11</v>
      </c>
    </row>
    <row r="1093" spans="1:29">
      <c r="A1093" t="s">
        <v>3202</v>
      </c>
      <c r="B1093" s="1">
        <v>45468</v>
      </c>
      <c r="C1093" t="s">
        <v>3203</v>
      </c>
      <c r="D1093" t="s">
        <v>825</v>
      </c>
      <c r="E1093">
        <v>176</v>
      </c>
      <c r="F1093" t="s">
        <v>3204</v>
      </c>
      <c r="G1093">
        <v>176</v>
      </c>
      <c r="H1093">
        <v>752.48910000000001</v>
      </c>
      <c r="N1093">
        <v>752.48910000000001</v>
      </c>
      <c r="O1093" s="1">
        <v>44953</v>
      </c>
      <c r="P1093">
        <f>IF(ISBLANK(ReconciliationData[[#This Row],[Invoice_ID]]),1,0)</f>
        <v>0</v>
      </c>
      <c r="Q1093">
        <f>IF(AND(NOT(ISBLANK(ReconciliationData[[#This Row],[Billed_Units]])),ReconciliationData[[#This Row],[ordered_units]]&lt;&gt;ReconciliationData[[#This Row],[Billed_Units]]),1,0)</f>
        <v>0</v>
      </c>
      <c r="R10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3">
        <f>IF(AND(NOT(ISBLANK(ReconciliationData[[#This Row],[Contract_Price]])),ReconciliationData[[#This Row],[Billed_Price]]&lt;&gt;ReconciliationData[[#This Row],[Contract_Price]]),1,0)</f>
        <v>0</v>
      </c>
      <c r="T1093">
        <f>IF(AND(NOT(ISBLANK(ReconciliationData[[#This Row],[End_Date]])),ReconciliationData[[#This Row],[Order_Date]]&gt;ReconciliationData[[#This Row],[End_Date]]),1,0)</f>
        <v>0</v>
      </c>
      <c r="U1093">
        <f>IF(AND(NOT(ISBLANK(ReconciliationData[[#This Row],[last_return_date]])),ReconciliationData[[#This Row],[last_return_date]]&gt;ReconciliationData[[#This Row],[Order_Date]]+60),1,0)</f>
        <v>0</v>
      </c>
      <c r="V1093">
        <f>IF(ReconciliationData[[#This Row],[total_returned_units]]&gt;ReconciliationData[[#This Row],[ordered_units]],1,0)</f>
        <v>0</v>
      </c>
      <c r="W10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93">
        <f>ReconciliationData[[#This Row],[Billed_Units]]*ReconciliationData[[#This Row],[Billed_Price]]</f>
        <v>132438.0816</v>
      </c>
      <c r="Y1093">
        <f>ReconciliationData[[#This Row],[ordered_units]]*ReconciliationData[[#This Row],[List_Price]]</f>
        <v>132438.0816</v>
      </c>
      <c r="Z1093">
        <f>ReconciliationData[[#This Row],[billed_revenue]]-ReconciliationData[[#This Row],[expected_revenue]]</f>
        <v>0</v>
      </c>
      <c r="AA10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93" t="str">
        <f>IF(ReconciliationData[[#This Row],[severity_score]]=0,"LOW",
 IF(ReconciliationData[[#This Row],[severity_score]]&lt;=5,"MEDIUM","HIGH"))</f>
        <v>LOW</v>
      </c>
      <c r="AC1093" t="str">
        <f>TEXT(ReconciliationData[[#This Row],[Order_Date]],"YYYY-MM")</f>
        <v>2024-06</v>
      </c>
    </row>
    <row r="1094" spans="1:29">
      <c r="A1094" t="s">
        <v>3205</v>
      </c>
      <c r="B1094" s="1">
        <v>45182</v>
      </c>
      <c r="C1094" t="s">
        <v>3206</v>
      </c>
      <c r="D1094" t="s">
        <v>487</v>
      </c>
      <c r="E1094">
        <v>147</v>
      </c>
      <c r="F1094" t="s">
        <v>3207</v>
      </c>
      <c r="G1094">
        <v>147</v>
      </c>
      <c r="H1094">
        <v>280.03500000000003</v>
      </c>
      <c r="N1094">
        <v>280.03500000000003</v>
      </c>
      <c r="O1094" s="1">
        <v>45146</v>
      </c>
      <c r="P1094">
        <f>IF(ISBLANK(ReconciliationData[[#This Row],[Invoice_ID]]),1,0)</f>
        <v>0</v>
      </c>
      <c r="Q1094">
        <f>IF(AND(NOT(ISBLANK(ReconciliationData[[#This Row],[Billed_Units]])),ReconciliationData[[#This Row],[ordered_units]]&lt;&gt;ReconciliationData[[#This Row],[Billed_Units]]),1,0)</f>
        <v>0</v>
      </c>
      <c r="R10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4">
        <f>IF(AND(NOT(ISBLANK(ReconciliationData[[#This Row],[Contract_Price]])),ReconciliationData[[#This Row],[Billed_Price]]&lt;&gt;ReconciliationData[[#This Row],[Contract_Price]]),1,0)</f>
        <v>0</v>
      </c>
      <c r="T1094">
        <f>IF(AND(NOT(ISBLANK(ReconciliationData[[#This Row],[End_Date]])),ReconciliationData[[#This Row],[Order_Date]]&gt;ReconciliationData[[#This Row],[End_Date]]),1,0)</f>
        <v>0</v>
      </c>
      <c r="U1094">
        <f>IF(AND(NOT(ISBLANK(ReconciliationData[[#This Row],[last_return_date]])),ReconciliationData[[#This Row],[last_return_date]]&gt;ReconciliationData[[#This Row],[Order_Date]]+60),1,0)</f>
        <v>0</v>
      </c>
      <c r="V1094">
        <f>IF(ReconciliationData[[#This Row],[total_returned_units]]&gt;ReconciliationData[[#This Row],[ordered_units]],1,0)</f>
        <v>0</v>
      </c>
      <c r="W10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94">
        <f>ReconciliationData[[#This Row],[Billed_Units]]*ReconciliationData[[#This Row],[Billed_Price]]</f>
        <v>41165.145000000004</v>
      </c>
      <c r="Y1094">
        <f>ReconciliationData[[#This Row],[ordered_units]]*ReconciliationData[[#This Row],[List_Price]]</f>
        <v>41165.145000000004</v>
      </c>
      <c r="Z1094">
        <f>ReconciliationData[[#This Row],[billed_revenue]]-ReconciliationData[[#This Row],[expected_revenue]]</f>
        <v>0</v>
      </c>
      <c r="AA10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94" t="str">
        <f>IF(ReconciliationData[[#This Row],[severity_score]]=0,"LOW",
 IF(ReconciliationData[[#This Row],[severity_score]]&lt;=5,"MEDIUM","HIGH"))</f>
        <v>LOW</v>
      </c>
      <c r="AC1094" t="str">
        <f>TEXT(ReconciliationData[[#This Row],[Order_Date]],"YYYY-MM")</f>
        <v>2023-09</v>
      </c>
    </row>
    <row r="1095" spans="1:29">
      <c r="A1095" t="s">
        <v>3208</v>
      </c>
      <c r="B1095" s="1">
        <v>45448</v>
      </c>
      <c r="C1095" t="s">
        <v>638</v>
      </c>
      <c r="D1095" t="s">
        <v>1088</v>
      </c>
      <c r="E1095">
        <v>62</v>
      </c>
      <c r="F1095" t="s">
        <v>3209</v>
      </c>
      <c r="G1095">
        <v>58</v>
      </c>
      <c r="H1095">
        <v>72.63</v>
      </c>
      <c r="N1095">
        <v>72.63</v>
      </c>
      <c r="O1095" s="1">
        <v>44956</v>
      </c>
      <c r="P1095">
        <f>IF(ISBLANK(ReconciliationData[[#This Row],[Invoice_ID]]),1,0)</f>
        <v>0</v>
      </c>
      <c r="Q1095">
        <f>IF(AND(NOT(ISBLANK(ReconciliationData[[#This Row],[Billed_Units]])),ReconciliationData[[#This Row],[ordered_units]]&lt;&gt;ReconciliationData[[#This Row],[Billed_Units]]),1,0)</f>
        <v>1</v>
      </c>
      <c r="R10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5">
        <f>IF(AND(NOT(ISBLANK(ReconciliationData[[#This Row],[Contract_Price]])),ReconciliationData[[#This Row],[Billed_Price]]&lt;&gt;ReconciliationData[[#This Row],[Contract_Price]]),1,0)</f>
        <v>0</v>
      </c>
      <c r="T1095">
        <f>IF(AND(NOT(ISBLANK(ReconciliationData[[#This Row],[End_Date]])),ReconciliationData[[#This Row],[Order_Date]]&gt;ReconciliationData[[#This Row],[End_Date]]),1,0)</f>
        <v>0</v>
      </c>
      <c r="U1095">
        <f>IF(AND(NOT(ISBLANK(ReconciliationData[[#This Row],[last_return_date]])),ReconciliationData[[#This Row],[last_return_date]]&gt;ReconciliationData[[#This Row],[Order_Date]]+60),1,0)</f>
        <v>0</v>
      </c>
      <c r="V1095">
        <f>IF(ReconciliationData[[#This Row],[total_returned_units]]&gt;ReconciliationData[[#This Row],[ordered_units]],1,0)</f>
        <v>0</v>
      </c>
      <c r="W10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095">
        <f>ReconciliationData[[#This Row],[Billed_Units]]*ReconciliationData[[#This Row],[Billed_Price]]</f>
        <v>4212.54</v>
      </c>
      <c r="Y1095">
        <f>ReconciliationData[[#This Row],[ordered_units]]*ReconciliationData[[#This Row],[List_Price]]</f>
        <v>4503.0599999999995</v>
      </c>
      <c r="Z1095">
        <f>ReconciliationData[[#This Row],[billed_revenue]]-ReconciliationData[[#This Row],[expected_revenue]]</f>
        <v>-290.51999999999953</v>
      </c>
      <c r="AA10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1095" t="str">
        <f>IF(ReconciliationData[[#This Row],[severity_score]]=0,"LOW",
 IF(ReconciliationData[[#This Row],[severity_score]]&lt;=5,"MEDIUM","HIGH"))</f>
        <v>MEDIUM</v>
      </c>
      <c r="AC1095" t="str">
        <f>TEXT(ReconciliationData[[#This Row],[Order_Date]],"YYYY-MM")</f>
        <v>2024-06</v>
      </c>
    </row>
    <row r="1096" spans="1:29">
      <c r="A1096" t="s">
        <v>3210</v>
      </c>
      <c r="B1096" s="1">
        <v>45294</v>
      </c>
      <c r="C1096" t="s">
        <v>1975</v>
      </c>
      <c r="D1096" t="s">
        <v>412</v>
      </c>
      <c r="E1096">
        <v>73</v>
      </c>
      <c r="F1096" t="s">
        <v>3211</v>
      </c>
      <c r="G1096">
        <v>73</v>
      </c>
      <c r="H1096">
        <v>1160.5650000000001</v>
      </c>
      <c r="N1096">
        <v>1160.5650000000001</v>
      </c>
      <c r="O1096" s="1">
        <v>45055</v>
      </c>
      <c r="P1096">
        <f>IF(ISBLANK(ReconciliationData[[#This Row],[Invoice_ID]]),1,0)</f>
        <v>0</v>
      </c>
      <c r="Q1096">
        <f>IF(AND(NOT(ISBLANK(ReconciliationData[[#This Row],[Billed_Units]])),ReconciliationData[[#This Row],[ordered_units]]&lt;&gt;ReconciliationData[[#This Row],[Billed_Units]]),1,0)</f>
        <v>0</v>
      </c>
      <c r="R10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6">
        <f>IF(AND(NOT(ISBLANK(ReconciliationData[[#This Row],[Contract_Price]])),ReconciliationData[[#This Row],[Billed_Price]]&lt;&gt;ReconciliationData[[#This Row],[Contract_Price]]),1,0)</f>
        <v>0</v>
      </c>
      <c r="T1096">
        <f>IF(AND(NOT(ISBLANK(ReconciliationData[[#This Row],[End_Date]])),ReconciliationData[[#This Row],[Order_Date]]&gt;ReconciliationData[[#This Row],[End_Date]]),1,0)</f>
        <v>0</v>
      </c>
      <c r="U1096">
        <f>IF(AND(NOT(ISBLANK(ReconciliationData[[#This Row],[last_return_date]])),ReconciliationData[[#This Row],[last_return_date]]&gt;ReconciliationData[[#This Row],[Order_Date]]+60),1,0)</f>
        <v>0</v>
      </c>
      <c r="V1096">
        <f>IF(ReconciliationData[[#This Row],[total_returned_units]]&gt;ReconciliationData[[#This Row],[ordered_units]],1,0)</f>
        <v>0</v>
      </c>
      <c r="W10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96">
        <f>ReconciliationData[[#This Row],[Billed_Units]]*ReconciliationData[[#This Row],[Billed_Price]]</f>
        <v>84721.24500000001</v>
      </c>
      <c r="Y1096">
        <f>ReconciliationData[[#This Row],[ordered_units]]*ReconciliationData[[#This Row],[List_Price]]</f>
        <v>84721.24500000001</v>
      </c>
      <c r="Z1096">
        <f>ReconciliationData[[#This Row],[billed_revenue]]-ReconciliationData[[#This Row],[expected_revenue]]</f>
        <v>0</v>
      </c>
      <c r="AA10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96" t="str">
        <f>IF(ReconciliationData[[#This Row],[severity_score]]=0,"LOW",
 IF(ReconciliationData[[#This Row],[severity_score]]&lt;=5,"MEDIUM","HIGH"))</f>
        <v>LOW</v>
      </c>
      <c r="AC1096" t="str">
        <f>TEXT(ReconciliationData[[#This Row],[Order_Date]],"YYYY-MM")</f>
        <v>2024-01</v>
      </c>
    </row>
    <row r="1097" spans="1:29">
      <c r="A1097" t="s">
        <v>3212</v>
      </c>
      <c r="B1097" s="1">
        <v>45073</v>
      </c>
      <c r="C1097" t="s">
        <v>1987</v>
      </c>
      <c r="D1097" t="s">
        <v>212</v>
      </c>
      <c r="E1097">
        <v>65</v>
      </c>
      <c r="F1097" t="s">
        <v>3213</v>
      </c>
      <c r="G1097">
        <v>65</v>
      </c>
      <c r="H1097">
        <v>769.91809999999998</v>
      </c>
      <c r="N1097">
        <v>769.91809999999998</v>
      </c>
      <c r="O1097" s="1">
        <v>44925</v>
      </c>
      <c r="P1097">
        <f>IF(ISBLANK(ReconciliationData[[#This Row],[Invoice_ID]]),1,0)</f>
        <v>0</v>
      </c>
      <c r="Q1097">
        <f>IF(AND(NOT(ISBLANK(ReconciliationData[[#This Row],[Billed_Units]])),ReconciliationData[[#This Row],[ordered_units]]&lt;&gt;ReconciliationData[[#This Row],[Billed_Units]]),1,0)</f>
        <v>0</v>
      </c>
      <c r="R10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7">
        <f>IF(AND(NOT(ISBLANK(ReconciliationData[[#This Row],[Contract_Price]])),ReconciliationData[[#This Row],[Billed_Price]]&lt;&gt;ReconciliationData[[#This Row],[Contract_Price]]),1,0)</f>
        <v>0</v>
      </c>
      <c r="T1097">
        <f>IF(AND(NOT(ISBLANK(ReconciliationData[[#This Row],[End_Date]])),ReconciliationData[[#This Row],[Order_Date]]&gt;ReconciliationData[[#This Row],[End_Date]]),1,0)</f>
        <v>0</v>
      </c>
      <c r="U1097">
        <f>IF(AND(NOT(ISBLANK(ReconciliationData[[#This Row],[last_return_date]])),ReconciliationData[[#This Row],[last_return_date]]&gt;ReconciliationData[[#This Row],[Order_Date]]+60),1,0)</f>
        <v>0</v>
      </c>
      <c r="V1097">
        <f>IF(ReconciliationData[[#This Row],[total_returned_units]]&gt;ReconciliationData[[#This Row],[ordered_units]],1,0)</f>
        <v>0</v>
      </c>
      <c r="W10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97">
        <f>ReconciliationData[[#This Row],[Billed_Units]]*ReconciliationData[[#This Row],[Billed_Price]]</f>
        <v>50044.676500000001</v>
      </c>
      <c r="Y1097">
        <f>ReconciliationData[[#This Row],[ordered_units]]*ReconciliationData[[#This Row],[List_Price]]</f>
        <v>50044.676500000001</v>
      </c>
      <c r="Z1097">
        <f>ReconciliationData[[#This Row],[billed_revenue]]-ReconciliationData[[#This Row],[expected_revenue]]</f>
        <v>0</v>
      </c>
      <c r="AA10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97" t="str">
        <f>IF(ReconciliationData[[#This Row],[severity_score]]=0,"LOW",
 IF(ReconciliationData[[#This Row],[severity_score]]&lt;=5,"MEDIUM","HIGH"))</f>
        <v>LOW</v>
      </c>
      <c r="AC1097" t="str">
        <f>TEXT(ReconciliationData[[#This Row],[Order_Date]],"YYYY-MM")</f>
        <v>2023-05</v>
      </c>
    </row>
    <row r="1098" spans="1:29">
      <c r="A1098" t="s">
        <v>3214</v>
      </c>
      <c r="B1098" s="1">
        <v>45468</v>
      </c>
      <c r="C1098" t="s">
        <v>797</v>
      </c>
      <c r="D1098" t="s">
        <v>1994</v>
      </c>
      <c r="E1098">
        <v>50</v>
      </c>
      <c r="F1098" t="s">
        <v>3215</v>
      </c>
      <c r="G1098">
        <v>50</v>
      </c>
      <c r="H1098">
        <v>296.17460000000005</v>
      </c>
      <c r="I1098">
        <v>8</v>
      </c>
      <c r="J1098" s="1">
        <v>45444</v>
      </c>
      <c r="N1098">
        <v>296.17460000000005</v>
      </c>
      <c r="O1098" s="1">
        <v>45194</v>
      </c>
      <c r="P1098">
        <f>IF(ISBLANK(ReconciliationData[[#This Row],[Invoice_ID]]),1,0)</f>
        <v>0</v>
      </c>
      <c r="Q1098">
        <f>IF(AND(NOT(ISBLANK(ReconciliationData[[#This Row],[Billed_Units]])),ReconciliationData[[#This Row],[ordered_units]]&lt;&gt;ReconciliationData[[#This Row],[Billed_Units]]),1,0)</f>
        <v>0</v>
      </c>
      <c r="R10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8">
        <f>IF(AND(NOT(ISBLANK(ReconciliationData[[#This Row],[Contract_Price]])),ReconciliationData[[#This Row],[Billed_Price]]&lt;&gt;ReconciliationData[[#This Row],[Contract_Price]]),1,0)</f>
        <v>0</v>
      </c>
      <c r="T1098">
        <f>IF(AND(NOT(ISBLANK(ReconciliationData[[#This Row],[End_Date]])),ReconciliationData[[#This Row],[Order_Date]]&gt;ReconciliationData[[#This Row],[End_Date]]),1,0)</f>
        <v>0</v>
      </c>
      <c r="U1098">
        <f>IF(AND(NOT(ISBLANK(ReconciliationData[[#This Row],[last_return_date]])),ReconciliationData[[#This Row],[last_return_date]]&gt;ReconciliationData[[#This Row],[Order_Date]]+60),1,0)</f>
        <v>0</v>
      </c>
      <c r="V1098">
        <f>IF(ReconciliationData[[#This Row],[total_returned_units]]&gt;ReconciliationData[[#This Row],[ordered_units]],1,0)</f>
        <v>0</v>
      </c>
      <c r="W10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98">
        <f>ReconciliationData[[#This Row],[Billed_Units]]*ReconciliationData[[#This Row],[Billed_Price]]</f>
        <v>14808.730000000003</v>
      </c>
      <c r="Y1098">
        <f>ReconciliationData[[#This Row],[ordered_units]]*ReconciliationData[[#This Row],[List_Price]]</f>
        <v>14808.730000000003</v>
      </c>
      <c r="Z1098">
        <f>ReconciliationData[[#This Row],[billed_revenue]]-ReconciliationData[[#This Row],[expected_revenue]]</f>
        <v>0</v>
      </c>
      <c r="AA10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98" t="str">
        <f>IF(ReconciliationData[[#This Row],[severity_score]]=0,"LOW",
 IF(ReconciliationData[[#This Row],[severity_score]]&lt;=5,"MEDIUM","HIGH"))</f>
        <v>LOW</v>
      </c>
      <c r="AC1098" t="str">
        <f>TEXT(ReconciliationData[[#This Row],[Order_Date]],"YYYY-MM")</f>
        <v>2024-06</v>
      </c>
    </row>
    <row r="1099" spans="1:29">
      <c r="A1099" t="s">
        <v>3216</v>
      </c>
      <c r="B1099" s="1">
        <v>45010</v>
      </c>
      <c r="C1099" t="s">
        <v>3217</v>
      </c>
      <c r="D1099" t="s">
        <v>604</v>
      </c>
      <c r="E1099">
        <v>113</v>
      </c>
      <c r="F1099" t="s">
        <v>3218</v>
      </c>
      <c r="G1099">
        <v>113</v>
      </c>
      <c r="H1099">
        <v>1083.5958000000001</v>
      </c>
      <c r="N1099">
        <v>1083.5958000000001</v>
      </c>
      <c r="O1099" s="1">
        <v>44773</v>
      </c>
      <c r="P1099">
        <f>IF(ISBLANK(ReconciliationData[[#This Row],[Invoice_ID]]),1,0)</f>
        <v>0</v>
      </c>
      <c r="Q1099">
        <f>IF(AND(NOT(ISBLANK(ReconciliationData[[#This Row],[Billed_Units]])),ReconciliationData[[#This Row],[ordered_units]]&lt;&gt;ReconciliationData[[#This Row],[Billed_Units]]),1,0)</f>
        <v>0</v>
      </c>
      <c r="R10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099">
        <f>IF(AND(NOT(ISBLANK(ReconciliationData[[#This Row],[Contract_Price]])),ReconciliationData[[#This Row],[Billed_Price]]&lt;&gt;ReconciliationData[[#This Row],[Contract_Price]]),1,0)</f>
        <v>0</v>
      </c>
      <c r="T1099">
        <f>IF(AND(NOT(ISBLANK(ReconciliationData[[#This Row],[End_Date]])),ReconciliationData[[#This Row],[Order_Date]]&gt;ReconciliationData[[#This Row],[End_Date]]),1,0)</f>
        <v>0</v>
      </c>
      <c r="U1099">
        <f>IF(AND(NOT(ISBLANK(ReconciliationData[[#This Row],[last_return_date]])),ReconciliationData[[#This Row],[last_return_date]]&gt;ReconciliationData[[#This Row],[Order_Date]]+60),1,0)</f>
        <v>0</v>
      </c>
      <c r="V1099">
        <f>IF(ReconciliationData[[#This Row],[total_returned_units]]&gt;ReconciliationData[[#This Row],[ordered_units]],1,0)</f>
        <v>0</v>
      </c>
      <c r="W10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099">
        <f>ReconciliationData[[#This Row],[Billed_Units]]*ReconciliationData[[#This Row],[Billed_Price]]</f>
        <v>122446.3254</v>
      </c>
      <c r="Y1099">
        <f>ReconciliationData[[#This Row],[ordered_units]]*ReconciliationData[[#This Row],[List_Price]]</f>
        <v>122446.3254</v>
      </c>
      <c r="Z1099">
        <f>ReconciliationData[[#This Row],[billed_revenue]]-ReconciliationData[[#This Row],[expected_revenue]]</f>
        <v>0</v>
      </c>
      <c r="AA10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099" t="str">
        <f>IF(ReconciliationData[[#This Row],[severity_score]]=0,"LOW",
 IF(ReconciliationData[[#This Row],[severity_score]]&lt;=5,"MEDIUM","HIGH"))</f>
        <v>LOW</v>
      </c>
      <c r="AC1099" t="str">
        <f>TEXT(ReconciliationData[[#This Row],[Order_Date]],"YYYY-MM")</f>
        <v>2023-03</v>
      </c>
    </row>
    <row r="1100" spans="1:29">
      <c r="A1100" t="s">
        <v>3219</v>
      </c>
      <c r="B1100" s="1">
        <v>45586</v>
      </c>
      <c r="C1100" t="s">
        <v>197</v>
      </c>
      <c r="D1100" t="s">
        <v>3220</v>
      </c>
      <c r="E1100">
        <v>84</v>
      </c>
      <c r="F1100" t="s">
        <v>3221</v>
      </c>
      <c r="G1100">
        <v>84</v>
      </c>
      <c r="H1100">
        <v>380.30540000000002</v>
      </c>
      <c r="N1100">
        <v>380.30540000000002</v>
      </c>
      <c r="O1100" s="1">
        <v>45212</v>
      </c>
      <c r="P1100">
        <f>IF(ISBLANK(ReconciliationData[[#This Row],[Invoice_ID]]),1,0)</f>
        <v>0</v>
      </c>
      <c r="Q1100">
        <f>IF(AND(NOT(ISBLANK(ReconciliationData[[#This Row],[Billed_Units]])),ReconciliationData[[#This Row],[ordered_units]]&lt;&gt;ReconciliationData[[#This Row],[Billed_Units]]),1,0)</f>
        <v>0</v>
      </c>
      <c r="R11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0">
        <f>IF(AND(NOT(ISBLANK(ReconciliationData[[#This Row],[Contract_Price]])),ReconciliationData[[#This Row],[Billed_Price]]&lt;&gt;ReconciliationData[[#This Row],[Contract_Price]]),1,0)</f>
        <v>0</v>
      </c>
      <c r="T1100">
        <f>IF(AND(NOT(ISBLANK(ReconciliationData[[#This Row],[End_Date]])),ReconciliationData[[#This Row],[Order_Date]]&gt;ReconciliationData[[#This Row],[End_Date]]),1,0)</f>
        <v>0</v>
      </c>
      <c r="U1100">
        <f>IF(AND(NOT(ISBLANK(ReconciliationData[[#This Row],[last_return_date]])),ReconciliationData[[#This Row],[last_return_date]]&gt;ReconciliationData[[#This Row],[Order_Date]]+60),1,0)</f>
        <v>0</v>
      </c>
      <c r="V1100">
        <f>IF(ReconciliationData[[#This Row],[total_returned_units]]&gt;ReconciliationData[[#This Row],[ordered_units]],1,0)</f>
        <v>0</v>
      </c>
      <c r="W11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00">
        <f>ReconciliationData[[#This Row],[Billed_Units]]*ReconciliationData[[#This Row],[Billed_Price]]</f>
        <v>31945.653600000001</v>
      </c>
      <c r="Y1100">
        <f>ReconciliationData[[#This Row],[ordered_units]]*ReconciliationData[[#This Row],[List_Price]]</f>
        <v>31945.653600000001</v>
      </c>
      <c r="Z1100">
        <f>ReconciliationData[[#This Row],[billed_revenue]]-ReconciliationData[[#This Row],[expected_revenue]]</f>
        <v>0</v>
      </c>
      <c r="AA11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00" t="str">
        <f>IF(ReconciliationData[[#This Row],[severity_score]]=0,"LOW",
 IF(ReconciliationData[[#This Row],[severity_score]]&lt;=5,"MEDIUM","HIGH"))</f>
        <v>LOW</v>
      </c>
      <c r="AC1100" t="str">
        <f>TEXT(ReconciliationData[[#This Row],[Order_Date]],"YYYY-MM")</f>
        <v>2024-10</v>
      </c>
    </row>
    <row r="1101" spans="1:29">
      <c r="A1101" t="s">
        <v>3222</v>
      </c>
      <c r="B1101" s="1">
        <v>45205</v>
      </c>
      <c r="C1101" t="s">
        <v>1861</v>
      </c>
      <c r="D1101" t="s">
        <v>1754</v>
      </c>
      <c r="E1101">
        <v>154</v>
      </c>
      <c r="F1101" t="s">
        <v>3223</v>
      </c>
      <c r="G1101">
        <v>154</v>
      </c>
      <c r="H1101">
        <v>1072.2954</v>
      </c>
      <c r="N1101">
        <v>1072.2954</v>
      </c>
      <c r="O1101" s="1">
        <v>45120</v>
      </c>
      <c r="P1101">
        <f>IF(ISBLANK(ReconciliationData[[#This Row],[Invoice_ID]]),1,0)</f>
        <v>0</v>
      </c>
      <c r="Q1101">
        <f>IF(AND(NOT(ISBLANK(ReconciliationData[[#This Row],[Billed_Units]])),ReconciliationData[[#This Row],[ordered_units]]&lt;&gt;ReconciliationData[[#This Row],[Billed_Units]]),1,0)</f>
        <v>0</v>
      </c>
      <c r="R11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1">
        <f>IF(AND(NOT(ISBLANK(ReconciliationData[[#This Row],[Contract_Price]])),ReconciliationData[[#This Row],[Billed_Price]]&lt;&gt;ReconciliationData[[#This Row],[Contract_Price]]),1,0)</f>
        <v>0</v>
      </c>
      <c r="T1101">
        <f>IF(AND(NOT(ISBLANK(ReconciliationData[[#This Row],[End_Date]])),ReconciliationData[[#This Row],[Order_Date]]&gt;ReconciliationData[[#This Row],[End_Date]]),1,0)</f>
        <v>0</v>
      </c>
      <c r="U1101">
        <f>IF(AND(NOT(ISBLANK(ReconciliationData[[#This Row],[last_return_date]])),ReconciliationData[[#This Row],[last_return_date]]&gt;ReconciliationData[[#This Row],[Order_Date]]+60),1,0)</f>
        <v>0</v>
      </c>
      <c r="V1101">
        <f>IF(ReconciliationData[[#This Row],[total_returned_units]]&gt;ReconciliationData[[#This Row],[ordered_units]],1,0)</f>
        <v>0</v>
      </c>
      <c r="W11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01">
        <f>ReconciliationData[[#This Row],[Billed_Units]]*ReconciliationData[[#This Row],[Billed_Price]]</f>
        <v>165133.49160000001</v>
      </c>
      <c r="Y1101">
        <f>ReconciliationData[[#This Row],[ordered_units]]*ReconciliationData[[#This Row],[List_Price]]</f>
        <v>165133.49160000001</v>
      </c>
      <c r="Z1101">
        <f>ReconciliationData[[#This Row],[billed_revenue]]-ReconciliationData[[#This Row],[expected_revenue]]</f>
        <v>0</v>
      </c>
      <c r="AA11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01" t="str">
        <f>IF(ReconciliationData[[#This Row],[severity_score]]=0,"LOW",
 IF(ReconciliationData[[#This Row],[severity_score]]&lt;=5,"MEDIUM","HIGH"))</f>
        <v>LOW</v>
      </c>
      <c r="AC1101" t="str">
        <f>TEXT(ReconciliationData[[#This Row],[Order_Date]],"YYYY-MM")</f>
        <v>2023-10</v>
      </c>
    </row>
    <row r="1102" spans="1:29">
      <c r="A1102" t="s">
        <v>3224</v>
      </c>
      <c r="B1102" s="1">
        <v>45512</v>
      </c>
      <c r="C1102" t="s">
        <v>3225</v>
      </c>
      <c r="D1102" t="s">
        <v>1542</v>
      </c>
      <c r="E1102">
        <v>130</v>
      </c>
      <c r="F1102" t="s">
        <v>3226</v>
      </c>
      <c r="G1102">
        <v>130</v>
      </c>
      <c r="H1102">
        <v>402.05340000000001</v>
      </c>
      <c r="N1102">
        <v>402.05340000000001</v>
      </c>
      <c r="O1102" s="1">
        <v>45214</v>
      </c>
      <c r="P1102">
        <f>IF(ISBLANK(ReconciliationData[[#This Row],[Invoice_ID]]),1,0)</f>
        <v>0</v>
      </c>
      <c r="Q1102">
        <f>IF(AND(NOT(ISBLANK(ReconciliationData[[#This Row],[Billed_Units]])),ReconciliationData[[#This Row],[ordered_units]]&lt;&gt;ReconciliationData[[#This Row],[Billed_Units]]),1,0)</f>
        <v>0</v>
      </c>
      <c r="R11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2">
        <f>IF(AND(NOT(ISBLANK(ReconciliationData[[#This Row],[Contract_Price]])),ReconciliationData[[#This Row],[Billed_Price]]&lt;&gt;ReconciliationData[[#This Row],[Contract_Price]]),1,0)</f>
        <v>0</v>
      </c>
      <c r="T1102">
        <f>IF(AND(NOT(ISBLANK(ReconciliationData[[#This Row],[End_Date]])),ReconciliationData[[#This Row],[Order_Date]]&gt;ReconciliationData[[#This Row],[End_Date]]),1,0)</f>
        <v>0</v>
      </c>
      <c r="U1102">
        <f>IF(AND(NOT(ISBLANK(ReconciliationData[[#This Row],[last_return_date]])),ReconciliationData[[#This Row],[last_return_date]]&gt;ReconciliationData[[#This Row],[Order_Date]]+60),1,0)</f>
        <v>0</v>
      </c>
      <c r="V1102">
        <f>IF(ReconciliationData[[#This Row],[total_returned_units]]&gt;ReconciliationData[[#This Row],[ordered_units]],1,0)</f>
        <v>0</v>
      </c>
      <c r="W11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02">
        <f>ReconciliationData[[#This Row],[Billed_Units]]*ReconciliationData[[#This Row],[Billed_Price]]</f>
        <v>52266.942000000003</v>
      </c>
      <c r="Y1102">
        <f>ReconciliationData[[#This Row],[ordered_units]]*ReconciliationData[[#This Row],[List_Price]]</f>
        <v>52266.942000000003</v>
      </c>
      <c r="Z1102">
        <f>ReconciliationData[[#This Row],[billed_revenue]]-ReconciliationData[[#This Row],[expected_revenue]]</f>
        <v>0</v>
      </c>
      <c r="AA11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02" t="str">
        <f>IF(ReconciliationData[[#This Row],[severity_score]]=0,"LOW",
 IF(ReconciliationData[[#This Row],[severity_score]]&lt;=5,"MEDIUM","HIGH"))</f>
        <v>LOW</v>
      </c>
      <c r="AC1102" t="str">
        <f>TEXT(ReconciliationData[[#This Row],[Order_Date]],"YYYY-MM")</f>
        <v>2024-08</v>
      </c>
    </row>
    <row r="1103" spans="1:29">
      <c r="A1103" t="s">
        <v>3227</v>
      </c>
      <c r="B1103" s="1">
        <v>45582</v>
      </c>
      <c r="C1103" t="s">
        <v>1781</v>
      </c>
      <c r="D1103" t="s">
        <v>775</v>
      </c>
      <c r="E1103">
        <v>27</v>
      </c>
      <c r="F1103" t="s">
        <v>3228</v>
      </c>
      <c r="G1103">
        <v>27</v>
      </c>
      <c r="H1103">
        <v>1231.8180000000002</v>
      </c>
      <c r="N1103">
        <v>1231.8180000000002</v>
      </c>
      <c r="O1103" s="1">
        <v>45048</v>
      </c>
      <c r="P1103">
        <f>IF(ISBLANK(ReconciliationData[[#This Row],[Invoice_ID]]),1,0)</f>
        <v>0</v>
      </c>
      <c r="Q1103">
        <f>IF(AND(NOT(ISBLANK(ReconciliationData[[#This Row],[Billed_Units]])),ReconciliationData[[#This Row],[ordered_units]]&lt;&gt;ReconciliationData[[#This Row],[Billed_Units]]),1,0)</f>
        <v>0</v>
      </c>
      <c r="R11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3">
        <f>IF(AND(NOT(ISBLANK(ReconciliationData[[#This Row],[Contract_Price]])),ReconciliationData[[#This Row],[Billed_Price]]&lt;&gt;ReconciliationData[[#This Row],[Contract_Price]]),1,0)</f>
        <v>0</v>
      </c>
      <c r="T1103">
        <f>IF(AND(NOT(ISBLANK(ReconciliationData[[#This Row],[End_Date]])),ReconciliationData[[#This Row],[Order_Date]]&gt;ReconciliationData[[#This Row],[End_Date]]),1,0)</f>
        <v>0</v>
      </c>
      <c r="U1103">
        <f>IF(AND(NOT(ISBLANK(ReconciliationData[[#This Row],[last_return_date]])),ReconciliationData[[#This Row],[last_return_date]]&gt;ReconciliationData[[#This Row],[Order_Date]]+60),1,0)</f>
        <v>0</v>
      </c>
      <c r="V1103">
        <f>IF(ReconciliationData[[#This Row],[total_returned_units]]&gt;ReconciliationData[[#This Row],[ordered_units]],1,0)</f>
        <v>0</v>
      </c>
      <c r="W11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03">
        <f>ReconciliationData[[#This Row],[Billed_Units]]*ReconciliationData[[#This Row],[Billed_Price]]</f>
        <v>33259.086000000003</v>
      </c>
      <c r="Y1103">
        <f>ReconciliationData[[#This Row],[ordered_units]]*ReconciliationData[[#This Row],[List_Price]]</f>
        <v>33259.086000000003</v>
      </c>
      <c r="Z1103">
        <f>ReconciliationData[[#This Row],[billed_revenue]]-ReconciliationData[[#This Row],[expected_revenue]]</f>
        <v>0</v>
      </c>
      <c r="AA11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03" t="str">
        <f>IF(ReconciliationData[[#This Row],[severity_score]]=0,"LOW",
 IF(ReconciliationData[[#This Row],[severity_score]]&lt;=5,"MEDIUM","HIGH"))</f>
        <v>LOW</v>
      </c>
      <c r="AC1103" t="str">
        <f>TEXT(ReconciliationData[[#This Row],[Order_Date]],"YYYY-MM")</f>
        <v>2024-10</v>
      </c>
    </row>
    <row r="1104" spans="1:29">
      <c r="A1104" t="s">
        <v>3229</v>
      </c>
      <c r="B1104" s="1">
        <v>45569</v>
      </c>
      <c r="C1104" t="s">
        <v>1049</v>
      </c>
      <c r="D1104" t="s">
        <v>863</v>
      </c>
      <c r="E1104">
        <v>21</v>
      </c>
      <c r="F1104" t="s">
        <v>3230</v>
      </c>
      <c r="G1104">
        <v>21</v>
      </c>
      <c r="H1104">
        <v>815.08680000000004</v>
      </c>
      <c r="N1104">
        <v>815.08680000000004</v>
      </c>
      <c r="O1104" s="1">
        <v>45062</v>
      </c>
      <c r="P1104">
        <f>IF(ISBLANK(ReconciliationData[[#This Row],[Invoice_ID]]),1,0)</f>
        <v>0</v>
      </c>
      <c r="Q1104">
        <f>IF(AND(NOT(ISBLANK(ReconciliationData[[#This Row],[Billed_Units]])),ReconciliationData[[#This Row],[ordered_units]]&lt;&gt;ReconciliationData[[#This Row],[Billed_Units]]),1,0)</f>
        <v>0</v>
      </c>
      <c r="R11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4">
        <f>IF(AND(NOT(ISBLANK(ReconciliationData[[#This Row],[Contract_Price]])),ReconciliationData[[#This Row],[Billed_Price]]&lt;&gt;ReconciliationData[[#This Row],[Contract_Price]]),1,0)</f>
        <v>0</v>
      </c>
      <c r="T1104">
        <f>IF(AND(NOT(ISBLANK(ReconciliationData[[#This Row],[End_Date]])),ReconciliationData[[#This Row],[Order_Date]]&gt;ReconciliationData[[#This Row],[End_Date]]),1,0)</f>
        <v>0</v>
      </c>
      <c r="U1104">
        <f>IF(AND(NOT(ISBLANK(ReconciliationData[[#This Row],[last_return_date]])),ReconciliationData[[#This Row],[last_return_date]]&gt;ReconciliationData[[#This Row],[Order_Date]]+60),1,0)</f>
        <v>0</v>
      </c>
      <c r="V1104">
        <f>IF(ReconciliationData[[#This Row],[total_returned_units]]&gt;ReconciliationData[[#This Row],[ordered_units]],1,0)</f>
        <v>0</v>
      </c>
      <c r="W11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04">
        <f>ReconciliationData[[#This Row],[Billed_Units]]*ReconciliationData[[#This Row],[Billed_Price]]</f>
        <v>17116.822800000002</v>
      </c>
      <c r="Y1104">
        <f>ReconciliationData[[#This Row],[ordered_units]]*ReconciliationData[[#This Row],[List_Price]]</f>
        <v>17116.822800000002</v>
      </c>
      <c r="Z1104">
        <f>ReconciliationData[[#This Row],[billed_revenue]]-ReconciliationData[[#This Row],[expected_revenue]]</f>
        <v>0</v>
      </c>
      <c r="AA11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04" t="str">
        <f>IF(ReconciliationData[[#This Row],[severity_score]]=0,"LOW",
 IF(ReconciliationData[[#This Row],[severity_score]]&lt;=5,"MEDIUM","HIGH"))</f>
        <v>LOW</v>
      </c>
      <c r="AC1104" t="str">
        <f>TEXT(ReconciliationData[[#This Row],[Order_Date]],"YYYY-MM")</f>
        <v>2024-10</v>
      </c>
    </row>
    <row r="1105" spans="1:29">
      <c r="A1105" t="s">
        <v>3231</v>
      </c>
      <c r="B1105" s="1">
        <v>45593</v>
      </c>
      <c r="C1105" t="s">
        <v>433</v>
      </c>
      <c r="D1105" t="s">
        <v>360</v>
      </c>
      <c r="E1105">
        <v>38</v>
      </c>
      <c r="F1105" t="s">
        <v>3232</v>
      </c>
      <c r="G1105">
        <v>38</v>
      </c>
      <c r="H1105">
        <v>465.21179999999998</v>
      </c>
      <c r="N1105">
        <v>465.21179999999998</v>
      </c>
      <c r="O1105" s="1">
        <v>45137</v>
      </c>
      <c r="P1105">
        <f>IF(ISBLANK(ReconciliationData[[#This Row],[Invoice_ID]]),1,0)</f>
        <v>0</v>
      </c>
      <c r="Q1105">
        <f>IF(AND(NOT(ISBLANK(ReconciliationData[[#This Row],[Billed_Units]])),ReconciliationData[[#This Row],[ordered_units]]&lt;&gt;ReconciliationData[[#This Row],[Billed_Units]]),1,0)</f>
        <v>0</v>
      </c>
      <c r="R11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5">
        <f>IF(AND(NOT(ISBLANK(ReconciliationData[[#This Row],[Contract_Price]])),ReconciliationData[[#This Row],[Billed_Price]]&lt;&gt;ReconciliationData[[#This Row],[Contract_Price]]),1,0)</f>
        <v>0</v>
      </c>
      <c r="T1105">
        <f>IF(AND(NOT(ISBLANK(ReconciliationData[[#This Row],[End_Date]])),ReconciliationData[[#This Row],[Order_Date]]&gt;ReconciliationData[[#This Row],[End_Date]]),1,0)</f>
        <v>0</v>
      </c>
      <c r="U1105">
        <f>IF(AND(NOT(ISBLANK(ReconciliationData[[#This Row],[last_return_date]])),ReconciliationData[[#This Row],[last_return_date]]&gt;ReconciliationData[[#This Row],[Order_Date]]+60),1,0)</f>
        <v>0</v>
      </c>
      <c r="V1105">
        <f>IF(ReconciliationData[[#This Row],[total_returned_units]]&gt;ReconciliationData[[#This Row],[ordered_units]],1,0)</f>
        <v>0</v>
      </c>
      <c r="W11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05">
        <f>ReconciliationData[[#This Row],[Billed_Units]]*ReconciliationData[[#This Row],[Billed_Price]]</f>
        <v>17678.0484</v>
      </c>
      <c r="Y1105">
        <f>ReconciliationData[[#This Row],[ordered_units]]*ReconciliationData[[#This Row],[List_Price]]</f>
        <v>17678.0484</v>
      </c>
      <c r="Z1105">
        <f>ReconciliationData[[#This Row],[billed_revenue]]-ReconciliationData[[#This Row],[expected_revenue]]</f>
        <v>0</v>
      </c>
      <c r="AA11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05" t="str">
        <f>IF(ReconciliationData[[#This Row],[severity_score]]=0,"LOW",
 IF(ReconciliationData[[#This Row],[severity_score]]&lt;=5,"MEDIUM","HIGH"))</f>
        <v>LOW</v>
      </c>
      <c r="AC1105" t="str">
        <f>TEXT(ReconciliationData[[#This Row],[Order_Date]],"YYYY-MM")</f>
        <v>2024-10</v>
      </c>
    </row>
    <row r="1106" spans="1:29">
      <c r="A1106" t="s">
        <v>3233</v>
      </c>
      <c r="B1106" s="1">
        <v>44932</v>
      </c>
      <c r="C1106" t="s">
        <v>1566</v>
      </c>
      <c r="D1106" t="s">
        <v>684</v>
      </c>
      <c r="E1106">
        <v>64</v>
      </c>
      <c r="F1106" t="s">
        <v>3234</v>
      </c>
      <c r="G1106">
        <v>64</v>
      </c>
      <c r="H1106">
        <v>68.418999999999997</v>
      </c>
      <c r="I1106">
        <v>14</v>
      </c>
      <c r="J1106" s="1">
        <v>45453</v>
      </c>
      <c r="N1106">
        <v>68.418999999999997</v>
      </c>
      <c r="O1106" s="1">
        <v>44780</v>
      </c>
      <c r="P1106">
        <f>IF(ISBLANK(ReconciliationData[[#This Row],[Invoice_ID]]),1,0)</f>
        <v>0</v>
      </c>
      <c r="Q1106">
        <f>IF(AND(NOT(ISBLANK(ReconciliationData[[#This Row],[Billed_Units]])),ReconciliationData[[#This Row],[ordered_units]]&lt;&gt;ReconciliationData[[#This Row],[Billed_Units]]),1,0)</f>
        <v>0</v>
      </c>
      <c r="R11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6">
        <f>IF(AND(NOT(ISBLANK(ReconciliationData[[#This Row],[Contract_Price]])),ReconciliationData[[#This Row],[Billed_Price]]&lt;&gt;ReconciliationData[[#This Row],[Contract_Price]]),1,0)</f>
        <v>0</v>
      </c>
      <c r="T1106">
        <f>IF(AND(NOT(ISBLANK(ReconciliationData[[#This Row],[End_Date]])),ReconciliationData[[#This Row],[Order_Date]]&gt;ReconciliationData[[#This Row],[End_Date]]),1,0)</f>
        <v>0</v>
      </c>
      <c r="U1106">
        <f>IF(AND(NOT(ISBLANK(ReconciliationData[[#This Row],[last_return_date]])),ReconciliationData[[#This Row],[last_return_date]]&gt;ReconciliationData[[#This Row],[Order_Date]]+60),1,0)</f>
        <v>1</v>
      </c>
      <c r="V1106">
        <f>IF(ReconciliationData[[#This Row],[total_returned_units]]&gt;ReconciliationData[[#This Row],[ordered_units]],1,0)</f>
        <v>0</v>
      </c>
      <c r="W11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06">
        <f>ReconciliationData[[#This Row],[Billed_Units]]*ReconciliationData[[#This Row],[Billed_Price]]</f>
        <v>4378.8159999999998</v>
      </c>
      <c r="Y1106">
        <f>ReconciliationData[[#This Row],[ordered_units]]*ReconciliationData[[#This Row],[List_Price]]</f>
        <v>4378.8159999999998</v>
      </c>
      <c r="Z1106">
        <f>ReconciliationData[[#This Row],[billed_revenue]]-ReconciliationData[[#This Row],[expected_revenue]]</f>
        <v>0</v>
      </c>
      <c r="AA11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06" t="str">
        <f>IF(ReconciliationData[[#This Row],[severity_score]]=0,"LOW",
 IF(ReconciliationData[[#This Row],[severity_score]]&lt;=5,"MEDIUM","HIGH"))</f>
        <v>MEDIUM</v>
      </c>
      <c r="AC1106" t="str">
        <f>TEXT(ReconciliationData[[#This Row],[Order_Date]],"YYYY-MM")</f>
        <v>2023-01</v>
      </c>
    </row>
    <row r="1107" spans="1:29">
      <c r="A1107" t="s">
        <v>3235</v>
      </c>
      <c r="B1107" s="1">
        <v>44961</v>
      </c>
      <c r="C1107" t="s">
        <v>3236</v>
      </c>
      <c r="D1107" t="s">
        <v>1322</v>
      </c>
      <c r="E1107">
        <v>10</v>
      </c>
      <c r="F1107" t="s">
        <v>3237</v>
      </c>
      <c r="G1107">
        <v>10</v>
      </c>
      <c r="H1107">
        <v>69.45</v>
      </c>
      <c r="N1107">
        <v>69.45</v>
      </c>
      <c r="O1107" s="1">
        <v>44752</v>
      </c>
      <c r="P1107">
        <f>IF(ISBLANK(ReconciliationData[[#This Row],[Invoice_ID]]),1,0)</f>
        <v>0</v>
      </c>
      <c r="Q1107">
        <f>IF(AND(NOT(ISBLANK(ReconciliationData[[#This Row],[Billed_Units]])),ReconciliationData[[#This Row],[ordered_units]]&lt;&gt;ReconciliationData[[#This Row],[Billed_Units]]),1,0)</f>
        <v>0</v>
      </c>
      <c r="R11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7">
        <f>IF(AND(NOT(ISBLANK(ReconciliationData[[#This Row],[Contract_Price]])),ReconciliationData[[#This Row],[Billed_Price]]&lt;&gt;ReconciliationData[[#This Row],[Contract_Price]]),1,0)</f>
        <v>0</v>
      </c>
      <c r="T1107">
        <f>IF(AND(NOT(ISBLANK(ReconciliationData[[#This Row],[End_Date]])),ReconciliationData[[#This Row],[Order_Date]]&gt;ReconciliationData[[#This Row],[End_Date]]),1,0)</f>
        <v>0</v>
      </c>
      <c r="U1107">
        <f>IF(AND(NOT(ISBLANK(ReconciliationData[[#This Row],[last_return_date]])),ReconciliationData[[#This Row],[last_return_date]]&gt;ReconciliationData[[#This Row],[Order_Date]]+60),1,0)</f>
        <v>0</v>
      </c>
      <c r="V1107">
        <f>IF(ReconciliationData[[#This Row],[total_returned_units]]&gt;ReconciliationData[[#This Row],[ordered_units]],1,0)</f>
        <v>0</v>
      </c>
      <c r="W11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07">
        <f>ReconciliationData[[#This Row],[Billed_Units]]*ReconciliationData[[#This Row],[Billed_Price]]</f>
        <v>694.5</v>
      </c>
      <c r="Y1107">
        <f>ReconciliationData[[#This Row],[ordered_units]]*ReconciliationData[[#This Row],[List_Price]]</f>
        <v>694.5</v>
      </c>
      <c r="Z1107">
        <f>ReconciliationData[[#This Row],[billed_revenue]]-ReconciliationData[[#This Row],[expected_revenue]]</f>
        <v>0</v>
      </c>
      <c r="AA11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07" t="str">
        <f>IF(ReconciliationData[[#This Row],[severity_score]]=0,"LOW",
 IF(ReconciliationData[[#This Row],[severity_score]]&lt;=5,"MEDIUM","HIGH"))</f>
        <v>LOW</v>
      </c>
      <c r="AC1107" t="str">
        <f>TEXT(ReconciliationData[[#This Row],[Order_Date]],"YYYY-MM")</f>
        <v>2023-02</v>
      </c>
    </row>
    <row r="1108" spans="1:29">
      <c r="A1108" t="s">
        <v>3238</v>
      </c>
      <c r="B1108" s="1">
        <v>44993</v>
      </c>
      <c r="C1108" t="s">
        <v>2273</v>
      </c>
      <c r="D1108" t="s">
        <v>419</v>
      </c>
      <c r="E1108">
        <v>151</v>
      </c>
      <c r="F1108" t="s">
        <v>3239</v>
      </c>
      <c r="G1108">
        <v>151</v>
      </c>
      <c r="H1108">
        <v>977.87</v>
      </c>
      <c r="N1108">
        <v>977.87</v>
      </c>
      <c r="O1108" s="1">
        <v>44668</v>
      </c>
      <c r="P1108">
        <f>IF(ISBLANK(ReconciliationData[[#This Row],[Invoice_ID]]),1,0)</f>
        <v>0</v>
      </c>
      <c r="Q1108">
        <f>IF(AND(NOT(ISBLANK(ReconciliationData[[#This Row],[Billed_Units]])),ReconciliationData[[#This Row],[ordered_units]]&lt;&gt;ReconciliationData[[#This Row],[Billed_Units]]),1,0)</f>
        <v>0</v>
      </c>
      <c r="R11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8">
        <f>IF(AND(NOT(ISBLANK(ReconciliationData[[#This Row],[Contract_Price]])),ReconciliationData[[#This Row],[Billed_Price]]&lt;&gt;ReconciliationData[[#This Row],[Contract_Price]]),1,0)</f>
        <v>0</v>
      </c>
      <c r="T1108">
        <f>IF(AND(NOT(ISBLANK(ReconciliationData[[#This Row],[End_Date]])),ReconciliationData[[#This Row],[Order_Date]]&gt;ReconciliationData[[#This Row],[End_Date]]),1,0)</f>
        <v>0</v>
      </c>
      <c r="U1108">
        <f>IF(AND(NOT(ISBLANK(ReconciliationData[[#This Row],[last_return_date]])),ReconciliationData[[#This Row],[last_return_date]]&gt;ReconciliationData[[#This Row],[Order_Date]]+60),1,0)</f>
        <v>0</v>
      </c>
      <c r="V1108">
        <f>IF(ReconciliationData[[#This Row],[total_returned_units]]&gt;ReconciliationData[[#This Row],[ordered_units]],1,0)</f>
        <v>0</v>
      </c>
      <c r="W11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08">
        <f>ReconciliationData[[#This Row],[Billed_Units]]*ReconciliationData[[#This Row],[Billed_Price]]</f>
        <v>147658.37</v>
      </c>
      <c r="Y1108">
        <f>ReconciliationData[[#This Row],[ordered_units]]*ReconciliationData[[#This Row],[List_Price]]</f>
        <v>147658.37</v>
      </c>
      <c r="Z1108">
        <f>ReconciliationData[[#This Row],[billed_revenue]]-ReconciliationData[[#This Row],[expected_revenue]]</f>
        <v>0</v>
      </c>
      <c r="AA11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08" t="str">
        <f>IF(ReconciliationData[[#This Row],[severity_score]]=0,"LOW",
 IF(ReconciliationData[[#This Row],[severity_score]]&lt;=5,"MEDIUM","HIGH"))</f>
        <v>LOW</v>
      </c>
      <c r="AC1108" t="str">
        <f>TEXT(ReconciliationData[[#This Row],[Order_Date]],"YYYY-MM")</f>
        <v>2023-03</v>
      </c>
    </row>
    <row r="1109" spans="1:29">
      <c r="A1109" t="s">
        <v>3240</v>
      </c>
      <c r="B1109" s="1">
        <v>45091</v>
      </c>
      <c r="C1109" t="s">
        <v>756</v>
      </c>
      <c r="D1109" t="s">
        <v>1322</v>
      </c>
      <c r="E1109">
        <v>49</v>
      </c>
      <c r="F1109" t="s">
        <v>3241</v>
      </c>
      <c r="G1109">
        <v>49</v>
      </c>
      <c r="H1109">
        <v>74.311500000000009</v>
      </c>
      <c r="N1109">
        <v>74.311500000000009</v>
      </c>
      <c r="O1109" s="1">
        <v>44996</v>
      </c>
      <c r="P1109">
        <f>IF(ISBLANK(ReconciliationData[[#This Row],[Invoice_ID]]),1,0)</f>
        <v>0</v>
      </c>
      <c r="Q1109">
        <f>IF(AND(NOT(ISBLANK(ReconciliationData[[#This Row],[Billed_Units]])),ReconciliationData[[#This Row],[ordered_units]]&lt;&gt;ReconciliationData[[#This Row],[Billed_Units]]),1,0)</f>
        <v>0</v>
      </c>
      <c r="R11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09">
        <f>IF(AND(NOT(ISBLANK(ReconciliationData[[#This Row],[Contract_Price]])),ReconciliationData[[#This Row],[Billed_Price]]&lt;&gt;ReconciliationData[[#This Row],[Contract_Price]]),1,0)</f>
        <v>0</v>
      </c>
      <c r="T1109">
        <f>IF(AND(NOT(ISBLANK(ReconciliationData[[#This Row],[End_Date]])),ReconciliationData[[#This Row],[Order_Date]]&gt;ReconciliationData[[#This Row],[End_Date]]),1,0)</f>
        <v>0</v>
      </c>
      <c r="U1109">
        <f>IF(AND(NOT(ISBLANK(ReconciliationData[[#This Row],[last_return_date]])),ReconciliationData[[#This Row],[last_return_date]]&gt;ReconciliationData[[#This Row],[Order_Date]]+60),1,0)</f>
        <v>0</v>
      </c>
      <c r="V1109">
        <f>IF(ReconciliationData[[#This Row],[total_returned_units]]&gt;ReconciliationData[[#This Row],[ordered_units]],1,0)</f>
        <v>0</v>
      </c>
      <c r="W11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09">
        <f>ReconciliationData[[#This Row],[Billed_Units]]*ReconciliationData[[#This Row],[Billed_Price]]</f>
        <v>3641.2635000000005</v>
      </c>
      <c r="Y1109">
        <f>ReconciliationData[[#This Row],[ordered_units]]*ReconciliationData[[#This Row],[List_Price]]</f>
        <v>3641.2635000000005</v>
      </c>
      <c r="Z1109">
        <f>ReconciliationData[[#This Row],[billed_revenue]]-ReconciliationData[[#This Row],[expected_revenue]]</f>
        <v>0</v>
      </c>
      <c r="AA11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09" t="str">
        <f>IF(ReconciliationData[[#This Row],[severity_score]]=0,"LOW",
 IF(ReconciliationData[[#This Row],[severity_score]]&lt;=5,"MEDIUM","HIGH"))</f>
        <v>LOW</v>
      </c>
      <c r="AC1109" t="str">
        <f>TEXT(ReconciliationData[[#This Row],[Order_Date]],"YYYY-MM")</f>
        <v>2023-06</v>
      </c>
    </row>
    <row r="1110" spans="1:29">
      <c r="A1110" t="s">
        <v>3242</v>
      </c>
      <c r="B1110" s="1">
        <v>45319</v>
      </c>
      <c r="C1110" t="s">
        <v>3243</v>
      </c>
      <c r="D1110" t="s">
        <v>573</v>
      </c>
      <c r="E1110">
        <v>118</v>
      </c>
      <c r="F1110" t="s">
        <v>3244</v>
      </c>
      <c r="G1110">
        <v>118</v>
      </c>
      <c r="H1110">
        <v>1223.9694</v>
      </c>
      <c r="N1110">
        <v>1223.9694</v>
      </c>
      <c r="O1110" s="1">
        <v>45154</v>
      </c>
      <c r="P1110">
        <f>IF(ISBLANK(ReconciliationData[[#This Row],[Invoice_ID]]),1,0)</f>
        <v>0</v>
      </c>
      <c r="Q1110">
        <f>IF(AND(NOT(ISBLANK(ReconciliationData[[#This Row],[Billed_Units]])),ReconciliationData[[#This Row],[ordered_units]]&lt;&gt;ReconciliationData[[#This Row],[Billed_Units]]),1,0)</f>
        <v>0</v>
      </c>
      <c r="R11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0">
        <f>IF(AND(NOT(ISBLANK(ReconciliationData[[#This Row],[Contract_Price]])),ReconciliationData[[#This Row],[Billed_Price]]&lt;&gt;ReconciliationData[[#This Row],[Contract_Price]]),1,0)</f>
        <v>0</v>
      </c>
      <c r="T1110">
        <f>IF(AND(NOT(ISBLANK(ReconciliationData[[#This Row],[End_Date]])),ReconciliationData[[#This Row],[Order_Date]]&gt;ReconciliationData[[#This Row],[End_Date]]),1,0)</f>
        <v>0</v>
      </c>
      <c r="U1110">
        <f>IF(AND(NOT(ISBLANK(ReconciliationData[[#This Row],[last_return_date]])),ReconciliationData[[#This Row],[last_return_date]]&gt;ReconciliationData[[#This Row],[Order_Date]]+60),1,0)</f>
        <v>0</v>
      </c>
      <c r="V1110">
        <f>IF(ReconciliationData[[#This Row],[total_returned_units]]&gt;ReconciliationData[[#This Row],[ordered_units]],1,0)</f>
        <v>0</v>
      </c>
      <c r="W11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10">
        <f>ReconciliationData[[#This Row],[Billed_Units]]*ReconciliationData[[#This Row],[Billed_Price]]</f>
        <v>144428.38920000001</v>
      </c>
      <c r="Y1110">
        <f>ReconciliationData[[#This Row],[ordered_units]]*ReconciliationData[[#This Row],[List_Price]]</f>
        <v>144428.38920000001</v>
      </c>
      <c r="Z1110">
        <f>ReconciliationData[[#This Row],[billed_revenue]]-ReconciliationData[[#This Row],[expected_revenue]]</f>
        <v>0</v>
      </c>
      <c r="AA11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10" t="str">
        <f>IF(ReconciliationData[[#This Row],[severity_score]]=0,"LOW",
 IF(ReconciliationData[[#This Row],[severity_score]]&lt;=5,"MEDIUM","HIGH"))</f>
        <v>LOW</v>
      </c>
      <c r="AC1110" t="str">
        <f>TEXT(ReconciliationData[[#This Row],[Order_Date]],"YYYY-MM")</f>
        <v>2024-01</v>
      </c>
    </row>
    <row r="1111" spans="1:29">
      <c r="A1111" t="s">
        <v>3245</v>
      </c>
      <c r="B1111" s="1">
        <v>45390</v>
      </c>
      <c r="C1111" t="s">
        <v>1375</v>
      </c>
      <c r="D1111" t="s">
        <v>1235</v>
      </c>
      <c r="E1111">
        <v>31</v>
      </c>
      <c r="F1111" t="s">
        <v>3246</v>
      </c>
      <c r="G1111">
        <v>31</v>
      </c>
      <c r="H1111">
        <v>892.55520000000013</v>
      </c>
      <c r="N1111">
        <v>892.55520000000013</v>
      </c>
      <c r="O1111" s="1">
        <v>44985</v>
      </c>
      <c r="P1111">
        <f>IF(ISBLANK(ReconciliationData[[#This Row],[Invoice_ID]]),1,0)</f>
        <v>0</v>
      </c>
      <c r="Q1111">
        <f>IF(AND(NOT(ISBLANK(ReconciliationData[[#This Row],[Billed_Units]])),ReconciliationData[[#This Row],[ordered_units]]&lt;&gt;ReconciliationData[[#This Row],[Billed_Units]]),1,0)</f>
        <v>0</v>
      </c>
      <c r="R11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1">
        <f>IF(AND(NOT(ISBLANK(ReconciliationData[[#This Row],[Contract_Price]])),ReconciliationData[[#This Row],[Billed_Price]]&lt;&gt;ReconciliationData[[#This Row],[Contract_Price]]),1,0)</f>
        <v>0</v>
      </c>
      <c r="T1111">
        <f>IF(AND(NOT(ISBLANK(ReconciliationData[[#This Row],[End_Date]])),ReconciliationData[[#This Row],[Order_Date]]&gt;ReconciliationData[[#This Row],[End_Date]]),1,0)</f>
        <v>0</v>
      </c>
      <c r="U1111">
        <f>IF(AND(NOT(ISBLANK(ReconciliationData[[#This Row],[last_return_date]])),ReconciliationData[[#This Row],[last_return_date]]&gt;ReconciliationData[[#This Row],[Order_Date]]+60),1,0)</f>
        <v>0</v>
      </c>
      <c r="V1111">
        <f>IF(ReconciliationData[[#This Row],[total_returned_units]]&gt;ReconciliationData[[#This Row],[ordered_units]],1,0)</f>
        <v>0</v>
      </c>
      <c r="W11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11">
        <f>ReconciliationData[[#This Row],[Billed_Units]]*ReconciliationData[[#This Row],[Billed_Price]]</f>
        <v>27669.211200000005</v>
      </c>
      <c r="Y1111">
        <f>ReconciliationData[[#This Row],[ordered_units]]*ReconciliationData[[#This Row],[List_Price]]</f>
        <v>27669.211200000005</v>
      </c>
      <c r="Z1111">
        <f>ReconciliationData[[#This Row],[billed_revenue]]-ReconciliationData[[#This Row],[expected_revenue]]</f>
        <v>0</v>
      </c>
      <c r="AA11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11" t="str">
        <f>IF(ReconciliationData[[#This Row],[severity_score]]=0,"LOW",
 IF(ReconciliationData[[#This Row],[severity_score]]&lt;=5,"MEDIUM","HIGH"))</f>
        <v>LOW</v>
      </c>
      <c r="AC1111" t="str">
        <f>TEXT(ReconciliationData[[#This Row],[Order_Date]],"YYYY-MM")</f>
        <v>2024-04</v>
      </c>
    </row>
    <row r="1112" spans="1:29">
      <c r="A1112" t="s">
        <v>3247</v>
      </c>
      <c r="B1112" s="1">
        <v>45484</v>
      </c>
      <c r="C1112" t="s">
        <v>1784</v>
      </c>
      <c r="D1112" t="s">
        <v>1007</v>
      </c>
      <c r="E1112">
        <v>98</v>
      </c>
      <c r="F1112" t="s">
        <v>3248</v>
      </c>
      <c r="G1112">
        <v>98</v>
      </c>
      <c r="H1112">
        <v>115.0735</v>
      </c>
      <c r="N1112">
        <v>115.0735</v>
      </c>
      <c r="O1112" s="1">
        <v>45227</v>
      </c>
      <c r="P1112">
        <f>IF(ISBLANK(ReconciliationData[[#This Row],[Invoice_ID]]),1,0)</f>
        <v>0</v>
      </c>
      <c r="Q1112">
        <f>IF(AND(NOT(ISBLANK(ReconciliationData[[#This Row],[Billed_Units]])),ReconciliationData[[#This Row],[ordered_units]]&lt;&gt;ReconciliationData[[#This Row],[Billed_Units]]),1,0)</f>
        <v>0</v>
      </c>
      <c r="R11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2">
        <f>IF(AND(NOT(ISBLANK(ReconciliationData[[#This Row],[Contract_Price]])),ReconciliationData[[#This Row],[Billed_Price]]&lt;&gt;ReconciliationData[[#This Row],[Contract_Price]]),1,0)</f>
        <v>0</v>
      </c>
      <c r="T1112">
        <f>IF(AND(NOT(ISBLANK(ReconciliationData[[#This Row],[End_Date]])),ReconciliationData[[#This Row],[Order_Date]]&gt;ReconciliationData[[#This Row],[End_Date]]),1,0)</f>
        <v>0</v>
      </c>
      <c r="U1112">
        <f>IF(AND(NOT(ISBLANK(ReconciliationData[[#This Row],[last_return_date]])),ReconciliationData[[#This Row],[last_return_date]]&gt;ReconciliationData[[#This Row],[Order_Date]]+60),1,0)</f>
        <v>0</v>
      </c>
      <c r="V1112">
        <f>IF(ReconciliationData[[#This Row],[total_returned_units]]&gt;ReconciliationData[[#This Row],[ordered_units]],1,0)</f>
        <v>0</v>
      </c>
      <c r="W11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12">
        <f>ReconciliationData[[#This Row],[Billed_Units]]*ReconciliationData[[#This Row],[Billed_Price]]</f>
        <v>11277.203</v>
      </c>
      <c r="Y1112">
        <f>ReconciliationData[[#This Row],[ordered_units]]*ReconciliationData[[#This Row],[List_Price]]</f>
        <v>11277.203</v>
      </c>
      <c r="Z1112">
        <f>ReconciliationData[[#This Row],[billed_revenue]]-ReconciliationData[[#This Row],[expected_revenue]]</f>
        <v>0</v>
      </c>
      <c r="AA11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12" t="str">
        <f>IF(ReconciliationData[[#This Row],[severity_score]]=0,"LOW",
 IF(ReconciliationData[[#This Row],[severity_score]]&lt;=5,"MEDIUM","HIGH"))</f>
        <v>LOW</v>
      </c>
      <c r="AC1112" t="str">
        <f>TEXT(ReconciliationData[[#This Row],[Order_Date]],"YYYY-MM")</f>
        <v>2024-07</v>
      </c>
    </row>
    <row r="1113" spans="1:29">
      <c r="A1113" t="s">
        <v>3249</v>
      </c>
      <c r="B1113" s="1">
        <v>45425</v>
      </c>
      <c r="C1113" t="s">
        <v>714</v>
      </c>
      <c r="D1113" t="s">
        <v>283</v>
      </c>
      <c r="E1113">
        <v>159</v>
      </c>
      <c r="F1113" t="s">
        <v>3250</v>
      </c>
      <c r="G1113">
        <v>159</v>
      </c>
      <c r="H1113">
        <v>415.70589999999999</v>
      </c>
      <c r="N1113">
        <v>415.70589999999999</v>
      </c>
      <c r="O1113" s="1">
        <v>44989</v>
      </c>
      <c r="P1113">
        <f>IF(ISBLANK(ReconciliationData[[#This Row],[Invoice_ID]]),1,0)</f>
        <v>0</v>
      </c>
      <c r="Q1113">
        <f>IF(AND(NOT(ISBLANK(ReconciliationData[[#This Row],[Billed_Units]])),ReconciliationData[[#This Row],[ordered_units]]&lt;&gt;ReconciliationData[[#This Row],[Billed_Units]]),1,0)</f>
        <v>0</v>
      </c>
      <c r="R11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3">
        <f>IF(AND(NOT(ISBLANK(ReconciliationData[[#This Row],[Contract_Price]])),ReconciliationData[[#This Row],[Billed_Price]]&lt;&gt;ReconciliationData[[#This Row],[Contract_Price]]),1,0)</f>
        <v>0</v>
      </c>
      <c r="T1113">
        <f>IF(AND(NOT(ISBLANK(ReconciliationData[[#This Row],[End_Date]])),ReconciliationData[[#This Row],[Order_Date]]&gt;ReconciliationData[[#This Row],[End_Date]]),1,0)</f>
        <v>0</v>
      </c>
      <c r="U1113">
        <f>IF(AND(NOT(ISBLANK(ReconciliationData[[#This Row],[last_return_date]])),ReconciliationData[[#This Row],[last_return_date]]&gt;ReconciliationData[[#This Row],[Order_Date]]+60),1,0)</f>
        <v>0</v>
      </c>
      <c r="V1113">
        <f>IF(ReconciliationData[[#This Row],[total_returned_units]]&gt;ReconciliationData[[#This Row],[ordered_units]],1,0)</f>
        <v>0</v>
      </c>
      <c r="W11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13">
        <f>ReconciliationData[[#This Row],[Billed_Units]]*ReconciliationData[[#This Row],[Billed_Price]]</f>
        <v>66097.238100000002</v>
      </c>
      <c r="Y1113">
        <f>ReconciliationData[[#This Row],[ordered_units]]*ReconciliationData[[#This Row],[List_Price]]</f>
        <v>66097.238100000002</v>
      </c>
      <c r="Z1113">
        <f>ReconciliationData[[#This Row],[billed_revenue]]-ReconciliationData[[#This Row],[expected_revenue]]</f>
        <v>0</v>
      </c>
      <c r="AA11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13" t="str">
        <f>IF(ReconciliationData[[#This Row],[severity_score]]=0,"LOW",
 IF(ReconciliationData[[#This Row],[severity_score]]&lt;=5,"MEDIUM","HIGH"))</f>
        <v>LOW</v>
      </c>
      <c r="AC1113" t="str">
        <f>TEXT(ReconciliationData[[#This Row],[Order_Date]],"YYYY-MM")</f>
        <v>2024-05</v>
      </c>
    </row>
    <row r="1114" spans="1:29">
      <c r="A1114" t="s">
        <v>3251</v>
      </c>
      <c r="B1114" s="1">
        <v>45136</v>
      </c>
      <c r="C1114" t="s">
        <v>1174</v>
      </c>
      <c r="D1114" t="s">
        <v>255</v>
      </c>
      <c r="E1114">
        <v>95</v>
      </c>
      <c r="F1114" t="s">
        <v>3252</v>
      </c>
      <c r="G1114">
        <v>95</v>
      </c>
      <c r="H1114">
        <v>1061.4222</v>
      </c>
      <c r="N1114">
        <v>1061.4222</v>
      </c>
      <c r="O1114" s="1">
        <v>45062</v>
      </c>
      <c r="P1114">
        <f>IF(ISBLANK(ReconciliationData[[#This Row],[Invoice_ID]]),1,0)</f>
        <v>0</v>
      </c>
      <c r="Q1114">
        <f>IF(AND(NOT(ISBLANK(ReconciliationData[[#This Row],[Billed_Units]])),ReconciliationData[[#This Row],[ordered_units]]&lt;&gt;ReconciliationData[[#This Row],[Billed_Units]]),1,0)</f>
        <v>0</v>
      </c>
      <c r="R11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4">
        <f>IF(AND(NOT(ISBLANK(ReconciliationData[[#This Row],[Contract_Price]])),ReconciliationData[[#This Row],[Billed_Price]]&lt;&gt;ReconciliationData[[#This Row],[Contract_Price]]),1,0)</f>
        <v>0</v>
      </c>
      <c r="T1114">
        <f>IF(AND(NOT(ISBLANK(ReconciliationData[[#This Row],[End_Date]])),ReconciliationData[[#This Row],[Order_Date]]&gt;ReconciliationData[[#This Row],[End_Date]]),1,0)</f>
        <v>0</v>
      </c>
      <c r="U1114">
        <f>IF(AND(NOT(ISBLANK(ReconciliationData[[#This Row],[last_return_date]])),ReconciliationData[[#This Row],[last_return_date]]&gt;ReconciliationData[[#This Row],[Order_Date]]+60),1,0)</f>
        <v>0</v>
      </c>
      <c r="V1114">
        <f>IF(ReconciliationData[[#This Row],[total_returned_units]]&gt;ReconciliationData[[#This Row],[ordered_units]],1,0)</f>
        <v>0</v>
      </c>
      <c r="W11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14">
        <f>ReconciliationData[[#This Row],[Billed_Units]]*ReconciliationData[[#This Row],[Billed_Price]]</f>
        <v>100835.109</v>
      </c>
      <c r="Y1114">
        <f>ReconciliationData[[#This Row],[ordered_units]]*ReconciliationData[[#This Row],[List_Price]]</f>
        <v>100835.109</v>
      </c>
      <c r="Z1114">
        <f>ReconciliationData[[#This Row],[billed_revenue]]-ReconciliationData[[#This Row],[expected_revenue]]</f>
        <v>0</v>
      </c>
      <c r="AA11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14" t="str">
        <f>IF(ReconciliationData[[#This Row],[severity_score]]=0,"LOW",
 IF(ReconciliationData[[#This Row],[severity_score]]&lt;=5,"MEDIUM","HIGH"))</f>
        <v>LOW</v>
      </c>
      <c r="AC1114" t="str">
        <f>TEXT(ReconciliationData[[#This Row],[Order_Date]],"YYYY-MM")</f>
        <v>2023-07</v>
      </c>
    </row>
    <row r="1115" spans="1:29">
      <c r="A1115" t="s">
        <v>3253</v>
      </c>
      <c r="B1115" s="1">
        <v>45541</v>
      </c>
      <c r="C1115" t="s">
        <v>2998</v>
      </c>
      <c r="D1115" t="s">
        <v>569</v>
      </c>
      <c r="E1115">
        <v>171</v>
      </c>
      <c r="F1115" t="s">
        <v>3254</v>
      </c>
      <c r="G1115">
        <v>171</v>
      </c>
      <c r="H1115">
        <v>1231.9933000000001</v>
      </c>
      <c r="N1115">
        <v>1231.9933000000001</v>
      </c>
      <c r="O1115" s="1">
        <v>44934</v>
      </c>
      <c r="P1115">
        <f>IF(ISBLANK(ReconciliationData[[#This Row],[Invoice_ID]]),1,0)</f>
        <v>0</v>
      </c>
      <c r="Q1115">
        <f>IF(AND(NOT(ISBLANK(ReconciliationData[[#This Row],[Billed_Units]])),ReconciliationData[[#This Row],[ordered_units]]&lt;&gt;ReconciliationData[[#This Row],[Billed_Units]]),1,0)</f>
        <v>0</v>
      </c>
      <c r="R11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5">
        <f>IF(AND(NOT(ISBLANK(ReconciliationData[[#This Row],[Contract_Price]])),ReconciliationData[[#This Row],[Billed_Price]]&lt;&gt;ReconciliationData[[#This Row],[Contract_Price]]),1,0)</f>
        <v>0</v>
      </c>
      <c r="T1115">
        <f>IF(AND(NOT(ISBLANK(ReconciliationData[[#This Row],[End_Date]])),ReconciliationData[[#This Row],[Order_Date]]&gt;ReconciliationData[[#This Row],[End_Date]]),1,0)</f>
        <v>0</v>
      </c>
      <c r="U1115">
        <f>IF(AND(NOT(ISBLANK(ReconciliationData[[#This Row],[last_return_date]])),ReconciliationData[[#This Row],[last_return_date]]&gt;ReconciliationData[[#This Row],[Order_Date]]+60),1,0)</f>
        <v>0</v>
      </c>
      <c r="V1115">
        <f>IF(ReconciliationData[[#This Row],[total_returned_units]]&gt;ReconciliationData[[#This Row],[ordered_units]],1,0)</f>
        <v>0</v>
      </c>
      <c r="W11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15">
        <f>ReconciliationData[[#This Row],[Billed_Units]]*ReconciliationData[[#This Row],[Billed_Price]]</f>
        <v>210670.85430000001</v>
      </c>
      <c r="Y1115">
        <f>ReconciliationData[[#This Row],[ordered_units]]*ReconciliationData[[#This Row],[List_Price]]</f>
        <v>210670.85430000001</v>
      </c>
      <c r="Z1115">
        <f>ReconciliationData[[#This Row],[billed_revenue]]-ReconciliationData[[#This Row],[expected_revenue]]</f>
        <v>0</v>
      </c>
      <c r="AA11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15" t="str">
        <f>IF(ReconciliationData[[#This Row],[severity_score]]=0,"LOW",
 IF(ReconciliationData[[#This Row],[severity_score]]&lt;=5,"MEDIUM","HIGH"))</f>
        <v>LOW</v>
      </c>
      <c r="AC1115" t="str">
        <f>TEXT(ReconciliationData[[#This Row],[Order_Date]],"YYYY-MM")</f>
        <v>2024-09</v>
      </c>
    </row>
    <row r="1116" spans="1:29">
      <c r="A1116" t="s">
        <v>3255</v>
      </c>
      <c r="B1116" s="1">
        <v>45087</v>
      </c>
      <c r="C1116" t="s">
        <v>493</v>
      </c>
      <c r="D1116" t="s">
        <v>3256</v>
      </c>
      <c r="E1116">
        <v>176</v>
      </c>
      <c r="F1116" t="s">
        <v>3257</v>
      </c>
      <c r="G1116">
        <v>176</v>
      </c>
      <c r="H1116">
        <v>1159.732</v>
      </c>
      <c r="N1116">
        <v>1159.732</v>
      </c>
      <c r="O1116" s="1">
        <v>45032</v>
      </c>
      <c r="P1116">
        <f>IF(ISBLANK(ReconciliationData[[#This Row],[Invoice_ID]]),1,0)</f>
        <v>0</v>
      </c>
      <c r="Q1116">
        <f>IF(AND(NOT(ISBLANK(ReconciliationData[[#This Row],[Billed_Units]])),ReconciliationData[[#This Row],[ordered_units]]&lt;&gt;ReconciliationData[[#This Row],[Billed_Units]]),1,0)</f>
        <v>0</v>
      </c>
      <c r="R11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6">
        <f>IF(AND(NOT(ISBLANK(ReconciliationData[[#This Row],[Contract_Price]])),ReconciliationData[[#This Row],[Billed_Price]]&lt;&gt;ReconciliationData[[#This Row],[Contract_Price]]),1,0)</f>
        <v>0</v>
      </c>
      <c r="T1116">
        <f>IF(AND(NOT(ISBLANK(ReconciliationData[[#This Row],[End_Date]])),ReconciliationData[[#This Row],[Order_Date]]&gt;ReconciliationData[[#This Row],[End_Date]]),1,0)</f>
        <v>0</v>
      </c>
      <c r="U1116">
        <f>IF(AND(NOT(ISBLANK(ReconciliationData[[#This Row],[last_return_date]])),ReconciliationData[[#This Row],[last_return_date]]&gt;ReconciliationData[[#This Row],[Order_Date]]+60),1,0)</f>
        <v>0</v>
      </c>
      <c r="V1116">
        <f>IF(ReconciliationData[[#This Row],[total_returned_units]]&gt;ReconciliationData[[#This Row],[ordered_units]],1,0)</f>
        <v>0</v>
      </c>
      <c r="W11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16">
        <f>ReconciliationData[[#This Row],[Billed_Units]]*ReconciliationData[[#This Row],[Billed_Price]]</f>
        <v>204112.83199999999</v>
      </c>
      <c r="Y1116">
        <f>ReconciliationData[[#This Row],[ordered_units]]*ReconciliationData[[#This Row],[List_Price]]</f>
        <v>204112.83199999999</v>
      </c>
      <c r="Z1116">
        <f>ReconciliationData[[#This Row],[billed_revenue]]-ReconciliationData[[#This Row],[expected_revenue]]</f>
        <v>0</v>
      </c>
      <c r="AA11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16" t="str">
        <f>IF(ReconciliationData[[#This Row],[severity_score]]=0,"LOW",
 IF(ReconciliationData[[#This Row],[severity_score]]&lt;=5,"MEDIUM","HIGH"))</f>
        <v>LOW</v>
      </c>
      <c r="AC1116" t="str">
        <f>TEXT(ReconciliationData[[#This Row],[Order_Date]],"YYYY-MM")</f>
        <v>2023-06</v>
      </c>
    </row>
    <row r="1117" spans="1:29">
      <c r="A1117" t="s">
        <v>3258</v>
      </c>
      <c r="B1117" s="1">
        <v>45159</v>
      </c>
      <c r="C1117" t="s">
        <v>3259</v>
      </c>
      <c r="D1117" t="s">
        <v>206</v>
      </c>
      <c r="E1117">
        <v>93</v>
      </c>
      <c r="F1117" t="s">
        <v>3260</v>
      </c>
      <c r="G1117">
        <v>93</v>
      </c>
      <c r="H1117">
        <v>361.57799999999997</v>
      </c>
      <c r="N1117">
        <v>361.57799999999997</v>
      </c>
      <c r="O1117" s="1">
        <v>44932</v>
      </c>
      <c r="P1117">
        <f>IF(ISBLANK(ReconciliationData[[#This Row],[Invoice_ID]]),1,0)</f>
        <v>0</v>
      </c>
      <c r="Q1117">
        <f>IF(AND(NOT(ISBLANK(ReconciliationData[[#This Row],[Billed_Units]])),ReconciliationData[[#This Row],[ordered_units]]&lt;&gt;ReconciliationData[[#This Row],[Billed_Units]]),1,0)</f>
        <v>0</v>
      </c>
      <c r="R11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7">
        <f>IF(AND(NOT(ISBLANK(ReconciliationData[[#This Row],[Contract_Price]])),ReconciliationData[[#This Row],[Billed_Price]]&lt;&gt;ReconciliationData[[#This Row],[Contract_Price]]),1,0)</f>
        <v>0</v>
      </c>
      <c r="T1117">
        <f>IF(AND(NOT(ISBLANK(ReconciliationData[[#This Row],[End_Date]])),ReconciliationData[[#This Row],[Order_Date]]&gt;ReconciliationData[[#This Row],[End_Date]]),1,0)</f>
        <v>0</v>
      </c>
      <c r="U1117">
        <f>IF(AND(NOT(ISBLANK(ReconciliationData[[#This Row],[last_return_date]])),ReconciliationData[[#This Row],[last_return_date]]&gt;ReconciliationData[[#This Row],[Order_Date]]+60),1,0)</f>
        <v>0</v>
      </c>
      <c r="V1117">
        <f>IF(ReconciliationData[[#This Row],[total_returned_units]]&gt;ReconciliationData[[#This Row],[ordered_units]],1,0)</f>
        <v>0</v>
      </c>
      <c r="W11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17">
        <f>ReconciliationData[[#This Row],[Billed_Units]]*ReconciliationData[[#This Row],[Billed_Price]]</f>
        <v>33626.754000000001</v>
      </c>
      <c r="Y1117">
        <f>ReconciliationData[[#This Row],[ordered_units]]*ReconciliationData[[#This Row],[List_Price]]</f>
        <v>33626.754000000001</v>
      </c>
      <c r="Z1117">
        <f>ReconciliationData[[#This Row],[billed_revenue]]-ReconciliationData[[#This Row],[expected_revenue]]</f>
        <v>0</v>
      </c>
      <c r="AA11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17" t="str">
        <f>IF(ReconciliationData[[#This Row],[severity_score]]=0,"LOW",
 IF(ReconciliationData[[#This Row],[severity_score]]&lt;=5,"MEDIUM","HIGH"))</f>
        <v>LOW</v>
      </c>
      <c r="AC1117" t="str">
        <f>TEXT(ReconciliationData[[#This Row],[Order_Date]],"YYYY-MM")</f>
        <v>2023-08</v>
      </c>
    </row>
    <row r="1118" spans="1:29">
      <c r="A1118" t="s">
        <v>3261</v>
      </c>
      <c r="B1118" s="1">
        <v>45321</v>
      </c>
      <c r="C1118" t="s">
        <v>3262</v>
      </c>
      <c r="D1118" t="s">
        <v>655</v>
      </c>
      <c r="E1118">
        <v>189</v>
      </c>
      <c r="F1118" t="s">
        <v>3263</v>
      </c>
      <c r="G1118">
        <v>189</v>
      </c>
      <c r="H1118">
        <v>130.87360000000001</v>
      </c>
      <c r="N1118">
        <v>130.87360000000001</v>
      </c>
      <c r="O1118" s="1">
        <v>45074</v>
      </c>
      <c r="P1118">
        <f>IF(ISBLANK(ReconciliationData[[#This Row],[Invoice_ID]]),1,0)</f>
        <v>0</v>
      </c>
      <c r="Q1118">
        <f>IF(AND(NOT(ISBLANK(ReconciliationData[[#This Row],[Billed_Units]])),ReconciliationData[[#This Row],[ordered_units]]&lt;&gt;ReconciliationData[[#This Row],[Billed_Units]]),1,0)</f>
        <v>0</v>
      </c>
      <c r="R11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8">
        <f>IF(AND(NOT(ISBLANK(ReconciliationData[[#This Row],[Contract_Price]])),ReconciliationData[[#This Row],[Billed_Price]]&lt;&gt;ReconciliationData[[#This Row],[Contract_Price]]),1,0)</f>
        <v>0</v>
      </c>
      <c r="T1118">
        <f>IF(AND(NOT(ISBLANK(ReconciliationData[[#This Row],[End_Date]])),ReconciliationData[[#This Row],[Order_Date]]&gt;ReconciliationData[[#This Row],[End_Date]]),1,0)</f>
        <v>0</v>
      </c>
      <c r="U1118">
        <f>IF(AND(NOT(ISBLANK(ReconciliationData[[#This Row],[last_return_date]])),ReconciliationData[[#This Row],[last_return_date]]&gt;ReconciliationData[[#This Row],[Order_Date]]+60),1,0)</f>
        <v>0</v>
      </c>
      <c r="V1118">
        <f>IF(ReconciliationData[[#This Row],[total_returned_units]]&gt;ReconciliationData[[#This Row],[ordered_units]],1,0)</f>
        <v>0</v>
      </c>
      <c r="W11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18">
        <f>ReconciliationData[[#This Row],[Billed_Units]]*ReconciliationData[[#This Row],[Billed_Price]]</f>
        <v>24735.110400000001</v>
      </c>
      <c r="Y1118">
        <f>ReconciliationData[[#This Row],[ordered_units]]*ReconciliationData[[#This Row],[List_Price]]</f>
        <v>24735.110400000001</v>
      </c>
      <c r="Z1118">
        <f>ReconciliationData[[#This Row],[billed_revenue]]-ReconciliationData[[#This Row],[expected_revenue]]</f>
        <v>0</v>
      </c>
      <c r="AA11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18" t="str">
        <f>IF(ReconciliationData[[#This Row],[severity_score]]=0,"LOW",
 IF(ReconciliationData[[#This Row],[severity_score]]&lt;=5,"MEDIUM","HIGH"))</f>
        <v>LOW</v>
      </c>
      <c r="AC1118" t="str">
        <f>TEXT(ReconciliationData[[#This Row],[Order_Date]],"YYYY-MM")</f>
        <v>2024-01</v>
      </c>
    </row>
    <row r="1119" spans="1:29">
      <c r="A1119" t="s">
        <v>3264</v>
      </c>
      <c r="B1119" s="1">
        <v>45262</v>
      </c>
      <c r="C1119" t="s">
        <v>1215</v>
      </c>
      <c r="D1119" t="s">
        <v>231</v>
      </c>
      <c r="E1119">
        <v>141</v>
      </c>
      <c r="F1119" t="s">
        <v>3265</v>
      </c>
      <c r="G1119">
        <v>141</v>
      </c>
      <c r="H1119">
        <v>77.398200000000003</v>
      </c>
      <c r="N1119">
        <v>77.398200000000003</v>
      </c>
      <c r="O1119" s="1">
        <v>45032</v>
      </c>
      <c r="P1119">
        <f>IF(ISBLANK(ReconciliationData[[#This Row],[Invoice_ID]]),1,0)</f>
        <v>0</v>
      </c>
      <c r="Q1119">
        <f>IF(AND(NOT(ISBLANK(ReconciliationData[[#This Row],[Billed_Units]])),ReconciliationData[[#This Row],[ordered_units]]&lt;&gt;ReconciliationData[[#This Row],[Billed_Units]]),1,0)</f>
        <v>0</v>
      </c>
      <c r="R11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19">
        <f>IF(AND(NOT(ISBLANK(ReconciliationData[[#This Row],[Contract_Price]])),ReconciliationData[[#This Row],[Billed_Price]]&lt;&gt;ReconciliationData[[#This Row],[Contract_Price]]),1,0)</f>
        <v>0</v>
      </c>
      <c r="T1119">
        <f>IF(AND(NOT(ISBLANK(ReconciliationData[[#This Row],[End_Date]])),ReconciliationData[[#This Row],[Order_Date]]&gt;ReconciliationData[[#This Row],[End_Date]]),1,0)</f>
        <v>0</v>
      </c>
      <c r="U1119">
        <f>IF(AND(NOT(ISBLANK(ReconciliationData[[#This Row],[last_return_date]])),ReconciliationData[[#This Row],[last_return_date]]&gt;ReconciliationData[[#This Row],[Order_Date]]+60),1,0)</f>
        <v>0</v>
      </c>
      <c r="V1119">
        <f>IF(ReconciliationData[[#This Row],[total_returned_units]]&gt;ReconciliationData[[#This Row],[ordered_units]],1,0)</f>
        <v>0</v>
      </c>
      <c r="W11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19">
        <f>ReconciliationData[[#This Row],[Billed_Units]]*ReconciliationData[[#This Row],[Billed_Price]]</f>
        <v>10913.146200000001</v>
      </c>
      <c r="Y1119">
        <f>ReconciliationData[[#This Row],[ordered_units]]*ReconciliationData[[#This Row],[List_Price]]</f>
        <v>10913.146200000001</v>
      </c>
      <c r="Z1119">
        <f>ReconciliationData[[#This Row],[billed_revenue]]-ReconciliationData[[#This Row],[expected_revenue]]</f>
        <v>0</v>
      </c>
      <c r="AA11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19" t="str">
        <f>IF(ReconciliationData[[#This Row],[severity_score]]=0,"LOW",
 IF(ReconciliationData[[#This Row],[severity_score]]&lt;=5,"MEDIUM","HIGH"))</f>
        <v>LOW</v>
      </c>
      <c r="AC1119" t="str">
        <f>TEXT(ReconciliationData[[#This Row],[Order_Date]],"YYYY-MM")</f>
        <v>2023-12</v>
      </c>
    </row>
    <row r="1120" spans="1:29">
      <c r="A1120" t="s">
        <v>3266</v>
      </c>
      <c r="B1120" s="1">
        <v>44935</v>
      </c>
      <c r="C1120" t="s">
        <v>3267</v>
      </c>
      <c r="D1120" t="s">
        <v>1071</v>
      </c>
      <c r="E1120">
        <v>165</v>
      </c>
      <c r="F1120" t="s">
        <v>3268</v>
      </c>
      <c r="G1120">
        <v>165</v>
      </c>
      <c r="H1120">
        <v>313.45</v>
      </c>
      <c r="I1120">
        <v>5</v>
      </c>
      <c r="J1120" s="1">
        <v>45479</v>
      </c>
      <c r="N1120">
        <v>313.45</v>
      </c>
      <c r="O1120" s="1">
        <v>44667</v>
      </c>
      <c r="P1120">
        <f>IF(ISBLANK(ReconciliationData[[#This Row],[Invoice_ID]]),1,0)</f>
        <v>0</v>
      </c>
      <c r="Q1120">
        <f>IF(AND(NOT(ISBLANK(ReconciliationData[[#This Row],[Billed_Units]])),ReconciliationData[[#This Row],[ordered_units]]&lt;&gt;ReconciliationData[[#This Row],[Billed_Units]]),1,0)</f>
        <v>0</v>
      </c>
      <c r="R11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0">
        <f>IF(AND(NOT(ISBLANK(ReconciliationData[[#This Row],[Contract_Price]])),ReconciliationData[[#This Row],[Billed_Price]]&lt;&gt;ReconciliationData[[#This Row],[Contract_Price]]),1,0)</f>
        <v>0</v>
      </c>
      <c r="T1120">
        <f>IF(AND(NOT(ISBLANK(ReconciliationData[[#This Row],[End_Date]])),ReconciliationData[[#This Row],[Order_Date]]&gt;ReconciliationData[[#This Row],[End_Date]]),1,0)</f>
        <v>0</v>
      </c>
      <c r="U1120">
        <f>IF(AND(NOT(ISBLANK(ReconciliationData[[#This Row],[last_return_date]])),ReconciliationData[[#This Row],[last_return_date]]&gt;ReconciliationData[[#This Row],[Order_Date]]+60),1,0)</f>
        <v>1</v>
      </c>
      <c r="V1120">
        <f>IF(ReconciliationData[[#This Row],[total_returned_units]]&gt;ReconciliationData[[#This Row],[ordered_units]],1,0)</f>
        <v>0</v>
      </c>
      <c r="W11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20">
        <f>ReconciliationData[[#This Row],[Billed_Units]]*ReconciliationData[[#This Row],[Billed_Price]]</f>
        <v>51719.25</v>
      </c>
      <c r="Y1120">
        <f>ReconciliationData[[#This Row],[ordered_units]]*ReconciliationData[[#This Row],[List_Price]]</f>
        <v>51719.25</v>
      </c>
      <c r="Z1120">
        <f>ReconciliationData[[#This Row],[billed_revenue]]-ReconciliationData[[#This Row],[expected_revenue]]</f>
        <v>0</v>
      </c>
      <c r="AA11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20" t="str">
        <f>IF(ReconciliationData[[#This Row],[severity_score]]=0,"LOW",
 IF(ReconciliationData[[#This Row],[severity_score]]&lt;=5,"MEDIUM","HIGH"))</f>
        <v>MEDIUM</v>
      </c>
      <c r="AC1120" t="str">
        <f>TEXT(ReconciliationData[[#This Row],[Order_Date]],"YYYY-MM")</f>
        <v>2023-01</v>
      </c>
    </row>
    <row r="1121" spans="1:29">
      <c r="A1121" t="s">
        <v>3269</v>
      </c>
      <c r="B1121" s="1">
        <v>45631</v>
      </c>
      <c r="C1121" t="s">
        <v>2778</v>
      </c>
      <c r="D1121" t="s">
        <v>333</v>
      </c>
      <c r="E1121">
        <v>161</v>
      </c>
      <c r="F1121" t="s">
        <v>3270</v>
      </c>
      <c r="G1121">
        <v>161</v>
      </c>
      <c r="H1121">
        <v>1144.1684</v>
      </c>
      <c r="N1121">
        <v>1144.1684</v>
      </c>
      <c r="O1121" s="1">
        <v>44955</v>
      </c>
      <c r="P1121">
        <f>IF(ISBLANK(ReconciliationData[[#This Row],[Invoice_ID]]),1,0)</f>
        <v>0</v>
      </c>
      <c r="Q1121">
        <f>IF(AND(NOT(ISBLANK(ReconciliationData[[#This Row],[Billed_Units]])),ReconciliationData[[#This Row],[ordered_units]]&lt;&gt;ReconciliationData[[#This Row],[Billed_Units]]),1,0)</f>
        <v>0</v>
      </c>
      <c r="R11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1">
        <f>IF(AND(NOT(ISBLANK(ReconciliationData[[#This Row],[Contract_Price]])),ReconciliationData[[#This Row],[Billed_Price]]&lt;&gt;ReconciliationData[[#This Row],[Contract_Price]]),1,0)</f>
        <v>0</v>
      </c>
      <c r="T1121">
        <f>IF(AND(NOT(ISBLANK(ReconciliationData[[#This Row],[End_Date]])),ReconciliationData[[#This Row],[Order_Date]]&gt;ReconciliationData[[#This Row],[End_Date]]),1,0)</f>
        <v>0</v>
      </c>
      <c r="U1121">
        <f>IF(AND(NOT(ISBLANK(ReconciliationData[[#This Row],[last_return_date]])),ReconciliationData[[#This Row],[last_return_date]]&gt;ReconciliationData[[#This Row],[Order_Date]]+60),1,0)</f>
        <v>0</v>
      </c>
      <c r="V1121">
        <f>IF(ReconciliationData[[#This Row],[total_returned_units]]&gt;ReconciliationData[[#This Row],[ordered_units]],1,0)</f>
        <v>0</v>
      </c>
      <c r="W11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21">
        <f>ReconciliationData[[#This Row],[Billed_Units]]*ReconciliationData[[#This Row],[Billed_Price]]</f>
        <v>184211.11240000001</v>
      </c>
      <c r="Y1121">
        <f>ReconciliationData[[#This Row],[ordered_units]]*ReconciliationData[[#This Row],[List_Price]]</f>
        <v>184211.11240000001</v>
      </c>
      <c r="Z1121">
        <f>ReconciliationData[[#This Row],[billed_revenue]]-ReconciliationData[[#This Row],[expected_revenue]]</f>
        <v>0</v>
      </c>
      <c r="AA11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21" t="str">
        <f>IF(ReconciliationData[[#This Row],[severity_score]]=0,"LOW",
 IF(ReconciliationData[[#This Row],[severity_score]]&lt;=5,"MEDIUM","HIGH"))</f>
        <v>LOW</v>
      </c>
      <c r="AC1121" t="str">
        <f>TEXT(ReconciliationData[[#This Row],[Order_Date]],"YYYY-MM")</f>
        <v>2024-12</v>
      </c>
    </row>
    <row r="1122" spans="1:29">
      <c r="A1122" t="s">
        <v>3271</v>
      </c>
      <c r="B1122" s="1">
        <v>45329</v>
      </c>
      <c r="C1122" t="s">
        <v>388</v>
      </c>
      <c r="D1122" t="s">
        <v>212</v>
      </c>
      <c r="E1122">
        <v>38</v>
      </c>
      <c r="F1122" t="s">
        <v>3272</v>
      </c>
      <c r="G1122">
        <v>38</v>
      </c>
      <c r="H1122">
        <v>833.41650000000004</v>
      </c>
      <c r="I1122">
        <v>8</v>
      </c>
      <c r="J1122" s="1">
        <v>45532</v>
      </c>
      <c r="N1122">
        <v>833.41650000000004</v>
      </c>
      <c r="O1122" s="1">
        <v>45194</v>
      </c>
      <c r="P1122">
        <f>IF(ISBLANK(ReconciliationData[[#This Row],[Invoice_ID]]),1,0)</f>
        <v>0</v>
      </c>
      <c r="Q1122">
        <f>IF(AND(NOT(ISBLANK(ReconciliationData[[#This Row],[Billed_Units]])),ReconciliationData[[#This Row],[ordered_units]]&lt;&gt;ReconciliationData[[#This Row],[Billed_Units]]),1,0)</f>
        <v>0</v>
      </c>
      <c r="R11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2">
        <f>IF(AND(NOT(ISBLANK(ReconciliationData[[#This Row],[Contract_Price]])),ReconciliationData[[#This Row],[Billed_Price]]&lt;&gt;ReconciliationData[[#This Row],[Contract_Price]]),1,0)</f>
        <v>0</v>
      </c>
      <c r="T1122">
        <f>IF(AND(NOT(ISBLANK(ReconciliationData[[#This Row],[End_Date]])),ReconciliationData[[#This Row],[Order_Date]]&gt;ReconciliationData[[#This Row],[End_Date]]),1,0)</f>
        <v>0</v>
      </c>
      <c r="U1122">
        <f>IF(AND(NOT(ISBLANK(ReconciliationData[[#This Row],[last_return_date]])),ReconciliationData[[#This Row],[last_return_date]]&gt;ReconciliationData[[#This Row],[Order_Date]]+60),1,0)</f>
        <v>1</v>
      </c>
      <c r="V1122">
        <f>IF(ReconciliationData[[#This Row],[total_returned_units]]&gt;ReconciliationData[[#This Row],[ordered_units]],1,0)</f>
        <v>0</v>
      </c>
      <c r="W11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22">
        <f>ReconciliationData[[#This Row],[Billed_Units]]*ReconciliationData[[#This Row],[Billed_Price]]</f>
        <v>31669.827000000001</v>
      </c>
      <c r="Y1122">
        <f>ReconciliationData[[#This Row],[ordered_units]]*ReconciliationData[[#This Row],[List_Price]]</f>
        <v>31669.827000000001</v>
      </c>
      <c r="Z1122">
        <f>ReconciliationData[[#This Row],[billed_revenue]]-ReconciliationData[[#This Row],[expected_revenue]]</f>
        <v>0</v>
      </c>
      <c r="AA11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22" t="str">
        <f>IF(ReconciliationData[[#This Row],[severity_score]]=0,"LOW",
 IF(ReconciliationData[[#This Row],[severity_score]]&lt;=5,"MEDIUM","HIGH"))</f>
        <v>MEDIUM</v>
      </c>
      <c r="AC1122" t="str">
        <f>TEXT(ReconciliationData[[#This Row],[Order_Date]],"YYYY-MM")</f>
        <v>2024-02</v>
      </c>
    </row>
    <row r="1123" spans="1:29">
      <c r="A1123" t="s">
        <v>3273</v>
      </c>
      <c r="B1123" s="1">
        <v>45429</v>
      </c>
      <c r="C1123" t="s">
        <v>1828</v>
      </c>
      <c r="D1123" t="s">
        <v>142</v>
      </c>
      <c r="E1123">
        <v>29</v>
      </c>
      <c r="F1123" t="s">
        <v>3274</v>
      </c>
      <c r="G1123">
        <v>29</v>
      </c>
      <c r="H1123">
        <v>189.1498</v>
      </c>
      <c r="N1123">
        <v>189.1498</v>
      </c>
      <c r="O1123" s="1">
        <v>45108</v>
      </c>
      <c r="P1123">
        <f>IF(ISBLANK(ReconciliationData[[#This Row],[Invoice_ID]]),1,0)</f>
        <v>0</v>
      </c>
      <c r="Q1123">
        <f>IF(AND(NOT(ISBLANK(ReconciliationData[[#This Row],[Billed_Units]])),ReconciliationData[[#This Row],[ordered_units]]&lt;&gt;ReconciliationData[[#This Row],[Billed_Units]]),1,0)</f>
        <v>0</v>
      </c>
      <c r="R11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3">
        <f>IF(AND(NOT(ISBLANK(ReconciliationData[[#This Row],[Contract_Price]])),ReconciliationData[[#This Row],[Billed_Price]]&lt;&gt;ReconciliationData[[#This Row],[Contract_Price]]),1,0)</f>
        <v>0</v>
      </c>
      <c r="T1123">
        <f>IF(AND(NOT(ISBLANK(ReconciliationData[[#This Row],[End_Date]])),ReconciliationData[[#This Row],[Order_Date]]&gt;ReconciliationData[[#This Row],[End_Date]]),1,0)</f>
        <v>0</v>
      </c>
      <c r="U1123">
        <f>IF(AND(NOT(ISBLANK(ReconciliationData[[#This Row],[last_return_date]])),ReconciliationData[[#This Row],[last_return_date]]&gt;ReconciliationData[[#This Row],[Order_Date]]+60),1,0)</f>
        <v>0</v>
      </c>
      <c r="V1123">
        <f>IF(ReconciliationData[[#This Row],[total_returned_units]]&gt;ReconciliationData[[#This Row],[ordered_units]],1,0)</f>
        <v>0</v>
      </c>
      <c r="W11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23">
        <f>ReconciliationData[[#This Row],[Billed_Units]]*ReconciliationData[[#This Row],[Billed_Price]]</f>
        <v>5485.3441999999995</v>
      </c>
      <c r="Y1123">
        <f>ReconciliationData[[#This Row],[ordered_units]]*ReconciliationData[[#This Row],[List_Price]]</f>
        <v>5485.3441999999995</v>
      </c>
      <c r="Z1123">
        <f>ReconciliationData[[#This Row],[billed_revenue]]-ReconciliationData[[#This Row],[expected_revenue]]</f>
        <v>0</v>
      </c>
      <c r="AA11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23" t="str">
        <f>IF(ReconciliationData[[#This Row],[severity_score]]=0,"LOW",
 IF(ReconciliationData[[#This Row],[severity_score]]&lt;=5,"MEDIUM","HIGH"))</f>
        <v>LOW</v>
      </c>
      <c r="AC1123" t="str">
        <f>TEXT(ReconciliationData[[#This Row],[Order_Date]],"YYYY-MM")</f>
        <v>2024-05</v>
      </c>
    </row>
    <row r="1124" spans="1:29">
      <c r="A1124" t="s">
        <v>3275</v>
      </c>
      <c r="B1124" s="1">
        <v>45553</v>
      </c>
      <c r="C1124" t="s">
        <v>3276</v>
      </c>
      <c r="D1124" t="s">
        <v>1273</v>
      </c>
      <c r="E1124">
        <v>115</v>
      </c>
      <c r="F1124" t="s">
        <v>3277</v>
      </c>
      <c r="G1124">
        <v>114</v>
      </c>
      <c r="H1124">
        <v>1030.7952</v>
      </c>
      <c r="N1124">
        <v>1030.7952</v>
      </c>
      <c r="O1124" s="1">
        <v>45154</v>
      </c>
      <c r="P1124">
        <f>IF(ISBLANK(ReconciliationData[[#This Row],[Invoice_ID]]),1,0)</f>
        <v>0</v>
      </c>
      <c r="Q1124">
        <f>IF(AND(NOT(ISBLANK(ReconciliationData[[#This Row],[Billed_Units]])),ReconciliationData[[#This Row],[ordered_units]]&lt;&gt;ReconciliationData[[#This Row],[Billed_Units]]),1,0)</f>
        <v>1</v>
      </c>
      <c r="R11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4">
        <f>IF(AND(NOT(ISBLANK(ReconciliationData[[#This Row],[Contract_Price]])),ReconciliationData[[#This Row],[Billed_Price]]&lt;&gt;ReconciliationData[[#This Row],[Contract_Price]]),1,0)</f>
        <v>0</v>
      </c>
      <c r="T1124">
        <f>IF(AND(NOT(ISBLANK(ReconciliationData[[#This Row],[End_Date]])),ReconciliationData[[#This Row],[Order_Date]]&gt;ReconciliationData[[#This Row],[End_Date]]),1,0)</f>
        <v>0</v>
      </c>
      <c r="U1124">
        <f>IF(AND(NOT(ISBLANK(ReconciliationData[[#This Row],[last_return_date]])),ReconciliationData[[#This Row],[last_return_date]]&gt;ReconciliationData[[#This Row],[Order_Date]]+60),1,0)</f>
        <v>0</v>
      </c>
      <c r="V1124">
        <f>IF(ReconciliationData[[#This Row],[total_returned_units]]&gt;ReconciliationData[[#This Row],[ordered_units]],1,0)</f>
        <v>0</v>
      </c>
      <c r="W11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24">
        <f>ReconciliationData[[#This Row],[Billed_Units]]*ReconciliationData[[#This Row],[Billed_Price]]</f>
        <v>117510.6528</v>
      </c>
      <c r="Y1124">
        <f>ReconciliationData[[#This Row],[ordered_units]]*ReconciliationData[[#This Row],[List_Price]]</f>
        <v>118541.448</v>
      </c>
      <c r="Z1124">
        <f>ReconciliationData[[#This Row],[billed_revenue]]-ReconciliationData[[#This Row],[expected_revenue]]</f>
        <v>-1030.7952000000078</v>
      </c>
      <c r="AA11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124" t="str">
        <f>IF(ReconciliationData[[#This Row],[severity_score]]=0,"LOW",
 IF(ReconciliationData[[#This Row],[severity_score]]&lt;=5,"MEDIUM","HIGH"))</f>
        <v>HIGH</v>
      </c>
      <c r="AC1124" t="str">
        <f>TEXT(ReconciliationData[[#This Row],[Order_Date]],"YYYY-MM")</f>
        <v>2024-09</v>
      </c>
    </row>
    <row r="1125" spans="1:29">
      <c r="A1125" t="s">
        <v>3278</v>
      </c>
      <c r="B1125" s="1">
        <v>45656</v>
      </c>
      <c r="C1125" t="s">
        <v>1744</v>
      </c>
      <c r="D1125" t="s">
        <v>1094</v>
      </c>
      <c r="E1125">
        <v>6</v>
      </c>
      <c r="F1125" t="s">
        <v>3279</v>
      </c>
      <c r="G1125">
        <v>6</v>
      </c>
      <c r="H1125">
        <v>977.22280000000001</v>
      </c>
      <c r="N1125">
        <v>977.22280000000001</v>
      </c>
      <c r="O1125" s="1">
        <v>44984</v>
      </c>
      <c r="P1125">
        <f>IF(ISBLANK(ReconciliationData[[#This Row],[Invoice_ID]]),1,0)</f>
        <v>0</v>
      </c>
      <c r="Q1125">
        <f>IF(AND(NOT(ISBLANK(ReconciliationData[[#This Row],[Billed_Units]])),ReconciliationData[[#This Row],[ordered_units]]&lt;&gt;ReconciliationData[[#This Row],[Billed_Units]]),1,0)</f>
        <v>0</v>
      </c>
      <c r="R11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5">
        <f>IF(AND(NOT(ISBLANK(ReconciliationData[[#This Row],[Contract_Price]])),ReconciliationData[[#This Row],[Billed_Price]]&lt;&gt;ReconciliationData[[#This Row],[Contract_Price]]),1,0)</f>
        <v>0</v>
      </c>
      <c r="T1125">
        <f>IF(AND(NOT(ISBLANK(ReconciliationData[[#This Row],[End_Date]])),ReconciliationData[[#This Row],[Order_Date]]&gt;ReconciliationData[[#This Row],[End_Date]]),1,0)</f>
        <v>0</v>
      </c>
      <c r="U1125">
        <f>IF(AND(NOT(ISBLANK(ReconciliationData[[#This Row],[last_return_date]])),ReconciliationData[[#This Row],[last_return_date]]&gt;ReconciliationData[[#This Row],[Order_Date]]+60),1,0)</f>
        <v>0</v>
      </c>
      <c r="V1125">
        <f>IF(ReconciliationData[[#This Row],[total_returned_units]]&gt;ReconciliationData[[#This Row],[ordered_units]],1,0)</f>
        <v>0</v>
      </c>
      <c r="W11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25">
        <f>ReconciliationData[[#This Row],[Billed_Units]]*ReconciliationData[[#This Row],[Billed_Price]]</f>
        <v>5863.3368</v>
      </c>
      <c r="Y1125">
        <f>ReconciliationData[[#This Row],[ordered_units]]*ReconciliationData[[#This Row],[List_Price]]</f>
        <v>5863.3368</v>
      </c>
      <c r="Z1125">
        <f>ReconciliationData[[#This Row],[billed_revenue]]-ReconciliationData[[#This Row],[expected_revenue]]</f>
        <v>0</v>
      </c>
      <c r="AA11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25" t="str">
        <f>IF(ReconciliationData[[#This Row],[severity_score]]=0,"LOW",
 IF(ReconciliationData[[#This Row],[severity_score]]&lt;=5,"MEDIUM","HIGH"))</f>
        <v>LOW</v>
      </c>
      <c r="AC1125" t="str">
        <f>TEXT(ReconciliationData[[#This Row],[Order_Date]],"YYYY-MM")</f>
        <v>2024-12</v>
      </c>
    </row>
    <row r="1126" spans="1:29">
      <c r="A1126" t="s">
        <v>3280</v>
      </c>
      <c r="B1126" s="1">
        <v>45023</v>
      </c>
      <c r="C1126" t="s">
        <v>518</v>
      </c>
      <c r="D1126" t="s">
        <v>738</v>
      </c>
      <c r="E1126">
        <v>112</v>
      </c>
      <c r="F1126" t="s">
        <v>3281</v>
      </c>
      <c r="G1126">
        <v>112</v>
      </c>
      <c r="H1126">
        <v>733.42080000000021</v>
      </c>
      <c r="N1126">
        <v>733.42080000000021</v>
      </c>
      <c r="O1126" s="1">
        <v>44856</v>
      </c>
      <c r="P1126">
        <f>IF(ISBLANK(ReconciliationData[[#This Row],[Invoice_ID]]),1,0)</f>
        <v>0</v>
      </c>
      <c r="Q1126">
        <f>IF(AND(NOT(ISBLANK(ReconciliationData[[#This Row],[Billed_Units]])),ReconciliationData[[#This Row],[ordered_units]]&lt;&gt;ReconciliationData[[#This Row],[Billed_Units]]),1,0)</f>
        <v>0</v>
      </c>
      <c r="R11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6">
        <f>IF(AND(NOT(ISBLANK(ReconciliationData[[#This Row],[Contract_Price]])),ReconciliationData[[#This Row],[Billed_Price]]&lt;&gt;ReconciliationData[[#This Row],[Contract_Price]]),1,0)</f>
        <v>0</v>
      </c>
      <c r="T1126">
        <f>IF(AND(NOT(ISBLANK(ReconciliationData[[#This Row],[End_Date]])),ReconciliationData[[#This Row],[Order_Date]]&gt;ReconciliationData[[#This Row],[End_Date]]),1,0)</f>
        <v>0</v>
      </c>
      <c r="U1126">
        <f>IF(AND(NOT(ISBLANK(ReconciliationData[[#This Row],[last_return_date]])),ReconciliationData[[#This Row],[last_return_date]]&gt;ReconciliationData[[#This Row],[Order_Date]]+60),1,0)</f>
        <v>0</v>
      </c>
      <c r="V1126">
        <f>IF(ReconciliationData[[#This Row],[total_returned_units]]&gt;ReconciliationData[[#This Row],[ordered_units]],1,0)</f>
        <v>0</v>
      </c>
      <c r="W11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26">
        <f>ReconciliationData[[#This Row],[Billed_Units]]*ReconciliationData[[#This Row],[Billed_Price]]</f>
        <v>82143.129600000029</v>
      </c>
      <c r="Y1126">
        <f>ReconciliationData[[#This Row],[ordered_units]]*ReconciliationData[[#This Row],[List_Price]]</f>
        <v>82143.129600000029</v>
      </c>
      <c r="Z1126">
        <f>ReconciliationData[[#This Row],[billed_revenue]]-ReconciliationData[[#This Row],[expected_revenue]]</f>
        <v>0</v>
      </c>
      <c r="AA11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26" t="str">
        <f>IF(ReconciliationData[[#This Row],[severity_score]]=0,"LOW",
 IF(ReconciliationData[[#This Row],[severity_score]]&lt;=5,"MEDIUM","HIGH"))</f>
        <v>LOW</v>
      </c>
      <c r="AC1126" t="str">
        <f>TEXT(ReconciliationData[[#This Row],[Order_Date]],"YYYY-MM")</f>
        <v>2023-04</v>
      </c>
    </row>
    <row r="1127" spans="1:29">
      <c r="A1127" t="s">
        <v>3282</v>
      </c>
      <c r="B1127" s="1">
        <v>45024</v>
      </c>
      <c r="C1127" t="s">
        <v>1013</v>
      </c>
      <c r="D1127" t="s">
        <v>461</v>
      </c>
      <c r="E1127">
        <v>108</v>
      </c>
      <c r="F1127" t="s">
        <v>3283</v>
      </c>
      <c r="G1127">
        <v>108</v>
      </c>
      <c r="H1127">
        <v>1218.6930000000002</v>
      </c>
      <c r="N1127">
        <v>1218.6930000000002</v>
      </c>
      <c r="O1127" s="1">
        <v>44926</v>
      </c>
      <c r="P1127">
        <f>IF(ISBLANK(ReconciliationData[[#This Row],[Invoice_ID]]),1,0)</f>
        <v>0</v>
      </c>
      <c r="Q1127">
        <f>IF(AND(NOT(ISBLANK(ReconciliationData[[#This Row],[Billed_Units]])),ReconciliationData[[#This Row],[ordered_units]]&lt;&gt;ReconciliationData[[#This Row],[Billed_Units]]),1,0)</f>
        <v>0</v>
      </c>
      <c r="R11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7">
        <f>IF(AND(NOT(ISBLANK(ReconciliationData[[#This Row],[Contract_Price]])),ReconciliationData[[#This Row],[Billed_Price]]&lt;&gt;ReconciliationData[[#This Row],[Contract_Price]]),1,0)</f>
        <v>0</v>
      </c>
      <c r="T1127">
        <f>IF(AND(NOT(ISBLANK(ReconciliationData[[#This Row],[End_Date]])),ReconciliationData[[#This Row],[Order_Date]]&gt;ReconciliationData[[#This Row],[End_Date]]),1,0)</f>
        <v>0</v>
      </c>
      <c r="U1127">
        <f>IF(AND(NOT(ISBLANK(ReconciliationData[[#This Row],[last_return_date]])),ReconciliationData[[#This Row],[last_return_date]]&gt;ReconciliationData[[#This Row],[Order_Date]]+60),1,0)</f>
        <v>0</v>
      </c>
      <c r="V1127">
        <f>IF(ReconciliationData[[#This Row],[total_returned_units]]&gt;ReconciliationData[[#This Row],[ordered_units]],1,0)</f>
        <v>0</v>
      </c>
      <c r="W11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27">
        <f>ReconciliationData[[#This Row],[Billed_Units]]*ReconciliationData[[#This Row],[Billed_Price]]</f>
        <v>131618.84400000001</v>
      </c>
      <c r="Y1127">
        <f>ReconciliationData[[#This Row],[ordered_units]]*ReconciliationData[[#This Row],[List_Price]]</f>
        <v>131618.84400000001</v>
      </c>
      <c r="Z1127">
        <f>ReconciliationData[[#This Row],[billed_revenue]]-ReconciliationData[[#This Row],[expected_revenue]]</f>
        <v>0</v>
      </c>
      <c r="AA11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27" t="str">
        <f>IF(ReconciliationData[[#This Row],[severity_score]]=0,"LOW",
 IF(ReconciliationData[[#This Row],[severity_score]]&lt;=5,"MEDIUM","HIGH"))</f>
        <v>LOW</v>
      </c>
      <c r="AC1127" t="str">
        <f>TEXT(ReconciliationData[[#This Row],[Order_Date]],"YYYY-MM")</f>
        <v>2023-04</v>
      </c>
    </row>
    <row r="1128" spans="1:29">
      <c r="A1128" t="s">
        <v>3284</v>
      </c>
      <c r="B1128" s="1">
        <v>45432</v>
      </c>
      <c r="C1128" t="s">
        <v>1185</v>
      </c>
      <c r="D1128" t="s">
        <v>483</v>
      </c>
      <c r="E1128">
        <v>54</v>
      </c>
      <c r="F1128" t="s">
        <v>3285</v>
      </c>
      <c r="G1128">
        <v>54</v>
      </c>
      <c r="H1128">
        <v>269.178</v>
      </c>
      <c r="N1128">
        <v>269.178</v>
      </c>
      <c r="O1128" s="1">
        <v>45158</v>
      </c>
      <c r="P1128">
        <f>IF(ISBLANK(ReconciliationData[[#This Row],[Invoice_ID]]),1,0)</f>
        <v>0</v>
      </c>
      <c r="Q1128">
        <f>IF(AND(NOT(ISBLANK(ReconciliationData[[#This Row],[Billed_Units]])),ReconciliationData[[#This Row],[ordered_units]]&lt;&gt;ReconciliationData[[#This Row],[Billed_Units]]),1,0)</f>
        <v>0</v>
      </c>
      <c r="R11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8">
        <f>IF(AND(NOT(ISBLANK(ReconciliationData[[#This Row],[Contract_Price]])),ReconciliationData[[#This Row],[Billed_Price]]&lt;&gt;ReconciliationData[[#This Row],[Contract_Price]]),1,0)</f>
        <v>0</v>
      </c>
      <c r="T1128">
        <f>IF(AND(NOT(ISBLANK(ReconciliationData[[#This Row],[End_Date]])),ReconciliationData[[#This Row],[Order_Date]]&gt;ReconciliationData[[#This Row],[End_Date]]),1,0)</f>
        <v>0</v>
      </c>
      <c r="U1128">
        <f>IF(AND(NOT(ISBLANK(ReconciliationData[[#This Row],[last_return_date]])),ReconciliationData[[#This Row],[last_return_date]]&gt;ReconciliationData[[#This Row],[Order_Date]]+60),1,0)</f>
        <v>0</v>
      </c>
      <c r="V1128">
        <f>IF(ReconciliationData[[#This Row],[total_returned_units]]&gt;ReconciliationData[[#This Row],[ordered_units]],1,0)</f>
        <v>0</v>
      </c>
      <c r="W11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28">
        <f>ReconciliationData[[#This Row],[Billed_Units]]*ReconciliationData[[#This Row],[Billed_Price]]</f>
        <v>14535.611999999999</v>
      </c>
      <c r="Y1128">
        <f>ReconciliationData[[#This Row],[ordered_units]]*ReconciliationData[[#This Row],[List_Price]]</f>
        <v>14535.611999999999</v>
      </c>
      <c r="Z1128">
        <f>ReconciliationData[[#This Row],[billed_revenue]]-ReconciliationData[[#This Row],[expected_revenue]]</f>
        <v>0</v>
      </c>
      <c r="AA11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28" t="str">
        <f>IF(ReconciliationData[[#This Row],[severity_score]]=0,"LOW",
 IF(ReconciliationData[[#This Row],[severity_score]]&lt;=5,"MEDIUM","HIGH"))</f>
        <v>LOW</v>
      </c>
      <c r="AC1128" t="str">
        <f>TEXT(ReconciliationData[[#This Row],[Order_Date]],"YYYY-MM")</f>
        <v>2024-05</v>
      </c>
    </row>
    <row r="1129" spans="1:29">
      <c r="A1129" t="s">
        <v>3286</v>
      </c>
      <c r="B1129" s="1">
        <v>45201</v>
      </c>
      <c r="C1129" t="s">
        <v>2943</v>
      </c>
      <c r="D1129" t="s">
        <v>329</v>
      </c>
      <c r="E1129">
        <v>6</v>
      </c>
      <c r="F1129" t="s">
        <v>3287</v>
      </c>
      <c r="G1129">
        <v>16</v>
      </c>
      <c r="H1129">
        <v>385.42419999999998</v>
      </c>
      <c r="N1129">
        <v>385.42419999999998</v>
      </c>
      <c r="O1129" s="1">
        <v>45079</v>
      </c>
      <c r="P1129">
        <f>IF(ISBLANK(ReconciliationData[[#This Row],[Invoice_ID]]),1,0)</f>
        <v>0</v>
      </c>
      <c r="Q1129">
        <f>IF(AND(NOT(ISBLANK(ReconciliationData[[#This Row],[Billed_Units]])),ReconciliationData[[#This Row],[ordered_units]]&lt;&gt;ReconciliationData[[#This Row],[Billed_Units]]),1,0)</f>
        <v>1</v>
      </c>
      <c r="R11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29">
        <f>IF(AND(NOT(ISBLANK(ReconciliationData[[#This Row],[Contract_Price]])),ReconciliationData[[#This Row],[Billed_Price]]&lt;&gt;ReconciliationData[[#This Row],[Contract_Price]]),1,0)</f>
        <v>0</v>
      </c>
      <c r="T1129">
        <f>IF(AND(NOT(ISBLANK(ReconciliationData[[#This Row],[End_Date]])),ReconciliationData[[#This Row],[Order_Date]]&gt;ReconciliationData[[#This Row],[End_Date]]),1,0)</f>
        <v>0</v>
      </c>
      <c r="U1129">
        <f>IF(AND(NOT(ISBLANK(ReconciliationData[[#This Row],[last_return_date]])),ReconciliationData[[#This Row],[last_return_date]]&gt;ReconciliationData[[#This Row],[Order_Date]]+60),1,0)</f>
        <v>0</v>
      </c>
      <c r="V1129">
        <f>IF(ReconciliationData[[#This Row],[total_returned_units]]&gt;ReconciliationData[[#This Row],[ordered_units]],1,0)</f>
        <v>0</v>
      </c>
      <c r="W11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29">
        <f>ReconciliationData[[#This Row],[Billed_Units]]*ReconciliationData[[#This Row],[Billed_Price]]</f>
        <v>6166.7871999999998</v>
      </c>
      <c r="Y1129">
        <f>ReconciliationData[[#This Row],[ordered_units]]*ReconciliationData[[#This Row],[List_Price]]</f>
        <v>2312.5452</v>
      </c>
      <c r="Z1129">
        <f>ReconciliationData[[#This Row],[billed_revenue]]-ReconciliationData[[#This Row],[expected_revenue]]</f>
        <v>3854.2419999999997</v>
      </c>
      <c r="AA11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129" t="str">
        <f>IF(ReconciliationData[[#This Row],[severity_score]]=0,"LOW",
 IF(ReconciliationData[[#This Row],[severity_score]]&lt;=5,"MEDIUM","HIGH"))</f>
        <v>HIGH</v>
      </c>
      <c r="AC1129" t="str">
        <f>TEXT(ReconciliationData[[#This Row],[Order_Date]],"YYYY-MM")</f>
        <v>2023-10</v>
      </c>
    </row>
    <row r="1130" spans="1:29">
      <c r="A1130" t="s">
        <v>3288</v>
      </c>
      <c r="B1130" s="1">
        <v>45140</v>
      </c>
      <c r="C1130" t="s">
        <v>595</v>
      </c>
      <c r="D1130" t="s">
        <v>1525</v>
      </c>
      <c r="E1130">
        <v>13</v>
      </c>
      <c r="F1130" t="s">
        <v>3289</v>
      </c>
      <c r="G1130">
        <v>13</v>
      </c>
      <c r="H1130">
        <v>1067.6925000000001</v>
      </c>
      <c r="I1130">
        <v>13</v>
      </c>
      <c r="J1130" s="1">
        <v>45445</v>
      </c>
      <c r="N1130">
        <v>1067.6925000000001</v>
      </c>
      <c r="O1130" s="1">
        <v>44999</v>
      </c>
      <c r="P1130">
        <f>IF(ISBLANK(ReconciliationData[[#This Row],[Invoice_ID]]),1,0)</f>
        <v>0</v>
      </c>
      <c r="Q1130">
        <f>IF(AND(NOT(ISBLANK(ReconciliationData[[#This Row],[Billed_Units]])),ReconciliationData[[#This Row],[ordered_units]]&lt;&gt;ReconciliationData[[#This Row],[Billed_Units]]),1,0)</f>
        <v>0</v>
      </c>
      <c r="R11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0">
        <f>IF(AND(NOT(ISBLANK(ReconciliationData[[#This Row],[Contract_Price]])),ReconciliationData[[#This Row],[Billed_Price]]&lt;&gt;ReconciliationData[[#This Row],[Contract_Price]]),1,0)</f>
        <v>0</v>
      </c>
      <c r="T1130">
        <f>IF(AND(NOT(ISBLANK(ReconciliationData[[#This Row],[End_Date]])),ReconciliationData[[#This Row],[Order_Date]]&gt;ReconciliationData[[#This Row],[End_Date]]),1,0)</f>
        <v>0</v>
      </c>
      <c r="U1130">
        <f>IF(AND(NOT(ISBLANK(ReconciliationData[[#This Row],[last_return_date]])),ReconciliationData[[#This Row],[last_return_date]]&gt;ReconciliationData[[#This Row],[Order_Date]]+60),1,0)</f>
        <v>1</v>
      </c>
      <c r="V1130">
        <f>IF(ReconciliationData[[#This Row],[total_returned_units]]&gt;ReconciliationData[[#This Row],[ordered_units]],1,0)</f>
        <v>0</v>
      </c>
      <c r="W11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30">
        <f>ReconciliationData[[#This Row],[Billed_Units]]*ReconciliationData[[#This Row],[Billed_Price]]</f>
        <v>13880.002500000002</v>
      </c>
      <c r="Y1130">
        <f>ReconciliationData[[#This Row],[ordered_units]]*ReconciliationData[[#This Row],[List_Price]]</f>
        <v>13880.002500000002</v>
      </c>
      <c r="Z1130">
        <f>ReconciliationData[[#This Row],[billed_revenue]]-ReconciliationData[[#This Row],[expected_revenue]]</f>
        <v>0</v>
      </c>
      <c r="AA11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30" t="str">
        <f>IF(ReconciliationData[[#This Row],[severity_score]]=0,"LOW",
 IF(ReconciliationData[[#This Row],[severity_score]]&lt;=5,"MEDIUM","HIGH"))</f>
        <v>MEDIUM</v>
      </c>
      <c r="AC1130" t="str">
        <f>TEXT(ReconciliationData[[#This Row],[Order_Date]],"YYYY-MM")</f>
        <v>2023-08</v>
      </c>
    </row>
    <row r="1131" spans="1:29">
      <c r="A1131" t="s">
        <v>3290</v>
      </c>
      <c r="B1131" s="1">
        <v>45076</v>
      </c>
      <c r="C1131" t="s">
        <v>1403</v>
      </c>
      <c r="D1131" t="s">
        <v>732</v>
      </c>
      <c r="E1131">
        <v>42</v>
      </c>
      <c r="F1131" t="s">
        <v>3291</v>
      </c>
      <c r="G1131">
        <v>42</v>
      </c>
      <c r="H1131">
        <v>440.38799999999998</v>
      </c>
      <c r="N1131">
        <v>440.38799999999998</v>
      </c>
      <c r="O1131" s="1">
        <v>45016</v>
      </c>
      <c r="P1131">
        <f>IF(ISBLANK(ReconciliationData[[#This Row],[Invoice_ID]]),1,0)</f>
        <v>0</v>
      </c>
      <c r="Q1131">
        <f>IF(AND(NOT(ISBLANK(ReconciliationData[[#This Row],[Billed_Units]])),ReconciliationData[[#This Row],[ordered_units]]&lt;&gt;ReconciliationData[[#This Row],[Billed_Units]]),1,0)</f>
        <v>0</v>
      </c>
      <c r="R11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1">
        <f>IF(AND(NOT(ISBLANK(ReconciliationData[[#This Row],[Contract_Price]])),ReconciliationData[[#This Row],[Billed_Price]]&lt;&gt;ReconciliationData[[#This Row],[Contract_Price]]),1,0)</f>
        <v>0</v>
      </c>
      <c r="T1131">
        <f>IF(AND(NOT(ISBLANK(ReconciliationData[[#This Row],[End_Date]])),ReconciliationData[[#This Row],[Order_Date]]&gt;ReconciliationData[[#This Row],[End_Date]]),1,0)</f>
        <v>0</v>
      </c>
      <c r="U1131">
        <f>IF(AND(NOT(ISBLANK(ReconciliationData[[#This Row],[last_return_date]])),ReconciliationData[[#This Row],[last_return_date]]&gt;ReconciliationData[[#This Row],[Order_Date]]+60),1,0)</f>
        <v>0</v>
      </c>
      <c r="V1131">
        <f>IF(ReconciliationData[[#This Row],[total_returned_units]]&gt;ReconciliationData[[#This Row],[ordered_units]],1,0)</f>
        <v>0</v>
      </c>
      <c r="W11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31">
        <f>ReconciliationData[[#This Row],[Billed_Units]]*ReconciliationData[[#This Row],[Billed_Price]]</f>
        <v>18496.295999999998</v>
      </c>
      <c r="Y1131">
        <f>ReconciliationData[[#This Row],[ordered_units]]*ReconciliationData[[#This Row],[List_Price]]</f>
        <v>18496.295999999998</v>
      </c>
      <c r="Z1131">
        <f>ReconciliationData[[#This Row],[billed_revenue]]-ReconciliationData[[#This Row],[expected_revenue]]</f>
        <v>0</v>
      </c>
      <c r="AA11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31" t="str">
        <f>IF(ReconciliationData[[#This Row],[severity_score]]=0,"LOW",
 IF(ReconciliationData[[#This Row],[severity_score]]&lt;=5,"MEDIUM","HIGH"))</f>
        <v>LOW</v>
      </c>
      <c r="AC1131" t="str">
        <f>TEXT(ReconciliationData[[#This Row],[Order_Date]],"YYYY-MM")</f>
        <v>2023-05</v>
      </c>
    </row>
    <row r="1132" spans="1:29">
      <c r="A1132" t="s">
        <v>3292</v>
      </c>
      <c r="B1132" s="1">
        <v>45597</v>
      </c>
      <c r="C1132" t="s">
        <v>3293</v>
      </c>
      <c r="D1132" t="s">
        <v>1083</v>
      </c>
      <c r="E1132">
        <v>49</v>
      </c>
      <c r="F1132" t="s">
        <v>3294</v>
      </c>
      <c r="G1132">
        <v>49</v>
      </c>
      <c r="H1132">
        <v>479.40280000000007</v>
      </c>
      <c r="N1132">
        <v>479.40280000000007</v>
      </c>
      <c r="O1132" s="1">
        <v>44941</v>
      </c>
      <c r="P1132">
        <f>IF(ISBLANK(ReconciliationData[[#This Row],[Invoice_ID]]),1,0)</f>
        <v>0</v>
      </c>
      <c r="Q1132">
        <f>IF(AND(NOT(ISBLANK(ReconciliationData[[#This Row],[Billed_Units]])),ReconciliationData[[#This Row],[ordered_units]]&lt;&gt;ReconciliationData[[#This Row],[Billed_Units]]),1,0)</f>
        <v>0</v>
      </c>
      <c r="R11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2">
        <f>IF(AND(NOT(ISBLANK(ReconciliationData[[#This Row],[Contract_Price]])),ReconciliationData[[#This Row],[Billed_Price]]&lt;&gt;ReconciliationData[[#This Row],[Contract_Price]]),1,0)</f>
        <v>0</v>
      </c>
      <c r="T1132">
        <f>IF(AND(NOT(ISBLANK(ReconciliationData[[#This Row],[End_Date]])),ReconciliationData[[#This Row],[Order_Date]]&gt;ReconciliationData[[#This Row],[End_Date]]),1,0)</f>
        <v>0</v>
      </c>
      <c r="U1132">
        <f>IF(AND(NOT(ISBLANK(ReconciliationData[[#This Row],[last_return_date]])),ReconciliationData[[#This Row],[last_return_date]]&gt;ReconciliationData[[#This Row],[Order_Date]]+60),1,0)</f>
        <v>0</v>
      </c>
      <c r="V1132">
        <f>IF(ReconciliationData[[#This Row],[total_returned_units]]&gt;ReconciliationData[[#This Row],[ordered_units]],1,0)</f>
        <v>0</v>
      </c>
      <c r="W11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32">
        <f>ReconciliationData[[#This Row],[Billed_Units]]*ReconciliationData[[#This Row],[Billed_Price]]</f>
        <v>23490.737200000003</v>
      </c>
      <c r="Y1132">
        <f>ReconciliationData[[#This Row],[ordered_units]]*ReconciliationData[[#This Row],[List_Price]]</f>
        <v>23490.737200000003</v>
      </c>
      <c r="Z1132">
        <f>ReconciliationData[[#This Row],[billed_revenue]]-ReconciliationData[[#This Row],[expected_revenue]]</f>
        <v>0</v>
      </c>
      <c r="AA11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32" t="str">
        <f>IF(ReconciliationData[[#This Row],[severity_score]]=0,"LOW",
 IF(ReconciliationData[[#This Row],[severity_score]]&lt;=5,"MEDIUM","HIGH"))</f>
        <v>LOW</v>
      </c>
      <c r="AC1132" t="str">
        <f>TEXT(ReconciliationData[[#This Row],[Order_Date]],"YYYY-MM")</f>
        <v>2024-11</v>
      </c>
    </row>
    <row r="1133" spans="1:29">
      <c r="A1133" t="s">
        <v>3295</v>
      </c>
      <c r="B1133" s="1">
        <v>45033</v>
      </c>
      <c r="C1133" t="s">
        <v>3296</v>
      </c>
      <c r="D1133" t="s">
        <v>3297</v>
      </c>
      <c r="E1133">
        <v>54</v>
      </c>
      <c r="F1133" t="s">
        <v>3298</v>
      </c>
      <c r="G1133">
        <v>54</v>
      </c>
      <c r="H1133">
        <v>933.43190000000004</v>
      </c>
      <c r="N1133">
        <v>933.43190000000004</v>
      </c>
      <c r="O1133" s="1">
        <v>45011</v>
      </c>
      <c r="P1133">
        <f>IF(ISBLANK(ReconciliationData[[#This Row],[Invoice_ID]]),1,0)</f>
        <v>0</v>
      </c>
      <c r="Q1133">
        <f>IF(AND(NOT(ISBLANK(ReconciliationData[[#This Row],[Billed_Units]])),ReconciliationData[[#This Row],[ordered_units]]&lt;&gt;ReconciliationData[[#This Row],[Billed_Units]]),1,0)</f>
        <v>0</v>
      </c>
      <c r="R11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3">
        <f>IF(AND(NOT(ISBLANK(ReconciliationData[[#This Row],[Contract_Price]])),ReconciliationData[[#This Row],[Billed_Price]]&lt;&gt;ReconciliationData[[#This Row],[Contract_Price]]),1,0)</f>
        <v>0</v>
      </c>
      <c r="T1133">
        <f>IF(AND(NOT(ISBLANK(ReconciliationData[[#This Row],[End_Date]])),ReconciliationData[[#This Row],[Order_Date]]&gt;ReconciliationData[[#This Row],[End_Date]]),1,0)</f>
        <v>0</v>
      </c>
      <c r="U1133">
        <f>IF(AND(NOT(ISBLANK(ReconciliationData[[#This Row],[last_return_date]])),ReconciliationData[[#This Row],[last_return_date]]&gt;ReconciliationData[[#This Row],[Order_Date]]+60),1,0)</f>
        <v>0</v>
      </c>
      <c r="V1133">
        <f>IF(ReconciliationData[[#This Row],[total_returned_units]]&gt;ReconciliationData[[#This Row],[ordered_units]],1,0)</f>
        <v>0</v>
      </c>
      <c r="W11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33">
        <f>ReconciliationData[[#This Row],[Billed_Units]]*ReconciliationData[[#This Row],[Billed_Price]]</f>
        <v>50405.3226</v>
      </c>
      <c r="Y1133">
        <f>ReconciliationData[[#This Row],[ordered_units]]*ReconciliationData[[#This Row],[List_Price]]</f>
        <v>50405.3226</v>
      </c>
      <c r="Z1133">
        <f>ReconciliationData[[#This Row],[billed_revenue]]-ReconciliationData[[#This Row],[expected_revenue]]</f>
        <v>0</v>
      </c>
      <c r="AA11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33" t="str">
        <f>IF(ReconciliationData[[#This Row],[severity_score]]=0,"LOW",
 IF(ReconciliationData[[#This Row],[severity_score]]&lt;=5,"MEDIUM","HIGH"))</f>
        <v>LOW</v>
      </c>
      <c r="AC1133" t="str">
        <f>TEXT(ReconciliationData[[#This Row],[Order_Date]],"YYYY-MM")</f>
        <v>2023-04</v>
      </c>
    </row>
    <row r="1134" spans="1:29">
      <c r="A1134" t="s">
        <v>3299</v>
      </c>
      <c r="B1134" s="1">
        <v>44963</v>
      </c>
      <c r="C1134" t="s">
        <v>767</v>
      </c>
      <c r="D1134" t="s">
        <v>1555</v>
      </c>
      <c r="E1134">
        <v>193</v>
      </c>
      <c r="F1134" t="s">
        <v>3300</v>
      </c>
      <c r="G1134">
        <v>193</v>
      </c>
      <c r="H1134">
        <v>825.4</v>
      </c>
      <c r="I1134">
        <v>10</v>
      </c>
      <c r="J1134" s="1">
        <v>45481</v>
      </c>
      <c r="N1134">
        <v>825.4</v>
      </c>
      <c r="O1134" s="1">
        <v>44712</v>
      </c>
      <c r="P1134">
        <f>IF(ISBLANK(ReconciliationData[[#This Row],[Invoice_ID]]),1,0)</f>
        <v>0</v>
      </c>
      <c r="Q1134">
        <f>IF(AND(NOT(ISBLANK(ReconciliationData[[#This Row],[Billed_Units]])),ReconciliationData[[#This Row],[ordered_units]]&lt;&gt;ReconciliationData[[#This Row],[Billed_Units]]),1,0)</f>
        <v>0</v>
      </c>
      <c r="R11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4">
        <f>IF(AND(NOT(ISBLANK(ReconciliationData[[#This Row],[Contract_Price]])),ReconciliationData[[#This Row],[Billed_Price]]&lt;&gt;ReconciliationData[[#This Row],[Contract_Price]]),1,0)</f>
        <v>0</v>
      </c>
      <c r="T1134">
        <f>IF(AND(NOT(ISBLANK(ReconciliationData[[#This Row],[End_Date]])),ReconciliationData[[#This Row],[Order_Date]]&gt;ReconciliationData[[#This Row],[End_Date]]),1,0)</f>
        <v>0</v>
      </c>
      <c r="U1134">
        <f>IF(AND(NOT(ISBLANK(ReconciliationData[[#This Row],[last_return_date]])),ReconciliationData[[#This Row],[last_return_date]]&gt;ReconciliationData[[#This Row],[Order_Date]]+60),1,0)</f>
        <v>1</v>
      </c>
      <c r="V1134">
        <f>IF(ReconciliationData[[#This Row],[total_returned_units]]&gt;ReconciliationData[[#This Row],[ordered_units]],1,0)</f>
        <v>0</v>
      </c>
      <c r="W11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34">
        <f>ReconciliationData[[#This Row],[Billed_Units]]*ReconciliationData[[#This Row],[Billed_Price]]</f>
        <v>159302.19999999998</v>
      </c>
      <c r="Y1134">
        <f>ReconciliationData[[#This Row],[ordered_units]]*ReconciliationData[[#This Row],[List_Price]]</f>
        <v>159302.19999999998</v>
      </c>
      <c r="Z1134">
        <f>ReconciliationData[[#This Row],[billed_revenue]]-ReconciliationData[[#This Row],[expected_revenue]]</f>
        <v>0</v>
      </c>
      <c r="AA11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34" t="str">
        <f>IF(ReconciliationData[[#This Row],[severity_score]]=0,"LOW",
 IF(ReconciliationData[[#This Row],[severity_score]]&lt;=5,"MEDIUM","HIGH"))</f>
        <v>MEDIUM</v>
      </c>
      <c r="AC1134" t="str">
        <f>TEXT(ReconciliationData[[#This Row],[Order_Date]],"YYYY-MM")</f>
        <v>2023-02</v>
      </c>
    </row>
    <row r="1135" spans="1:29">
      <c r="A1135" t="s">
        <v>3301</v>
      </c>
      <c r="B1135" s="1">
        <v>45161</v>
      </c>
      <c r="C1135" t="s">
        <v>1145</v>
      </c>
      <c r="D1135" t="s">
        <v>3006</v>
      </c>
      <c r="E1135">
        <v>100</v>
      </c>
      <c r="F1135" t="s">
        <v>3302</v>
      </c>
      <c r="G1135">
        <v>100</v>
      </c>
      <c r="H1135">
        <v>720.47380000000021</v>
      </c>
      <c r="I1135">
        <v>13</v>
      </c>
      <c r="J1135" s="1">
        <v>45683</v>
      </c>
      <c r="N1135">
        <v>720.47380000000021</v>
      </c>
      <c r="O1135" s="1">
        <v>45026</v>
      </c>
      <c r="P1135">
        <f>IF(ISBLANK(ReconciliationData[[#This Row],[Invoice_ID]]),1,0)</f>
        <v>0</v>
      </c>
      <c r="Q1135">
        <f>IF(AND(NOT(ISBLANK(ReconciliationData[[#This Row],[Billed_Units]])),ReconciliationData[[#This Row],[ordered_units]]&lt;&gt;ReconciliationData[[#This Row],[Billed_Units]]),1,0)</f>
        <v>0</v>
      </c>
      <c r="R11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5">
        <f>IF(AND(NOT(ISBLANK(ReconciliationData[[#This Row],[Contract_Price]])),ReconciliationData[[#This Row],[Billed_Price]]&lt;&gt;ReconciliationData[[#This Row],[Contract_Price]]),1,0)</f>
        <v>0</v>
      </c>
      <c r="T1135">
        <f>IF(AND(NOT(ISBLANK(ReconciliationData[[#This Row],[End_Date]])),ReconciliationData[[#This Row],[Order_Date]]&gt;ReconciliationData[[#This Row],[End_Date]]),1,0)</f>
        <v>0</v>
      </c>
      <c r="U1135">
        <f>IF(AND(NOT(ISBLANK(ReconciliationData[[#This Row],[last_return_date]])),ReconciliationData[[#This Row],[last_return_date]]&gt;ReconciliationData[[#This Row],[Order_Date]]+60),1,0)</f>
        <v>1</v>
      </c>
      <c r="V1135">
        <f>IF(ReconciliationData[[#This Row],[total_returned_units]]&gt;ReconciliationData[[#This Row],[ordered_units]],1,0)</f>
        <v>0</v>
      </c>
      <c r="W11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35">
        <f>ReconciliationData[[#This Row],[Billed_Units]]*ReconciliationData[[#This Row],[Billed_Price]]</f>
        <v>72047.380000000019</v>
      </c>
      <c r="Y1135">
        <f>ReconciliationData[[#This Row],[ordered_units]]*ReconciliationData[[#This Row],[List_Price]]</f>
        <v>72047.380000000019</v>
      </c>
      <c r="Z1135">
        <f>ReconciliationData[[#This Row],[billed_revenue]]-ReconciliationData[[#This Row],[expected_revenue]]</f>
        <v>0</v>
      </c>
      <c r="AA11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35" t="str">
        <f>IF(ReconciliationData[[#This Row],[severity_score]]=0,"LOW",
 IF(ReconciliationData[[#This Row],[severity_score]]&lt;=5,"MEDIUM","HIGH"))</f>
        <v>MEDIUM</v>
      </c>
      <c r="AC1135" t="str">
        <f>TEXT(ReconciliationData[[#This Row],[Order_Date]],"YYYY-MM")</f>
        <v>2023-08</v>
      </c>
    </row>
    <row r="1136" spans="1:29">
      <c r="A1136" t="s">
        <v>3303</v>
      </c>
      <c r="B1136" s="1">
        <v>45276</v>
      </c>
      <c r="C1136" t="s">
        <v>3304</v>
      </c>
      <c r="D1136" t="s">
        <v>722</v>
      </c>
      <c r="E1136">
        <v>106</v>
      </c>
      <c r="F1136" t="s">
        <v>3305</v>
      </c>
      <c r="G1136">
        <v>106</v>
      </c>
      <c r="H1136">
        <v>343.34190000000001</v>
      </c>
      <c r="N1136">
        <v>343.34190000000001</v>
      </c>
      <c r="O1136" s="1">
        <v>45126</v>
      </c>
      <c r="P1136">
        <f>IF(ISBLANK(ReconciliationData[[#This Row],[Invoice_ID]]),1,0)</f>
        <v>0</v>
      </c>
      <c r="Q1136">
        <f>IF(AND(NOT(ISBLANK(ReconciliationData[[#This Row],[Billed_Units]])),ReconciliationData[[#This Row],[ordered_units]]&lt;&gt;ReconciliationData[[#This Row],[Billed_Units]]),1,0)</f>
        <v>0</v>
      </c>
      <c r="R11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6">
        <f>IF(AND(NOT(ISBLANK(ReconciliationData[[#This Row],[Contract_Price]])),ReconciliationData[[#This Row],[Billed_Price]]&lt;&gt;ReconciliationData[[#This Row],[Contract_Price]]),1,0)</f>
        <v>0</v>
      </c>
      <c r="T1136">
        <f>IF(AND(NOT(ISBLANK(ReconciliationData[[#This Row],[End_Date]])),ReconciliationData[[#This Row],[Order_Date]]&gt;ReconciliationData[[#This Row],[End_Date]]),1,0)</f>
        <v>0</v>
      </c>
      <c r="U1136">
        <f>IF(AND(NOT(ISBLANK(ReconciliationData[[#This Row],[last_return_date]])),ReconciliationData[[#This Row],[last_return_date]]&gt;ReconciliationData[[#This Row],[Order_Date]]+60),1,0)</f>
        <v>0</v>
      </c>
      <c r="V1136">
        <f>IF(ReconciliationData[[#This Row],[total_returned_units]]&gt;ReconciliationData[[#This Row],[ordered_units]],1,0)</f>
        <v>0</v>
      </c>
      <c r="W11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36">
        <f>ReconciliationData[[#This Row],[Billed_Units]]*ReconciliationData[[#This Row],[Billed_Price]]</f>
        <v>36394.241399999999</v>
      </c>
      <c r="Y1136">
        <f>ReconciliationData[[#This Row],[ordered_units]]*ReconciliationData[[#This Row],[List_Price]]</f>
        <v>36394.241399999999</v>
      </c>
      <c r="Z1136">
        <f>ReconciliationData[[#This Row],[billed_revenue]]-ReconciliationData[[#This Row],[expected_revenue]]</f>
        <v>0</v>
      </c>
      <c r="AA11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36" t="str">
        <f>IF(ReconciliationData[[#This Row],[severity_score]]=0,"LOW",
 IF(ReconciliationData[[#This Row],[severity_score]]&lt;=5,"MEDIUM","HIGH"))</f>
        <v>LOW</v>
      </c>
      <c r="AC1136" t="str">
        <f>TEXT(ReconciliationData[[#This Row],[Order_Date]],"YYYY-MM")</f>
        <v>2023-12</v>
      </c>
    </row>
    <row r="1137" spans="1:29">
      <c r="A1137" t="s">
        <v>3306</v>
      </c>
      <c r="B1137" s="1">
        <v>45631</v>
      </c>
      <c r="C1137" t="s">
        <v>919</v>
      </c>
      <c r="D1137" t="s">
        <v>190</v>
      </c>
      <c r="E1137">
        <v>4</v>
      </c>
      <c r="F1137" t="s">
        <v>3307</v>
      </c>
      <c r="G1137">
        <v>4</v>
      </c>
      <c r="H1137">
        <v>265.44960000000003</v>
      </c>
      <c r="N1137">
        <v>265.44960000000003</v>
      </c>
      <c r="O1137" s="1">
        <v>44999</v>
      </c>
      <c r="P1137">
        <f>IF(ISBLANK(ReconciliationData[[#This Row],[Invoice_ID]]),1,0)</f>
        <v>0</v>
      </c>
      <c r="Q1137">
        <f>IF(AND(NOT(ISBLANK(ReconciliationData[[#This Row],[Billed_Units]])),ReconciliationData[[#This Row],[ordered_units]]&lt;&gt;ReconciliationData[[#This Row],[Billed_Units]]),1,0)</f>
        <v>0</v>
      </c>
      <c r="R11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7">
        <f>IF(AND(NOT(ISBLANK(ReconciliationData[[#This Row],[Contract_Price]])),ReconciliationData[[#This Row],[Billed_Price]]&lt;&gt;ReconciliationData[[#This Row],[Contract_Price]]),1,0)</f>
        <v>0</v>
      </c>
      <c r="T1137">
        <f>IF(AND(NOT(ISBLANK(ReconciliationData[[#This Row],[End_Date]])),ReconciliationData[[#This Row],[Order_Date]]&gt;ReconciliationData[[#This Row],[End_Date]]),1,0)</f>
        <v>0</v>
      </c>
      <c r="U1137">
        <f>IF(AND(NOT(ISBLANK(ReconciliationData[[#This Row],[last_return_date]])),ReconciliationData[[#This Row],[last_return_date]]&gt;ReconciliationData[[#This Row],[Order_Date]]+60),1,0)</f>
        <v>0</v>
      </c>
      <c r="V1137">
        <f>IF(ReconciliationData[[#This Row],[total_returned_units]]&gt;ReconciliationData[[#This Row],[ordered_units]],1,0)</f>
        <v>0</v>
      </c>
      <c r="W11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37">
        <f>ReconciliationData[[#This Row],[Billed_Units]]*ReconciliationData[[#This Row],[Billed_Price]]</f>
        <v>1061.7984000000001</v>
      </c>
      <c r="Y1137">
        <f>ReconciliationData[[#This Row],[ordered_units]]*ReconciliationData[[#This Row],[List_Price]]</f>
        <v>1061.7984000000001</v>
      </c>
      <c r="Z1137">
        <f>ReconciliationData[[#This Row],[billed_revenue]]-ReconciliationData[[#This Row],[expected_revenue]]</f>
        <v>0</v>
      </c>
      <c r="AA11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37" t="str">
        <f>IF(ReconciliationData[[#This Row],[severity_score]]=0,"LOW",
 IF(ReconciliationData[[#This Row],[severity_score]]&lt;=5,"MEDIUM","HIGH"))</f>
        <v>LOW</v>
      </c>
      <c r="AC1137" t="str">
        <f>TEXT(ReconciliationData[[#This Row],[Order_Date]],"YYYY-MM")</f>
        <v>2024-12</v>
      </c>
    </row>
    <row r="1138" spans="1:29">
      <c r="A1138" t="s">
        <v>3308</v>
      </c>
      <c r="B1138" s="1">
        <v>45531</v>
      </c>
      <c r="C1138" t="s">
        <v>3309</v>
      </c>
      <c r="D1138" t="s">
        <v>1555</v>
      </c>
      <c r="E1138">
        <v>14</v>
      </c>
      <c r="F1138" t="s">
        <v>3310</v>
      </c>
      <c r="G1138">
        <v>14</v>
      </c>
      <c r="H1138">
        <v>850.16200000000003</v>
      </c>
      <c r="N1138">
        <v>850.16200000000003</v>
      </c>
      <c r="O1138" s="1">
        <v>45099</v>
      </c>
      <c r="P1138">
        <f>IF(ISBLANK(ReconciliationData[[#This Row],[Invoice_ID]]),1,0)</f>
        <v>0</v>
      </c>
      <c r="Q1138">
        <f>IF(AND(NOT(ISBLANK(ReconciliationData[[#This Row],[Billed_Units]])),ReconciliationData[[#This Row],[ordered_units]]&lt;&gt;ReconciliationData[[#This Row],[Billed_Units]]),1,0)</f>
        <v>0</v>
      </c>
      <c r="R11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8">
        <f>IF(AND(NOT(ISBLANK(ReconciliationData[[#This Row],[Contract_Price]])),ReconciliationData[[#This Row],[Billed_Price]]&lt;&gt;ReconciliationData[[#This Row],[Contract_Price]]),1,0)</f>
        <v>0</v>
      </c>
      <c r="T1138">
        <f>IF(AND(NOT(ISBLANK(ReconciliationData[[#This Row],[End_Date]])),ReconciliationData[[#This Row],[Order_Date]]&gt;ReconciliationData[[#This Row],[End_Date]]),1,0)</f>
        <v>0</v>
      </c>
      <c r="U1138">
        <f>IF(AND(NOT(ISBLANK(ReconciliationData[[#This Row],[last_return_date]])),ReconciliationData[[#This Row],[last_return_date]]&gt;ReconciliationData[[#This Row],[Order_Date]]+60),1,0)</f>
        <v>0</v>
      </c>
      <c r="V1138">
        <f>IF(ReconciliationData[[#This Row],[total_returned_units]]&gt;ReconciliationData[[#This Row],[ordered_units]],1,0)</f>
        <v>0</v>
      </c>
      <c r="W11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38">
        <f>ReconciliationData[[#This Row],[Billed_Units]]*ReconciliationData[[#This Row],[Billed_Price]]</f>
        <v>11902.268</v>
      </c>
      <c r="Y1138">
        <f>ReconciliationData[[#This Row],[ordered_units]]*ReconciliationData[[#This Row],[List_Price]]</f>
        <v>11902.268</v>
      </c>
      <c r="Z1138">
        <f>ReconciliationData[[#This Row],[billed_revenue]]-ReconciliationData[[#This Row],[expected_revenue]]</f>
        <v>0</v>
      </c>
      <c r="AA11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38" t="str">
        <f>IF(ReconciliationData[[#This Row],[severity_score]]=0,"LOW",
 IF(ReconciliationData[[#This Row],[severity_score]]&lt;=5,"MEDIUM","HIGH"))</f>
        <v>LOW</v>
      </c>
      <c r="AC1138" t="str">
        <f>TEXT(ReconciliationData[[#This Row],[Order_Date]],"YYYY-MM")</f>
        <v>2024-08</v>
      </c>
    </row>
    <row r="1139" spans="1:29">
      <c r="A1139" t="s">
        <v>3311</v>
      </c>
      <c r="B1139" s="1">
        <v>44985</v>
      </c>
      <c r="C1139" t="s">
        <v>193</v>
      </c>
      <c r="D1139" t="s">
        <v>198</v>
      </c>
      <c r="E1139">
        <v>59</v>
      </c>
      <c r="F1139" t="s">
        <v>3312</v>
      </c>
      <c r="G1139">
        <v>59</v>
      </c>
      <c r="H1139">
        <v>82.752600000000001</v>
      </c>
      <c r="I1139">
        <v>16</v>
      </c>
      <c r="J1139" s="1">
        <v>45118</v>
      </c>
      <c r="N1139">
        <v>82.752600000000001</v>
      </c>
      <c r="O1139" s="1">
        <v>44830</v>
      </c>
      <c r="P1139">
        <f>IF(ISBLANK(ReconciliationData[[#This Row],[Invoice_ID]]),1,0)</f>
        <v>0</v>
      </c>
      <c r="Q1139">
        <f>IF(AND(NOT(ISBLANK(ReconciliationData[[#This Row],[Billed_Units]])),ReconciliationData[[#This Row],[ordered_units]]&lt;&gt;ReconciliationData[[#This Row],[Billed_Units]]),1,0)</f>
        <v>0</v>
      </c>
      <c r="R11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39">
        <f>IF(AND(NOT(ISBLANK(ReconciliationData[[#This Row],[Contract_Price]])),ReconciliationData[[#This Row],[Billed_Price]]&lt;&gt;ReconciliationData[[#This Row],[Contract_Price]]),1,0)</f>
        <v>0</v>
      </c>
      <c r="T1139">
        <f>IF(AND(NOT(ISBLANK(ReconciliationData[[#This Row],[End_Date]])),ReconciliationData[[#This Row],[Order_Date]]&gt;ReconciliationData[[#This Row],[End_Date]]),1,0)</f>
        <v>0</v>
      </c>
      <c r="U1139">
        <f>IF(AND(NOT(ISBLANK(ReconciliationData[[#This Row],[last_return_date]])),ReconciliationData[[#This Row],[last_return_date]]&gt;ReconciliationData[[#This Row],[Order_Date]]+60),1,0)</f>
        <v>1</v>
      </c>
      <c r="V1139">
        <f>IF(ReconciliationData[[#This Row],[total_returned_units]]&gt;ReconciliationData[[#This Row],[ordered_units]],1,0)</f>
        <v>0</v>
      </c>
      <c r="W11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39">
        <f>ReconciliationData[[#This Row],[Billed_Units]]*ReconciliationData[[#This Row],[Billed_Price]]</f>
        <v>4882.4034000000001</v>
      </c>
      <c r="Y1139">
        <f>ReconciliationData[[#This Row],[ordered_units]]*ReconciliationData[[#This Row],[List_Price]]</f>
        <v>4882.4034000000001</v>
      </c>
      <c r="Z1139">
        <f>ReconciliationData[[#This Row],[billed_revenue]]-ReconciliationData[[#This Row],[expected_revenue]]</f>
        <v>0</v>
      </c>
      <c r="AA11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39" t="str">
        <f>IF(ReconciliationData[[#This Row],[severity_score]]=0,"LOW",
 IF(ReconciliationData[[#This Row],[severity_score]]&lt;=5,"MEDIUM","HIGH"))</f>
        <v>MEDIUM</v>
      </c>
      <c r="AC1139" t="str">
        <f>TEXT(ReconciliationData[[#This Row],[Order_Date]],"YYYY-MM")</f>
        <v>2023-02</v>
      </c>
    </row>
    <row r="1140" spans="1:29">
      <c r="A1140" t="s">
        <v>3313</v>
      </c>
      <c r="B1140" s="1">
        <v>45047</v>
      </c>
      <c r="C1140" t="s">
        <v>3314</v>
      </c>
      <c r="D1140" t="s">
        <v>1142</v>
      </c>
      <c r="E1140">
        <v>18</v>
      </c>
      <c r="F1140" t="s">
        <v>3315</v>
      </c>
      <c r="G1140">
        <v>18</v>
      </c>
      <c r="H1140">
        <v>624.37260000000003</v>
      </c>
      <c r="N1140">
        <v>624.37260000000003</v>
      </c>
      <c r="O1140" s="1">
        <v>44932</v>
      </c>
      <c r="P1140">
        <f>IF(ISBLANK(ReconciliationData[[#This Row],[Invoice_ID]]),1,0)</f>
        <v>0</v>
      </c>
      <c r="Q1140">
        <f>IF(AND(NOT(ISBLANK(ReconciliationData[[#This Row],[Billed_Units]])),ReconciliationData[[#This Row],[ordered_units]]&lt;&gt;ReconciliationData[[#This Row],[Billed_Units]]),1,0)</f>
        <v>0</v>
      </c>
      <c r="R11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0">
        <f>IF(AND(NOT(ISBLANK(ReconciliationData[[#This Row],[Contract_Price]])),ReconciliationData[[#This Row],[Billed_Price]]&lt;&gt;ReconciliationData[[#This Row],[Contract_Price]]),1,0)</f>
        <v>0</v>
      </c>
      <c r="T1140">
        <f>IF(AND(NOT(ISBLANK(ReconciliationData[[#This Row],[End_Date]])),ReconciliationData[[#This Row],[Order_Date]]&gt;ReconciliationData[[#This Row],[End_Date]]),1,0)</f>
        <v>0</v>
      </c>
      <c r="U1140">
        <f>IF(AND(NOT(ISBLANK(ReconciliationData[[#This Row],[last_return_date]])),ReconciliationData[[#This Row],[last_return_date]]&gt;ReconciliationData[[#This Row],[Order_Date]]+60),1,0)</f>
        <v>0</v>
      </c>
      <c r="V1140">
        <f>IF(ReconciliationData[[#This Row],[total_returned_units]]&gt;ReconciliationData[[#This Row],[ordered_units]],1,0)</f>
        <v>0</v>
      </c>
      <c r="W11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40">
        <f>ReconciliationData[[#This Row],[Billed_Units]]*ReconciliationData[[#This Row],[Billed_Price]]</f>
        <v>11238.7068</v>
      </c>
      <c r="Y1140">
        <f>ReconciliationData[[#This Row],[ordered_units]]*ReconciliationData[[#This Row],[List_Price]]</f>
        <v>11238.7068</v>
      </c>
      <c r="Z1140">
        <f>ReconciliationData[[#This Row],[billed_revenue]]-ReconciliationData[[#This Row],[expected_revenue]]</f>
        <v>0</v>
      </c>
      <c r="AA11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40" t="str">
        <f>IF(ReconciliationData[[#This Row],[severity_score]]=0,"LOW",
 IF(ReconciliationData[[#This Row],[severity_score]]&lt;=5,"MEDIUM","HIGH"))</f>
        <v>LOW</v>
      </c>
      <c r="AC1140" t="str">
        <f>TEXT(ReconciliationData[[#This Row],[Order_Date]],"YYYY-MM")</f>
        <v>2023-05</v>
      </c>
    </row>
    <row r="1141" spans="1:29">
      <c r="A1141" t="s">
        <v>3316</v>
      </c>
      <c r="B1141" s="1">
        <v>45316</v>
      </c>
      <c r="C1141" t="s">
        <v>3160</v>
      </c>
      <c r="D1141" t="s">
        <v>1491</v>
      </c>
      <c r="E1141">
        <v>37</v>
      </c>
      <c r="F1141" t="s">
        <v>3317</v>
      </c>
      <c r="G1141">
        <v>37</v>
      </c>
      <c r="H1141">
        <v>919.86659999999995</v>
      </c>
      <c r="N1141">
        <v>919.86659999999995</v>
      </c>
      <c r="O1141" s="1">
        <v>45108</v>
      </c>
      <c r="P1141">
        <f>IF(ISBLANK(ReconciliationData[[#This Row],[Invoice_ID]]),1,0)</f>
        <v>0</v>
      </c>
      <c r="Q1141">
        <f>IF(AND(NOT(ISBLANK(ReconciliationData[[#This Row],[Billed_Units]])),ReconciliationData[[#This Row],[ordered_units]]&lt;&gt;ReconciliationData[[#This Row],[Billed_Units]]),1,0)</f>
        <v>0</v>
      </c>
      <c r="R11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1">
        <f>IF(AND(NOT(ISBLANK(ReconciliationData[[#This Row],[Contract_Price]])),ReconciliationData[[#This Row],[Billed_Price]]&lt;&gt;ReconciliationData[[#This Row],[Contract_Price]]),1,0)</f>
        <v>0</v>
      </c>
      <c r="T1141">
        <f>IF(AND(NOT(ISBLANK(ReconciliationData[[#This Row],[End_Date]])),ReconciliationData[[#This Row],[Order_Date]]&gt;ReconciliationData[[#This Row],[End_Date]]),1,0)</f>
        <v>0</v>
      </c>
      <c r="U1141">
        <f>IF(AND(NOT(ISBLANK(ReconciliationData[[#This Row],[last_return_date]])),ReconciliationData[[#This Row],[last_return_date]]&gt;ReconciliationData[[#This Row],[Order_Date]]+60),1,0)</f>
        <v>0</v>
      </c>
      <c r="V1141">
        <f>IF(ReconciliationData[[#This Row],[total_returned_units]]&gt;ReconciliationData[[#This Row],[ordered_units]],1,0)</f>
        <v>0</v>
      </c>
      <c r="W11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41">
        <f>ReconciliationData[[#This Row],[Billed_Units]]*ReconciliationData[[#This Row],[Billed_Price]]</f>
        <v>34035.064200000001</v>
      </c>
      <c r="Y1141">
        <f>ReconciliationData[[#This Row],[ordered_units]]*ReconciliationData[[#This Row],[List_Price]]</f>
        <v>34035.064200000001</v>
      </c>
      <c r="Z1141">
        <f>ReconciliationData[[#This Row],[billed_revenue]]-ReconciliationData[[#This Row],[expected_revenue]]</f>
        <v>0</v>
      </c>
      <c r="AA11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41" t="str">
        <f>IF(ReconciliationData[[#This Row],[severity_score]]=0,"LOW",
 IF(ReconciliationData[[#This Row],[severity_score]]&lt;=5,"MEDIUM","HIGH"))</f>
        <v>LOW</v>
      </c>
      <c r="AC1141" t="str">
        <f>TEXT(ReconciliationData[[#This Row],[Order_Date]],"YYYY-MM")</f>
        <v>2024-01</v>
      </c>
    </row>
    <row r="1142" spans="1:29">
      <c r="A1142" t="s">
        <v>3318</v>
      </c>
      <c r="B1142" s="1">
        <v>45477</v>
      </c>
      <c r="C1142" t="s">
        <v>986</v>
      </c>
      <c r="D1142" t="s">
        <v>461</v>
      </c>
      <c r="E1142">
        <v>143</v>
      </c>
      <c r="F1142" t="s">
        <v>3319</v>
      </c>
      <c r="G1142">
        <v>143</v>
      </c>
      <c r="H1142">
        <v>1114.2336</v>
      </c>
      <c r="I1142">
        <v>14</v>
      </c>
      <c r="J1142" s="1">
        <v>45155</v>
      </c>
      <c r="N1142">
        <v>1114.2336</v>
      </c>
      <c r="O1142" s="1">
        <v>45141</v>
      </c>
      <c r="P1142">
        <f>IF(ISBLANK(ReconciliationData[[#This Row],[Invoice_ID]]),1,0)</f>
        <v>0</v>
      </c>
      <c r="Q1142">
        <f>IF(AND(NOT(ISBLANK(ReconciliationData[[#This Row],[Billed_Units]])),ReconciliationData[[#This Row],[ordered_units]]&lt;&gt;ReconciliationData[[#This Row],[Billed_Units]]),1,0)</f>
        <v>0</v>
      </c>
      <c r="R11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2">
        <f>IF(AND(NOT(ISBLANK(ReconciliationData[[#This Row],[Contract_Price]])),ReconciliationData[[#This Row],[Billed_Price]]&lt;&gt;ReconciliationData[[#This Row],[Contract_Price]]),1,0)</f>
        <v>0</v>
      </c>
      <c r="T1142">
        <f>IF(AND(NOT(ISBLANK(ReconciliationData[[#This Row],[End_Date]])),ReconciliationData[[#This Row],[Order_Date]]&gt;ReconciliationData[[#This Row],[End_Date]]),1,0)</f>
        <v>0</v>
      </c>
      <c r="U1142">
        <f>IF(AND(NOT(ISBLANK(ReconciliationData[[#This Row],[last_return_date]])),ReconciliationData[[#This Row],[last_return_date]]&gt;ReconciliationData[[#This Row],[Order_Date]]+60),1,0)</f>
        <v>0</v>
      </c>
      <c r="V1142">
        <f>IF(ReconciliationData[[#This Row],[total_returned_units]]&gt;ReconciliationData[[#This Row],[ordered_units]],1,0)</f>
        <v>0</v>
      </c>
      <c r="W11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42">
        <f>ReconciliationData[[#This Row],[Billed_Units]]*ReconciliationData[[#This Row],[Billed_Price]]</f>
        <v>159335.40479999999</v>
      </c>
      <c r="Y1142">
        <f>ReconciliationData[[#This Row],[ordered_units]]*ReconciliationData[[#This Row],[List_Price]]</f>
        <v>159335.40479999999</v>
      </c>
      <c r="Z1142">
        <f>ReconciliationData[[#This Row],[billed_revenue]]-ReconciliationData[[#This Row],[expected_revenue]]</f>
        <v>0</v>
      </c>
      <c r="AA11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42" t="str">
        <f>IF(ReconciliationData[[#This Row],[severity_score]]=0,"LOW",
 IF(ReconciliationData[[#This Row],[severity_score]]&lt;=5,"MEDIUM","HIGH"))</f>
        <v>LOW</v>
      </c>
      <c r="AC1142" t="str">
        <f>TEXT(ReconciliationData[[#This Row],[Order_Date]],"YYYY-MM")</f>
        <v>2024-07</v>
      </c>
    </row>
    <row r="1143" spans="1:29">
      <c r="A1143" t="s">
        <v>3320</v>
      </c>
      <c r="B1143" s="1">
        <v>44950</v>
      </c>
      <c r="C1143" t="s">
        <v>673</v>
      </c>
      <c r="D1143" t="s">
        <v>3006</v>
      </c>
      <c r="E1143">
        <v>60</v>
      </c>
      <c r="F1143" t="s">
        <v>3321</v>
      </c>
      <c r="G1143">
        <v>60</v>
      </c>
      <c r="H1143">
        <v>680.07339999999999</v>
      </c>
      <c r="N1143">
        <v>680.07339999999999</v>
      </c>
      <c r="O1143" s="1">
        <v>44887</v>
      </c>
      <c r="P1143">
        <f>IF(ISBLANK(ReconciliationData[[#This Row],[Invoice_ID]]),1,0)</f>
        <v>0</v>
      </c>
      <c r="Q1143">
        <f>IF(AND(NOT(ISBLANK(ReconciliationData[[#This Row],[Billed_Units]])),ReconciliationData[[#This Row],[ordered_units]]&lt;&gt;ReconciliationData[[#This Row],[Billed_Units]]),1,0)</f>
        <v>0</v>
      </c>
      <c r="R11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3">
        <f>IF(AND(NOT(ISBLANK(ReconciliationData[[#This Row],[Contract_Price]])),ReconciliationData[[#This Row],[Billed_Price]]&lt;&gt;ReconciliationData[[#This Row],[Contract_Price]]),1,0)</f>
        <v>0</v>
      </c>
      <c r="T1143">
        <f>IF(AND(NOT(ISBLANK(ReconciliationData[[#This Row],[End_Date]])),ReconciliationData[[#This Row],[Order_Date]]&gt;ReconciliationData[[#This Row],[End_Date]]),1,0)</f>
        <v>0</v>
      </c>
      <c r="U1143">
        <f>IF(AND(NOT(ISBLANK(ReconciliationData[[#This Row],[last_return_date]])),ReconciliationData[[#This Row],[last_return_date]]&gt;ReconciliationData[[#This Row],[Order_Date]]+60),1,0)</f>
        <v>0</v>
      </c>
      <c r="V1143">
        <f>IF(ReconciliationData[[#This Row],[total_returned_units]]&gt;ReconciliationData[[#This Row],[ordered_units]],1,0)</f>
        <v>0</v>
      </c>
      <c r="W11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43">
        <f>ReconciliationData[[#This Row],[Billed_Units]]*ReconciliationData[[#This Row],[Billed_Price]]</f>
        <v>40804.404000000002</v>
      </c>
      <c r="Y1143">
        <f>ReconciliationData[[#This Row],[ordered_units]]*ReconciliationData[[#This Row],[List_Price]]</f>
        <v>40804.404000000002</v>
      </c>
      <c r="Z1143">
        <f>ReconciliationData[[#This Row],[billed_revenue]]-ReconciliationData[[#This Row],[expected_revenue]]</f>
        <v>0</v>
      </c>
      <c r="AA11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43" t="str">
        <f>IF(ReconciliationData[[#This Row],[severity_score]]=0,"LOW",
 IF(ReconciliationData[[#This Row],[severity_score]]&lt;=5,"MEDIUM","HIGH"))</f>
        <v>LOW</v>
      </c>
      <c r="AC1143" t="str">
        <f>TEXT(ReconciliationData[[#This Row],[Order_Date]],"YYYY-MM")</f>
        <v>2023-01</v>
      </c>
    </row>
    <row r="1144" spans="1:29">
      <c r="A1144" t="s">
        <v>3322</v>
      </c>
      <c r="B1144" s="1">
        <v>45426</v>
      </c>
      <c r="C1144" t="s">
        <v>3323</v>
      </c>
      <c r="D1144" t="s">
        <v>295</v>
      </c>
      <c r="E1144">
        <v>50</v>
      </c>
      <c r="F1144" t="s">
        <v>3324</v>
      </c>
      <c r="G1144">
        <v>50</v>
      </c>
      <c r="H1144">
        <v>862.73640000000012</v>
      </c>
      <c r="N1144">
        <v>862.73640000000012</v>
      </c>
      <c r="O1144" s="1">
        <v>45223</v>
      </c>
      <c r="P1144">
        <f>IF(ISBLANK(ReconciliationData[[#This Row],[Invoice_ID]]),1,0)</f>
        <v>0</v>
      </c>
      <c r="Q1144">
        <f>IF(AND(NOT(ISBLANK(ReconciliationData[[#This Row],[Billed_Units]])),ReconciliationData[[#This Row],[ordered_units]]&lt;&gt;ReconciliationData[[#This Row],[Billed_Units]]),1,0)</f>
        <v>0</v>
      </c>
      <c r="R11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4">
        <f>IF(AND(NOT(ISBLANK(ReconciliationData[[#This Row],[Contract_Price]])),ReconciliationData[[#This Row],[Billed_Price]]&lt;&gt;ReconciliationData[[#This Row],[Contract_Price]]),1,0)</f>
        <v>0</v>
      </c>
      <c r="T1144">
        <f>IF(AND(NOT(ISBLANK(ReconciliationData[[#This Row],[End_Date]])),ReconciliationData[[#This Row],[Order_Date]]&gt;ReconciliationData[[#This Row],[End_Date]]),1,0)</f>
        <v>0</v>
      </c>
      <c r="U1144">
        <f>IF(AND(NOT(ISBLANK(ReconciliationData[[#This Row],[last_return_date]])),ReconciliationData[[#This Row],[last_return_date]]&gt;ReconciliationData[[#This Row],[Order_Date]]+60),1,0)</f>
        <v>0</v>
      </c>
      <c r="V1144">
        <f>IF(ReconciliationData[[#This Row],[total_returned_units]]&gt;ReconciliationData[[#This Row],[ordered_units]],1,0)</f>
        <v>0</v>
      </c>
      <c r="W11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44">
        <f>ReconciliationData[[#This Row],[Billed_Units]]*ReconciliationData[[#This Row],[Billed_Price]]</f>
        <v>43136.820000000007</v>
      </c>
      <c r="Y1144">
        <f>ReconciliationData[[#This Row],[ordered_units]]*ReconciliationData[[#This Row],[List_Price]]</f>
        <v>43136.820000000007</v>
      </c>
      <c r="Z1144">
        <f>ReconciliationData[[#This Row],[billed_revenue]]-ReconciliationData[[#This Row],[expected_revenue]]</f>
        <v>0</v>
      </c>
      <c r="AA11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44" t="str">
        <f>IF(ReconciliationData[[#This Row],[severity_score]]=0,"LOW",
 IF(ReconciliationData[[#This Row],[severity_score]]&lt;=5,"MEDIUM","HIGH"))</f>
        <v>LOW</v>
      </c>
      <c r="AC1144" t="str">
        <f>TEXT(ReconciliationData[[#This Row],[Order_Date]],"YYYY-MM")</f>
        <v>2024-05</v>
      </c>
    </row>
    <row r="1145" spans="1:29">
      <c r="A1145" t="s">
        <v>3325</v>
      </c>
      <c r="B1145" s="1">
        <v>45260</v>
      </c>
      <c r="C1145" t="s">
        <v>3326</v>
      </c>
      <c r="D1145" t="s">
        <v>814</v>
      </c>
      <c r="E1145">
        <v>23</v>
      </c>
      <c r="F1145" t="s">
        <v>3327</v>
      </c>
      <c r="G1145">
        <v>23</v>
      </c>
      <c r="H1145">
        <v>521.54959999999994</v>
      </c>
      <c r="N1145">
        <v>521.54959999999994</v>
      </c>
      <c r="O1145" s="1">
        <v>44994</v>
      </c>
      <c r="P1145">
        <f>IF(ISBLANK(ReconciliationData[[#This Row],[Invoice_ID]]),1,0)</f>
        <v>0</v>
      </c>
      <c r="Q1145">
        <f>IF(AND(NOT(ISBLANK(ReconciliationData[[#This Row],[Billed_Units]])),ReconciliationData[[#This Row],[ordered_units]]&lt;&gt;ReconciliationData[[#This Row],[Billed_Units]]),1,0)</f>
        <v>0</v>
      </c>
      <c r="R11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5">
        <f>IF(AND(NOT(ISBLANK(ReconciliationData[[#This Row],[Contract_Price]])),ReconciliationData[[#This Row],[Billed_Price]]&lt;&gt;ReconciliationData[[#This Row],[Contract_Price]]),1,0)</f>
        <v>0</v>
      </c>
      <c r="T1145">
        <f>IF(AND(NOT(ISBLANK(ReconciliationData[[#This Row],[End_Date]])),ReconciliationData[[#This Row],[Order_Date]]&gt;ReconciliationData[[#This Row],[End_Date]]),1,0)</f>
        <v>0</v>
      </c>
      <c r="U1145">
        <f>IF(AND(NOT(ISBLANK(ReconciliationData[[#This Row],[last_return_date]])),ReconciliationData[[#This Row],[last_return_date]]&gt;ReconciliationData[[#This Row],[Order_Date]]+60),1,0)</f>
        <v>0</v>
      </c>
      <c r="V1145">
        <f>IF(ReconciliationData[[#This Row],[total_returned_units]]&gt;ReconciliationData[[#This Row],[ordered_units]],1,0)</f>
        <v>0</v>
      </c>
      <c r="W11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45">
        <f>ReconciliationData[[#This Row],[Billed_Units]]*ReconciliationData[[#This Row],[Billed_Price]]</f>
        <v>11995.640799999999</v>
      </c>
      <c r="Y1145">
        <f>ReconciliationData[[#This Row],[ordered_units]]*ReconciliationData[[#This Row],[List_Price]]</f>
        <v>11995.640799999999</v>
      </c>
      <c r="Z1145">
        <f>ReconciliationData[[#This Row],[billed_revenue]]-ReconciliationData[[#This Row],[expected_revenue]]</f>
        <v>0</v>
      </c>
      <c r="AA11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45" t="str">
        <f>IF(ReconciliationData[[#This Row],[severity_score]]=0,"LOW",
 IF(ReconciliationData[[#This Row],[severity_score]]&lt;=5,"MEDIUM","HIGH"))</f>
        <v>LOW</v>
      </c>
      <c r="AC1145" t="str">
        <f>TEXT(ReconciliationData[[#This Row],[Order_Date]],"YYYY-MM")</f>
        <v>2023-11</v>
      </c>
    </row>
    <row r="1146" spans="1:29">
      <c r="A1146" t="s">
        <v>3328</v>
      </c>
      <c r="B1146" s="1">
        <v>45460</v>
      </c>
      <c r="C1146" t="s">
        <v>1403</v>
      </c>
      <c r="D1146" t="s">
        <v>299</v>
      </c>
      <c r="E1146">
        <v>142</v>
      </c>
      <c r="F1146" t="s">
        <v>3329</v>
      </c>
      <c r="G1146">
        <v>142</v>
      </c>
      <c r="H1146">
        <v>182.4273</v>
      </c>
      <c r="N1146">
        <v>182.4273</v>
      </c>
      <c r="O1146" s="1">
        <v>44989</v>
      </c>
      <c r="P1146">
        <f>IF(ISBLANK(ReconciliationData[[#This Row],[Invoice_ID]]),1,0)</f>
        <v>0</v>
      </c>
      <c r="Q1146">
        <f>IF(AND(NOT(ISBLANK(ReconciliationData[[#This Row],[Billed_Units]])),ReconciliationData[[#This Row],[ordered_units]]&lt;&gt;ReconciliationData[[#This Row],[Billed_Units]]),1,0)</f>
        <v>0</v>
      </c>
      <c r="R11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6">
        <f>IF(AND(NOT(ISBLANK(ReconciliationData[[#This Row],[Contract_Price]])),ReconciliationData[[#This Row],[Billed_Price]]&lt;&gt;ReconciliationData[[#This Row],[Contract_Price]]),1,0)</f>
        <v>0</v>
      </c>
      <c r="T1146">
        <f>IF(AND(NOT(ISBLANK(ReconciliationData[[#This Row],[End_Date]])),ReconciliationData[[#This Row],[Order_Date]]&gt;ReconciliationData[[#This Row],[End_Date]]),1,0)</f>
        <v>0</v>
      </c>
      <c r="U1146">
        <f>IF(AND(NOT(ISBLANK(ReconciliationData[[#This Row],[last_return_date]])),ReconciliationData[[#This Row],[last_return_date]]&gt;ReconciliationData[[#This Row],[Order_Date]]+60),1,0)</f>
        <v>0</v>
      </c>
      <c r="V1146">
        <f>IF(ReconciliationData[[#This Row],[total_returned_units]]&gt;ReconciliationData[[#This Row],[ordered_units]],1,0)</f>
        <v>0</v>
      </c>
      <c r="W11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46">
        <f>ReconciliationData[[#This Row],[Billed_Units]]*ReconciliationData[[#This Row],[Billed_Price]]</f>
        <v>25904.676599999999</v>
      </c>
      <c r="Y1146">
        <f>ReconciliationData[[#This Row],[ordered_units]]*ReconciliationData[[#This Row],[List_Price]]</f>
        <v>25904.676599999999</v>
      </c>
      <c r="Z1146">
        <f>ReconciliationData[[#This Row],[billed_revenue]]-ReconciliationData[[#This Row],[expected_revenue]]</f>
        <v>0</v>
      </c>
      <c r="AA11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46" t="str">
        <f>IF(ReconciliationData[[#This Row],[severity_score]]=0,"LOW",
 IF(ReconciliationData[[#This Row],[severity_score]]&lt;=5,"MEDIUM","HIGH"))</f>
        <v>LOW</v>
      </c>
      <c r="AC1146" t="str">
        <f>TEXT(ReconciliationData[[#This Row],[Order_Date]],"YYYY-MM")</f>
        <v>2024-06</v>
      </c>
    </row>
    <row r="1147" spans="1:29">
      <c r="A1147" t="s">
        <v>3330</v>
      </c>
      <c r="B1147" s="1">
        <v>45054</v>
      </c>
      <c r="C1147" t="s">
        <v>1161</v>
      </c>
      <c r="D1147" t="s">
        <v>923</v>
      </c>
      <c r="E1147">
        <v>27</v>
      </c>
      <c r="F1147" t="s">
        <v>3331</v>
      </c>
      <c r="G1147">
        <v>27</v>
      </c>
      <c r="H1147">
        <v>732.452</v>
      </c>
      <c r="N1147">
        <v>732.452</v>
      </c>
      <c r="O1147" s="1">
        <v>44941</v>
      </c>
      <c r="P1147">
        <f>IF(ISBLANK(ReconciliationData[[#This Row],[Invoice_ID]]),1,0)</f>
        <v>0</v>
      </c>
      <c r="Q1147">
        <f>IF(AND(NOT(ISBLANK(ReconciliationData[[#This Row],[Billed_Units]])),ReconciliationData[[#This Row],[ordered_units]]&lt;&gt;ReconciliationData[[#This Row],[Billed_Units]]),1,0)</f>
        <v>0</v>
      </c>
      <c r="R11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7">
        <f>IF(AND(NOT(ISBLANK(ReconciliationData[[#This Row],[Contract_Price]])),ReconciliationData[[#This Row],[Billed_Price]]&lt;&gt;ReconciliationData[[#This Row],[Contract_Price]]),1,0)</f>
        <v>0</v>
      </c>
      <c r="T1147">
        <f>IF(AND(NOT(ISBLANK(ReconciliationData[[#This Row],[End_Date]])),ReconciliationData[[#This Row],[Order_Date]]&gt;ReconciliationData[[#This Row],[End_Date]]),1,0)</f>
        <v>0</v>
      </c>
      <c r="U1147">
        <f>IF(AND(NOT(ISBLANK(ReconciliationData[[#This Row],[last_return_date]])),ReconciliationData[[#This Row],[last_return_date]]&gt;ReconciliationData[[#This Row],[Order_Date]]+60),1,0)</f>
        <v>0</v>
      </c>
      <c r="V1147">
        <f>IF(ReconciliationData[[#This Row],[total_returned_units]]&gt;ReconciliationData[[#This Row],[ordered_units]],1,0)</f>
        <v>0</v>
      </c>
      <c r="W11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47">
        <f>ReconciliationData[[#This Row],[Billed_Units]]*ReconciliationData[[#This Row],[Billed_Price]]</f>
        <v>19776.204000000002</v>
      </c>
      <c r="Y1147">
        <f>ReconciliationData[[#This Row],[ordered_units]]*ReconciliationData[[#This Row],[List_Price]]</f>
        <v>19776.204000000002</v>
      </c>
      <c r="Z1147">
        <f>ReconciliationData[[#This Row],[billed_revenue]]-ReconciliationData[[#This Row],[expected_revenue]]</f>
        <v>0</v>
      </c>
      <c r="AA11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47" t="str">
        <f>IF(ReconciliationData[[#This Row],[severity_score]]=0,"LOW",
 IF(ReconciliationData[[#This Row],[severity_score]]&lt;=5,"MEDIUM","HIGH"))</f>
        <v>LOW</v>
      </c>
      <c r="AC1147" t="str">
        <f>TEXT(ReconciliationData[[#This Row],[Order_Date]],"YYYY-MM")</f>
        <v>2023-05</v>
      </c>
    </row>
    <row r="1148" spans="1:29">
      <c r="A1148" t="s">
        <v>3332</v>
      </c>
      <c r="B1148" s="1">
        <v>45224</v>
      </c>
      <c r="C1148" t="s">
        <v>915</v>
      </c>
      <c r="D1148" t="s">
        <v>1933</v>
      </c>
      <c r="E1148">
        <v>142</v>
      </c>
      <c r="F1148" t="s">
        <v>3333</v>
      </c>
      <c r="G1148">
        <v>142</v>
      </c>
      <c r="H1148">
        <v>571.49840000000006</v>
      </c>
      <c r="I1148">
        <v>4</v>
      </c>
      <c r="J1148" s="1">
        <v>45639</v>
      </c>
      <c r="N1148">
        <v>571.49840000000006</v>
      </c>
      <c r="O1148" s="1">
        <v>45071</v>
      </c>
      <c r="P1148">
        <f>IF(ISBLANK(ReconciliationData[[#This Row],[Invoice_ID]]),1,0)</f>
        <v>0</v>
      </c>
      <c r="Q1148">
        <f>IF(AND(NOT(ISBLANK(ReconciliationData[[#This Row],[Billed_Units]])),ReconciliationData[[#This Row],[ordered_units]]&lt;&gt;ReconciliationData[[#This Row],[Billed_Units]]),1,0)</f>
        <v>0</v>
      </c>
      <c r="R11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8">
        <f>IF(AND(NOT(ISBLANK(ReconciliationData[[#This Row],[Contract_Price]])),ReconciliationData[[#This Row],[Billed_Price]]&lt;&gt;ReconciliationData[[#This Row],[Contract_Price]]),1,0)</f>
        <v>0</v>
      </c>
      <c r="T1148">
        <f>IF(AND(NOT(ISBLANK(ReconciliationData[[#This Row],[End_Date]])),ReconciliationData[[#This Row],[Order_Date]]&gt;ReconciliationData[[#This Row],[End_Date]]),1,0)</f>
        <v>0</v>
      </c>
      <c r="U1148">
        <f>IF(AND(NOT(ISBLANK(ReconciliationData[[#This Row],[last_return_date]])),ReconciliationData[[#This Row],[last_return_date]]&gt;ReconciliationData[[#This Row],[Order_Date]]+60),1,0)</f>
        <v>1</v>
      </c>
      <c r="V1148">
        <f>IF(ReconciliationData[[#This Row],[total_returned_units]]&gt;ReconciliationData[[#This Row],[ordered_units]],1,0)</f>
        <v>0</v>
      </c>
      <c r="W11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48">
        <f>ReconciliationData[[#This Row],[Billed_Units]]*ReconciliationData[[#This Row],[Billed_Price]]</f>
        <v>81152.772800000006</v>
      </c>
      <c r="Y1148">
        <f>ReconciliationData[[#This Row],[ordered_units]]*ReconciliationData[[#This Row],[List_Price]]</f>
        <v>81152.772800000006</v>
      </c>
      <c r="Z1148">
        <f>ReconciliationData[[#This Row],[billed_revenue]]-ReconciliationData[[#This Row],[expected_revenue]]</f>
        <v>0</v>
      </c>
      <c r="AA11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48" t="str">
        <f>IF(ReconciliationData[[#This Row],[severity_score]]=0,"LOW",
 IF(ReconciliationData[[#This Row],[severity_score]]&lt;=5,"MEDIUM","HIGH"))</f>
        <v>MEDIUM</v>
      </c>
      <c r="AC1148" t="str">
        <f>TEXT(ReconciliationData[[#This Row],[Order_Date]],"YYYY-MM")</f>
        <v>2023-10</v>
      </c>
    </row>
    <row r="1149" spans="1:29">
      <c r="A1149" t="s">
        <v>3334</v>
      </c>
      <c r="B1149" s="1">
        <v>45020</v>
      </c>
      <c r="C1149" t="s">
        <v>1132</v>
      </c>
      <c r="D1149" t="s">
        <v>1470</v>
      </c>
      <c r="E1149">
        <v>136</v>
      </c>
      <c r="F1149" t="s">
        <v>3335</v>
      </c>
      <c r="G1149">
        <v>136</v>
      </c>
      <c r="H1149">
        <v>690.05370000000005</v>
      </c>
      <c r="N1149">
        <v>690.05370000000005</v>
      </c>
      <c r="O1149" s="1">
        <v>44976</v>
      </c>
      <c r="P1149">
        <f>IF(ISBLANK(ReconciliationData[[#This Row],[Invoice_ID]]),1,0)</f>
        <v>0</v>
      </c>
      <c r="Q1149">
        <f>IF(AND(NOT(ISBLANK(ReconciliationData[[#This Row],[Billed_Units]])),ReconciliationData[[#This Row],[ordered_units]]&lt;&gt;ReconciliationData[[#This Row],[Billed_Units]]),1,0)</f>
        <v>0</v>
      </c>
      <c r="R11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49">
        <f>IF(AND(NOT(ISBLANK(ReconciliationData[[#This Row],[Contract_Price]])),ReconciliationData[[#This Row],[Billed_Price]]&lt;&gt;ReconciliationData[[#This Row],[Contract_Price]]),1,0)</f>
        <v>0</v>
      </c>
      <c r="T1149">
        <f>IF(AND(NOT(ISBLANK(ReconciliationData[[#This Row],[End_Date]])),ReconciliationData[[#This Row],[Order_Date]]&gt;ReconciliationData[[#This Row],[End_Date]]),1,0)</f>
        <v>0</v>
      </c>
      <c r="U1149">
        <f>IF(AND(NOT(ISBLANK(ReconciliationData[[#This Row],[last_return_date]])),ReconciliationData[[#This Row],[last_return_date]]&gt;ReconciliationData[[#This Row],[Order_Date]]+60),1,0)</f>
        <v>0</v>
      </c>
      <c r="V1149">
        <f>IF(ReconciliationData[[#This Row],[total_returned_units]]&gt;ReconciliationData[[#This Row],[ordered_units]],1,0)</f>
        <v>0</v>
      </c>
      <c r="W11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49">
        <f>ReconciliationData[[#This Row],[Billed_Units]]*ReconciliationData[[#This Row],[Billed_Price]]</f>
        <v>93847.303200000009</v>
      </c>
      <c r="Y1149">
        <f>ReconciliationData[[#This Row],[ordered_units]]*ReconciliationData[[#This Row],[List_Price]]</f>
        <v>93847.303200000009</v>
      </c>
      <c r="Z1149">
        <f>ReconciliationData[[#This Row],[billed_revenue]]-ReconciliationData[[#This Row],[expected_revenue]]</f>
        <v>0</v>
      </c>
      <c r="AA11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49" t="str">
        <f>IF(ReconciliationData[[#This Row],[severity_score]]=0,"LOW",
 IF(ReconciliationData[[#This Row],[severity_score]]&lt;=5,"MEDIUM","HIGH"))</f>
        <v>LOW</v>
      </c>
      <c r="AC1149" t="str">
        <f>TEXT(ReconciliationData[[#This Row],[Order_Date]],"YYYY-MM")</f>
        <v>2023-04</v>
      </c>
    </row>
    <row r="1150" spans="1:29">
      <c r="A1150" t="s">
        <v>3336</v>
      </c>
      <c r="B1150" s="1">
        <v>45180</v>
      </c>
      <c r="C1150" t="s">
        <v>3337</v>
      </c>
      <c r="D1150" t="s">
        <v>753</v>
      </c>
      <c r="E1150">
        <v>121</v>
      </c>
      <c r="F1150" t="s">
        <v>3338</v>
      </c>
      <c r="G1150">
        <v>121</v>
      </c>
      <c r="H1150">
        <v>741.88620000000003</v>
      </c>
      <c r="I1150">
        <v>8</v>
      </c>
      <c r="J1150" s="1">
        <v>45020</v>
      </c>
      <c r="N1150">
        <v>741.88620000000003</v>
      </c>
      <c r="O1150" s="1">
        <v>44930</v>
      </c>
      <c r="P1150">
        <f>IF(ISBLANK(ReconciliationData[[#This Row],[Invoice_ID]]),1,0)</f>
        <v>0</v>
      </c>
      <c r="Q1150">
        <f>IF(AND(NOT(ISBLANK(ReconciliationData[[#This Row],[Billed_Units]])),ReconciliationData[[#This Row],[ordered_units]]&lt;&gt;ReconciliationData[[#This Row],[Billed_Units]]),1,0)</f>
        <v>0</v>
      </c>
      <c r="R11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0">
        <f>IF(AND(NOT(ISBLANK(ReconciliationData[[#This Row],[Contract_Price]])),ReconciliationData[[#This Row],[Billed_Price]]&lt;&gt;ReconciliationData[[#This Row],[Contract_Price]]),1,0)</f>
        <v>0</v>
      </c>
      <c r="T1150">
        <f>IF(AND(NOT(ISBLANK(ReconciliationData[[#This Row],[End_Date]])),ReconciliationData[[#This Row],[Order_Date]]&gt;ReconciliationData[[#This Row],[End_Date]]),1,0)</f>
        <v>0</v>
      </c>
      <c r="U1150">
        <f>IF(AND(NOT(ISBLANK(ReconciliationData[[#This Row],[last_return_date]])),ReconciliationData[[#This Row],[last_return_date]]&gt;ReconciliationData[[#This Row],[Order_Date]]+60),1,0)</f>
        <v>0</v>
      </c>
      <c r="V1150">
        <f>IF(ReconciliationData[[#This Row],[total_returned_units]]&gt;ReconciliationData[[#This Row],[ordered_units]],1,0)</f>
        <v>0</v>
      </c>
      <c r="W11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50">
        <f>ReconciliationData[[#This Row],[Billed_Units]]*ReconciliationData[[#This Row],[Billed_Price]]</f>
        <v>89768.230200000005</v>
      </c>
      <c r="Y1150">
        <f>ReconciliationData[[#This Row],[ordered_units]]*ReconciliationData[[#This Row],[List_Price]]</f>
        <v>89768.230200000005</v>
      </c>
      <c r="Z1150">
        <f>ReconciliationData[[#This Row],[billed_revenue]]-ReconciliationData[[#This Row],[expected_revenue]]</f>
        <v>0</v>
      </c>
      <c r="AA11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50" t="str">
        <f>IF(ReconciliationData[[#This Row],[severity_score]]=0,"LOW",
 IF(ReconciliationData[[#This Row],[severity_score]]&lt;=5,"MEDIUM","HIGH"))</f>
        <v>LOW</v>
      </c>
      <c r="AC1150" t="str">
        <f>TEXT(ReconciliationData[[#This Row],[Order_Date]],"YYYY-MM")</f>
        <v>2023-09</v>
      </c>
    </row>
    <row r="1151" spans="1:29">
      <c r="A1151" t="s">
        <v>3339</v>
      </c>
      <c r="B1151" s="1">
        <v>45189</v>
      </c>
      <c r="C1151" t="s">
        <v>2663</v>
      </c>
      <c r="D1151" t="s">
        <v>1382</v>
      </c>
      <c r="E1151">
        <v>193</v>
      </c>
      <c r="F1151" t="s">
        <v>3340</v>
      </c>
      <c r="G1151">
        <v>193</v>
      </c>
      <c r="H1151">
        <v>82.026000000000025</v>
      </c>
      <c r="I1151">
        <v>10</v>
      </c>
      <c r="J1151" s="1">
        <v>45130</v>
      </c>
      <c r="N1151">
        <v>82.026000000000025</v>
      </c>
      <c r="O1151" s="1">
        <v>45061</v>
      </c>
      <c r="P1151">
        <f>IF(ISBLANK(ReconciliationData[[#This Row],[Invoice_ID]]),1,0)</f>
        <v>0</v>
      </c>
      <c r="Q1151">
        <f>IF(AND(NOT(ISBLANK(ReconciliationData[[#This Row],[Billed_Units]])),ReconciliationData[[#This Row],[ordered_units]]&lt;&gt;ReconciliationData[[#This Row],[Billed_Units]]),1,0)</f>
        <v>0</v>
      </c>
      <c r="R11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1">
        <f>IF(AND(NOT(ISBLANK(ReconciliationData[[#This Row],[Contract_Price]])),ReconciliationData[[#This Row],[Billed_Price]]&lt;&gt;ReconciliationData[[#This Row],[Contract_Price]]),1,0)</f>
        <v>0</v>
      </c>
      <c r="T1151">
        <f>IF(AND(NOT(ISBLANK(ReconciliationData[[#This Row],[End_Date]])),ReconciliationData[[#This Row],[Order_Date]]&gt;ReconciliationData[[#This Row],[End_Date]]),1,0)</f>
        <v>0</v>
      </c>
      <c r="U1151">
        <f>IF(AND(NOT(ISBLANK(ReconciliationData[[#This Row],[last_return_date]])),ReconciliationData[[#This Row],[last_return_date]]&gt;ReconciliationData[[#This Row],[Order_Date]]+60),1,0)</f>
        <v>0</v>
      </c>
      <c r="V1151">
        <f>IF(ReconciliationData[[#This Row],[total_returned_units]]&gt;ReconciliationData[[#This Row],[ordered_units]],1,0)</f>
        <v>0</v>
      </c>
      <c r="W11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51">
        <f>ReconciliationData[[#This Row],[Billed_Units]]*ReconciliationData[[#This Row],[Billed_Price]]</f>
        <v>15831.018000000005</v>
      </c>
      <c r="Y1151">
        <f>ReconciliationData[[#This Row],[ordered_units]]*ReconciliationData[[#This Row],[List_Price]]</f>
        <v>15831.018000000005</v>
      </c>
      <c r="Z1151">
        <f>ReconciliationData[[#This Row],[billed_revenue]]-ReconciliationData[[#This Row],[expected_revenue]]</f>
        <v>0</v>
      </c>
      <c r="AA11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51" t="str">
        <f>IF(ReconciliationData[[#This Row],[severity_score]]=0,"LOW",
 IF(ReconciliationData[[#This Row],[severity_score]]&lt;=5,"MEDIUM","HIGH"))</f>
        <v>LOW</v>
      </c>
      <c r="AC1151" t="str">
        <f>TEXT(ReconciliationData[[#This Row],[Order_Date]],"YYYY-MM")</f>
        <v>2023-09</v>
      </c>
    </row>
    <row r="1152" spans="1:29">
      <c r="A1152" t="s">
        <v>3341</v>
      </c>
      <c r="B1152" s="1">
        <v>45202</v>
      </c>
      <c r="C1152" t="s">
        <v>1501</v>
      </c>
      <c r="D1152" t="s">
        <v>1126</v>
      </c>
      <c r="E1152">
        <v>142</v>
      </c>
      <c r="F1152" t="s">
        <v>3342</v>
      </c>
      <c r="G1152">
        <v>142</v>
      </c>
      <c r="H1152">
        <v>926.52549999999997</v>
      </c>
      <c r="N1152">
        <v>926.52549999999997</v>
      </c>
      <c r="O1152" s="1">
        <v>45183</v>
      </c>
      <c r="P1152">
        <f>IF(ISBLANK(ReconciliationData[[#This Row],[Invoice_ID]]),1,0)</f>
        <v>0</v>
      </c>
      <c r="Q1152">
        <f>IF(AND(NOT(ISBLANK(ReconciliationData[[#This Row],[Billed_Units]])),ReconciliationData[[#This Row],[ordered_units]]&lt;&gt;ReconciliationData[[#This Row],[Billed_Units]]),1,0)</f>
        <v>0</v>
      </c>
      <c r="R11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2">
        <f>IF(AND(NOT(ISBLANK(ReconciliationData[[#This Row],[Contract_Price]])),ReconciliationData[[#This Row],[Billed_Price]]&lt;&gt;ReconciliationData[[#This Row],[Contract_Price]]),1,0)</f>
        <v>0</v>
      </c>
      <c r="T1152">
        <f>IF(AND(NOT(ISBLANK(ReconciliationData[[#This Row],[End_Date]])),ReconciliationData[[#This Row],[Order_Date]]&gt;ReconciliationData[[#This Row],[End_Date]]),1,0)</f>
        <v>0</v>
      </c>
      <c r="U1152">
        <f>IF(AND(NOT(ISBLANK(ReconciliationData[[#This Row],[last_return_date]])),ReconciliationData[[#This Row],[last_return_date]]&gt;ReconciliationData[[#This Row],[Order_Date]]+60),1,0)</f>
        <v>0</v>
      </c>
      <c r="V1152">
        <f>IF(ReconciliationData[[#This Row],[total_returned_units]]&gt;ReconciliationData[[#This Row],[ordered_units]],1,0)</f>
        <v>0</v>
      </c>
      <c r="W11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52">
        <f>ReconciliationData[[#This Row],[Billed_Units]]*ReconciliationData[[#This Row],[Billed_Price]]</f>
        <v>131566.62099999998</v>
      </c>
      <c r="Y1152">
        <f>ReconciliationData[[#This Row],[ordered_units]]*ReconciliationData[[#This Row],[List_Price]]</f>
        <v>131566.62099999998</v>
      </c>
      <c r="Z1152">
        <f>ReconciliationData[[#This Row],[billed_revenue]]-ReconciliationData[[#This Row],[expected_revenue]]</f>
        <v>0</v>
      </c>
      <c r="AA11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52" t="str">
        <f>IF(ReconciliationData[[#This Row],[severity_score]]=0,"LOW",
 IF(ReconciliationData[[#This Row],[severity_score]]&lt;=5,"MEDIUM","HIGH"))</f>
        <v>LOW</v>
      </c>
      <c r="AC1152" t="str">
        <f>TEXT(ReconciliationData[[#This Row],[Order_Date]],"YYYY-MM")</f>
        <v>2023-10</v>
      </c>
    </row>
    <row r="1153" spans="1:29">
      <c r="A1153" t="s">
        <v>3343</v>
      </c>
      <c r="B1153" s="1">
        <v>45625</v>
      </c>
      <c r="C1153" t="s">
        <v>1388</v>
      </c>
      <c r="D1153" t="s">
        <v>1179</v>
      </c>
      <c r="E1153">
        <v>154</v>
      </c>
      <c r="F1153" t="s">
        <v>3344</v>
      </c>
      <c r="G1153">
        <v>154</v>
      </c>
      <c r="H1153">
        <v>892.1431</v>
      </c>
      <c r="I1153">
        <v>16</v>
      </c>
      <c r="J1153" s="1">
        <v>45377</v>
      </c>
      <c r="N1153">
        <v>892.1431</v>
      </c>
      <c r="O1153" s="1">
        <v>45222</v>
      </c>
      <c r="P1153">
        <f>IF(ISBLANK(ReconciliationData[[#This Row],[Invoice_ID]]),1,0)</f>
        <v>0</v>
      </c>
      <c r="Q1153">
        <f>IF(AND(NOT(ISBLANK(ReconciliationData[[#This Row],[Billed_Units]])),ReconciliationData[[#This Row],[ordered_units]]&lt;&gt;ReconciliationData[[#This Row],[Billed_Units]]),1,0)</f>
        <v>0</v>
      </c>
      <c r="R11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3">
        <f>IF(AND(NOT(ISBLANK(ReconciliationData[[#This Row],[Contract_Price]])),ReconciliationData[[#This Row],[Billed_Price]]&lt;&gt;ReconciliationData[[#This Row],[Contract_Price]]),1,0)</f>
        <v>0</v>
      </c>
      <c r="T1153">
        <f>IF(AND(NOT(ISBLANK(ReconciliationData[[#This Row],[End_Date]])),ReconciliationData[[#This Row],[Order_Date]]&gt;ReconciliationData[[#This Row],[End_Date]]),1,0)</f>
        <v>0</v>
      </c>
      <c r="U1153">
        <f>IF(AND(NOT(ISBLANK(ReconciliationData[[#This Row],[last_return_date]])),ReconciliationData[[#This Row],[last_return_date]]&gt;ReconciliationData[[#This Row],[Order_Date]]+60),1,0)</f>
        <v>0</v>
      </c>
      <c r="V1153">
        <f>IF(ReconciliationData[[#This Row],[total_returned_units]]&gt;ReconciliationData[[#This Row],[ordered_units]],1,0)</f>
        <v>0</v>
      </c>
      <c r="W11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53">
        <f>ReconciliationData[[#This Row],[Billed_Units]]*ReconciliationData[[#This Row],[Billed_Price]]</f>
        <v>137390.0374</v>
      </c>
      <c r="Y1153">
        <f>ReconciliationData[[#This Row],[ordered_units]]*ReconciliationData[[#This Row],[List_Price]]</f>
        <v>137390.0374</v>
      </c>
      <c r="Z1153">
        <f>ReconciliationData[[#This Row],[billed_revenue]]-ReconciliationData[[#This Row],[expected_revenue]]</f>
        <v>0</v>
      </c>
      <c r="AA11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53" t="str">
        <f>IF(ReconciliationData[[#This Row],[severity_score]]=0,"LOW",
 IF(ReconciliationData[[#This Row],[severity_score]]&lt;=5,"MEDIUM","HIGH"))</f>
        <v>LOW</v>
      </c>
      <c r="AC1153" t="str">
        <f>TEXT(ReconciliationData[[#This Row],[Order_Date]],"YYYY-MM")</f>
        <v>2024-11</v>
      </c>
    </row>
    <row r="1154" spans="1:29">
      <c r="A1154" t="s">
        <v>3345</v>
      </c>
      <c r="B1154" s="1">
        <v>45379</v>
      </c>
      <c r="C1154" t="s">
        <v>2809</v>
      </c>
      <c r="D1154" t="s">
        <v>1487</v>
      </c>
      <c r="E1154">
        <v>81</v>
      </c>
      <c r="F1154" t="s">
        <v>3346</v>
      </c>
      <c r="G1154">
        <v>81</v>
      </c>
      <c r="H1154">
        <v>273.24680000000001</v>
      </c>
      <c r="N1154">
        <v>273.24680000000001</v>
      </c>
      <c r="O1154" s="1">
        <v>45103</v>
      </c>
      <c r="P1154">
        <f>IF(ISBLANK(ReconciliationData[[#This Row],[Invoice_ID]]),1,0)</f>
        <v>0</v>
      </c>
      <c r="Q1154">
        <f>IF(AND(NOT(ISBLANK(ReconciliationData[[#This Row],[Billed_Units]])),ReconciliationData[[#This Row],[ordered_units]]&lt;&gt;ReconciliationData[[#This Row],[Billed_Units]]),1,0)</f>
        <v>0</v>
      </c>
      <c r="R11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4">
        <f>IF(AND(NOT(ISBLANK(ReconciliationData[[#This Row],[Contract_Price]])),ReconciliationData[[#This Row],[Billed_Price]]&lt;&gt;ReconciliationData[[#This Row],[Contract_Price]]),1,0)</f>
        <v>0</v>
      </c>
      <c r="T1154">
        <f>IF(AND(NOT(ISBLANK(ReconciliationData[[#This Row],[End_Date]])),ReconciliationData[[#This Row],[Order_Date]]&gt;ReconciliationData[[#This Row],[End_Date]]),1,0)</f>
        <v>0</v>
      </c>
      <c r="U1154">
        <f>IF(AND(NOT(ISBLANK(ReconciliationData[[#This Row],[last_return_date]])),ReconciliationData[[#This Row],[last_return_date]]&gt;ReconciliationData[[#This Row],[Order_Date]]+60),1,0)</f>
        <v>0</v>
      </c>
      <c r="V1154">
        <f>IF(ReconciliationData[[#This Row],[total_returned_units]]&gt;ReconciliationData[[#This Row],[ordered_units]],1,0)</f>
        <v>0</v>
      </c>
      <c r="W11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54">
        <f>ReconciliationData[[#This Row],[Billed_Units]]*ReconciliationData[[#This Row],[Billed_Price]]</f>
        <v>22132.9908</v>
      </c>
      <c r="Y1154">
        <f>ReconciliationData[[#This Row],[ordered_units]]*ReconciliationData[[#This Row],[List_Price]]</f>
        <v>22132.9908</v>
      </c>
      <c r="Z1154">
        <f>ReconciliationData[[#This Row],[billed_revenue]]-ReconciliationData[[#This Row],[expected_revenue]]</f>
        <v>0</v>
      </c>
      <c r="AA11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54" t="str">
        <f>IF(ReconciliationData[[#This Row],[severity_score]]=0,"LOW",
 IF(ReconciliationData[[#This Row],[severity_score]]&lt;=5,"MEDIUM","HIGH"))</f>
        <v>LOW</v>
      </c>
      <c r="AC1154" t="str">
        <f>TEXT(ReconciliationData[[#This Row],[Order_Date]],"YYYY-MM")</f>
        <v>2024-03</v>
      </c>
    </row>
    <row r="1155" spans="1:29">
      <c r="A1155" t="s">
        <v>3347</v>
      </c>
      <c r="B1155" s="1">
        <v>45358</v>
      </c>
      <c r="C1155" t="s">
        <v>1753</v>
      </c>
      <c r="D1155" t="s">
        <v>317</v>
      </c>
      <c r="E1155">
        <v>86</v>
      </c>
      <c r="F1155" t="s">
        <v>3348</v>
      </c>
      <c r="G1155">
        <v>86</v>
      </c>
      <c r="H1155">
        <v>1119.3012000000001</v>
      </c>
      <c r="K1155">
        <v>984.57</v>
      </c>
      <c r="L1155" s="1">
        <v>45201</v>
      </c>
      <c r="M1155" s="1">
        <v>45079</v>
      </c>
      <c r="N1155">
        <v>1119.3012000000001</v>
      </c>
      <c r="O1155" s="1">
        <v>45091</v>
      </c>
      <c r="P1155">
        <f>IF(ISBLANK(ReconciliationData[[#This Row],[Invoice_ID]]),1,0)</f>
        <v>0</v>
      </c>
      <c r="Q1155">
        <f>IF(AND(NOT(ISBLANK(ReconciliationData[[#This Row],[Billed_Units]])),ReconciliationData[[#This Row],[ordered_units]]&lt;&gt;ReconciliationData[[#This Row],[Billed_Units]]),1,0)</f>
        <v>0</v>
      </c>
      <c r="R11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5">
        <f>IF(AND(NOT(ISBLANK(ReconciliationData[[#This Row],[Contract_Price]])),ReconciliationData[[#This Row],[Billed_Price]]&lt;&gt;ReconciliationData[[#This Row],[Contract_Price]]),1,0)</f>
        <v>1</v>
      </c>
      <c r="T1155">
        <f>IF(AND(NOT(ISBLANK(ReconciliationData[[#This Row],[End_Date]])),ReconciliationData[[#This Row],[Order_Date]]&gt;ReconciliationData[[#This Row],[End_Date]]),1,0)</f>
        <v>1</v>
      </c>
      <c r="U1155">
        <f>IF(AND(NOT(ISBLANK(ReconciliationData[[#This Row],[last_return_date]])),ReconciliationData[[#This Row],[last_return_date]]&gt;ReconciliationData[[#This Row],[Order_Date]]+60),1,0)</f>
        <v>0</v>
      </c>
      <c r="V1155">
        <f>IF(ReconciliationData[[#This Row],[total_returned_units]]&gt;ReconciliationData[[#This Row],[ordered_units]],1,0)</f>
        <v>0</v>
      </c>
      <c r="W11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55">
        <f>ReconciliationData[[#This Row],[Billed_Units]]*ReconciliationData[[#This Row],[Billed_Price]]</f>
        <v>96259.903200000015</v>
      </c>
      <c r="Y1155">
        <f>ReconciliationData[[#This Row],[ordered_units]]*ReconciliationData[[#This Row],[List_Price]]</f>
        <v>96259.903200000015</v>
      </c>
      <c r="Z1155">
        <f>ReconciliationData[[#This Row],[billed_revenue]]-ReconciliationData[[#This Row],[expected_revenue]]</f>
        <v>0</v>
      </c>
      <c r="AA11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155" t="str">
        <f>IF(ReconciliationData[[#This Row],[severity_score]]=0,"LOW",
 IF(ReconciliationData[[#This Row],[severity_score]]&lt;=5,"MEDIUM","HIGH"))</f>
        <v>HIGH</v>
      </c>
      <c r="AC1155" t="str">
        <f>TEXT(ReconciliationData[[#This Row],[Order_Date]],"YYYY-MM")</f>
        <v>2024-03</v>
      </c>
    </row>
    <row r="1156" spans="1:29">
      <c r="A1156" t="s">
        <v>3349</v>
      </c>
      <c r="B1156" s="1">
        <v>45196</v>
      </c>
      <c r="C1156" t="s">
        <v>3350</v>
      </c>
      <c r="D1156" t="s">
        <v>807</v>
      </c>
      <c r="E1156">
        <v>147</v>
      </c>
      <c r="F1156" t="s">
        <v>3351</v>
      </c>
      <c r="G1156">
        <v>147</v>
      </c>
      <c r="H1156">
        <v>414.32040000000001</v>
      </c>
      <c r="N1156">
        <v>414.32040000000001</v>
      </c>
      <c r="O1156" s="1">
        <v>44905</v>
      </c>
      <c r="P1156">
        <f>IF(ISBLANK(ReconciliationData[[#This Row],[Invoice_ID]]),1,0)</f>
        <v>0</v>
      </c>
      <c r="Q1156">
        <f>IF(AND(NOT(ISBLANK(ReconciliationData[[#This Row],[Billed_Units]])),ReconciliationData[[#This Row],[ordered_units]]&lt;&gt;ReconciliationData[[#This Row],[Billed_Units]]),1,0)</f>
        <v>0</v>
      </c>
      <c r="R11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6">
        <f>IF(AND(NOT(ISBLANK(ReconciliationData[[#This Row],[Contract_Price]])),ReconciliationData[[#This Row],[Billed_Price]]&lt;&gt;ReconciliationData[[#This Row],[Contract_Price]]),1,0)</f>
        <v>0</v>
      </c>
      <c r="T1156">
        <f>IF(AND(NOT(ISBLANK(ReconciliationData[[#This Row],[End_Date]])),ReconciliationData[[#This Row],[Order_Date]]&gt;ReconciliationData[[#This Row],[End_Date]]),1,0)</f>
        <v>0</v>
      </c>
      <c r="U1156">
        <f>IF(AND(NOT(ISBLANK(ReconciliationData[[#This Row],[last_return_date]])),ReconciliationData[[#This Row],[last_return_date]]&gt;ReconciliationData[[#This Row],[Order_Date]]+60),1,0)</f>
        <v>0</v>
      </c>
      <c r="V1156">
        <f>IF(ReconciliationData[[#This Row],[total_returned_units]]&gt;ReconciliationData[[#This Row],[ordered_units]],1,0)</f>
        <v>0</v>
      </c>
      <c r="W11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56">
        <f>ReconciliationData[[#This Row],[Billed_Units]]*ReconciliationData[[#This Row],[Billed_Price]]</f>
        <v>60905.0988</v>
      </c>
      <c r="Y1156">
        <f>ReconciliationData[[#This Row],[ordered_units]]*ReconciliationData[[#This Row],[List_Price]]</f>
        <v>60905.0988</v>
      </c>
      <c r="Z1156">
        <f>ReconciliationData[[#This Row],[billed_revenue]]-ReconciliationData[[#This Row],[expected_revenue]]</f>
        <v>0</v>
      </c>
      <c r="AA11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56" t="str">
        <f>IF(ReconciliationData[[#This Row],[severity_score]]=0,"LOW",
 IF(ReconciliationData[[#This Row],[severity_score]]&lt;=5,"MEDIUM","HIGH"))</f>
        <v>LOW</v>
      </c>
      <c r="AC1156" t="str">
        <f>TEXT(ReconciliationData[[#This Row],[Order_Date]],"YYYY-MM")</f>
        <v>2023-09</v>
      </c>
    </row>
    <row r="1157" spans="1:29">
      <c r="A1157" t="s">
        <v>3352</v>
      </c>
      <c r="B1157" s="1">
        <v>44945</v>
      </c>
      <c r="C1157" t="s">
        <v>2010</v>
      </c>
      <c r="D1157" t="s">
        <v>259</v>
      </c>
      <c r="E1157">
        <v>34</v>
      </c>
      <c r="F1157" t="s">
        <v>3353</v>
      </c>
      <c r="G1157">
        <v>34</v>
      </c>
      <c r="H1157">
        <v>364.40320000000003</v>
      </c>
      <c r="I1157">
        <v>10</v>
      </c>
      <c r="J1157" s="1">
        <v>45138</v>
      </c>
      <c r="N1157">
        <v>364.40320000000003</v>
      </c>
      <c r="O1157" s="1">
        <v>44766</v>
      </c>
      <c r="P1157">
        <f>IF(ISBLANK(ReconciliationData[[#This Row],[Invoice_ID]]),1,0)</f>
        <v>0</v>
      </c>
      <c r="Q1157">
        <f>IF(AND(NOT(ISBLANK(ReconciliationData[[#This Row],[Billed_Units]])),ReconciliationData[[#This Row],[ordered_units]]&lt;&gt;ReconciliationData[[#This Row],[Billed_Units]]),1,0)</f>
        <v>0</v>
      </c>
      <c r="R11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7">
        <f>IF(AND(NOT(ISBLANK(ReconciliationData[[#This Row],[Contract_Price]])),ReconciliationData[[#This Row],[Billed_Price]]&lt;&gt;ReconciliationData[[#This Row],[Contract_Price]]),1,0)</f>
        <v>0</v>
      </c>
      <c r="T1157">
        <f>IF(AND(NOT(ISBLANK(ReconciliationData[[#This Row],[End_Date]])),ReconciliationData[[#This Row],[Order_Date]]&gt;ReconciliationData[[#This Row],[End_Date]]),1,0)</f>
        <v>0</v>
      </c>
      <c r="U1157">
        <f>IF(AND(NOT(ISBLANK(ReconciliationData[[#This Row],[last_return_date]])),ReconciliationData[[#This Row],[last_return_date]]&gt;ReconciliationData[[#This Row],[Order_Date]]+60),1,0)</f>
        <v>1</v>
      </c>
      <c r="V1157">
        <f>IF(ReconciliationData[[#This Row],[total_returned_units]]&gt;ReconciliationData[[#This Row],[ordered_units]],1,0)</f>
        <v>0</v>
      </c>
      <c r="W11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57">
        <f>ReconciliationData[[#This Row],[Billed_Units]]*ReconciliationData[[#This Row],[Billed_Price]]</f>
        <v>12389.7088</v>
      </c>
      <c r="Y1157">
        <f>ReconciliationData[[#This Row],[ordered_units]]*ReconciliationData[[#This Row],[List_Price]]</f>
        <v>12389.7088</v>
      </c>
      <c r="Z1157">
        <f>ReconciliationData[[#This Row],[billed_revenue]]-ReconciliationData[[#This Row],[expected_revenue]]</f>
        <v>0</v>
      </c>
      <c r="AA11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57" t="str">
        <f>IF(ReconciliationData[[#This Row],[severity_score]]=0,"LOW",
 IF(ReconciliationData[[#This Row],[severity_score]]&lt;=5,"MEDIUM","HIGH"))</f>
        <v>MEDIUM</v>
      </c>
      <c r="AC1157" t="str">
        <f>TEXT(ReconciliationData[[#This Row],[Order_Date]],"YYYY-MM")</f>
        <v>2023-01</v>
      </c>
    </row>
    <row r="1158" spans="1:29">
      <c r="A1158" t="s">
        <v>3354</v>
      </c>
      <c r="B1158" s="1">
        <v>45269</v>
      </c>
      <c r="C1158" t="s">
        <v>340</v>
      </c>
      <c r="D1158" t="s">
        <v>556</v>
      </c>
      <c r="E1158">
        <v>106</v>
      </c>
      <c r="F1158" t="s">
        <v>3355</v>
      </c>
      <c r="G1158">
        <v>106</v>
      </c>
      <c r="H1158">
        <v>664.57040000000006</v>
      </c>
      <c r="N1158">
        <v>664.57040000000006</v>
      </c>
      <c r="O1158" s="1">
        <v>45066</v>
      </c>
      <c r="P1158">
        <f>IF(ISBLANK(ReconciliationData[[#This Row],[Invoice_ID]]),1,0)</f>
        <v>0</v>
      </c>
      <c r="Q1158">
        <f>IF(AND(NOT(ISBLANK(ReconciliationData[[#This Row],[Billed_Units]])),ReconciliationData[[#This Row],[ordered_units]]&lt;&gt;ReconciliationData[[#This Row],[Billed_Units]]),1,0)</f>
        <v>0</v>
      </c>
      <c r="R11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8">
        <f>IF(AND(NOT(ISBLANK(ReconciliationData[[#This Row],[Contract_Price]])),ReconciliationData[[#This Row],[Billed_Price]]&lt;&gt;ReconciliationData[[#This Row],[Contract_Price]]),1,0)</f>
        <v>0</v>
      </c>
      <c r="T1158">
        <f>IF(AND(NOT(ISBLANK(ReconciliationData[[#This Row],[End_Date]])),ReconciliationData[[#This Row],[Order_Date]]&gt;ReconciliationData[[#This Row],[End_Date]]),1,0)</f>
        <v>0</v>
      </c>
      <c r="U1158">
        <f>IF(AND(NOT(ISBLANK(ReconciliationData[[#This Row],[last_return_date]])),ReconciliationData[[#This Row],[last_return_date]]&gt;ReconciliationData[[#This Row],[Order_Date]]+60),1,0)</f>
        <v>0</v>
      </c>
      <c r="V1158">
        <f>IF(ReconciliationData[[#This Row],[total_returned_units]]&gt;ReconciliationData[[#This Row],[ordered_units]],1,0)</f>
        <v>0</v>
      </c>
      <c r="W11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58">
        <f>ReconciliationData[[#This Row],[Billed_Units]]*ReconciliationData[[#This Row],[Billed_Price]]</f>
        <v>70444.462400000004</v>
      </c>
      <c r="Y1158">
        <f>ReconciliationData[[#This Row],[ordered_units]]*ReconciliationData[[#This Row],[List_Price]]</f>
        <v>70444.462400000004</v>
      </c>
      <c r="Z1158">
        <f>ReconciliationData[[#This Row],[billed_revenue]]-ReconciliationData[[#This Row],[expected_revenue]]</f>
        <v>0</v>
      </c>
      <c r="AA11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58" t="str">
        <f>IF(ReconciliationData[[#This Row],[severity_score]]=0,"LOW",
 IF(ReconciliationData[[#This Row],[severity_score]]&lt;=5,"MEDIUM","HIGH"))</f>
        <v>LOW</v>
      </c>
      <c r="AC1158" t="str">
        <f>TEXT(ReconciliationData[[#This Row],[Order_Date]],"YYYY-MM")</f>
        <v>2023-12</v>
      </c>
    </row>
    <row r="1159" spans="1:29">
      <c r="A1159" t="s">
        <v>3356</v>
      </c>
      <c r="B1159" s="1">
        <v>45327</v>
      </c>
      <c r="C1159" t="s">
        <v>1688</v>
      </c>
      <c r="D1159" t="s">
        <v>1436</v>
      </c>
      <c r="E1159">
        <v>28</v>
      </c>
      <c r="F1159" t="s">
        <v>3357</v>
      </c>
      <c r="G1159">
        <v>28</v>
      </c>
      <c r="H1159">
        <v>189.52920000000003</v>
      </c>
      <c r="N1159">
        <v>189.52920000000003</v>
      </c>
      <c r="O1159" s="1">
        <v>45070</v>
      </c>
      <c r="P1159">
        <f>IF(ISBLANK(ReconciliationData[[#This Row],[Invoice_ID]]),1,0)</f>
        <v>0</v>
      </c>
      <c r="Q1159">
        <f>IF(AND(NOT(ISBLANK(ReconciliationData[[#This Row],[Billed_Units]])),ReconciliationData[[#This Row],[ordered_units]]&lt;&gt;ReconciliationData[[#This Row],[Billed_Units]]),1,0)</f>
        <v>0</v>
      </c>
      <c r="R11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59">
        <f>IF(AND(NOT(ISBLANK(ReconciliationData[[#This Row],[Contract_Price]])),ReconciliationData[[#This Row],[Billed_Price]]&lt;&gt;ReconciliationData[[#This Row],[Contract_Price]]),1,0)</f>
        <v>0</v>
      </c>
      <c r="T1159">
        <f>IF(AND(NOT(ISBLANK(ReconciliationData[[#This Row],[End_Date]])),ReconciliationData[[#This Row],[Order_Date]]&gt;ReconciliationData[[#This Row],[End_Date]]),1,0)</f>
        <v>0</v>
      </c>
      <c r="U1159">
        <f>IF(AND(NOT(ISBLANK(ReconciliationData[[#This Row],[last_return_date]])),ReconciliationData[[#This Row],[last_return_date]]&gt;ReconciliationData[[#This Row],[Order_Date]]+60),1,0)</f>
        <v>0</v>
      </c>
      <c r="V1159">
        <f>IF(ReconciliationData[[#This Row],[total_returned_units]]&gt;ReconciliationData[[#This Row],[ordered_units]],1,0)</f>
        <v>0</v>
      </c>
      <c r="W11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59">
        <f>ReconciliationData[[#This Row],[Billed_Units]]*ReconciliationData[[#This Row],[Billed_Price]]</f>
        <v>5306.8176000000012</v>
      </c>
      <c r="Y1159">
        <f>ReconciliationData[[#This Row],[ordered_units]]*ReconciliationData[[#This Row],[List_Price]]</f>
        <v>5306.8176000000012</v>
      </c>
      <c r="Z1159">
        <f>ReconciliationData[[#This Row],[billed_revenue]]-ReconciliationData[[#This Row],[expected_revenue]]</f>
        <v>0</v>
      </c>
      <c r="AA11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59" t="str">
        <f>IF(ReconciliationData[[#This Row],[severity_score]]=0,"LOW",
 IF(ReconciliationData[[#This Row],[severity_score]]&lt;=5,"MEDIUM","HIGH"))</f>
        <v>LOW</v>
      </c>
      <c r="AC1159" t="str">
        <f>TEXT(ReconciliationData[[#This Row],[Order_Date]],"YYYY-MM")</f>
        <v>2024-02</v>
      </c>
    </row>
    <row r="1160" spans="1:29">
      <c r="A1160" t="s">
        <v>3358</v>
      </c>
      <c r="B1160" s="1">
        <v>45457</v>
      </c>
      <c r="C1160" t="s">
        <v>1006</v>
      </c>
      <c r="D1160" t="s">
        <v>533</v>
      </c>
      <c r="E1160">
        <v>166</v>
      </c>
      <c r="F1160" t="s">
        <v>3359</v>
      </c>
      <c r="G1160">
        <v>166</v>
      </c>
      <c r="H1160">
        <v>833.73500000000001</v>
      </c>
      <c r="N1160">
        <v>833.73500000000001</v>
      </c>
      <c r="O1160" s="1">
        <v>45167</v>
      </c>
      <c r="P1160">
        <f>IF(ISBLANK(ReconciliationData[[#This Row],[Invoice_ID]]),1,0)</f>
        <v>0</v>
      </c>
      <c r="Q1160">
        <f>IF(AND(NOT(ISBLANK(ReconciliationData[[#This Row],[Billed_Units]])),ReconciliationData[[#This Row],[ordered_units]]&lt;&gt;ReconciliationData[[#This Row],[Billed_Units]]),1,0)</f>
        <v>0</v>
      </c>
      <c r="R11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0">
        <f>IF(AND(NOT(ISBLANK(ReconciliationData[[#This Row],[Contract_Price]])),ReconciliationData[[#This Row],[Billed_Price]]&lt;&gt;ReconciliationData[[#This Row],[Contract_Price]]),1,0)</f>
        <v>0</v>
      </c>
      <c r="T1160">
        <f>IF(AND(NOT(ISBLANK(ReconciliationData[[#This Row],[End_Date]])),ReconciliationData[[#This Row],[Order_Date]]&gt;ReconciliationData[[#This Row],[End_Date]]),1,0)</f>
        <v>0</v>
      </c>
      <c r="U1160">
        <f>IF(AND(NOT(ISBLANK(ReconciliationData[[#This Row],[last_return_date]])),ReconciliationData[[#This Row],[last_return_date]]&gt;ReconciliationData[[#This Row],[Order_Date]]+60),1,0)</f>
        <v>0</v>
      </c>
      <c r="V1160">
        <f>IF(ReconciliationData[[#This Row],[total_returned_units]]&gt;ReconciliationData[[#This Row],[ordered_units]],1,0)</f>
        <v>0</v>
      </c>
      <c r="W11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60">
        <f>ReconciliationData[[#This Row],[Billed_Units]]*ReconciliationData[[#This Row],[Billed_Price]]</f>
        <v>138400.01</v>
      </c>
      <c r="Y1160">
        <f>ReconciliationData[[#This Row],[ordered_units]]*ReconciliationData[[#This Row],[List_Price]]</f>
        <v>138400.01</v>
      </c>
      <c r="Z1160">
        <f>ReconciliationData[[#This Row],[billed_revenue]]-ReconciliationData[[#This Row],[expected_revenue]]</f>
        <v>0</v>
      </c>
      <c r="AA11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60" t="str">
        <f>IF(ReconciliationData[[#This Row],[severity_score]]=0,"LOW",
 IF(ReconciliationData[[#This Row],[severity_score]]&lt;=5,"MEDIUM","HIGH"))</f>
        <v>LOW</v>
      </c>
      <c r="AC1160" t="str">
        <f>TEXT(ReconciliationData[[#This Row],[Order_Date]],"YYYY-MM")</f>
        <v>2024-06</v>
      </c>
    </row>
    <row r="1161" spans="1:29">
      <c r="A1161" t="s">
        <v>3360</v>
      </c>
      <c r="B1161" s="1">
        <v>45481</v>
      </c>
      <c r="C1161" t="s">
        <v>1621</v>
      </c>
      <c r="D1161" t="s">
        <v>684</v>
      </c>
      <c r="E1161">
        <v>71</v>
      </c>
      <c r="F1161" t="s">
        <v>3361</v>
      </c>
      <c r="G1161">
        <v>71</v>
      </c>
      <c r="H1161">
        <v>75.620999999999995</v>
      </c>
      <c r="N1161">
        <v>75.620999999999995</v>
      </c>
      <c r="O1161" s="1">
        <v>45108</v>
      </c>
      <c r="P1161">
        <f>IF(ISBLANK(ReconciliationData[[#This Row],[Invoice_ID]]),1,0)</f>
        <v>0</v>
      </c>
      <c r="Q1161">
        <f>IF(AND(NOT(ISBLANK(ReconciliationData[[#This Row],[Billed_Units]])),ReconciliationData[[#This Row],[ordered_units]]&lt;&gt;ReconciliationData[[#This Row],[Billed_Units]]),1,0)</f>
        <v>0</v>
      </c>
      <c r="R11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1">
        <f>IF(AND(NOT(ISBLANK(ReconciliationData[[#This Row],[Contract_Price]])),ReconciliationData[[#This Row],[Billed_Price]]&lt;&gt;ReconciliationData[[#This Row],[Contract_Price]]),1,0)</f>
        <v>0</v>
      </c>
      <c r="T1161">
        <f>IF(AND(NOT(ISBLANK(ReconciliationData[[#This Row],[End_Date]])),ReconciliationData[[#This Row],[Order_Date]]&gt;ReconciliationData[[#This Row],[End_Date]]),1,0)</f>
        <v>0</v>
      </c>
      <c r="U1161">
        <f>IF(AND(NOT(ISBLANK(ReconciliationData[[#This Row],[last_return_date]])),ReconciliationData[[#This Row],[last_return_date]]&gt;ReconciliationData[[#This Row],[Order_Date]]+60),1,0)</f>
        <v>0</v>
      </c>
      <c r="V1161">
        <f>IF(ReconciliationData[[#This Row],[total_returned_units]]&gt;ReconciliationData[[#This Row],[ordered_units]],1,0)</f>
        <v>0</v>
      </c>
      <c r="W11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61">
        <f>ReconciliationData[[#This Row],[Billed_Units]]*ReconciliationData[[#This Row],[Billed_Price]]</f>
        <v>5369.0909999999994</v>
      </c>
      <c r="Y1161">
        <f>ReconciliationData[[#This Row],[ordered_units]]*ReconciliationData[[#This Row],[List_Price]]</f>
        <v>5369.0909999999994</v>
      </c>
      <c r="Z1161">
        <f>ReconciliationData[[#This Row],[billed_revenue]]-ReconciliationData[[#This Row],[expected_revenue]]</f>
        <v>0</v>
      </c>
      <c r="AA11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61" t="str">
        <f>IF(ReconciliationData[[#This Row],[severity_score]]=0,"LOW",
 IF(ReconciliationData[[#This Row],[severity_score]]&lt;=5,"MEDIUM","HIGH"))</f>
        <v>LOW</v>
      </c>
      <c r="AC1161" t="str">
        <f>TEXT(ReconciliationData[[#This Row],[Order_Date]],"YYYY-MM")</f>
        <v>2024-07</v>
      </c>
    </row>
    <row r="1162" spans="1:29">
      <c r="A1162" t="s">
        <v>3362</v>
      </c>
      <c r="B1162" s="1">
        <v>45072</v>
      </c>
      <c r="C1162" t="s">
        <v>2359</v>
      </c>
      <c r="D1162" t="s">
        <v>271</v>
      </c>
      <c r="E1162">
        <v>81</v>
      </c>
      <c r="F1162" t="s">
        <v>3363</v>
      </c>
      <c r="G1162">
        <v>81</v>
      </c>
      <c r="H1162">
        <v>54.580199999999998</v>
      </c>
      <c r="N1162">
        <v>54.580199999999998</v>
      </c>
      <c r="O1162" s="1">
        <v>44984</v>
      </c>
      <c r="P1162">
        <f>IF(ISBLANK(ReconciliationData[[#This Row],[Invoice_ID]]),1,0)</f>
        <v>0</v>
      </c>
      <c r="Q1162">
        <f>IF(AND(NOT(ISBLANK(ReconciliationData[[#This Row],[Billed_Units]])),ReconciliationData[[#This Row],[ordered_units]]&lt;&gt;ReconciliationData[[#This Row],[Billed_Units]]),1,0)</f>
        <v>0</v>
      </c>
      <c r="R11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2">
        <f>IF(AND(NOT(ISBLANK(ReconciliationData[[#This Row],[Contract_Price]])),ReconciliationData[[#This Row],[Billed_Price]]&lt;&gt;ReconciliationData[[#This Row],[Contract_Price]]),1,0)</f>
        <v>0</v>
      </c>
      <c r="T1162">
        <f>IF(AND(NOT(ISBLANK(ReconciliationData[[#This Row],[End_Date]])),ReconciliationData[[#This Row],[Order_Date]]&gt;ReconciliationData[[#This Row],[End_Date]]),1,0)</f>
        <v>0</v>
      </c>
      <c r="U1162">
        <f>IF(AND(NOT(ISBLANK(ReconciliationData[[#This Row],[last_return_date]])),ReconciliationData[[#This Row],[last_return_date]]&gt;ReconciliationData[[#This Row],[Order_Date]]+60),1,0)</f>
        <v>0</v>
      </c>
      <c r="V1162">
        <f>IF(ReconciliationData[[#This Row],[total_returned_units]]&gt;ReconciliationData[[#This Row],[ordered_units]],1,0)</f>
        <v>0</v>
      </c>
      <c r="W11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62">
        <f>ReconciliationData[[#This Row],[Billed_Units]]*ReconciliationData[[#This Row],[Billed_Price]]</f>
        <v>4420.9961999999996</v>
      </c>
      <c r="Y1162">
        <f>ReconciliationData[[#This Row],[ordered_units]]*ReconciliationData[[#This Row],[List_Price]]</f>
        <v>4420.9961999999996</v>
      </c>
      <c r="Z1162">
        <f>ReconciliationData[[#This Row],[billed_revenue]]-ReconciliationData[[#This Row],[expected_revenue]]</f>
        <v>0</v>
      </c>
      <c r="AA11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62" t="str">
        <f>IF(ReconciliationData[[#This Row],[severity_score]]=0,"LOW",
 IF(ReconciliationData[[#This Row],[severity_score]]&lt;=5,"MEDIUM","HIGH"))</f>
        <v>LOW</v>
      </c>
      <c r="AC1162" t="str">
        <f>TEXT(ReconciliationData[[#This Row],[Order_Date]],"YYYY-MM")</f>
        <v>2023-05</v>
      </c>
    </row>
    <row r="1163" spans="1:29">
      <c r="A1163" t="s">
        <v>3364</v>
      </c>
      <c r="B1163" s="1">
        <v>45474</v>
      </c>
      <c r="C1163" t="s">
        <v>3365</v>
      </c>
      <c r="D1163" t="s">
        <v>291</v>
      </c>
      <c r="E1163">
        <v>9</v>
      </c>
      <c r="F1163" t="s">
        <v>3366</v>
      </c>
      <c r="G1163">
        <v>9</v>
      </c>
      <c r="H1163">
        <v>454.98379999999997</v>
      </c>
      <c r="N1163">
        <v>454.98379999999997</v>
      </c>
      <c r="O1163" s="1">
        <v>45011</v>
      </c>
      <c r="P1163">
        <f>IF(ISBLANK(ReconciliationData[[#This Row],[Invoice_ID]]),1,0)</f>
        <v>0</v>
      </c>
      <c r="Q1163">
        <f>IF(AND(NOT(ISBLANK(ReconciliationData[[#This Row],[Billed_Units]])),ReconciliationData[[#This Row],[ordered_units]]&lt;&gt;ReconciliationData[[#This Row],[Billed_Units]]),1,0)</f>
        <v>0</v>
      </c>
      <c r="R11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3">
        <f>IF(AND(NOT(ISBLANK(ReconciliationData[[#This Row],[Contract_Price]])),ReconciliationData[[#This Row],[Billed_Price]]&lt;&gt;ReconciliationData[[#This Row],[Contract_Price]]),1,0)</f>
        <v>0</v>
      </c>
      <c r="T1163">
        <f>IF(AND(NOT(ISBLANK(ReconciliationData[[#This Row],[End_Date]])),ReconciliationData[[#This Row],[Order_Date]]&gt;ReconciliationData[[#This Row],[End_Date]]),1,0)</f>
        <v>0</v>
      </c>
      <c r="U1163">
        <f>IF(AND(NOT(ISBLANK(ReconciliationData[[#This Row],[last_return_date]])),ReconciliationData[[#This Row],[last_return_date]]&gt;ReconciliationData[[#This Row],[Order_Date]]+60),1,0)</f>
        <v>0</v>
      </c>
      <c r="V1163">
        <f>IF(ReconciliationData[[#This Row],[total_returned_units]]&gt;ReconciliationData[[#This Row],[ordered_units]],1,0)</f>
        <v>0</v>
      </c>
      <c r="W11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63">
        <f>ReconciliationData[[#This Row],[Billed_Units]]*ReconciliationData[[#This Row],[Billed_Price]]</f>
        <v>4094.8541999999998</v>
      </c>
      <c r="Y1163">
        <f>ReconciliationData[[#This Row],[ordered_units]]*ReconciliationData[[#This Row],[List_Price]]</f>
        <v>4094.8541999999998</v>
      </c>
      <c r="Z1163">
        <f>ReconciliationData[[#This Row],[billed_revenue]]-ReconciliationData[[#This Row],[expected_revenue]]</f>
        <v>0</v>
      </c>
      <c r="AA11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63" t="str">
        <f>IF(ReconciliationData[[#This Row],[severity_score]]=0,"LOW",
 IF(ReconciliationData[[#This Row],[severity_score]]&lt;=5,"MEDIUM","HIGH"))</f>
        <v>LOW</v>
      </c>
      <c r="AC1163" t="str">
        <f>TEXT(ReconciliationData[[#This Row],[Order_Date]],"YYYY-MM")</f>
        <v>2024-07</v>
      </c>
    </row>
    <row r="1164" spans="1:29">
      <c r="A1164" t="s">
        <v>3367</v>
      </c>
      <c r="B1164" s="1">
        <v>45283</v>
      </c>
      <c r="C1164" t="s">
        <v>2937</v>
      </c>
      <c r="D1164" t="s">
        <v>923</v>
      </c>
      <c r="E1164">
        <v>62</v>
      </c>
      <c r="F1164" t="s">
        <v>3368</v>
      </c>
      <c r="G1164">
        <v>62</v>
      </c>
      <c r="H1164">
        <v>754.20799999999997</v>
      </c>
      <c r="N1164">
        <v>754.20799999999997</v>
      </c>
      <c r="O1164" s="1">
        <v>45069</v>
      </c>
      <c r="P1164">
        <f>IF(ISBLANK(ReconciliationData[[#This Row],[Invoice_ID]]),1,0)</f>
        <v>0</v>
      </c>
      <c r="Q1164">
        <f>IF(AND(NOT(ISBLANK(ReconciliationData[[#This Row],[Billed_Units]])),ReconciliationData[[#This Row],[ordered_units]]&lt;&gt;ReconciliationData[[#This Row],[Billed_Units]]),1,0)</f>
        <v>0</v>
      </c>
      <c r="R11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4">
        <f>IF(AND(NOT(ISBLANK(ReconciliationData[[#This Row],[Contract_Price]])),ReconciliationData[[#This Row],[Billed_Price]]&lt;&gt;ReconciliationData[[#This Row],[Contract_Price]]),1,0)</f>
        <v>0</v>
      </c>
      <c r="T1164">
        <f>IF(AND(NOT(ISBLANK(ReconciliationData[[#This Row],[End_Date]])),ReconciliationData[[#This Row],[Order_Date]]&gt;ReconciliationData[[#This Row],[End_Date]]),1,0)</f>
        <v>0</v>
      </c>
      <c r="U1164">
        <f>IF(AND(NOT(ISBLANK(ReconciliationData[[#This Row],[last_return_date]])),ReconciliationData[[#This Row],[last_return_date]]&gt;ReconciliationData[[#This Row],[Order_Date]]+60),1,0)</f>
        <v>0</v>
      </c>
      <c r="V1164">
        <f>IF(ReconciliationData[[#This Row],[total_returned_units]]&gt;ReconciliationData[[#This Row],[ordered_units]],1,0)</f>
        <v>0</v>
      </c>
      <c r="W11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64">
        <f>ReconciliationData[[#This Row],[Billed_Units]]*ReconciliationData[[#This Row],[Billed_Price]]</f>
        <v>46760.896000000001</v>
      </c>
      <c r="Y1164">
        <f>ReconciliationData[[#This Row],[ordered_units]]*ReconciliationData[[#This Row],[List_Price]]</f>
        <v>46760.896000000001</v>
      </c>
      <c r="Z1164">
        <f>ReconciliationData[[#This Row],[billed_revenue]]-ReconciliationData[[#This Row],[expected_revenue]]</f>
        <v>0</v>
      </c>
      <c r="AA11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64" t="str">
        <f>IF(ReconciliationData[[#This Row],[severity_score]]=0,"LOW",
 IF(ReconciliationData[[#This Row],[severity_score]]&lt;=5,"MEDIUM","HIGH"))</f>
        <v>LOW</v>
      </c>
      <c r="AC1164" t="str">
        <f>TEXT(ReconciliationData[[#This Row],[Order_Date]],"YYYY-MM")</f>
        <v>2023-12</v>
      </c>
    </row>
    <row r="1165" spans="1:29">
      <c r="A1165" t="s">
        <v>3369</v>
      </c>
      <c r="B1165" s="1">
        <v>45204</v>
      </c>
      <c r="C1165" t="s">
        <v>547</v>
      </c>
      <c r="D1165" t="s">
        <v>1171</v>
      </c>
      <c r="E1165">
        <v>143</v>
      </c>
      <c r="F1165" t="s">
        <v>3370</v>
      </c>
      <c r="G1165">
        <v>143</v>
      </c>
      <c r="H1165">
        <v>435.57279999999997</v>
      </c>
      <c r="N1165">
        <v>435.57279999999997</v>
      </c>
      <c r="O1165" s="1">
        <v>45159</v>
      </c>
      <c r="P1165">
        <f>IF(ISBLANK(ReconciliationData[[#This Row],[Invoice_ID]]),1,0)</f>
        <v>0</v>
      </c>
      <c r="Q1165">
        <f>IF(AND(NOT(ISBLANK(ReconciliationData[[#This Row],[Billed_Units]])),ReconciliationData[[#This Row],[ordered_units]]&lt;&gt;ReconciliationData[[#This Row],[Billed_Units]]),1,0)</f>
        <v>0</v>
      </c>
      <c r="R11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5">
        <f>IF(AND(NOT(ISBLANK(ReconciliationData[[#This Row],[Contract_Price]])),ReconciliationData[[#This Row],[Billed_Price]]&lt;&gt;ReconciliationData[[#This Row],[Contract_Price]]),1,0)</f>
        <v>0</v>
      </c>
      <c r="T1165">
        <f>IF(AND(NOT(ISBLANK(ReconciliationData[[#This Row],[End_Date]])),ReconciliationData[[#This Row],[Order_Date]]&gt;ReconciliationData[[#This Row],[End_Date]]),1,0)</f>
        <v>0</v>
      </c>
      <c r="U1165">
        <f>IF(AND(NOT(ISBLANK(ReconciliationData[[#This Row],[last_return_date]])),ReconciliationData[[#This Row],[last_return_date]]&gt;ReconciliationData[[#This Row],[Order_Date]]+60),1,0)</f>
        <v>0</v>
      </c>
      <c r="V1165">
        <f>IF(ReconciliationData[[#This Row],[total_returned_units]]&gt;ReconciliationData[[#This Row],[ordered_units]],1,0)</f>
        <v>0</v>
      </c>
      <c r="W11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65">
        <f>ReconciliationData[[#This Row],[Billed_Units]]*ReconciliationData[[#This Row],[Billed_Price]]</f>
        <v>62286.910399999993</v>
      </c>
      <c r="Y1165">
        <f>ReconciliationData[[#This Row],[ordered_units]]*ReconciliationData[[#This Row],[List_Price]]</f>
        <v>62286.910399999993</v>
      </c>
      <c r="Z1165">
        <f>ReconciliationData[[#This Row],[billed_revenue]]-ReconciliationData[[#This Row],[expected_revenue]]</f>
        <v>0</v>
      </c>
      <c r="AA11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65" t="str">
        <f>IF(ReconciliationData[[#This Row],[severity_score]]=0,"LOW",
 IF(ReconciliationData[[#This Row],[severity_score]]&lt;=5,"MEDIUM","HIGH"))</f>
        <v>LOW</v>
      </c>
      <c r="AC1165" t="str">
        <f>TEXT(ReconciliationData[[#This Row],[Order_Date]],"YYYY-MM")</f>
        <v>2023-10</v>
      </c>
    </row>
    <row r="1166" spans="1:29">
      <c r="A1166" t="s">
        <v>3371</v>
      </c>
      <c r="B1166" s="1">
        <v>45342</v>
      </c>
      <c r="C1166" t="s">
        <v>1490</v>
      </c>
      <c r="D1166" t="s">
        <v>1845</v>
      </c>
      <c r="E1166">
        <v>80</v>
      </c>
      <c r="F1166" t="s">
        <v>3372</v>
      </c>
      <c r="G1166">
        <v>80</v>
      </c>
      <c r="H1166">
        <v>901.84500000000003</v>
      </c>
      <c r="N1166">
        <v>901.84500000000003</v>
      </c>
      <c r="O1166" s="1">
        <v>45216</v>
      </c>
      <c r="P1166">
        <f>IF(ISBLANK(ReconciliationData[[#This Row],[Invoice_ID]]),1,0)</f>
        <v>0</v>
      </c>
      <c r="Q1166">
        <f>IF(AND(NOT(ISBLANK(ReconciliationData[[#This Row],[Billed_Units]])),ReconciliationData[[#This Row],[ordered_units]]&lt;&gt;ReconciliationData[[#This Row],[Billed_Units]]),1,0)</f>
        <v>0</v>
      </c>
      <c r="R11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6">
        <f>IF(AND(NOT(ISBLANK(ReconciliationData[[#This Row],[Contract_Price]])),ReconciliationData[[#This Row],[Billed_Price]]&lt;&gt;ReconciliationData[[#This Row],[Contract_Price]]),1,0)</f>
        <v>0</v>
      </c>
      <c r="T1166">
        <f>IF(AND(NOT(ISBLANK(ReconciliationData[[#This Row],[End_Date]])),ReconciliationData[[#This Row],[Order_Date]]&gt;ReconciliationData[[#This Row],[End_Date]]),1,0)</f>
        <v>0</v>
      </c>
      <c r="U1166">
        <f>IF(AND(NOT(ISBLANK(ReconciliationData[[#This Row],[last_return_date]])),ReconciliationData[[#This Row],[last_return_date]]&gt;ReconciliationData[[#This Row],[Order_Date]]+60),1,0)</f>
        <v>0</v>
      </c>
      <c r="V1166">
        <f>IF(ReconciliationData[[#This Row],[total_returned_units]]&gt;ReconciliationData[[#This Row],[ordered_units]],1,0)</f>
        <v>0</v>
      </c>
      <c r="W11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66">
        <f>ReconciliationData[[#This Row],[Billed_Units]]*ReconciliationData[[#This Row],[Billed_Price]]</f>
        <v>72147.600000000006</v>
      </c>
      <c r="Y1166">
        <f>ReconciliationData[[#This Row],[ordered_units]]*ReconciliationData[[#This Row],[List_Price]]</f>
        <v>72147.600000000006</v>
      </c>
      <c r="Z1166">
        <f>ReconciliationData[[#This Row],[billed_revenue]]-ReconciliationData[[#This Row],[expected_revenue]]</f>
        <v>0</v>
      </c>
      <c r="AA11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66" t="str">
        <f>IF(ReconciliationData[[#This Row],[severity_score]]=0,"LOW",
 IF(ReconciliationData[[#This Row],[severity_score]]&lt;=5,"MEDIUM","HIGH"))</f>
        <v>LOW</v>
      </c>
      <c r="AC1166" t="str">
        <f>TEXT(ReconciliationData[[#This Row],[Order_Date]],"YYYY-MM")</f>
        <v>2024-02</v>
      </c>
    </row>
    <row r="1167" spans="1:29">
      <c r="A1167" t="s">
        <v>3373</v>
      </c>
      <c r="B1167" s="1">
        <v>45508</v>
      </c>
      <c r="C1167" t="s">
        <v>1024</v>
      </c>
      <c r="D1167" t="s">
        <v>684</v>
      </c>
      <c r="E1167">
        <v>135</v>
      </c>
      <c r="F1167" t="s">
        <v>3374</v>
      </c>
      <c r="G1167">
        <v>135</v>
      </c>
      <c r="H1167">
        <v>75.620999999999995</v>
      </c>
      <c r="N1167">
        <v>75.620999999999995</v>
      </c>
      <c r="O1167" s="1">
        <v>45108</v>
      </c>
      <c r="P1167">
        <f>IF(ISBLANK(ReconciliationData[[#This Row],[Invoice_ID]]),1,0)</f>
        <v>0</v>
      </c>
      <c r="Q1167">
        <f>IF(AND(NOT(ISBLANK(ReconciliationData[[#This Row],[Billed_Units]])),ReconciliationData[[#This Row],[ordered_units]]&lt;&gt;ReconciliationData[[#This Row],[Billed_Units]]),1,0)</f>
        <v>0</v>
      </c>
      <c r="R11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7">
        <f>IF(AND(NOT(ISBLANK(ReconciliationData[[#This Row],[Contract_Price]])),ReconciliationData[[#This Row],[Billed_Price]]&lt;&gt;ReconciliationData[[#This Row],[Contract_Price]]),1,0)</f>
        <v>0</v>
      </c>
      <c r="T1167">
        <f>IF(AND(NOT(ISBLANK(ReconciliationData[[#This Row],[End_Date]])),ReconciliationData[[#This Row],[Order_Date]]&gt;ReconciliationData[[#This Row],[End_Date]]),1,0)</f>
        <v>0</v>
      </c>
      <c r="U1167">
        <f>IF(AND(NOT(ISBLANK(ReconciliationData[[#This Row],[last_return_date]])),ReconciliationData[[#This Row],[last_return_date]]&gt;ReconciliationData[[#This Row],[Order_Date]]+60),1,0)</f>
        <v>0</v>
      </c>
      <c r="V1167">
        <f>IF(ReconciliationData[[#This Row],[total_returned_units]]&gt;ReconciliationData[[#This Row],[ordered_units]],1,0)</f>
        <v>0</v>
      </c>
      <c r="W11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67">
        <f>ReconciliationData[[#This Row],[Billed_Units]]*ReconciliationData[[#This Row],[Billed_Price]]</f>
        <v>10208.834999999999</v>
      </c>
      <c r="Y1167">
        <f>ReconciliationData[[#This Row],[ordered_units]]*ReconciliationData[[#This Row],[List_Price]]</f>
        <v>10208.834999999999</v>
      </c>
      <c r="Z1167">
        <f>ReconciliationData[[#This Row],[billed_revenue]]-ReconciliationData[[#This Row],[expected_revenue]]</f>
        <v>0</v>
      </c>
      <c r="AA11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67" t="str">
        <f>IF(ReconciliationData[[#This Row],[severity_score]]=0,"LOW",
 IF(ReconciliationData[[#This Row],[severity_score]]&lt;=5,"MEDIUM","HIGH"))</f>
        <v>LOW</v>
      </c>
      <c r="AC1167" t="str">
        <f>TEXT(ReconciliationData[[#This Row],[Order_Date]],"YYYY-MM")</f>
        <v>2024-08</v>
      </c>
    </row>
    <row r="1168" spans="1:29">
      <c r="A1168" t="s">
        <v>3375</v>
      </c>
      <c r="B1168" s="1">
        <v>45223</v>
      </c>
      <c r="C1168" t="s">
        <v>169</v>
      </c>
      <c r="D1168" t="s">
        <v>1616</v>
      </c>
      <c r="E1168">
        <v>35</v>
      </c>
      <c r="F1168" t="s">
        <v>3376</v>
      </c>
      <c r="G1168">
        <v>35</v>
      </c>
      <c r="H1168">
        <v>1137.9636</v>
      </c>
      <c r="N1168">
        <v>1137.9636</v>
      </c>
      <c r="O1168" s="1">
        <v>45007</v>
      </c>
      <c r="P1168">
        <f>IF(ISBLANK(ReconciliationData[[#This Row],[Invoice_ID]]),1,0)</f>
        <v>0</v>
      </c>
      <c r="Q1168">
        <f>IF(AND(NOT(ISBLANK(ReconciliationData[[#This Row],[Billed_Units]])),ReconciliationData[[#This Row],[ordered_units]]&lt;&gt;ReconciliationData[[#This Row],[Billed_Units]]),1,0)</f>
        <v>0</v>
      </c>
      <c r="R11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8">
        <f>IF(AND(NOT(ISBLANK(ReconciliationData[[#This Row],[Contract_Price]])),ReconciliationData[[#This Row],[Billed_Price]]&lt;&gt;ReconciliationData[[#This Row],[Contract_Price]]),1,0)</f>
        <v>0</v>
      </c>
      <c r="T1168">
        <f>IF(AND(NOT(ISBLANK(ReconciliationData[[#This Row],[End_Date]])),ReconciliationData[[#This Row],[Order_Date]]&gt;ReconciliationData[[#This Row],[End_Date]]),1,0)</f>
        <v>0</v>
      </c>
      <c r="U1168">
        <f>IF(AND(NOT(ISBLANK(ReconciliationData[[#This Row],[last_return_date]])),ReconciliationData[[#This Row],[last_return_date]]&gt;ReconciliationData[[#This Row],[Order_Date]]+60),1,0)</f>
        <v>0</v>
      </c>
      <c r="V1168">
        <f>IF(ReconciliationData[[#This Row],[total_returned_units]]&gt;ReconciliationData[[#This Row],[ordered_units]],1,0)</f>
        <v>0</v>
      </c>
      <c r="W11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68">
        <f>ReconciliationData[[#This Row],[Billed_Units]]*ReconciliationData[[#This Row],[Billed_Price]]</f>
        <v>39828.726000000002</v>
      </c>
      <c r="Y1168">
        <f>ReconciliationData[[#This Row],[ordered_units]]*ReconciliationData[[#This Row],[List_Price]]</f>
        <v>39828.726000000002</v>
      </c>
      <c r="Z1168">
        <f>ReconciliationData[[#This Row],[billed_revenue]]-ReconciliationData[[#This Row],[expected_revenue]]</f>
        <v>0</v>
      </c>
      <c r="AA11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68" t="str">
        <f>IF(ReconciliationData[[#This Row],[severity_score]]=0,"LOW",
 IF(ReconciliationData[[#This Row],[severity_score]]&lt;=5,"MEDIUM","HIGH"))</f>
        <v>LOW</v>
      </c>
      <c r="AC1168" t="str">
        <f>TEXT(ReconciliationData[[#This Row],[Order_Date]],"YYYY-MM")</f>
        <v>2023-10</v>
      </c>
    </row>
    <row r="1169" spans="1:29">
      <c r="A1169" t="s">
        <v>3377</v>
      </c>
      <c r="B1169" s="1">
        <v>44961</v>
      </c>
      <c r="C1169" t="s">
        <v>1815</v>
      </c>
      <c r="D1169" t="s">
        <v>198</v>
      </c>
      <c r="E1169">
        <v>140</v>
      </c>
      <c r="F1169" t="s">
        <v>3378</v>
      </c>
      <c r="G1169">
        <v>140</v>
      </c>
      <c r="H1169">
        <v>82.752600000000001</v>
      </c>
      <c r="N1169">
        <v>82.752600000000001</v>
      </c>
      <c r="O1169" s="1">
        <v>44830</v>
      </c>
      <c r="P1169">
        <f>IF(ISBLANK(ReconciliationData[[#This Row],[Invoice_ID]]),1,0)</f>
        <v>0</v>
      </c>
      <c r="Q1169">
        <f>IF(AND(NOT(ISBLANK(ReconciliationData[[#This Row],[Billed_Units]])),ReconciliationData[[#This Row],[ordered_units]]&lt;&gt;ReconciliationData[[#This Row],[Billed_Units]]),1,0)</f>
        <v>0</v>
      </c>
      <c r="R11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69">
        <f>IF(AND(NOT(ISBLANK(ReconciliationData[[#This Row],[Contract_Price]])),ReconciliationData[[#This Row],[Billed_Price]]&lt;&gt;ReconciliationData[[#This Row],[Contract_Price]]),1,0)</f>
        <v>0</v>
      </c>
      <c r="T1169">
        <f>IF(AND(NOT(ISBLANK(ReconciliationData[[#This Row],[End_Date]])),ReconciliationData[[#This Row],[Order_Date]]&gt;ReconciliationData[[#This Row],[End_Date]]),1,0)</f>
        <v>0</v>
      </c>
      <c r="U1169">
        <f>IF(AND(NOT(ISBLANK(ReconciliationData[[#This Row],[last_return_date]])),ReconciliationData[[#This Row],[last_return_date]]&gt;ReconciliationData[[#This Row],[Order_Date]]+60),1,0)</f>
        <v>0</v>
      </c>
      <c r="V1169">
        <f>IF(ReconciliationData[[#This Row],[total_returned_units]]&gt;ReconciliationData[[#This Row],[ordered_units]],1,0)</f>
        <v>0</v>
      </c>
      <c r="W11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69">
        <f>ReconciliationData[[#This Row],[Billed_Units]]*ReconciliationData[[#This Row],[Billed_Price]]</f>
        <v>11585.364</v>
      </c>
      <c r="Y1169">
        <f>ReconciliationData[[#This Row],[ordered_units]]*ReconciliationData[[#This Row],[List_Price]]</f>
        <v>11585.364</v>
      </c>
      <c r="Z1169">
        <f>ReconciliationData[[#This Row],[billed_revenue]]-ReconciliationData[[#This Row],[expected_revenue]]</f>
        <v>0</v>
      </c>
      <c r="AA11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69" t="str">
        <f>IF(ReconciliationData[[#This Row],[severity_score]]=0,"LOW",
 IF(ReconciliationData[[#This Row],[severity_score]]&lt;=5,"MEDIUM","HIGH"))</f>
        <v>LOW</v>
      </c>
      <c r="AC1169" t="str">
        <f>TEXT(ReconciliationData[[#This Row],[Order_Date]],"YYYY-MM")</f>
        <v>2023-02</v>
      </c>
    </row>
    <row r="1170" spans="1:29">
      <c r="A1170" t="s">
        <v>3379</v>
      </c>
      <c r="B1170" s="1">
        <v>45167</v>
      </c>
      <c r="C1170" t="s">
        <v>2478</v>
      </c>
      <c r="D1170" t="s">
        <v>1567</v>
      </c>
      <c r="E1170">
        <v>193</v>
      </c>
      <c r="F1170" t="s">
        <v>3380</v>
      </c>
      <c r="G1170">
        <v>193</v>
      </c>
      <c r="H1170">
        <v>799.8357000000002</v>
      </c>
      <c r="N1170">
        <v>799.8357000000002</v>
      </c>
      <c r="O1170" s="1">
        <v>45063</v>
      </c>
      <c r="P1170">
        <f>IF(ISBLANK(ReconciliationData[[#This Row],[Invoice_ID]]),1,0)</f>
        <v>0</v>
      </c>
      <c r="Q1170">
        <f>IF(AND(NOT(ISBLANK(ReconciliationData[[#This Row],[Billed_Units]])),ReconciliationData[[#This Row],[ordered_units]]&lt;&gt;ReconciliationData[[#This Row],[Billed_Units]]),1,0)</f>
        <v>0</v>
      </c>
      <c r="R11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70">
        <f>IF(AND(NOT(ISBLANK(ReconciliationData[[#This Row],[Contract_Price]])),ReconciliationData[[#This Row],[Billed_Price]]&lt;&gt;ReconciliationData[[#This Row],[Contract_Price]]),1,0)</f>
        <v>0</v>
      </c>
      <c r="T1170">
        <f>IF(AND(NOT(ISBLANK(ReconciliationData[[#This Row],[End_Date]])),ReconciliationData[[#This Row],[Order_Date]]&gt;ReconciliationData[[#This Row],[End_Date]]),1,0)</f>
        <v>0</v>
      </c>
      <c r="U1170">
        <f>IF(AND(NOT(ISBLANK(ReconciliationData[[#This Row],[last_return_date]])),ReconciliationData[[#This Row],[last_return_date]]&gt;ReconciliationData[[#This Row],[Order_Date]]+60),1,0)</f>
        <v>0</v>
      </c>
      <c r="V1170">
        <f>IF(ReconciliationData[[#This Row],[total_returned_units]]&gt;ReconciliationData[[#This Row],[ordered_units]],1,0)</f>
        <v>0</v>
      </c>
      <c r="W11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70">
        <f>ReconciliationData[[#This Row],[Billed_Units]]*ReconciliationData[[#This Row],[Billed_Price]]</f>
        <v>154368.29010000004</v>
      </c>
      <c r="Y1170">
        <f>ReconciliationData[[#This Row],[ordered_units]]*ReconciliationData[[#This Row],[List_Price]]</f>
        <v>154368.29010000004</v>
      </c>
      <c r="Z1170">
        <f>ReconciliationData[[#This Row],[billed_revenue]]-ReconciliationData[[#This Row],[expected_revenue]]</f>
        <v>0</v>
      </c>
      <c r="AA11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70" t="str">
        <f>IF(ReconciliationData[[#This Row],[severity_score]]=0,"LOW",
 IF(ReconciliationData[[#This Row],[severity_score]]&lt;=5,"MEDIUM","HIGH"))</f>
        <v>LOW</v>
      </c>
      <c r="AC1170" t="str">
        <f>TEXT(ReconciliationData[[#This Row],[Order_Date]],"YYYY-MM")</f>
        <v>2023-08</v>
      </c>
    </row>
    <row r="1171" spans="1:29">
      <c r="A1171" t="s">
        <v>3381</v>
      </c>
      <c r="B1171" s="1">
        <v>45159</v>
      </c>
      <c r="C1171" t="s">
        <v>1490</v>
      </c>
      <c r="D1171" t="s">
        <v>457</v>
      </c>
      <c r="E1171">
        <v>173</v>
      </c>
      <c r="F1171" t="s">
        <v>3382</v>
      </c>
      <c r="G1171">
        <v>173</v>
      </c>
      <c r="H1171">
        <v>492.38400000000001</v>
      </c>
      <c r="N1171">
        <v>492.38400000000001</v>
      </c>
      <c r="O1171" s="1">
        <v>44966</v>
      </c>
      <c r="P1171">
        <f>IF(ISBLANK(ReconciliationData[[#This Row],[Invoice_ID]]),1,0)</f>
        <v>0</v>
      </c>
      <c r="Q1171">
        <f>IF(AND(NOT(ISBLANK(ReconciliationData[[#This Row],[Billed_Units]])),ReconciliationData[[#This Row],[ordered_units]]&lt;&gt;ReconciliationData[[#This Row],[Billed_Units]]),1,0)</f>
        <v>0</v>
      </c>
      <c r="R11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71">
        <f>IF(AND(NOT(ISBLANK(ReconciliationData[[#This Row],[Contract_Price]])),ReconciliationData[[#This Row],[Billed_Price]]&lt;&gt;ReconciliationData[[#This Row],[Contract_Price]]),1,0)</f>
        <v>0</v>
      </c>
      <c r="T1171">
        <f>IF(AND(NOT(ISBLANK(ReconciliationData[[#This Row],[End_Date]])),ReconciliationData[[#This Row],[Order_Date]]&gt;ReconciliationData[[#This Row],[End_Date]]),1,0)</f>
        <v>0</v>
      </c>
      <c r="U1171">
        <f>IF(AND(NOT(ISBLANK(ReconciliationData[[#This Row],[last_return_date]])),ReconciliationData[[#This Row],[last_return_date]]&gt;ReconciliationData[[#This Row],[Order_Date]]+60),1,0)</f>
        <v>0</v>
      </c>
      <c r="V1171">
        <f>IF(ReconciliationData[[#This Row],[total_returned_units]]&gt;ReconciliationData[[#This Row],[ordered_units]],1,0)</f>
        <v>0</v>
      </c>
      <c r="W11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71">
        <f>ReconciliationData[[#This Row],[Billed_Units]]*ReconciliationData[[#This Row],[Billed_Price]]</f>
        <v>85182.432000000001</v>
      </c>
      <c r="Y1171">
        <f>ReconciliationData[[#This Row],[ordered_units]]*ReconciliationData[[#This Row],[List_Price]]</f>
        <v>85182.432000000001</v>
      </c>
      <c r="Z1171">
        <f>ReconciliationData[[#This Row],[billed_revenue]]-ReconciliationData[[#This Row],[expected_revenue]]</f>
        <v>0</v>
      </c>
      <c r="AA11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71" t="str">
        <f>IF(ReconciliationData[[#This Row],[severity_score]]=0,"LOW",
 IF(ReconciliationData[[#This Row],[severity_score]]&lt;=5,"MEDIUM","HIGH"))</f>
        <v>LOW</v>
      </c>
      <c r="AC1171" t="str">
        <f>TEXT(ReconciliationData[[#This Row],[Order_Date]],"YYYY-MM")</f>
        <v>2023-08</v>
      </c>
    </row>
    <row r="1172" spans="1:29">
      <c r="A1172" t="s">
        <v>3383</v>
      </c>
      <c r="B1172" s="1">
        <v>45067</v>
      </c>
      <c r="C1172" t="s">
        <v>503</v>
      </c>
      <c r="D1172" t="s">
        <v>345</v>
      </c>
      <c r="E1172">
        <v>159</v>
      </c>
      <c r="F1172" t="s">
        <v>3384</v>
      </c>
      <c r="G1172">
        <v>160</v>
      </c>
      <c r="H1172">
        <v>574.3415</v>
      </c>
      <c r="N1172">
        <v>574.3415</v>
      </c>
      <c r="O1172" s="1">
        <v>44806</v>
      </c>
      <c r="P1172">
        <f>IF(ISBLANK(ReconciliationData[[#This Row],[Invoice_ID]]),1,0)</f>
        <v>0</v>
      </c>
      <c r="Q1172">
        <f>IF(AND(NOT(ISBLANK(ReconciliationData[[#This Row],[Billed_Units]])),ReconciliationData[[#This Row],[ordered_units]]&lt;&gt;ReconciliationData[[#This Row],[Billed_Units]]),1,0)</f>
        <v>1</v>
      </c>
      <c r="R11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72">
        <f>IF(AND(NOT(ISBLANK(ReconciliationData[[#This Row],[Contract_Price]])),ReconciliationData[[#This Row],[Billed_Price]]&lt;&gt;ReconciliationData[[#This Row],[Contract_Price]]),1,0)</f>
        <v>0</v>
      </c>
      <c r="T1172">
        <f>IF(AND(NOT(ISBLANK(ReconciliationData[[#This Row],[End_Date]])),ReconciliationData[[#This Row],[Order_Date]]&gt;ReconciliationData[[#This Row],[End_Date]]),1,0)</f>
        <v>0</v>
      </c>
      <c r="U1172">
        <f>IF(AND(NOT(ISBLANK(ReconciliationData[[#This Row],[last_return_date]])),ReconciliationData[[#This Row],[last_return_date]]&gt;ReconciliationData[[#This Row],[Order_Date]]+60),1,0)</f>
        <v>0</v>
      </c>
      <c r="V1172">
        <f>IF(ReconciliationData[[#This Row],[total_returned_units]]&gt;ReconciliationData[[#This Row],[ordered_units]],1,0)</f>
        <v>0</v>
      </c>
      <c r="W11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72">
        <f>ReconciliationData[[#This Row],[Billed_Units]]*ReconciliationData[[#This Row],[Billed_Price]]</f>
        <v>91894.64</v>
      </c>
      <c r="Y1172">
        <f>ReconciliationData[[#This Row],[ordered_units]]*ReconciliationData[[#This Row],[List_Price]]</f>
        <v>91320.298500000004</v>
      </c>
      <c r="Z1172">
        <f>ReconciliationData[[#This Row],[billed_revenue]]-ReconciliationData[[#This Row],[expected_revenue]]</f>
        <v>574.34149999999499</v>
      </c>
      <c r="AA11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172" t="str">
        <f>IF(ReconciliationData[[#This Row],[severity_score]]=0,"LOW",
 IF(ReconciliationData[[#This Row],[severity_score]]&lt;=5,"MEDIUM","HIGH"))</f>
        <v>HIGH</v>
      </c>
      <c r="AC1172" t="str">
        <f>TEXT(ReconciliationData[[#This Row],[Order_Date]],"YYYY-MM")</f>
        <v>2023-05</v>
      </c>
    </row>
    <row r="1173" spans="1:29">
      <c r="A1173" t="s">
        <v>3385</v>
      </c>
      <c r="B1173" s="1">
        <v>45486</v>
      </c>
      <c r="C1173" t="s">
        <v>1158</v>
      </c>
      <c r="D1173" t="s">
        <v>441</v>
      </c>
      <c r="E1173">
        <v>150</v>
      </c>
      <c r="F1173" t="s">
        <v>3386</v>
      </c>
      <c r="G1173">
        <v>150</v>
      </c>
      <c r="H1173">
        <v>238.7328</v>
      </c>
      <c r="N1173">
        <v>238.7328</v>
      </c>
      <c r="O1173" s="1">
        <v>44987</v>
      </c>
      <c r="P1173">
        <f>IF(ISBLANK(ReconciliationData[[#This Row],[Invoice_ID]]),1,0)</f>
        <v>0</v>
      </c>
      <c r="Q1173">
        <f>IF(AND(NOT(ISBLANK(ReconciliationData[[#This Row],[Billed_Units]])),ReconciliationData[[#This Row],[ordered_units]]&lt;&gt;ReconciliationData[[#This Row],[Billed_Units]]),1,0)</f>
        <v>0</v>
      </c>
      <c r="R11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73">
        <f>IF(AND(NOT(ISBLANK(ReconciliationData[[#This Row],[Contract_Price]])),ReconciliationData[[#This Row],[Billed_Price]]&lt;&gt;ReconciliationData[[#This Row],[Contract_Price]]),1,0)</f>
        <v>0</v>
      </c>
      <c r="T1173">
        <f>IF(AND(NOT(ISBLANK(ReconciliationData[[#This Row],[End_Date]])),ReconciliationData[[#This Row],[Order_Date]]&gt;ReconciliationData[[#This Row],[End_Date]]),1,0)</f>
        <v>0</v>
      </c>
      <c r="U1173">
        <f>IF(AND(NOT(ISBLANK(ReconciliationData[[#This Row],[last_return_date]])),ReconciliationData[[#This Row],[last_return_date]]&gt;ReconciliationData[[#This Row],[Order_Date]]+60),1,0)</f>
        <v>0</v>
      </c>
      <c r="V1173">
        <f>IF(ReconciliationData[[#This Row],[total_returned_units]]&gt;ReconciliationData[[#This Row],[ordered_units]],1,0)</f>
        <v>0</v>
      </c>
      <c r="W11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73">
        <f>ReconciliationData[[#This Row],[Billed_Units]]*ReconciliationData[[#This Row],[Billed_Price]]</f>
        <v>35809.919999999998</v>
      </c>
      <c r="Y1173">
        <f>ReconciliationData[[#This Row],[ordered_units]]*ReconciliationData[[#This Row],[List_Price]]</f>
        <v>35809.919999999998</v>
      </c>
      <c r="Z1173">
        <f>ReconciliationData[[#This Row],[billed_revenue]]-ReconciliationData[[#This Row],[expected_revenue]]</f>
        <v>0</v>
      </c>
      <c r="AA11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73" t="str">
        <f>IF(ReconciliationData[[#This Row],[severity_score]]=0,"LOW",
 IF(ReconciliationData[[#This Row],[severity_score]]&lt;=5,"MEDIUM","HIGH"))</f>
        <v>LOW</v>
      </c>
      <c r="AC1173" t="str">
        <f>TEXT(ReconciliationData[[#This Row],[Order_Date]],"YYYY-MM")</f>
        <v>2024-07</v>
      </c>
    </row>
    <row r="1174" spans="1:29">
      <c r="A1174" t="s">
        <v>3387</v>
      </c>
      <c r="B1174" s="1">
        <v>45212</v>
      </c>
      <c r="C1174" t="s">
        <v>3388</v>
      </c>
      <c r="D1174" t="s">
        <v>170</v>
      </c>
      <c r="E1174">
        <v>117</v>
      </c>
      <c r="F1174" t="s">
        <v>3389</v>
      </c>
      <c r="G1174">
        <v>117</v>
      </c>
      <c r="H1174">
        <v>397.40159999999997</v>
      </c>
      <c r="N1174">
        <v>397.40159999999997</v>
      </c>
      <c r="O1174" s="1">
        <v>45021</v>
      </c>
      <c r="P1174">
        <f>IF(ISBLANK(ReconciliationData[[#This Row],[Invoice_ID]]),1,0)</f>
        <v>0</v>
      </c>
      <c r="Q1174">
        <f>IF(AND(NOT(ISBLANK(ReconciliationData[[#This Row],[Billed_Units]])),ReconciliationData[[#This Row],[ordered_units]]&lt;&gt;ReconciliationData[[#This Row],[Billed_Units]]),1,0)</f>
        <v>0</v>
      </c>
      <c r="R11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74">
        <f>IF(AND(NOT(ISBLANK(ReconciliationData[[#This Row],[Contract_Price]])),ReconciliationData[[#This Row],[Billed_Price]]&lt;&gt;ReconciliationData[[#This Row],[Contract_Price]]),1,0)</f>
        <v>0</v>
      </c>
      <c r="T1174">
        <f>IF(AND(NOT(ISBLANK(ReconciliationData[[#This Row],[End_Date]])),ReconciliationData[[#This Row],[Order_Date]]&gt;ReconciliationData[[#This Row],[End_Date]]),1,0)</f>
        <v>0</v>
      </c>
      <c r="U1174">
        <f>IF(AND(NOT(ISBLANK(ReconciliationData[[#This Row],[last_return_date]])),ReconciliationData[[#This Row],[last_return_date]]&gt;ReconciliationData[[#This Row],[Order_Date]]+60),1,0)</f>
        <v>0</v>
      </c>
      <c r="V1174">
        <f>IF(ReconciliationData[[#This Row],[total_returned_units]]&gt;ReconciliationData[[#This Row],[ordered_units]],1,0)</f>
        <v>0</v>
      </c>
      <c r="W11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74">
        <f>ReconciliationData[[#This Row],[Billed_Units]]*ReconciliationData[[#This Row],[Billed_Price]]</f>
        <v>46495.987199999996</v>
      </c>
      <c r="Y1174">
        <f>ReconciliationData[[#This Row],[ordered_units]]*ReconciliationData[[#This Row],[List_Price]]</f>
        <v>46495.987199999996</v>
      </c>
      <c r="Z1174">
        <f>ReconciliationData[[#This Row],[billed_revenue]]-ReconciliationData[[#This Row],[expected_revenue]]</f>
        <v>0</v>
      </c>
      <c r="AA11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74" t="str">
        <f>IF(ReconciliationData[[#This Row],[severity_score]]=0,"LOW",
 IF(ReconciliationData[[#This Row],[severity_score]]&lt;=5,"MEDIUM","HIGH"))</f>
        <v>LOW</v>
      </c>
      <c r="AC1174" t="str">
        <f>TEXT(ReconciliationData[[#This Row],[Order_Date]],"YYYY-MM")</f>
        <v>2023-10</v>
      </c>
    </row>
    <row r="1175" spans="1:29">
      <c r="A1175" t="s">
        <v>3390</v>
      </c>
      <c r="B1175" s="1">
        <v>44967</v>
      </c>
      <c r="C1175" t="s">
        <v>478</v>
      </c>
      <c r="D1175" t="s">
        <v>923</v>
      </c>
      <c r="E1175">
        <v>173</v>
      </c>
      <c r="F1175" t="s">
        <v>3391</v>
      </c>
      <c r="G1175">
        <v>173</v>
      </c>
      <c r="H1175">
        <v>732.452</v>
      </c>
      <c r="N1175">
        <v>732.452</v>
      </c>
      <c r="O1175" s="1">
        <v>44941</v>
      </c>
      <c r="P1175">
        <f>IF(ISBLANK(ReconciliationData[[#This Row],[Invoice_ID]]),1,0)</f>
        <v>0</v>
      </c>
      <c r="Q1175">
        <f>IF(AND(NOT(ISBLANK(ReconciliationData[[#This Row],[Billed_Units]])),ReconciliationData[[#This Row],[ordered_units]]&lt;&gt;ReconciliationData[[#This Row],[Billed_Units]]),1,0)</f>
        <v>0</v>
      </c>
      <c r="R11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75">
        <f>IF(AND(NOT(ISBLANK(ReconciliationData[[#This Row],[Contract_Price]])),ReconciliationData[[#This Row],[Billed_Price]]&lt;&gt;ReconciliationData[[#This Row],[Contract_Price]]),1,0)</f>
        <v>0</v>
      </c>
      <c r="T1175">
        <f>IF(AND(NOT(ISBLANK(ReconciliationData[[#This Row],[End_Date]])),ReconciliationData[[#This Row],[Order_Date]]&gt;ReconciliationData[[#This Row],[End_Date]]),1,0)</f>
        <v>0</v>
      </c>
      <c r="U1175">
        <f>IF(AND(NOT(ISBLANK(ReconciliationData[[#This Row],[last_return_date]])),ReconciliationData[[#This Row],[last_return_date]]&gt;ReconciliationData[[#This Row],[Order_Date]]+60),1,0)</f>
        <v>0</v>
      </c>
      <c r="V1175">
        <f>IF(ReconciliationData[[#This Row],[total_returned_units]]&gt;ReconciliationData[[#This Row],[ordered_units]],1,0)</f>
        <v>0</v>
      </c>
      <c r="W11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75">
        <f>ReconciliationData[[#This Row],[Billed_Units]]*ReconciliationData[[#This Row],[Billed_Price]]</f>
        <v>126714.196</v>
      </c>
      <c r="Y1175">
        <f>ReconciliationData[[#This Row],[ordered_units]]*ReconciliationData[[#This Row],[List_Price]]</f>
        <v>126714.196</v>
      </c>
      <c r="Z1175">
        <f>ReconciliationData[[#This Row],[billed_revenue]]-ReconciliationData[[#This Row],[expected_revenue]]</f>
        <v>0</v>
      </c>
      <c r="AA11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75" t="str">
        <f>IF(ReconciliationData[[#This Row],[severity_score]]=0,"LOW",
 IF(ReconciliationData[[#This Row],[severity_score]]&lt;=5,"MEDIUM","HIGH"))</f>
        <v>LOW</v>
      </c>
      <c r="AC1175" t="str">
        <f>TEXT(ReconciliationData[[#This Row],[Order_Date]],"YYYY-MM")</f>
        <v>2023-02</v>
      </c>
    </row>
    <row r="1176" spans="1:29">
      <c r="A1176" t="s">
        <v>3392</v>
      </c>
      <c r="B1176" s="1">
        <v>45537</v>
      </c>
      <c r="C1176" t="s">
        <v>2131</v>
      </c>
      <c r="D1176" t="s">
        <v>1449</v>
      </c>
      <c r="E1176">
        <v>133</v>
      </c>
      <c r="F1176" t="s">
        <v>3393</v>
      </c>
      <c r="G1176">
        <v>133</v>
      </c>
      <c r="H1176">
        <v>960.97304095837455</v>
      </c>
      <c r="N1176">
        <v>960.85850000000005</v>
      </c>
      <c r="O1176" s="1">
        <v>45049</v>
      </c>
      <c r="P1176">
        <f>IF(ISBLANK(ReconciliationData[[#This Row],[Invoice_ID]]),1,0)</f>
        <v>0</v>
      </c>
      <c r="Q1176">
        <f>IF(AND(NOT(ISBLANK(ReconciliationData[[#This Row],[Billed_Units]])),ReconciliationData[[#This Row],[ordered_units]]&lt;&gt;ReconciliationData[[#This Row],[Billed_Units]]),1,0)</f>
        <v>0</v>
      </c>
      <c r="R117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176">
        <f>IF(AND(NOT(ISBLANK(ReconciliationData[[#This Row],[Contract_Price]])),ReconciliationData[[#This Row],[Billed_Price]]&lt;&gt;ReconciliationData[[#This Row],[Contract_Price]]),1,0)</f>
        <v>0</v>
      </c>
      <c r="T1176">
        <f>IF(AND(NOT(ISBLANK(ReconciliationData[[#This Row],[End_Date]])),ReconciliationData[[#This Row],[Order_Date]]&gt;ReconciliationData[[#This Row],[End_Date]]),1,0)</f>
        <v>0</v>
      </c>
      <c r="U1176">
        <f>IF(AND(NOT(ISBLANK(ReconciliationData[[#This Row],[last_return_date]])),ReconciliationData[[#This Row],[last_return_date]]&gt;ReconciliationData[[#This Row],[Order_Date]]+60),1,0)</f>
        <v>0</v>
      </c>
      <c r="V1176">
        <f>IF(ReconciliationData[[#This Row],[total_returned_units]]&gt;ReconciliationData[[#This Row],[ordered_units]],1,0)</f>
        <v>0</v>
      </c>
      <c r="W11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76">
        <f>ReconciliationData[[#This Row],[Billed_Units]]*ReconciliationData[[#This Row],[Billed_Price]]</f>
        <v>127809.41444746382</v>
      </c>
      <c r="Y1176">
        <f>ReconciliationData[[#This Row],[ordered_units]]*ReconciliationData[[#This Row],[List_Price]]</f>
        <v>127794.1805</v>
      </c>
      <c r="Z1176">
        <f>ReconciliationData[[#This Row],[billed_revenue]]-ReconciliationData[[#This Row],[expected_revenue]]</f>
        <v>15.23394746381382</v>
      </c>
      <c r="AA11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176" t="str">
        <f>IF(ReconciliationData[[#This Row],[severity_score]]=0,"LOW",
 IF(ReconciliationData[[#This Row],[severity_score]]&lt;=5,"MEDIUM","HIGH"))</f>
        <v>MEDIUM</v>
      </c>
      <c r="AC1176" t="str">
        <f>TEXT(ReconciliationData[[#This Row],[Order_Date]],"YYYY-MM")</f>
        <v>2024-09</v>
      </c>
    </row>
    <row r="1177" spans="1:29">
      <c r="A1177" t="s">
        <v>3394</v>
      </c>
      <c r="B1177" s="1">
        <v>45378</v>
      </c>
      <c r="C1177" t="s">
        <v>373</v>
      </c>
      <c r="D1177" t="s">
        <v>600</v>
      </c>
      <c r="E1177">
        <v>5</v>
      </c>
      <c r="F1177" t="s">
        <v>3395</v>
      </c>
      <c r="G1177">
        <v>5</v>
      </c>
      <c r="H1177">
        <v>52.288450806463544</v>
      </c>
      <c r="N1177">
        <v>52.185000000000002</v>
      </c>
      <c r="O1177" s="1">
        <v>44998</v>
      </c>
      <c r="P1177">
        <f>IF(ISBLANK(ReconciliationData[[#This Row],[Invoice_ID]]),1,0)</f>
        <v>0</v>
      </c>
      <c r="Q1177">
        <f>IF(AND(NOT(ISBLANK(ReconciliationData[[#This Row],[Billed_Units]])),ReconciliationData[[#This Row],[ordered_units]]&lt;&gt;ReconciliationData[[#This Row],[Billed_Units]]),1,0)</f>
        <v>0</v>
      </c>
      <c r="R117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177">
        <f>IF(AND(NOT(ISBLANK(ReconciliationData[[#This Row],[Contract_Price]])),ReconciliationData[[#This Row],[Billed_Price]]&lt;&gt;ReconciliationData[[#This Row],[Contract_Price]]),1,0)</f>
        <v>0</v>
      </c>
      <c r="T1177">
        <f>IF(AND(NOT(ISBLANK(ReconciliationData[[#This Row],[End_Date]])),ReconciliationData[[#This Row],[Order_Date]]&gt;ReconciliationData[[#This Row],[End_Date]]),1,0)</f>
        <v>0</v>
      </c>
      <c r="U1177">
        <f>IF(AND(NOT(ISBLANK(ReconciliationData[[#This Row],[last_return_date]])),ReconciliationData[[#This Row],[last_return_date]]&gt;ReconciliationData[[#This Row],[Order_Date]]+60),1,0)</f>
        <v>0</v>
      </c>
      <c r="V1177">
        <f>IF(ReconciliationData[[#This Row],[total_returned_units]]&gt;ReconciliationData[[#This Row],[ordered_units]],1,0)</f>
        <v>0</v>
      </c>
      <c r="W11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77">
        <f>ReconciliationData[[#This Row],[Billed_Units]]*ReconciliationData[[#This Row],[Billed_Price]]</f>
        <v>261.44225403231769</v>
      </c>
      <c r="Y1177">
        <f>ReconciliationData[[#This Row],[ordered_units]]*ReconciliationData[[#This Row],[List_Price]]</f>
        <v>260.92500000000001</v>
      </c>
      <c r="Z1177">
        <f>ReconciliationData[[#This Row],[billed_revenue]]-ReconciliationData[[#This Row],[expected_revenue]]</f>
        <v>0.51725403231768041</v>
      </c>
      <c r="AA11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177" t="str">
        <f>IF(ReconciliationData[[#This Row],[severity_score]]=0,"LOW",
 IF(ReconciliationData[[#This Row],[severity_score]]&lt;=5,"MEDIUM","HIGH"))</f>
        <v>MEDIUM</v>
      </c>
      <c r="AC1177" t="str">
        <f>TEXT(ReconciliationData[[#This Row],[Order_Date]],"YYYY-MM")</f>
        <v>2024-03</v>
      </c>
    </row>
    <row r="1178" spans="1:29">
      <c r="A1178" t="s">
        <v>3396</v>
      </c>
      <c r="B1178" s="1">
        <v>45378</v>
      </c>
      <c r="C1178" t="s">
        <v>580</v>
      </c>
      <c r="D1178" t="s">
        <v>674</v>
      </c>
      <c r="E1178">
        <v>170</v>
      </c>
      <c r="F1178" t="s">
        <v>3397</v>
      </c>
      <c r="G1178">
        <v>166</v>
      </c>
      <c r="H1178">
        <v>1061.7264</v>
      </c>
      <c r="N1178">
        <v>1061.7264</v>
      </c>
      <c r="O1178" s="1">
        <v>45180</v>
      </c>
      <c r="P1178">
        <f>IF(ISBLANK(ReconciliationData[[#This Row],[Invoice_ID]]),1,0)</f>
        <v>0</v>
      </c>
      <c r="Q1178">
        <f>IF(AND(NOT(ISBLANK(ReconciliationData[[#This Row],[Billed_Units]])),ReconciliationData[[#This Row],[ordered_units]]&lt;&gt;ReconciliationData[[#This Row],[Billed_Units]]),1,0)</f>
        <v>1</v>
      </c>
      <c r="R11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78">
        <f>IF(AND(NOT(ISBLANK(ReconciliationData[[#This Row],[Contract_Price]])),ReconciliationData[[#This Row],[Billed_Price]]&lt;&gt;ReconciliationData[[#This Row],[Contract_Price]]),1,0)</f>
        <v>0</v>
      </c>
      <c r="T1178">
        <f>IF(AND(NOT(ISBLANK(ReconciliationData[[#This Row],[End_Date]])),ReconciliationData[[#This Row],[Order_Date]]&gt;ReconciliationData[[#This Row],[End_Date]]),1,0)</f>
        <v>0</v>
      </c>
      <c r="U1178">
        <f>IF(AND(NOT(ISBLANK(ReconciliationData[[#This Row],[last_return_date]])),ReconciliationData[[#This Row],[last_return_date]]&gt;ReconciliationData[[#This Row],[Order_Date]]+60),1,0)</f>
        <v>0</v>
      </c>
      <c r="V1178">
        <f>IF(ReconciliationData[[#This Row],[total_returned_units]]&gt;ReconciliationData[[#This Row],[ordered_units]],1,0)</f>
        <v>0</v>
      </c>
      <c r="W11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78">
        <f>ReconciliationData[[#This Row],[Billed_Units]]*ReconciliationData[[#This Row],[Billed_Price]]</f>
        <v>176246.58240000001</v>
      </c>
      <c r="Y1178">
        <f>ReconciliationData[[#This Row],[ordered_units]]*ReconciliationData[[#This Row],[List_Price]]</f>
        <v>180493.48800000001</v>
      </c>
      <c r="Z1178">
        <f>ReconciliationData[[#This Row],[billed_revenue]]-ReconciliationData[[#This Row],[expected_revenue]]</f>
        <v>-4246.9055999999982</v>
      </c>
      <c r="AA11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178" t="str">
        <f>IF(ReconciliationData[[#This Row],[severity_score]]=0,"LOW",
 IF(ReconciliationData[[#This Row],[severity_score]]&lt;=5,"MEDIUM","HIGH"))</f>
        <v>HIGH</v>
      </c>
      <c r="AC1178" t="str">
        <f>TEXT(ReconciliationData[[#This Row],[Order_Date]],"YYYY-MM")</f>
        <v>2024-03</v>
      </c>
    </row>
    <row r="1179" spans="1:29">
      <c r="A1179" t="s">
        <v>3398</v>
      </c>
      <c r="B1179" s="1">
        <v>45610</v>
      </c>
      <c r="C1179" t="s">
        <v>452</v>
      </c>
      <c r="D1179" t="s">
        <v>1717</v>
      </c>
      <c r="E1179">
        <v>98</v>
      </c>
      <c r="F1179" t="s">
        <v>3399</v>
      </c>
      <c r="G1179">
        <v>98</v>
      </c>
      <c r="H1179">
        <v>1166.4765000000002</v>
      </c>
      <c r="N1179">
        <v>1166.4765000000002</v>
      </c>
      <c r="O1179" s="1">
        <v>45114</v>
      </c>
      <c r="P1179">
        <f>IF(ISBLANK(ReconciliationData[[#This Row],[Invoice_ID]]),1,0)</f>
        <v>0</v>
      </c>
      <c r="Q1179">
        <f>IF(AND(NOT(ISBLANK(ReconciliationData[[#This Row],[Billed_Units]])),ReconciliationData[[#This Row],[ordered_units]]&lt;&gt;ReconciliationData[[#This Row],[Billed_Units]]),1,0)</f>
        <v>0</v>
      </c>
      <c r="R11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79">
        <f>IF(AND(NOT(ISBLANK(ReconciliationData[[#This Row],[Contract_Price]])),ReconciliationData[[#This Row],[Billed_Price]]&lt;&gt;ReconciliationData[[#This Row],[Contract_Price]]),1,0)</f>
        <v>0</v>
      </c>
      <c r="T1179">
        <f>IF(AND(NOT(ISBLANK(ReconciliationData[[#This Row],[End_Date]])),ReconciliationData[[#This Row],[Order_Date]]&gt;ReconciliationData[[#This Row],[End_Date]]),1,0)</f>
        <v>0</v>
      </c>
      <c r="U1179">
        <f>IF(AND(NOT(ISBLANK(ReconciliationData[[#This Row],[last_return_date]])),ReconciliationData[[#This Row],[last_return_date]]&gt;ReconciliationData[[#This Row],[Order_Date]]+60),1,0)</f>
        <v>0</v>
      </c>
      <c r="V1179">
        <f>IF(ReconciliationData[[#This Row],[total_returned_units]]&gt;ReconciliationData[[#This Row],[ordered_units]],1,0)</f>
        <v>0</v>
      </c>
      <c r="W11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79">
        <f>ReconciliationData[[#This Row],[Billed_Units]]*ReconciliationData[[#This Row],[Billed_Price]]</f>
        <v>114314.69700000001</v>
      </c>
      <c r="Y1179">
        <f>ReconciliationData[[#This Row],[ordered_units]]*ReconciliationData[[#This Row],[List_Price]]</f>
        <v>114314.69700000001</v>
      </c>
      <c r="Z1179">
        <f>ReconciliationData[[#This Row],[billed_revenue]]-ReconciliationData[[#This Row],[expected_revenue]]</f>
        <v>0</v>
      </c>
      <c r="AA11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79" t="str">
        <f>IF(ReconciliationData[[#This Row],[severity_score]]=0,"LOW",
 IF(ReconciliationData[[#This Row],[severity_score]]&lt;=5,"MEDIUM","HIGH"))</f>
        <v>LOW</v>
      </c>
      <c r="AC1179" t="str">
        <f>TEXT(ReconciliationData[[#This Row],[Order_Date]],"YYYY-MM")</f>
        <v>2024-11</v>
      </c>
    </row>
    <row r="1180" spans="1:29">
      <c r="A1180" t="s">
        <v>3400</v>
      </c>
      <c r="B1180" s="1">
        <v>45433</v>
      </c>
      <c r="C1180" t="s">
        <v>3401</v>
      </c>
      <c r="D1180" t="s">
        <v>1812</v>
      </c>
      <c r="E1180">
        <v>25</v>
      </c>
      <c r="F1180" t="s">
        <v>3402</v>
      </c>
      <c r="G1180">
        <v>25</v>
      </c>
      <c r="H1180">
        <v>226.88399999999999</v>
      </c>
      <c r="N1180">
        <v>226.88399999999999</v>
      </c>
      <c r="O1180" s="1">
        <v>45086</v>
      </c>
      <c r="P1180">
        <f>IF(ISBLANK(ReconciliationData[[#This Row],[Invoice_ID]]),1,0)</f>
        <v>0</v>
      </c>
      <c r="Q1180">
        <f>IF(AND(NOT(ISBLANK(ReconciliationData[[#This Row],[Billed_Units]])),ReconciliationData[[#This Row],[ordered_units]]&lt;&gt;ReconciliationData[[#This Row],[Billed_Units]]),1,0)</f>
        <v>0</v>
      </c>
      <c r="R11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80">
        <f>IF(AND(NOT(ISBLANK(ReconciliationData[[#This Row],[Contract_Price]])),ReconciliationData[[#This Row],[Billed_Price]]&lt;&gt;ReconciliationData[[#This Row],[Contract_Price]]),1,0)</f>
        <v>0</v>
      </c>
      <c r="T1180">
        <f>IF(AND(NOT(ISBLANK(ReconciliationData[[#This Row],[End_Date]])),ReconciliationData[[#This Row],[Order_Date]]&gt;ReconciliationData[[#This Row],[End_Date]]),1,0)</f>
        <v>0</v>
      </c>
      <c r="U1180">
        <f>IF(AND(NOT(ISBLANK(ReconciliationData[[#This Row],[last_return_date]])),ReconciliationData[[#This Row],[last_return_date]]&gt;ReconciliationData[[#This Row],[Order_Date]]+60),1,0)</f>
        <v>0</v>
      </c>
      <c r="V1180">
        <f>IF(ReconciliationData[[#This Row],[total_returned_units]]&gt;ReconciliationData[[#This Row],[ordered_units]],1,0)</f>
        <v>0</v>
      </c>
      <c r="W11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80">
        <f>ReconciliationData[[#This Row],[Billed_Units]]*ReconciliationData[[#This Row],[Billed_Price]]</f>
        <v>5672.0999999999995</v>
      </c>
      <c r="Y1180">
        <f>ReconciliationData[[#This Row],[ordered_units]]*ReconciliationData[[#This Row],[List_Price]]</f>
        <v>5672.0999999999995</v>
      </c>
      <c r="Z1180">
        <f>ReconciliationData[[#This Row],[billed_revenue]]-ReconciliationData[[#This Row],[expected_revenue]]</f>
        <v>0</v>
      </c>
      <c r="AA11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80" t="str">
        <f>IF(ReconciliationData[[#This Row],[severity_score]]=0,"LOW",
 IF(ReconciliationData[[#This Row],[severity_score]]&lt;=5,"MEDIUM","HIGH"))</f>
        <v>LOW</v>
      </c>
      <c r="AC1180" t="str">
        <f>TEXT(ReconciliationData[[#This Row],[Order_Date]],"YYYY-MM")</f>
        <v>2024-05</v>
      </c>
    </row>
    <row r="1181" spans="1:29">
      <c r="A1181" t="s">
        <v>3403</v>
      </c>
      <c r="B1181" s="1">
        <v>45423</v>
      </c>
      <c r="C1181" t="s">
        <v>3193</v>
      </c>
      <c r="D1181" t="s">
        <v>3404</v>
      </c>
      <c r="E1181">
        <v>186</v>
      </c>
      <c r="F1181" t="s">
        <v>3405</v>
      </c>
      <c r="G1181">
        <v>186</v>
      </c>
      <c r="H1181">
        <v>850.88400000000001</v>
      </c>
      <c r="N1181">
        <v>850.88400000000001</v>
      </c>
      <c r="O1181" s="1">
        <v>45100</v>
      </c>
      <c r="P1181">
        <f>IF(ISBLANK(ReconciliationData[[#This Row],[Invoice_ID]]),1,0)</f>
        <v>0</v>
      </c>
      <c r="Q1181">
        <f>IF(AND(NOT(ISBLANK(ReconciliationData[[#This Row],[Billed_Units]])),ReconciliationData[[#This Row],[ordered_units]]&lt;&gt;ReconciliationData[[#This Row],[Billed_Units]]),1,0)</f>
        <v>0</v>
      </c>
      <c r="R11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81">
        <f>IF(AND(NOT(ISBLANK(ReconciliationData[[#This Row],[Contract_Price]])),ReconciliationData[[#This Row],[Billed_Price]]&lt;&gt;ReconciliationData[[#This Row],[Contract_Price]]),1,0)</f>
        <v>0</v>
      </c>
      <c r="T1181">
        <f>IF(AND(NOT(ISBLANK(ReconciliationData[[#This Row],[End_Date]])),ReconciliationData[[#This Row],[Order_Date]]&gt;ReconciliationData[[#This Row],[End_Date]]),1,0)</f>
        <v>0</v>
      </c>
      <c r="U1181">
        <f>IF(AND(NOT(ISBLANK(ReconciliationData[[#This Row],[last_return_date]])),ReconciliationData[[#This Row],[last_return_date]]&gt;ReconciliationData[[#This Row],[Order_Date]]+60),1,0)</f>
        <v>0</v>
      </c>
      <c r="V1181">
        <f>IF(ReconciliationData[[#This Row],[total_returned_units]]&gt;ReconciliationData[[#This Row],[ordered_units]],1,0)</f>
        <v>0</v>
      </c>
      <c r="W11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81">
        <f>ReconciliationData[[#This Row],[Billed_Units]]*ReconciliationData[[#This Row],[Billed_Price]]</f>
        <v>158264.424</v>
      </c>
      <c r="Y1181">
        <f>ReconciliationData[[#This Row],[ordered_units]]*ReconciliationData[[#This Row],[List_Price]]</f>
        <v>158264.424</v>
      </c>
      <c r="Z1181">
        <f>ReconciliationData[[#This Row],[billed_revenue]]-ReconciliationData[[#This Row],[expected_revenue]]</f>
        <v>0</v>
      </c>
      <c r="AA11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81" t="str">
        <f>IF(ReconciliationData[[#This Row],[severity_score]]=0,"LOW",
 IF(ReconciliationData[[#This Row],[severity_score]]&lt;=5,"MEDIUM","HIGH"))</f>
        <v>LOW</v>
      </c>
      <c r="AC1181" t="str">
        <f>TEXT(ReconciliationData[[#This Row],[Order_Date]],"YYYY-MM")</f>
        <v>2024-05</v>
      </c>
    </row>
    <row r="1182" spans="1:29">
      <c r="A1182" t="s">
        <v>3406</v>
      </c>
      <c r="B1182" s="1">
        <v>45006</v>
      </c>
      <c r="C1182" t="s">
        <v>1844</v>
      </c>
      <c r="D1182" t="s">
        <v>718</v>
      </c>
      <c r="E1182">
        <v>54</v>
      </c>
      <c r="F1182" t="s">
        <v>3407</v>
      </c>
      <c r="G1182">
        <v>54</v>
      </c>
      <c r="H1182">
        <v>287.14</v>
      </c>
      <c r="I1182">
        <v>15</v>
      </c>
      <c r="J1182" s="1">
        <v>45309</v>
      </c>
      <c r="N1182">
        <v>287.14</v>
      </c>
      <c r="O1182" s="1">
        <v>44977</v>
      </c>
      <c r="P1182">
        <f>IF(ISBLANK(ReconciliationData[[#This Row],[Invoice_ID]]),1,0)</f>
        <v>0</v>
      </c>
      <c r="Q1182">
        <f>IF(AND(NOT(ISBLANK(ReconciliationData[[#This Row],[Billed_Units]])),ReconciliationData[[#This Row],[ordered_units]]&lt;&gt;ReconciliationData[[#This Row],[Billed_Units]]),1,0)</f>
        <v>0</v>
      </c>
      <c r="R11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82">
        <f>IF(AND(NOT(ISBLANK(ReconciliationData[[#This Row],[Contract_Price]])),ReconciliationData[[#This Row],[Billed_Price]]&lt;&gt;ReconciliationData[[#This Row],[Contract_Price]]),1,0)</f>
        <v>0</v>
      </c>
      <c r="T1182">
        <f>IF(AND(NOT(ISBLANK(ReconciliationData[[#This Row],[End_Date]])),ReconciliationData[[#This Row],[Order_Date]]&gt;ReconciliationData[[#This Row],[End_Date]]),1,0)</f>
        <v>0</v>
      </c>
      <c r="U1182">
        <f>IF(AND(NOT(ISBLANK(ReconciliationData[[#This Row],[last_return_date]])),ReconciliationData[[#This Row],[last_return_date]]&gt;ReconciliationData[[#This Row],[Order_Date]]+60),1,0)</f>
        <v>1</v>
      </c>
      <c r="V1182">
        <f>IF(ReconciliationData[[#This Row],[total_returned_units]]&gt;ReconciliationData[[#This Row],[ordered_units]],1,0)</f>
        <v>0</v>
      </c>
      <c r="W11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82">
        <f>ReconciliationData[[#This Row],[Billed_Units]]*ReconciliationData[[#This Row],[Billed_Price]]</f>
        <v>15505.56</v>
      </c>
      <c r="Y1182">
        <f>ReconciliationData[[#This Row],[ordered_units]]*ReconciliationData[[#This Row],[List_Price]]</f>
        <v>15505.56</v>
      </c>
      <c r="Z1182">
        <f>ReconciliationData[[#This Row],[billed_revenue]]-ReconciliationData[[#This Row],[expected_revenue]]</f>
        <v>0</v>
      </c>
      <c r="AA11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182" t="str">
        <f>IF(ReconciliationData[[#This Row],[severity_score]]=0,"LOW",
 IF(ReconciliationData[[#This Row],[severity_score]]&lt;=5,"MEDIUM","HIGH"))</f>
        <v>MEDIUM</v>
      </c>
      <c r="AC1182" t="str">
        <f>TEXT(ReconciliationData[[#This Row],[Order_Date]],"YYYY-MM")</f>
        <v>2023-03</v>
      </c>
    </row>
    <row r="1183" spans="1:29">
      <c r="A1183" t="s">
        <v>3408</v>
      </c>
      <c r="B1183" s="1">
        <v>45029</v>
      </c>
      <c r="C1183" t="s">
        <v>1270</v>
      </c>
      <c r="D1183" t="s">
        <v>3409</v>
      </c>
      <c r="E1183">
        <v>109</v>
      </c>
      <c r="F1183" t="s">
        <v>3410</v>
      </c>
      <c r="G1183">
        <v>109</v>
      </c>
      <c r="H1183">
        <v>94.274299999999997</v>
      </c>
      <c r="N1183">
        <v>94.274299999999997</v>
      </c>
      <c r="O1183" s="1">
        <v>44906</v>
      </c>
      <c r="P1183">
        <f>IF(ISBLANK(ReconciliationData[[#This Row],[Invoice_ID]]),1,0)</f>
        <v>0</v>
      </c>
      <c r="Q1183">
        <f>IF(AND(NOT(ISBLANK(ReconciliationData[[#This Row],[Billed_Units]])),ReconciliationData[[#This Row],[ordered_units]]&lt;&gt;ReconciliationData[[#This Row],[Billed_Units]]),1,0)</f>
        <v>0</v>
      </c>
      <c r="R11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83">
        <f>IF(AND(NOT(ISBLANK(ReconciliationData[[#This Row],[Contract_Price]])),ReconciliationData[[#This Row],[Billed_Price]]&lt;&gt;ReconciliationData[[#This Row],[Contract_Price]]),1,0)</f>
        <v>0</v>
      </c>
      <c r="T1183">
        <f>IF(AND(NOT(ISBLANK(ReconciliationData[[#This Row],[End_Date]])),ReconciliationData[[#This Row],[Order_Date]]&gt;ReconciliationData[[#This Row],[End_Date]]),1,0)</f>
        <v>0</v>
      </c>
      <c r="U1183">
        <f>IF(AND(NOT(ISBLANK(ReconciliationData[[#This Row],[last_return_date]])),ReconciliationData[[#This Row],[last_return_date]]&gt;ReconciliationData[[#This Row],[Order_Date]]+60),1,0)</f>
        <v>0</v>
      </c>
      <c r="V1183">
        <f>IF(ReconciliationData[[#This Row],[total_returned_units]]&gt;ReconciliationData[[#This Row],[ordered_units]],1,0)</f>
        <v>0</v>
      </c>
      <c r="W11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83">
        <f>ReconciliationData[[#This Row],[Billed_Units]]*ReconciliationData[[#This Row],[Billed_Price]]</f>
        <v>10275.8987</v>
      </c>
      <c r="Y1183">
        <f>ReconciliationData[[#This Row],[ordered_units]]*ReconciliationData[[#This Row],[List_Price]]</f>
        <v>10275.8987</v>
      </c>
      <c r="Z1183">
        <f>ReconciliationData[[#This Row],[billed_revenue]]-ReconciliationData[[#This Row],[expected_revenue]]</f>
        <v>0</v>
      </c>
      <c r="AA11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83" t="str">
        <f>IF(ReconciliationData[[#This Row],[severity_score]]=0,"LOW",
 IF(ReconciliationData[[#This Row],[severity_score]]&lt;=5,"MEDIUM","HIGH"))</f>
        <v>LOW</v>
      </c>
      <c r="AC1183" t="str">
        <f>TEXT(ReconciliationData[[#This Row],[Order_Date]],"YYYY-MM")</f>
        <v>2023-04</v>
      </c>
    </row>
    <row r="1184" spans="1:29">
      <c r="A1184" t="s">
        <v>3411</v>
      </c>
      <c r="B1184" s="1">
        <v>45220</v>
      </c>
      <c r="C1184" t="s">
        <v>1024</v>
      </c>
      <c r="D1184" t="s">
        <v>1571</v>
      </c>
      <c r="E1184">
        <v>139</v>
      </c>
      <c r="F1184" t="s">
        <v>3412</v>
      </c>
      <c r="G1184">
        <v>139</v>
      </c>
      <c r="H1184">
        <v>1226.9154000000001</v>
      </c>
      <c r="N1184">
        <v>1226.9154000000001</v>
      </c>
      <c r="O1184" s="1">
        <v>45032</v>
      </c>
      <c r="P1184">
        <f>IF(ISBLANK(ReconciliationData[[#This Row],[Invoice_ID]]),1,0)</f>
        <v>0</v>
      </c>
      <c r="Q1184">
        <f>IF(AND(NOT(ISBLANK(ReconciliationData[[#This Row],[Billed_Units]])),ReconciliationData[[#This Row],[ordered_units]]&lt;&gt;ReconciliationData[[#This Row],[Billed_Units]]),1,0)</f>
        <v>0</v>
      </c>
      <c r="R11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84">
        <f>IF(AND(NOT(ISBLANK(ReconciliationData[[#This Row],[Contract_Price]])),ReconciliationData[[#This Row],[Billed_Price]]&lt;&gt;ReconciliationData[[#This Row],[Contract_Price]]),1,0)</f>
        <v>0</v>
      </c>
      <c r="T1184">
        <f>IF(AND(NOT(ISBLANK(ReconciliationData[[#This Row],[End_Date]])),ReconciliationData[[#This Row],[Order_Date]]&gt;ReconciliationData[[#This Row],[End_Date]]),1,0)</f>
        <v>0</v>
      </c>
      <c r="U1184">
        <f>IF(AND(NOT(ISBLANK(ReconciliationData[[#This Row],[last_return_date]])),ReconciliationData[[#This Row],[last_return_date]]&gt;ReconciliationData[[#This Row],[Order_Date]]+60),1,0)</f>
        <v>0</v>
      </c>
      <c r="V1184">
        <f>IF(ReconciliationData[[#This Row],[total_returned_units]]&gt;ReconciliationData[[#This Row],[ordered_units]],1,0)</f>
        <v>0</v>
      </c>
      <c r="W11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84">
        <f>ReconciliationData[[#This Row],[Billed_Units]]*ReconciliationData[[#This Row],[Billed_Price]]</f>
        <v>170541.24060000002</v>
      </c>
      <c r="Y1184">
        <f>ReconciliationData[[#This Row],[ordered_units]]*ReconciliationData[[#This Row],[List_Price]]</f>
        <v>170541.24060000002</v>
      </c>
      <c r="Z1184">
        <f>ReconciliationData[[#This Row],[billed_revenue]]-ReconciliationData[[#This Row],[expected_revenue]]</f>
        <v>0</v>
      </c>
      <c r="AA11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84" t="str">
        <f>IF(ReconciliationData[[#This Row],[severity_score]]=0,"LOW",
 IF(ReconciliationData[[#This Row],[severity_score]]&lt;=5,"MEDIUM","HIGH"))</f>
        <v>LOW</v>
      </c>
      <c r="AC1184" t="str">
        <f>TEXT(ReconciliationData[[#This Row],[Order_Date]],"YYYY-MM")</f>
        <v>2023-10</v>
      </c>
    </row>
    <row r="1185" spans="1:29">
      <c r="A1185" t="s">
        <v>3413</v>
      </c>
      <c r="B1185" s="1">
        <v>45287</v>
      </c>
      <c r="C1185" t="s">
        <v>666</v>
      </c>
      <c r="D1185" t="s">
        <v>1273</v>
      </c>
      <c r="E1185">
        <v>42</v>
      </c>
      <c r="F1185" t="s">
        <v>3414</v>
      </c>
      <c r="G1185">
        <v>50</v>
      </c>
      <c r="H1185">
        <v>1030.7952</v>
      </c>
      <c r="N1185">
        <v>1030.7952</v>
      </c>
      <c r="O1185" s="1">
        <v>45154</v>
      </c>
      <c r="P1185">
        <f>IF(ISBLANK(ReconciliationData[[#This Row],[Invoice_ID]]),1,0)</f>
        <v>0</v>
      </c>
      <c r="Q1185">
        <f>IF(AND(NOT(ISBLANK(ReconciliationData[[#This Row],[Billed_Units]])),ReconciliationData[[#This Row],[ordered_units]]&lt;&gt;ReconciliationData[[#This Row],[Billed_Units]]),1,0)</f>
        <v>1</v>
      </c>
      <c r="R11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85">
        <f>IF(AND(NOT(ISBLANK(ReconciliationData[[#This Row],[Contract_Price]])),ReconciliationData[[#This Row],[Billed_Price]]&lt;&gt;ReconciliationData[[#This Row],[Contract_Price]]),1,0)</f>
        <v>0</v>
      </c>
      <c r="T1185">
        <f>IF(AND(NOT(ISBLANK(ReconciliationData[[#This Row],[End_Date]])),ReconciliationData[[#This Row],[Order_Date]]&gt;ReconciliationData[[#This Row],[End_Date]]),1,0)</f>
        <v>0</v>
      </c>
      <c r="U1185">
        <f>IF(AND(NOT(ISBLANK(ReconciliationData[[#This Row],[last_return_date]])),ReconciliationData[[#This Row],[last_return_date]]&gt;ReconciliationData[[#This Row],[Order_Date]]+60),1,0)</f>
        <v>0</v>
      </c>
      <c r="V1185">
        <f>IF(ReconciliationData[[#This Row],[total_returned_units]]&gt;ReconciliationData[[#This Row],[ordered_units]],1,0)</f>
        <v>0</v>
      </c>
      <c r="W11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85">
        <f>ReconciliationData[[#This Row],[Billed_Units]]*ReconciliationData[[#This Row],[Billed_Price]]</f>
        <v>51539.76</v>
      </c>
      <c r="Y1185">
        <f>ReconciliationData[[#This Row],[ordered_units]]*ReconciliationData[[#This Row],[List_Price]]</f>
        <v>43293.398399999998</v>
      </c>
      <c r="Z1185">
        <f>ReconciliationData[[#This Row],[billed_revenue]]-ReconciliationData[[#This Row],[expected_revenue]]</f>
        <v>8246.3616000000038</v>
      </c>
      <c r="AA11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185" t="str">
        <f>IF(ReconciliationData[[#This Row],[severity_score]]=0,"LOW",
 IF(ReconciliationData[[#This Row],[severity_score]]&lt;=5,"MEDIUM","HIGH"))</f>
        <v>HIGH</v>
      </c>
      <c r="AC1185" t="str">
        <f>TEXT(ReconciliationData[[#This Row],[Order_Date]],"YYYY-MM")</f>
        <v>2023-12</v>
      </c>
    </row>
    <row r="1186" spans="1:29">
      <c r="A1186" t="s">
        <v>3415</v>
      </c>
      <c r="B1186" s="1">
        <v>45252</v>
      </c>
      <c r="C1186" t="s">
        <v>365</v>
      </c>
      <c r="D1186" t="s">
        <v>639</v>
      </c>
      <c r="E1186">
        <v>190</v>
      </c>
      <c r="F1186" t="s">
        <v>3416</v>
      </c>
      <c r="G1186">
        <v>190</v>
      </c>
      <c r="H1186">
        <v>945.38850000000002</v>
      </c>
      <c r="N1186">
        <v>945.38850000000002</v>
      </c>
      <c r="O1186" s="1">
        <v>45047</v>
      </c>
      <c r="P1186">
        <f>IF(ISBLANK(ReconciliationData[[#This Row],[Invoice_ID]]),1,0)</f>
        <v>0</v>
      </c>
      <c r="Q1186">
        <f>IF(AND(NOT(ISBLANK(ReconciliationData[[#This Row],[Billed_Units]])),ReconciliationData[[#This Row],[ordered_units]]&lt;&gt;ReconciliationData[[#This Row],[Billed_Units]]),1,0)</f>
        <v>0</v>
      </c>
      <c r="R11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86">
        <f>IF(AND(NOT(ISBLANK(ReconciliationData[[#This Row],[Contract_Price]])),ReconciliationData[[#This Row],[Billed_Price]]&lt;&gt;ReconciliationData[[#This Row],[Contract_Price]]),1,0)</f>
        <v>0</v>
      </c>
      <c r="T1186">
        <f>IF(AND(NOT(ISBLANK(ReconciliationData[[#This Row],[End_Date]])),ReconciliationData[[#This Row],[Order_Date]]&gt;ReconciliationData[[#This Row],[End_Date]]),1,0)</f>
        <v>0</v>
      </c>
      <c r="U1186">
        <f>IF(AND(NOT(ISBLANK(ReconciliationData[[#This Row],[last_return_date]])),ReconciliationData[[#This Row],[last_return_date]]&gt;ReconciliationData[[#This Row],[Order_Date]]+60),1,0)</f>
        <v>0</v>
      </c>
      <c r="V1186">
        <f>IF(ReconciliationData[[#This Row],[total_returned_units]]&gt;ReconciliationData[[#This Row],[ordered_units]],1,0)</f>
        <v>0</v>
      </c>
      <c r="W11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86">
        <f>ReconciliationData[[#This Row],[Billed_Units]]*ReconciliationData[[#This Row],[Billed_Price]]</f>
        <v>179623.815</v>
      </c>
      <c r="Y1186">
        <f>ReconciliationData[[#This Row],[ordered_units]]*ReconciliationData[[#This Row],[List_Price]]</f>
        <v>179623.815</v>
      </c>
      <c r="Z1186">
        <f>ReconciliationData[[#This Row],[billed_revenue]]-ReconciliationData[[#This Row],[expected_revenue]]</f>
        <v>0</v>
      </c>
      <c r="AA11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86" t="str">
        <f>IF(ReconciliationData[[#This Row],[severity_score]]=0,"LOW",
 IF(ReconciliationData[[#This Row],[severity_score]]&lt;=5,"MEDIUM","HIGH"))</f>
        <v>LOW</v>
      </c>
      <c r="AC1186" t="str">
        <f>TEXT(ReconciliationData[[#This Row],[Order_Date]],"YYYY-MM")</f>
        <v>2023-11</v>
      </c>
    </row>
    <row r="1187" spans="1:29">
      <c r="A1187" t="s">
        <v>3417</v>
      </c>
      <c r="B1187" s="1">
        <v>45496</v>
      </c>
      <c r="C1187" t="s">
        <v>444</v>
      </c>
      <c r="D1187" t="s">
        <v>1549</v>
      </c>
      <c r="E1187">
        <v>176</v>
      </c>
      <c r="F1187" t="s">
        <v>3418</v>
      </c>
      <c r="G1187">
        <v>176</v>
      </c>
      <c r="H1187">
        <v>234.87090000000001</v>
      </c>
      <c r="N1187">
        <v>234.87090000000001</v>
      </c>
      <c r="O1187" s="1">
        <v>45150</v>
      </c>
      <c r="P1187">
        <f>IF(ISBLANK(ReconciliationData[[#This Row],[Invoice_ID]]),1,0)</f>
        <v>0</v>
      </c>
      <c r="Q1187">
        <f>IF(AND(NOT(ISBLANK(ReconciliationData[[#This Row],[Billed_Units]])),ReconciliationData[[#This Row],[ordered_units]]&lt;&gt;ReconciliationData[[#This Row],[Billed_Units]]),1,0)</f>
        <v>0</v>
      </c>
      <c r="R11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87">
        <f>IF(AND(NOT(ISBLANK(ReconciliationData[[#This Row],[Contract_Price]])),ReconciliationData[[#This Row],[Billed_Price]]&lt;&gt;ReconciliationData[[#This Row],[Contract_Price]]),1,0)</f>
        <v>0</v>
      </c>
      <c r="T1187">
        <f>IF(AND(NOT(ISBLANK(ReconciliationData[[#This Row],[End_Date]])),ReconciliationData[[#This Row],[Order_Date]]&gt;ReconciliationData[[#This Row],[End_Date]]),1,0)</f>
        <v>0</v>
      </c>
      <c r="U1187">
        <f>IF(AND(NOT(ISBLANK(ReconciliationData[[#This Row],[last_return_date]])),ReconciliationData[[#This Row],[last_return_date]]&gt;ReconciliationData[[#This Row],[Order_Date]]+60),1,0)</f>
        <v>0</v>
      </c>
      <c r="V1187">
        <f>IF(ReconciliationData[[#This Row],[total_returned_units]]&gt;ReconciliationData[[#This Row],[ordered_units]],1,0)</f>
        <v>0</v>
      </c>
      <c r="W11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87">
        <f>ReconciliationData[[#This Row],[Billed_Units]]*ReconciliationData[[#This Row],[Billed_Price]]</f>
        <v>41337.278400000003</v>
      </c>
      <c r="Y1187">
        <f>ReconciliationData[[#This Row],[ordered_units]]*ReconciliationData[[#This Row],[List_Price]]</f>
        <v>41337.278400000003</v>
      </c>
      <c r="Z1187">
        <f>ReconciliationData[[#This Row],[billed_revenue]]-ReconciliationData[[#This Row],[expected_revenue]]</f>
        <v>0</v>
      </c>
      <c r="AA11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87" t="str">
        <f>IF(ReconciliationData[[#This Row],[severity_score]]=0,"LOW",
 IF(ReconciliationData[[#This Row],[severity_score]]&lt;=5,"MEDIUM","HIGH"))</f>
        <v>LOW</v>
      </c>
      <c r="AC1187" t="str">
        <f>TEXT(ReconciliationData[[#This Row],[Order_Date]],"YYYY-MM")</f>
        <v>2024-07</v>
      </c>
    </row>
    <row r="1188" spans="1:29">
      <c r="A1188" t="s">
        <v>3419</v>
      </c>
      <c r="B1188" s="1">
        <v>44973</v>
      </c>
      <c r="C1188" t="s">
        <v>1043</v>
      </c>
      <c r="D1188" t="s">
        <v>404</v>
      </c>
      <c r="E1188">
        <v>137</v>
      </c>
      <c r="F1188" t="s">
        <v>3420</v>
      </c>
      <c r="G1188">
        <v>137</v>
      </c>
      <c r="H1188">
        <v>1129.8245626098658</v>
      </c>
      <c r="N1188">
        <v>1129.6166000000001</v>
      </c>
      <c r="O1188" s="1">
        <v>44960</v>
      </c>
      <c r="P1188">
        <f>IF(ISBLANK(ReconciliationData[[#This Row],[Invoice_ID]]),1,0)</f>
        <v>0</v>
      </c>
      <c r="Q1188">
        <f>IF(AND(NOT(ISBLANK(ReconciliationData[[#This Row],[Billed_Units]])),ReconciliationData[[#This Row],[ordered_units]]&lt;&gt;ReconciliationData[[#This Row],[Billed_Units]]),1,0)</f>
        <v>0</v>
      </c>
      <c r="R1188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188">
        <f>IF(AND(NOT(ISBLANK(ReconciliationData[[#This Row],[Contract_Price]])),ReconciliationData[[#This Row],[Billed_Price]]&lt;&gt;ReconciliationData[[#This Row],[Contract_Price]]),1,0)</f>
        <v>0</v>
      </c>
      <c r="T1188">
        <f>IF(AND(NOT(ISBLANK(ReconciliationData[[#This Row],[End_Date]])),ReconciliationData[[#This Row],[Order_Date]]&gt;ReconciliationData[[#This Row],[End_Date]]),1,0)</f>
        <v>0</v>
      </c>
      <c r="U1188">
        <f>IF(AND(NOT(ISBLANK(ReconciliationData[[#This Row],[last_return_date]])),ReconciliationData[[#This Row],[last_return_date]]&gt;ReconciliationData[[#This Row],[Order_Date]]+60),1,0)</f>
        <v>0</v>
      </c>
      <c r="V1188">
        <f>IF(ReconciliationData[[#This Row],[total_returned_units]]&gt;ReconciliationData[[#This Row],[ordered_units]],1,0)</f>
        <v>0</v>
      </c>
      <c r="W11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88">
        <f>ReconciliationData[[#This Row],[Billed_Units]]*ReconciliationData[[#This Row],[Billed_Price]]</f>
        <v>154785.96507755161</v>
      </c>
      <c r="Y1188">
        <f>ReconciliationData[[#This Row],[ordered_units]]*ReconciliationData[[#This Row],[List_Price]]</f>
        <v>154757.4742</v>
      </c>
      <c r="Z1188">
        <f>ReconciliationData[[#This Row],[billed_revenue]]-ReconciliationData[[#This Row],[expected_revenue]]</f>
        <v>28.490877551608719</v>
      </c>
      <c r="AA11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188" t="str">
        <f>IF(ReconciliationData[[#This Row],[severity_score]]=0,"LOW",
 IF(ReconciliationData[[#This Row],[severity_score]]&lt;=5,"MEDIUM","HIGH"))</f>
        <v>MEDIUM</v>
      </c>
      <c r="AC1188" t="str">
        <f>TEXT(ReconciliationData[[#This Row],[Order_Date]],"YYYY-MM")</f>
        <v>2023-02</v>
      </c>
    </row>
    <row r="1189" spans="1:29">
      <c r="A1189" t="s">
        <v>3421</v>
      </c>
      <c r="B1189" s="1">
        <v>45063</v>
      </c>
      <c r="C1189" t="s">
        <v>894</v>
      </c>
      <c r="D1189" t="s">
        <v>2064</v>
      </c>
      <c r="E1189">
        <v>86</v>
      </c>
      <c r="F1189" t="s">
        <v>3422</v>
      </c>
      <c r="G1189">
        <v>82</v>
      </c>
      <c r="H1189">
        <v>249.22</v>
      </c>
      <c r="I1189">
        <v>20</v>
      </c>
      <c r="J1189" s="1">
        <v>45014</v>
      </c>
      <c r="N1189">
        <v>249.22</v>
      </c>
      <c r="O1189" s="1">
        <v>44837</v>
      </c>
      <c r="P1189">
        <f>IF(ISBLANK(ReconciliationData[[#This Row],[Invoice_ID]]),1,0)</f>
        <v>0</v>
      </c>
      <c r="Q1189">
        <f>IF(AND(NOT(ISBLANK(ReconciliationData[[#This Row],[Billed_Units]])),ReconciliationData[[#This Row],[ordered_units]]&lt;&gt;ReconciliationData[[#This Row],[Billed_Units]]),1,0)</f>
        <v>1</v>
      </c>
      <c r="R11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89">
        <f>IF(AND(NOT(ISBLANK(ReconciliationData[[#This Row],[Contract_Price]])),ReconciliationData[[#This Row],[Billed_Price]]&lt;&gt;ReconciliationData[[#This Row],[Contract_Price]]),1,0)</f>
        <v>0</v>
      </c>
      <c r="T1189">
        <f>IF(AND(NOT(ISBLANK(ReconciliationData[[#This Row],[End_Date]])),ReconciliationData[[#This Row],[Order_Date]]&gt;ReconciliationData[[#This Row],[End_Date]]),1,0)</f>
        <v>0</v>
      </c>
      <c r="U1189">
        <f>IF(AND(NOT(ISBLANK(ReconciliationData[[#This Row],[last_return_date]])),ReconciliationData[[#This Row],[last_return_date]]&gt;ReconciliationData[[#This Row],[Order_Date]]+60),1,0)</f>
        <v>0</v>
      </c>
      <c r="V1189">
        <f>IF(ReconciliationData[[#This Row],[total_returned_units]]&gt;ReconciliationData[[#This Row],[ordered_units]],1,0)</f>
        <v>0</v>
      </c>
      <c r="W11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89">
        <f>ReconciliationData[[#This Row],[Billed_Units]]*ReconciliationData[[#This Row],[Billed_Price]]</f>
        <v>20436.04</v>
      </c>
      <c r="Y1189">
        <f>ReconciliationData[[#This Row],[ordered_units]]*ReconciliationData[[#This Row],[List_Price]]</f>
        <v>21432.92</v>
      </c>
      <c r="Z1189">
        <f>ReconciliationData[[#This Row],[billed_revenue]]-ReconciliationData[[#This Row],[expected_revenue]]</f>
        <v>-996.87999999999738</v>
      </c>
      <c r="AA11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189" t="str">
        <f>IF(ReconciliationData[[#This Row],[severity_score]]=0,"LOW",
 IF(ReconciliationData[[#This Row],[severity_score]]&lt;=5,"MEDIUM","HIGH"))</f>
        <v>HIGH</v>
      </c>
      <c r="AC1189" t="str">
        <f>TEXT(ReconciliationData[[#This Row],[Order_Date]],"YYYY-MM")</f>
        <v>2023-05</v>
      </c>
    </row>
    <row r="1190" spans="1:29">
      <c r="A1190" t="s">
        <v>3423</v>
      </c>
      <c r="B1190" s="1">
        <v>45158</v>
      </c>
      <c r="C1190" t="s">
        <v>1475</v>
      </c>
      <c r="D1190" t="s">
        <v>1717</v>
      </c>
      <c r="E1190">
        <v>108</v>
      </c>
      <c r="F1190" t="s">
        <v>3424</v>
      </c>
      <c r="G1190">
        <v>108</v>
      </c>
      <c r="H1190">
        <v>1166.4765000000002</v>
      </c>
      <c r="N1190">
        <v>1166.4765000000002</v>
      </c>
      <c r="O1190" s="1">
        <v>45114</v>
      </c>
      <c r="P1190">
        <f>IF(ISBLANK(ReconciliationData[[#This Row],[Invoice_ID]]),1,0)</f>
        <v>0</v>
      </c>
      <c r="Q1190">
        <f>IF(AND(NOT(ISBLANK(ReconciliationData[[#This Row],[Billed_Units]])),ReconciliationData[[#This Row],[ordered_units]]&lt;&gt;ReconciliationData[[#This Row],[Billed_Units]]),1,0)</f>
        <v>0</v>
      </c>
      <c r="R11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90">
        <f>IF(AND(NOT(ISBLANK(ReconciliationData[[#This Row],[Contract_Price]])),ReconciliationData[[#This Row],[Billed_Price]]&lt;&gt;ReconciliationData[[#This Row],[Contract_Price]]),1,0)</f>
        <v>0</v>
      </c>
      <c r="T1190">
        <f>IF(AND(NOT(ISBLANK(ReconciliationData[[#This Row],[End_Date]])),ReconciliationData[[#This Row],[Order_Date]]&gt;ReconciliationData[[#This Row],[End_Date]]),1,0)</f>
        <v>0</v>
      </c>
      <c r="U1190">
        <f>IF(AND(NOT(ISBLANK(ReconciliationData[[#This Row],[last_return_date]])),ReconciliationData[[#This Row],[last_return_date]]&gt;ReconciliationData[[#This Row],[Order_Date]]+60),1,0)</f>
        <v>0</v>
      </c>
      <c r="V1190">
        <f>IF(ReconciliationData[[#This Row],[total_returned_units]]&gt;ReconciliationData[[#This Row],[ordered_units]],1,0)</f>
        <v>0</v>
      </c>
      <c r="W11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90">
        <f>ReconciliationData[[#This Row],[Billed_Units]]*ReconciliationData[[#This Row],[Billed_Price]]</f>
        <v>125979.46200000003</v>
      </c>
      <c r="Y1190">
        <f>ReconciliationData[[#This Row],[ordered_units]]*ReconciliationData[[#This Row],[List_Price]]</f>
        <v>125979.46200000003</v>
      </c>
      <c r="Z1190">
        <f>ReconciliationData[[#This Row],[billed_revenue]]-ReconciliationData[[#This Row],[expected_revenue]]</f>
        <v>0</v>
      </c>
      <c r="AA11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90" t="str">
        <f>IF(ReconciliationData[[#This Row],[severity_score]]=0,"LOW",
 IF(ReconciliationData[[#This Row],[severity_score]]&lt;=5,"MEDIUM","HIGH"))</f>
        <v>LOW</v>
      </c>
      <c r="AC1190" t="str">
        <f>TEXT(ReconciliationData[[#This Row],[Order_Date]],"YYYY-MM")</f>
        <v>2023-08</v>
      </c>
    </row>
    <row r="1191" spans="1:29">
      <c r="A1191" t="s">
        <v>3425</v>
      </c>
      <c r="B1191" s="1">
        <v>45582</v>
      </c>
      <c r="C1191" t="s">
        <v>1720</v>
      </c>
      <c r="D1191" t="s">
        <v>1654</v>
      </c>
      <c r="E1191">
        <v>190</v>
      </c>
      <c r="F1191" t="s">
        <v>3426</v>
      </c>
      <c r="G1191">
        <v>190</v>
      </c>
      <c r="H1191">
        <v>1197.9306999999999</v>
      </c>
      <c r="I1191">
        <v>2</v>
      </c>
      <c r="J1191" s="1">
        <v>45428</v>
      </c>
      <c r="N1191">
        <v>1197.9306999999999</v>
      </c>
      <c r="O1191" s="1">
        <v>45089</v>
      </c>
      <c r="P1191">
        <f>IF(ISBLANK(ReconciliationData[[#This Row],[Invoice_ID]]),1,0)</f>
        <v>0</v>
      </c>
      <c r="Q1191">
        <f>IF(AND(NOT(ISBLANK(ReconciliationData[[#This Row],[Billed_Units]])),ReconciliationData[[#This Row],[ordered_units]]&lt;&gt;ReconciliationData[[#This Row],[Billed_Units]]),1,0)</f>
        <v>0</v>
      </c>
      <c r="R11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91">
        <f>IF(AND(NOT(ISBLANK(ReconciliationData[[#This Row],[Contract_Price]])),ReconciliationData[[#This Row],[Billed_Price]]&lt;&gt;ReconciliationData[[#This Row],[Contract_Price]]),1,0)</f>
        <v>0</v>
      </c>
      <c r="T1191">
        <f>IF(AND(NOT(ISBLANK(ReconciliationData[[#This Row],[End_Date]])),ReconciliationData[[#This Row],[Order_Date]]&gt;ReconciliationData[[#This Row],[End_Date]]),1,0)</f>
        <v>0</v>
      </c>
      <c r="U1191">
        <f>IF(AND(NOT(ISBLANK(ReconciliationData[[#This Row],[last_return_date]])),ReconciliationData[[#This Row],[last_return_date]]&gt;ReconciliationData[[#This Row],[Order_Date]]+60),1,0)</f>
        <v>0</v>
      </c>
      <c r="V1191">
        <f>IF(ReconciliationData[[#This Row],[total_returned_units]]&gt;ReconciliationData[[#This Row],[ordered_units]],1,0)</f>
        <v>0</v>
      </c>
      <c r="W11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91">
        <f>ReconciliationData[[#This Row],[Billed_Units]]*ReconciliationData[[#This Row],[Billed_Price]]</f>
        <v>227606.83299999998</v>
      </c>
      <c r="Y1191">
        <f>ReconciliationData[[#This Row],[ordered_units]]*ReconciliationData[[#This Row],[List_Price]]</f>
        <v>227606.83299999998</v>
      </c>
      <c r="Z1191">
        <f>ReconciliationData[[#This Row],[billed_revenue]]-ReconciliationData[[#This Row],[expected_revenue]]</f>
        <v>0</v>
      </c>
      <c r="AA11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91" t="str">
        <f>IF(ReconciliationData[[#This Row],[severity_score]]=0,"LOW",
 IF(ReconciliationData[[#This Row],[severity_score]]&lt;=5,"MEDIUM","HIGH"))</f>
        <v>LOW</v>
      </c>
      <c r="AC1191" t="str">
        <f>TEXT(ReconciliationData[[#This Row],[Order_Date]],"YYYY-MM")</f>
        <v>2024-10</v>
      </c>
    </row>
    <row r="1192" spans="1:29">
      <c r="A1192" t="s">
        <v>3427</v>
      </c>
      <c r="B1192" s="1">
        <v>45103</v>
      </c>
      <c r="C1192" t="s">
        <v>1765</v>
      </c>
      <c r="D1192" t="s">
        <v>279</v>
      </c>
      <c r="E1192">
        <v>4</v>
      </c>
      <c r="F1192" t="s">
        <v>3428</v>
      </c>
      <c r="G1192">
        <v>4</v>
      </c>
      <c r="H1192">
        <v>1120.6556</v>
      </c>
      <c r="N1192">
        <v>1120.6556</v>
      </c>
      <c r="O1192" s="1">
        <v>45026</v>
      </c>
      <c r="P1192">
        <f>IF(ISBLANK(ReconciliationData[[#This Row],[Invoice_ID]]),1,0)</f>
        <v>0</v>
      </c>
      <c r="Q1192">
        <f>IF(AND(NOT(ISBLANK(ReconciliationData[[#This Row],[Billed_Units]])),ReconciliationData[[#This Row],[ordered_units]]&lt;&gt;ReconciliationData[[#This Row],[Billed_Units]]),1,0)</f>
        <v>0</v>
      </c>
      <c r="R11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92">
        <f>IF(AND(NOT(ISBLANK(ReconciliationData[[#This Row],[Contract_Price]])),ReconciliationData[[#This Row],[Billed_Price]]&lt;&gt;ReconciliationData[[#This Row],[Contract_Price]]),1,0)</f>
        <v>0</v>
      </c>
      <c r="T1192">
        <f>IF(AND(NOT(ISBLANK(ReconciliationData[[#This Row],[End_Date]])),ReconciliationData[[#This Row],[Order_Date]]&gt;ReconciliationData[[#This Row],[End_Date]]),1,0)</f>
        <v>0</v>
      </c>
      <c r="U1192">
        <f>IF(AND(NOT(ISBLANK(ReconciliationData[[#This Row],[last_return_date]])),ReconciliationData[[#This Row],[last_return_date]]&gt;ReconciliationData[[#This Row],[Order_Date]]+60),1,0)</f>
        <v>0</v>
      </c>
      <c r="V1192">
        <f>IF(ReconciliationData[[#This Row],[total_returned_units]]&gt;ReconciliationData[[#This Row],[ordered_units]],1,0)</f>
        <v>0</v>
      </c>
      <c r="W11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92">
        <f>ReconciliationData[[#This Row],[Billed_Units]]*ReconciliationData[[#This Row],[Billed_Price]]</f>
        <v>4482.6224000000002</v>
      </c>
      <c r="Y1192">
        <f>ReconciliationData[[#This Row],[ordered_units]]*ReconciliationData[[#This Row],[List_Price]]</f>
        <v>4482.6224000000002</v>
      </c>
      <c r="Z1192">
        <f>ReconciliationData[[#This Row],[billed_revenue]]-ReconciliationData[[#This Row],[expected_revenue]]</f>
        <v>0</v>
      </c>
      <c r="AA11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92" t="str">
        <f>IF(ReconciliationData[[#This Row],[severity_score]]=0,"LOW",
 IF(ReconciliationData[[#This Row],[severity_score]]&lt;=5,"MEDIUM","HIGH"))</f>
        <v>LOW</v>
      </c>
      <c r="AC1192" t="str">
        <f>TEXT(ReconciliationData[[#This Row],[Order_Date]],"YYYY-MM")</f>
        <v>2023-06</v>
      </c>
    </row>
    <row r="1193" spans="1:29">
      <c r="A1193" t="s">
        <v>3429</v>
      </c>
      <c r="B1193" s="1">
        <v>45297</v>
      </c>
      <c r="C1193" t="s">
        <v>785</v>
      </c>
      <c r="D1193" t="s">
        <v>651</v>
      </c>
      <c r="E1193">
        <v>172</v>
      </c>
      <c r="F1193" t="s">
        <v>3430</v>
      </c>
      <c r="G1193">
        <v>172</v>
      </c>
      <c r="H1193">
        <v>214.6182</v>
      </c>
      <c r="N1193">
        <v>214.6182</v>
      </c>
      <c r="O1193" s="1">
        <v>45116</v>
      </c>
      <c r="P1193">
        <f>IF(ISBLANK(ReconciliationData[[#This Row],[Invoice_ID]]),1,0)</f>
        <v>0</v>
      </c>
      <c r="Q1193">
        <f>IF(AND(NOT(ISBLANK(ReconciliationData[[#This Row],[Billed_Units]])),ReconciliationData[[#This Row],[ordered_units]]&lt;&gt;ReconciliationData[[#This Row],[Billed_Units]]),1,0)</f>
        <v>0</v>
      </c>
      <c r="R11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93">
        <f>IF(AND(NOT(ISBLANK(ReconciliationData[[#This Row],[Contract_Price]])),ReconciliationData[[#This Row],[Billed_Price]]&lt;&gt;ReconciliationData[[#This Row],[Contract_Price]]),1,0)</f>
        <v>0</v>
      </c>
      <c r="T1193">
        <f>IF(AND(NOT(ISBLANK(ReconciliationData[[#This Row],[End_Date]])),ReconciliationData[[#This Row],[Order_Date]]&gt;ReconciliationData[[#This Row],[End_Date]]),1,0)</f>
        <v>0</v>
      </c>
      <c r="U1193">
        <f>IF(AND(NOT(ISBLANK(ReconciliationData[[#This Row],[last_return_date]])),ReconciliationData[[#This Row],[last_return_date]]&gt;ReconciliationData[[#This Row],[Order_Date]]+60),1,0)</f>
        <v>0</v>
      </c>
      <c r="V1193">
        <f>IF(ReconciliationData[[#This Row],[total_returned_units]]&gt;ReconciliationData[[#This Row],[ordered_units]],1,0)</f>
        <v>0</v>
      </c>
      <c r="W11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93">
        <f>ReconciliationData[[#This Row],[Billed_Units]]*ReconciliationData[[#This Row],[Billed_Price]]</f>
        <v>36914.330399999999</v>
      </c>
      <c r="Y1193">
        <f>ReconciliationData[[#This Row],[ordered_units]]*ReconciliationData[[#This Row],[List_Price]]</f>
        <v>36914.330399999999</v>
      </c>
      <c r="Z1193">
        <f>ReconciliationData[[#This Row],[billed_revenue]]-ReconciliationData[[#This Row],[expected_revenue]]</f>
        <v>0</v>
      </c>
      <c r="AA11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93" t="str">
        <f>IF(ReconciliationData[[#This Row],[severity_score]]=0,"LOW",
 IF(ReconciliationData[[#This Row],[severity_score]]&lt;=5,"MEDIUM","HIGH"))</f>
        <v>LOW</v>
      </c>
      <c r="AC1193" t="str">
        <f>TEXT(ReconciliationData[[#This Row],[Order_Date]],"YYYY-MM")</f>
        <v>2024-01</v>
      </c>
    </row>
    <row r="1194" spans="1:29">
      <c r="A1194" t="s">
        <v>3431</v>
      </c>
      <c r="B1194" s="1">
        <v>44965</v>
      </c>
      <c r="C1194" t="s">
        <v>2298</v>
      </c>
      <c r="D1194" t="s">
        <v>291</v>
      </c>
      <c r="E1194">
        <v>133</v>
      </c>
      <c r="F1194" t="s">
        <v>3432</v>
      </c>
      <c r="G1194">
        <v>133</v>
      </c>
      <c r="H1194">
        <v>429.65302911720084</v>
      </c>
      <c r="N1194">
        <v>429.23</v>
      </c>
      <c r="O1194" s="1">
        <v>44617</v>
      </c>
      <c r="P1194">
        <f>IF(ISBLANK(ReconciliationData[[#This Row],[Invoice_ID]]),1,0)</f>
        <v>0</v>
      </c>
      <c r="Q1194">
        <f>IF(AND(NOT(ISBLANK(ReconciliationData[[#This Row],[Billed_Units]])),ReconciliationData[[#This Row],[ordered_units]]&lt;&gt;ReconciliationData[[#This Row],[Billed_Units]]),1,0)</f>
        <v>0</v>
      </c>
      <c r="R119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194">
        <f>IF(AND(NOT(ISBLANK(ReconciliationData[[#This Row],[Contract_Price]])),ReconciliationData[[#This Row],[Billed_Price]]&lt;&gt;ReconciliationData[[#This Row],[Contract_Price]]),1,0)</f>
        <v>0</v>
      </c>
      <c r="T1194">
        <f>IF(AND(NOT(ISBLANK(ReconciliationData[[#This Row],[End_Date]])),ReconciliationData[[#This Row],[Order_Date]]&gt;ReconciliationData[[#This Row],[End_Date]]),1,0)</f>
        <v>0</v>
      </c>
      <c r="U1194">
        <f>IF(AND(NOT(ISBLANK(ReconciliationData[[#This Row],[last_return_date]])),ReconciliationData[[#This Row],[last_return_date]]&gt;ReconciliationData[[#This Row],[Order_Date]]+60),1,0)</f>
        <v>0</v>
      </c>
      <c r="V1194">
        <f>IF(ReconciliationData[[#This Row],[total_returned_units]]&gt;ReconciliationData[[#This Row],[ordered_units]],1,0)</f>
        <v>0</v>
      </c>
      <c r="W11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194">
        <f>ReconciliationData[[#This Row],[Billed_Units]]*ReconciliationData[[#This Row],[Billed_Price]]</f>
        <v>57143.852872587711</v>
      </c>
      <c r="Y1194">
        <f>ReconciliationData[[#This Row],[ordered_units]]*ReconciliationData[[#This Row],[List_Price]]</f>
        <v>57087.590000000004</v>
      </c>
      <c r="Z1194">
        <f>ReconciliationData[[#This Row],[billed_revenue]]-ReconciliationData[[#This Row],[expected_revenue]]</f>
        <v>56.262872587707534</v>
      </c>
      <c r="AA11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194" t="str">
        <f>IF(ReconciliationData[[#This Row],[severity_score]]=0,"LOW",
 IF(ReconciliationData[[#This Row],[severity_score]]&lt;=5,"MEDIUM","HIGH"))</f>
        <v>MEDIUM</v>
      </c>
      <c r="AC1194" t="str">
        <f>TEXT(ReconciliationData[[#This Row],[Order_Date]],"YYYY-MM")</f>
        <v>2023-02</v>
      </c>
    </row>
    <row r="1195" spans="1:29">
      <c r="A1195" t="s">
        <v>3433</v>
      </c>
      <c r="B1195" s="1">
        <v>45099</v>
      </c>
      <c r="C1195" t="s">
        <v>2010</v>
      </c>
      <c r="D1195" t="s">
        <v>624</v>
      </c>
      <c r="E1195">
        <v>86</v>
      </c>
      <c r="F1195" t="s">
        <v>3434</v>
      </c>
      <c r="G1195">
        <v>86</v>
      </c>
      <c r="H1195">
        <v>147.17669999999998</v>
      </c>
      <c r="N1195">
        <v>147.17669999999998</v>
      </c>
      <c r="O1195" s="1">
        <v>45039</v>
      </c>
      <c r="P1195">
        <f>IF(ISBLANK(ReconciliationData[[#This Row],[Invoice_ID]]),1,0)</f>
        <v>0</v>
      </c>
      <c r="Q1195">
        <f>IF(AND(NOT(ISBLANK(ReconciliationData[[#This Row],[Billed_Units]])),ReconciliationData[[#This Row],[ordered_units]]&lt;&gt;ReconciliationData[[#This Row],[Billed_Units]]),1,0)</f>
        <v>0</v>
      </c>
      <c r="R11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95">
        <f>IF(AND(NOT(ISBLANK(ReconciliationData[[#This Row],[Contract_Price]])),ReconciliationData[[#This Row],[Billed_Price]]&lt;&gt;ReconciliationData[[#This Row],[Contract_Price]]),1,0)</f>
        <v>0</v>
      </c>
      <c r="T1195">
        <f>IF(AND(NOT(ISBLANK(ReconciliationData[[#This Row],[End_Date]])),ReconciliationData[[#This Row],[Order_Date]]&gt;ReconciliationData[[#This Row],[End_Date]]),1,0)</f>
        <v>0</v>
      </c>
      <c r="U1195">
        <f>IF(AND(NOT(ISBLANK(ReconciliationData[[#This Row],[last_return_date]])),ReconciliationData[[#This Row],[last_return_date]]&gt;ReconciliationData[[#This Row],[Order_Date]]+60),1,0)</f>
        <v>0</v>
      </c>
      <c r="V1195">
        <f>IF(ReconciliationData[[#This Row],[total_returned_units]]&gt;ReconciliationData[[#This Row],[ordered_units]],1,0)</f>
        <v>0</v>
      </c>
      <c r="W11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95">
        <f>ReconciliationData[[#This Row],[Billed_Units]]*ReconciliationData[[#This Row],[Billed_Price]]</f>
        <v>12657.196199999998</v>
      </c>
      <c r="Y1195">
        <f>ReconciliationData[[#This Row],[ordered_units]]*ReconciliationData[[#This Row],[List_Price]]</f>
        <v>12657.196199999998</v>
      </c>
      <c r="Z1195">
        <f>ReconciliationData[[#This Row],[billed_revenue]]-ReconciliationData[[#This Row],[expected_revenue]]</f>
        <v>0</v>
      </c>
      <c r="AA11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95" t="str">
        <f>IF(ReconciliationData[[#This Row],[severity_score]]=0,"LOW",
 IF(ReconciliationData[[#This Row],[severity_score]]&lt;=5,"MEDIUM","HIGH"))</f>
        <v>LOW</v>
      </c>
      <c r="AC1195" t="str">
        <f>TEXT(ReconciliationData[[#This Row],[Order_Date]],"YYYY-MM")</f>
        <v>2023-06</v>
      </c>
    </row>
    <row r="1196" spans="1:29">
      <c r="A1196" t="s">
        <v>3435</v>
      </c>
      <c r="B1196" s="1">
        <v>45548</v>
      </c>
      <c r="C1196" t="s">
        <v>3436</v>
      </c>
      <c r="D1196" t="s">
        <v>1848</v>
      </c>
      <c r="E1196">
        <v>58</v>
      </c>
      <c r="F1196" t="s">
        <v>3437</v>
      </c>
      <c r="G1196">
        <v>58</v>
      </c>
      <c r="H1196">
        <v>92.962000000000003</v>
      </c>
      <c r="N1196">
        <v>92.962000000000003</v>
      </c>
      <c r="O1196" s="1">
        <v>45151</v>
      </c>
      <c r="P1196">
        <f>IF(ISBLANK(ReconciliationData[[#This Row],[Invoice_ID]]),1,0)</f>
        <v>0</v>
      </c>
      <c r="Q1196">
        <f>IF(AND(NOT(ISBLANK(ReconciliationData[[#This Row],[Billed_Units]])),ReconciliationData[[#This Row],[ordered_units]]&lt;&gt;ReconciliationData[[#This Row],[Billed_Units]]),1,0)</f>
        <v>0</v>
      </c>
      <c r="R11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96">
        <f>IF(AND(NOT(ISBLANK(ReconciliationData[[#This Row],[Contract_Price]])),ReconciliationData[[#This Row],[Billed_Price]]&lt;&gt;ReconciliationData[[#This Row],[Contract_Price]]),1,0)</f>
        <v>0</v>
      </c>
      <c r="T1196">
        <f>IF(AND(NOT(ISBLANK(ReconciliationData[[#This Row],[End_Date]])),ReconciliationData[[#This Row],[Order_Date]]&gt;ReconciliationData[[#This Row],[End_Date]]),1,0)</f>
        <v>0</v>
      </c>
      <c r="U1196">
        <f>IF(AND(NOT(ISBLANK(ReconciliationData[[#This Row],[last_return_date]])),ReconciliationData[[#This Row],[last_return_date]]&gt;ReconciliationData[[#This Row],[Order_Date]]+60),1,0)</f>
        <v>0</v>
      </c>
      <c r="V1196">
        <f>IF(ReconciliationData[[#This Row],[total_returned_units]]&gt;ReconciliationData[[#This Row],[ordered_units]],1,0)</f>
        <v>0</v>
      </c>
      <c r="W11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96">
        <f>ReconciliationData[[#This Row],[Billed_Units]]*ReconciliationData[[#This Row],[Billed_Price]]</f>
        <v>5391.7960000000003</v>
      </c>
      <c r="Y1196">
        <f>ReconciliationData[[#This Row],[ordered_units]]*ReconciliationData[[#This Row],[List_Price]]</f>
        <v>5391.7960000000003</v>
      </c>
      <c r="Z1196">
        <f>ReconciliationData[[#This Row],[billed_revenue]]-ReconciliationData[[#This Row],[expected_revenue]]</f>
        <v>0</v>
      </c>
      <c r="AA11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96" t="str">
        <f>IF(ReconciliationData[[#This Row],[severity_score]]=0,"LOW",
 IF(ReconciliationData[[#This Row],[severity_score]]&lt;=5,"MEDIUM","HIGH"))</f>
        <v>LOW</v>
      </c>
      <c r="AC1196" t="str">
        <f>TEXT(ReconciliationData[[#This Row],[Order_Date]],"YYYY-MM")</f>
        <v>2024-09</v>
      </c>
    </row>
    <row r="1197" spans="1:29">
      <c r="A1197" t="s">
        <v>3438</v>
      </c>
      <c r="B1197" s="1">
        <v>45026</v>
      </c>
      <c r="C1197" t="s">
        <v>547</v>
      </c>
      <c r="D1197" t="s">
        <v>983</v>
      </c>
      <c r="E1197">
        <v>121</v>
      </c>
      <c r="F1197" t="s">
        <v>3439</v>
      </c>
      <c r="G1197">
        <v>121</v>
      </c>
      <c r="H1197">
        <v>249.2424</v>
      </c>
      <c r="N1197">
        <v>249.2424</v>
      </c>
      <c r="O1197" s="1">
        <v>45006</v>
      </c>
      <c r="P1197">
        <f>IF(ISBLANK(ReconciliationData[[#This Row],[Invoice_ID]]),1,0)</f>
        <v>0</v>
      </c>
      <c r="Q1197">
        <f>IF(AND(NOT(ISBLANK(ReconciliationData[[#This Row],[Billed_Units]])),ReconciliationData[[#This Row],[ordered_units]]&lt;&gt;ReconciliationData[[#This Row],[Billed_Units]]),1,0)</f>
        <v>0</v>
      </c>
      <c r="R11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97">
        <f>IF(AND(NOT(ISBLANK(ReconciliationData[[#This Row],[Contract_Price]])),ReconciliationData[[#This Row],[Billed_Price]]&lt;&gt;ReconciliationData[[#This Row],[Contract_Price]]),1,0)</f>
        <v>0</v>
      </c>
      <c r="T1197">
        <f>IF(AND(NOT(ISBLANK(ReconciliationData[[#This Row],[End_Date]])),ReconciliationData[[#This Row],[Order_Date]]&gt;ReconciliationData[[#This Row],[End_Date]]),1,0)</f>
        <v>0</v>
      </c>
      <c r="U1197">
        <f>IF(AND(NOT(ISBLANK(ReconciliationData[[#This Row],[last_return_date]])),ReconciliationData[[#This Row],[last_return_date]]&gt;ReconciliationData[[#This Row],[Order_Date]]+60),1,0)</f>
        <v>0</v>
      </c>
      <c r="V1197">
        <f>IF(ReconciliationData[[#This Row],[total_returned_units]]&gt;ReconciliationData[[#This Row],[ordered_units]],1,0)</f>
        <v>0</v>
      </c>
      <c r="W11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97">
        <f>ReconciliationData[[#This Row],[Billed_Units]]*ReconciliationData[[#This Row],[Billed_Price]]</f>
        <v>30158.330399999999</v>
      </c>
      <c r="Y1197">
        <f>ReconciliationData[[#This Row],[ordered_units]]*ReconciliationData[[#This Row],[List_Price]]</f>
        <v>30158.330399999999</v>
      </c>
      <c r="Z1197">
        <f>ReconciliationData[[#This Row],[billed_revenue]]-ReconciliationData[[#This Row],[expected_revenue]]</f>
        <v>0</v>
      </c>
      <c r="AA11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97" t="str">
        <f>IF(ReconciliationData[[#This Row],[severity_score]]=0,"LOW",
 IF(ReconciliationData[[#This Row],[severity_score]]&lt;=5,"MEDIUM","HIGH"))</f>
        <v>LOW</v>
      </c>
      <c r="AC1197" t="str">
        <f>TEXT(ReconciliationData[[#This Row],[Order_Date]],"YYYY-MM")</f>
        <v>2023-04</v>
      </c>
    </row>
    <row r="1198" spans="1:29">
      <c r="A1198" t="s">
        <v>3440</v>
      </c>
      <c r="B1198" s="1">
        <v>44967</v>
      </c>
      <c r="C1198" t="s">
        <v>1750</v>
      </c>
      <c r="D1198" t="s">
        <v>309</v>
      </c>
      <c r="E1198">
        <v>169</v>
      </c>
      <c r="F1198" t="s">
        <v>3441</v>
      </c>
      <c r="G1198">
        <v>169</v>
      </c>
      <c r="H1198">
        <v>1043.3556000000001</v>
      </c>
      <c r="N1198">
        <v>1043.3556000000001</v>
      </c>
      <c r="O1198" s="1">
        <v>44882</v>
      </c>
      <c r="P1198">
        <f>IF(ISBLANK(ReconciliationData[[#This Row],[Invoice_ID]]),1,0)</f>
        <v>0</v>
      </c>
      <c r="Q1198">
        <f>IF(AND(NOT(ISBLANK(ReconciliationData[[#This Row],[Billed_Units]])),ReconciliationData[[#This Row],[ordered_units]]&lt;&gt;ReconciliationData[[#This Row],[Billed_Units]]),1,0)</f>
        <v>0</v>
      </c>
      <c r="R11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98">
        <f>IF(AND(NOT(ISBLANK(ReconciliationData[[#This Row],[Contract_Price]])),ReconciliationData[[#This Row],[Billed_Price]]&lt;&gt;ReconciliationData[[#This Row],[Contract_Price]]),1,0)</f>
        <v>0</v>
      </c>
      <c r="T1198">
        <f>IF(AND(NOT(ISBLANK(ReconciliationData[[#This Row],[End_Date]])),ReconciliationData[[#This Row],[Order_Date]]&gt;ReconciliationData[[#This Row],[End_Date]]),1,0)</f>
        <v>0</v>
      </c>
      <c r="U1198">
        <f>IF(AND(NOT(ISBLANK(ReconciliationData[[#This Row],[last_return_date]])),ReconciliationData[[#This Row],[last_return_date]]&gt;ReconciliationData[[#This Row],[Order_Date]]+60),1,0)</f>
        <v>0</v>
      </c>
      <c r="V1198">
        <f>IF(ReconciliationData[[#This Row],[total_returned_units]]&gt;ReconciliationData[[#This Row],[ordered_units]],1,0)</f>
        <v>0</v>
      </c>
      <c r="W11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98">
        <f>ReconciliationData[[#This Row],[Billed_Units]]*ReconciliationData[[#This Row],[Billed_Price]]</f>
        <v>176327.09640000001</v>
      </c>
      <c r="Y1198">
        <f>ReconciliationData[[#This Row],[ordered_units]]*ReconciliationData[[#This Row],[List_Price]]</f>
        <v>176327.09640000001</v>
      </c>
      <c r="Z1198">
        <f>ReconciliationData[[#This Row],[billed_revenue]]-ReconciliationData[[#This Row],[expected_revenue]]</f>
        <v>0</v>
      </c>
      <c r="AA11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98" t="str">
        <f>IF(ReconciliationData[[#This Row],[severity_score]]=0,"LOW",
 IF(ReconciliationData[[#This Row],[severity_score]]&lt;=5,"MEDIUM","HIGH"))</f>
        <v>LOW</v>
      </c>
      <c r="AC1198" t="str">
        <f>TEXT(ReconciliationData[[#This Row],[Order_Date]],"YYYY-MM")</f>
        <v>2023-02</v>
      </c>
    </row>
    <row r="1199" spans="1:29">
      <c r="A1199" t="s">
        <v>3442</v>
      </c>
      <c r="B1199" s="1">
        <v>45119</v>
      </c>
      <c r="C1199" t="s">
        <v>3443</v>
      </c>
      <c r="D1199" t="s">
        <v>1571</v>
      </c>
      <c r="E1199">
        <v>33</v>
      </c>
      <c r="F1199" t="s">
        <v>3444</v>
      </c>
      <c r="G1199">
        <v>33</v>
      </c>
      <c r="H1199">
        <v>1226.9154000000001</v>
      </c>
      <c r="N1199">
        <v>1226.9154000000001</v>
      </c>
      <c r="O1199" s="1">
        <v>45032</v>
      </c>
      <c r="P1199">
        <f>IF(ISBLANK(ReconciliationData[[#This Row],[Invoice_ID]]),1,0)</f>
        <v>0</v>
      </c>
      <c r="Q1199">
        <f>IF(AND(NOT(ISBLANK(ReconciliationData[[#This Row],[Billed_Units]])),ReconciliationData[[#This Row],[ordered_units]]&lt;&gt;ReconciliationData[[#This Row],[Billed_Units]]),1,0)</f>
        <v>0</v>
      </c>
      <c r="R11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199">
        <f>IF(AND(NOT(ISBLANK(ReconciliationData[[#This Row],[Contract_Price]])),ReconciliationData[[#This Row],[Billed_Price]]&lt;&gt;ReconciliationData[[#This Row],[Contract_Price]]),1,0)</f>
        <v>0</v>
      </c>
      <c r="T1199">
        <f>IF(AND(NOT(ISBLANK(ReconciliationData[[#This Row],[End_Date]])),ReconciliationData[[#This Row],[Order_Date]]&gt;ReconciliationData[[#This Row],[End_Date]]),1,0)</f>
        <v>0</v>
      </c>
      <c r="U1199">
        <f>IF(AND(NOT(ISBLANK(ReconciliationData[[#This Row],[last_return_date]])),ReconciliationData[[#This Row],[last_return_date]]&gt;ReconciliationData[[#This Row],[Order_Date]]+60),1,0)</f>
        <v>0</v>
      </c>
      <c r="V1199">
        <f>IF(ReconciliationData[[#This Row],[total_returned_units]]&gt;ReconciliationData[[#This Row],[ordered_units]],1,0)</f>
        <v>0</v>
      </c>
      <c r="W11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199">
        <f>ReconciliationData[[#This Row],[Billed_Units]]*ReconciliationData[[#This Row],[Billed_Price]]</f>
        <v>40488.208200000001</v>
      </c>
      <c r="Y1199">
        <f>ReconciliationData[[#This Row],[ordered_units]]*ReconciliationData[[#This Row],[List_Price]]</f>
        <v>40488.208200000001</v>
      </c>
      <c r="Z1199">
        <f>ReconciliationData[[#This Row],[billed_revenue]]-ReconciliationData[[#This Row],[expected_revenue]]</f>
        <v>0</v>
      </c>
      <c r="AA11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199" t="str">
        <f>IF(ReconciliationData[[#This Row],[severity_score]]=0,"LOW",
 IF(ReconciliationData[[#This Row],[severity_score]]&lt;=5,"MEDIUM","HIGH"))</f>
        <v>LOW</v>
      </c>
      <c r="AC1199" t="str">
        <f>TEXT(ReconciliationData[[#This Row],[Order_Date]],"YYYY-MM")</f>
        <v>2023-07</v>
      </c>
    </row>
    <row r="1200" spans="1:29">
      <c r="A1200" t="s">
        <v>3445</v>
      </c>
      <c r="B1200" s="1">
        <v>45081</v>
      </c>
      <c r="C1200" t="s">
        <v>1648</v>
      </c>
      <c r="D1200" t="s">
        <v>1487</v>
      </c>
      <c r="E1200">
        <v>70</v>
      </c>
      <c r="F1200" t="s">
        <v>3446</v>
      </c>
      <c r="G1200">
        <v>70</v>
      </c>
      <c r="H1200">
        <v>275.82459999999998</v>
      </c>
      <c r="I1200">
        <v>9</v>
      </c>
      <c r="J1200" s="1">
        <v>45152</v>
      </c>
      <c r="N1200">
        <v>275.82459999999998</v>
      </c>
      <c r="O1200" s="1">
        <v>45006</v>
      </c>
      <c r="P1200">
        <f>IF(ISBLANK(ReconciliationData[[#This Row],[Invoice_ID]]),1,0)</f>
        <v>0</v>
      </c>
      <c r="Q1200">
        <f>IF(AND(NOT(ISBLANK(ReconciliationData[[#This Row],[Billed_Units]])),ReconciliationData[[#This Row],[ordered_units]]&lt;&gt;ReconciliationData[[#This Row],[Billed_Units]]),1,0)</f>
        <v>0</v>
      </c>
      <c r="R12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0">
        <f>IF(AND(NOT(ISBLANK(ReconciliationData[[#This Row],[Contract_Price]])),ReconciliationData[[#This Row],[Billed_Price]]&lt;&gt;ReconciliationData[[#This Row],[Contract_Price]]),1,0)</f>
        <v>0</v>
      </c>
      <c r="T1200">
        <f>IF(AND(NOT(ISBLANK(ReconciliationData[[#This Row],[End_Date]])),ReconciliationData[[#This Row],[Order_Date]]&gt;ReconciliationData[[#This Row],[End_Date]]),1,0)</f>
        <v>0</v>
      </c>
      <c r="U1200">
        <f>IF(AND(NOT(ISBLANK(ReconciliationData[[#This Row],[last_return_date]])),ReconciliationData[[#This Row],[last_return_date]]&gt;ReconciliationData[[#This Row],[Order_Date]]+60),1,0)</f>
        <v>1</v>
      </c>
      <c r="V1200">
        <f>IF(ReconciliationData[[#This Row],[total_returned_units]]&gt;ReconciliationData[[#This Row],[ordered_units]],1,0)</f>
        <v>0</v>
      </c>
      <c r="W12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00">
        <f>ReconciliationData[[#This Row],[Billed_Units]]*ReconciliationData[[#This Row],[Billed_Price]]</f>
        <v>19307.721999999998</v>
      </c>
      <c r="Y1200">
        <f>ReconciliationData[[#This Row],[ordered_units]]*ReconciliationData[[#This Row],[List_Price]]</f>
        <v>19307.721999999998</v>
      </c>
      <c r="Z1200">
        <f>ReconciliationData[[#This Row],[billed_revenue]]-ReconciliationData[[#This Row],[expected_revenue]]</f>
        <v>0</v>
      </c>
      <c r="AA12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200" t="str">
        <f>IF(ReconciliationData[[#This Row],[severity_score]]=0,"LOW",
 IF(ReconciliationData[[#This Row],[severity_score]]&lt;=5,"MEDIUM","HIGH"))</f>
        <v>MEDIUM</v>
      </c>
      <c r="AC1200" t="str">
        <f>TEXT(ReconciliationData[[#This Row],[Order_Date]],"YYYY-MM")</f>
        <v>2023-06</v>
      </c>
    </row>
    <row r="1201" spans="1:29">
      <c r="A1201" t="s">
        <v>3447</v>
      </c>
      <c r="B1201" s="1">
        <v>45493</v>
      </c>
      <c r="C1201" t="s">
        <v>1705</v>
      </c>
      <c r="D1201" t="s">
        <v>658</v>
      </c>
      <c r="E1201">
        <v>61</v>
      </c>
      <c r="F1201" t="s">
        <v>3448</v>
      </c>
      <c r="G1201">
        <v>61</v>
      </c>
      <c r="H1201">
        <v>88.578000000000003</v>
      </c>
      <c r="N1201">
        <v>88.578000000000003</v>
      </c>
      <c r="O1201" s="1">
        <v>45107</v>
      </c>
      <c r="P1201">
        <f>IF(ISBLANK(ReconciliationData[[#This Row],[Invoice_ID]]),1,0)</f>
        <v>0</v>
      </c>
      <c r="Q1201">
        <f>IF(AND(NOT(ISBLANK(ReconciliationData[[#This Row],[Billed_Units]])),ReconciliationData[[#This Row],[ordered_units]]&lt;&gt;ReconciliationData[[#This Row],[Billed_Units]]),1,0)</f>
        <v>0</v>
      </c>
      <c r="R12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1">
        <f>IF(AND(NOT(ISBLANK(ReconciliationData[[#This Row],[Contract_Price]])),ReconciliationData[[#This Row],[Billed_Price]]&lt;&gt;ReconciliationData[[#This Row],[Contract_Price]]),1,0)</f>
        <v>0</v>
      </c>
      <c r="T1201">
        <f>IF(AND(NOT(ISBLANK(ReconciliationData[[#This Row],[End_Date]])),ReconciliationData[[#This Row],[Order_Date]]&gt;ReconciliationData[[#This Row],[End_Date]]),1,0)</f>
        <v>0</v>
      </c>
      <c r="U1201">
        <f>IF(AND(NOT(ISBLANK(ReconciliationData[[#This Row],[last_return_date]])),ReconciliationData[[#This Row],[last_return_date]]&gt;ReconciliationData[[#This Row],[Order_Date]]+60),1,0)</f>
        <v>0</v>
      </c>
      <c r="V1201">
        <f>IF(ReconciliationData[[#This Row],[total_returned_units]]&gt;ReconciliationData[[#This Row],[ordered_units]],1,0)</f>
        <v>0</v>
      </c>
      <c r="W12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01">
        <f>ReconciliationData[[#This Row],[Billed_Units]]*ReconciliationData[[#This Row],[Billed_Price]]</f>
        <v>5403.2579999999998</v>
      </c>
      <c r="Y1201">
        <f>ReconciliationData[[#This Row],[ordered_units]]*ReconciliationData[[#This Row],[List_Price]]</f>
        <v>5403.2579999999998</v>
      </c>
      <c r="Z1201">
        <f>ReconciliationData[[#This Row],[billed_revenue]]-ReconciliationData[[#This Row],[expected_revenue]]</f>
        <v>0</v>
      </c>
      <c r="AA12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01" t="str">
        <f>IF(ReconciliationData[[#This Row],[severity_score]]=0,"LOW",
 IF(ReconciliationData[[#This Row],[severity_score]]&lt;=5,"MEDIUM","HIGH"))</f>
        <v>LOW</v>
      </c>
      <c r="AC1201" t="str">
        <f>TEXT(ReconciliationData[[#This Row],[Order_Date]],"YYYY-MM")</f>
        <v>2024-07</v>
      </c>
    </row>
    <row r="1202" spans="1:29">
      <c r="A1202" t="s">
        <v>3449</v>
      </c>
      <c r="B1202" s="1">
        <v>45409</v>
      </c>
      <c r="C1202" t="s">
        <v>3450</v>
      </c>
      <c r="D1202" t="s">
        <v>1571</v>
      </c>
      <c r="E1202">
        <v>93</v>
      </c>
      <c r="F1202" t="s">
        <v>3451</v>
      </c>
      <c r="G1202">
        <v>93</v>
      </c>
      <c r="H1202">
        <v>1226.9154000000001</v>
      </c>
      <c r="N1202">
        <v>1226.9154000000001</v>
      </c>
      <c r="O1202" s="1">
        <v>45032</v>
      </c>
      <c r="P1202">
        <f>IF(ISBLANK(ReconciliationData[[#This Row],[Invoice_ID]]),1,0)</f>
        <v>0</v>
      </c>
      <c r="Q1202">
        <f>IF(AND(NOT(ISBLANK(ReconciliationData[[#This Row],[Billed_Units]])),ReconciliationData[[#This Row],[ordered_units]]&lt;&gt;ReconciliationData[[#This Row],[Billed_Units]]),1,0)</f>
        <v>0</v>
      </c>
      <c r="R12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2">
        <f>IF(AND(NOT(ISBLANK(ReconciliationData[[#This Row],[Contract_Price]])),ReconciliationData[[#This Row],[Billed_Price]]&lt;&gt;ReconciliationData[[#This Row],[Contract_Price]]),1,0)</f>
        <v>0</v>
      </c>
      <c r="T1202">
        <f>IF(AND(NOT(ISBLANK(ReconciliationData[[#This Row],[End_Date]])),ReconciliationData[[#This Row],[Order_Date]]&gt;ReconciliationData[[#This Row],[End_Date]]),1,0)</f>
        <v>0</v>
      </c>
      <c r="U1202">
        <f>IF(AND(NOT(ISBLANK(ReconciliationData[[#This Row],[last_return_date]])),ReconciliationData[[#This Row],[last_return_date]]&gt;ReconciliationData[[#This Row],[Order_Date]]+60),1,0)</f>
        <v>0</v>
      </c>
      <c r="V1202">
        <f>IF(ReconciliationData[[#This Row],[total_returned_units]]&gt;ReconciliationData[[#This Row],[ordered_units]],1,0)</f>
        <v>0</v>
      </c>
      <c r="W12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02">
        <f>ReconciliationData[[#This Row],[Billed_Units]]*ReconciliationData[[#This Row],[Billed_Price]]</f>
        <v>114103.13220000001</v>
      </c>
      <c r="Y1202">
        <f>ReconciliationData[[#This Row],[ordered_units]]*ReconciliationData[[#This Row],[List_Price]]</f>
        <v>114103.13220000001</v>
      </c>
      <c r="Z1202">
        <f>ReconciliationData[[#This Row],[billed_revenue]]-ReconciliationData[[#This Row],[expected_revenue]]</f>
        <v>0</v>
      </c>
      <c r="AA12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02" t="str">
        <f>IF(ReconciliationData[[#This Row],[severity_score]]=0,"LOW",
 IF(ReconciliationData[[#This Row],[severity_score]]&lt;=5,"MEDIUM","HIGH"))</f>
        <v>LOW</v>
      </c>
      <c r="AC1202" t="str">
        <f>TEXT(ReconciliationData[[#This Row],[Order_Date]],"YYYY-MM")</f>
        <v>2024-04</v>
      </c>
    </row>
    <row r="1203" spans="1:29">
      <c r="A1203" t="s">
        <v>3452</v>
      </c>
      <c r="B1203" s="1">
        <v>45018</v>
      </c>
      <c r="C1203" t="s">
        <v>1660</v>
      </c>
      <c r="D1203" t="s">
        <v>1555</v>
      </c>
      <c r="E1203">
        <v>6</v>
      </c>
      <c r="F1203" t="s">
        <v>3453</v>
      </c>
      <c r="G1203">
        <v>6</v>
      </c>
      <c r="H1203">
        <v>874.92399999999998</v>
      </c>
      <c r="N1203">
        <v>874.92399999999998</v>
      </c>
      <c r="O1203" s="1">
        <v>44966</v>
      </c>
      <c r="P1203">
        <f>IF(ISBLANK(ReconciliationData[[#This Row],[Invoice_ID]]),1,0)</f>
        <v>0</v>
      </c>
      <c r="Q1203">
        <f>IF(AND(NOT(ISBLANK(ReconciliationData[[#This Row],[Billed_Units]])),ReconciliationData[[#This Row],[ordered_units]]&lt;&gt;ReconciliationData[[#This Row],[Billed_Units]]),1,0)</f>
        <v>0</v>
      </c>
      <c r="R12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3">
        <f>IF(AND(NOT(ISBLANK(ReconciliationData[[#This Row],[Contract_Price]])),ReconciliationData[[#This Row],[Billed_Price]]&lt;&gt;ReconciliationData[[#This Row],[Contract_Price]]),1,0)</f>
        <v>0</v>
      </c>
      <c r="T1203">
        <f>IF(AND(NOT(ISBLANK(ReconciliationData[[#This Row],[End_Date]])),ReconciliationData[[#This Row],[Order_Date]]&gt;ReconciliationData[[#This Row],[End_Date]]),1,0)</f>
        <v>0</v>
      </c>
      <c r="U1203">
        <f>IF(AND(NOT(ISBLANK(ReconciliationData[[#This Row],[last_return_date]])),ReconciliationData[[#This Row],[last_return_date]]&gt;ReconciliationData[[#This Row],[Order_Date]]+60),1,0)</f>
        <v>0</v>
      </c>
      <c r="V1203">
        <f>IF(ReconciliationData[[#This Row],[total_returned_units]]&gt;ReconciliationData[[#This Row],[ordered_units]],1,0)</f>
        <v>0</v>
      </c>
      <c r="W12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03">
        <f>ReconciliationData[[#This Row],[Billed_Units]]*ReconciliationData[[#This Row],[Billed_Price]]</f>
        <v>5249.5439999999999</v>
      </c>
      <c r="Y1203">
        <f>ReconciliationData[[#This Row],[ordered_units]]*ReconciliationData[[#This Row],[List_Price]]</f>
        <v>5249.5439999999999</v>
      </c>
      <c r="Z1203">
        <f>ReconciliationData[[#This Row],[billed_revenue]]-ReconciliationData[[#This Row],[expected_revenue]]</f>
        <v>0</v>
      </c>
      <c r="AA12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03" t="str">
        <f>IF(ReconciliationData[[#This Row],[severity_score]]=0,"LOW",
 IF(ReconciliationData[[#This Row],[severity_score]]&lt;=5,"MEDIUM","HIGH"))</f>
        <v>LOW</v>
      </c>
      <c r="AC1203" t="str">
        <f>TEXT(ReconciliationData[[#This Row],[Order_Date]],"YYYY-MM")</f>
        <v>2023-04</v>
      </c>
    </row>
    <row r="1204" spans="1:29">
      <c r="A1204" t="s">
        <v>3454</v>
      </c>
      <c r="B1204" s="1">
        <v>45164</v>
      </c>
      <c r="C1204" t="s">
        <v>771</v>
      </c>
      <c r="D1204" t="s">
        <v>283</v>
      </c>
      <c r="E1204">
        <v>21</v>
      </c>
      <c r="F1204" t="s">
        <v>3455</v>
      </c>
      <c r="G1204">
        <v>21</v>
      </c>
      <c r="H1204">
        <v>415.70589999999999</v>
      </c>
      <c r="K1204">
        <v>353.97</v>
      </c>
      <c r="L1204" s="1">
        <v>45071</v>
      </c>
      <c r="M1204" s="1">
        <v>44963</v>
      </c>
      <c r="N1204">
        <v>415.70589999999999</v>
      </c>
      <c r="O1204" s="1">
        <v>44989</v>
      </c>
      <c r="P1204">
        <f>IF(ISBLANK(ReconciliationData[[#This Row],[Invoice_ID]]),1,0)</f>
        <v>0</v>
      </c>
      <c r="Q1204">
        <f>IF(AND(NOT(ISBLANK(ReconciliationData[[#This Row],[Billed_Units]])),ReconciliationData[[#This Row],[ordered_units]]&lt;&gt;ReconciliationData[[#This Row],[Billed_Units]]),1,0)</f>
        <v>0</v>
      </c>
      <c r="R12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4">
        <f>IF(AND(NOT(ISBLANK(ReconciliationData[[#This Row],[Contract_Price]])),ReconciliationData[[#This Row],[Billed_Price]]&lt;&gt;ReconciliationData[[#This Row],[Contract_Price]]),1,0)</f>
        <v>1</v>
      </c>
      <c r="T1204">
        <f>IF(AND(NOT(ISBLANK(ReconciliationData[[#This Row],[End_Date]])),ReconciliationData[[#This Row],[Order_Date]]&gt;ReconciliationData[[#This Row],[End_Date]]),1,0)</f>
        <v>1</v>
      </c>
      <c r="U1204">
        <f>IF(AND(NOT(ISBLANK(ReconciliationData[[#This Row],[last_return_date]])),ReconciliationData[[#This Row],[last_return_date]]&gt;ReconciliationData[[#This Row],[Order_Date]]+60),1,0)</f>
        <v>0</v>
      </c>
      <c r="V1204">
        <f>IF(ReconciliationData[[#This Row],[total_returned_units]]&gt;ReconciliationData[[#This Row],[ordered_units]],1,0)</f>
        <v>0</v>
      </c>
      <c r="W12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04">
        <f>ReconciliationData[[#This Row],[Billed_Units]]*ReconciliationData[[#This Row],[Billed_Price]]</f>
        <v>8729.8238999999994</v>
      </c>
      <c r="Y1204">
        <f>ReconciliationData[[#This Row],[ordered_units]]*ReconciliationData[[#This Row],[List_Price]]</f>
        <v>8729.8238999999994</v>
      </c>
      <c r="Z1204">
        <f>ReconciliationData[[#This Row],[billed_revenue]]-ReconciliationData[[#This Row],[expected_revenue]]</f>
        <v>0</v>
      </c>
      <c r="AA12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204" t="str">
        <f>IF(ReconciliationData[[#This Row],[severity_score]]=0,"LOW",
 IF(ReconciliationData[[#This Row],[severity_score]]&lt;=5,"MEDIUM","HIGH"))</f>
        <v>HIGH</v>
      </c>
      <c r="AC1204" t="str">
        <f>TEXT(ReconciliationData[[#This Row],[Order_Date]],"YYYY-MM")</f>
        <v>2023-08</v>
      </c>
    </row>
    <row r="1205" spans="1:29">
      <c r="A1205" t="s">
        <v>3456</v>
      </c>
      <c r="B1205" s="1">
        <v>45287</v>
      </c>
      <c r="C1205" t="s">
        <v>1248</v>
      </c>
      <c r="D1205" t="s">
        <v>178</v>
      </c>
      <c r="E1205">
        <v>49</v>
      </c>
      <c r="F1205" t="s">
        <v>3457</v>
      </c>
      <c r="G1205">
        <v>49</v>
      </c>
      <c r="H1205">
        <v>687.65840000000003</v>
      </c>
      <c r="N1205">
        <v>687.65840000000003</v>
      </c>
      <c r="O1205" s="1">
        <v>45139</v>
      </c>
      <c r="P1205">
        <f>IF(ISBLANK(ReconciliationData[[#This Row],[Invoice_ID]]),1,0)</f>
        <v>0</v>
      </c>
      <c r="Q1205">
        <f>IF(AND(NOT(ISBLANK(ReconciliationData[[#This Row],[Billed_Units]])),ReconciliationData[[#This Row],[ordered_units]]&lt;&gt;ReconciliationData[[#This Row],[Billed_Units]]),1,0)</f>
        <v>0</v>
      </c>
      <c r="R12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5">
        <f>IF(AND(NOT(ISBLANK(ReconciliationData[[#This Row],[Contract_Price]])),ReconciliationData[[#This Row],[Billed_Price]]&lt;&gt;ReconciliationData[[#This Row],[Contract_Price]]),1,0)</f>
        <v>0</v>
      </c>
      <c r="T1205">
        <f>IF(AND(NOT(ISBLANK(ReconciliationData[[#This Row],[End_Date]])),ReconciliationData[[#This Row],[Order_Date]]&gt;ReconciliationData[[#This Row],[End_Date]]),1,0)</f>
        <v>0</v>
      </c>
      <c r="U1205">
        <f>IF(AND(NOT(ISBLANK(ReconciliationData[[#This Row],[last_return_date]])),ReconciliationData[[#This Row],[last_return_date]]&gt;ReconciliationData[[#This Row],[Order_Date]]+60),1,0)</f>
        <v>0</v>
      </c>
      <c r="V1205">
        <f>IF(ReconciliationData[[#This Row],[total_returned_units]]&gt;ReconciliationData[[#This Row],[ordered_units]],1,0)</f>
        <v>0</v>
      </c>
      <c r="W12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05">
        <f>ReconciliationData[[#This Row],[Billed_Units]]*ReconciliationData[[#This Row],[Billed_Price]]</f>
        <v>33695.261599999998</v>
      </c>
      <c r="Y1205">
        <f>ReconciliationData[[#This Row],[ordered_units]]*ReconciliationData[[#This Row],[List_Price]]</f>
        <v>33695.261599999998</v>
      </c>
      <c r="Z1205">
        <f>ReconciliationData[[#This Row],[billed_revenue]]-ReconciliationData[[#This Row],[expected_revenue]]</f>
        <v>0</v>
      </c>
      <c r="AA12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05" t="str">
        <f>IF(ReconciliationData[[#This Row],[severity_score]]=0,"LOW",
 IF(ReconciliationData[[#This Row],[severity_score]]&lt;=5,"MEDIUM","HIGH"))</f>
        <v>LOW</v>
      </c>
      <c r="AC1205" t="str">
        <f>TEXT(ReconciliationData[[#This Row],[Order_Date]],"YYYY-MM")</f>
        <v>2023-12</v>
      </c>
    </row>
    <row r="1206" spans="1:29">
      <c r="A1206" t="s">
        <v>3458</v>
      </c>
      <c r="B1206" s="1">
        <v>45214</v>
      </c>
      <c r="C1206" t="s">
        <v>3459</v>
      </c>
      <c r="D1206" t="s">
        <v>596</v>
      </c>
      <c r="E1206">
        <v>199</v>
      </c>
      <c r="F1206" t="s">
        <v>3460</v>
      </c>
      <c r="G1206">
        <v>199</v>
      </c>
      <c r="H1206">
        <v>652.1472</v>
      </c>
      <c r="N1206">
        <v>652.1472</v>
      </c>
      <c r="O1206" s="1">
        <v>44959</v>
      </c>
      <c r="P1206">
        <f>IF(ISBLANK(ReconciliationData[[#This Row],[Invoice_ID]]),1,0)</f>
        <v>0</v>
      </c>
      <c r="Q1206">
        <f>IF(AND(NOT(ISBLANK(ReconciliationData[[#This Row],[Billed_Units]])),ReconciliationData[[#This Row],[ordered_units]]&lt;&gt;ReconciliationData[[#This Row],[Billed_Units]]),1,0)</f>
        <v>0</v>
      </c>
      <c r="R12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6">
        <f>IF(AND(NOT(ISBLANK(ReconciliationData[[#This Row],[Contract_Price]])),ReconciliationData[[#This Row],[Billed_Price]]&lt;&gt;ReconciliationData[[#This Row],[Contract_Price]]),1,0)</f>
        <v>0</v>
      </c>
      <c r="T1206">
        <f>IF(AND(NOT(ISBLANK(ReconciliationData[[#This Row],[End_Date]])),ReconciliationData[[#This Row],[Order_Date]]&gt;ReconciliationData[[#This Row],[End_Date]]),1,0)</f>
        <v>0</v>
      </c>
      <c r="U1206">
        <f>IF(AND(NOT(ISBLANK(ReconciliationData[[#This Row],[last_return_date]])),ReconciliationData[[#This Row],[last_return_date]]&gt;ReconciliationData[[#This Row],[Order_Date]]+60),1,0)</f>
        <v>0</v>
      </c>
      <c r="V1206">
        <f>IF(ReconciliationData[[#This Row],[total_returned_units]]&gt;ReconciliationData[[#This Row],[ordered_units]],1,0)</f>
        <v>0</v>
      </c>
      <c r="W12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06">
        <f>ReconciliationData[[#This Row],[Billed_Units]]*ReconciliationData[[#This Row],[Billed_Price]]</f>
        <v>129777.2928</v>
      </c>
      <c r="Y1206">
        <f>ReconciliationData[[#This Row],[ordered_units]]*ReconciliationData[[#This Row],[List_Price]]</f>
        <v>129777.2928</v>
      </c>
      <c r="Z1206">
        <f>ReconciliationData[[#This Row],[billed_revenue]]-ReconciliationData[[#This Row],[expected_revenue]]</f>
        <v>0</v>
      </c>
      <c r="AA12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06" t="str">
        <f>IF(ReconciliationData[[#This Row],[severity_score]]=0,"LOW",
 IF(ReconciliationData[[#This Row],[severity_score]]&lt;=5,"MEDIUM","HIGH"))</f>
        <v>LOW</v>
      </c>
      <c r="AC1206" t="str">
        <f>TEXT(ReconciliationData[[#This Row],[Order_Date]],"YYYY-MM")</f>
        <v>2023-10</v>
      </c>
    </row>
    <row r="1207" spans="1:29">
      <c r="A1207" t="s">
        <v>3461</v>
      </c>
      <c r="B1207" s="1">
        <v>45103</v>
      </c>
      <c r="C1207" t="s">
        <v>3462</v>
      </c>
      <c r="D1207" t="s">
        <v>1315</v>
      </c>
      <c r="E1207">
        <v>71</v>
      </c>
      <c r="F1207" t="s">
        <v>3463</v>
      </c>
      <c r="G1207">
        <v>71</v>
      </c>
      <c r="H1207">
        <v>311.96339999999998</v>
      </c>
      <c r="N1207">
        <v>311.96339999999998</v>
      </c>
      <c r="O1207" s="1">
        <v>45012</v>
      </c>
      <c r="P1207">
        <f>IF(ISBLANK(ReconciliationData[[#This Row],[Invoice_ID]]),1,0)</f>
        <v>0</v>
      </c>
      <c r="Q1207">
        <f>IF(AND(NOT(ISBLANK(ReconciliationData[[#This Row],[Billed_Units]])),ReconciliationData[[#This Row],[ordered_units]]&lt;&gt;ReconciliationData[[#This Row],[Billed_Units]]),1,0)</f>
        <v>0</v>
      </c>
      <c r="R12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7">
        <f>IF(AND(NOT(ISBLANK(ReconciliationData[[#This Row],[Contract_Price]])),ReconciliationData[[#This Row],[Billed_Price]]&lt;&gt;ReconciliationData[[#This Row],[Contract_Price]]),1,0)</f>
        <v>0</v>
      </c>
      <c r="T1207">
        <f>IF(AND(NOT(ISBLANK(ReconciliationData[[#This Row],[End_Date]])),ReconciliationData[[#This Row],[Order_Date]]&gt;ReconciliationData[[#This Row],[End_Date]]),1,0)</f>
        <v>0</v>
      </c>
      <c r="U1207">
        <f>IF(AND(NOT(ISBLANK(ReconciliationData[[#This Row],[last_return_date]])),ReconciliationData[[#This Row],[last_return_date]]&gt;ReconciliationData[[#This Row],[Order_Date]]+60),1,0)</f>
        <v>0</v>
      </c>
      <c r="V1207">
        <f>IF(ReconciliationData[[#This Row],[total_returned_units]]&gt;ReconciliationData[[#This Row],[ordered_units]],1,0)</f>
        <v>0</v>
      </c>
      <c r="W12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07">
        <f>ReconciliationData[[#This Row],[Billed_Units]]*ReconciliationData[[#This Row],[Billed_Price]]</f>
        <v>22149.401399999999</v>
      </c>
      <c r="Y1207">
        <f>ReconciliationData[[#This Row],[ordered_units]]*ReconciliationData[[#This Row],[List_Price]]</f>
        <v>22149.401399999999</v>
      </c>
      <c r="Z1207">
        <f>ReconciliationData[[#This Row],[billed_revenue]]-ReconciliationData[[#This Row],[expected_revenue]]</f>
        <v>0</v>
      </c>
      <c r="AA12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07" t="str">
        <f>IF(ReconciliationData[[#This Row],[severity_score]]=0,"LOW",
 IF(ReconciliationData[[#This Row],[severity_score]]&lt;=5,"MEDIUM","HIGH"))</f>
        <v>LOW</v>
      </c>
      <c r="AC1207" t="str">
        <f>TEXT(ReconciliationData[[#This Row],[Order_Date]],"YYYY-MM")</f>
        <v>2023-06</v>
      </c>
    </row>
    <row r="1208" spans="1:29">
      <c r="A1208" t="s">
        <v>3464</v>
      </c>
      <c r="B1208" s="1">
        <v>45100</v>
      </c>
      <c r="C1208" t="s">
        <v>2298</v>
      </c>
      <c r="D1208" t="s">
        <v>263</v>
      </c>
      <c r="E1208">
        <v>41</v>
      </c>
      <c r="F1208" t="s">
        <v>3465</v>
      </c>
      <c r="G1208">
        <v>47</v>
      </c>
      <c r="H1208">
        <v>1147.3289</v>
      </c>
      <c r="N1208">
        <v>1147.3289</v>
      </c>
      <c r="O1208" s="1">
        <v>44945</v>
      </c>
      <c r="P1208">
        <f>IF(ISBLANK(ReconciliationData[[#This Row],[Invoice_ID]]),1,0)</f>
        <v>0</v>
      </c>
      <c r="Q1208">
        <f>IF(AND(NOT(ISBLANK(ReconciliationData[[#This Row],[Billed_Units]])),ReconciliationData[[#This Row],[ordered_units]]&lt;&gt;ReconciliationData[[#This Row],[Billed_Units]]),1,0)</f>
        <v>1</v>
      </c>
      <c r="R12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8">
        <f>IF(AND(NOT(ISBLANK(ReconciliationData[[#This Row],[Contract_Price]])),ReconciliationData[[#This Row],[Billed_Price]]&lt;&gt;ReconciliationData[[#This Row],[Contract_Price]]),1,0)</f>
        <v>0</v>
      </c>
      <c r="T1208">
        <f>IF(AND(NOT(ISBLANK(ReconciliationData[[#This Row],[End_Date]])),ReconciliationData[[#This Row],[Order_Date]]&gt;ReconciliationData[[#This Row],[End_Date]]),1,0)</f>
        <v>0</v>
      </c>
      <c r="U1208">
        <f>IF(AND(NOT(ISBLANK(ReconciliationData[[#This Row],[last_return_date]])),ReconciliationData[[#This Row],[last_return_date]]&gt;ReconciliationData[[#This Row],[Order_Date]]+60),1,0)</f>
        <v>0</v>
      </c>
      <c r="V1208">
        <f>IF(ReconciliationData[[#This Row],[total_returned_units]]&gt;ReconciliationData[[#This Row],[ordered_units]],1,0)</f>
        <v>0</v>
      </c>
      <c r="W12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08">
        <f>ReconciliationData[[#This Row],[Billed_Units]]*ReconciliationData[[#This Row],[Billed_Price]]</f>
        <v>53924.458299999998</v>
      </c>
      <c r="Y1208">
        <f>ReconciliationData[[#This Row],[ordered_units]]*ReconciliationData[[#This Row],[List_Price]]</f>
        <v>47040.484899999996</v>
      </c>
      <c r="Z1208">
        <f>ReconciliationData[[#This Row],[billed_revenue]]-ReconciliationData[[#This Row],[expected_revenue]]</f>
        <v>6883.9734000000026</v>
      </c>
      <c r="AA12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208" t="str">
        <f>IF(ReconciliationData[[#This Row],[severity_score]]=0,"LOW",
 IF(ReconciliationData[[#This Row],[severity_score]]&lt;=5,"MEDIUM","HIGH"))</f>
        <v>HIGH</v>
      </c>
      <c r="AC1208" t="str">
        <f>TEXT(ReconciliationData[[#This Row],[Order_Date]],"YYYY-MM")</f>
        <v>2023-06</v>
      </c>
    </row>
    <row r="1209" spans="1:29">
      <c r="A1209" t="s">
        <v>3466</v>
      </c>
      <c r="B1209" s="1">
        <v>45344</v>
      </c>
      <c r="C1209" t="s">
        <v>3401</v>
      </c>
      <c r="D1209" t="s">
        <v>329</v>
      </c>
      <c r="E1209">
        <v>25</v>
      </c>
      <c r="F1209" t="s">
        <v>3467</v>
      </c>
      <c r="G1209">
        <v>25</v>
      </c>
      <c r="H1209">
        <v>385.42419999999998</v>
      </c>
      <c r="I1209">
        <v>14</v>
      </c>
      <c r="J1209" s="1">
        <v>45483</v>
      </c>
      <c r="N1209">
        <v>385.42419999999998</v>
      </c>
      <c r="O1209" s="1">
        <v>45079</v>
      </c>
      <c r="P1209">
        <f>IF(ISBLANK(ReconciliationData[[#This Row],[Invoice_ID]]),1,0)</f>
        <v>0</v>
      </c>
      <c r="Q1209">
        <f>IF(AND(NOT(ISBLANK(ReconciliationData[[#This Row],[Billed_Units]])),ReconciliationData[[#This Row],[ordered_units]]&lt;&gt;ReconciliationData[[#This Row],[Billed_Units]]),1,0)</f>
        <v>0</v>
      </c>
      <c r="R12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09">
        <f>IF(AND(NOT(ISBLANK(ReconciliationData[[#This Row],[Contract_Price]])),ReconciliationData[[#This Row],[Billed_Price]]&lt;&gt;ReconciliationData[[#This Row],[Contract_Price]]),1,0)</f>
        <v>0</v>
      </c>
      <c r="T1209">
        <f>IF(AND(NOT(ISBLANK(ReconciliationData[[#This Row],[End_Date]])),ReconciliationData[[#This Row],[Order_Date]]&gt;ReconciliationData[[#This Row],[End_Date]]),1,0)</f>
        <v>0</v>
      </c>
      <c r="U1209">
        <f>IF(AND(NOT(ISBLANK(ReconciliationData[[#This Row],[last_return_date]])),ReconciliationData[[#This Row],[last_return_date]]&gt;ReconciliationData[[#This Row],[Order_Date]]+60),1,0)</f>
        <v>1</v>
      </c>
      <c r="V1209">
        <f>IF(ReconciliationData[[#This Row],[total_returned_units]]&gt;ReconciliationData[[#This Row],[ordered_units]],1,0)</f>
        <v>0</v>
      </c>
      <c r="W12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09">
        <f>ReconciliationData[[#This Row],[Billed_Units]]*ReconciliationData[[#This Row],[Billed_Price]]</f>
        <v>9635.6049999999996</v>
      </c>
      <c r="Y1209">
        <f>ReconciliationData[[#This Row],[ordered_units]]*ReconciliationData[[#This Row],[List_Price]]</f>
        <v>9635.6049999999996</v>
      </c>
      <c r="Z1209">
        <f>ReconciliationData[[#This Row],[billed_revenue]]-ReconciliationData[[#This Row],[expected_revenue]]</f>
        <v>0</v>
      </c>
      <c r="AA12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209" t="str">
        <f>IF(ReconciliationData[[#This Row],[severity_score]]=0,"LOW",
 IF(ReconciliationData[[#This Row],[severity_score]]&lt;=5,"MEDIUM","HIGH"))</f>
        <v>MEDIUM</v>
      </c>
      <c r="AC1209" t="str">
        <f>TEXT(ReconciliationData[[#This Row],[Order_Date]],"YYYY-MM")</f>
        <v>2024-02</v>
      </c>
    </row>
    <row r="1210" spans="1:29">
      <c r="A1210" t="s">
        <v>3468</v>
      </c>
      <c r="B1210" s="1">
        <v>45594</v>
      </c>
      <c r="C1210" t="s">
        <v>1101</v>
      </c>
      <c r="D1210" t="s">
        <v>544</v>
      </c>
      <c r="E1210">
        <v>139</v>
      </c>
      <c r="F1210" t="s">
        <v>3469</v>
      </c>
      <c r="G1210">
        <v>139</v>
      </c>
      <c r="H1210">
        <v>765.52319999999997</v>
      </c>
      <c r="N1210">
        <v>765.52319999999997</v>
      </c>
      <c r="O1210" s="1">
        <v>45174</v>
      </c>
      <c r="P1210">
        <f>IF(ISBLANK(ReconciliationData[[#This Row],[Invoice_ID]]),1,0)</f>
        <v>0</v>
      </c>
      <c r="Q1210">
        <f>IF(AND(NOT(ISBLANK(ReconciliationData[[#This Row],[Billed_Units]])),ReconciliationData[[#This Row],[ordered_units]]&lt;&gt;ReconciliationData[[#This Row],[Billed_Units]]),1,0)</f>
        <v>0</v>
      </c>
      <c r="R12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0">
        <f>IF(AND(NOT(ISBLANK(ReconciliationData[[#This Row],[Contract_Price]])),ReconciliationData[[#This Row],[Billed_Price]]&lt;&gt;ReconciliationData[[#This Row],[Contract_Price]]),1,0)</f>
        <v>0</v>
      </c>
      <c r="T1210">
        <f>IF(AND(NOT(ISBLANK(ReconciliationData[[#This Row],[End_Date]])),ReconciliationData[[#This Row],[Order_Date]]&gt;ReconciliationData[[#This Row],[End_Date]]),1,0)</f>
        <v>0</v>
      </c>
      <c r="U1210">
        <f>IF(AND(NOT(ISBLANK(ReconciliationData[[#This Row],[last_return_date]])),ReconciliationData[[#This Row],[last_return_date]]&gt;ReconciliationData[[#This Row],[Order_Date]]+60),1,0)</f>
        <v>0</v>
      </c>
      <c r="V1210">
        <f>IF(ReconciliationData[[#This Row],[total_returned_units]]&gt;ReconciliationData[[#This Row],[ordered_units]],1,0)</f>
        <v>0</v>
      </c>
      <c r="W12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10">
        <f>ReconciliationData[[#This Row],[Billed_Units]]*ReconciliationData[[#This Row],[Billed_Price]]</f>
        <v>106407.7248</v>
      </c>
      <c r="Y1210">
        <f>ReconciliationData[[#This Row],[ordered_units]]*ReconciliationData[[#This Row],[List_Price]]</f>
        <v>106407.7248</v>
      </c>
      <c r="Z1210">
        <f>ReconciliationData[[#This Row],[billed_revenue]]-ReconciliationData[[#This Row],[expected_revenue]]</f>
        <v>0</v>
      </c>
      <c r="AA12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10" t="str">
        <f>IF(ReconciliationData[[#This Row],[severity_score]]=0,"LOW",
 IF(ReconciliationData[[#This Row],[severity_score]]&lt;=5,"MEDIUM","HIGH"))</f>
        <v>LOW</v>
      </c>
      <c r="AC1210" t="str">
        <f>TEXT(ReconciliationData[[#This Row],[Order_Date]],"YYYY-MM")</f>
        <v>2024-10</v>
      </c>
    </row>
    <row r="1211" spans="1:29">
      <c r="A1211" t="s">
        <v>3470</v>
      </c>
      <c r="B1211" s="1">
        <v>45522</v>
      </c>
      <c r="C1211" t="s">
        <v>746</v>
      </c>
      <c r="D1211" t="s">
        <v>1003</v>
      </c>
      <c r="E1211">
        <v>188</v>
      </c>
      <c r="F1211" t="s">
        <v>3471</v>
      </c>
      <c r="G1211">
        <v>188</v>
      </c>
      <c r="H1211">
        <v>825.13580000000002</v>
      </c>
      <c r="N1211">
        <v>825.13580000000002</v>
      </c>
      <c r="O1211" s="1">
        <v>44998</v>
      </c>
      <c r="P1211">
        <f>IF(ISBLANK(ReconciliationData[[#This Row],[Invoice_ID]]),1,0)</f>
        <v>0</v>
      </c>
      <c r="Q1211">
        <f>IF(AND(NOT(ISBLANK(ReconciliationData[[#This Row],[Billed_Units]])),ReconciliationData[[#This Row],[ordered_units]]&lt;&gt;ReconciliationData[[#This Row],[Billed_Units]]),1,0)</f>
        <v>0</v>
      </c>
      <c r="R12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1">
        <f>IF(AND(NOT(ISBLANK(ReconciliationData[[#This Row],[Contract_Price]])),ReconciliationData[[#This Row],[Billed_Price]]&lt;&gt;ReconciliationData[[#This Row],[Contract_Price]]),1,0)</f>
        <v>0</v>
      </c>
      <c r="T1211">
        <f>IF(AND(NOT(ISBLANK(ReconciliationData[[#This Row],[End_Date]])),ReconciliationData[[#This Row],[Order_Date]]&gt;ReconciliationData[[#This Row],[End_Date]]),1,0)</f>
        <v>0</v>
      </c>
      <c r="U1211">
        <f>IF(AND(NOT(ISBLANK(ReconciliationData[[#This Row],[last_return_date]])),ReconciliationData[[#This Row],[last_return_date]]&gt;ReconciliationData[[#This Row],[Order_Date]]+60),1,0)</f>
        <v>0</v>
      </c>
      <c r="V1211">
        <f>IF(ReconciliationData[[#This Row],[total_returned_units]]&gt;ReconciliationData[[#This Row],[ordered_units]],1,0)</f>
        <v>0</v>
      </c>
      <c r="W12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11">
        <f>ReconciliationData[[#This Row],[Billed_Units]]*ReconciliationData[[#This Row],[Billed_Price]]</f>
        <v>155125.53039999999</v>
      </c>
      <c r="Y1211">
        <f>ReconciliationData[[#This Row],[ordered_units]]*ReconciliationData[[#This Row],[List_Price]]</f>
        <v>155125.53039999999</v>
      </c>
      <c r="Z1211">
        <f>ReconciliationData[[#This Row],[billed_revenue]]-ReconciliationData[[#This Row],[expected_revenue]]</f>
        <v>0</v>
      </c>
      <c r="AA12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11" t="str">
        <f>IF(ReconciliationData[[#This Row],[severity_score]]=0,"LOW",
 IF(ReconciliationData[[#This Row],[severity_score]]&lt;=5,"MEDIUM","HIGH"))</f>
        <v>LOW</v>
      </c>
      <c r="AC1211" t="str">
        <f>TEXT(ReconciliationData[[#This Row],[Order_Date]],"YYYY-MM")</f>
        <v>2024-08</v>
      </c>
    </row>
    <row r="1212" spans="1:29">
      <c r="A1212" t="s">
        <v>3472</v>
      </c>
      <c r="B1212" s="1">
        <v>44988</v>
      </c>
      <c r="C1212" t="s">
        <v>3473</v>
      </c>
      <c r="D1212" t="s">
        <v>337</v>
      </c>
      <c r="E1212">
        <v>122</v>
      </c>
      <c r="F1212" t="s">
        <v>3474</v>
      </c>
      <c r="G1212">
        <v>122</v>
      </c>
      <c r="H1212">
        <v>1040.9412</v>
      </c>
      <c r="N1212">
        <v>1040.9412</v>
      </c>
      <c r="O1212" s="1">
        <v>44983</v>
      </c>
      <c r="P1212">
        <f>IF(ISBLANK(ReconciliationData[[#This Row],[Invoice_ID]]),1,0)</f>
        <v>0</v>
      </c>
      <c r="Q1212">
        <f>IF(AND(NOT(ISBLANK(ReconciliationData[[#This Row],[Billed_Units]])),ReconciliationData[[#This Row],[ordered_units]]&lt;&gt;ReconciliationData[[#This Row],[Billed_Units]]),1,0)</f>
        <v>0</v>
      </c>
      <c r="R12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2">
        <f>IF(AND(NOT(ISBLANK(ReconciliationData[[#This Row],[Contract_Price]])),ReconciliationData[[#This Row],[Billed_Price]]&lt;&gt;ReconciliationData[[#This Row],[Contract_Price]]),1,0)</f>
        <v>0</v>
      </c>
      <c r="T1212">
        <f>IF(AND(NOT(ISBLANK(ReconciliationData[[#This Row],[End_Date]])),ReconciliationData[[#This Row],[Order_Date]]&gt;ReconciliationData[[#This Row],[End_Date]]),1,0)</f>
        <v>0</v>
      </c>
      <c r="U1212">
        <f>IF(AND(NOT(ISBLANK(ReconciliationData[[#This Row],[last_return_date]])),ReconciliationData[[#This Row],[last_return_date]]&gt;ReconciliationData[[#This Row],[Order_Date]]+60),1,0)</f>
        <v>0</v>
      </c>
      <c r="V1212">
        <f>IF(ReconciliationData[[#This Row],[total_returned_units]]&gt;ReconciliationData[[#This Row],[ordered_units]],1,0)</f>
        <v>0</v>
      </c>
      <c r="W12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12">
        <f>ReconciliationData[[#This Row],[Billed_Units]]*ReconciliationData[[#This Row],[Billed_Price]]</f>
        <v>126994.82639999999</v>
      </c>
      <c r="Y1212">
        <f>ReconciliationData[[#This Row],[ordered_units]]*ReconciliationData[[#This Row],[List_Price]]</f>
        <v>126994.82639999999</v>
      </c>
      <c r="Z1212">
        <f>ReconciliationData[[#This Row],[billed_revenue]]-ReconciliationData[[#This Row],[expected_revenue]]</f>
        <v>0</v>
      </c>
      <c r="AA12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12" t="str">
        <f>IF(ReconciliationData[[#This Row],[severity_score]]=0,"LOW",
 IF(ReconciliationData[[#This Row],[severity_score]]&lt;=5,"MEDIUM","HIGH"))</f>
        <v>LOW</v>
      </c>
      <c r="AC1212" t="str">
        <f>TEXT(ReconciliationData[[#This Row],[Order_Date]],"YYYY-MM")</f>
        <v>2023-03</v>
      </c>
    </row>
    <row r="1213" spans="1:29">
      <c r="A1213" t="s">
        <v>3475</v>
      </c>
      <c r="B1213" s="1">
        <v>45364</v>
      </c>
      <c r="C1213" t="s">
        <v>153</v>
      </c>
      <c r="D1213" t="s">
        <v>441</v>
      </c>
      <c r="E1213">
        <v>100</v>
      </c>
      <c r="F1213" t="s">
        <v>3476</v>
      </c>
      <c r="G1213">
        <v>100</v>
      </c>
      <c r="H1213">
        <v>238.7328</v>
      </c>
      <c r="N1213">
        <v>238.7328</v>
      </c>
      <c r="O1213" s="1">
        <v>44987</v>
      </c>
      <c r="P1213">
        <f>IF(ISBLANK(ReconciliationData[[#This Row],[Invoice_ID]]),1,0)</f>
        <v>0</v>
      </c>
      <c r="Q1213">
        <f>IF(AND(NOT(ISBLANK(ReconciliationData[[#This Row],[Billed_Units]])),ReconciliationData[[#This Row],[ordered_units]]&lt;&gt;ReconciliationData[[#This Row],[Billed_Units]]),1,0)</f>
        <v>0</v>
      </c>
      <c r="R12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3">
        <f>IF(AND(NOT(ISBLANK(ReconciliationData[[#This Row],[Contract_Price]])),ReconciliationData[[#This Row],[Billed_Price]]&lt;&gt;ReconciliationData[[#This Row],[Contract_Price]]),1,0)</f>
        <v>0</v>
      </c>
      <c r="T1213">
        <f>IF(AND(NOT(ISBLANK(ReconciliationData[[#This Row],[End_Date]])),ReconciliationData[[#This Row],[Order_Date]]&gt;ReconciliationData[[#This Row],[End_Date]]),1,0)</f>
        <v>0</v>
      </c>
      <c r="U1213">
        <f>IF(AND(NOT(ISBLANK(ReconciliationData[[#This Row],[last_return_date]])),ReconciliationData[[#This Row],[last_return_date]]&gt;ReconciliationData[[#This Row],[Order_Date]]+60),1,0)</f>
        <v>0</v>
      </c>
      <c r="V1213">
        <f>IF(ReconciliationData[[#This Row],[total_returned_units]]&gt;ReconciliationData[[#This Row],[ordered_units]],1,0)</f>
        <v>0</v>
      </c>
      <c r="W12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13">
        <f>ReconciliationData[[#This Row],[Billed_Units]]*ReconciliationData[[#This Row],[Billed_Price]]</f>
        <v>23873.279999999999</v>
      </c>
      <c r="Y1213">
        <f>ReconciliationData[[#This Row],[ordered_units]]*ReconciliationData[[#This Row],[List_Price]]</f>
        <v>23873.279999999999</v>
      </c>
      <c r="Z1213">
        <f>ReconciliationData[[#This Row],[billed_revenue]]-ReconciliationData[[#This Row],[expected_revenue]]</f>
        <v>0</v>
      </c>
      <c r="AA12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13" t="str">
        <f>IF(ReconciliationData[[#This Row],[severity_score]]=0,"LOW",
 IF(ReconciliationData[[#This Row],[severity_score]]&lt;=5,"MEDIUM","HIGH"))</f>
        <v>LOW</v>
      </c>
      <c r="AC1213" t="str">
        <f>TEXT(ReconciliationData[[#This Row],[Order_Date]],"YYYY-MM")</f>
        <v>2024-03</v>
      </c>
    </row>
    <row r="1214" spans="1:29">
      <c r="A1214" t="s">
        <v>3477</v>
      </c>
      <c r="B1214" s="1">
        <v>45370</v>
      </c>
      <c r="C1214" t="s">
        <v>3243</v>
      </c>
      <c r="D1214" t="s">
        <v>1298</v>
      </c>
      <c r="E1214">
        <v>80</v>
      </c>
      <c r="F1214" t="s">
        <v>3478</v>
      </c>
      <c r="G1214">
        <v>80</v>
      </c>
      <c r="H1214">
        <v>1099.82</v>
      </c>
      <c r="N1214">
        <v>1099.82</v>
      </c>
      <c r="O1214" s="1">
        <v>44962</v>
      </c>
      <c r="P1214">
        <f>IF(ISBLANK(ReconciliationData[[#This Row],[Invoice_ID]]),1,0)</f>
        <v>0</v>
      </c>
      <c r="Q1214">
        <f>IF(AND(NOT(ISBLANK(ReconciliationData[[#This Row],[Billed_Units]])),ReconciliationData[[#This Row],[ordered_units]]&lt;&gt;ReconciliationData[[#This Row],[Billed_Units]]),1,0)</f>
        <v>0</v>
      </c>
      <c r="R12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4">
        <f>IF(AND(NOT(ISBLANK(ReconciliationData[[#This Row],[Contract_Price]])),ReconciliationData[[#This Row],[Billed_Price]]&lt;&gt;ReconciliationData[[#This Row],[Contract_Price]]),1,0)</f>
        <v>0</v>
      </c>
      <c r="T1214">
        <f>IF(AND(NOT(ISBLANK(ReconciliationData[[#This Row],[End_Date]])),ReconciliationData[[#This Row],[Order_Date]]&gt;ReconciliationData[[#This Row],[End_Date]]),1,0)</f>
        <v>0</v>
      </c>
      <c r="U1214">
        <f>IF(AND(NOT(ISBLANK(ReconciliationData[[#This Row],[last_return_date]])),ReconciliationData[[#This Row],[last_return_date]]&gt;ReconciliationData[[#This Row],[Order_Date]]+60),1,0)</f>
        <v>0</v>
      </c>
      <c r="V1214">
        <f>IF(ReconciliationData[[#This Row],[total_returned_units]]&gt;ReconciliationData[[#This Row],[ordered_units]],1,0)</f>
        <v>0</v>
      </c>
      <c r="W12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14">
        <f>ReconciliationData[[#This Row],[Billed_Units]]*ReconciliationData[[#This Row],[Billed_Price]]</f>
        <v>87985.599999999991</v>
      </c>
      <c r="Y1214">
        <f>ReconciliationData[[#This Row],[ordered_units]]*ReconciliationData[[#This Row],[List_Price]]</f>
        <v>87985.599999999991</v>
      </c>
      <c r="Z1214">
        <f>ReconciliationData[[#This Row],[billed_revenue]]-ReconciliationData[[#This Row],[expected_revenue]]</f>
        <v>0</v>
      </c>
      <c r="AA12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14" t="str">
        <f>IF(ReconciliationData[[#This Row],[severity_score]]=0,"LOW",
 IF(ReconciliationData[[#This Row],[severity_score]]&lt;=5,"MEDIUM","HIGH"))</f>
        <v>LOW</v>
      </c>
      <c r="AC1214" t="str">
        <f>TEXT(ReconciliationData[[#This Row],[Order_Date]],"YYYY-MM")</f>
        <v>2024-03</v>
      </c>
    </row>
    <row r="1215" spans="1:29">
      <c r="A1215" t="s">
        <v>3479</v>
      </c>
      <c r="B1215" s="1">
        <v>44995</v>
      </c>
      <c r="C1215" t="s">
        <v>2673</v>
      </c>
      <c r="D1215" t="s">
        <v>825</v>
      </c>
      <c r="E1215">
        <v>43</v>
      </c>
      <c r="F1215" t="s">
        <v>3480</v>
      </c>
      <c r="G1215">
        <v>43</v>
      </c>
      <c r="H1215">
        <v>752.48910000000001</v>
      </c>
      <c r="N1215">
        <v>752.48910000000001</v>
      </c>
      <c r="O1215" s="1">
        <v>44953</v>
      </c>
      <c r="P1215">
        <f>IF(ISBLANK(ReconciliationData[[#This Row],[Invoice_ID]]),1,0)</f>
        <v>0</v>
      </c>
      <c r="Q1215">
        <f>IF(AND(NOT(ISBLANK(ReconciliationData[[#This Row],[Billed_Units]])),ReconciliationData[[#This Row],[ordered_units]]&lt;&gt;ReconciliationData[[#This Row],[Billed_Units]]),1,0)</f>
        <v>0</v>
      </c>
      <c r="R12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5">
        <f>IF(AND(NOT(ISBLANK(ReconciliationData[[#This Row],[Contract_Price]])),ReconciliationData[[#This Row],[Billed_Price]]&lt;&gt;ReconciliationData[[#This Row],[Contract_Price]]),1,0)</f>
        <v>0</v>
      </c>
      <c r="T1215">
        <f>IF(AND(NOT(ISBLANK(ReconciliationData[[#This Row],[End_Date]])),ReconciliationData[[#This Row],[Order_Date]]&gt;ReconciliationData[[#This Row],[End_Date]]),1,0)</f>
        <v>0</v>
      </c>
      <c r="U1215">
        <f>IF(AND(NOT(ISBLANK(ReconciliationData[[#This Row],[last_return_date]])),ReconciliationData[[#This Row],[last_return_date]]&gt;ReconciliationData[[#This Row],[Order_Date]]+60),1,0)</f>
        <v>0</v>
      </c>
      <c r="V1215">
        <f>IF(ReconciliationData[[#This Row],[total_returned_units]]&gt;ReconciliationData[[#This Row],[ordered_units]],1,0)</f>
        <v>0</v>
      </c>
      <c r="W12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15">
        <f>ReconciliationData[[#This Row],[Billed_Units]]*ReconciliationData[[#This Row],[Billed_Price]]</f>
        <v>32357.031299999999</v>
      </c>
      <c r="Y1215">
        <f>ReconciliationData[[#This Row],[ordered_units]]*ReconciliationData[[#This Row],[List_Price]]</f>
        <v>32357.031299999999</v>
      </c>
      <c r="Z1215">
        <f>ReconciliationData[[#This Row],[billed_revenue]]-ReconciliationData[[#This Row],[expected_revenue]]</f>
        <v>0</v>
      </c>
      <c r="AA12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15" t="str">
        <f>IF(ReconciliationData[[#This Row],[severity_score]]=0,"LOW",
 IF(ReconciliationData[[#This Row],[severity_score]]&lt;=5,"MEDIUM","HIGH"))</f>
        <v>LOW</v>
      </c>
      <c r="AC1215" t="str">
        <f>TEXT(ReconciliationData[[#This Row],[Order_Date]],"YYYY-MM")</f>
        <v>2023-03</v>
      </c>
    </row>
    <row r="1216" spans="1:29">
      <c r="A1216" t="s">
        <v>3481</v>
      </c>
      <c r="B1216" s="1">
        <v>45241</v>
      </c>
      <c r="C1216" t="s">
        <v>2608</v>
      </c>
      <c r="D1216" t="s">
        <v>1994</v>
      </c>
      <c r="E1216">
        <v>197</v>
      </c>
      <c r="F1216" t="s">
        <v>3482</v>
      </c>
      <c r="G1216">
        <v>197</v>
      </c>
      <c r="H1216">
        <v>296.17460000000005</v>
      </c>
      <c r="N1216">
        <v>296.17460000000005</v>
      </c>
      <c r="O1216" s="1">
        <v>45194</v>
      </c>
      <c r="P1216">
        <f>IF(ISBLANK(ReconciliationData[[#This Row],[Invoice_ID]]),1,0)</f>
        <v>0</v>
      </c>
      <c r="Q1216">
        <f>IF(AND(NOT(ISBLANK(ReconciliationData[[#This Row],[Billed_Units]])),ReconciliationData[[#This Row],[ordered_units]]&lt;&gt;ReconciliationData[[#This Row],[Billed_Units]]),1,0)</f>
        <v>0</v>
      </c>
      <c r="R12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6">
        <f>IF(AND(NOT(ISBLANK(ReconciliationData[[#This Row],[Contract_Price]])),ReconciliationData[[#This Row],[Billed_Price]]&lt;&gt;ReconciliationData[[#This Row],[Contract_Price]]),1,0)</f>
        <v>0</v>
      </c>
      <c r="T1216">
        <f>IF(AND(NOT(ISBLANK(ReconciliationData[[#This Row],[End_Date]])),ReconciliationData[[#This Row],[Order_Date]]&gt;ReconciliationData[[#This Row],[End_Date]]),1,0)</f>
        <v>0</v>
      </c>
      <c r="U1216">
        <f>IF(AND(NOT(ISBLANK(ReconciliationData[[#This Row],[last_return_date]])),ReconciliationData[[#This Row],[last_return_date]]&gt;ReconciliationData[[#This Row],[Order_Date]]+60),1,0)</f>
        <v>0</v>
      </c>
      <c r="V1216">
        <f>IF(ReconciliationData[[#This Row],[total_returned_units]]&gt;ReconciliationData[[#This Row],[ordered_units]],1,0)</f>
        <v>0</v>
      </c>
      <c r="W12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16">
        <f>ReconciliationData[[#This Row],[Billed_Units]]*ReconciliationData[[#This Row],[Billed_Price]]</f>
        <v>58346.39620000001</v>
      </c>
      <c r="Y1216">
        <f>ReconciliationData[[#This Row],[ordered_units]]*ReconciliationData[[#This Row],[List_Price]]</f>
        <v>58346.39620000001</v>
      </c>
      <c r="Z1216">
        <f>ReconciliationData[[#This Row],[billed_revenue]]-ReconciliationData[[#This Row],[expected_revenue]]</f>
        <v>0</v>
      </c>
      <c r="AA12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16" t="str">
        <f>IF(ReconciliationData[[#This Row],[severity_score]]=0,"LOW",
 IF(ReconciliationData[[#This Row],[severity_score]]&lt;=5,"MEDIUM","HIGH"))</f>
        <v>LOW</v>
      </c>
      <c r="AC1216" t="str">
        <f>TEXT(ReconciliationData[[#This Row],[Order_Date]],"YYYY-MM")</f>
        <v>2023-11</v>
      </c>
    </row>
    <row r="1217" spans="1:29">
      <c r="A1217" t="s">
        <v>3483</v>
      </c>
      <c r="B1217" s="1">
        <v>45318</v>
      </c>
      <c r="C1217" t="s">
        <v>2478</v>
      </c>
      <c r="D1217" t="s">
        <v>1420</v>
      </c>
      <c r="E1217">
        <v>74</v>
      </c>
      <c r="F1217" t="s">
        <v>3484</v>
      </c>
      <c r="G1217">
        <v>74</v>
      </c>
      <c r="H1217">
        <v>77.178600000000003</v>
      </c>
      <c r="N1217">
        <v>77.178600000000003</v>
      </c>
      <c r="O1217" s="1">
        <v>44975</v>
      </c>
      <c r="P1217">
        <f>IF(ISBLANK(ReconciliationData[[#This Row],[Invoice_ID]]),1,0)</f>
        <v>0</v>
      </c>
      <c r="Q1217">
        <f>IF(AND(NOT(ISBLANK(ReconciliationData[[#This Row],[Billed_Units]])),ReconciliationData[[#This Row],[ordered_units]]&lt;&gt;ReconciliationData[[#This Row],[Billed_Units]]),1,0)</f>
        <v>0</v>
      </c>
      <c r="R12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7">
        <f>IF(AND(NOT(ISBLANK(ReconciliationData[[#This Row],[Contract_Price]])),ReconciliationData[[#This Row],[Billed_Price]]&lt;&gt;ReconciliationData[[#This Row],[Contract_Price]]),1,0)</f>
        <v>0</v>
      </c>
      <c r="T1217">
        <f>IF(AND(NOT(ISBLANK(ReconciliationData[[#This Row],[End_Date]])),ReconciliationData[[#This Row],[Order_Date]]&gt;ReconciliationData[[#This Row],[End_Date]]),1,0)</f>
        <v>0</v>
      </c>
      <c r="U1217">
        <f>IF(AND(NOT(ISBLANK(ReconciliationData[[#This Row],[last_return_date]])),ReconciliationData[[#This Row],[last_return_date]]&gt;ReconciliationData[[#This Row],[Order_Date]]+60),1,0)</f>
        <v>0</v>
      </c>
      <c r="V1217">
        <f>IF(ReconciliationData[[#This Row],[total_returned_units]]&gt;ReconciliationData[[#This Row],[ordered_units]],1,0)</f>
        <v>0</v>
      </c>
      <c r="W12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17">
        <f>ReconciliationData[[#This Row],[Billed_Units]]*ReconciliationData[[#This Row],[Billed_Price]]</f>
        <v>5711.2164000000002</v>
      </c>
      <c r="Y1217">
        <f>ReconciliationData[[#This Row],[ordered_units]]*ReconciliationData[[#This Row],[List_Price]]</f>
        <v>5711.2164000000002</v>
      </c>
      <c r="Z1217">
        <f>ReconciliationData[[#This Row],[billed_revenue]]-ReconciliationData[[#This Row],[expected_revenue]]</f>
        <v>0</v>
      </c>
      <c r="AA12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17" t="str">
        <f>IF(ReconciliationData[[#This Row],[severity_score]]=0,"LOW",
 IF(ReconciliationData[[#This Row],[severity_score]]&lt;=5,"MEDIUM","HIGH"))</f>
        <v>LOW</v>
      </c>
      <c r="AC1217" t="str">
        <f>TEXT(ReconciliationData[[#This Row],[Order_Date]],"YYYY-MM")</f>
        <v>2024-01</v>
      </c>
    </row>
    <row r="1218" spans="1:29">
      <c r="A1218" t="s">
        <v>3485</v>
      </c>
      <c r="B1218" s="1">
        <v>44955</v>
      </c>
      <c r="C1218" t="s">
        <v>714</v>
      </c>
      <c r="D1218" t="s">
        <v>309</v>
      </c>
      <c r="E1218">
        <v>64</v>
      </c>
      <c r="F1218" t="s">
        <v>3486</v>
      </c>
      <c r="G1218">
        <v>64</v>
      </c>
      <c r="H1218">
        <v>1043.3556000000001</v>
      </c>
      <c r="I1218">
        <v>20</v>
      </c>
      <c r="J1218" s="1">
        <v>45452</v>
      </c>
      <c r="N1218">
        <v>1043.3556000000001</v>
      </c>
      <c r="O1218" s="1">
        <v>44882</v>
      </c>
      <c r="P1218">
        <f>IF(ISBLANK(ReconciliationData[[#This Row],[Invoice_ID]]),1,0)</f>
        <v>0</v>
      </c>
      <c r="Q1218">
        <f>IF(AND(NOT(ISBLANK(ReconciliationData[[#This Row],[Billed_Units]])),ReconciliationData[[#This Row],[ordered_units]]&lt;&gt;ReconciliationData[[#This Row],[Billed_Units]]),1,0)</f>
        <v>0</v>
      </c>
      <c r="R12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8">
        <f>IF(AND(NOT(ISBLANK(ReconciliationData[[#This Row],[Contract_Price]])),ReconciliationData[[#This Row],[Billed_Price]]&lt;&gt;ReconciliationData[[#This Row],[Contract_Price]]),1,0)</f>
        <v>0</v>
      </c>
      <c r="T1218">
        <f>IF(AND(NOT(ISBLANK(ReconciliationData[[#This Row],[End_Date]])),ReconciliationData[[#This Row],[Order_Date]]&gt;ReconciliationData[[#This Row],[End_Date]]),1,0)</f>
        <v>0</v>
      </c>
      <c r="U1218">
        <f>IF(AND(NOT(ISBLANK(ReconciliationData[[#This Row],[last_return_date]])),ReconciliationData[[#This Row],[last_return_date]]&gt;ReconciliationData[[#This Row],[Order_Date]]+60),1,0)</f>
        <v>1</v>
      </c>
      <c r="V1218">
        <f>IF(ReconciliationData[[#This Row],[total_returned_units]]&gt;ReconciliationData[[#This Row],[ordered_units]],1,0)</f>
        <v>0</v>
      </c>
      <c r="W12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18">
        <f>ReconciliationData[[#This Row],[Billed_Units]]*ReconciliationData[[#This Row],[Billed_Price]]</f>
        <v>66774.758400000006</v>
      </c>
      <c r="Y1218">
        <f>ReconciliationData[[#This Row],[ordered_units]]*ReconciliationData[[#This Row],[List_Price]]</f>
        <v>66774.758400000006</v>
      </c>
      <c r="Z1218">
        <f>ReconciliationData[[#This Row],[billed_revenue]]-ReconciliationData[[#This Row],[expected_revenue]]</f>
        <v>0</v>
      </c>
      <c r="AA12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218" t="str">
        <f>IF(ReconciliationData[[#This Row],[severity_score]]=0,"LOW",
 IF(ReconciliationData[[#This Row],[severity_score]]&lt;=5,"MEDIUM","HIGH"))</f>
        <v>MEDIUM</v>
      </c>
      <c r="AC1218" t="str">
        <f>TEXT(ReconciliationData[[#This Row],[Order_Date]],"YYYY-MM")</f>
        <v>2023-01</v>
      </c>
    </row>
    <row r="1219" spans="1:29">
      <c r="A1219" t="s">
        <v>3487</v>
      </c>
      <c r="B1219" s="1">
        <v>45426</v>
      </c>
      <c r="C1219" t="s">
        <v>1129</v>
      </c>
      <c r="D1219" t="s">
        <v>1487</v>
      </c>
      <c r="E1219">
        <v>184</v>
      </c>
      <c r="F1219" t="s">
        <v>3488</v>
      </c>
      <c r="G1219">
        <v>184</v>
      </c>
      <c r="H1219">
        <v>273.24680000000001</v>
      </c>
      <c r="N1219">
        <v>273.24680000000001</v>
      </c>
      <c r="O1219" s="1">
        <v>45103</v>
      </c>
      <c r="P1219">
        <f>IF(ISBLANK(ReconciliationData[[#This Row],[Invoice_ID]]),1,0)</f>
        <v>0</v>
      </c>
      <c r="Q1219">
        <f>IF(AND(NOT(ISBLANK(ReconciliationData[[#This Row],[Billed_Units]])),ReconciliationData[[#This Row],[ordered_units]]&lt;&gt;ReconciliationData[[#This Row],[Billed_Units]]),1,0)</f>
        <v>0</v>
      </c>
      <c r="R12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19">
        <f>IF(AND(NOT(ISBLANK(ReconciliationData[[#This Row],[Contract_Price]])),ReconciliationData[[#This Row],[Billed_Price]]&lt;&gt;ReconciliationData[[#This Row],[Contract_Price]]),1,0)</f>
        <v>0</v>
      </c>
      <c r="T1219">
        <f>IF(AND(NOT(ISBLANK(ReconciliationData[[#This Row],[End_Date]])),ReconciliationData[[#This Row],[Order_Date]]&gt;ReconciliationData[[#This Row],[End_Date]]),1,0)</f>
        <v>0</v>
      </c>
      <c r="U1219">
        <f>IF(AND(NOT(ISBLANK(ReconciliationData[[#This Row],[last_return_date]])),ReconciliationData[[#This Row],[last_return_date]]&gt;ReconciliationData[[#This Row],[Order_Date]]+60),1,0)</f>
        <v>0</v>
      </c>
      <c r="V1219">
        <f>IF(ReconciliationData[[#This Row],[total_returned_units]]&gt;ReconciliationData[[#This Row],[ordered_units]],1,0)</f>
        <v>0</v>
      </c>
      <c r="W12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19">
        <f>ReconciliationData[[#This Row],[Billed_Units]]*ReconciliationData[[#This Row],[Billed_Price]]</f>
        <v>50277.411200000002</v>
      </c>
      <c r="Y1219">
        <f>ReconciliationData[[#This Row],[ordered_units]]*ReconciliationData[[#This Row],[List_Price]]</f>
        <v>50277.411200000002</v>
      </c>
      <c r="Z1219">
        <f>ReconciliationData[[#This Row],[billed_revenue]]-ReconciliationData[[#This Row],[expected_revenue]]</f>
        <v>0</v>
      </c>
      <c r="AA12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19" t="str">
        <f>IF(ReconciliationData[[#This Row],[severity_score]]=0,"LOW",
 IF(ReconciliationData[[#This Row],[severity_score]]&lt;=5,"MEDIUM","HIGH"))</f>
        <v>LOW</v>
      </c>
      <c r="AC1219" t="str">
        <f>TEXT(ReconciliationData[[#This Row],[Order_Date]],"YYYY-MM")</f>
        <v>2024-05</v>
      </c>
    </row>
    <row r="1220" spans="1:29">
      <c r="A1220" t="s">
        <v>3489</v>
      </c>
      <c r="B1220" s="1">
        <v>45567</v>
      </c>
      <c r="C1220" t="s">
        <v>2745</v>
      </c>
      <c r="D1220" t="s">
        <v>1933</v>
      </c>
      <c r="E1220">
        <v>174</v>
      </c>
      <c r="F1220" t="s">
        <v>3490</v>
      </c>
      <c r="G1220">
        <v>174</v>
      </c>
      <c r="H1220">
        <v>571.49840000000006</v>
      </c>
      <c r="I1220">
        <v>5</v>
      </c>
      <c r="J1220" s="1">
        <v>45406</v>
      </c>
      <c r="N1220">
        <v>571.49840000000006</v>
      </c>
      <c r="O1220" s="1">
        <v>45071</v>
      </c>
      <c r="P1220">
        <f>IF(ISBLANK(ReconciliationData[[#This Row],[Invoice_ID]]),1,0)</f>
        <v>0</v>
      </c>
      <c r="Q1220">
        <f>IF(AND(NOT(ISBLANK(ReconciliationData[[#This Row],[Billed_Units]])),ReconciliationData[[#This Row],[ordered_units]]&lt;&gt;ReconciliationData[[#This Row],[Billed_Units]]),1,0)</f>
        <v>0</v>
      </c>
      <c r="R12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0">
        <f>IF(AND(NOT(ISBLANK(ReconciliationData[[#This Row],[Contract_Price]])),ReconciliationData[[#This Row],[Billed_Price]]&lt;&gt;ReconciliationData[[#This Row],[Contract_Price]]),1,0)</f>
        <v>0</v>
      </c>
      <c r="T1220">
        <f>IF(AND(NOT(ISBLANK(ReconciliationData[[#This Row],[End_Date]])),ReconciliationData[[#This Row],[Order_Date]]&gt;ReconciliationData[[#This Row],[End_Date]]),1,0)</f>
        <v>0</v>
      </c>
      <c r="U1220">
        <f>IF(AND(NOT(ISBLANK(ReconciliationData[[#This Row],[last_return_date]])),ReconciliationData[[#This Row],[last_return_date]]&gt;ReconciliationData[[#This Row],[Order_Date]]+60),1,0)</f>
        <v>0</v>
      </c>
      <c r="V1220">
        <f>IF(ReconciliationData[[#This Row],[total_returned_units]]&gt;ReconciliationData[[#This Row],[ordered_units]],1,0)</f>
        <v>0</v>
      </c>
      <c r="W12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20">
        <f>ReconciliationData[[#This Row],[Billed_Units]]*ReconciliationData[[#This Row],[Billed_Price]]</f>
        <v>99440.721600000004</v>
      </c>
      <c r="Y1220">
        <f>ReconciliationData[[#This Row],[ordered_units]]*ReconciliationData[[#This Row],[List_Price]]</f>
        <v>99440.721600000004</v>
      </c>
      <c r="Z1220">
        <f>ReconciliationData[[#This Row],[billed_revenue]]-ReconciliationData[[#This Row],[expected_revenue]]</f>
        <v>0</v>
      </c>
      <c r="AA12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20" t="str">
        <f>IF(ReconciliationData[[#This Row],[severity_score]]=0,"LOW",
 IF(ReconciliationData[[#This Row],[severity_score]]&lt;=5,"MEDIUM","HIGH"))</f>
        <v>LOW</v>
      </c>
      <c r="AC1220" t="str">
        <f>TEXT(ReconciliationData[[#This Row],[Order_Date]],"YYYY-MM")</f>
        <v>2024-10</v>
      </c>
    </row>
    <row r="1221" spans="1:29">
      <c r="A1221" t="s">
        <v>3491</v>
      </c>
      <c r="B1221" s="1">
        <v>45058</v>
      </c>
      <c r="C1221" t="s">
        <v>1679</v>
      </c>
      <c r="D1221" t="s">
        <v>2853</v>
      </c>
      <c r="E1221">
        <v>91</v>
      </c>
      <c r="F1221" t="s">
        <v>3492</v>
      </c>
      <c r="G1221">
        <v>91</v>
      </c>
      <c r="H1221">
        <v>272.97059999999999</v>
      </c>
      <c r="N1221">
        <v>272.97059999999999</v>
      </c>
      <c r="O1221" s="1">
        <v>44883</v>
      </c>
      <c r="P1221">
        <f>IF(ISBLANK(ReconciliationData[[#This Row],[Invoice_ID]]),1,0)</f>
        <v>0</v>
      </c>
      <c r="Q1221">
        <f>IF(AND(NOT(ISBLANK(ReconciliationData[[#This Row],[Billed_Units]])),ReconciliationData[[#This Row],[ordered_units]]&lt;&gt;ReconciliationData[[#This Row],[Billed_Units]]),1,0)</f>
        <v>0</v>
      </c>
      <c r="R12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1">
        <f>IF(AND(NOT(ISBLANK(ReconciliationData[[#This Row],[Contract_Price]])),ReconciliationData[[#This Row],[Billed_Price]]&lt;&gt;ReconciliationData[[#This Row],[Contract_Price]]),1,0)</f>
        <v>0</v>
      </c>
      <c r="T1221">
        <f>IF(AND(NOT(ISBLANK(ReconciliationData[[#This Row],[End_Date]])),ReconciliationData[[#This Row],[Order_Date]]&gt;ReconciliationData[[#This Row],[End_Date]]),1,0)</f>
        <v>0</v>
      </c>
      <c r="U1221">
        <f>IF(AND(NOT(ISBLANK(ReconciliationData[[#This Row],[last_return_date]])),ReconciliationData[[#This Row],[last_return_date]]&gt;ReconciliationData[[#This Row],[Order_Date]]+60),1,0)</f>
        <v>0</v>
      </c>
      <c r="V1221">
        <f>IF(ReconciliationData[[#This Row],[total_returned_units]]&gt;ReconciliationData[[#This Row],[ordered_units]],1,0)</f>
        <v>0</v>
      </c>
      <c r="W12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21">
        <f>ReconciliationData[[#This Row],[Billed_Units]]*ReconciliationData[[#This Row],[Billed_Price]]</f>
        <v>24840.3246</v>
      </c>
      <c r="Y1221">
        <f>ReconciliationData[[#This Row],[ordered_units]]*ReconciliationData[[#This Row],[List_Price]]</f>
        <v>24840.3246</v>
      </c>
      <c r="Z1221">
        <f>ReconciliationData[[#This Row],[billed_revenue]]-ReconciliationData[[#This Row],[expected_revenue]]</f>
        <v>0</v>
      </c>
      <c r="AA12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21" t="str">
        <f>IF(ReconciliationData[[#This Row],[severity_score]]=0,"LOW",
 IF(ReconciliationData[[#This Row],[severity_score]]&lt;=5,"MEDIUM","HIGH"))</f>
        <v>LOW</v>
      </c>
      <c r="AC1221" t="str">
        <f>TEXT(ReconciliationData[[#This Row],[Order_Date]],"YYYY-MM")</f>
        <v>2023-05</v>
      </c>
    </row>
    <row r="1222" spans="1:29">
      <c r="A1222" t="s">
        <v>3493</v>
      </c>
      <c r="B1222" s="1">
        <v>45617</v>
      </c>
      <c r="C1222" t="s">
        <v>785</v>
      </c>
      <c r="D1222" t="s">
        <v>360</v>
      </c>
      <c r="E1222">
        <v>12</v>
      </c>
      <c r="F1222" t="s">
        <v>3494</v>
      </c>
      <c r="G1222">
        <v>12</v>
      </c>
      <c r="H1222">
        <v>465.21179999999998</v>
      </c>
      <c r="N1222">
        <v>465.21179999999998</v>
      </c>
      <c r="O1222" s="1">
        <v>45137</v>
      </c>
      <c r="P1222">
        <f>IF(ISBLANK(ReconciliationData[[#This Row],[Invoice_ID]]),1,0)</f>
        <v>0</v>
      </c>
      <c r="Q1222">
        <f>IF(AND(NOT(ISBLANK(ReconciliationData[[#This Row],[Billed_Units]])),ReconciliationData[[#This Row],[ordered_units]]&lt;&gt;ReconciliationData[[#This Row],[Billed_Units]]),1,0)</f>
        <v>0</v>
      </c>
      <c r="R12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2">
        <f>IF(AND(NOT(ISBLANK(ReconciliationData[[#This Row],[Contract_Price]])),ReconciliationData[[#This Row],[Billed_Price]]&lt;&gt;ReconciliationData[[#This Row],[Contract_Price]]),1,0)</f>
        <v>0</v>
      </c>
      <c r="T1222">
        <f>IF(AND(NOT(ISBLANK(ReconciliationData[[#This Row],[End_Date]])),ReconciliationData[[#This Row],[Order_Date]]&gt;ReconciliationData[[#This Row],[End_Date]]),1,0)</f>
        <v>0</v>
      </c>
      <c r="U1222">
        <f>IF(AND(NOT(ISBLANK(ReconciliationData[[#This Row],[last_return_date]])),ReconciliationData[[#This Row],[last_return_date]]&gt;ReconciliationData[[#This Row],[Order_Date]]+60),1,0)</f>
        <v>0</v>
      </c>
      <c r="V1222">
        <f>IF(ReconciliationData[[#This Row],[total_returned_units]]&gt;ReconciliationData[[#This Row],[ordered_units]],1,0)</f>
        <v>0</v>
      </c>
      <c r="W12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22">
        <f>ReconciliationData[[#This Row],[Billed_Units]]*ReconciliationData[[#This Row],[Billed_Price]]</f>
        <v>5582.5415999999996</v>
      </c>
      <c r="Y1222">
        <f>ReconciliationData[[#This Row],[ordered_units]]*ReconciliationData[[#This Row],[List_Price]]</f>
        <v>5582.5415999999996</v>
      </c>
      <c r="Z1222">
        <f>ReconciliationData[[#This Row],[billed_revenue]]-ReconciliationData[[#This Row],[expected_revenue]]</f>
        <v>0</v>
      </c>
      <c r="AA12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22" t="str">
        <f>IF(ReconciliationData[[#This Row],[severity_score]]=0,"LOW",
 IF(ReconciliationData[[#This Row],[severity_score]]&lt;=5,"MEDIUM","HIGH"))</f>
        <v>LOW</v>
      </c>
      <c r="AC1222" t="str">
        <f>TEXT(ReconciliationData[[#This Row],[Order_Date]],"YYYY-MM")</f>
        <v>2024-11</v>
      </c>
    </row>
    <row r="1223" spans="1:29">
      <c r="A1223" t="s">
        <v>3495</v>
      </c>
      <c r="B1223" s="1">
        <v>45302</v>
      </c>
      <c r="C1223" t="s">
        <v>3496</v>
      </c>
      <c r="D1223" t="s">
        <v>1754</v>
      </c>
      <c r="E1223">
        <v>109</v>
      </c>
      <c r="F1223" t="s">
        <v>3497</v>
      </c>
      <c r="G1223">
        <v>109</v>
      </c>
      <c r="H1223">
        <v>1072.2954</v>
      </c>
      <c r="I1223">
        <v>9</v>
      </c>
      <c r="J1223" s="1">
        <v>45650</v>
      </c>
      <c r="N1223">
        <v>1072.2954</v>
      </c>
      <c r="O1223" s="1">
        <v>45120</v>
      </c>
      <c r="P1223">
        <f>IF(ISBLANK(ReconciliationData[[#This Row],[Invoice_ID]]),1,0)</f>
        <v>0</v>
      </c>
      <c r="Q1223">
        <f>IF(AND(NOT(ISBLANK(ReconciliationData[[#This Row],[Billed_Units]])),ReconciliationData[[#This Row],[ordered_units]]&lt;&gt;ReconciliationData[[#This Row],[Billed_Units]]),1,0)</f>
        <v>0</v>
      </c>
      <c r="R12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3">
        <f>IF(AND(NOT(ISBLANK(ReconciliationData[[#This Row],[Contract_Price]])),ReconciliationData[[#This Row],[Billed_Price]]&lt;&gt;ReconciliationData[[#This Row],[Contract_Price]]),1,0)</f>
        <v>0</v>
      </c>
      <c r="T1223">
        <f>IF(AND(NOT(ISBLANK(ReconciliationData[[#This Row],[End_Date]])),ReconciliationData[[#This Row],[Order_Date]]&gt;ReconciliationData[[#This Row],[End_Date]]),1,0)</f>
        <v>0</v>
      </c>
      <c r="U1223">
        <f>IF(AND(NOT(ISBLANK(ReconciliationData[[#This Row],[last_return_date]])),ReconciliationData[[#This Row],[last_return_date]]&gt;ReconciliationData[[#This Row],[Order_Date]]+60),1,0)</f>
        <v>1</v>
      </c>
      <c r="V1223">
        <f>IF(ReconciliationData[[#This Row],[total_returned_units]]&gt;ReconciliationData[[#This Row],[ordered_units]],1,0)</f>
        <v>0</v>
      </c>
      <c r="W12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23">
        <f>ReconciliationData[[#This Row],[Billed_Units]]*ReconciliationData[[#This Row],[Billed_Price]]</f>
        <v>116880.1986</v>
      </c>
      <c r="Y1223">
        <f>ReconciliationData[[#This Row],[ordered_units]]*ReconciliationData[[#This Row],[List_Price]]</f>
        <v>116880.1986</v>
      </c>
      <c r="Z1223">
        <f>ReconciliationData[[#This Row],[billed_revenue]]-ReconciliationData[[#This Row],[expected_revenue]]</f>
        <v>0</v>
      </c>
      <c r="AA12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223" t="str">
        <f>IF(ReconciliationData[[#This Row],[severity_score]]=0,"LOW",
 IF(ReconciliationData[[#This Row],[severity_score]]&lt;=5,"MEDIUM","HIGH"))</f>
        <v>MEDIUM</v>
      </c>
      <c r="AC1223" t="str">
        <f>TEXT(ReconciliationData[[#This Row],[Order_Date]],"YYYY-MM")</f>
        <v>2024-01</v>
      </c>
    </row>
    <row r="1224" spans="1:29">
      <c r="A1224" t="s">
        <v>3498</v>
      </c>
      <c r="B1224" s="1">
        <v>45166</v>
      </c>
      <c r="C1224" t="s">
        <v>3499</v>
      </c>
      <c r="D1224" t="s">
        <v>2370</v>
      </c>
      <c r="E1224">
        <v>79</v>
      </c>
      <c r="F1224" t="s">
        <v>3500</v>
      </c>
      <c r="G1224">
        <v>79</v>
      </c>
      <c r="H1224">
        <v>1224.4680000000001</v>
      </c>
      <c r="N1224">
        <v>1224.4680000000001</v>
      </c>
      <c r="O1224" s="1">
        <v>44805</v>
      </c>
      <c r="P1224">
        <f>IF(ISBLANK(ReconciliationData[[#This Row],[Invoice_ID]]),1,0)</f>
        <v>0</v>
      </c>
      <c r="Q1224">
        <f>IF(AND(NOT(ISBLANK(ReconciliationData[[#This Row],[Billed_Units]])),ReconciliationData[[#This Row],[ordered_units]]&lt;&gt;ReconciliationData[[#This Row],[Billed_Units]]),1,0)</f>
        <v>0</v>
      </c>
      <c r="R12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4">
        <f>IF(AND(NOT(ISBLANK(ReconciliationData[[#This Row],[Contract_Price]])),ReconciliationData[[#This Row],[Billed_Price]]&lt;&gt;ReconciliationData[[#This Row],[Contract_Price]]),1,0)</f>
        <v>0</v>
      </c>
      <c r="T1224">
        <f>IF(AND(NOT(ISBLANK(ReconciliationData[[#This Row],[End_Date]])),ReconciliationData[[#This Row],[Order_Date]]&gt;ReconciliationData[[#This Row],[End_Date]]),1,0)</f>
        <v>0</v>
      </c>
      <c r="U1224">
        <f>IF(AND(NOT(ISBLANK(ReconciliationData[[#This Row],[last_return_date]])),ReconciliationData[[#This Row],[last_return_date]]&gt;ReconciliationData[[#This Row],[Order_Date]]+60),1,0)</f>
        <v>0</v>
      </c>
      <c r="V1224">
        <f>IF(ReconciliationData[[#This Row],[total_returned_units]]&gt;ReconciliationData[[#This Row],[ordered_units]],1,0)</f>
        <v>0</v>
      </c>
      <c r="W12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24">
        <f>ReconciliationData[[#This Row],[Billed_Units]]*ReconciliationData[[#This Row],[Billed_Price]]</f>
        <v>96732.972000000009</v>
      </c>
      <c r="Y1224">
        <f>ReconciliationData[[#This Row],[ordered_units]]*ReconciliationData[[#This Row],[List_Price]]</f>
        <v>96732.972000000009</v>
      </c>
      <c r="Z1224">
        <f>ReconciliationData[[#This Row],[billed_revenue]]-ReconciliationData[[#This Row],[expected_revenue]]</f>
        <v>0</v>
      </c>
      <c r="AA12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24" t="str">
        <f>IF(ReconciliationData[[#This Row],[severity_score]]=0,"LOW",
 IF(ReconciliationData[[#This Row],[severity_score]]&lt;=5,"MEDIUM","HIGH"))</f>
        <v>LOW</v>
      </c>
      <c r="AC1224" t="str">
        <f>TEXT(ReconciliationData[[#This Row],[Order_Date]],"YYYY-MM")</f>
        <v>2023-08</v>
      </c>
    </row>
    <row r="1225" spans="1:29">
      <c r="A1225" t="s">
        <v>3501</v>
      </c>
      <c r="B1225" s="1">
        <v>44999</v>
      </c>
      <c r="C1225" t="s">
        <v>2748</v>
      </c>
      <c r="D1225" t="s">
        <v>370</v>
      </c>
      <c r="E1225">
        <v>22</v>
      </c>
      <c r="F1225" t="s">
        <v>3502</v>
      </c>
      <c r="G1225">
        <v>22</v>
      </c>
      <c r="H1225">
        <v>639.91840000000002</v>
      </c>
      <c r="I1225">
        <v>4</v>
      </c>
      <c r="J1225" s="1">
        <v>45391</v>
      </c>
      <c r="N1225">
        <v>639.91840000000002</v>
      </c>
      <c r="O1225" s="1">
        <v>44930</v>
      </c>
      <c r="P1225">
        <f>IF(ISBLANK(ReconciliationData[[#This Row],[Invoice_ID]]),1,0)</f>
        <v>0</v>
      </c>
      <c r="Q1225">
        <f>IF(AND(NOT(ISBLANK(ReconciliationData[[#This Row],[Billed_Units]])),ReconciliationData[[#This Row],[ordered_units]]&lt;&gt;ReconciliationData[[#This Row],[Billed_Units]]),1,0)</f>
        <v>0</v>
      </c>
      <c r="R12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5">
        <f>IF(AND(NOT(ISBLANK(ReconciliationData[[#This Row],[Contract_Price]])),ReconciliationData[[#This Row],[Billed_Price]]&lt;&gt;ReconciliationData[[#This Row],[Contract_Price]]),1,0)</f>
        <v>0</v>
      </c>
      <c r="T1225">
        <f>IF(AND(NOT(ISBLANK(ReconciliationData[[#This Row],[End_Date]])),ReconciliationData[[#This Row],[Order_Date]]&gt;ReconciliationData[[#This Row],[End_Date]]),1,0)</f>
        <v>0</v>
      </c>
      <c r="U1225">
        <f>IF(AND(NOT(ISBLANK(ReconciliationData[[#This Row],[last_return_date]])),ReconciliationData[[#This Row],[last_return_date]]&gt;ReconciliationData[[#This Row],[Order_Date]]+60),1,0)</f>
        <v>1</v>
      </c>
      <c r="V1225">
        <f>IF(ReconciliationData[[#This Row],[total_returned_units]]&gt;ReconciliationData[[#This Row],[ordered_units]],1,0)</f>
        <v>0</v>
      </c>
      <c r="W12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25">
        <f>ReconciliationData[[#This Row],[Billed_Units]]*ReconciliationData[[#This Row],[Billed_Price]]</f>
        <v>14078.2048</v>
      </c>
      <c r="Y1225">
        <f>ReconciliationData[[#This Row],[ordered_units]]*ReconciliationData[[#This Row],[List_Price]]</f>
        <v>14078.2048</v>
      </c>
      <c r="Z1225">
        <f>ReconciliationData[[#This Row],[billed_revenue]]-ReconciliationData[[#This Row],[expected_revenue]]</f>
        <v>0</v>
      </c>
      <c r="AA12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225" t="str">
        <f>IF(ReconciliationData[[#This Row],[severity_score]]=0,"LOW",
 IF(ReconciliationData[[#This Row],[severity_score]]&lt;=5,"MEDIUM","HIGH"))</f>
        <v>MEDIUM</v>
      </c>
      <c r="AC1225" t="str">
        <f>TEXT(ReconciliationData[[#This Row],[Order_Date]],"YYYY-MM")</f>
        <v>2023-03</v>
      </c>
    </row>
    <row r="1226" spans="1:29">
      <c r="A1226" t="s">
        <v>3503</v>
      </c>
      <c r="B1226" s="1">
        <v>45568</v>
      </c>
      <c r="C1226" t="s">
        <v>242</v>
      </c>
      <c r="D1226" t="s">
        <v>283</v>
      </c>
      <c r="E1226">
        <v>160</v>
      </c>
      <c r="F1226" t="s">
        <v>3504</v>
      </c>
      <c r="G1226">
        <v>160</v>
      </c>
      <c r="H1226">
        <v>415.70589999999999</v>
      </c>
      <c r="N1226">
        <v>415.70589999999999</v>
      </c>
      <c r="O1226" s="1">
        <v>44989</v>
      </c>
      <c r="P1226">
        <f>IF(ISBLANK(ReconciliationData[[#This Row],[Invoice_ID]]),1,0)</f>
        <v>0</v>
      </c>
      <c r="Q1226">
        <f>IF(AND(NOT(ISBLANK(ReconciliationData[[#This Row],[Billed_Units]])),ReconciliationData[[#This Row],[ordered_units]]&lt;&gt;ReconciliationData[[#This Row],[Billed_Units]]),1,0)</f>
        <v>0</v>
      </c>
      <c r="R12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6">
        <f>IF(AND(NOT(ISBLANK(ReconciliationData[[#This Row],[Contract_Price]])),ReconciliationData[[#This Row],[Billed_Price]]&lt;&gt;ReconciliationData[[#This Row],[Contract_Price]]),1,0)</f>
        <v>0</v>
      </c>
      <c r="T1226">
        <f>IF(AND(NOT(ISBLANK(ReconciliationData[[#This Row],[End_Date]])),ReconciliationData[[#This Row],[Order_Date]]&gt;ReconciliationData[[#This Row],[End_Date]]),1,0)</f>
        <v>0</v>
      </c>
      <c r="U1226">
        <f>IF(AND(NOT(ISBLANK(ReconciliationData[[#This Row],[last_return_date]])),ReconciliationData[[#This Row],[last_return_date]]&gt;ReconciliationData[[#This Row],[Order_Date]]+60),1,0)</f>
        <v>0</v>
      </c>
      <c r="V1226">
        <f>IF(ReconciliationData[[#This Row],[total_returned_units]]&gt;ReconciliationData[[#This Row],[ordered_units]],1,0)</f>
        <v>0</v>
      </c>
      <c r="W12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26">
        <f>ReconciliationData[[#This Row],[Billed_Units]]*ReconciliationData[[#This Row],[Billed_Price]]</f>
        <v>66512.944000000003</v>
      </c>
      <c r="Y1226">
        <f>ReconciliationData[[#This Row],[ordered_units]]*ReconciliationData[[#This Row],[List_Price]]</f>
        <v>66512.944000000003</v>
      </c>
      <c r="Z1226">
        <f>ReconciliationData[[#This Row],[billed_revenue]]-ReconciliationData[[#This Row],[expected_revenue]]</f>
        <v>0</v>
      </c>
      <c r="AA12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26" t="str">
        <f>IF(ReconciliationData[[#This Row],[severity_score]]=0,"LOW",
 IF(ReconciliationData[[#This Row],[severity_score]]&lt;=5,"MEDIUM","HIGH"))</f>
        <v>LOW</v>
      </c>
      <c r="AC1226" t="str">
        <f>TEXT(ReconciliationData[[#This Row],[Order_Date]],"YYYY-MM")</f>
        <v>2024-10</v>
      </c>
    </row>
    <row r="1227" spans="1:29">
      <c r="A1227" t="s">
        <v>3505</v>
      </c>
      <c r="B1227" s="1">
        <v>45364</v>
      </c>
      <c r="C1227" t="s">
        <v>965</v>
      </c>
      <c r="D1227" t="s">
        <v>873</v>
      </c>
      <c r="E1227">
        <v>119</v>
      </c>
      <c r="F1227" t="s">
        <v>3506</v>
      </c>
      <c r="G1227">
        <v>119</v>
      </c>
      <c r="H1227">
        <v>956.41030000000001</v>
      </c>
      <c r="N1227">
        <v>956.41030000000001</v>
      </c>
      <c r="O1227" s="1">
        <v>45168</v>
      </c>
      <c r="P1227">
        <f>IF(ISBLANK(ReconciliationData[[#This Row],[Invoice_ID]]),1,0)</f>
        <v>0</v>
      </c>
      <c r="Q1227">
        <f>IF(AND(NOT(ISBLANK(ReconciliationData[[#This Row],[Billed_Units]])),ReconciliationData[[#This Row],[ordered_units]]&lt;&gt;ReconciliationData[[#This Row],[Billed_Units]]),1,0)</f>
        <v>0</v>
      </c>
      <c r="R12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7">
        <f>IF(AND(NOT(ISBLANK(ReconciliationData[[#This Row],[Contract_Price]])),ReconciliationData[[#This Row],[Billed_Price]]&lt;&gt;ReconciliationData[[#This Row],[Contract_Price]]),1,0)</f>
        <v>0</v>
      </c>
      <c r="T1227">
        <f>IF(AND(NOT(ISBLANK(ReconciliationData[[#This Row],[End_Date]])),ReconciliationData[[#This Row],[Order_Date]]&gt;ReconciliationData[[#This Row],[End_Date]]),1,0)</f>
        <v>0</v>
      </c>
      <c r="U1227">
        <f>IF(AND(NOT(ISBLANK(ReconciliationData[[#This Row],[last_return_date]])),ReconciliationData[[#This Row],[last_return_date]]&gt;ReconciliationData[[#This Row],[Order_Date]]+60),1,0)</f>
        <v>0</v>
      </c>
      <c r="V1227">
        <f>IF(ReconciliationData[[#This Row],[total_returned_units]]&gt;ReconciliationData[[#This Row],[ordered_units]],1,0)</f>
        <v>0</v>
      </c>
      <c r="W12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27">
        <f>ReconciliationData[[#This Row],[Billed_Units]]*ReconciliationData[[#This Row],[Billed_Price]]</f>
        <v>113812.8257</v>
      </c>
      <c r="Y1227">
        <f>ReconciliationData[[#This Row],[ordered_units]]*ReconciliationData[[#This Row],[List_Price]]</f>
        <v>113812.8257</v>
      </c>
      <c r="Z1227">
        <f>ReconciliationData[[#This Row],[billed_revenue]]-ReconciliationData[[#This Row],[expected_revenue]]</f>
        <v>0</v>
      </c>
      <c r="AA12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27" t="str">
        <f>IF(ReconciliationData[[#This Row],[severity_score]]=0,"LOW",
 IF(ReconciliationData[[#This Row],[severity_score]]&lt;=5,"MEDIUM","HIGH"))</f>
        <v>LOW</v>
      </c>
      <c r="AC1227" t="str">
        <f>TEXT(ReconciliationData[[#This Row],[Order_Date]],"YYYY-MM")</f>
        <v>2024-03</v>
      </c>
    </row>
    <row r="1228" spans="1:29">
      <c r="A1228" t="s">
        <v>3507</v>
      </c>
      <c r="B1228" s="1">
        <v>45297</v>
      </c>
      <c r="C1228" t="s">
        <v>2625</v>
      </c>
      <c r="D1228" t="s">
        <v>1869</v>
      </c>
      <c r="E1228">
        <v>87</v>
      </c>
      <c r="F1228" t="s">
        <v>3508</v>
      </c>
      <c r="G1228">
        <v>87</v>
      </c>
      <c r="H1228">
        <v>75.504800000000003</v>
      </c>
      <c r="N1228">
        <v>75.504800000000003</v>
      </c>
      <c r="O1228" s="1">
        <v>45080</v>
      </c>
      <c r="P1228">
        <f>IF(ISBLANK(ReconciliationData[[#This Row],[Invoice_ID]]),1,0)</f>
        <v>0</v>
      </c>
      <c r="Q1228">
        <f>IF(AND(NOT(ISBLANK(ReconciliationData[[#This Row],[Billed_Units]])),ReconciliationData[[#This Row],[ordered_units]]&lt;&gt;ReconciliationData[[#This Row],[Billed_Units]]),1,0)</f>
        <v>0</v>
      </c>
      <c r="R12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8">
        <f>IF(AND(NOT(ISBLANK(ReconciliationData[[#This Row],[Contract_Price]])),ReconciliationData[[#This Row],[Billed_Price]]&lt;&gt;ReconciliationData[[#This Row],[Contract_Price]]),1,0)</f>
        <v>0</v>
      </c>
      <c r="T1228">
        <f>IF(AND(NOT(ISBLANK(ReconciliationData[[#This Row],[End_Date]])),ReconciliationData[[#This Row],[Order_Date]]&gt;ReconciliationData[[#This Row],[End_Date]]),1,0)</f>
        <v>0</v>
      </c>
      <c r="U1228">
        <f>IF(AND(NOT(ISBLANK(ReconciliationData[[#This Row],[last_return_date]])),ReconciliationData[[#This Row],[last_return_date]]&gt;ReconciliationData[[#This Row],[Order_Date]]+60),1,0)</f>
        <v>0</v>
      </c>
      <c r="V1228">
        <f>IF(ReconciliationData[[#This Row],[total_returned_units]]&gt;ReconciliationData[[#This Row],[ordered_units]],1,0)</f>
        <v>0</v>
      </c>
      <c r="W12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28">
        <f>ReconciliationData[[#This Row],[Billed_Units]]*ReconciliationData[[#This Row],[Billed_Price]]</f>
        <v>6568.9176000000007</v>
      </c>
      <c r="Y1228">
        <f>ReconciliationData[[#This Row],[ordered_units]]*ReconciliationData[[#This Row],[List_Price]]</f>
        <v>6568.9176000000007</v>
      </c>
      <c r="Z1228">
        <f>ReconciliationData[[#This Row],[billed_revenue]]-ReconciliationData[[#This Row],[expected_revenue]]</f>
        <v>0</v>
      </c>
      <c r="AA12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28" t="str">
        <f>IF(ReconciliationData[[#This Row],[severity_score]]=0,"LOW",
 IF(ReconciliationData[[#This Row],[severity_score]]&lt;=5,"MEDIUM","HIGH"))</f>
        <v>LOW</v>
      </c>
      <c r="AC1228" t="str">
        <f>TEXT(ReconciliationData[[#This Row],[Order_Date]],"YYYY-MM")</f>
        <v>2024-01</v>
      </c>
    </row>
    <row r="1229" spans="1:29">
      <c r="A1229" t="s">
        <v>3509</v>
      </c>
      <c r="B1229" s="1">
        <v>45246</v>
      </c>
      <c r="C1229" t="s">
        <v>1539</v>
      </c>
      <c r="D1229" t="s">
        <v>2283</v>
      </c>
      <c r="E1229">
        <v>107</v>
      </c>
      <c r="F1229" t="s">
        <v>3510</v>
      </c>
      <c r="G1229">
        <v>107</v>
      </c>
      <c r="H1229">
        <v>68.942999999999998</v>
      </c>
      <c r="N1229">
        <v>68.942999999999998</v>
      </c>
      <c r="O1229" s="1">
        <v>44998</v>
      </c>
      <c r="P1229">
        <f>IF(ISBLANK(ReconciliationData[[#This Row],[Invoice_ID]]),1,0)</f>
        <v>0</v>
      </c>
      <c r="Q1229">
        <f>IF(AND(NOT(ISBLANK(ReconciliationData[[#This Row],[Billed_Units]])),ReconciliationData[[#This Row],[ordered_units]]&lt;&gt;ReconciliationData[[#This Row],[Billed_Units]]),1,0)</f>
        <v>0</v>
      </c>
      <c r="R12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29">
        <f>IF(AND(NOT(ISBLANK(ReconciliationData[[#This Row],[Contract_Price]])),ReconciliationData[[#This Row],[Billed_Price]]&lt;&gt;ReconciliationData[[#This Row],[Contract_Price]]),1,0)</f>
        <v>0</v>
      </c>
      <c r="T1229">
        <f>IF(AND(NOT(ISBLANK(ReconciliationData[[#This Row],[End_Date]])),ReconciliationData[[#This Row],[Order_Date]]&gt;ReconciliationData[[#This Row],[End_Date]]),1,0)</f>
        <v>0</v>
      </c>
      <c r="U1229">
        <f>IF(AND(NOT(ISBLANK(ReconciliationData[[#This Row],[last_return_date]])),ReconciliationData[[#This Row],[last_return_date]]&gt;ReconciliationData[[#This Row],[Order_Date]]+60),1,0)</f>
        <v>0</v>
      </c>
      <c r="V1229">
        <f>IF(ReconciliationData[[#This Row],[total_returned_units]]&gt;ReconciliationData[[#This Row],[ordered_units]],1,0)</f>
        <v>0</v>
      </c>
      <c r="W12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29">
        <f>ReconciliationData[[#This Row],[Billed_Units]]*ReconciliationData[[#This Row],[Billed_Price]]</f>
        <v>7376.9009999999998</v>
      </c>
      <c r="Y1229">
        <f>ReconciliationData[[#This Row],[ordered_units]]*ReconciliationData[[#This Row],[List_Price]]</f>
        <v>7376.9009999999998</v>
      </c>
      <c r="Z1229">
        <f>ReconciliationData[[#This Row],[billed_revenue]]-ReconciliationData[[#This Row],[expected_revenue]]</f>
        <v>0</v>
      </c>
      <c r="AA12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29" t="str">
        <f>IF(ReconciliationData[[#This Row],[severity_score]]=0,"LOW",
 IF(ReconciliationData[[#This Row],[severity_score]]&lt;=5,"MEDIUM","HIGH"))</f>
        <v>LOW</v>
      </c>
      <c r="AC1229" t="str">
        <f>TEXT(ReconciliationData[[#This Row],[Order_Date]],"YYYY-MM")</f>
        <v>2023-11</v>
      </c>
    </row>
    <row r="1230" spans="1:29">
      <c r="A1230" t="s">
        <v>3511</v>
      </c>
      <c r="B1230" s="1">
        <v>45219</v>
      </c>
      <c r="C1230" t="s">
        <v>2632</v>
      </c>
      <c r="D1230" t="s">
        <v>614</v>
      </c>
      <c r="E1230">
        <v>23</v>
      </c>
      <c r="F1230" t="s">
        <v>3512</v>
      </c>
      <c r="G1230">
        <v>23</v>
      </c>
      <c r="H1230">
        <v>951.75750000000005</v>
      </c>
      <c r="N1230">
        <v>951.75750000000005</v>
      </c>
      <c r="O1230" s="1">
        <v>45184</v>
      </c>
      <c r="P1230">
        <f>IF(ISBLANK(ReconciliationData[[#This Row],[Invoice_ID]]),1,0)</f>
        <v>0</v>
      </c>
      <c r="Q1230">
        <f>IF(AND(NOT(ISBLANK(ReconciliationData[[#This Row],[Billed_Units]])),ReconciliationData[[#This Row],[ordered_units]]&lt;&gt;ReconciliationData[[#This Row],[Billed_Units]]),1,0)</f>
        <v>0</v>
      </c>
      <c r="R12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0">
        <f>IF(AND(NOT(ISBLANK(ReconciliationData[[#This Row],[Contract_Price]])),ReconciliationData[[#This Row],[Billed_Price]]&lt;&gt;ReconciliationData[[#This Row],[Contract_Price]]),1,0)</f>
        <v>0</v>
      </c>
      <c r="T1230">
        <f>IF(AND(NOT(ISBLANK(ReconciliationData[[#This Row],[End_Date]])),ReconciliationData[[#This Row],[Order_Date]]&gt;ReconciliationData[[#This Row],[End_Date]]),1,0)</f>
        <v>0</v>
      </c>
      <c r="U1230">
        <f>IF(AND(NOT(ISBLANK(ReconciliationData[[#This Row],[last_return_date]])),ReconciliationData[[#This Row],[last_return_date]]&gt;ReconciliationData[[#This Row],[Order_Date]]+60),1,0)</f>
        <v>0</v>
      </c>
      <c r="V1230">
        <f>IF(ReconciliationData[[#This Row],[total_returned_units]]&gt;ReconciliationData[[#This Row],[ordered_units]],1,0)</f>
        <v>0</v>
      </c>
      <c r="W12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30">
        <f>ReconciliationData[[#This Row],[Billed_Units]]*ReconciliationData[[#This Row],[Billed_Price]]</f>
        <v>21890.422500000001</v>
      </c>
      <c r="Y1230">
        <f>ReconciliationData[[#This Row],[ordered_units]]*ReconciliationData[[#This Row],[List_Price]]</f>
        <v>21890.422500000001</v>
      </c>
      <c r="Z1230">
        <f>ReconciliationData[[#This Row],[billed_revenue]]-ReconciliationData[[#This Row],[expected_revenue]]</f>
        <v>0</v>
      </c>
      <c r="AA12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30" t="str">
        <f>IF(ReconciliationData[[#This Row],[severity_score]]=0,"LOW",
 IF(ReconciliationData[[#This Row],[severity_score]]&lt;=5,"MEDIUM","HIGH"))</f>
        <v>LOW</v>
      </c>
      <c r="AC1230" t="str">
        <f>TEXT(ReconciliationData[[#This Row],[Order_Date]],"YYYY-MM")</f>
        <v>2023-10</v>
      </c>
    </row>
    <row r="1231" spans="1:29">
      <c r="A1231" t="s">
        <v>3513</v>
      </c>
      <c r="B1231" s="1">
        <v>45493</v>
      </c>
      <c r="C1231" t="s">
        <v>680</v>
      </c>
      <c r="D1231" t="s">
        <v>1794</v>
      </c>
      <c r="E1231">
        <v>144</v>
      </c>
      <c r="F1231" t="s">
        <v>3514</v>
      </c>
      <c r="G1231">
        <v>150</v>
      </c>
      <c r="H1231">
        <v>491.10239999999999</v>
      </c>
      <c r="I1231">
        <v>9</v>
      </c>
      <c r="J1231" s="1">
        <v>45136</v>
      </c>
      <c r="N1231">
        <v>491.10239999999999</v>
      </c>
      <c r="O1231" s="1">
        <v>45187</v>
      </c>
      <c r="P1231">
        <f>IF(ISBLANK(ReconciliationData[[#This Row],[Invoice_ID]]),1,0)</f>
        <v>0</v>
      </c>
      <c r="Q1231">
        <f>IF(AND(NOT(ISBLANK(ReconciliationData[[#This Row],[Billed_Units]])),ReconciliationData[[#This Row],[ordered_units]]&lt;&gt;ReconciliationData[[#This Row],[Billed_Units]]),1,0)</f>
        <v>1</v>
      </c>
      <c r="R12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1">
        <f>IF(AND(NOT(ISBLANK(ReconciliationData[[#This Row],[Contract_Price]])),ReconciliationData[[#This Row],[Billed_Price]]&lt;&gt;ReconciliationData[[#This Row],[Contract_Price]]),1,0)</f>
        <v>0</v>
      </c>
      <c r="T1231">
        <f>IF(AND(NOT(ISBLANK(ReconciliationData[[#This Row],[End_Date]])),ReconciliationData[[#This Row],[Order_Date]]&gt;ReconciliationData[[#This Row],[End_Date]]),1,0)</f>
        <v>0</v>
      </c>
      <c r="U1231">
        <f>IF(AND(NOT(ISBLANK(ReconciliationData[[#This Row],[last_return_date]])),ReconciliationData[[#This Row],[last_return_date]]&gt;ReconciliationData[[#This Row],[Order_Date]]+60),1,0)</f>
        <v>0</v>
      </c>
      <c r="V1231">
        <f>IF(ReconciliationData[[#This Row],[total_returned_units]]&gt;ReconciliationData[[#This Row],[ordered_units]],1,0)</f>
        <v>0</v>
      </c>
      <c r="W12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31">
        <f>ReconciliationData[[#This Row],[Billed_Units]]*ReconciliationData[[#This Row],[Billed_Price]]</f>
        <v>73665.36</v>
      </c>
      <c r="Y1231">
        <f>ReconciliationData[[#This Row],[ordered_units]]*ReconciliationData[[#This Row],[List_Price]]</f>
        <v>70718.745599999995</v>
      </c>
      <c r="Z1231">
        <f>ReconciliationData[[#This Row],[billed_revenue]]-ReconciliationData[[#This Row],[expected_revenue]]</f>
        <v>2946.6144000000058</v>
      </c>
      <c r="AA12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231" t="str">
        <f>IF(ReconciliationData[[#This Row],[severity_score]]=0,"LOW",
 IF(ReconciliationData[[#This Row],[severity_score]]&lt;=5,"MEDIUM","HIGH"))</f>
        <v>HIGH</v>
      </c>
      <c r="AC1231" t="str">
        <f>TEXT(ReconciliationData[[#This Row],[Order_Date]],"YYYY-MM")</f>
        <v>2024-07</v>
      </c>
    </row>
    <row r="1232" spans="1:29">
      <c r="A1232" t="s">
        <v>3515</v>
      </c>
      <c r="B1232" s="1">
        <v>45442</v>
      </c>
      <c r="C1232" t="s">
        <v>3516</v>
      </c>
      <c r="D1232" t="s">
        <v>279</v>
      </c>
      <c r="E1232">
        <v>164</v>
      </c>
      <c r="F1232" t="s">
        <v>3517</v>
      </c>
      <c r="G1232">
        <v>164</v>
      </c>
      <c r="H1232">
        <v>1120.6556</v>
      </c>
      <c r="N1232">
        <v>1120.6556</v>
      </c>
      <c r="O1232" s="1">
        <v>45026</v>
      </c>
      <c r="P1232">
        <f>IF(ISBLANK(ReconciliationData[[#This Row],[Invoice_ID]]),1,0)</f>
        <v>0</v>
      </c>
      <c r="Q1232">
        <f>IF(AND(NOT(ISBLANK(ReconciliationData[[#This Row],[Billed_Units]])),ReconciliationData[[#This Row],[ordered_units]]&lt;&gt;ReconciliationData[[#This Row],[Billed_Units]]),1,0)</f>
        <v>0</v>
      </c>
      <c r="R12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2">
        <f>IF(AND(NOT(ISBLANK(ReconciliationData[[#This Row],[Contract_Price]])),ReconciliationData[[#This Row],[Billed_Price]]&lt;&gt;ReconciliationData[[#This Row],[Contract_Price]]),1,0)</f>
        <v>0</v>
      </c>
      <c r="T1232">
        <f>IF(AND(NOT(ISBLANK(ReconciliationData[[#This Row],[End_Date]])),ReconciliationData[[#This Row],[Order_Date]]&gt;ReconciliationData[[#This Row],[End_Date]]),1,0)</f>
        <v>0</v>
      </c>
      <c r="U1232">
        <f>IF(AND(NOT(ISBLANK(ReconciliationData[[#This Row],[last_return_date]])),ReconciliationData[[#This Row],[last_return_date]]&gt;ReconciliationData[[#This Row],[Order_Date]]+60),1,0)</f>
        <v>0</v>
      </c>
      <c r="V1232">
        <f>IF(ReconciliationData[[#This Row],[total_returned_units]]&gt;ReconciliationData[[#This Row],[ordered_units]],1,0)</f>
        <v>0</v>
      </c>
      <c r="W12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32">
        <f>ReconciliationData[[#This Row],[Billed_Units]]*ReconciliationData[[#This Row],[Billed_Price]]</f>
        <v>183787.5184</v>
      </c>
      <c r="Y1232">
        <f>ReconciliationData[[#This Row],[ordered_units]]*ReconciliationData[[#This Row],[List_Price]]</f>
        <v>183787.5184</v>
      </c>
      <c r="Z1232">
        <f>ReconciliationData[[#This Row],[billed_revenue]]-ReconciliationData[[#This Row],[expected_revenue]]</f>
        <v>0</v>
      </c>
      <c r="AA12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32" t="str">
        <f>IF(ReconciliationData[[#This Row],[severity_score]]=0,"LOW",
 IF(ReconciliationData[[#This Row],[severity_score]]&lt;=5,"MEDIUM","HIGH"))</f>
        <v>LOW</v>
      </c>
      <c r="AC1232" t="str">
        <f>TEXT(ReconciliationData[[#This Row],[Order_Date]],"YYYY-MM")</f>
        <v>2024-05</v>
      </c>
    </row>
    <row r="1233" spans="1:29">
      <c r="A1233" t="s">
        <v>3518</v>
      </c>
      <c r="B1233" s="1">
        <v>45022</v>
      </c>
      <c r="C1233" t="s">
        <v>3519</v>
      </c>
      <c r="D1233" t="s">
        <v>821</v>
      </c>
      <c r="E1233">
        <v>2</v>
      </c>
      <c r="F1233" t="s">
        <v>3520</v>
      </c>
      <c r="G1233">
        <v>2</v>
      </c>
      <c r="H1233">
        <v>785.89</v>
      </c>
      <c r="N1233">
        <v>785.89</v>
      </c>
      <c r="O1233" s="1">
        <v>44989</v>
      </c>
      <c r="P1233">
        <f>IF(ISBLANK(ReconciliationData[[#This Row],[Invoice_ID]]),1,0)</f>
        <v>0</v>
      </c>
      <c r="Q1233">
        <f>IF(AND(NOT(ISBLANK(ReconciliationData[[#This Row],[Billed_Units]])),ReconciliationData[[#This Row],[ordered_units]]&lt;&gt;ReconciliationData[[#This Row],[Billed_Units]]),1,0)</f>
        <v>0</v>
      </c>
      <c r="R12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3">
        <f>IF(AND(NOT(ISBLANK(ReconciliationData[[#This Row],[Contract_Price]])),ReconciliationData[[#This Row],[Billed_Price]]&lt;&gt;ReconciliationData[[#This Row],[Contract_Price]]),1,0)</f>
        <v>0</v>
      </c>
      <c r="T1233">
        <f>IF(AND(NOT(ISBLANK(ReconciliationData[[#This Row],[End_Date]])),ReconciliationData[[#This Row],[Order_Date]]&gt;ReconciliationData[[#This Row],[End_Date]]),1,0)</f>
        <v>0</v>
      </c>
      <c r="U1233">
        <f>IF(AND(NOT(ISBLANK(ReconciliationData[[#This Row],[last_return_date]])),ReconciliationData[[#This Row],[last_return_date]]&gt;ReconciliationData[[#This Row],[Order_Date]]+60),1,0)</f>
        <v>0</v>
      </c>
      <c r="V1233">
        <f>IF(ReconciliationData[[#This Row],[total_returned_units]]&gt;ReconciliationData[[#This Row],[ordered_units]],1,0)</f>
        <v>0</v>
      </c>
      <c r="W12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33">
        <f>ReconciliationData[[#This Row],[Billed_Units]]*ReconciliationData[[#This Row],[Billed_Price]]</f>
        <v>1571.78</v>
      </c>
      <c r="Y1233">
        <f>ReconciliationData[[#This Row],[ordered_units]]*ReconciliationData[[#This Row],[List_Price]]</f>
        <v>1571.78</v>
      </c>
      <c r="Z1233">
        <f>ReconciliationData[[#This Row],[billed_revenue]]-ReconciliationData[[#This Row],[expected_revenue]]</f>
        <v>0</v>
      </c>
      <c r="AA12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33" t="str">
        <f>IF(ReconciliationData[[#This Row],[severity_score]]=0,"LOW",
 IF(ReconciliationData[[#This Row],[severity_score]]&lt;=5,"MEDIUM","HIGH"))</f>
        <v>LOW</v>
      </c>
      <c r="AC1233" t="str">
        <f>TEXT(ReconciliationData[[#This Row],[Order_Date]],"YYYY-MM")</f>
        <v>2023-04</v>
      </c>
    </row>
    <row r="1234" spans="1:29">
      <c r="A1234" t="s">
        <v>3521</v>
      </c>
      <c r="B1234" s="1">
        <v>45386</v>
      </c>
      <c r="C1234" t="s">
        <v>3522</v>
      </c>
      <c r="D1234" t="s">
        <v>775</v>
      </c>
      <c r="E1234">
        <v>147</v>
      </c>
      <c r="F1234" t="s">
        <v>3523</v>
      </c>
      <c r="G1234">
        <v>147</v>
      </c>
      <c r="H1234">
        <v>1231.8180000000002</v>
      </c>
      <c r="I1234">
        <v>6</v>
      </c>
      <c r="J1234" s="1">
        <v>45628</v>
      </c>
      <c r="N1234">
        <v>1231.8180000000002</v>
      </c>
      <c r="O1234" s="1">
        <v>45048</v>
      </c>
      <c r="P1234">
        <f>IF(ISBLANK(ReconciliationData[[#This Row],[Invoice_ID]]),1,0)</f>
        <v>0</v>
      </c>
      <c r="Q1234">
        <f>IF(AND(NOT(ISBLANK(ReconciliationData[[#This Row],[Billed_Units]])),ReconciliationData[[#This Row],[ordered_units]]&lt;&gt;ReconciliationData[[#This Row],[Billed_Units]]),1,0)</f>
        <v>0</v>
      </c>
      <c r="R12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4">
        <f>IF(AND(NOT(ISBLANK(ReconciliationData[[#This Row],[Contract_Price]])),ReconciliationData[[#This Row],[Billed_Price]]&lt;&gt;ReconciliationData[[#This Row],[Contract_Price]]),1,0)</f>
        <v>0</v>
      </c>
      <c r="T1234">
        <f>IF(AND(NOT(ISBLANK(ReconciliationData[[#This Row],[End_Date]])),ReconciliationData[[#This Row],[Order_Date]]&gt;ReconciliationData[[#This Row],[End_Date]]),1,0)</f>
        <v>0</v>
      </c>
      <c r="U1234">
        <f>IF(AND(NOT(ISBLANK(ReconciliationData[[#This Row],[last_return_date]])),ReconciliationData[[#This Row],[last_return_date]]&gt;ReconciliationData[[#This Row],[Order_Date]]+60),1,0)</f>
        <v>1</v>
      </c>
      <c r="V1234">
        <f>IF(ReconciliationData[[#This Row],[total_returned_units]]&gt;ReconciliationData[[#This Row],[ordered_units]],1,0)</f>
        <v>0</v>
      </c>
      <c r="W12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34">
        <f>ReconciliationData[[#This Row],[Billed_Units]]*ReconciliationData[[#This Row],[Billed_Price]]</f>
        <v>181077.24600000004</v>
      </c>
      <c r="Y1234">
        <f>ReconciliationData[[#This Row],[ordered_units]]*ReconciliationData[[#This Row],[List_Price]]</f>
        <v>181077.24600000004</v>
      </c>
      <c r="Z1234">
        <f>ReconciliationData[[#This Row],[billed_revenue]]-ReconciliationData[[#This Row],[expected_revenue]]</f>
        <v>0</v>
      </c>
      <c r="AA12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234" t="str">
        <f>IF(ReconciliationData[[#This Row],[severity_score]]=0,"LOW",
 IF(ReconciliationData[[#This Row],[severity_score]]&lt;=5,"MEDIUM","HIGH"))</f>
        <v>MEDIUM</v>
      </c>
      <c r="AC1234" t="str">
        <f>TEXT(ReconciliationData[[#This Row],[Order_Date]],"YYYY-MM")</f>
        <v>2024-04</v>
      </c>
    </row>
    <row r="1235" spans="1:29">
      <c r="A1235" t="s">
        <v>3524</v>
      </c>
      <c r="B1235" s="1">
        <v>45506</v>
      </c>
      <c r="C1235" t="s">
        <v>3525</v>
      </c>
      <c r="D1235" t="s">
        <v>138</v>
      </c>
      <c r="E1235">
        <v>70</v>
      </c>
      <c r="F1235" t="s">
        <v>3526</v>
      </c>
      <c r="G1235">
        <v>70</v>
      </c>
      <c r="H1235">
        <v>444.22</v>
      </c>
      <c r="N1235">
        <v>444.22</v>
      </c>
      <c r="O1235" s="1">
        <v>45074</v>
      </c>
      <c r="P1235">
        <f>IF(ISBLANK(ReconciliationData[[#This Row],[Invoice_ID]]),1,0)</f>
        <v>0</v>
      </c>
      <c r="Q1235">
        <f>IF(AND(NOT(ISBLANK(ReconciliationData[[#This Row],[Billed_Units]])),ReconciliationData[[#This Row],[ordered_units]]&lt;&gt;ReconciliationData[[#This Row],[Billed_Units]]),1,0)</f>
        <v>0</v>
      </c>
      <c r="R12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5">
        <f>IF(AND(NOT(ISBLANK(ReconciliationData[[#This Row],[Contract_Price]])),ReconciliationData[[#This Row],[Billed_Price]]&lt;&gt;ReconciliationData[[#This Row],[Contract_Price]]),1,0)</f>
        <v>0</v>
      </c>
      <c r="T1235">
        <f>IF(AND(NOT(ISBLANK(ReconciliationData[[#This Row],[End_Date]])),ReconciliationData[[#This Row],[Order_Date]]&gt;ReconciliationData[[#This Row],[End_Date]]),1,0)</f>
        <v>0</v>
      </c>
      <c r="U1235">
        <f>IF(AND(NOT(ISBLANK(ReconciliationData[[#This Row],[last_return_date]])),ReconciliationData[[#This Row],[last_return_date]]&gt;ReconciliationData[[#This Row],[Order_Date]]+60),1,0)</f>
        <v>0</v>
      </c>
      <c r="V1235">
        <f>IF(ReconciliationData[[#This Row],[total_returned_units]]&gt;ReconciliationData[[#This Row],[ordered_units]],1,0)</f>
        <v>0</v>
      </c>
      <c r="W12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35">
        <f>ReconciliationData[[#This Row],[Billed_Units]]*ReconciliationData[[#This Row],[Billed_Price]]</f>
        <v>31095.4</v>
      </c>
      <c r="Y1235">
        <f>ReconciliationData[[#This Row],[ordered_units]]*ReconciliationData[[#This Row],[List_Price]]</f>
        <v>31095.4</v>
      </c>
      <c r="Z1235">
        <f>ReconciliationData[[#This Row],[billed_revenue]]-ReconciliationData[[#This Row],[expected_revenue]]</f>
        <v>0</v>
      </c>
      <c r="AA12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35" t="str">
        <f>IF(ReconciliationData[[#This Row],[severity_score]]=0,"LOW",
 IF(ReconciliationData[[#This Row],[severity_score]]&lt;=5,"MEDIUM","HIGH"))</f>
        <v>LOW</v>
      </c>
      <c r="AC1235" t="str">
        <f>TEXT(ReconciliationData[[#This Row],[Order_Date]],"YYYY-MM")</f>
        <v>2024-08</v>
      </c>
    </row>
    <row r="1236" spans="1:29">
      <c r="A1236" t="s">
        <v>3527</v>
      </c>
      <c r="B1236" s="1">
        <v>45619</v>
      </c>
      <c r="C1236" t="s">
        <v>872</v>
      </c>
      <c r="D1236" t="s">
        <v>973</v>
      </c>
      <c r="E1236">
        <v>23</v>
      </c>
      <c r="F1236" t="s">
        <v>3528</v>
      </c>
      <c r="G1236">
        <v>23</v>
      </c>
      <c r="H1236">
        <v>156.37459999999999</v>
      </c>
      <c r="N1236">
        <v>156.37459999999999</v>
      </c>
      <c r="O1236" s="1">
        <v>45090</v>
      </c>
      <c r="P1236">
        <f>IF(ISBLANK(ReconciliationData[[#This Row],[Invoice_ID]]),1,0)</f>
        <v>0</v>
      </c>
      <c r="Q1236">
        <f>IF(AND(NOT(ISBLANK(ReconciliationData[[#This Row],[Billed_Units]])),ReconciliationData[[#This Row],[ordered_units]]&lt;&gt;ReconciliationData[[#This Row],[Billed_Units]]),1,0)</f>
        <v>0</v>
      </c>
      <c r="R12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6">
        <f>IF(AND(NOT(ISBLANK(ReconciliationData[[#This Row],[Contract_Price]])),ReconciliationData[[#This Row],[Billed_Price]]&lt;&gt;ReconciliationData[[#This Row],[Contract_Price]]),1,0)</f>
        <v>0</v>
      </c>
      <c r="T1236">
        <f>IF(AND(NOT(ISBLANK(ReconciliationData[[#This Row],[End_Date]])),ReconciliationData[[#This Row],[Order_Date]]&gt;ReconciliationData[[#This Row],[End_Date]]),1,0)</f>
        <v>0</v>
      </c>
      <c r="U1236">
        <f>IF(AND(NOT(ISBLANK(ReconciliationData[[#This Row],[last_return_date]])),ReconciliationData[[#This Row],[last_return_date]]&gt;ReconciliationData[[#This Row],[Order_Date]]+60),1,0)</f>
        <v>0</v>
      </c>
      <c r="V1236">
        <f>IF(ReconciliationData[[#This Row],[total_returned_units]]&gt;ReconciliationData[[#This Row],[ordered_units]],1,0)</f>
        <v>0</v>
      </c>
      <c r="W12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36">
        <f>ReconciliationData[[#This Row],[Billed_Units]]*ReconciliationData[[#This Row],[Billed_Price]]</f>
        <v>3596.6157999999996</v>
      </c>
      <c r="Y1236">
        <f>ReconciliationData[[#This Row],[ordered_units]]*ReconciliationData[[#This Row],[List_Price]]</f>
        <v>3596.6157999999996</v>
      </c>
      <c r="Z1236">
        <f>ReconciliationData[[#This Row],[billed_revenue]]-ReconciliationData[[#This Row],[expected_revenue]]</f>
        <v>0</v>
      </c>
      <c r="AA12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36" t="str">
        <f>IF(ReconciliationData[[#This Row],[severity_score]]=0,"LOW",
 IF(ReconciliationData[[#This Row],[severity_score]]&lt;=5,"MEDIUM","HIGH"))</f>
        <v>LOW</v>
      </c>
      <c r="AC1236" t="str">
        <f>TEXT(ReconciliationData[[#This Row],[Order_Date]],"YYYY-MM")</f>
        <v>2024-11</v>
      </c>
    </row>
    <row r="1237" spans="1:29">
      <c r="A1237" t="s">
        <v>3529</v>
      </c>
      <c r="B1237" s="1">
        <v>45204</v>
      </c>
      <c r="C1237" t="s">
        <v>2162</v>
      </c>
      <c r="D1237" t="s">
        <v>3530</v>
      </c>
      <c r="E1237">
        <v>152</v>
      </c>
      <c r="F1237" t="s">
        <v>3531</v>
      </c>
      <c r="G1237">
        <v>152</v>
      </c>
      <c r="H1237">
        <v>143.86799999999999</v>
      </c>
      <c r="N1237">
        <v>143.86799999999999</v>
      </c>
      <c r="O1237" s="1">
        <v>45036</v>
      </c>
      <c r="P1237">
        <f>IF(ISBLANK(ReconciliationData[[#This Row],[Invoice_ID]]),1,0)</f>
        <v>0</v>
      </c>
      <c r="Q1237">
        <f>IF(AND(NOT(ISBLANK(ReconciliationData[[#This Row],[Billed_Units]])),ReconciliationData[[#This Row],[ordered_units]]&lt;&gt;ReconciliationData[[#This Row],[Billed_Units]]),1,0)</f>
        <v>0</v>
      </c>
      <c r="R12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7">
        <f>IF(AND(NOT(ISBLANK(ReconciliationData[[#This Row],[Contract_Price]])),ReconciliationData[[#This Row],[Billed_Price]]&lt;&gt;ReconciliationData[[#This Row],[Contract_Price]]),1,0)</f>
        <v>0</v>
      </c>
      <c r="T1237">
        <f>IF(AND(NOT(ISBLANK(ReconciliationData[[#This Row],[End_Date]])),ReconciliationData[[#This Row],[Order_Date]]&gt;ReconciliationData[[#This Row],[End_Date]]),1,0)</f>
        <v>0</v>
      </c>
      <c r="U1237">
        <f>IF(AND(NOT(ISBLANK(ReconciliationData[[#This Row],[last_return_date]])),ReconciliationData[[#This Row],[last_return_date]]&gt;ReconciliationData[[#This Row],[Order_Date]]+60),1,0)</f>
        <v>0</v>
      </c>
      <c r="V1237">
        <f>IF(ReconciliationData[[#This Row],[total_returned_units]]&gt;ReconciliationData[[#This Row],[ordered_units]],1,0)</f>
        <v>0</v>
      </c>
      <c r="W12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37">
        <f>ReconciliationData[[#This Row],[Billed_Units]]*ReconciliationData[[#This Row],[Billed_Price]]</f>
        <v>21867.935999999998</v>
      </c>
      <c r="Y1237">
        <f>ReconciliationData[[#This Row],[ordered_units]]*ReconciliationData[[#This Row],[List_Price]]</f>
        <v>21867.935999999998</v>
      </c>
      <c r="Z1237">
        <f>ReconciliationData[[#This Row],[billed_revenue]]-ReconciliationData[[#This Row],[expected_revenue]]</f>
        <v>0</v>
      </c>
      <c r="AA12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37" t="str">
        <f>IF(ReconciliationData[[#This Row],[severity_score]]=0,"LOW",
 IF(ReconciliationData[[#This Row],[severity_score]]&lt;=5,"MEDIUM","HIGH"))</f>
        <v>LOW</v>
      </c>
      <c r="AC1237" t="str">
        <f>TEXT(ReconciliationData[[#This Row],[Order_Date]],"YYYY-MM")</f>
        <v>2023-10</v>
      </c>
    </row>
    <row r="1238" spans="1:29">
      <c r="A1238" t="s">
        <v>3532</v>
      </c>
      <c r="B1238" s="1">
        <v>44955</v>
      </c>
      <c r="C1238" t="s">
        <v>205</v>
      </c>
      <c r="D1238" t="s">
        <v>548</v>
      </c>
      <c r="E1238">
        <v>179</v>
      </c>
      <c r="F1238" t="s">
        <v>3533</v>
      </c>
      <c r="G1238">
        <v>179</v>
      </c>
      <c r="H1238">
        <v>951.87149999999997</v>
      </c>
      <c r="N1238">
        <v>951.87149999999997</v>
      </c>
      <c r="O1238" s="1">
        <v>44887</v>
      </c>
      <c r="P1238">
        <f>IF(ISBLANK(ReconciliationData[[#This Row],[Invoice_ID]]),1,0)</f>
        <v>0</v>
      </c>
      <c r="Q1238">
        <f>IF(AND(NOT(ISBLANK(ReconciliationData[[#This Row],[Billed_Units]])),ReconciliationData[[#This Row],[ordered_units]]&lt;&gt;ReconciliationData[[#This Row],[Billed_Units]]),1,0)</f>
        <v>0</v>
      </c>
      <c r="R12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8">
        <f>IF(AND(NOT(ISBLANK(ReconciliationData[[#This Row],[Contract_Price]])),ReconciliationData[[#This Row],[Billed_Price]]&lt;&gt;ReconciliationData[[#This Row],[Contract_Price]]),1,0)</f>
        <v>0</v>
      </c>
      <c r="T1238">
        <f>IF(AND(NOT(ISBLANK(ReconciliationData[[#This Row],[End_Date]])),ReconciliationData[[#This Row],[Order_Date]]&gt;ReconciliationData[[#This Row],[End_Date]]),1,0)</f>
        <v>0</v>
      </c>
      <c r="U1238">
        <f>IF(AND(NOT(ISBLANK(ReconciliationData[[#This Row],[last_return_date]])),ReconciliationData[[#This Row],[last_return_date]]&gt;ReconciliationData[[#This Row],[Order_Date]]+60),1,0)</f>
        <v>0</v>
      </c>
      <c r="V1238">
        <f>IF(ReconciliationData[[#This Row],[total_returned_units]]&gt;ReconciliationData[[#This Row],[ordered_units]],1,0)</f>
        <v>0</v>
      </c>
      <c r="W12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38">
        <f>ReconciliationData[[#This Row],[Billed_Units]]*ReconciliationData[[#This Row],[Billed_Price]]</f>
        <v>170384.99849999999</v>
      </c>
      <c r="Y1238">
        <f>ReconciliationData[[#This Row],[ordered_units]]*ReconciliationData[[#This Row],[List_Price]]</f>
        <v>170384.99849999999</v>
      </c>
      <c r="Z1238">
        <f>ReconciliationData[[#This Row],[billed_revenue]]-ReconciliationData[[#This Row],[expected_revenue]]</f>
        <v>0</v>
      </c>
      <c r="AA12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38" t="str">
        <f>IF(ReconciliationData[[#This Row],[severity_score]]=0,"LOW",
 IF(ReconciliationData[[#This Row],[severity_score]]&lt;=5,"MEDIUM","HIGH"))</f>
        <v>LOW</v>
      </c>
      <c r="AC1238" t="str">
        <f>TEXT(ReconciliationData[[#This Row],[Order_Date]],"YYYY-MM")</f>
        <v>2023-01</v>
      </c>
    </row>
    <row r="1239" spans="1:29">
      <c r="A1239" t="s">
        <v>3534</v>
      </c>
      <c r="B1239" s="1">
        <v>45317</v>
      </c>
      <c r="C1239" t="s">
        <v>444</v>
      </c>
      <c r="D1239" t="s">
        <v>944</v>
      </c>
      <c r="E1239">
        <v>87</v>
      </c>
      <c r="F1239" t="s">
        <v>3535</v>
      </c>
      <c r="G1239">
        <v>87</v>
      </c>
      <c r="H1239">
        <v>1006.8318</v>
      </c>
      <c r="I1239">
        <v>13</v>
      </c>
      <c r="J1239" s="1">
        <v>45066</v>
      </c>
      <c r="N1239">
        <v>1006.8318</v>
      </c>
      <c r="O1239" s="1">
        <v>45204</v>
      </c>
      <c r="P1239">
        <f>IF(ISBLANK(ReconciliationData[[#This Row],[Invoice_ID]]),1,0)</f>
        <v>0</v>
      </c>
      <c r="Q1239">
        <f>IF(AND(NOT(ISBLANK(ReconciliationData[[#This Row],[Billed_Units]])),ReconciliationData[[#This Row],[ordered_units]]&lt;&gt;ReconciliationData[[#This Row],[Billed_Units]]),1,0)</f>
        <v>0</v>
      </c>
      <c r="R12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39">
        <f>IF(AND(NOT(ISBLANK(ReconciliationData[[#This Row],[Contract_Price]])),ReconciliationData[[#This Row],[Billed_Price]]&lt;&gt;ReconciliationData[[#This Row],[Contract_Price]]),1,0)</f>
        <v>0</v>
      </c>
      <c r="T1239">
        <f>IF(AND(NOT(ISBLANK(ReconciliationData[[#This Row],[End_Date]])),ReconciliationData[[#This Row],[Order_Date]]&gt;ReconciliationData[[#This Row],[End_Date]]),1,0)</f>
        <v>0</v>
      </c>
      <c r="U1239">
        <f>IF(AND(NOT(ISBLANK(ReconciliationData[[#This Row],[last_return_date]])),ReconciliationData[[#This Row],[last_return_date]]&gt;ReconciliationData[[#This Row],[Order_Date]]+60),1,0)</f>
        <v>0</v>
      </c>
      <c r="V1239">
        <f>IF(ReconciliationData[[#This Row],[total_returned_units]]&gt;ReconciliationData[[#This Row],[ordered_units]],1,0)</f>
        <v>0</v>
      </c>
      <c r="W12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39">
        <f>ReconciliationData[[#This Row],[Billed_Units]]*ReconciliationData[[#This Row],[Billed_Price]]</f>
        <v>87594.366600000008</v>
      </c>
      <c r="Y1239">
        <f>ReconciliationData[[#This Row],[ordered_units]]*ReconciliationData[[#This Row],[List_Price]]</f>
        <v>87594.366600000008</v>
      </c>
      <c r="Z1239">
        <f>ReconciliationData[[#This Row],[billed_revenue]]-ReconciliationData[[#This Row],[expected_revenue]]</f>
        <v>0</v>
      </c>
      <c r="AA12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39" t="str">
        <f>IF(ReconciliationData[[#This Row],[severity_score]]=0,"LOW",
 IF(ReconciliationData[[#This Row],[severity_score]]&lt;=5,"MEDIUM","HIGH"))</f>
        <v>LOW</v>
      </c>
      <c r="AC1239" t="str">
        <f>TEXT(ReconciliationData[[#This Row],[Order_Date]],"YYYY-MM")</f>
        <v>2024-01</v>
      </c>
    </row>
    <row r="1240" spans="1:29">
      <c r="A1240" t="s">
        <v>3536</v>
      </c>
      <c r="B1240" s="1">
        <v>45120</v>
      </c>
      <c r="C1240" t="s">
        <v>3537</v>
      </c>
      <c r="D1240" t="s">
        <v>651</v>
      </c>
      <c r="E1240">
        <v>4</v>
      </c>
      <c r="F1240" t="s">
        <v>3538</v>
      </c>
      <c r="G1240">
        <v>4</v>
      </c>
      <c r="H1240">
        <v>214.6182</v>
      </c>
      <c r="N1240">
        <v>214.6182</v>
      </c>
      <c r="O1240" s="1">
        <v>45116</v>
      </c>
      <c r="P1240">
        <f>IF(ISBLANK(ReconciliationData[[#This Row],[Invoice_ID]]),1,0)</f>
        <v>0</v>
      </c>
      <c r="Q1240">
        <f>IF(AND(NOT(ISBLANK(ReconciliationData[[#This Row],[Billed_Units]])),ReconciliationData[[#This Row],[ordered_units]]&lt;&gt;ReconciliationData[[#This Row],[Billed_Units]]),1,0)</f>
        <v>0</v>
      </c>
      <c r="R12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0">
        <f>IF(AND(NOT(ISBLANK(ReconciliationData[[#This Row],[Contract_Price]])),ReconciliationData[[#This Row],[Billed_Price]]&lt;&gt;ReconciliationData[[#This Row],[Contract_Price]]),1,0)</f>
        <v>0</v>
      </c>
      <c r="T1240">
        <f>IF(AND(NOT(ISBLANK(ReconciliationData[[#This Row],[End_Date]])),ReconciliationData[[#This Row],[Order_Date]]&gt;ReconciliationData[[#This Row],[End_Date]]),1,0)</f>
        <v>0</v>
      </c>
      <c r="U1240">
        <f>IF(AND(NOT(ISBLANK(ReconciliationData[[#This Row],[last_return_date]])),ReconciliationData[[#This Row],[last_return_date]]&gt;ReconciliationData[[#This Row],[Order_Date]]+60),1,0)</f>
        <v>0</v>
      </c>
      <c r="V1240">
        <f>IF(ReconciliationData[[#This Row],[total_returned_units]]&gt;ReconciliationData[[#This Row],[ordered_units]],1,0)</f>
        <v>0</v>
      </c>
      <c r="W12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40">
        <f>ReconciliationData[[#This Row],[Billed_Units]]*ReconciliationData[[#This Row],[Billed_Price]]</f>
        <v>858.47280000000001</v>
      </c>
      <c r="Y1240">
        <f>ReconciliationData[[#This Row],[ordered_units]]*ReconciliationData[[#This Row],[List_Price]]</f>
        <v>858.47280000000001</v>
      </c>
      <c r="Z1240">
        <f>ReconciliationData[[#This Row],[billed_revenue]]-ReconciliationData[[#This Row],[expected_revenue]]</f>
        <v>0</v>
      </c>
      <c r="AA12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40" t="str">
        <f>IF(ReconciliationData[[#This Row],[severity_score]]=0,"LOW",
 IF(ReconciliationData[[#This Row],[severity_score]]&lt;=5,"MEDIUM","HIGH"))</f>
        <v>LOW</v>
      </c>
      <c r="AC1240" t="str">
        <f>TEXT(ReconciliationData[[#This Row],[Order_Date]],"YYYY-MM")</f>
        <v>2023-07</v>
      </c>
    </row>
    <row r="1241" spans="1:29">
      <c r="A1241" t="s">
        <v>3539</v>
      </c>
      <c r="B1241" s="1">
        <v>45046</v>
      </c>
      <c r="C1241" t="s">
        <v>1645</v>
      </c>
      <c r="D1241" t="s">
        <v>1030</v>
      </c>
      <c r="E1241">
        <v>185</v>
      </c>
      <c r="F1241" t="s">
        <v>3540</v>
      </c>
      <c r="G1241">
        <v>185</v>
      </c>
      <c r="H1241">
        <v>370.82850000000002</v>
      </c>
      <c r="N1241">
        <v>370.82850000000002</v>
      </c>
      <c r="O1241" s="1">
        <v>44986</v>
      </c>
      <c r="P1241">
        <f>IF(ISBLANK(ReconciliationData[[#This Row],[Invoice_ID]]),1,0)</f>
        <v>0</v>
      </c>
      <c r="Q1241">
        <f>IF(AND(NOT(ISBLANK(ReconciliationData[[#This Row],[Billed_Units]])),ReconciliationData[[#This Row],[ordered_units]]&lt;&gt;ReconciliationData[[#This Row],[Billed_Units]]),1,0)</f>
        <v>0</v>
      </c>
      <c r="R12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1">
        <f>IF(AND(NOT(ISBLANK(ReconciliationData[[#This Row],[Contract_Price]])),ReconciliationData[[#This Row],[Billed_Price]]&lt;&gt;ReconciliationData[[#This Row],[Contract_Price]]),1,0)</f>
        <v>0</v>
      </c>
      <c r="T1241">
        <f>IF(AND(NOT(ISBLANK(ReconciliationData[[#This Row],[End_Date]])),ReconciliationData[[#This Row],[Order_Date]]&gt;ReconciliationData[[#This Row],[End_Date]]),1,0)</f>
        <v>0</v>
      </c>
      <c r="U1241">
        <f>IF(AND(NOT(ISBLANK(ReconciliationData[[#This Row],[last_return_date]])),ReconciliationData[[#This Row],[last_return_date]]&gt;ReconciliationData[[#This Row],[Order_Date]]+60),1,0)</f>
        <v>0</v>
      </c>
      <c r="V1241">
        <f>IF(ReconciliationData[[#This Row],[total_returned_units]]&gt;ReconciliationData[[#This Row],[ordered_units]],1,0)</f>
        <v>0</v>
      </c>
      <c r="W12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41">
        <f>ReconciliationData[[#This Row],[Billed_Units]]*ReconciliationData[[#This Row],[Billed_Price]]</f>
        <v>68603.272500000006</v>
      </c>
      <c r="Y1241">
        <f>ReconciliationData[[#This Row],[ordered_units]]*ReconciliationData[[#This Row],[List_Price]]</f>
        <v>68603.272500000006</v>
      </c>
      <c r="Z1241">
        <f>ReconciliationData[[#This Row],[billed_revenue]]-ReconciliationData[[#This Row],[expected_revenue]]</f>
        <v>0</v>
      </c>
      <c r="AA12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41" t="str">
        <f>IF(ReconciliationData[[#This Row],[severity_score]]=0,"LOW",
 IF(ReconciliationData[[#This Row],[severity_score]]&lt;=5,"MEDIUM","HIGH"))</f>
        <v>LOW</v>
      </c>
      <c r="AC1241" t="str">
        <f>TEXT(ReconciliationData[[#This Row],[Order_Date]],"YYYY-MM")</f>
        <v>2023-04</v>
      </c>
    </row>
    <row r="1242" spans="1:29">
      <c r="A1242" t="s">
        <v>3541</v>
      </c>
      <c r="B1242" s="1">
        <v>44929</v>
      </c>
      <c r="C1242" t="s">
        <v>3542</v>
      </c>
      <c r="D1242" t="s">
        <v>1094</v>
      </c>
      <c r="E1242">
        <v>100</v>
      </c>
      <c r="F1242" t="s">
        <v>3543</v>
      </c>
      <c r="G1242">
        <v>100</v>
      </c>
      <c r="H1242">
        <v>986.71040000000005</v>
      </c>
      <c r="N1242">
        <v>986.71040000000005</v>
      </c>
      <c r="O1242" s="1">
        <v>44892</v>
      </c>
      <c r="P1242">
        <f>IF(ISBLANK(ReconciliationData[[#This Row],[Invoice_ID]]),1,0)</f>
        <v>0</v>
      </c>
      <c r="Q1242">
        <f>IF(AND(NOT(ISBLANK(ReconciliationData[[#This Row],[Billed_Units]])),ReconciliationData[[#This Row],[ordered_units]]&lt;&gt;ReconciliationData[[#This Row],[Billed_Units]]),1,0)</f>
        <v>0</v>
      </c>
      <c r="R12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2">
        <f>IF(AND(NOT(ISBLANK(ReconciliationData[[#This Row],[Contract_Price]])),ReconciliationData[[#This Row],[Billed_Price]]&lt;&gt;ReconciliationData[[#This Row],[Contract_Price]]),1,0)</f>
        <v>0</v>
      </c>
      <c r="T1242">
        <f>IF(AND(NOT(ISBLANK(ReconciliationData[[#This Row],[End_Date]])),ReconciliationData[[#This Row],[Order_Date]]&gt;ReconciliationData[[#This Row],[End_Date]]),1,0)</f>
        <v>0</v>
      </c>
      <c r="U1242">
        <f>IF(AND(NOT(ISBLANK(ReconciliationData[[#This Row],[last_return_date]])),ReconciliationData[[#This Row],[last_return_date]]&gt;ReconciliationData[[#This Row],[Order_Date]]+60),1,0)</f>
        <v>0</v>
      </c>
      <c r="V1242">
        <f>IF(ReconciliationData[[#This Row],[total_returned_units]]&gt;ReconciliationData[[#This Row],[ordered_units]],1,0)</f>
        <v>0</v>
      </c>
      <c r="W12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42">
        <f>ReconciliationData[[#This Row],[Billed_Units]]*ReconciliationData[[#This Row],[Billed_Price]]</f>
        <v>98671.040000000008</v>
      </c>
      <c r="Y1242">
        <f>ReconciliationData[[#This Row],[ordered_units]]*ReconciliationData[[#This Row],[List_Price]]</f>
        <v>98671.040000000008</v>
      </c>
      <c r="Z1242">
        <f>ReconciliationData[[#This Row],[billed_revenue]]-ReconciliationData[[#This Row],[expected_revenue]]</f>
        <v>0</v>
      </c>
      <c r="AA12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42" t="str">
        <f>IF(ReconciliationData[[#This Row],[severity_score]]=0,"LOW",
 IF(ReconciliationData[[#This Row],[severity_score]]&lt;=5,"MEDIUM","HIGH"))</f>
        <v>LOW</v>
      </c>
      <c r="AC1242" t="str">
        <f>TEXT(ReconciliationData[[#This Row],[Order_Date]],"YYYY-MM")</f>
        <v>2023-01</v>
      </c>
    </row>
    <row r="1243" spans="1:29">
      <c r="A1243" t="s">
        <v>3544</v>
      </c>
      <c r="B1243" s="1">
        <v>45428</v>
      </c>
      <c r="C1243" t="s">
        <v>1212</v>
      </c>
      <c r="D1243" t="s">
        <v>552</v>
      </c>
      <c r="E1243">
        <v>21</v>
      </c>
      <c r="F1243" t="s">
        <v>3545</v>
      </c>
      <c r="G1243">
        <v>21</v>
      </c>
      <c r="H1243">
        <v>497.4264</v>
      </c>
      <c r="N1243">
        <v>497.4264</v>
      </c>
      <c r="O1243" s="1">
        <v>45212</v>
      </c>
      <c r="P1243">
        <f>IF(ISBLANK(ReconciliationData[[#This Row],[Invoice_ID]]),1,0)</f>
        <v>0</v>
      </c>
      <c r="Q1243">
        <f>IF(AND(NOT(ISBLANK(ReconciliationData[[#This Row],[Billed_Units]])),ReconciliationData[[#This Row],[ordered_units]]&lt;&gt;ReconciliationData[[#This Row],[Billed_Units]]),1,0)</f>
        <v>0</v>
      </c>
      <c r="R12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3">
        <f>IF(AND(NOT(ISBLANK(ReconciliationData[[#This Row],[Contract_Price]])),ReconciliationData[[#This Row],[Billed_Price]]&lt;&gt;ReconciliationData[[#This Row],[Contract_Price]]),1,0)</f>
        <v>0</v>
      </c>
      <c r="T1243">
        <f>IF(AND(NOT(ISBLANK(ReconciliationData[[#This Row],[End_Date]])),ReconciliationData[[#This Row],[Order_Date]]&gt;ReconciliationData[[#This Row],[End_Date]]),1,0)</f>
        <v>0</v>
      </c>
      <c r="U1243">
        <f>IF(AND(NOT(ISBLANK(ReconciliationData[[#This Row],[last_return_date]])),ReconciliationData[[#This Row],[last_return_date]]&gt;ReconciliationData[[#This Row],[Order_Date]]+60),1,0)</f>
        <v>0</v>
      </c>
      <c r="V1243">
        <f>IF(ReconciliationData[[#This Row],[total_returned_units]]&gt;ReconciliationData[[#This Row],[ordered_units]],1,0)</f>
        <v>0</v>
      </c>
      <c r="W12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43">
        <f>ReconciliationData[[#This Row],[Billed_Units]]*ReconciliationData[[#This Row],[Billed_Price]]</f>
        <v>10445.954400000001</v>
      </c>
      <c r="Y1243">
        <f>ReconciliationData[[#This Row],[ordered_units]]*ReconciliationData[[#This Row],[List_Price]]</f>
        <v>10445.954400000001</v>
      </c>
      <c r="Z1243">
        <f>ReconciliationData[[#This Row],[billed_revenue]]-ReconciliationData[[#This Row],[expected_revenue]]</f>
        <v>0</v>
      </c>
      <c r="AA12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43" t="str">
        <f>IF(ReconciliationData[[#This Row],[severity_score]]=0,"LOW",
 IF(ReconciliationData[[#This Row],[severity_score]]&lt;=5,"MEDIUM","HIGH"))</f>
        <v>LOW</v>
      </c>
      <c r="AC1243" t="str">
        <f>TEXT(ReconciliationData[[#This Row],[Order_Date]],"YYYY-MM")</f>
        <v>2024-05</v>
      </c>
    </row>
    <row r="1244" spans="1:29">
      <c r="A1244" t="s">
        <v>3546</v>
      </c>
      <c r="B1244" s="1">
        <v>45115</v>
      </c>
      <c r="C1244" t="s">
        <v>369</v>
      </c>
      <c r="D1244" t="s">
        <v>2645</v>
      </c>
      <c r="E1244">
        <v>7</v>
      </c>
      <c r="F1244" t="s">
        <v>3547</v>
      </c>
      <c r="G1244">
        <v>7</v>
      </c>
      <c r="H1244">
        <v>112.0184</v>
      </c>
      <c r="N1244">
        <v>112.0184</v>
      </c>
      <c r="O1244" s="1">
        <v>44905</v>
      </c>
      <c r="P1244">
        <f>IF(ISBLANK(ReconciliationData[[#This Row],[Invoice_ID]]),1,0)</f>
        <v>0</v>
      </c>
      <c r="Q1244">
        <f>IF(AND(NOT(ISBLANK(ReconciliationData[[#This Row],[Billed_Units]])),ReconciliationData[[#This Row],[ordered_units]]&lt;&gt;ReconciliationData[[#This Row],[Billed_Units]]),1,0)</f>
        <v>0</v>
      </c>
      <c r="R12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4">
        <f>IF(AND(NOT(ISBLANK(ReconciliationData[[#This Row],[Contract_Price]])),ReconciliationData[[#This Row],[Billed_Price]]&lt;&gt;ReconciliationData[[#This Row],[Contract_Price]]),1,0)</f>
        <v>0</v>
      </c>
      <c r="T1244">
        <f>IF(AND(NOT(ISBLANK(ReconciliationData[[#This Row],[End_Date]])),ReconciliationData[[#This Row],[Order_Date]]&gt;ReconciliationData[[#This Row],[End_Date]]),1,0)</f>
        <v>0</v>
      </c>
      <c r="U1244">
        <f>IF(AND(NOT(ISBLANK(ReconciliationData[[#This Row],[last_return_date]])),ReconciliationData[[#This Row],[last_return_date]]&gt;ReconciliationData[[#This Row],[Order_Date]]+60),1,0)</f>
        <v>0</v>
      </c>
      <c r="V1244">
        <f>IF(ReconciliationData[[#This Row],[total_returned_units]]&gt;ReconciliationData[[#This Row],[ordered_units]],1,0)</f>
        <v>0</v>
      </c>
      <c r="W12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44">
        <f>ReconciliationData[[#This Row],[Billed_Units]]*ReconciliationData[[#This Row],[Billed_Price]]</f>
        <v>784.12879999999996</v>
      </c>
      <c r="Y1244">
        <f>ReconciliationData[[#This Row],[ordered_units]]*ReconciliationData[[#This Row],[List_Price]]</f>
        <v>784.12879999999996</v>
      </c>
      <c r="Z1244">
        <f>ReconciliationData[[#This Row],[billed_revenue]]-ReconciliationData[[#This Row],[expected_revenue]]</f>
        <v>0</v>
      </c>
      <c r="AA12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44" t="str">
        <f>IF(ReconciliationData[[#This Row],[severity_score]]=0,"LOW",
 IF(ReconciliationData[[#This Row],[severity_score]]&lt;=5,"MEDIUM","HIGH"))</f>
        <v>LOW</v>
      </c>
      <c r="AC1244" t="str">
        <f>TEXT(ReconciliationData[[#This Row],[Order_Date]],"YYYY-MM")</f>
        <v>2023-07</v>
      </c>
    </row>
    <row r="1245" spans="1:29">
      <c r="A1245" t="s">
        <v>3548</v>
      </c>
      <c r="B1245" s="1">
        <v>45097</v>
      </c>
      <c r="C1245" t="s">
        <v>3148</v>
      </c>
      <c r="D1245" t="s">
        <v>1245</v>
      </c>
      <c r="E1245">
        <v>30</v>
      </c>
      <c r="F1245" t="s">
        <v>3549</v>
      </c>
      <c r="G1245">
        <v>30</v>
      </c>
      <c r="H1245">
        <v>247.48920000000001</v>
      </c>
      <c r="N1245">
        <v>247.48920000000001</v>
      </c>
      <c r="O1245" s="1">
        <v>45088</v>
      </c>
      <c r="P1245">
        <f>IF(ISBLANK(ReconciliationData[[#This Row],[Invoice_ID]]),1,0)</f>
        <v>0</v>
      </c>
      <c r="Q1245">
        <f>IF(AND(NOT(ISBLANK(ReconciliationData[[#This Row],[Billed_Units]])),ReconciliationData[[#This Row],[ordered_units]]&lt;&gt;ReconciliationData[[#This Row],[Billed_Units]]),1,0)</f>
        <v>0</v>
      </c>
      <c r="R12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5">
        <f>IF(AND(NOT(ISBLANK(ReconciliationData[[#This Row],[Contract_Price]])),ReconciliationData[[#This Row],[Billed_Price]]&lt;&gt;ReconciliationData[[#This Row],[Contract_Price]]),1,0)</f>
        <v>0</v>
      </c>
      <c r="T1245">
        <f>IF(AND(NOT(ISBLANK(ReconciliationData[[#This Row],[End_Date]])),ReconciliationData[[#This Row],[Order_Date]]&gt;ReconciliationData[[#This Row],[End_Date]]),1,0)</f>
        <v>0</v>
      </c>
      <c r="U1245">
        <f>IF(AND(NOT(ISBLANK(ReconciliationData[[#This Row],[last_return_date]])),ReconciliationData[[#This Row],[last_return_date]]&gt;ReconciliationData[[#This Row],[Order_Date]]+60),1,0)</f>
        <v>0</v>
      </c>
      <c r="V1245">
        <f>IF(ReconciliationData[[#This Row],[total_returned_units]]&gt;ReconciliationData[[#This Row],[ordered_units]],1,0)</f>
        <v>0</v>
      </c>
      <c r="W12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45">
        <f>ReconciliationData[[#This Row],[Billed_Units]]*ReconciliationData[[#This Row],[Billed_Price]]</f>
        <v>7424.6760000000004</v>
      </c>
      <c r="Y1245">
        <f>ReconciliationData[[#This Row],[ordered_units]]*ReconciliationData[[#This Row],[List_Price]]</f>
        <v>7424.6760000000004</v>
      </c>
      <c r="Z1245">
        <f>ReconciliationData[[#This Row],[billed_revenue]]-ReconciliationData[[#This Row],[expected_revenue]]</f>
        <v>0</v>
      </c>
      <c r="AA12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45" t="str">
        <f>IF(ReconciliationData[[#This Row],[severity_score]]=0,"LOW",
 IF(ReconciliationData[[#This Row],[severity_score]]&lt;=5,"MEDIUM","HIGH"))</f>
        <v>LOW</v>
      </c>
      <c r="AC1245" t="str">
        <f>TEXT(ReconciliationData[[#This Row],[Order_Date]],"YYYY-MM")</f>
        <v>2023-06</v>
      </c>
    </row>
    <row r="1246" spans="1:29">
      <c r="A1246" t="s">
        <v>3550</v>
      </c>
      <c r="B1246" s="1">
        <v>45437</v>
      </c>
      <c r="C1246" t="s">
        <v>603</v>
      </c>
      <c r="D1246" t="s">
        <v>2187</v>
      </c>
      <c r="E1246">
        <v>179</v>
      </c>
      <c r="F1246" t="s">
        <v>3551</v>
      </c>
      <c r="G1246">
        <v>179</v>
      </c>
      <c r="H1246">
        <v>223.6044</v>
      </c>
      <c r="N1246">
        <v>223.6044</v>
      </c>
      <c r="O1246" s="1">
        <v>45091</v>
      </c>
      <c r="P1246">
        <f>IF(ISBLANK(ReconciliationData[[#This Row],[Invoice_ID]]),1,0)</f>
        <v>0</v>
      </c>
      <c r="Q1246">
        <f>IF(AND(NOT(ISBLANK(ReconciliationData[[#This Row],[Billed_Units]])),ReconciliationData[[#This Row],[ordered_units]]&lt;&gt;ReconciliationData[[#This Row],[Billed_Units]]),1,0)</f>
        <v>0</v>
      </c>
      <c r="R12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6">
        <f>IF(AND(NOT(ISBLANK(ReconciliationData[[#This Row],[Contract_Price]])),ReconciliationData[[#This Row],[Billed_Price]]&lt;&gt;ReconciliationData[[#This Row],[Contract_Price]]),1,0)</f>
        <v>0</v>
      </c>
      <c r="T1246">
        <f>IF(AND(NOT(ISBLANK(ReconciliationData[[#This Row],[End_Date]])),ReconciliationData[[#This Row],[Order_Date]]&gt;ReconciliationData[[#This Row],[End_Date]]),1,0)</f>
        <v>0</v>
      </c>
      <c r="U1246">
        <f>IF(AND(NOT(ISBLANK(ReconciliationData[[#This Row],[last_return_date]])),ReconciliationData[[#This Row],[last_return_date]]&gt;ReconciliationData[[#This Row],[Order_Date]]+60),1,0)</f>
        <v>0</v>
      </c>
      <c r="V1246">
        <f>IF(ReconciliationData[[#This Row],[total_returned_units]]&gt;ReconciliationData[[#This Row],[ordered_units]],1,0)</f>
        <v>0</v>
      </c>
      <c r="W12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46">
        <f>ReconciliationData[[#This Row],[Billed_Units]]*ReconciliationData[[#This Row],[Billed_Price]]</f>
        <v>40025.187599999997</v>
      </c>
      <c r="Y1246">
        <f>ReconciliationData[[#This Row],[ordered_units]]*ReconciliationData[[#This Row],[List_Price]]</f>
        <v>40025.187599999997</v>
      </c>
      <c r="Z1246">
        <f>ReconciliationData[[#This Row],[billed_revenue]]-ReconciliationData[[#This Row],[expected_revenue]]</f>
        <v>0</v>
      </c>
      <c r="AA12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46" t="str">
        <f>IF(ReconciliationData[[#This Row],[severity_score]]=0,"LOW",
 IF(ReconciliationData[[#This Row],[severity_score]]&lt;=5,"MEDIUM","HIGH"))</f>
        <v>LOW</v>
      </c>
      <c r="AC1246" t="str">
        <f>TEXT(ReconciliationData[[#This Row],[Order_Date]],"YYYY-MM")</f>
        <v>2024-05</v>
      </c>
    </row>
    <row r="1247" spans="1:29">
      <c r="A1247" t="s">
        <v>3552</v>
      </c>
      <c r="B1247" s="1">
        <v>45347</v>
      </c>
      <c r="C1247" t="s">
        <v>3553</v>
      </c>
      <c r="D1247" t="s">
        <v>381</v>
      </c>
      <c r="E1247">
        <v>171</v>
      </c>
      <c r="F1247" t="s">
        <v>3554</v>
      </c>
      <c r="G1247">
        <v>171</v>
      </c>
      <c r="H1247">
        <v>942.54840000000013</v>
      </c>
      <c r="N1247">
        <v>942.54840000000013</v>
      </c>
      <c r="O1247" s="1">
        <v>45086</v>
      </c>
      <c r="P1247">
        <f>IF(ISBLANK(ReconciliationData[[#This Row],[Invoice_ID]]),1,0)</f>
        <v>0</v>
      </c>
      <c r="Q1247">
        <f>IF(AND(NOT(ISBLANK(ReconciliationData[[#This Row],[Billed_Units]])),ReconciliationData[[#This Row],[ordered_units]]&lt;&gt;ReconciliationData[[#This Row],[Billed_Units]]),1,0)</f>
        <v>0</v>
      </c>
      <c r="R12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7">
        <f>IF(AND(NOT(ISBLANK(ReconciliationData[[#This Row],[Contract_Price]])),ReconciliationData[[#This Row],[Billed_Price]]&lt;&gt;ReconciliationData[[#This Row],[Contract_Price]]),1,0)</f>
        <v>0</v>
      </c>
      <c r="T1247">
        <f>IF(AND(NOT(ISBLANK(ReconciliationData[[#This Row],[End_Date]])),ReconciliationData[[#This Row],[Order_Date]]&gt;ReconciliationData[[#This Row],[End_Date]]),1,0)</f>
        <v>0</v>
      </c>
      <c r="U1247">
        <f>IF(AND(NOT(ISBLANK(ReconciliationData[[#This Row],[last_return_date]])),ReconciliationData[[#This Row],[last_return_date]]&gt;ReconciliationData[[#This Row],[Order_Date]]+60),1,0)</f>
        <v>0</v>
      </c>
      <c r="V1247">
        <f>IF(ReconciliationData[[#This Row],[total_returned_units]]&gt;ReconciliationData[[#This Row],[ordered_units]],1,0)</f>
        <v>0</v>
      </c>
      <c r="W12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47">
        <f>ReconciliationData[[#This Row],[Billed_Units]]*ReconciliationData[[#This Row],[Billed_Price]]</f>
        <v>161175.77640000003</v>
      </c>
      <c r="Y1247">
        <f>ReconciliationData[[#This Row],[ordered_units]]*ReconciliationData[[#This Row],[List_Price]]</f>
        <v>161175.77640000003</v>
      </c>
      <c r="Z1247">
        <f>ReconciliationData[[#This Row],[billed_revenue]]-ReconciliationData[[#This Row],[expected_revenue]]</f>
        <v>0</v>
      </c>
      <c r="AA12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47" t="str">
        <f>IF(ReconciliationData[[#This Row],[severity_score]]=0,"LOW",
 IF(ReconciliationData[[#This Row],[severity_score]]&lt;=5,"MEDIUM","HIGH"))</f>
        <v>LOW</v>
      </c>
      <c r="AC1247" t="str">
        <f>TEXT(ReconciliationData[[#This Row],[Order_Date]],"YYYY-MM")</f>
        <v>2024-02</v>
      </c>
    </row>
    <row r="1248" spans="1:29">
      <c r="A1248" t="s">
        <v>3555</v>
      </c>
      <c r="B1248" s="1">
        <v>45419</v>
      </c>
      <c r="C1248" t="s">
        <v>2415</v>
      </c>
      <c r="D1248" t="s">
        <v>1273</v>
      </c>
      <c r="E1248">
        <v>55</v>
      </c>
      <c r="F1248" t="s">
        <v>3556</v>
      </c>
      <c r="G1248">
        <v>55</v>
      </c>
      <c r="H1248">
        <v>1030.7952</v>
      </c>
      <c r="N1248">
        <v>1030.7952</v>
      </c>
      <c r="O1248" s="1">
        <v>45154</v>
      </c>
      <c r="P1248">
        <f>IF(ISBLANK(ReconciliationData[[#This Row],[Invoice_ID]]),1,0)</f>
        <v>0</v>
      </c>
      <c r="Q1248">
        <f>IF(AND(NOT(ISBLANK(ReconciliationData[[#This Row],[Billed_Units]])),ReconciliationData[[#This Row],[ordered_units]]&lt;&gt;ReconciliationData[[#This Row],[Billed_Units]]),1,0)</f>
        <v>0</v>
      </c>
      <c r="R12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8">
        <f>IF(AND(NOT(ISBLANK(ReconciliationData[[#This Row],[Contract_Price]])),ReconciliationData[[#This Row],[Billed_Price]]&lt;&gt;ReconciliationData[[#This Row],[Contract_Price]]),1,0)</f>
        <v>0</v>
      </c>
      <c r="T1248">
        <f>IF(AND(NOT(ISBLANK(ReconciliationData[[#This Row],[End_Date]])),ReconciliationData[[#This Row],[Order_Date]]&gt;ReconciliationData[[#This Row],[End_Date]]),1,0)</f>
        <v>0</v>
      </c>
      <c r="U1248">
        <f>IF(AND(NOT(ISBLANK(ReconciliationData[[#This Row],[last_return_date]])),ReconciliationData[[#This Row],[last_return_date]]&gt;ReconciliationData[[#This Row],[Order_Date]]+60),1,0)</f>
        <v>0</v>
      </c>
      <c r="V1248">
        <f>IF(ReconciliationData[[#This Row],[total_returned_units]]&gt;ReconciliationData[[#This Row],[ordered_units]],1,0)</f>
        <v>0</v>
      </c>
      <c r="W12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48">
        <f>ReconciliationData[[#This Row],[Billed_Units]]*ReconciliationData[[#This Row],[Billed_Price]]</f>
        <v>56693.736000000004</v>
      </c>
      <c r="Y1248">
        <f>ReconciliationData[[#This Row],[ordered_units]]*ReconciliationData[[#This Row],[List_Price]]</f>
        <v>56693.736000000004</v>
      </c>
      <c r="Z1248">
        <f>ReconciliationData[[#This Row],[billed_revenue]]-ReconciliationData[[#This Row],[expected_revenue]]</f>
        <v>0</v>
      </c>
      <c r="AA12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48" t="str">
        <f>IF(ReconciliationData[[#This Row],[severity_score]]=0,"LOW",
 IF(ReconciliationData[[#This Row],[severity_score]]&lt;=5,"MEDIUM","HIGH"))</f>
        <v>LOW</v>
      </c>
      <c r="AC1248" t="str">
        <f>TEXT(ReconciliationData[[#This Row],[Order_Date]],"YYYY-MM")</f>
        <v>2024-05</v>
      </c>
    </row>
    <row r="1249" spans="1:29">
      <c r="A1249" t="s">
        <v>3557</v>
      </c>
      <c r="B1249" s="1">
        <v>45506</v>
      </c>
      <c r="C1249" t="s">
        <v>1244</v>
      </c>
      <c r="D1249" t="s">
        <v>1298</v>
      </c>
      <c r="E1249">
        <v>32</v>
      </c>
      <c r="F1249" t="s">
        <v>3558</v>
      </c>
      <c r="G1249">
        <v>32</v>
      </c>
      <c r="H1249">
        <v>1099.82</v>
      </c>
      <c r="N1249">
        <v>1099.82</v>
      </c>
      <c r="O1249" s="1">
        <v>44962</v>
      </c>
      <c r="P1249">
        <f>IF(ISBLANK(ReconciliationData[[#This Row],[Invoice_ID]]),1,0)</f>
        <v>0</v>
      </c>
      <c r="Q1249">
        <f>IF(AND(NOT(ISBLANK(ReconciliationData[[#This Row],[Billed_Units]])),ReconciliationData[[#This Row],[ordered_units]]&lt;&gt;ReconciliationData[[#This Row],[Billed_Units]]),1,0)</f>
        <v>0</v>
      </c>
      <c r="R12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49">
        <f>IF(AND(NOT(ISBLANK(ReconciliationData[[#This Row],[Contract_Price]])),ReconciliationData[[#This Row],[Billed_Price]]&lt;&gt;ReconciliationData[[#This Row],[Contract_Price]]),1,0)</f>
        <v>0</v>
      </c>
      <c r="T1249">
        <f>IF(AND(NOT(ISBLANK(ReconciliationData[[#This Row],[End_Date]])),ReconciliationData[[#This Row],[Order_Date]]&gt;ReconciliationData[[#This Row],[End_Date]]),1,0)</f>
        <v>0</v>
      </c>
      <c r="U1249">
        <f>IF(AND(NOT(ISBLANK(ReconciliationData[[#This Row],[last_return_date]])),ReconciliationData[[#This Row],[last_return_date]]&gt;ReconciliationData[[#This Row],[Order_Date]]+60),1,0)</f>
        <v>0</v>
      </c>
      <c r="V1249">
        <f>IF(ReconciliationData[[#This Row],[total_returned_units]]&gt;ReconciliationData[[#This Row],[ordered_units]],1,0)</f>
        <v>0</v>
      </c>
      <c r="W12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49">
        <f>ReconciliationData[[#This Row],[Billed_Units]]*ReconciliationData[[#This Row],[Billed_Price]]</f>
        <v>35194.239999999998</v>
      </c>
      <c r="Y1249">
        <f>ReconciliationData[[#This Row],[ordered_units]]*ReconciliationData[[#This Row],[List_Price]]</f>
        <v>35194.239999999998</v>
      </c>
      <c r="Z1249">
        <f>ReconciliationData[[#This Row],[billed_revenue]]-ReconciliationData[[#This Row],[expected_revenue]]</f>
        <v>0</v>
      </c>
      <c r="AA12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49" t="str">
        <f>IF(ReconciliationData[[#This Row],[severity_score]]=0,"LOW",
 IF(ReconciliationData[[#This Row],[severity_score]]&lt;=5,"MEDIUM","HIGH"))</f>
        <v>LOW</v>
      </c>
      <c r="AC1249" t="str">
        <f>TEXT(ReconciliationData[[#This Row],[Order_Date]],"YYYY-MM")</f>
        <v>2024-08</v>
      </c>
    </row>
    <row r="1250" spans="1:29">
      <c r="A1250" t="s">
        <v>3559</v>
      </c>
      <c r="B1250" s="1">
        <v>45416</v>
      </c>
      <c r="C1250" t="s">
        <v>1851</v>
      </c>
      <c r="D1250" t="s">
        <v>962</v>
      </c>
      <c r="E1250">
        <v>34</v>
      </c>
      <c r="F1250" t="s">
        <v>3560</v>
      </c>
      <c r="G1250">
        <v>34</v>
      </c>
      <c r="H1250">
        <v>709.52</v>
      </c>
      <c r="N1250">
        <v>709.52</v>
      </c>
      <c r="O1250" s="1">
        <v>44952</v>
      </c>
      <c r="P1250">
        <f>IF(ISBLANK(ReconciliationData[[#This Row],[Invoice_ID]]),1,0)</f>
        <v>0</v>
      </c>
      <c r="Q1250">
        <f>IF(AND(NOT(ISBLANK(ReconciliationData[[#This Row],[Billed_Units]])),ReconciliationData[[#This Row],[ordered_units]]&lt;&gt;ReconciliationData[[#This Row],[Billed_Units]]),1,0)</f>
        <v>0</v>
      </c>
      <c r="R12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50">
        <f>IF(AND(NOT(ISBLANK(ReconciliationData[[#This Row],[Contract_Price]])),ReconciliationData[[#This Row],[Billed_Price]]&lt;&gt;ReconciliationData[[#This Row],[Contract_Price]]),1,0)</f>
        <v>0</v>
      </c>
      <c r="T1250">
        <f>IF(AND(NOT(ISBLANK(ReconciliationData[[#This Row],[End_Date]])),ReconciliationData[[#This Row],[Order_Date]]&gt;ReconciliationData[[#This Row],[End_Date]]),1,0)</f>
        <v>0</v>
      </c>
      <c r="U1250">
        <f>IF(AND(NOT(ISBLANK(ReconciliationData[[#This Row],[last_return_date]])),ReconciliationData[[#This Row],[last_return_date]]&gt;ReconciliationData[[#This Row],[Order_Date]]+60),1,0)</f>
        <v>0</v>
      </c>
      <c r="V1250">
        <f>IF(ReconciliationData[[#This Row],[total_returned_units]]&gt;ReconciliationData[[#This Row],[ordered_units]],1,0)</f>
        <v>0</v>
      </c>
      <c r="W12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50">
        <f>ReconciliationData[[#This Row],[Billed_Units]]*ReconciliationData[[#This Row],[Billed_Price]]</f>
        <v>24123.68</v>
      </c>
      <c r="Y1250">
        <f>ReconciliationData[[#This Row],[ordered_units]]*ReconciliationData[[#This Row],[List_Price]]</f>
        <v>24123.68</v>
      </c>
      <c r="Z1250">
        <f>ReconciliationData[[#This Row],[billed_revenue]]-ReconciliationData[[#This Row],[expected_revenue]]</f>
        <v>0</v>
      </c>
      <c r="AA12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50" t="str">
        <f>IF(ReconciliationData[[#This Row],[severity_score]]=0,"LOW",
 IF(ReconciliationData[[#This Row],[severity_score]]&lt;=5,"MEDIUM","HIGH"))</f>
        <v>LOW</v>
      </c>
      <c r="AC1250" t="str">
        <f>TEXT(ReconciliationData[[#This Row],[Order_Date]],"YYYY-MM")</f>
        <v>2024-05</v>
      </c>
    </row>
    <row r="1251" spans="1:29">
      <c r="A1251" t="s">
        <v>3561</v>
      </c>
      <c r="B1251" s="1">
        <v>45046</v>
      </c>
      <c r="C1251" t="s">
        <v>3562</v>
      </c>
      <c r="D1251" t="s">
        <v>1339</v>
      </c>
      <c r="E1251">
        <v>50</v>
      </c>
      <c r="F1251" t="s">
        <v>3563</v>
      </c>
      <c r="G1251">
        <v>50</v>
      </c>
      <c r="H1251">
        <v>614.96820000000002</v>
      </c>
      <c r="N1251">
        <v>614.96820000000002</v>
      </c>
      <c r="O1251" s="1">
        <v>44984</v>
      </c>
      <c r="P1251">
        <f>IF(ISBLANK(ReconciliationData[[#This Row],[Invoice_ID]]),1,0)</f>
        <v>0</v>
      </c>
      <c r="Q1251">
        <f>IF(AND(NOT(ISBLANK(ReconciliationData[[#This Row],[Billed_Units]])),ReconciliationData[[#This Row],[ordered_units]]&lt;&gt;ReconciliationData[[#This Row],[Billed_Units]]),1,0)</f>
        <v>0</v>
      </c>
      <c r="R12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51">
        <f>IF(AND(NOT(ISBLANK(ReconciliationData[[#This Row],[Contract_Price]])),ReconciliationData[[#This Row],[Billed_Price]]&lt;&gt;ReconciliationData[[#This Row],[Contract_Price]]),1,0)</f>
        <v>0</v>
      </c>
      <c r="T1251">
        <f>IF(AND(NOT(ISBLANK(ReconciliationData[[#This Row],[End_Date]])),ReconciliationData[[#This Row],[Order_Date]]&gt;ReconciliationData[[#This Row],[End_Date]]),1,0)</f>
        <v>0</v>
      </c>
      <c r="U1251">
        <f>IF(AND(NOT(ISBLANK(ReconciliationData[[#This Row],[last_return_date]])),ReconciliationData[[#This Row],[last_return_date]]&gt;ReconciliationData[[#This Row],[Order_Date]]+60),1,0)</f>
        <v>0</v>
      </c>
      <c r="V1251">
        <f>IF(ReconciliationData[[#This Row],[total_returned_units]]&gt;ReconciliationData[[#This Row],[ordered_units]],1,0)</f>
        <v>0</v>
      </c>
      <c r="W12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51">
        <f>ReconciliationData[[#This Row],[Billed_Units]]*ReconciliationData[[#This Row],[Billed_Price]]</f>
        <v>30748.41</v>
      </c>
      <c r="Y1251">
        <f>ReconciliationData[[#This Row],[ordered_units]]*ReconciliationData[[#This Row],[List_Price]]</f>
        <v>30748.41</v>
      </c>
      <c r="Z1251">
        <f>ReconciliationData[[#This Row],[billed_revenue]]-ReconciliationData[[#This Row],[expected_revenue]]</f>
        <v>0</v>
      </c>
      <c r="AA12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51" t="str">
        <f>IF(ReconciliationData[[#This Row],[severity_score]]=0,"LOW",
 IF(ReconciliationData[[#This Row],[severity_score]]&lt;=5,"MEDIUM","HIGH"))</f>
        <v>LOW</v>
      </c>
      <c r="AC1251" t="str">
        <f>TEXT(ReconciliationData[[#This Row],[Order_Date]],"YYYY-MM")</f>
        <v>2023-04</v>
      </c>
    </row>
    <row r="1252" spans="1:29">
      <c r="A1252" t="s">
        <v>3564</v>
      </c>
      <c r="B1252" s="1">
        <v>45305</v>
      </c>
      <c r="C1252" t="s">
        <v>3565</v>
      </c>
      <c r="D1252" t="s">
        <v>768</v>
      </c>
      <c r="E1252">
        <v>147</v>
      </c>
      <c r="F1252" t="s">
        <v>3566</v>
      </c>
      <c r="G1252">
        <v>147</v>
      </c>
      <c r="H1252">
        <v>410.02</v>
      </c>
      <c r="N1252">
        <v>410.02</v>
      </c>
      <c r="O1252" s="1">
        <v>45017</v>
      </c>
      <c r="P1252">
        <f>IF(ISBLANK(ReconciliationData[[#This Row],[Invoice_ID]]),1,0)</f>
        <v>0</v>
      </c>
      <c r="Q1252">
        <f>IF(AND(NOT(ISBLANK(ReconciliationData[[#This Row],[Billed_Units]])),ReconciliationData[[#This Row],[ordered_units]]&lt;&gt;ReconciliationData[[#This Row],[Billed_Units]]),1,0)</f>
        <v>0</v>
      </c>
      <c r="R12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52">
        <f>IF(AND(NOT(ISBLANK(ReconciliationData[[#This Row],[Contract_Price]])),ReconciliationData[[#This Row],[Billed_Price]]&lt;&gt;ReconciliationData[[#This Row],[Contract_Price]]),1,0)</f>
        <v>0</v>
      </c>
      <c r="T1252">
        <f>IF(AND(NOT(ISBLANK(ReconciliationData[[#This Row],[End_Date]])),ReconciliationData[[#This Row],[Order_Date]]&gt;ReconciliationData[[#This Row],[End_Date]]),1,0)</f>
        <v>0</v>
      </c>
      <c r="U1252">
        <f>IF(AND(NOT(ISBLANK(ReconciliationData[[#This Row],[last_return_date]])),ReconciliationData[[#This Row],[last_return_date]]&gt;ReconciliationData[[#This Row],[Order_Date]]+60),1,0)</f>
        <v>0</v>
      </c>
      <c r="V1252">
        <f>IF(ReconciliationData[[#This Row],[total_returned_units]]&gt;ReconciliationData[[#This Row],[ordered_units]],1,0)</f>
        <v>0</v>
      </c>
      <c r="W12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52">
        <f>ReconciliationData[[#This Row],[Billed_Units]]*ReconciliationData[[#This Row],[Billed_Price]]</f>
        <v>60272.939999999995</v>
      </c>
      <c r="Y1252">
        <f>ReconciliationData[[#This Row],[ordered_units]]*ReconciliationData[[#This Row],[List_Price]]</f>
        <v>60272.939999999995</v>
      </c>
      <c r="Z1252">
        <f>ReconciliationData[[#This Row],[billed_revenue]]-ReconciliationData[[#This Row],[expected_revenue]]</f>
        <v>0</v>
      </c>
      <c r="AA12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52" t="str">
        <f>IF(ReconciliationData[[#This Row],[severity_score]]=0,"LOW",
 IF(ReconciliationData[[#This Row],[severity_score]]&lt;=5,"MEDIUM","HIGH"))</f>
        <v>LOW</v>
      </c>
      <c r="AC1252" t="str">
        <f>TEXT(ReconciliationData[[#This Row],[Order_Date]],"YYYY-MM")</f>
        <v>2024-01</v>
      </c>
    </row>
    <row r="1253" spans="1:29">
      <c r="A1253" t="s">
        <v>3567</v>
      </c>
      <c r="B1253" s="1">
        <v>44984</v>
      </c>
      <c r="C1253" t="s">
        <v>1815</v>
      </c>
      <c r="D1253" t="s">
        <v>522</v>
      </c>
      <c r="E1253">
        <v>169</v>
      </c>
      <c r="F1253" t="s">
        <v>3568</v>
      </c>
      <c r="G1253">
        <v>169</v>
      </c>
      <c r="H1253">
        <v>929.77200000000005</v>
      </c>
      <c r="N1253">
        <v>929.77200000000005</v>
      </c>
      <c r="O1253" s="1">
        <v>44887</v>
      </c>
      <c r="P1253">
        <f>IF(ISBLANK(ReconciliationData[[#This Row],[Invoice_ID]]),1,0)</f>
        <v>0</v>
      </c>
      <c r="Q1253">
        <f>IF(AND(NOT(ISBLANK(ReconciliationData[[#This Row],[Billed_Units]])),ReconciliationData[[#This Row],[ordered_units]]&lt;&gt;ReconciliationData[[#This Row],[Billed_Units]]),1,0)</f>
        <v>0</v>
      </c>
      <c r="R12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53">
        <f>IF(AND(NOT(ISBLANK(ReconciliationData[[#This Row],[Contract_Price]])),ReconciliationData[[#This Row],[Billed_Price]]&lt;&gt;ReconciliationData[[#This Row],[Contract_Price]]),1,0)</f>
        <v>0</v>
      </c>
      <c r="T1253">
        <f>IF(AND(NOT(ISBLANK(ReconciliationData[[#This Row],[End_Date]])),ReconciliationData[[#This Row],[Order_Date]]&gt;ReconciliationData[[#This Row],[End_Date]]),1,0)</f>
        <v>0</v>
      </c>
      <c r="U1253">
        <f>IF(AND(NOT(ISBLANK(ReconciliationData[[#This Row],[last_return_date]])),ReconciliationData[[#This Row],[last_return_date]]&gt;ReconciliationData[[#This Row],[Order_Date]]+60),1,0)</f>
        <v>0</v>
      </c>
      <c r="V1253">
        <f>IF(ReconciliationData[[#This Row],[total_returned_units]]&gt;ReconciliationData[[#This Row],[ordered_units]],1,0)</f>
        <v>0</v>
      </c>
      <c r="W12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53">
        <f>ReconciliationData[[#This Row],[Billed_Units]]*ReconciliationData[[#This Row],[Billed_Price]]</f>
        <v>157131.46800000002</v>
      </c>
      <c r="Y1253">
        <f>ReconciliationData[[#This Row],[ordered_units]]*ReconciliationData[[#This Row],[List_Price]]</f>
        <v>157131.46800000002</v>
      </c>
      <c r="Z1253">
        <f>ReconciliationData[[#This Row],[billed_revenue]]-ReconciliationData[[#This Row],[expected_revenue]]</f>
        <v>0</v>
      </c>
      <c r="AA12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53" t="str">
        <f>IF(ReconciliationData[[#This Row],[severity_score]]=0,"LOW",
 IF(ReconciliationData[[#This Row],[severity_score]]&lt;=5,"MEDIUM","HIGH"))</f>
        <v>LOW</v>
      </c>
      <c r="AC1253" t="str">
        <f>TEXT(ReconciliationData[[#This Row],[Order_Date]],"YYYY-MM")</f>
        <v>2023-02</v>
      </c>
    </row>
    <row r="1254" spans="1:29">
      <c r="A1254" t="s">
        <v>3569</v>
      </c>
      <c r="B1254" s="1">
        <v>45018</v>
      </c>
      <c r="C1254" t="s">
        <v>3570</v>
      </c>
      <c r="D1254" t="s">
        <v>1886</v>
      </c>
      <c r="E1254">
        <v>193</v>
      </c>
      <c r="F1254" t="s">
        <v>3571</v>
      </c>
      <c r="G1254">
        <v>193</v>
      </c>
      <c r="H1254">
        <v>1092.5376000000001</v>
      </c>
      <c r="N1254">
        <v>1092.5376000000001</v>
      </c>
      <c r="O1254" s="1">
        <v>44996</v>
      </c>
      <c r="P1254">
        <f>IF(ISBLANK(ReconciliationData[[#This Row],[Invoice_ID]]),1,0)</f>
        <v>0</v>
      </c>
      <c r="Q1254">
        <f>IF(AND(NOT(ISBLANK(ReconciliationData[[#This Row],[Billed_Units]])),ReconciliationData[[#This Row],[ordered_units]]&lt;&gt;ReconciliationData[[#This Row],[Billed_Units]]),1,0)</f>
        <v>0</v>
      </c>
      <c r="R12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54">
        <f>IF(AND(NOT(ISBLANK(ReconciliationData[[#This Row],[Contract_Price]])),ReconciliationData[[#This Row],[Billed_Price]]&lt;&gt;ReconciliationData[[#This Row],[Contract_Price]]),1,0)</f>
        <v>0</v>
      </c>
      <c r="T1254">
        <f>IF(AND(NOT(ISBLANK(ReconciliationData[[#This Row],[End_Date]])),ReconciliationData[[#This Row],[Order_Date]]&gt;ReconciliationData[[#This Row],[End_Date]]),1,0)</f>
        <v>0</v>
      </c>
      <c r="U1254">
        <f>IF(AND(NOT(ISBLANK(ReconciliationData[[#This Row],[last_return_date]])),ReconciliationData[[#This Row],[last_return_date]]&gt;ReconciliationData[[#This Row],[Order_Date]]+60),1,0)</f>
        <v>0</v>
      </c>
      <c r="V1254">
        <f>IF(ReconciliationData[[#This Row],[total_returned_units]]&gt;ReconciliationData[[#This Row],[ordered_units]],1,0)</f>
        <v>0</v>
      </c>
      <c r="W12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54">
        <f>ReconciliationData[[#This Row],[Billed_Units]]*ReconciliationData[[#This Row],[Billed_Price]]</f>
        <v>210859.75680000003</v>
      </c>
      <c r="Y1254">
        <f>ReconciliationData[[#This Row],[ordered_units]]*ReconciliationData[[#This Row],[List_Price]]</f>
        <v>210859.75680000003</v>
      </c>
      <c r="Z1254">
        <f>ReconciliationData[[#This Row],[billed_revenue]]-ReconciliationData[[#This Row],[expected_revenue]]</f>
        <v>0</v>
      </c>
      <c r="AA12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54" t="str">
        <f>IF(ReconciliationData[[#This Row],[severity_score]]=0,"LOW",
 IF(ReconciliationData[[#This Row],[severity_score]]&lt;=5,"MEDIUM","HIGH"))</f>
        <v>LOW</v>
      </c>
      <c r="AC1254" t="str">
        <f>TEXT(ReconciliationData[[#This Row],[Order_Date]],"YYYY-MM")</f>
        <v>2023-04</v>
      </c>
    </row>
    <row r="1255" spans="1:29">
      <c r="A1255" t="s">
        <v>3572</v>
      </c>
      <c r="B1255" s="1">
        <v>44987</v>
      </c>
      <c r="C1255" t="s">
        <v>1212</v>
      </c>
      <c r="D1255" t="s">
        <v>635</v>
      </c>
      <c r="E1255">
        <v>117</v>
      </c>
      <c r="F1255" t="s">
        <v>3573</v>
      </c>
      <c r="G1255">
        <v>117</v>
      </c>
      <c r="H1255">
        <v>951.54780000000005</v>
      </c>
      <c r="N1255">
        <v>951.54780000000005</v>
      </c>
      <c r="O1255" s="1">
        <v>44964</v>
      </c>
      <c r="P1255">
        <f>IF(ISBLANK(ReconciliationData[[#This Row],[Invoice_ID]]),1,0)</f>
        <v>0</v>
      </c>
      <c r="Q1255">
        <f>IF(AND(NOT(ISBLANK(ReconciliationData[[#This Row],[Billed_Units]])),ReconciliationData[[#This Row],[ordered_units]]&lt;&gt;ReconciliationData[[#This Row],[Billed_Units]]),1,0)</f>
        <v>0</v>
      </c>
      <c r="R12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55">
        <f>IF(AND(NOT(ISBLANK(ReconciliationData[[#This Row],[Contract_Price]])),ReconciliationData[[#This Row],[Billed_Price]]&lt;&gt;ReconciliationData[[#This Row],[Contract_Price]]),1,0)</f>
        <v>0</v>
      </c>
      <c r="T1255">
        <f>IF(AND(NOT(ISBLANK(ReconciliationData[[#This Row],[End_Date]])),ReconciliationData[[#This Row],[Order_Date]]&gt;ReconciliationData[[#This Row],[End_Date]]),1,0)</f>
        <v>0</v>
      </c>
      <c r="U1255">
        <f>IF(AND(NOT(ISBLANK(ReconciliationData[[#This Row],[last_return_date]])),ReconciliationData[[#This Row],[last_return_date]]&gt;ReconciliationData[[#This Row],[Order_Date]]+60),1,0)</f>
        <v>0</v>
      </c>
      <c r="V1255">
        <f>IF(ReconciliationData[[#This Row],[total_returned_units]]&gt;ReconciliationData[[#This Row],[ordered_units]],1,0)</f>
        <v>0</v>
      </c>
      <c r="W12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55">
        <f>ReconciliationData[[#This Row],[Billed_Units]]*ReconciliationData[[#This Row],[Billed_Price]]</f>
        <v>111331.0926</v>
      </c>
      <c r="Y1255">
        <f>ReconciliationData[[#This Row],[ordered_units]]*ReconciliationData[[#This Row],[List_Price]]</f>
        <v>111331.0926</v>
      </c>
      <c r="Z1255">
        <f>ReconciliationData[[#This Row],[billed_revenue]]-ReconciliationData[[#This Row],[expected_revenue]]</f>
        <v>0</v>
      </c>
      <c r="AA12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55" t="str">
        <f>IF(ReconciliationData[[#This Row],[severity_score]]=0,"LOW",
 IF(ReconciliationData[[#This Row],[severity_score]]&lt;=5,"MEDIUM","HIGH"))</f>
        <v>LOW</v>
      </c>
      <c r="AC1255" t="str">
        <f>TEXT(ReconciliationData[[#This Row],[Order_Date]],"YYYY-MM")</f>
        <v>2023-03</v>
      </c>
    </row>
    <row r="1256" spans="1:29">
      <c r="A1256" t="s">
        <v>3574</v>
      </c>
      <c r="B1256" s="1">
        <v>45485</v>
      </c>
      <c r="C1256" t="s">
        <v>3575</v>
      </c>
      <c r="D1256" t="s">
        <v>711</v>
      </c>
      <c r="E1256">
        <v>32</v>
      </c>
      <c r="F1256" t="s">
        <v>3576</v>
      </c>
      <c r="G1256">
        <v>32</v>
      </c>
      <c r="H1256">
        <v>405.98</v>
      </c>
      <c r="N1256">
        <v>405.98</v>
      </c>
      <c r="O1256" s="1">
        <v>45152</v>
      </c>
      <c r="P1256">
        <f>IF(ISBLANK(ReconciliationData[[#This Row],[Invoice_ID]]),1,0)</f>
        <v>0</v>
      </c>
      <c r="Q1256">
        <f>IF(AND(NOT(ISBLANK(ReconciliationData[[#This Row],[Billed_Units]])),ReconciliationData[[#This Row],[ordered_units]]&lt;&gt;ReconciliationData[[#This Row],[Billed_Units]]),1,0)</f>
        <v>0</v>
      </c>
      <c r="R12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56">
        <f>IF(AND(NOT(ISBLANK(ReconciliationData[[#This Row],[Contract_Price]])),ReconciliationData[[#This Row],[Billed_Price]]&lt;&gt;ReconciliationData[[#This Row],[Contract_Price]]),1,0)</f>
        <v>0</v>
      </c>
      <c r="T1256">
        <f>IF(AND(NOT(ISBLANK(ReconciliationData[[#This Row],[End_Date]])),ReconciliationData[[#This Row],[Order_Date]]&gt;ReconciliationData[[#This Row],[End_Date]]),1,0)</f>
        <v>0</v>
      </c>
      <c r="U1256">
        <f>IF(AND(NOT(ISBLANK(ReconciliationData[[#This Row],[last_return_date]])),ReconciliationData[[#This Row],[last_return_date]]&gt;ReconciliationData[[#This Row],[Order_Date]]+60),1,0)</f>
        <v>0</v>
      </c>
      <c r="V1256">
        <f>IF(ReconciliationData[[#This Row],[total_returned_units]]&gt;ReconciliationData[[#This Row],[ordered_units]],1,0)</f>
        <v>0</v>
      </c>
      <c r="W12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56">
        <f>ReconciliationData[[#This Row],[Billed_Units]]*ReconciliationData[[#This Row],[Billed_Price]]</f>
        <v>12991.36</v>
      </c>
      <c r="Y1256">
        <f>ReconciliationData[[#This Row],[ordered_units]]*ReconciliationData[[#This Row],[List_Price]]</f>
        <v>12991.36</v>
      </c>
      <c r="Z1256">
        <f>ReconciliationData[[#This Row],[billed_revenue]]-ReconciliationData[[#This Row],[expected_revenue]]</f>
        <v>0</v>
      </c>
      <c r="AA12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56" t="str">
        <f>IF(ReconciliationData[[#This Row],[severity_score]]=0,"LOW",
 IF(ReconciliationData[[#This Row],[severity_score]]&lt;=5,"MEDIUM","HIGH"))</f>
        <v>LOW</v>
      </c>
      <c r="AC1256" t="str">
        <f>TEXT(ReconciliationData[[#This Row],[Order_Date]],"YYYY-MM")</f>
        <v>2024-07</v>
      </c>
    </row>
    <row r="1257" spans="1:29">
      <c r="A1257" t="s">
        <v>3577</v>
      </c>
      <c r="B1257" s="1">
        <v>45090</v>
      </c>
      <c r="C1257" t="s">
        <v>2632</v>
      </c>
      <c r="D1257" t="s">
        <v>2045</v>
      </c>
      <c r="E1257">
        <v>103</v>
      </c>
      <c r="F1257" t="s">
        <v>3578</v>
      </c>
      <c r="G1257">
        <v>103</v>
      </c>
      <c r="H1257">
        <v>990.72749999999996</v>
      </c>
      <c r="N1257">
        <v>990.72749999999996</v>
      </c>
      <c r="O1257" s="1">
        <v>45068</v>
      </c>
      <c r="P1257">
        <f>IF(ISBLANK(ReconciliationData[[#This Row],[Invoice_ID]]),1,0)</f>
        <v>0</v>
      </c>
      <c r="Q1257">
        <f>IF(AND(NOT(ISBLANK(ReconciliationData[[#This Row],[Billed_Units]])),ReconciliationData[[#This Row],[ordered_units]]&lt;&gt;ReconciliationData[[#This Row],[Billed_Units]]),1,0)</f>
        <v>0</v>
      </c>
      <c r="R12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57">
        <f>IF(AND(NOT(ISBLANK(ReconciliationData[[#This Row],[Contract_Price]])),ReconciliationData[[#This Row],[Billed_Price]]&lt;&gt;ReconciliationData[[#This Row],[Contract_Price]]),1,0)</f>
        <v>0</v>
      </c>
      <c r="T1257">
        <f>IF(AND(NOT(ISBLANK(ReconciliationData[[#This Row],[End_Date]])),ReconciliationData[[#This Row],[Order_Date]]&gt;ReconciliationData[[#This Row],[End_Date]]),1,0)</f>
        <v>0</v>
      </c>
      <c r="U1257">
        <f>IF(AND(NOT(ISBLANK(ReconciliationData[[#This Row],[last_return_date]])),ReconciliationData[[#This Row],[last_return_date]]&gt;ReconciliationData[[#This Row],[Order_Date]]+60),1,0)</f>
        <v>0</v>
      </c>
      <c r="V1257">
        <f>IF(ReconciliationData[[#This Row],[total_returned_units]]&gt;ReconciliationData[[#This Row],[ordered_units]],1,0)</f>
        <v>0</v>
      </c>
      <c r="W12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57">
        <f>ReconciliationData[[#This Row],[Billed_Units]]*ReconciliationData[[#This Row],[Billed_Price]]</f>
        <v>102044.9325</v>
      </c>
      <c r="Y1257">
        <f>ReconciliationData[[#This Row],[ordered_units]]*ReconciliationData[[#This Row],[List_Price]]</f>
        <v>102044.9325</v>
      </c>
      <c r="Z1257">
        <f>ReconciliationData[[#This Row],[billed_revenue]]-ReconciliationData[[#This Row],[expected_revenue]]</f>
        <v>0</v>
      </c>
      <c r="AA12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57" t="str">
        <f>IF(ReconciliationData[[#This Row],[severity_score]]=0,"LOW",
 IF(ReconciliationData[[#This Row],[severity_score]]&lt;=5,"MEDIUM","HIGH"))</f>
        <v>LOW</v>
      </c>
      <c r="AC1257" t="str">
        <f>TEXT(ReconciliationData[[#This Row],[Order_Date]],"YYYY-MM")</f>
        <v>2023-06</v>
      </c>
    </row>
    <row r="1258" spans="1:29">
      <c r="A1258" t="s">
        <v>3579</v>
      </c>
      <c r="B1258" s="1">
        <v>45274</v>
      </c>
      <c r="C1258" t="s">
        <v>3580</v>
      </c>
      <c r="D1258" t="s">
        <v>1848</v>
      </c>
      <c r="E1258">
        <v>153</v>
      </c>
      <c r="F1258" t="s">
        <v>3581</v>
      </c>
      <c r="G1258">
        <v>153</v>
      </c>
      <c r="H1258">
        <v>92.962000000000003</v>
      </c>
      <c r="I1258">
        <v>17</v>
      </c>
      <c r="J1258" s="1">
        <v>45049</v>
      </c>
      <c r="N1258">
        <v>92.962000000000003</v>
      </c>
      <c r="O1258" s="1">
        <v>45151</v>
      </c>
      <c r="P1258">
        <f>IF(ISBLANK(ReconciliationData[[#This Row],[Invoice_ID]]),1,0)</f>
        <v>0</v>
      </c>
      <c r="Q1258">
        <f>IF(AND(NOT(ISBLANK(ReconciliationData[[#This Row],[Billed_Units]])),ReconciliationData[[#This Row],[ordered_units]]&lt;&gt;ReconciliationData[[#This Row],[Billed_Units]]),1,0)</f>
        <v>0</v>
      </c>
      <c r="R12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58">
        <f>IF(AND(NOT(ISBLANK(ReconciliationData[[#This Row],[Contract_Price]])),ReconciliationData[[#This Row],[Billed_Price]]&lt;&gt;ReconciliationData[[#This Row],[Contract_Price]]),1,0)</f>
        <v>0</v>
      </c>
      <c r="T1258">
        <f>IF(AND(NOT(ISBLANK(ReconciliationData[[#This Row],[End_Date]])),ReconciliationData[[#This Row],[Order_Date]]&gt;ReconciliationData[[#This Row],[End_Date]]),1,0)</f>
        <v>0</v>
      </c>
      <c r="U1258">
        <f>IF(AND(NOT(ISBLANK(ReconciliationData[[#This Row],[last_return_date]])),ReconciliationData[[#This Row],[last_return_date]]&gt;ReconciliationData[[#This Row],[Order_Date]]+60),1,0)</f>
        <v>0</v>
      </c>
      <c r="V1258">
        <f>IF(ReconciliationData[[#This Row],[total_returned_units]]&gt;ReconciliationData[[#This Row],[ordered_units]],1,0)</f>
        <v>0</v>
      </c>
      <c r="W12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58">
        <f>ReconciliationData[[#This Row],[Billed_Units]]*ReconciliationData[[#This Row],[Billed_Price]]</f>
        <v>14223.186</v>
      </c>
      <c r="Y1258">
        <f>ReconciliationData[[#This Row],[ordered_units]]*ReconciliationData[[#This Row],[List_Price]]</f>
        <v>14223.186</v>
      </c>
      <c r="Z1258">
        <f>ReconciliationData[[#This Row],[billed_revenue]]-ReconciliationData[[#This Row],[expected_revenue]]</f>
        <v>0</v>
      </c>
      <c r="AA12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58" t="str">
        <f>IF(ReconciliationData[[#This Row],[severity_score]]=0,"LOW",
 IF(ReconciliationData[[#This Row],[severity_score]]&lt;=5,"MEDIUM","HIGH"))</f>
        <v>LOW</v>
      </c>
      <c r="AC1258" t="str">
        <f>TEXT(ReconciliationData[[#This Row],[Order_Date]],"YYYY-MM")</f>
        <v>2023-12</v>
      </c>
    </row>
    <row r="1259" spans="1:29">
      <c r="A1259" t="s">
        <v>3582</v>
      </c>
      <c r="B1259" s="1">
        <v>45094</v>
      </c>
      <c r="C1259" t="s">
        <v>1811</v>
      </c>
      <c r="D1259" t="s">
        <v>457</v>
      </c>
      <c r="E1259">
        <v>60</v>
      </c>
      <c r="F1259" t="s">
        <v>3583</v>
      </c>
      <c r="G1259">
        <v>60</v>
      </c>
      <c r="H1259">
        <v>492.50794262596276</v>
      </c>
      <c r="N1259">
        <v>492.38400000000001</v>
      </c>
      <c r="O1259" s="1">
        <v>44966</v>
      </c>
      <c r="P1259">
        <f>IF(ISBLANK(ReconciliationData[[#This Row],[Invoice_ID]]),1,0)</f>
        <v>0</v>
      </c>
      <c r="Q1259">
        <f>IF(AND(NOT(ISBLANK(ReconciliationData[[#This Row],[Billed_Units]])),ReconciliationData[[#This Row],[ordered_units]]&lt;&gt;ReconciliationData[[#This Row],[Billed_Units]]),1,0)</f>
        <v>0</v>
      </c>
      <c r="R125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259">
        <f>IF(AND(NOT(ISBLANK(ReconciliationData[[#This Row],[Contract_Price]])),ReconciliationData[[#This Row],[Billed_Price]]&lt;&gt;ReconciliationData[[#This Row],[Contract_Price]]),1,0)</f>
        <v>0</v>
      </c>
      <c r="T1259">
        <f>IF(AND(NOT(ISBLANK(ReconciliationData[[#This Row],[End_Date]])),ReconciliationData[[#This Row],[Order_Date]]&gt;ReconciliationData[[#This Row],[End_Date]]),1,0)</f>
        <v>0</v>
      </c>
      <c r="U1259">
        <f>IF(AND(NOT(ISBLANK(ReconciliationData[[#This Row],[last_return_date]])),ReconciliationData[[#This Row],[last_return_date]]&gt;ReconciliationData[[#This Row],[Order_Date]]+60),1,0)</f>
        <v>0</v>
      </c>
      <c r="V1259">
        <f>IF(ReconciliationData[[#This Row],[total_returned_units]]&gt;ReconciliationData[[#This Row],[ordered_units]],1,0)</f>
        <v>0</v>
      </c>
      <c r="W12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59">
        <f>ReconciliationData[[#This Row],[Billed_Units]]*ReconciliationData[[#This Row],[Billed_Price]]</f>
        <v>29550.476557557766</v>
      </c>
      <c r="Y1259">
        <f>ReconciliationData[[#This Row],[ordered_units]]*ReconciliationData[[#This Row],[List_Price]]</f>
        <v>29543.040000000001</v>
      </c>
      <c r="Z1259">
        <f>ReconciliationData[[#This Row],[billed_revenue]]-ReconciliationData[[#This Row],[expected_revenue]]</f>
        <v>7.4365575577648997</v>
      </c>
      <c r="AA12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259" t="str">
        <f>IF(ReconciliationData[[#This Row],[severity_score]]=0,"LOW",
 IF(ReconciliationData[[#This Row],[severity_score]]&lt;=5,"MEDIUM","HIGH"))</f>
        <v>MEDIUM</v>
      </c>
      <c r="AC1259" t="str">
        <f>TEXT(ReconciliationData[[#This Row],[Order_Date]],"YYYY-MM")</f>
        <v>2023-06</v>
      </c>
    </row>
    <row r="1260" spans="1:29">
      <c r="A1260" t="s">
        <v>3584</v>
      </c>
      <c r="B1260" s="1">
        <v>45395</v>
      </c>
      <c r="C1260" t="s">
        <v>2320</v>
      </c>
      <c r="D1260" t="s">
        <v>573</v>
      </c>
      <c r="E1260">
        <v>118</v>
      </c>
      <c r="F1260" t="s">
        <v>3585</v>
      </c>
      <c r="G1260">
        <v>118</v>
      </c>
      <c r="H1260">
        <v>1223.9694</v>
      </c>
      <c r="N1260">
        <v>1223.9694</v>
      </c>
      <c r="O1260" s="1">
        <v>45154</v>
      </c>
      <c r="P1260">
        <f>IF(ISBLANK(ReconciliationData[[#This Row],[Invoice_ID]]),1,0)</f>
        <v>0</v>
      </c>
      <c r="Q1260">
        <f>IF(AND(NOT(ISBLANK(ReconciliationData[[#This Row],[Billed_Units]])),ReconciliationData[[#This Row],[ordered_units]]&lt;&gt;ReconciliationData[[#This Row],[Billed_Units]]),1,0)</f>
        <v>0</v>
      </c>
      <c r="R12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0">
        <f>IF(AND(NOT(ISBLANK(ReconciliationData[[#This Row],[Contract_Price]])),ReconciliationData[[#This Row],[Billed_Price]]&lt;&gt;ReconciliationData[[#This Row],[Contract_Price]]),1,0)</f>
        <v>0</v>
      </c>
      <c r="T1260">
        <f>IF(AND(NOT(ISBLANK(ReconciliationData[[#This Row],[End_Date]])),ReconciliationData[[#This Row],[Order_Date]]&gt;ReconciliationData[[#This Row],[End_Date]]),1,0)</f>
        <v>0</v>
      </c>
      <c r="U1260">
        <f>IF(AND(NOT(ISBLANK(ReconciliationData[[#This Row],[last_return_date]])),ReconciliationData[[#This Row],[last_return_date]]&gt;ReconciliationData[[#This Row],[Order_Date]]+60),1,0)</f>
        <v>0</v>
      </c>
      <c r="V1260">
        <f>IF(ReconciliationData[[#This Row],[total_returned_units]]&gt;ReconciliationData[[#This Row],[ordered_units]],1,0)</f>
        <v>0</v>
      </c>
      <c r="W12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60">
        <f>ReconciliationData[[#This Row],[Billed_Units]]*ReconciliationData[[#This Row],[Billed_Price]]</f>
        <v>144428.38920000001</v>
      </c>
      <c r="Y1260">
        <f>ReconciliationData[[#This Row],[ordered_units]]*ReconciliationData[[#This Row],[List_Price]]</f>
        <v>144428.38920000001</v>
      </c>
      <c r="Z1260">
        <f>ReconciliationData[[#This Row],[billed_revenue]]-ReconciliationData[[#This Row],[expected_revenue]]</f>
        <v>0</v>
      </c>
      <c r="AA12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60" t="str">
        <f>IF(ReconciliationData[[#This Row],[severity_score]]=0,"LOW",
 IF(ReconciliationData[[#This Row],[severity_score]]&lt;=5,"MEDIUM","HIGH"))</f>
        <v>LOW</v>
      </c>
      <c r="AC1260" t="str">
        <f>TEXT(ReconciliationData[[#This Row],[Order_Date]],"YYYY-MM")</f>
        <v>2024-04</v>
      </c>
    </row>
    <row r="1261" spans="1:29">
      <c r="A1261" t="s">
        <v>3586</v>
      </c>
      <c r="B1261" s="1">
        <v>45116</v>
      </c>
      <c r="C1261" t="s">
        <v>3304</v>
      </c>
      <c r="D1261" t="s">
        <v>1146</v>
      </c>
      <c r="E1261">
        <v>143</v>
      </c>
      <c r="F1261" t="s">
        <v>3587</v>
      </c>
      <c r="G1261">
        <v>143</v>
      </c>
      <c r="H1261">
        <v>427.43</v>
      </c>
      <c r="N1261">
        <v>427.43</v>
      </c>
      <c r="O1261" s="1">
        <v>45054</v>
      </c>
      <c r="P1261">
        <f>IF(ISBLANK(ReconciliationData[[#This Row],[Invoice_ID]]),1,0)</f>
        <v>0</v>
      </c>
      <c r="Q1261">
        <f>IF(AND(NOT(ISBLANK(ReconciliationData[[#This Row],[Billed_Units]])),ReconciliationData[[#This Row],[ordered_units]]&lt;&gt;ReconciliationData[[#This Row],[Billed_Units]]),1,0)</f>
        <v>0</v>
      </c>
      <c r="R12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1">
        <f>IF(AND(NOT(ISBLANK(ReconciliationData[[#This Row],[Contract_Price]])),ReconciliationData[[#This Row],[Billed_Price]]&lt;&gt;ReconciliationData[[#This Row],[Contract_Price]]),1,0)</f>
        <v>0</v>
      </c>
      <c r="T1261">
        <f>IF(AND(NOT(ISBLANK(ReconciliationData[[#This Row],[End_Date]])),ReconciliationData[[#This Row],[Order_Date]]&gt;ReconciliationData[[#This Row],[End_Date]]),1,0)</f>
        <v>0</v>
      </c>
      <c r="U1261">
        <f>IF(AND(NOT(ISBLANK(ReconciliationData[[#This Row],[last_return_date]])),ReconciliationData[[#This Row],[last_return_date]]&gt;ReconciliationData[[#This Row],[Order_Date]]+60),1,0)</f>
        <v>0</v>
      </c>
      <c r="V1261">
        <f>IF(ReconciliationData[[#This Row],[total_returned_units]]&gt;ReconciliationData[[#This Row],[ordered_units]],1,0)</f>
        <v>0</v>
      </c>
      <c r="W12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61">
        <f>ReconciliationData[[#This Row],[Billed_Units]]*ReconciliationData[[#This Row],[Billed_Price]]</f>
        <v>61122.49</v>
      </c>
      <c r="Y1261">
        <f>ReconciliationData[[#This Row],[ordered_units]]*ReconciliationData[[#This Row],[List_Price]]</f>
        <v>61122.49</v>
      </c>
      <c r="Z1261">
        <f>ReconciliationData[[#This Row],[billed_revenue]]-ReconciliationData[[#This Row],[expected_revenue]]</f>
        <v>0</v>
      </c>
      <c r="AA12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61" t="str">
        <f>IF(ReconciliationData[[#This Row],[severity_score]]=0,"LOW",
 IF(ReconciliationData[[#This Row],[severity_score]]&lt;=5,"MEDIUM","HIGH"))</f>
        <v>LOW</v>
      </c>
      <c r="AC1261" t="str">
        <f>TEXT(ReconciliationData[[#This Row],[Order_Date]],"YYYY-MM")</f>
        <v>2023-07</v>
      </c>
    </row>
    <row r="1262" spans="1:29">
      <c r="A1262" t="s">
        <v>3588</v>
      </c>
      <c r="B1262" s="1">
        <v>45425</v>
      </c>
      <c r="C1262" t="s">
        <v>3589</v>
      </c>
      <c r="D1262" t="s">
        <v>533</v>
      </c>
      <c r="E1262">
        <v>126</v>
      </c>
      <c r="F1262" t="s">
        <v>3590</v>
      </c>
      <c r="G1262">
        <v>126</v>
      </c>
      <c r="H1262">
        <v>833.73500000000001</v>
      </c>
      <c r="N1262">
        <v>833.73500000000001</v>
      </c>
      <c r="O1262" s="1">
        <v>45167</v>
      </c>
      <c r="P1262">
        <f>IF(ISBLANK(ReconciliationData[[#This Row],[Invoice_ID]]),1,0)</f>
        <v>0</v>
      </c>
      <c r="Q1262">
        <f>IF(AND(NOT(ISBLANK(ReconciliationData[[#This Row],[Billed_Units]])),ReconciliationData[[#This Row],[ordered_units]]&lt;&gt;ReconciliationData[[#This Row],[Billed_Units]]),1,0)</f>
        <v>0</v>
      </c>
      <c r="R12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2">
        <f>IF(AND(NOT(ISBLANK(ReconciliationData[[#This Row],[Contract_Price]])),ReconciliationData[[#This Row],[Billed_Price]]&lt;&gt;ReconciliationData[[#This Row],[Contract_Price]]),1,0)</f>
        <v>0</v>
      </c>
      <c r="T1262">
        <f>IF(AND(NOT(ISBLANK(ReconciliationData[[#This Row],[End_Date]])),ReconciliationData[[#This Row],[Order_Date]]&gt;ReconciliationData[[#This Row],[End_Date]]),1,0)</f>
        <v>0</v>
      </c>
      <c r="U1262">
        <f>IF(AND(NOT(ISBLANK(ReconciliationData[[#This Row],[last_return_date]])),ReconciliationData[[#This Row],[last_return_date]]&gt;ReconciliationData[[#This Row],[Order_Date]]+60),1,0)</f>
        <v>0</v>
      </c>
      <c r="V1262">
        <f>IF(ReconciliationData[[#This Row],[total_returned_units]]&gt;ReconciliationData[[#This Row],[ordered_units]],1,0)</f>
        <v>0</v>
      </c>
      <c r="W12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62">
        <f>ReconciliationData[[#This Row],[Billed_Units]]*ReconciliationData[[#This Row],[Billed_Price]]</f>
        <v>105050.61</v>
      </c>
      <c r="Y1262">
        <f>ReconciliationData[[#This Row],[ordered_units]]*ReconciliationData[[#This Row],[List_Price]]</f>
        <v>105050.61</v>
      </c>
      <c r="Z1262">
        <f>ReconciliationData[[#This Row],[billed_revenue]]-ReconciliationData[[#This Row],[expected_revenue]]</f>
        <v>0</v>
      </c>
      <c r="AA12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62" t="str">
        <f>IF(ReconciliationData[[#This Row],[severity_score]]=0,"LOW",
 IF(ReconciliationData[[#This Row],[severity_score]]&lt;=5,"MEDIUM","HIGH"))</f>
        <v>LOW</v>
      </c>
      <c r="AC1262" t="str">
        <f>TEXT(ReconciliationData[[#This Row],[Order_Date]],"YYYY-MM")</f>
        <v>2024-05</v>
      </c>
    </row>
    <row r="1263" spans="1:29">
      <c r="A1263" t="s">
        <v>3591</v>
      </c>
      <c r="B1263" s="1">
        <v>44947</v>
      </c>
      <c r="C1263" t="s">
        <v>336</v>
      </c>
      <c r="D1263" t="s">
        <v>867</v>
      </c>
      <c r="E1263">
        <v>188</v>
      </c>
      <c r="F1263" t="s">
        <v>3592</v>
      </c>
      <c r="G1263">
        <v>188</v>
      </c>
      <c r="H1263">
        <v>1146.7456000000002</v>
      </c>
      <c r="N1263">
        <v>1146.7456000000002</v>
      </c>
      <c r="O1263" s="1">
        <v>44884</v>
      </c>
      <c r="P1263">
        <f>IF(ISBLANK(ReconciliationData[[#This Row],[Invoice_ID]]),1,0)</f>
        <v>0</v>
      </c>
      <c r="Q1263">
        <f>IF(AND(NOT(ISBLANK(ReconciliationData[[#This Row],[Billed_Units]])),ReconciliationData[[#This Row],[ordered_units]]&lt;&gt;ReconciliationData[[#This Row],[Billed_Units]]),1,0)</f>
        <v>0</v>
      </c>
      <c r="R12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3">
        <f>IF(AND(NOT(ISBLANK(ReconciliationData[[#This Row],[Contract_Price]])),ReconciliationData[[#This Row],[Billed_Price]]&lt;&gt;ReconciliationData[[#This Row],[Contract_Price]]),1,0)</f>
        <v>0</v>
      </c>
      <c r="T1263">
        <f>IF(AND(NOT(ISBLANK(ReconciliationData[[#This Row],[End_Date]])),ReconciliationData[[#This Row],[Order_Date]]&gt;ReconciliationData[[#This Row],[End_Date]]),1,0)</f>
        <v>0</v>
      </c>
      <c r="U1263">
        <f>IF(AND(NOT(ISBLANK(ReconciliationData[[#This Row],[last_return_date]])),ReconciliationData[[#This Row],[last_return_date]]&gt;ReconciliationData[[#This Row],[Order_Date]]+60),1,0)</f>
        <v>0</v>
      </c>
      <c r="V1263">
        <f>IF(ReconciliationData[[#This Row],[total_returned_units]]&gt;ReconciliationData[[#This Row],[ordered_units]],1,0)</f>
        <v>0</v>
      </c>
      <c r="W12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63">
        <f>ReconciliationData[[#This Row],[Billed_Units]]*ReconciliationData[[#This Row],[Billed_Price]]</f>
        <v>215588.17280000003</v>
      </c>
      <c r="Y1263">
        <f>ReconciliationData[[#This Row],[ordered_units]]*ReconciliationData[[#This Row],[List_Price]]</f>
        <v>215588.17280000003</v>
      </c>
      <c r="Z1263">
        <f>ReconciliationData[[#This Row],[billed_revenue]]-ReconciliationData[[#This Row],[expected_revenue]]</f>
        <v>0</v>
      </c>
      <c r="AA12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63" t="str">
        <f>IF(ReconciliationData[[#This Row],[severity_score]]=0,"LOW",
 IF(ReconciliationData[[#This Row],[severity_score]]&lt;=5,"MEDIUM","HIGH"))</f>
        <v>LOW</v>
      </c>
      <c r="AC1263" t="str">
        <f>TEXT(ReconciliationData[[#This Row],[Order_Date]],"YYYY-MM")</f>
        <v>2023-01</v>
      </c>
    </row>
    <row r="1264" spans="1:29">
      <c r="A1264" t="s">
        <v>3593</v>
      </c>
      <c r="B1264" s="1">
        <v>45535</v>
      </c>
      <c r="C1264" t="s">
        <v>1070</v>
      </c>
      <c r="D1264" t="s">
        <v>512</v>
      </c>
      <c r="E1264">
        <v>105</v>
      </c>
      <c r="F1264" t="s">
        <v>3594</v>
      </c>
      <c r="G1264">
        <v>105</v>
      </c>
      <c r="H1264">
        <v>211.68960000000001</v>
      </c>
      <c r="N1264">
        <v>211.68960000000001</v>
      </c>
      <c r="O1264" s="1">
        <v>45129</v>
      </c>
      <c r="P1264">
        <f>IF(ISBLANK(ReconciliationData[[#This Row],[Invoice_ID]]),1,0)</f>
        <v>0</v>
      </c>
      <c r="Q1264">
        <f>IF(AND(NOT(ISBLANK(ReconciliationData[[#This Row],[Billed_Units]])),ReconciliationData[[#This Row],[ordered_units]]&lt;&gt;ReconciliationData[[#This Row],[Billed_Units]]),1,0)</f>
        <v>0</v>
      </c>
      <c r="R12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4">
        <f>IF(AND(NOT(ISBLANK(ReconciliationData[[#This Row],[Contract_Price]])),ReconciliationData[[#This Row],[Billed_Price]]&lt;&gt;ReconciliationData[[#This Row],[Contract_Price]]),1,0)</f>
        <v>0</v>
      </c>
      <c r="T1264">
        <f>IF(AND(NOT(ISBLANK(ReconciliationData[[#This Row],[End_Date]])),ReconciliationData[[#This Row],[Order_Date]]&gt;ReconciliationData[[#This Row],[End_Date]]),1,0)</f>
        <v>0</v>
      </c>
      <c r="U1264">
        <f>IF(AND(NOT(ISBLANK(ReconciliationData[[#This Row],[last_return_date]])),ReconciliationData[[#This Row],[last_return_date]]&gt;ReconciliationData[[#This Row],[Order_Date]]+60),1,0)</f>
        <v>0</v>
      </c>
      <c r="V1264">
        <f>IF(ReconciliationData[[#This Row],[total_returned_units]]&gt;ReconciliationData[[#This Row],[ordered_units]],1,0)</f>
        <v>0</v>
      </c>
      <c r="W12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64">
        <f>ReconciliationData[[#This Row],[Billed_Units]]*ReconciliationData[[#This Row],[Billed_Price]]</f>
        <v>22227.408000000003</v>
      </c>
      <c r="Y1264">
        <f>ReconciliationData[[#This Row],[ordered_units]]*ReconciliationData[[#This Row],[List_Price]]</f>
        <v>22227.408000000003</v>
      </c>
      <c r="Z1264">
        <f>ReconciliationData[[#This Row],[billed_revenue]]-ReconciliationData[[#This Row],[expected_revenue]]</f>
        <v>0</v>
      </c>
      <c r="AA12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64" t="str">
        <f>IF(ReconciliationData[[#This Row],[severity_score]]=0,"LOW",
 IF(ReconciliationData[[#This Row],[severity_score]]&lt;=5,"MEDIUM","HIGH"))</f>
        <v>LOW</v>
      </c>
      <c r="AC1264" t="str">
        <f>TEXT(ReconciliationData[[#This Row],[Order_Date]],"YYYY-MM")</f>
        <v>2024-08</v>
      </c>
    </row>
    <row r="1265" spans="1:29">
      <c r="A1265" t="s">
        <v>3595</v>
      </c>
      <c r="B1265" s="1">
        <v>45187</v>
      </c>
      <c r="C1265" t="s">
        <v>897</v>
      </c>
      <c r="D1265" t="s">
        <v>1706</v>
      </c>
      <c r="E1265">
        <v>126</v>
      </c>
      <c r="F1265" t="s">
        <v>3596</v>
      </c>
      <c r="G1265">
        <v>126</v>
      </c>
      <c r="H1265">
        <v>854.74350000000004</v>
      </c>
      <c r="N1265">
        <v>854.74350000000004</v>
      </c>
      <c r="O1265" s="1">
        <v>44984</v>
      </c>
      <c r="P1265">
        <f>IF(ISBLANK(ReconciliationData[[#This Row],[Invoice_ID]]),1,0)</f>
        <v>0</v>
      </c>
      <c r="Q1265">
        <f>IF(AND(NOT(ISBLANK(ReconciliationData[[#This Row],[Billed_Units]])),ReconciliationData[[#This Row],[ordered_units]]&lt;&gt;ReconciliationData[[#This Row],[Billed_Units]]),1,0)</f>
        <v>0</v>
      </c>
      <c r="R12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5">
        <f>IF(AND(NOT(ISBLANK(ReconciliationData[[#This Row],[Contract_Price]])),ReconciliationData[[#This Row],[Billed_Price]]&lt;&gt;ReconciliationData[[#This Row],[Contract_Price]]),1,0)</f>
        <v>0</v>
      </c>
      <c r="T1265">
        <f>IF(AND(NOT(ISBLANK(ReconciliationData[[#This Row],[End_Date]])),ReconciliationData[[#This Row],[Order_Date]]&gt;ReconciliationData[[#This Row],[End_Date]]),1,0)</f>
        <v>0</v>
      </c>
      <c r="U1265">
        <f>IF(AND(NOT(ISBLANK(ReconciliationData[[#This Row],[last_return_date]])),ReconciliationData[[#This Row],[last_return_date]]&gt;ReconciliationData[[#This Row],[Order_Date]]+60),1,0)</f>
        <v>0</v>
      </c>
      <c r="V1265">
        <f>IF(ReconciliationData[[#This Row],[total_returned_units]]&gt;ReconciliationData[[#This Row],[ordered_units]],1,0)</f>
        <v>0</v>
      </c>
      <c r="W12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65">
        <f>ReconciliationData[[#This Row],[Billed_Units]]*ReconciliationData[[#This Row],[Billed_Price]]</f>
        <v>107697.68100000001</v>
      </c>
      <c r="Y1265">
        <f>ReconciliationData[[#This Row],[ordered_units]]*ReconciliationData[[#This Row],[List_Price]]</f>
        <v>107697.68100000001</v>
      </c>
      <c r="Z1265">
        <f>ReconciliationData[[#This Row],[billed_revenue]]-ReconciliationData[[#This Row],[expected_revenue]]</f>
        <v>0</v>
      </c>
      <c r="AA12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65" t="str">
        <f>IF(ReconciliationData[[#This Row],[severity_score]]=0,"LOW",
 IF(ReconciliationData[[#This Row],[severity_score]]&lt;=5,"MEDIUM","HIGH"))</f>
        <v>LOW</v>
      </c>
      <c r="AC1265" t="str">
        <f>TEXT(ReconciliationData[[#This Row],[Order_Date]],"YYYY-MM")</f>
        <v>2023-09</v>
      </c>
    </row>
    <row r="1266" spans="1:29">
      <c r="A1266" t="s">
        <v>3597</v>
      </c>
      <c r="B1266" s="1">
        <v>45389</v>
      </c>
      <c r="C1266" t="s">
        <v>1135</v>
      </c>
      <c r="D1266" t="s">
        <v>349</v>
      </c>
      <c r="E1266">
        <v>165</v>
      </c>
      <c r="F1266" t="s">
        <v>3598</v>
      </c>
      <c r="G1266">
        <v>165</v>
      </c>
      <c r="H1266">
        <v>61.845300000000002</v>
      </c>
      <c r="N1266">
        <v>61.845300000000002</v>
      </c>
      <c r="O1266" s="1">
        <v>45226</v>
      </c>
      <c r="P1266">
        <f>IF(ISBLANK(ReconciliationData[[#This Row],[Invoice_ID]]),1,0)</f>
        <v>0</v>
      </c>
      <c r="Q1266">
        <f>IF(AND(NOT(ISBLANK(ReconciliationData[[#This Row],[Billed_Units]])),ReconciliationData[[#This Row],[ordered_units]]&lt;&gt;ReconciliationData[[#This Row],[Billed_Units]]),1,0)</f>
        <v>0</v>
      </c>
      <c r="R12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6">
        <f>IF(AND(NOT(ISBLANK(ReconciliationData[[#This Row],[Contract_Price]])),ReconciliationData[[#This Row],[Billed_Price]]&lt;&gt;ReconciliationData[[#This Row],[Contract_Price]]),1,0)</f>
        <v>0</v>
      </c>
      <c r="T1266">
        <f>IF(AND(NOT(ISBLANK(ReconciliationData[[#This Row],[End_Date]])),ReconciliationData[[#This Row],[Order_Date]]&gt;ReconciliationData[[#This Row],[End_Date]]),1,0)</f>
        <v>0</v>
      </c>
      <c r="U1266">
        <f>IF(AND(NOT(ISBLANK(ReconciliationData[[#This Row],[last_return_date]])),ReconciliationData[[#This Row],[last_return_date]]&gt;ReconciliationData[[#This Row],[Order_Date]]+60),1,0)</f>
        <v>0</v>
      </c>
      <c r="V1266">
        <f>IF(ReconciliationData[[#This Row],[total_returned_units]]&gt;ReconciliationData[[#This Row],[ordered_units]],1,0)</f>
        <v>0</v>
      </c>
      <c r="W12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66">
        <f>ReconciliationData[[#This Row],[Billed_Units]]*ReconciliationData[[#This Row],[Billed_Price]]</f>
        <v>10204.4745</v>
      </c>
      <c r="Y1266">
        <f>ReconciliationData[[#This Row],[ordered_units]]*ReconciliationData[[#This Row],[List_Price]]</f>
        <v>10204.4745</v>
      </c>
      <c r="Z1266">
        <f>ReconciliationData[[#This Row],[billed_revenue]]-ReconciliationData[[#This Row],[expected_revenue]]</f>
        <v>0</v>
      </c>
      <c r="AA12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66" t="str">
        <f>IF(ReconciliationData[[#This Row],[severity_score]]=0,"LOW",
 IF(ReconciliationData[[#This Row],[severity_score]]&lt;=5,"MEDIUM","HIGH"))</f>
        <v>LOW</v>
      </c>
      <c r="AC1266" t="str">
        <f>TEXT(ReconciliationData[[#This Row],[Order_Date]],"YYYY-MM")</f>
        <v>2024-04</v>
      </c>
    </row>
    <row r="1267" spans="1:29">
      <c r="A1267" t="s">
        <v>3599</v>
      </c>
      <c r="B1267" s="1">
        <v>45425</v>
      </c>
      <c r="C1267" t="s">
        <v>3157</v>
      </c>
      <c r="D1267" t="s">
        <v>1057</v>
      </c>
      <c r="E1267">
        <v>169</v>
      </c>
      <c r="F1267" t="s">
        <v>3600</v>
      </c>
      <c r="G1267">
        <v>169</v>
      </c>
      <c r="H1267">
        <v>212.07900000000001</v>
      </c>
      <c r="I1267">
        <v>5</v>
      </c>
      <c r="J1267" s="1">
        <v>45599</v>
      </c>
      <c r="N1267">
        <v>212.07900000000001</v>
      </c>
      <c r="O1267" s="1">
        <v>45057</v>
      </c>
      <c r="P1267">
        <f>IF(ISBLANK(ReconciliationData[[#This Row],[Invoice_ID]]),1,0)</f>
        <v>0</v>
      </c>
      <c r="Q1267">
        <f>IF(AND(NOT(ISBLANK(ReconciliationData[[#This Row],[Billed_Units]])),ReconciliationData[[#This Row],[ordered_units]]&lt;&gt;ReconciliationData[[#This Row],[Billed_Units]]),1,0)</f>
        <v>0</v>
      </c>
      <c r="R12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7">
        <f>IF(AND(NOT(ISBLANK(ReconciliationData[[#This Row],[Contract_Price]])),ReconciliationData[[#This Row],[Billed_Price]]&lt;&gt;ReconciliationData[[#This Row],[Contract_Price]]),1,0)</f>
        <v>0</v>
      </c>
      <c r="T1267">
        <f>IF(AND(NOT(ISBLANK(ReconciliationData[[#This Row],[End_Date]])),ReconciliationData[[#This Row],[Order_Date]]&gt;ReconciliationData[[#This Row],[End_Date]]),1,0)</f>
        <v>0</v>
      </c>
      <c r="U1267">
        <f>IF(AND(NOT(ISBLANK(ReconciliationData[[#This Row],[last_return_date]])),ReconciliationData[[#This Row],[last_return_date]]&gt;ReconciliationData[[#This Row],[Order_Date]]+60),1,0)</f>
        <v>1</v>
      </c>
      <c r="V1267">
        <f>IF(ReconciliationData[[#This Row],[total_returned_units]]&gt;ReconciliationData[[#This Row],[ordered_units]],1,0)</f>
        <v>0</v>
      </c>
      <c r="W12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67">
        <f>ReconciliationData[[#This Row],[Billed_Units]]*ReconciliationData[[#This Row],[Billed_Price]]</f>
        <v>35841.351000000002</v>
      </c>
      <c r="Y1267">
        <f>ReconciliationData[[#This Row],[ordered_units]]*ReconciliationData[[#This Row],[List_Price]]</f>
        <v>35841.351000000002</v>
      </c>
      <c r="Z1267">
        <f>ReconciliationData[[#This Row],[billed_revenue]]-ReconciliationData[[#This Row],[expected_revenue]]</f>
        <v>0</v>
      </c>
      <c r="AA12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267" t="str">
        <f>IF(ReconciliationData[[#This Row],[severity_score]]=0,"LOW",
 IF(ReconciliationData[[#This Row],[severity_score]]&lt;=5,"MEDIUM","HIGH"))</f>
        <v>MEDIUM</v>
      </c>
      <c r="AC1267" t="str">
        <f>TEXT(ReconciliationData[[#This Row],[Order_Date]],"YYYY-MM")</f>
        <v>2024-05</v>
      </c>
    </row>
    <row r="1268" spans="1:29">
      <c r="A1268" t="s">
        <v>3601</v>
      </c>
      <c r="B1268" s="1">
        <v>45274</v>
      </c>
      <c r="C1268" t="s">
        <v>680</v>
      </c>
      <c r="D1268" t="s">
        <v>1273</v>
      </c>
      <c r="E1268">
        <v>89</v>
      </c>
      <c r="F1268" t="s">
        <v>3602</v>
      </c>
      <c r="G1268">
        <v>89</v>
      </c>
      <c r="H1268">
        <v>1030.7952</v>
      </c>
      <c r="I1268">
        <v>15</v>
      </c>
      <c r="J1268" s="1">
        <v>45675</v>
      </c>
      <c r="N1268">
        <v>1030.7952</v>
      </c>
      <c r="O1268" s="1">
        <v>45154</v>
      </c>
      <c r="P1268">
        <f>IF(ISBLANK(ReconciliationData[[#This Row],[Invoice_ID]]),1,0)</f>
        <v>0</v>
      </c>
      <c r="Q1268">
        <f>IF(AND(NOT(ISBLANK(ReconciliationData[[#This Row],[Billed_Units]])),ReconciliationData[[#This Row],[ordered_units]]&lt;&gt;ReconciliationData[[#This Row],[Billed_Units]]),1,0)</f>
        <v>0</v>
      </c>
      <c r="R12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8">
        <f>IF(AND(NOT(ISBLANK(ReconciliationData[[#This Row],[Contract_Price]])),ReconciliationData[[#This Row],[Billed_Price]]&lt;&gt;ReconciliationData[[#This Row],[Contract_Price]]),1,0)</f>
        <v>0</v>
      </c>
      <c r="T1268">
        <f>IF(AND(NOT(ISBLANK(ReconciliationData[[#This Row],[End_Date]])),ReconciliationData[[#This Row],[Order_Date]]&gt;ReconciliationData[[#This Row],[End_Date]]),1,0)</f>
        <v>0</v>
      </c>
      <c r="U1268">
        <f>IF(AND(NOT(ISBLANK(ReconciliationData[[#This Row],[last_return_date]])),ReconciliationData[[#This Row],[last_return_date]]&gt;ReconciliationData[[#This Row],[Order_Date]]+60),1,0)</f>
        <v>1</v>
      </c>
      <c r="V1268">
        <f>IF(ReconciliationData[[#This Row],[total_returned_units]]&gt;ReconciliationData[[#This Row],[ordered_units]],1,0)</f>
        <v>0</v>
      </c>
      <c r="W12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68">
        <f>ReconciliationData[[#This Row],[Billed_Units]]*ReconciliationData[[#This Row],[Billed_Price]]</f>
        <v>91740.772800000006</v>
      </c>
      <c r="Y1268">
        <f>ReconciliationData[[#This Row],[ordered_units]]*ReconciliationData[[#This Row],[List_Price]]</f>
        <v>91740.772800000006</v>
      </c>
      <c r="Z1268">
        <f>ReconciliationData[[#This Row],[billed_revenue]]-ReconciliationData[[#This Row],[expected_revenue]]</f>
        <v>0</v>
      </c>
      <c r="AA12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268" t="str">
        <f>IF(ReconciliationData[[#This Row],[severity_score]]=0,"LOW",
 IF(ReconciliationData[[#This Row],[severity_score]]&lt;=5,"MEDIUM","HIGH"))</f>
        <v>MEDIUM</v>
      </c>
      <c r="AC1268" t="str">
        <f>TEXT(ReconciliationData[[#This Row],[Order_Date]],"YYYY-MM")</f>
        <v>2023-12</v>
      </c>
    </row>
    <row r="1269" spans="1:29">
      <c r="A1269" t="s">
        <v>3603</v>
      </c>
      <c r="B1269" s="1">
        <v>45097</v>
      </c>
      <c r="C1269" t="s">
        <v>3604</v>
      </c>
      <c r="D1269" t="s">
        <v>227</v>
      </c>
      <c r="E1269">
        <v>99</v>
      </c>
      <c r="F1269" t="s">
        <v>3605</v>
      </c>
      <c r="G1269">
        <v>99</v>
      </c>
      <c r="H1269">
        <v>671.91280000000006</v>
      </c>
      <c r="N1269">
        <v>671.91280000000006</v>
      </c>
      <c r="O1269" s="1">
        <v>44995</v>
      </c>
      <c r="P1269">
        <f>IF(ISBLANK(ReconciliationData[[#This Row],[Invoice_ID]]),1,0)</f>
        <v>0</v>
      </c>
      <c r="Q1269">
        <f>IF(AND(NOT(ISBLANK(ReconciliationData[[#This Row],[Billed_Units]])),ReconciliationData[[#This Row],[ordered_units]]&lt;&gt;ReconciliationData[[#This Row],[Billed_Units]]),1,0)</f>
        <v>0</v>
      </c>
      <c r="R12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69">
        <f>IF(AND(NOT(ISBLANK(ReconciliationData[[#This Row],[Contract_Price]])),ReconciliationData[[#This Row],[Billed_Price]]&lt;&gt;ReconciliationData[[#This Row],[Contract_Price]]),1,0)</f>
        <v>0</v>
      </c>
      <c r="T1269">
        <f>IF(AND(NOT(ISBLANK(ReconciliationData[[#This Row],[End_Date]])),ReconciliationData[[#This Row],[Order_Date]]&gt;ReconciliationData[[#This Row],[End_Date]]),1,0)</f>
        <v>0</v>
      </c>
      <c r="U1269">
        <f>IF(AND(NOT(ISBLANK(ReconciliationData[[#This Row],[last_return_date]])),ReconciliationData[[#This Row],[last_return_date]]&gt;ReconciliationData[[#This Row],[Order_Date]]+60),1,0)</f>
        <v>0</v>
      </c>
      <c r="V1269">
        <f>IF(ReconciliationData[[#This Row],[total_returned_units]]&gt;ReconciliationData[[#This Row],[ordered_units]],1,0)</f>
        <v>0</v>
      </c>
      <c r="W12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69">
        <f>ReconciliationData[[#This Row],[Billed_Units]]*ReconciliationData[[#This Row],[Billed_Price]]</f>
        <v>66519.367200000008</v>
      </c>
      <c r="Y1269">
        <f>ReconciliationData[[#This Row],[ordered_units]]*ReconciliationData[[#This Row],[List_Price]]</f>
        <v>66519.367200000008</v>
      </c>
      <c r="Z1269">
        <f>ReconciliationData[[#This Row],[billed_revenue]]-ReconciliationData[[#This Row],[expected_revenue]]</f>
        <v>0</v>
      </c>
      <c r="AA12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69" t="str">
        <f>IF(ReconciliationData[[#This Row],[severity_score]]=0,"LOW",
 IF(ReconciliationData[[#This Row],[severity_score]]&lt;=5,"MEDIUM","HIGH"))</f>
        <v>LOW</v>
      </c>
      <c r="AC1269" t="str">
        <f>TEXT(ReconciliationData[[#This Row],[Order_Date]],"YYYY-MM")</f>
        <v>2023-06</v>
      </c>
    </row>
    <row r="1270" spans="1:29">
      <c r="A1270" t="s">
        <v>3606</v>
      </c>
      <c r="B1270" s="1">
        <v>45015</v>
      </c>
      <c r="C1270" t="s">
        <v>3607</v>
      </c>
      <c r="D1270" t="s">
        <v>1071</v>
      </c>
      <c r="E1270">
        <v>152</v>
      </c>
      <c r="F1270" t="s">
        <v>3608</v>
      </c>
      <c r="G1270">
        <v>152</v>
      </c>
      <c r="H1270">
        <v>335.39150000000001</v>
      </c>
      <c r="N1270">
        <v>335.39150000000001</v>
      </c>
      <c r="O1270" s="1">
        <v>44986</v>
      </c>
      <c r="P1270">
        <f>IF(ISBLANK(ReconciliationData[[#This Row],[Invoice_ID]]),1,0)</f>
        <v>0</v>
      </c>
      <c r="Q1270">
        <f>IF(AND(NOT(ISBLANK(ReconciliationData[[#This Row],[Billed_Units]])),ReconciliationData[[#This Row],[ordered_units]]&lt;&gt;ReconciliationData[[#This Row],[Billed_Units]]),1,0)</f>
        <v>0</v>
      </c>
      <c r="R12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70">
        <f>IF(AND(NOT(ISBLANK(ReconciliationData[[#This Row],[Contract_Price]])),ReconciliationData[[#This Row],[Billed_Price]]&lt;&gt;ReconciliationData[[#This Row],[Contract_Price]]),1,0)</f>
        <v>0</v>
      </c>
      <c r="T1270">
        <f>IF(AND(NOT(ISBLANK(ReconciliationData[[#This Row],[End_Date]])),ReconciliationData[[#This Row],[Order_Date]]&gt;ReconciliationData[[#This Row],[End_Date]]),1,0)</f>
        <v>0</v>
      </c>
      <c r="U1270">
        <f>IF(AND(NOT(ISBLANK(ReconciliationData[[#This Row],[last_return_date]])),ReconciliationData[[#This Row],[last_return_date]]&gt;ReconciliationData[[#This Row],[Order_Date]]+60),1,0)</f>
        <v>0</v>
      </c>
      <c r="V1270">
        <f>IF(ReconciliationData[[#This Row],[total_returned_units]]&gt;ReconciliationData[[#This Row],[ordered_units]],1,0)</f>
        <v>0</v>
      </c>
      <c r="W12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70">
        <f>ReconciliationData[[#This Row],[Billed_Units]]*ReconciliationData[[#This Row],[Billed_Price]]</f>
        <v>50979.508000000002</v>
      </c>
      <c r="Y1270">
        <f>ReconciliationData[[#This Row],[ordered_units]]*ReconciliationData[[#This Row],[List_Price]]</f>
        <v>50979.508000000002</v>
      </c>
      <c r="Z1270">
        <f>ReconciliationData[[#This Row],[billed_revenue]]-ReconciliationData[[#This Row],[expected_revenue]]</f>
        <v>0</v>
      </c>
      <c r="AA12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70" t="str">
        <f>IF(ReconciliationData[[#This Row],[severity_score]]=0,"LOW",
 IF(ReconciliationData[[#This Row],[severity_score]]&lt;=5,"MEDIUM","HIGH"))</f>
        <v>LOW</v>
      </c>
      <c r="AC1270" t="str">
        <f>TEXT(ReconciliationData[[#This Row],[Order_Date]],"YYYY-MM")</f>
        <v>2023-03</v>
      </c>
    </row>
    <row r="1271" spans="1:29">
      <c r="A1271" t="s">
        <v>3609</v>
      </c>
      <c r="B1271" s="1">
        <v>45446</v>
      </c>
      <c r="C1271" t="s">
        <v>1825</v>
      </c>
      <c r="D1271" t="s">
        <v>821</v>
      </c>
      <c r="E1271">
        <v>175</v>
      </c>
      <c r="F1271" t="s">
        <v>3610</v>
      </c>
      <c r="G1271">
        <v>175</v>
      </c>
      <c r="H1271">
        <v>786.13320256772556</v>
      </c>
      <c r="N1271">
        <v>785.89</v>
      </c>
      <c r="O1271" s="1">
        <v>44989</v>
      </c>
      <c r="P1271">
        <f>IF(ISBLANK(ReconciliationData[[#This Row],[Invoice_ID]]),1,0)</f>
        <v>0</v>
      </c>
      <c r="Q1271">
        <f>IF(AND(NOT(ISBLANK(ReconciliationData[[#This Row],[Billed_Units]])),ReconciliationData[[#This Row],[ordered_units]]&lt;&gt;ReconciliationData[[#This Row],[Billed_Units]]),1,0)</f>
        <v>0</v>
      </c>
      <c r="R1271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271">
        <f>IF(AND(NOT(ISBLANK(ReconciliationData[[#This Row],[Contract_Price]])),ReconciliationData[[#This Row],[Billed_Price]]&lt;&gt;ReconciliationData[[#This Row],[Contract_Price]]),1,0)</f>
        <v>0</v>
      </c>
      <c r="T1271">
        <f>IF(AND(NOT(ISBLANK(ReconciliationData[[#This Row],[End_Date]])),ReconciliationData[[#This Row],[Order_Date]]&gt;ReconciliationData[[#This Row],[End_Date]]),1,0)</f>
        <v>0</v>
      </c>
      <c r="U1271">
        <f>IF(AND(NOT(ISBLANK(ReconciliationData[[#This Row],[last_return_date]])),ReconciliationData[[#This Row],[last_return_date]]&gt;ReconciliationData[[#This Row],[Order_Date]]+60),1,0)</f>
        <v>0</v>
      </c>
      <c r="V1271">
        <f>IF(ReconciliationData[[#This Row],[total_returned_units]]&gt;ReconciliationData[[#This Row],[ordered_units]],1,0)</f>
        <v>0</v>
      </c>
      <c r="W12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71">
        <f>ReconciliationData[[#This Row],[Billed_Units]]*ReconciliationData[[#This Row],[Billed_Price]]</f>
        <v>137573.31044935196</v>
      </c>
      <c r="Y1271">
        <f>ReconciliationData[[#This Row],[ordered_units]]*ReconciliationData[[#This Row],[List_Price]]</f>
        <v>137530.75</v>
      </c>
      <c r="Z1271">
        <f>ReconciliationData[[#This Row],[billed_revenue]]-ReconciliationData[[#This Row],[expected_revenue]]</f>
        <v>42.560449351964053</v>
      </c>
      <c r="AA12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271" t="str">
        <f>IF(ReconciliationData[[#This Row],[severity_score]]=0,"LOW",
 IF(ReconciliationData[[#This Row],[severity_score]]&lt;=5,"MEDIUM","HIGH"))</f>
        <v>MEDIUM</v>
      </c>
      <c r="AC1271" t="str">
        <f>TEXT(ReconciliationData[[#This Row],[Order_Date]],"YYYY-MM")</f>
        <v>2024-06</v>
      </c>
    </row>
    <row r="1272" spans="1:29">
      <c r="A1272" t="s">
        <v>3611</v>
      </c>
      <c r="B1272" s="1">
        <v>45498</v>
      </c>
      <c r="C1272" t="s">
        <v>1805</v>
      </c>
      <c r="D1272" t="s">
        <v>1886</v>
      </c>
      <c r="E1272">
        <v>49</v>
      </c>
      <c r="F1272" t="s">
        <v>3612</v>
      </c>
      <c r="G1272">
        <v>49</v>
      </c>
      <c r="H1272">
        <v>1092.5376000000001</v>
      </c>
      <c r="N1272">
        <v>1092.5376000000001</v>
      </c>
      <c r="O1272" s="1">
        <v>44996</v>
      </c>
      <c r="P1272">
        <f>IF(ISBLANK(ReconciliationData[[#This Row],[Invoice_ID]]),1,0)</f>
        <v>0</v>
      </c>
      <c r="Q1272">
        <f>IF(AND(NOT(ISBLANK(ReconciliationData[[#This Row],[Billed_Units]])),ReconciliationData[[#This Row],[ordered_units]]&lt;&gt;ReconciliationData[[#This Row],[Billed_Units]]),1,0)</f>
        <v>0</v>
      </c>
      <c r="R12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72">
        <f>IF(AND(NOT(ISBLANK(ReconciliationData[[#This Row],[Contract_Price]])),ReconciliationData[[#This Row],[Billed_Price]]&lt;&gt;ReconciliationData[[#This Row],[Contract_Price]]),1,0)</f>
        <v>0</v>
      </c>
      <c r="T1272">
        <f>IF(AND(NOT(ISBLANK(ReconciliationData[[#This Row],[End_Date]])),ReconciliationData[[#This Row],[Order_Date]]&gt;ReconciliationData[[#This Row],[End_Date]]),1,0)</f>
        <v>0</v>
      </c>
      <c r="U1272">
        <f>IF(AND(NOT(ISBLANK(ReconciliationData[[#This Row],[last_return_date]])),ReconciliationData[[#This Row],[last_return_date]]&gt;ReconciliationData[[#This Row],[Order_Date]]+60),1,0)</f>
        <v>0</v>
      </c>
      <c r="V1272">
        <f>IF(ReconciliationData[[#This Row],[total_returned_units]]&gt;ReconciliationData[[#This Row],[ordered_units]],1,0)</f>
        <v>0</v>
      </c>
      <c r="W12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72">
        <f>ReconciliationData[[#This Row],[Billed_Units]]*ReconciliationData[[#This Row],[Billed_Price]]</f>
        <v>53534.342400000009</v>
      </c>
      <c r="Y1272">
        <f>ReconciliationData[[#This Row],[ordered_units]]*ReconciliationData[[#This Row],[List_Price]]</f>
        <v>53534.342400000009</v>
      </c>
      <c r="Z1272">
        <f>ReconciliationData[[#This Row],[billed_revenue]]-ReconciliationData[[#This Row],[expected_revenue]]</f>
        <v>0</v>
      </c>
      <c r="AA12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72" t="str">
        <f>IF(ReconciliationData[[#This Row],[severity_score]]=0,"LOW",
 IF(ReconciliationData[[#This Row],[severity_score]]&lt;=5,"MEDIUM","HIGH"))</f>
        <v>LOW</v>
      </c>
      <c r="AC1272" t="str">
        <f>TEXT(ReconciliationData[[#This Row],[Order_Date]],"YYYY-MM")</f>
        <v>2024-07</v>
      </c>
    </row>
    <row r="1273" spans="1:29">
      <c r="A1273" t="s">
        <v>3613</v>
      </c>
      <c r="B1273" s="1">
        <v>45402</v>
      </c>
      <c r="C1273" t="s">
        <v>3614</v>
      </c>
      <c r="D1273" t="s">
        <v>548</v>
      </c>
      <c r="E1273">
        <v>97</v>
      </c>
      <c r="F1273" t="s">
        <v>3615</v>
      </c>
      <c r="G1273">
        <v>97</v>
      </c>
      <c r="H1273">
        <v>1072.1079000000002</v>
      </c>
      <c r="N1273">
        <v>1072.1079000000002</v>
      </c>
      <c r="O1273" s="1">
        <v>45035</v>
      </c>
      <c r="P1273">
        <f>IF(ISBLANK(ReconciliationData[[#This Row],[Invoice_ID]]),1,0)</f>
        <v>0</v>
      </c>
      <c r="Q1273">
        <f>IF(AND(NOT(ISBLANK(ReconciliationData[[#This Row],[Billed_Units]])),ReconciliationData[[#This Row],[ordered_units]]&lt;&gt;ReconciliationData[[#This Row],[Billed_Units]]),1,0)</f>
        <v>0</v>
      </c>
      <c r="R12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73">
        <f>IF(AND(NOT(ISBLANK(ReconciliationData[[#This Row],[Contract_Price]])),ReconciliationData[[#This Row],[Billed_Price]]&lt;&gt;ReconciliationData[[#This Row],[Contract_Price]]),1,0)</f>
        <v>0</v>
      </c>
      <c r="T1273">
        <f>IF(AND(NOT(ISBLANK(ReconciliationData[[#This Row],[End_Date]])),ReconciliationData[[#This Row],[Order_Date]]&gt;ReconciliationData[[#This Row],[End_Date]]),1,0)</f>
        <v>0</v>
      </c>
      <c r="U1273">
        <f>IF(AND(NOT(ISBLANK(ReconciliationData[[#This Row],[last_return_date]])),ReconciliationData[[#This Row],[last_return_date]]&gt;ReconciliationData[[#This Row],[Order_Date]]+60),1,0)</f>
        <v>0</v>
      </c>
      <c r="V1273">
        <f>IF(ReconciliationData[[#This Row],[total_returned_units]]&gt;ReconciliationData[[#This Row],[ordered_units]],1,0)</f>
        <v>0</v>
      </c>
      <c r="W12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73">
        <f>ReconciliationData[[#This Row],[Billed_Units]]*ReconciliationData[[#This Row],[Billed_Price]]</f>
        <v>103994.46630000001</v>
      </c>
      <c r="Y1273">
        <f>ReconciliationData[[#This Row],[ordered_units]]*ReconciliationData[[#This Row],[List_Price]]</f>
        <v>103994.46630000001</v>
      </c>
      <c r="Z1273">
        <f>ReconciliationData[[#This Row],[billed_revenue]]-ReconciliationData[[#This Row],[expected_revenue]]</f>
        <v>0</v>
      </c>
      <c r="AA12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73" t="str">
        <f>IF(ReconciliationData[[#This Row],[severity_score]]=0,"LOW",
 IF(ReconciliationData[[#This Row],[severity_score]]&lt;=5,"MEDIUM","HIGH"))</f>
        <v>LOW</v>
      </c>
      <c r="AC1273" t="str">
        <f>TEXT(ReconciliationData[[#This Row],[Order_Date]],"YYYY-MM")</f>
        <v>2024-04</v>
      </c>
    </row>
    <row r="1274" spans="1:29">
      <c r="A1274" t="s">
        <v>3616</v>
      </c>
      <c r="B1274" s="1">
        <v>45067</v>
      </c>
      <c r="C1274" t="s">
        <v>1114</v>
      </c>
      <c r="D1274" t="s">
        <v>880</v>
      </c>
      <c r="E1274">
        <v>181</v>
      </c>
      <c r="F1274" t="s">
        <v>3617</v>
      </c>
      <c r="G1274">
        <v>181</v>
      </c>
      <c r="H1274">
        <v>212.73140000000001</v>
      </c>
      <c r="N1274">
        <v>212.73140000000001</v>
      </c>
      <c r="O1274" s="1">
        <v>45051</v>
      </c>
      <c r="P1274">
        <f>IF(ISBLANK(ReconciliationData[[#This Row],[Invoice_ID]]),1,0)</f>
        <v>0</v>
      </c>
      <c r="Q1274">
        <f>IF(AND(NOT(ISBLANK(ReconciliationData[[#This Row],[Billed_Units]])),ReconciliationData[[#This Row],[ordered_units]]&lt;&gt;ReconciliationData[[#This Row],[Billed_Units]]),1,0)</f>
        <v>0</v>
      </c>
      <c r="R12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74">
        <f>IF(AND(NOT(ISBLANK(ReconciliationData[[#This Row],[Contract_Price]])),ReconciliationData[[#This Row],[Billed_Price]]&lt;&gt;ReconciliationData[[#This Row],[Contract_Price]]),1,0)</f>
        <v>0</v>
      </c>
      <c r="T1274">
        <f>IF(AND(NOT(ISBLANK(ReconciliationData[[#This Row],[End_Date]])),ReconciliationData[[#This Row],[Order_Date]]&gt;ReconciliationData[[#This Row],[End_Date]]),1,0)</f>
        <v>0</v>
      </c>
      <c r="U1274">
        <f>IF(AND(NOT(ISBLANK(ReconciliationData[[#This Row],[last_return_date]])),ReconciliationData[[#This Row],[last_return_date]]&gt;ReconciliationData[[#This Row],[Order_Date]]+60),1,0)</f>
        <v>0</v>
      </c>
      <c r="V1274">
        <f>IF(ReconciliationData[[#This Row],[total_returned_units]]&gt;ReconciliationData[[#This Row],[ordered_units]],1,0)</f>
        <v>0</v>
      </c>
      <c r="W12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74">
        <f>ReconciliationData[[#This Row],[Billed_Units]]*ReconciliationData[[#This Row],[Billed_Price]]</f>
        <v>38504.383399999999</v>
      </c>
      <c r="Y1274">
        <f>ReconciliationData[[#This Row],[ordered_units]]*ReconciliationData[[#This Row],[List_Price]]</f>
        <v>38504.383399999999</v>
      </c>
      <c r="Z1274">
        <f>ReconciliationData[[#This Row],[billed_revenue]]-ReconciliationData[[#This Row],[expected_revenue]]</f>
        <v>0</v>
      </c>
      <c r="AA12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74" t="str">
        <f>IF(ReconciliationData[[#This Row],[severity_score]]=0,"LOW",
 IF(ReconciliationData[[#This Row],[severity_score]]&lt;=5,"MEDIUM","HIGH"))</f>
        <v>LOW</v>
      </c>
      <c r="AC1274" t="str">
        <f>TEXT(ReconciliationData[[#This Row],[Order_Date]],"YYYY-MM")</f>
        <v>2023-05</v>
      </c>
    </row>
    <row r="1275" spans="1:29">
      <c r="A1275" t="s">
        <v>3618</v>
      </c>
      <c r="B1275" s="1">
        <v>45025</v>
      </c>
      <c r="C1275" t="s">
        <v>1145</v>
      </c>
      <c r="D1275" t="s">
        <v>370</v>
      </c>
      <c r="E1275">
        <v>139</v>
      </c>
      <c r="F1275" t="s">
        <v>3619</v>
      </c>
      <c r="G1275">
        <v>139</v>
      </c>
      <c r="H1275">
        <v>639.91840000000002</v>
      </c>
      <c r="N1275">
        <v>639.91840000000002</v>
      </c>
      <c r="O1275" s="1">
        <v>44930</v>
      </c>
      <c r="P1275">
        <f>IF(ISBLANK(ReconciliationData[[#This Row],[Invoice_ID]]),1,0)</f>
        <v>0</v>
      </c>
      <c r="Q1275">
        <f>IF(AND(NOT(ISBLANK(ReconciliationData[[#This Row],[Billed_Units]])),ReconciliationData[[#This Row],[ordered_units]]&lt;&gt;ReconciliationData[[#This Row],[Billed_Units]]),1,0)</f>
        <v>0</v>
      </c>
      <c r="R12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75">
        <f>IF(AND(NOT(ISBLANK(ReconciliationData[[#This Row],[Contract_Price]])),ReconciliationData[[#This Row],[Billed_Price]]&lt;&gt;ReconciliationData[[#This Row],[Contract_Price]]),1,0)</f>
        <v>0</v>
      </c>
      <c r="T1275">
        <f>IF(AND(NOT(ISBLANK(ReconciliationData[[#This Row],[End_Date]])),ReconciliationData[[#This Row],[Order_Date]]&gt;ReconciliationData[[#This Row],[End_Date]]),1,0)</f>
        <v>0</v>
      </c>
      <c r="U1275">
        <f>IF(AND(NOT(ISBLANK(ReconciliationData[[#This Row],[last_return_date]])),ReconciliationData[[#This Row],[last_return_date]]&gt;ReconciliationData[[#This Row],[Order_Date]]+60),1,0)</f>
        <v>0</v>
      </c>
      <c r="V1275">
        <f>IF(ReconciliationData[[#This Row],[total_returned_units]]&gt;ReconciliationData[[#This Row],[ordered_units]],1,0)</f>
        <v>0</v>
      </c>
      <c r="W12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75">
        <f>ReconciliationData[[#This Row],[Billed_Units]]*ReconciliationData[[#This Row],[Billed_Price]]</f>
        <v>88948.657600000006</v>
      </c>
      <c r="Y1275">
        <f>ReconciliationData[[#This Row],[ordered_units]]*ReconciliationData[[#This Row],[List_Price]]</f>
        <v>88948.657600000006</v>
      </c>
      <c r="Z1275">
        <f>ReconciliationData[[#This Row],[billed_revenue]]-ReconciliationData[[#This Row],[expected_revenue]]</f>
        <v>0</v>
      </c>
      <c r="AA12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75" t="str">
        <f>IF(ReconciliationData[[#This Row],[severity_score]]=0,"LOW",
 IF(ReconciliationData[[#This Row],[severity_score]]&lt;=5,"MEDIUM","HIGH"))</f>
        <v>LOW</v>
      </c>
      <c r="AC1275" t="str">
        <f>TEXT(ReconciliationData[[#This Row],[Order_Date]],"YYYY-MM")</f>
        <v>2023-04</v>
      </c>
    </row>
    <row r="1276" spans="1:29">
      <c r="A1276" t="s">
        <v>3620</v>
      </c>
      <c r="B1276" s="1">
        <v>45286</v>
      </c>
      <c r="C1276" t="s">
        <v>3621</v>
      </c>
      <c r="D1276" t="s">
        <v>412</v>
      </c>
      <c r="E1276">
        <v>150</v>
      </c>
      <c r="F1276" t="s">
        <v>3622</v>
      </c>
      <c r="G1276">
        <v>150</v>
      </c>
      <c r="H1276">
        <v>1160.5650000000001</v>
      </c>
      <c r="N1276">
        <v>1160.5650000000001</v>
      </c>
      <c r="O1276" s="1">
        <v>45055</v>
      </c>
      <c r="P1276">
        <f>IF(ISBLANK(ReconciliationData[[#This Row],[Invoice_ID]]),1,0)</f>
        <v>0</v>
      </c>
      <c r="Q1276">
        <f>IF(AND(NOT(ISBLANK(ReconciliationData[[#This Row],[Billed_Units]])),ReconciliationData[[#This Row],[ordered_units]]&lt;&gt;ReconciliationData[[#This Row],[Billed_Units]]),1,0)</f>
        <v>0</v>
      </c>
      <c r="R12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76">
        <f>IF(AND(NOT(ISBLANK(ReconciliationData[[#This Row],[Contract_Price]])),ReconciliationData[[#This Row],[Billed_Price]]&lt;&gt;ReconciliationData[[#This Row],[Contract_Price]]),1,0)</f>
        <v>0</v>
      </c>
      <c r="T1276">
        <f>IF(AND(NOT(ISBLANK(ReconciliationData[[#This Row],[End_Date]])),ReconciliationData[[#This Row],[Order_Date]]&gt;ReconciliationData[[#This Row],[End_Date]]),1,0)</f>
        <v>0</v>
      </c>
      <c r="U1276">
        <f>IF(AND(NOT(ISBLANK(ReconciliationData[[#This Row],[last_return_date]])),ReconciliationData[[#This Row],[last_return_date]]&gt;ReconciliationData[[#This Row],[Order_Date]]+60),1,0)</f>
        <v>0</v>
      </c>
      <c r="V1276">
        <f>IF(ReconciliationData[[#This Row],[total_returned_units]]&gt;ReconciliationData[[#This Row],[ordered_units]],1,0)</f>
        <v>0</v>
      </c>
      <c r="W12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76">
        <f>ReconciliationData[[#This Row],[Billed_Units]]*ReconciliationData[[#This Row],[Billed_Price]]</f>
        <v>174084.75</v>
      </c>
      <c r="Y1276">
        <f>ReconciliationData[[#This Row],[ordered_units]]*ReconciliationData[[#This Row],[List_Price]]</f>
        <v>174084.75</v>
      </c>
      <c r="Z1276">
        <f>ReconciliationData[[#This Row],[billed_revenue]]-ReconciliationData[[#This Row],[expected_revenue]]</f>
        <v>0</v>
      </c>
      <c r="AA12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76" t="str">
        <f>IF(ReconciliationData[[#This Row],[severity_score]]=0,"LOW",
 IF(ReconciliationData[[#This Row],[severity_score]]&lt;=5,"MEDIUM","HIGH"))</f>
        <v>LOW</v>
      </c>
      <c r="AC1276" t="str">
        <f>TEXT(ReconciliationData[[#This Row],[Order_Date]],"YYYY-MM")</f>
        <v>2023-12</v>
      </c>
    </row>
    <row r="1277" spans="1:29">
      <c r="A1277" t="s">
        <v>3623</v>
      </c>
      <c r="B1277" s="1">
        <v>45551</v>
      </c>
      <c r="C1277" t="s">
        <v>2367</v>
      </c>
      <c r="D1277" t="s">
        <v>3624</v>
      </c>
      <c r="E1277">
        <v>59</v>
      </c>
      <c r="F1277" t="s">
        <v>3625</v>
      </c>
      <c r="G1277">
        <v>59</v>
      </c>
      <c r="H1277">
        <v>765.65520000000015</v>
      </c>
      <c r="N1277">
        <v>765.65520000000015</v>
      </c>
      <c r="O1277" s="1">
        <v>45077</v>
      </c>
      <c r="P1277">
        <f>IF(ISBLANK(ReconciliationData[[#This Row],[Invoice_ID]]),1,0)</f>
        <v>0</v>
      </c>
      <c r="Q1277">
        <f>IF(AND(NOT(ISBLANK(ReconciliationData[[#This Row],[Billed_Units]])),ReconciliationData[[#This Row],[ordered_units]]&lt;&gt;ReconciliationData[[#This Row],[Billed_Units]]),1,0)</f>
        <v>0</v>
      </c>
      <c r="R12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77">
        <f>IF(AND(NOT(ISBLANK(ReconciliationData[[#This Row],[Contract_Price]])),ReconciliationData[[#This Row],[Billed_Price]]&lt;&gt;ReconciliationData[[#This Row],[Contract_Price]]),1,0)</f>
        <v>0</v>
      </c>
      <c r="T1277">
        <f>IF(AND(NOT(ISBLANK(ReconciliationData[[#This Row],[End_Date]])),ReconciliationData[[#This Row],[Order_Date]]&gt;ReconciliationData[[#This Row],[End_Date]]),1,0)</f>
        <v>0</v>
      </c>
      <c r="U1277">
        <f>IF(AND(NOT(ISBLANK(ReconciliationData[[#This Row],[last_return_date]])),ReconciliationData[[#This Row],[last_return_date]]&gt;ReconciliationData[[#This Row],[Order_Date]]+60),1,0)</f>
        <v>0</v>
      </c>
      <c r="V1277">
        <f>IF(ReconciliationData[[#This Row],[total_returned_units]]&gt;ReconciliationData[[#This Row],[ordered_units]],1,0)</f>
        <v>0</v>
      </c>
      <c r="W12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77">
        <f>ReconciliationData[[#This Row],[Billed_Units]]*ReconciliationData[[#This Row],[Billed_Price]]</f>
        <v>45173.656800000012</v>
      </c>
      <c r="Y1277">
        <f>ReconciliationData[[#This Row],[ordered_units]]*ReconciliationData[[#This Row],[List_Price]]</f>
        <v>45173.656800000012</v>
      </c>
      <c r="Z1277">
        <f>ReconciliationData[[#This Row],[billed_revenue]]-ReconciliationData[[#This Row],[expected_revenue]]</f>
        <v>0</v>
      </c>
      <c r="AA12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77" t="str">
        <f>IF(ReconciliationData[[#This Row],[severity_score]]=0,"LOW",
 IF(ReconciliationData[[#This Row],[severity_score]]&lt;=5,"MEDIUM","HIGH"))</f>
        <v>LOW</v>
      </c>
      <c r="AC1277" t="str">
        <f>TEXT(ReconciliationData[[#This Row],[Order_Date]],"YYYY-MM")</f>
        <v>2024-09</v>
      </c>
    </row>
    <row r="1278" spans="1:29">
      <c r="A1278" t="s">
        <v>3626</v>
      </c>
      <c r="B1278" s="1">
        <v>45462</v>
      </c>
      <c r="C1278" t="s">
        <v>3627</v>
      </c>
      <c r="D1278" t="s">
        <v>647</v>
      </c>
      <c r="E1278">
        <v>88</v>
      </c>
      <c r="F1278" t="s">
        <v>3628</v>
      </c>
      <c r="G1278">
        <v>88</v>
      </c>
      <c r="H1278">
        <v>279.42789999999997</v>
      </c>
      <c r="N1278">
        <v>279.42789999999997</v>
      </c>
      <c r="O1278" s="1">
        <v>45103</v>
      </c>
      <c r="P1278">
        <f>IF(ISBLANK(ReconciliationData[[#This Row],[Invoice_ID]]),1,0)</f>
        <v>0</v>
      </c>
      <c r="Q1278">
        <f>IF(AND(NOT(ISBLANK(ReconciliationData[[#This Row],[Billed_Units]])),ReconciliationData[[#This Row],[ordered_units]]&lt;&gt;ReconciliationData[[#This Row],[Billed_Units]]),1,0)</f>
        <v>0</v>
      </c>
      <c r="R12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78">
        <f>IF(AND(NOT(ISBLANK(ReconciliationData[[#This Row],[Contract_Price]])),ReconciliationData[[#This Row],[Billed_Price]]&lt;&gt;ReconciliationData[[#This Row],[Contract_Price]]),1,0)</f>
        <v>0</v>
      </c>
      <c r="T1278">
        <f>IF(AND(NOT(ISBLANK(ReconciliationData[[#This Row],[End_Date]])),ReconciliationData[[#This Row],[Order_Date]]&gt;ReconciliationData[[#This Row],[End_Date]]),1,0)</f>
        <v>0</v>
      </c>
      <c r="U1278">
        <f>IF(AND(NOT(ISBLANK(ReconciliationData[[#This Row],[last_return_date]])),ReconciliationData[[#This Row],[last_return_date]]&gt;ReconciliationData[[#This Row],[Order_Date]]+60),1,0)</f>
        <v>0</v>
      </c>
      <c r="V1278">
        <f>IF(ReconciliationData[[#This Row],[total_returned_units]]&gt;ReconciliationData[[#This Row],[ordered_units]],1,0)</f>
        <v>0</v>
      </c>
      <c r="W12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78">
        <f>ReconciliationData[[#This Row],[Billed_Units]]*ReconciliationData[[#This Row],[Billed_Price]]</f>
        <v>24589.655199999997</v>
      </c>
      <c r="Y1278">
        <f>ReconciliationData[[#This Row],[ordered_units]]*ReconciliationData[[#This Row],[List_Price]]</f>
        <v>24589.655199999997</v>
      </c>
      <c r="Z1278">
        <f>ReconciliationData[[#This Row],[billed_revenue]]-ReconciliationData[[#This Row],[expected_revenue]]</f>
        <v>0</v>
      </c>
      <c r="AA12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78" t="str">
        <f>IF(ReconciliationData[[#This Row],[severity_score]]=0,"LOW",
 IF(ReconciliationData[[#This Row],[severity_score]]&lt;=5,"MEDIUM","HIGH"))</f>
        <v>LOW</v>
      </c>
      <c r="AC1278" t="str">
        <f>TEXT(ReconciliationData[[#This Row],[Order_Date]],"YYYY-MM")</f>
        <v>2024-06</v>
      </c>
    </row>
    <row r="1279" spans="1:29">
      <c r="A1279" t="s">
        <v>3629</v>
      </c>
      <c r="B1279" s="1">
        <v>45142</v>
      </c>
      <c r="C1279" t="s">
        <v>2162</v>
      </c>
      <c r="D1279" t="s">
        <v>694</v>
      </c>
      <c r="E1279">
        <v>6</v>
      </c>
      <c r="F1279" t="s">
        <v>3630</v>
      </c>
      <c r="G1279">
        <v>6</v>
      </c>
      <c r="H1279">
        <v>618.375</v>
      </c>
      <c r="N1279">
        <v>618.375</v>
      </c>
      <c r="O1279" s="1">
        <v>45124</v>
      </c>
      <c r="P1279">
        <f>IF(ISBLANK(ReconciliationData[[#This Row],[Invoice_ID]]),1,0)</f>
        <v>0</v>
      </c>
      <c r="Q1279">
        <f>IF(AND(NOT(ISBLANK(ReconciliationData[[#This Row],[Billed_Units]])),ReconciliationData[[#This Row],[ordered_units]]&lt;&gt;ReconciliationData[[#This Row],[Billed_Units]]),1,0)</f>
        <v>0</v>
      </c>
      <c r="R12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79">
        <f>IF(AND(NOT(ISBLANK(ReconciliationData[[#This Row],[Contract_Price]])),ReconciliationData[[#This Row],[Billed_Price]]&lt;&gt;ReconciliationData[[#This Row],[Contract_Price]]),1,0)</f>
        <v>0</v>
      </c>
      <c r="T1279">
        <f>IF(AND(NOT(ISBLANK(ReconciliationData[[#This Row],[End_Date]])),ReconciliationData[[#This Row],[Order_Date]]&gt;ReconciliationData[[#This Row],[End_Date]]),1,0)</f>
        <v>0</v>
      </c>
      <c r="U1279">
        <f>IF(AND(NOT(ISBLANK(ReconciliationData[[#This Row],[last_return_date]])),ReconciliationData[[#This Row],[last_return_date]]&gt;ReconciliationData[[#This Row],[Order_Date]]+60),1,0)</f>
        <v>0</v>
      </c>
      <c r="V1279">
        <f>IF(ReconciliationData[[#This Row],[total_returned_units]]&gt;ReconciliationData[[#This Row],[ordered_units]],1,0)</f>
        <v>0</v>
      </c>
      <c r="W12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79">
        <f>ReconciliationData[[#This Row],[Billed_Units]]*ReconciliationData[[#This Row],[Billed_Price]]</f>
        <v>3710.25</v>
      </c>
      <c r="Y1279">
        <f>ReconciliationData[[#This Row],[ordered_units]]*ReconciliationData[[#This Row],[List_Price]]</f>
        <v>3710.25</v>
      </c>
      <c r="Z1279">
        <f>ReconciliationData[[#This Row],[billed_revenue]]-ReconciliationData[[#This Row],[expected_revenue]]</f>
        <v>0</v>
      </c>
      <c r="AA12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79" t="str">
        <f>IF(ReconciliationData[[#This Row],[severity_score]]=0,"LOW",
 IF(ReconciliationData[[#This Row],[severity_score]]&lt;=5,"MEDIUM","HIGH"))</f>
        <v>LOW</v>
      </c>
      <c r="AC1279" t="str">
        <f>TEXT(ReconciliationData[[#This Row],[Order_Date]],"YYYY-MM")</f>
        <v>2023-08</v>
      </c>
    </row>
    <row r="1280" spans="1:29">
      <c r="A1280" t="s">
        <v>3631</v>
      </c>
      <c r="B1280" s="1">
        <v>44928</v>
      </c>
      <c r="C1280" t="s">
        <v>3632</v>
      </c>
      <c r="D1280" t="s">
        <v>317</v>
      </c>
      <c r="E1280">
        <v>12</v>
      </c>
      <c r="F1280" t="s">
        <v>3633</v>
      </c>
      <c r="G1280">
        <v>12</v>
      </c>
      <c r="H1280">
        <v>1016.1195197983631</v>
      </c>
      <c r="N1280">
        <v>1015.6622</v>
      </c>
      <c r="O1280" s="1">
        <v>44797</v>
      </c>
      <c r="P1280">
        <f>IF(ISBLANK(ReconciliationData[[#This Row],[Invoice_ID]]),1,0)</f>
        <v>0</v>
      </c>
      <c r="Q1280">
        <f>IF(AND(NOT(ISBLANK(ReconciliationData[[#This Row],[Billed_Units]])),ReconciliationData[[#This Row],[ordered_units]]&lt;&gt;ReconciliationData[[#This Row],[Billed_Units]]),1,0)</f>
        <v>0</v>
      </c>
      <c r="R1280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280">
        <f>IF(AND(NOT(ISBLANK(ReconciliationData[[#This Row],[Contract_Price]])),ReconciliationData[[#This Row],[Billed_Price]]&lt;&gt;ReconciliationData[[#This Row],[Contract_Price]]),1,0)</f>
        <v>0</v>
      </c>
      <c r="T1280">
        <f>IF(AND(NOT(ISBLANK(ReconciliationData[[#This Row],[End_Date]])),ReconciliationData[[#This Row],[Order_Date]]&gt;ReconciliationData[[#This Row],[End_Date]]),1,0)</f>
        <v>0</v>
      </c>
      <c r="U1280">
        <f>IF(AND(NOT(ISBLANK(ReconciliationData[[#This Row],[last_return_date]])),ReconciliationData[[#This Row],[last_return_date]]&gt;ReconciliationData[[#This Row],[Order_Date]]+60),1,0)</f>
        <v>0</v>
      </c>
      <c r="V1280">
        <f>IF(ReconciliationData[[#This Row],[total_returned_units]]&gt;ReconciliationData[[#This Row],[ordered_units]],1,0)</f>
        <v>0</v>
      </c>
      <c r="W12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80">
        <f>ReconciliationData[[#This Row],[Billed_Units]]*ReconciliationData[[#This Row],[Billed_Price]]</f>
        <v>12193.434237580357</v>
      </c>
      <c r="Y1280">
        <f>ReconciliationData[[#This Row],[ordered_units]]*ReconciliationData[[#This Row],[List_Price]]</f>
        <v>12187.946400000001</v>
      </c>
      <c r="Z1280">
        <f>ReconciliationData[[#This Row],[billed_revenue]]-ReconciliationData[[#This Row],[expected_revenue]]</f>
        <v>5.4878375803564268</v>
      </c>
      <c r="AA12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280" t="str">
        <f>IF(ReconciliationData[[#This Row],[severity_score]]=0,"LOW",
 IF(ReconciliationData[[#This Row],[severity_score]]&lt;=5,"MEDIUM","HIGH"))</f>
        <v>MEDIUM</v>
      </c>
      <c r="AC1280" t="str">
        <f>TEXT(ReconciliationData[[#This Row],[Order_Date]],"YYYY-MM")</f>
        <v>2023-01</v>
      </c>
    </row>
    <row r="1281" spans="1:29">
      <c r="A1281" t="s">
        <v>3634</v>
      </c>
      <c r="B1281" s="1">
        <v>45278</v>
      </c>
      <c r="C1281" t="s">
        <v>1417</v>
      </c>
      <c r="D1281" t="s">
        <v>178</v>
      </c>
      <c r="E1281">
        <v>74</v>
      </c>
      <c r="F1281" t="s">
        <v>3635</v>
      </c>
      <c r="G1281">
        <v>74</v>
      </c>
      <c r="H1281">
        <v>687.65840000000003</v>
      </c>
      <c r="I1281">
        <v>15</v>
      </c>
      <c r="J1281" s="1">
        <v>45252</v>
      </c>
      <c r="N1281">
        <v>687.65840000000003</v>
      </c>
      <c r="O1281" s="1">
        <v>45139</v>
      </c>
      <c r="P1281">
        <f>IF(ISBLANK(ReconciliationData[[#This Row],[Invoice_ID]]),1,0)</f>
        <v>0</v>
      </c>
      <c r="Q1281">
        <f>IF(AND(NOT(ISBLANK(ReconciliationData[[#This Row],[Billed_Units]])),ReconciliationData[[#This Row],[ordered_units]]&lt;&gt;ReconciliationData[[#This Row],[Billed_Units]]),1,0)</f>
        <v>0</v>
      </c>
      <c r="R12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81">
        <f>IF(AND(NOT(ISBLANK(ReconciliationData[[#This Row],[Contract_Price]])),ReconciliationData[[#This Row],[Billed_Price]]&lt;&gt;ReconciliationData[[#This Row],[Contract_Price]]),1,0)</f>
        <v>0</v>
      </c>
      <c r="T1281">
        <f>IF(AND(NOT(ISBLANK(ReconciliationData[[#This Row],[End_Date]])),ReconciliationData[[#This Row],[Order_Date]]&gt;ReconciliationData[[#This Row],[End_Date]]),1,0)</f>
        <v>0</v>
      </c>
      <c r="U1281">
        <f>IF(AND(NOT(ISBLANK(ReconciliationData[[#This Row],[last_return_date]])),ReconciliationData[[#This Row],[last_return_date]]&gt;ReconciliationData[[#This Row],[Order_Date]]+60),1,0)</f>
        <v>0</v>
      </c>
      <c r="V1281">
        <f>IF(ReconciliationData[[#This Row],[total_returned_units]]&gt;ReconciliationData[[#This Row],[ordered_units]],1,0)</f>
        <v>0</v>
      </c>
      <c r="W12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81">
        <f>ReconciliationData[[#This Row],[Billed_Units]]*ReconciliationData[[#This Row],[Billed_Price]]</f>
        <v>50886.721600000004</v>
      </c>
      <c r="Y1281">
        <f>ReconciliationData[[#This Row],[ordered_units]]*ReconciliationData[[#This Row],[List_Price]]</f>
        <v>50886.721600000004</v>
      </c>
      <c r="Z1281">
        <f>ReconciliationData[[#This Row],[billed_revenue]]-ReconciliationData[[#This Row],[expected_revenue]]</f>
        <v>0</v>
      </c>
      <c r="AA12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81" t="str">
        <f>IF(ReconciliationData[[#This Row],[severity_score]]=0,"LOW",
 IF(ReconciliationData[[#This Row],[severity_score]]&lt;=5,"MEDIUM","HIGH"))</f>
        <v>LOW</v>
      </c>
      <c r="AC1281" t="str">
        <f>TEXT(ReconciliationData[[#This Row],[Order_Date]],"YYYY-MM")</f>
        <v>2023-12</v>
      </c>
    </row>
    <row r="1282" spans="1:29">
      <c r="A1282" t="s">
        <v>3636</v>
      </c>
      <c r="B1282" s="1">
        <v>45280</v>
      </c>
      <c r="C1282" t="s">
        <v>3637</v>
      </c>
      <c r="D1282" t="s">
        <v>548</v>
      </c>
      <c r="E1282">
        <v>71</v>
      </c>
      <c r="F1282" t="s">
        <v>3638</v>
      </c>
      <c r="G1282">
        <v>71</v>
      </c>
      <c r="H1282">
        <v>1072.1079000000002</v>
      </c>
      <c r="N1282">
        <v>1072.1079000000002</v>
      </c>
      <c r="O1282" s="1">
        <v>45035</v>
      </c>
      <c r="P1282">
        <f>IF(ISBLANK(ReconciliationData[[#This Row],[Invoice_ID]]),1,0)</f>
        <v>0</v>
      </c>
      <c r="Q1282">
        <f>IF(AND(NOT(ISBLANK(ReconciliationData[[#This Row],[Billed_Units]])),ReconciliationData[[#This Row],[ordered_units]]&lt;&gt;ReconciliationData[[#This Row],[Billed_Units]]),1,0)</f>
        <v>0</v>
      </c>
      <c r="R12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82">
        <f>IF(AND(NOT(ISBLANK(ReconciliationData[[#This Row],[Contract_Price]])),ReconciliationData[[#This Row],[Billed_Price]]&lt;&gt;ReconciliationData[[#This Row],[Contract_Price]]),1,0)</f>
        <v>0</v>
      </c>
      <c r="T1282">
        <f>IF(AND(NOT(ISBLANK(ReconciliationData[[#This Row],[End_Date]])),ReconciliationData[[#This Row],[Order_Date]]&gt;ReconciliationData[[#This Row],[End_Date]]),1,0)</f>
        <v>0</v>
      </c>
      <c r="U1282">
        <f>IF(AND(NOT(ISBLANK(ReconciliationData[[#This Row],[last_return_date]])),ReconciliationData[[#This Row],[last_return_date]]&gt;ReconciliationData[[#This Row],[Order_Date]]+60),1,0)</f>
        <v>0</v>
      </c>
      <c r="V1282">
        <f>IF(ReconciliationData[[#This Row],[total_returned_units]]&gt;ReconciliationData[[#This Row],[ordered_units]],1,0)</f>
        <v>0</v>
      </c>
      <c r="W12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82">
        <f>ReconciliationData[[#This Row],[Billed_Units]]*ReconciliationData[[#This Row],[Billed_Price]]</f>
        <v>76119.660900000017</v>
      </c>
      <c r="Y1282">
        <f>ReconciliationData[[#This Row],[ordered_units]]*ReconciliationData[[#This Row],[List_Price]]</f>
        <v>76119.660900000017</v>
      </c>
      <c r="Z1282">
        <f>ReconciliationData[[#This Row],[billed_revenue]]-ReconciliationData[[#This Row],[expected_revenue]]</f>
        <v>0</v>
      </c>
      <c r="AA12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82" t="str">
        <f>IF(ReconciliationData[[#This Row],[severity_score]]=0,"LOW",
 IF(ReconciliationData[[#This Row],[severity_score]]&lt;=5,"MEDIUM","HIGH"))</f>
        <v>LOW</v>
      </c>
      <c r="AC1282" t="str">
        <f>TEXT(ReconciliationData[[#This Row],[Order_Date]],"YYYY-MM")</f>
        <v>2023-12</v>
      </c>
    </row>
    <row r="1283" spans="1:29">
      <c r="A1283" t="s">
        <v>3639</v>
      </c>
      <c r="B1283" s="1">
        <v>45314</v>
      </c>
      <c r="C1283" t="s">
        <v>400</v>
      </c>
      <c r="D1283" t="s">
        <v>1175</v>
      </c>
      <c r="E1283">
        <v>46</v>
      </c>
      <c r="F1283" t="s">
        <v>3640</v>
      </c>
      <c r="G1283">
        <v>46</v>
      </c>
      <c r="H1283">
        <v>589.66600000000005</v>
      </c>
      <c r="I1283">
        <v>3</v>
      </c>
      <c r="J1283" s="1">
        <v>45584</v>
      </c>
      <c r="N1283">
        <v>589.66600000000005</v>
      </c>
      <c r="O1283" s="1">
        <v>45218</v>
      </c>
      <c r="P1283">
        <f>IF(ISBLANK(ReconciliationData[[#This Row],[Invoice_ID]]),1,0)</f>
        <v>0</v>
      </c>
      <c r="Q1283">
        <f>IF(AND(NOT(ISBLANK(ReconciliationData[[#This Row],[Billed_Units]])),ReconciliationData[[#This Row],[ordered_units]]&lt;&gt;ReconciliationData[[#This Row],[Billed_Units]]),1,0)</f>
        <v>0</v>
      </c>
      <c r="R12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83">
        <f>IF(AND(NOT(ISBLANK(ReconciliationData[[#This Row],[Contract_Price]])),ReconciliationData[[#This Row],[Billed_Price]]&lt;&gt;ReconciliationData[[#This Row],[Contract_Price]]),1,0)</f>
        <v>0</v>
      </c>
      <c r="T1283">
        <f>IF(AND(NOT(ISBLANK(ReconciliationData[[#This Row],[End_Date]])),ReconciliationData[[#This Row],[Order_Date]]&gt;ReconciliationData[[#This Row],[End_Date]]),1,0)</f>
        <v>0</v>
      </c>
      <c r="U1283">
        <f>IF(AND(NOT(ISBLANK(ReconciliationData[[#This Row],[last_return_date]])),ReconciliationData[[#This Row],[last_return_date]]&gt;ReconciliationData[[#This Row],[Order_Date]]+60),1,0)</f>
        <v>1</v>
      </c>
      <c r="V1283">
        <f>IF(ReconciliationData[[#This Row],[total_returned_units]]&gt;ReconciliationData[[#This Row],[ordered_units]],1,0)</f>
        <v>0</v>
      </c>
      <c r="W12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83">
        <f>ReconciliationData[[#This Row],[Billed_Units]]*ReconciliationData[[#This Row],[Billed_Price]]</f>
        <v>27124.636000000002</v>
      </c>
      <c r="Y1283">
        <f>ReconciliationData[[#This Row],[ordered_units]]*ReconciliationData[[#This Row],[List_Price]]</f>
        <v>27124.636000000002</v>
      </c>
      <c r="Z1283">
        <f>ReconciliationData[[#This Row],[billed_revenue]]-ReconciliationData[[#This Row],[expected_revenue]]</f>
        <v>0</v>
      </c>
      <c r="AA12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283" t="str">
        <f>IF(ReconciliationData[[#This Row],[severity_score]]=0,"LOW",
 IF(ReconciliationData[[#This Row],[severity_score]]&lt;=5,"MEDIUM","HIGH"))</f>
        <v>MEDIUM</v>
      </c>
      <c r="AC1283" t="str">
        <f>TEXT(ReconciliationData[[#This Row],[Order_Date]],"YYYY-MM")</f>
        <v>2024-01</v>
      </c>
    </row>
    <row r="1284" spans="1:29">
      <c r="A1284" t="s">
        <v>3641</v>
      </c>
      <c r="B1284" s="1">
        <v>45544</v>
      </c>
      <c r="C1284" t="s">
        <v>2120</v>
      </c>
      <c r="D1284" t="s">
        <v>757</v>
      </c>
      <c r="E1284">
        <v>124</v>
      </c>
      <c r="F1284" t="s">
        <v>3642</v>
      </c>
      <c r="G1284">
        <v>124</v>
      </c>
      <c r="H1284">
        <v>744.44590000000005</v>
      </c>
      <c r="N1284">
        <v>744.44590000000005</v>
      </c>
      <c r="O1284" s="1">
        <v>45008</v>
      </c>
      <c r="P1284">
        <f>IF(ISBLANK(ReconciliationData[[#This Row],[Invoice_ID]]),1,0)</f>
        <v>0</v>
      </c>
      <c r="Q1284">
        <f>IF(AND(NOT(ISBLANK(ReconciliationData[[#This Row],[Billed_Units]])),ReconciliationData[[#This Row],[ordered_units]]&lt;&gt;ReconciliationData[[#This Row],[Billed_Units]]),1,0)</f>
        <v>0</v>
      </c>
      <c r="R12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84">
        <f>IF(AND(NOT(ISBLANK(ReconciliationData[[#This Row],[Contract_Price]])),ReconciliationData[[#This Row],[Billed_Price]]&lt;&gt;ReconciliationData[[#This Row],[Contract_Price]]),1,0)</f>
        <v>0</v>
      </c>
      <c r="T1284">
        <f>IF(AND(NOT(ISBLANK(ReconciliationData[[#This Row],[End_Date]])),ReconciliationData[[#This Row],[Order_Date]]&gt;ReconciliationData[[#This Row],[End_Date]]),1,0)</f>
        <v>0</v>
      </c>
      <c r="U1284">
        <f>IF(AND(NOT(ISBLANK(ReconciliationData[[#This Row],[last_return_date]])),ReconciliationData[[#This Row],[last_return_date]]&gt;ReconciliationData[[#This Row],[Order_Date]]+60),1,0)</f>
        <v>0</v>
      </c>
      <c r="V1284">
        <f>IF(ReconciliationData[[#This Row],[total_returned_units]]&gt;ReconciliationData[[#This Row],[ordered_units]],1,0)</f>
        <v>0</v>
      </c>
      <c r="W12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84">
        <f>ReconciliationData[[#This Row],[Billed_Units]]*ReconciliationData[[#This Row],[Billed_Price]]</f>
        <v>92311.291600000011</v>
      </c>
      <c r="Y1284">
        <f>ReconciliationData[[#This Row],[ordered_units]]*ReconciliationData[[#This Row],[List_Price]]</f>
        <v>92311.291600000011</v>
      </c>
      <c r="Z1284">
        <f>ReconciliationData[[#This Row],[billed_revenue]]-ReconciliationData[[#This Row],[expected_revenue]]</f>
        <v>0</v>
      </c>
      <c r="AA12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84" t="str">
        <f>IF(ReconciliationData[[#This Row],[severity_score]]=0,"LOW",
 IF(ReconciliationData[[#This Row],[severity_score]]&lt;=5,"MEDIUM","HIGH"))</f>
        <v>LOW</v>
      </c>
      <c r="AC1284" t="str">
        <f>TEXT(ReconciliationData[[#This Row],[Order_Date]],"YYYY-MM")</f>
        <v>2024-09</v>
      </c>
    </row>
    <row r="1285" spans="1:29">
      <c r="A1285" t="s">
        <v>3643</v>
      </c>
      <c r="B1285" s="1">
        <v>45223</v>
      </c>
      <c r="C1285" t="s">
        <v>2614</v>
      </c>
      <c r="D1285" t="s">
        <v>1495</v>
      </c>
      <c r="E1285">
        <v>43</v>
      </c>
      <c r="F1285" t="s">
        <v>3644</v>
      </c>
      <c r="G1285">
        <v>43</v>
      </c>
      <c r="H1285">
        <v>377.08350000000002</v>
      </c>
      <c r="N1285">
        <v>377.08350000000002</v>
      </c>
      <c r="O1285" s="1">
        <v>45064</v>
      </c>
      <c r="P1285">
        <f>IF(ISBLANK(ReconciliationData[[#This Row],[Invoice_ID]]),1,0)</f>
        <v>0</v>
      </c>
      <c r="Q1285">
        <f>IF(AND(NOT(ISBLANK(ReconciliationData[[#This Row],[Billed_Units]])),ReconciliationData[[#This Row],[ordered_units]]&lt;&gt;ReconciliationData[[#This Row],[Billed_Units]]),1,0)</f>
        <v>0</v>
      </c>
      <c r="R12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85">
        <f>IF(AND(NOT(ISBLANK(ReconciliationData[[#This Row],[Contract_Price]])),ReconciliationData[[#This Row],[Billed_Price]]&lt;&gt;ReconciliationData[[#This Row],[Contract_Price]]),1,0)</f>
        <v>0</v>
      </c>
      <c r="T1285">
        <f>IF(AND(NOT(ISBLANK(ReconciliationData[[#This Row],[End_Date]])),ReconciliationData[[#This Row],[Order_Date]]&gt;ReconciliationData[[#This Row],[End_Date]]),1,0)</f>
        <v>0</v>
      </c>
      <c r="U1285">
        <f>IF(AND(NOT(ISBLANK(ReconciliationData[[#This Row],[last_return_date]])),ReconciliationData[[#This Row],[last_return_date]]&gt;ReconciliationData[[#This Row],[Order_Date]]+60),1,0)</f>
        <v>0</v>
      </c>
      <c r="V1285">
        <f>IF(ReconciliationData[[#This Row],[total_returned_units]]&gt;ReconciliationData[[#This Row],[ordered_units]],1,0)</f>
        <v>0</v>
      </c>
      <c r="W12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85">
        <f>ReconciliationData[[#This Row],[Billed_Units]]*ReconciliationData[[#This Row],[Billed_Price]]</f>
        <v>16214.5905</v>
      </c>
      <c r="Y1285">
        <f>ReconciliationData[[#This Row],[ordered_units]]*ReconciliationData[[#This Row],[List_Price]]</f>
        <v>16214.5905</v>
      </c>
      <c r="Z1285">
        <f>ReconciliationData[[#This Row],[billed_revenue]]-ReconciliationData[[#This Row],[expected_revenue]]</f>
        <v>0</v>
      </c>
      <c r="AA12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85" t="str">
        <f>IF(ReconciliationData[[#This Row],[severity_score]]=0,"LOW",
 IF(ReconciliationData[[#This Row],[severity_score]]&lt;=5,"MEDIUM","HIGH"))</f>
        <v>LOW</v>
      </c>
      <c r="AC1285" t="str">
        <f>TEXT(ReconciliationData[[#This Row],[Order_Date]],"YYYY-MM")</f>
        <v>2023-10</v>
      </c>
    </row>
    <row r="1286" spans="1:29">
      <c r="A1286" t="s">
        <v>3645</v>
      </c>
      <c r="B1286" s="1">
        <v>44959</v>
      </c>
      <c r="C1286" t="s">
        <v>3646</v>
      </c>
      <c r="D1286" t="s">
        <v>841</v>
      </c>
      <c r="E1286">
        <v>55</v>
      </c>
      <c r="F1286" t="s">
        <v>3647</v>
      </c>
      <c r="G1286">
        <v>55</v>
      </c>
      <c r="H1286">
        <v>171.78</v>
      </c>
      <c r="N1286">
        <v>171.78</v>
      </c>
      <c r="O1286" s="1">
        <v>44598</v>
      </c>
      <c r="P1286">
        <f>IF(ISBLANK(ReconciliationData[[#This Row],[Invoice_ID]]),1,0)</f>
        <v>0</v>
      </c>
      <c r="Q1286">
        <f>IF(AND(NOT(ISBLANK(ReconciliationData[[#This Row],[Billed_Units]])),ReconciliationData[[#This Row],[ordered_units]]&lt;&gt;ReconciliationData[[#This Row],[Billed_Units]]),1,0)</f>
        <v>0</v>
      </c>
      <c r="R12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86">
        <f>IF(AND(NOT(ISBLANK(ReconciliationData[[#This Row],[Contract_Price]])),ReconciliationData[[#This Row],[Billed_Price]]&lt;&gt;ReconciliationData[[#This Row],[Contract_Price]]),1,0)</f>
        <v>0</v>
      </c>
      <c r="T1286">
        <f>IF(AND(NOT(ISBLANK(ReconciliationData[[#This Row],[End_Date]])),ReconciliationData[[#This Row],[Order_Date]]&gt;ReconciliationData[[#This Row],[End_Date]]),1,0)</f>
        <v>0</v>
      </c>
      <c r="U1286">
        <f>IF(AND(NOT(ISBLANK(ReconciliationData[[#This Row],[last_return_date]])),ReconciliationData[[#This Row],[last_return_date]]&gt;ReconciliationData[[#This Row],[Order_Date]]+60),1,0)</f>
        <v>0</v>
      </c>
      <c r="V1286">
        <f>IF(ReconciliationData[[#This Row],[total_returned_units]]&gt;ReconciliationData[[#This Row],[ordered_units]],1,0)</f>
        <v>0</v>
      </c>
      <c r="W12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86">
        <f>ReconciliationData[[#This Row],[Billed_Units]]*ReconciliationData[[#This Row],[Billed_Price]]</f>
        <v>9447.9</v>
      </c>
      <c r="Y1286">
        <f>ReconciliationData[[#This Row],[ordered_units]]*ReconciliationData[[#This Row],[List_Price]]</f>
        <v>9447.9</v>
      </c>
      <c r="Z1286">
        <f>ReconciliationData[[#This Row],[billed_revenue]]-ReconciliationData[[#This Row],[expected_revenue]]</f>
        <v>0</v>
      </c>
      <c r="AA12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86" t="str">
        <f>IF(ReconciliationData[[#This Row],[severity_score]]=0,"LOW",
 IF(ReconciliationData[[#This Row],[severity_score]]&lt;=5,"MEDIUM","HIGH"))</f>
        <v>LOW</v>
      </c>
      <c r="AC1286" t="str">
        <f>TEXT(ReconciliationData[[#This Row],[Order_Date]],"YYYY-MM")</f>
        <v>2023-02</v>
      </c>
    </row>
    <row r="1287" spans="1:29">
      <c r="A1287" t="s">
        <v>3648</v>
      </c>
      <c r="B1287" s="1">
        <v>45283</v>
      </c>
      <c r="C1287" t="s">
        <v>947</v>
      </c>
      <c r="D1287" t="s">
        <v>1549</v>
      </c>
      <c r="E1287">
        <v>81</v>
      </c>
      <c r="F1287" t="s">
        <v>3649</v>
      </c>
      <c r="G1287">
        <v>81</v>
      </c>
      <c r="H1287">
        <v>234.87090000000001</v>
      </c>
      <c r="N1287">
        <v>234.87090000000001</v>
      </c>
      <c r="O1287" s="1">
        <v>45150</v>
      </c>
      <c r="P1287">
        <f>IF(ISBLANK(ReconciliationData[[#This Row],[Invoice_ID]]),1,0)</f>
        <v>0</v>
      </c>
      <c r="Q1287">
        <f>IF(AND(NOT(ISBLANK(ReconciliationData[[#This Row],[Billed_Units]])),ReconciliationData[[#This Row],[ordered_units]]&lt;&gt;ReconciliationData[[#This Row],[Billed_Units]]),1,0)</f>
        <v>0</v>
      </c>
      <c r="R12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87">
        <f>IF(AND(NOT(ISBLANK(ReconciliationData[[#This Row],[Contract_Price]])),ReconciliationData[[#This Row],[Billed_Price]]&lt;&gt;ReconciliationData[[#This Row],[Contract_Price]]),1,0)</f>
        <v>0</v>
      </c>
      <c r="T1287">
        <f>IF(AND(NOT(ISBLANK(ReconciliationData[[#This Row],[End_Date]])),ReconciliationData[[#This Row],[Order_Date]]&gt;ReconciliationData[[#This Row],[End_Date]]),1,0)</f>
        <v>0</v>
      </c>
      <c r="U1287">
        <f>IF(AND(NOT(ISBLANK(ReconciliationData[[#This Row],[last_return_date]])),ReconciliationData[[#This Row],[last_return_date]]&gt;ReconciliationData[[#This Row],[Order_Date]]+60),1,0)</f>
        <v>0</v>
      </c>
      <c r="V1287">
        <f>IF(ReconciliationData[[#This Row],[total_returned_units]]&gt;ReconciliationData[[#This Row],[ordered_units]],1,0)</f>
        <v>0</v>
      </c>
      <c r="W12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87">
        <f>ReconciliationData[[#This Row],[Billed_Units]]*ReconciliationData[[#This Row],[Billed_Price]]</f>
        <v>19024.5429</v>
      </c>
      <c r="Y1287">
        <f>ReconciliationData[[#This Row],[ordered_units]]*ReconciliationData[[#This Row],[List_Price]]</f>
        <v>19024.5429</v>
      </c>
      <c r="Z1287">
        <f>ReconciliationData[[#This Row],[billed_revenue]]-ReconciliationData[[#This Row],[expected_revenue]]</f>
        <v>0</v>
      </c>
      <c r="AA12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87" t="str">
        <f>IF(ReconciliationData[[#This Row],[severity_score]]=0,"LOW",
 IF(ReconciliationData[[#This Row],[severity_score]]&lt;=5,"MEDIUM","HIGH"))</f>
        <v>LOW</v>
      </c>
      <c r="AC1287" t="str">
        <f>TEXT(ReconciliationData[[#This Row],[Order_Date]],"YYYY-MM")</f>
        <v>2023-12</v>
      </c>
    </row>
    <row r="1288" spans="1:29">
      <c r="A1288" t="s">
        <v>3650</v>
      </c>
      <c r="B1288" s="1">
        <v>45431</v>
      </c>
      <c r="C1288" t="s">
        <v>467</v>
      </c>
      <c r="D1288" t="s">
        <v>423</v>
      </c>
      <c r="E1288">
        <v>119</v>
      </c>
      <c r="F1288" t="s">
        <v>3651</v>
      </c>
      <c r="G1288">
        <v>119</v>
      </c>
      <c r="H1288">
        <v>168.12909999999999</v>
      </c>
      <c r="N1288">
        <v>168.12909999999999</v>
      </c>
      <c r="O1288" s="1">
        <v>45013</v>
      </c>
      <c r="P1288">
        <f>IF(ISBLANK(ReconciliationData[[#This Row],[Invoice_ID]]),1,0)</f>
        <v>0</v>
      </c>
      <c r="Q1288">
        <f>IF(AND(NOT(ISBLANK(ReconciliationData[[#This Row],[Billed_Units]])),ReconciliationData[[#This Row],[ordered_units]]&lt;&gt;ReconciliationData[[#This Row],[Billed_Units]]),1,0)</f>
        <v>0</v>
      </c>
      <c r="R12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88">
        <f>IF(AND(NOT(ISBLANK(ReconciliationData[[#This Row],[Contract_Price]])),ReconciliationData[[#This Row],[Billed_Price]]&lt;&gt;ReconciliationData[[#This Row],[Contract_Price]]),1,0)</f>
        <v>0</v>
      </c>
      <c r="T1288">
        <f>IF(AND(NOT(ISBLANK(ReconciliationData[[#This Row],[End_Date]])),ReconciliationData[[#This Row],[Order_Date]]&gt;ReconciliationData[[#This Row],[End_Date]]),1,0)</f>
        <v>0</v>
      </c>
      <c r="U1288">
        <f>IF(AND(NOT(ISBLANK(ReconciliationData[[#This Row],[last_return_date]])),ReconciliationData[[#This Row],[last_return_date]]&gt;ReconciliationData[[#This Row],[Order_Date]]+60),1,0)</f>
        <v>0</v>
      </c>
      <c r="V1288">
        <f>IF(ReconciliationData[[#This Row],[total_returned_units]]&gt;ReconciliationData[[#This Row],[ordered_units]],1,0)</f>
        <v>0</v>
      </c>
      <c r="W12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88">
        <f>ReconciliationData[[#This Row],[Billed_Units]]*ReconciliationData[[#This Row],[Billed_Price]]</f>
        <v>20007.3629</v>
      </c>
      <c r="Y1288">
        <f>ReconciliationData[[#This Row],[ordered_units]]*ReconciliationData[[#This Row],[List_Price]]</f>
        <v>20007.3629</v>
      </c>
      <c r="Z1288">
        <f>ReconciliationData[[#This Row],[billed_revenue]]-ReconciliationData[[#This Row],[expected_revenue]]</f>
        <v>0</v>
      </c>
      <c r="AA12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88" t="str">
        <f>IF(ReconciliationData[[#This Row],[severity_score]]=0,"LOW",
 IF(ReconciliationData[[#This Row],[severity_score]]&lt;=5,"MEDIUM","HIGH"))</f>
        <v>LOW</v>
      </c>
      <c r="AC1288" t="str">
        <f>TEXT(ReconciliationData[[#This Row],[Order_Date]],"YYYY-MM")</f>
        <v>2024-05</v>
      </c>
    </row>
    <row r="1289" spans="1:29">
      <c r="A1289" t="s">
        <v>3652</v>
      </c>
      <c r="B1289" s="1">
        <v>45054</v>
      </c>
      <c r="C1289" t="s">
        <v>3653</v>
      </c>
      <c r="D1289" t="s">
        <v>162</v>
      </c>
      <c r="E1289">
        <v>117</v>
      </c>
      <c r="F1289" t="s">
        <v>3654</v>
      </c>
      <c r="G1289">
        <v>117</v>
      </c>
      <c r="H1289">
        <v>510.91840000000002</v>
      </c>
      <c r="N1289">
        <v>510.91840000000002</v>
      </c>
      <c r="O1289" s="1">
        <v>44981</v>
      </c>
      <c r="P1289">
        <f>IF(ISBLANK(ReconciliationData[[#This Row],[Invoice_ID]]),1,0)</f>
        <v>0</v>
      </c>
      <c r="Q1289">
        <f>IF(AND(NOT(ISBLANK(ReconciliationData[[#This Row],[Billed_Units]])),ReconciliationData[[#This Row],[ordered_units]]&lt;&gt;ReconciliationData[[#This Row],[Billed_Units]]),1,0)</f>
        <v>0</v>
      </c>
      <c r="R12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89">
        <f>IF(AND(NOT(ISBLANK(ReconciliationData[[#This Row],[Contract_Price]])),ReconciliationData[[#This Row],[Billed_Price]]&lt;&gt;ReconciliationData[[#This Row],[Contract_Price]]),1,0)</f>
        <v>0</v>
      </c>
      <c r="T1289">
        <f>IF(AND(NOT(ISBLANK(ReconciliationData[[#This Row],[End_Date]])),ReconciliationData[[#This Row],[Order_Date]]&gt;ReconciliationData[[#This Row],[End_Date]]),1,0)</f>
        <v>0</v>
      </c>
      <c r="U1289">
        <f>IF(AND(NOT(ISBLANK(ReconciliationData[[#This Row],[last_return_date]])),ReconciliationData[[#This Row],[last_return_date]]&gt;ReconciliationData[[#This Row],[Order_Date]]+60),1,0)</f>
        <v>0</v>
      </c>
      <c r="V1289">
        <f>IF(ReconciliationData[[#This Row],[total_returned_units]]&gt;ReconciliationData[[#This Row],[ordered_units]],1,0)</f>
        <v>0</v>
      </c>
      <c r="W12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89">
        <f>ReconciliationData[[#This Row],[Billed_Units]]*ReconciliationData[[#This Row],[Billed_Price]]</f>
        <v>59777.452799999999</v>
      </c>
      <c r="Y1289">
        <f>ReconciliationData[[#This Row],[ordered_units]]*ReconciliationData[[#This Row],[List_Price]]</f>
        <v>59777.452799999999</v>
      </c>
      <c r="Z1289">
        <f>ReconciliationData[[#This Row],[billed_revenue]]-ReconciliationData[[#This Row],[expected_revenue]]</f>
        <v>0</v>
      </c>
      <c r="AA12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89" t="str">
        <f>IF(ReconciliationData[[#This Row],[severity_score]]=0,"LOW",
 IF(ReconciliationData[[#This Row],[severity_score]]&lt;=5,"MEDIUM","HIGH"))</f>
        <v>LOW</v>
      </c>
      <c r="AC1289" t="str">
        <f>TEXT(ReconciliationData[[#This Row],[Order_Date]],"YYYY-MM")</f>
        <v>2023-05</v>
      </c>
    </row>
    <row r="1290" spans="1:29">
      <c r="A1290" t="s">
        <v>3655</v>
      </c>
      <c r="B1290" s="1">
        <v>45392</v>
      </c>
      <c r="C1290" t="s">
        <v>1000</v>
      </c>
      <c r="D1290" t="s">
        <v>162</v>
      </c>
      <c r="E1290">
        <v>44</v>
      </c>
      <c r="F1290" t="s">
        <v>3656</v>
      </c>
      <c r="G1290">
        <v>44</v>
      </c>
      <c r="H1290">
        <v>510.91840000000002</v>
      </c>
      <c r="N1290">
        <v>510.91840000000002</v>
      </c>
      <c r="O1290" s="1">
        <v>44981</v>
      </c>
      <c r="P1290">
        <f>IF(ISBLANK(ReconciliationData[[#This Row],[Invoice_ID]]),1,0)</f>
        <v>0</v>
      </c>
      <c r="Q1290">
        <f>IF(AND(NOT(ISBLANK(ReconciliationData[[#This Row],[Billed_Units]])),ReconciliationData[[#This Row],[ordered_units]]&lt;&gt;ReconciliationData[[#This Row],[Billed_Units]]),1,0)</f>
        <v>0</v>
      </c>
      <c r="R12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0">
        <f>IF(AND(NOT(ISBLANK(ReconciliationData[[#This Row],[Contract_Price]])),ReconciliationData[[#This Row],[Billed_Price]]&lt;&gt;ReconciliationData[[#This Row],[Contract_Price]]),1,0)</f>
        <v>0</v>
      </c>
      <c r="T1290">
        <f>IF(AND(NOT(ISBLANK(ReconciliationData[[#This Row],[End_Date]])),ReconciliationData[[#This Row],[Order_Date]]&gt;ReconciliationData[[#This Row],[End_Date]]),1,0)</f>
        <v>0</v>
      </c>
      <c r="U1290">
        <f>IF(AND(NOT(ISBLANK(ReconciliationData[[#This Row],[last_return_date]])),ReconciliationData[[#This Row],[last_return_date]]&gt;ReconciliationData[[#This Row],[Order_Date]]+60),1,0)</f>
        <v>0</v>
      </c>
      <c r="V1290">
        <f>IF(ReconciliationData[[#This Row],[total_returned_units]]&gt;ReconciliationData[[#This Row],[ordered_units]],1,0)</f>
        <v>0</v>
      </c>
      <c r="W12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90">
        <f>ReconciliationData[[#This Row],[Billed_Units]]*ReconciliationData[[#This Row],[Billed_Price]]</f>
        <v>22480.409599999999</v>
      </c>
      <c r="Y1290">
        <f>ReconciliationData[[#This Row],[ordered_units]]*ReconciliationData[[#This Row],[List_Price]]</f>
        <v>22480.409599999999</v>
      </c>
      <c r="Z1290">
        <f>ReconciliationData[[#This Row],[billed_revenue]]-ReconciliationData[[#This Row],[expected_revenue]]</f>
        <v>0</v>
      </c>
      <c r="AA12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90" t="str">
        <f>IF(ReconciliationData[[#This Row],[severity_score]]=0,"LOW",
 IF(ReconciliationData[[#This Row],[severity_score]]&lt;=5,"MEDIUM","HIGH"))</f>
        <v>LOW</v>
      </c>
      <c r="AC1290" t="str">
        <f>TEXT(ReconciliationData[[#This Row],[Order_Date]],"YYYY-MM")</f>
        <v>2024-04</v>
      </c>
    </row>
    <row r="1291" spans="1:29">
      <c r="A1291" t="s">
        <v>3657</v>
      </c>
      <c r="B1291" s="1">
        <v>45289</v>
      </c>
      <c r="C1291" t="s">
        <v>1844</v>
      </c>
      <c r="D1291" t="s">
        <v>479</v>
      </c>
      <c r="E1291">
        <v>20</v>
      </c>
      <c r="F1291" t="s">
        <v>3658</v>
      </c>
      <c r="G1291">
        <v>20</v>
      </c>
      <c r="H1291">
        <v>1014.5718000000001</v>
      </c>
      <c r="N1291">
        <v>1014.5718000000001</v>
      </c>
      <c r="O1291" s="1">
        <v>45035</v>
      </c>
      <c r="P1291">
        <f>IF(ISBLANK(ReconciliationData[[#This Row],[Invoice_ID]]),1,0)</f>
        <v>0</v>
      </c>
      <c r="Q1291">
        <f>IF(AND(NOT(ISBLANK(ReconciliationData[[#This Row],[Billed_Units]])),ReconciliationData[[#This Row],[ordered_units]]&lt;&gt;ReconciliationData[[#This Row],[Billed_Units]]),1,0)</f>
        <v>0</v>
      </c>
      <c r="R12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1">
        <f>IF(AND(NOT(ISBLANK(ReconciliationData[[#This Row],[Contract_Price]])),ReconciliationData[[#This Row],[Billed_Price]]&lt;&gt;ReconciliationData[[#This Row],[Contract_Price]]),1,0)</f>
        <v>0</v>
      </c>
      <c r="T1291">
        <f>IF(AND(NOT(ISBLANK(ReconciliationData[[#This Row],[End_Date]])),ReconciliationData[[#This Row],[Order_Date]]&gt;ReconciliationData[[#This Row],[End_Date]]),1,0)</f>
        <v>0</v>
      </c>
      <c r="U1291">
        <f>IF(AND(NOT(ISBLANK(ReconciliationData[[#This Row],[last_return_date]])),ReconciliationData[[#This Row],[last_return_date]]&gt;ReconciliationData[[#This Row],[Order_Date]]+60),1,0)</f>
        <v>0</v>
      </c>
      <c r="V1291">
        <f>IF(ReconciliationData[[#This Row],[total_returned_units]]&gt;ReconciliationData[[#This Row],[ordered_units]],1,0)</f>
        <v>0</v>
      </c>
      <c r="W12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91">
        <f>ReconciliationData[[#This Row],[Billed_Units]]*ReconciliationData[[#This Row],[Billed_Price]]</f>
        <v>20291.436000000002</v>
      </c>
      <c r="Y1291">
        <f>ReconciliationData[[#This Row],[ordered_units]]*ReconciliationData[[#This Row],[List_Price]]</f>
        <v>20291.436000000002</v>
      </c>
      <c r="Z1291">
        <f>ReconciliationData[[#This Row],[billed_revenue]]-ReconciliationData[[#This Row],[expected_revenue]]</f>
        <v>0</v>
      </c>
      <c r="AA12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91" t="str">
        <f>IF(ReconciliationData[[#This Row],[severity_score]]=0,"LOW",
 IF(ReconciliationData[[#This Row],[severity_score]]&lt;=5,"MEDIUM","HIGH"))</f>
        <v>LOW</v>
      </c>
      <c r="AC1291" t="str">
        <f>TEXT(ReconciliationData[[#This Row],[Order_Date]],"YYYY-MM")</f>
        <v>2023-12</v>
      </c>
    </row>
    <row r="1292" spans="1:29">
      <c r="A1292" t="s">
        <v>3659</v>
      </c>
      <c r="B1292" s="1">
        <v>45632</v>
      </c>
      <c r="C1292" t="s">
        <v>3309</v>
      </c>
      <c r="D1292" t="s">
        <v>381</v>
      </c>
      <c r="E1292">
        <v>162</v>
      </c>
      <c r="F1292" t="s">
        <v>3660</v>
      </c>
      <c r="G1292">
        <v>157</v>
      </c>
      <c r="H1292">
        <v>942.54840000000013</v>
      </c>
      <c r="N1292">
        <v>942.54840000000013</v>
      </c>
      <c r="O1292" s="1">
        <v>45086</v>
      </c>
      <c r="P1292">
        <f>IF(ISBLANK(ReconciliationData[[#This Row],[Invoice_ID]]),1,0)</f>
        <v>0</v>
      </c>
      <c r="Q1292">
        <f>IF(AND(NOT(ISBLANK(ReconciliationData[[#This Row],[Billed_Units]])),ReconciliationData[[#This Row],[ordered_units]]&lt;&gt;ReconciliationData[[#This Row],[Billed_Units]]),1,0)</f>
        <v>1</v>
      </c>
      <c r="R12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2">
        <f>IF(AND(NOT(ISBLANK(ReconciliationData[[#This Row],[Contract_Price]])),ReconciliationData[[#This Row],[Billed_Price]]&lt;&gt;ReconciliationData[[#This Row],[Contract_Price]]),1,0)</f>
        <v>0</v>
      </c>
      <c r="T1292">
        <f>IF(AND(NOT(ISBLANK(ReconciliationData[[#This Row],[End_Date]])),ReconciliationData[[#This Row],[Order_Date]]&gt;ReconciliationData[[#This Row],[End_Date]]),1,0)</f>
        <v>0</v>
      </c>
      <c r="U1292">
        <f>IF(AND(NOT(ISBLANK(ReconciliationData[[#This Row],[last_return_date]])),ReconciliationData[[#This Row],[last_return_date]]&gt;ReconciliationData[[#This Row],[Order_Date]]+60),1,0)</f>
        <v>0</v>
      </c>
      <c r="V1292">
        <f>IF(ReconciliationData[[#This Row],[total_returned_units]]&gt;ReconciliationData[[#This Row],[ordered_units]],1,0)</f>
        <v>0</v>
      </c>
      <c r="W12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92">
        <f>ReconciliationData[[#This Row],[Billed_Units]]*ReconciliationData[[#This Row],[Billed_Price]]</f>
        <v>147980.09880000001</v>
      </c>
      <c r="Y1292">
        <f>ReconciliationData[[#This Row],[ordered_units]]*ReconciliationData[[#This Row],[List_Price]]</f>
        <v>152692.84080000003</v>
      </c>
      <c r="Z1292">
        <f>ReconciliationData[[#This Row],[billed_revenue]]-ReconciliationData[[#This Row],[expected_revenue]]</f>
        <v>-4712.7420000000275</v>
      </c>
      <c r="AA12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292" t="str">
        <f>IF(ReconciliationData[[#This Row],[severity_score]]=0,"LOW",
 IF(ReconciliationData[[#This Row],[severity_score]]&lt;=5,"MEDIUM","HIGH"))</f>
        <v>HIGH</v>
      </c>
      <c r="AC1292" t="str">
        <f>TEXT(ReconciliationData[[#This Row],[Order_Date]],"YYYY-MM")</f>
        <v>2024-12</v>
      </c>
    </row>
    <row r="1293" spans="1:29">
      <c r="A1293" t="s">
        <v>3661</v>
      </c>
      <c r="B1293" s="1">
        <v>45407</v>
      </c>
      <c r="C1293" t="s">
        <v>486</v>
      </c>
      <c r="D1293" t="s">
        <v>1459</v>
      </c>
      <c r="E1293">
        <v>25</v>
      </c>
      <c r="F1293" t="s">
        <v>3662</v>
      </c>
      <c r="G1293">
        <v>25</v>
      </c>
      <c r="H1293">
        <v>1149.8634</v>
      </c>
      <c r="N1293">
        <v>1149.8634</v>
      </c>
      <c r="O1293" s="1">
        <v>45135</v>
      </c>
      <c r="P1293">
        <f>IF(ISBLANK(ReconciliationData[[#This Row],[Invoice_ID]]),1,0)</f>
        <v>0</v>
      </c>
      <c r="Q1293">
        <f>IF(AND(NOT(ISBLANK(ReconciliationData[[#This Row],[Billed_Units]])),ReconciliationData[[#This Row],[ordered_units]]&lt;&gt;ReconciliationData[[#This Row],[Billed_Units]]),1,0)</f>
        <v>0</v>
      </c>
      <c r="R12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3">
        <f>IF(AND(NOT(ISBLANK(ReconciliationData[[#This Row],[Contract_Price]])),ReconciliationData[[#This Row],[Billed_Price]]&lt;&gt;ReconciliationData[[#This Row],[Contract_Price]]),1,0)</f>
        <v>0</v>
      </c>
      <c r="T1293">
        <f>IF(AND(NOT(ISBLANK(ReconciliationData[[#This Row],[End_Date]])),ReconciliationData[[#This Row],[Order_Date]]&gt;ReconciliationData[[#This Row],[End_Date]]),1,0)</f>
        <v>0</v>
      </c>
      <c r="U1293">
        <f>IF(AND(NOT(ISBLANK(ReconciliationData[[#This Row],[last_return_date]])),ReconciliationData[[#This Row],[last_return_date]]&gt;ReconciliationData[[#This Row],[Order_Date]]+60),1,0)</f>
        <v>0</v>
      </c>
      <c r="V1293">
        <f>IF(ReconciliationData[[#This Row],[total_returned_units]]&gt;ReconciliationData[[#This Row],[ordered_units]],1,0)</f>
        <v>0</v>
      </c>
      <c r="W12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93">
        <f>ReconciliationData[[#This Row],[Billed_Units]]*ReconciliationData[[#This Row],[Billed_Price]]</f>
        <v>28746.584999999999</v>
      </c>
      <c r="Y1293">
        <f>ReconciliationData[[#This Row],[ordered_units]]*ReconciliationData[[#This Row],[List_Price]]</f>
        <v>28746.584999999999</v>
      </c>
      <c r="Z1293">
        <f>ReconciliationData[[#This Row],[billed_revenue]]-ReconciliationData[[#This Row],[expected_revenue]]</f>
        <v>0</v>
      </c>
      <c r="AA12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93" t="str">
        <f>IF(ReconciliationData[[#This Row],[severity_score]]=0,"LOW",
 IF(ReconciliationData[[#This Row],[severity_score]]&lt;=5,"MEDIUM","HIGH"))</f>
        <v>LOW</v>
      </c>
      <c r="AC1293" t="str">
        <f>TEXT(ReconciliationData[[#This Row],[Order_Date]],"YYYY-MM")</f>
        <v>2024-04</v>
      </c>
    </row>
    <row r="1294" spans="1:29">
      <c r="A1294" t="s">
        <v>3663</v>
      </c>
      <c r="B1294" s="1">
        <v>45070</v>
      </c>
      <c r="C1294" t="s">
        <v>3664</v>
      </c>
      <c r="D1294" t="s">
        <v>166</v>
      </c>
      <c r="E1294">
        <v>177</v>
      </c>
      <c r="F1294" t="s">
        <v>3665</v>
      </c>
      <c r="G1294">
        <v>177</v>
      </c>
      <c r="H1294">
        <v>365.95330000000001</v>
      </c>
      <c r="N1294">
        <v>365.95330000000001</v>
      </c>
      <c r="O1294" s="1">
        <v>44824</v>
      </c>
      <c r="P1294">
        <f>IF(ISBLANK(ReconciliationData[[#This Row],[Invoice_ID]]),1,0)</f>
        <v>0</v>
      </c>
      <c r="Q1294">
        <f>IF(AND(NOT(ISBLANK(ReconciliationData[[#This Row],[Billed_Units]])),ReconciliationData[[#This Row],[ordered_units]]&lt;&gt;ReconciliationData[[#This Row],[Billed_Units]]),1,0)</f>
        <v>0</v>
      </c>
      <c r="R12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4">
        <f>IF(AND(NOT(ISBLANK(ReconciliationData[[#This Row],[Contract_Price]])),ReconciliationData[[#This Row],[Billed_Price]]&lt;&gt;ReconciliationData[[#This Row],[Contract_Price]]),1,0)</f>
        <v>0</v>
      </c>
      <c r="T1294">
        <f>IF(AND(NOT(ISBLANK(ReconciliationData[[#This Row],[End_Date]])),ReconciliationData[[#This Row],[Order_Date]]&gt;ReconciliationData[[#This Row],[End_Date]]),1,0)</f>
        <v>0</v>
      </c>
      <c r="U1294">
        <f>IF(AND(NOT(ISBLANK(ReconciliationData[[#This Row],[last_return_date]])),ReconciliationData[[#This Row],[last_return_date]]&gt;ReconciliationData[[#This Row],[Order_Date]]+60),1,0)</f>
        <v>0</v>
      </c>
      <c r="V1294">
        <f>IF(ReconciliationData[[#This Row],[total_returned_units]]&gt;ReconciliationData[[#This Row],[ordered_units]],1,0)</f>
        <v>0</v>
      </c>
      <c r="W12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94">
        <f>ReconciliationData[[#This Row],[Billed_Units]]*ReconciliationData[[#This Row],[Billed_Price]]</f>
        <v>64773.734100000001</v>
      </c>
      <c r="Y1294">
        <f>ReconciliationData[[#This Row],[ordered_units]]*ReconciliationData[[#This Row],[List_Price]]</f>
        <v>64773.734100000001</v>
      </c>
      <c r="Z1294">
        <f>ReconciliationData[[#This Row],[billed_revenue]]-ReconciliationData[[#This Row],[expected_revenue]]</f>
        <v>0</v>
      </c>
      <c r="AA12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94" t="str">
        <f>IF(ReconciliationData[[#This Row],[severity_score]]=0,"LOW",
 IF(ReconciliationData[[#This Row],[severity_score]]&lt;=5,"MEDIUM","HIGH"))</f>
        <v>LOW</v>
      </c>
      <c r="AC1294" t="str">
        <f>TEXT(ReconciliationData[[#This Row],[Order_Date]],"YYYY-MM")</f>
        <v>2023-05</v>
      </c>
    </row>
    <row r="1295" spans="1:29">
      <c r="A1295" t="s">
        <v>3666</v>
      </c>
      <c r="B1295" s="1">
        <v>45371</v>
      </c>
      <c r="C1295" t="s">
        <v>2100</v>
      </c>
      <c r="D1295" t="s">
        <v>2853</v>
      </c>
      <c r="E1295">
        <v>132</v>
      </c>
      <c r="F1295" t="s">
        <v>3667</v>
      </c>
      <c r="G1295">
        <v>132</v>
      </c>
      <c r="H1295">
        <v>278.27100000000002</v>
      </c>
      <c r="N1295">
        <v>278.27100000000002</v>
      </c>
      <c r="O1295" s="1">
        <v>45119</v>
      </c>
      <c r="P1295">
        <f>IF(ISBLANK(ReconciliationData[[#This Row],[Invoice_ID]]),1,0)</f>
        <v>0</v>
      </c>
      <c r="Q1295">
        <f>IF(AND(NOT(ISBLANK(ReconciliationData[[#This Row],[Billed_Units]])),ReconciliationData[[#This Row],[ordered_units]]&lt;&gt;ReconciliationData[[#This Row],[Billed_Units]]),1,0)</f>
        <v>0</v>
      </c>
      <c r="R12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5">
        <f>IF(AND(NOT(ISBLANK(ReconciliationData[[#This Row],[Contract_Price]])),ReconciliationData[[#This Row],[Billed_Price]]&lt;&gt;ReconciliationData[[#This Row],[Contract_Price]]),1,0)</f>
        <v>0</v>
      </c>
      <c r="T1295">
        <f>IF(AND(NOT(ISBLANK(ReconciliationData[[#This Row],[End_Date]])),ReconciliationData[[#This Row],[Order_Date]]&gt;ReconciliationData[[#This Row],[End_Date]]),1,0)</f>
        <v>0</v>
      </c>
      <c r="U1295">
        <f>IF(AND(NOT(ISBLANK(ReconciliationData[[#This Row],[last_return_date]])),ReconciliationData[[#This Row],[last_return_date]]&gt;ReconciliationData[[#This Row],[Order_Date]]+60),1,0)</f>
        <v>0</v>
      </c>
      <c r="V1295">
        <f>IF(ReconciliationData[[#This Row],[total_returned_units]]&gt;ReconciliationData[[#This Row],[ordered_units]],1,0)</f>
        <v>0</v>
      </c>
      <c r="W12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95">
        <f>ReconciliationData[[#This Row],[Billed_Units]]*ReconciliationData[[#This Row],[Billed_Price]]</f>
        <v>36731.772000000004</v>
      </c>
      <c r="Y1295">
        <f>ReconciliationData[[#This Row],[ordered_units]]*ReconciliationData[[#This Row],[List_Price]]</f>
        <v>36731.772000000004</v>
      </c>
      <c r="Z1295">
        <f>ReconciliationData[[#This Row],[billed_revenue]]-ReconciliationData[[#This Row],[expected_revenue]]</f>
        <v>0</v>
      </c>
      <c r="AA12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95" t="str">
        <f>IF(ReconciliationData[[#This Row],[severity_score]]=0,"LOW",
 IF(ReconciliationData[[#This Row],[severity_score]]&lt;=5,"MEDIUM","HIGH"))</f>
        <v>LOW</v>
      </c>
      <c r="AC1295" t="str">
        <f>TEXT(ReconciliationData[[#This Row],[Order_Date]],"YYYY-MM")</f>
        <v>2024-03</v>
      </c>
    </row>
    <row r="1296" spans="1:29">
      <c r="A1296" t="s">
        <v>3668</v>
      </c>
      <c r="B1296" s="1">
        <v>45617</v>
      </c>
      <c r="C1296" t="s">
        <v>1145</v>
      </c>
      <c r="D1296" t="s">
        <v>639</v>
      </c>
      <c r="E1296">
        <v>53</v>
      </c>
      <c r="F1296" t="s">
        <v>3669</v>
      </c>
      <c r="G1296">
        <v>58</v>
      </c>
      <c r="H1296">
        <v>945.38850000000002</v>
      </c>
      <c r="N1296">
        <v>945.38850000000002</v>
      </c>
      <c r="O1296" s="1">
        <v>45047</v>
      </c>
      <c r="P1296">
        <f>IF(ISBLANK(ReconciliationData[[#This Row],[Invoice_ID]]),1,0)</f>
        <v>0</v>
      </c>
      <c r="Q1296">
        <f>IF(AND(NOT(ISBLANK(ReconciliationData[[#This Row],[Billed_Units]])),ReconciliationData[[#This Row],[ordered_units]]&lt;&gt;ReconciliationData[[#This Row],[Billed_Units]]),1,0)</f>
        <v>1</v>
      </c>
      <c r="R12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6">
        <f>IF(AND(NOT(ISBLANK(ReconciliationData[[#This Row],[Contract_Price]])),ReconciliationData[[#This Row],[Billed_Price]]&lt;&gt;ReconciliationData[[#This Row],[Contract_Price]]),1,0)</f>
        <v>0</v>
      </c>
      <c r="T1296">
        <f>IF(AND(NOT(ISBLANK(ReconciliationData[[#This Row],[End_Date]])),ReconciliationData[[#This Row],[Order_Date]]&gt;ReconciliationData[[#This Row],[End_Date]]),1,0)</f>
        <v>0</v>
      </c>
      <c r="U1296">
        <f>IF(AND(NOT(ISBLANK(ReconciliationData[[#This Row],[last_return_date]])),ReconciliationData[[#This Row],[last_return_date]]&gt;ReconciliationData[[#This Row],[Order_Date]]+60),1,0)</f>
        <v>0</v>
      </c>
      <c r="V1296">
        <f>IF(ReconciliationData[[#This Row],[total_returned_units]]&gt;ReconciliationData[[#This Row],[ordered_units]],1,0)</f>
        <v>0</v>
      </c>
      <c r="W12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296">
        <f>ReconciliationData[[#This Row],[Billed_Units]]*ReconciliationData[[#This Row],[Billed_Price]]</f>
        <v>54832.533000000003</v>
      </c>
      <c r="Y1296">
        <f>ReconciliationData[[#This Row],[ordered_units]]*ReconciliationData[[#This Row],[List_Price]]</f>
        <v>50105.590499999998</v>
      </c>
      <c r="Z1296">
        <f>ReconciliationData[[#This Row],[billed_revenue]]-ReconciliationData[[#This Row],[expected_revenue]]</f>
        <v>4726.9425000000047</v>
      </c>
      <c r="AA12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296" t="str">
        <f>IF(ReconciliationData[[#This Row],[severity_score]]=0,"LOW",
 IF(ReconciliationData[[#This Row],[severity_score]]&lt;=5,"MEDIUM","HIGH"))</f>
        <v>HIGH</v>
      </c>
      <c r="AC1296" t="str">
        <f>TEXT(ReconciliationData[[#This Row],[Order_Date]],"YYYY-MM")</f>
        <v>2024-11</v>
      </c>
    </row>
    <row r="1297" spans="1:29">
      <c r="A1297" t="s">
        <v>3670</v>
      </c>
      <c r="B1297" s="1">
        <v>45187</v>
      </c>
      <c r="C1297" t="s">
        <v>2494</v>
      </c>
      <c r="D1297" t="s">
        <v>393</v>
      </c>
      <c r="E1297">
        <v>141</v>
      </c>
      <c r="F1297" t="s">
        <v>3671</v>
      </c>
      <c r="G1297">
        <v>141</v>
      </c>
      <c r="H1297">
        <v>1080.0740000000001</v>
      </c>
      <c r="N1297">
        <v>1080.0740000000001</v>
      </c>
      <c r="O1297" s="1">
        <v>45058</v>
      </c>
      <c r="P1297">
        <f>IF(ISBLANK(ReconciliationData[[#This Row],[Invoice_ID]]),1,0)</f>
        <v>0</v>
      </c>
      <c r="Q1297">
        <f>IF(AND(NOT(ISBLANK(ReconciliationData[[#This Row],[Billed_Units]])),ReconciliationData[[#This Row],[ordered_units]]&lt;&gt;ReconciliationData[[#This Row],[Billed_Units]]),1,0)</f>
        <v>0</v>
      </c>
      <c r="R12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7">
        <f>IF(AND(NOT(ISBLANK(ReconciliationData[[#This Row],[Contract_Price]])),ReconciliationData[[#This Row],[Billed_Price]]&lt;&gt;ReconciliationData[[#This Row],[Contract_Price]]),1,0)</f>
        <v>0</v>
      </c>
      <c r="T1297">
        <f>IF(AND(NOT(ISBLANK(ReconciliationData[[#This Row],[End_Date]])),ReconciliationData[[#This Row],[Order_Date]]&gt;ReconciliationData[[#This Row],[End_Date]]),1,0)</f>
        <v>0</v>
      </c>
      <c r="U1297">
        <f>IF(AND(NOT(ISBLANK(ReconciliationData[[#This Row],[last_return_date]])),ReconciliationData[[#This Row],[last_return_date]]&gt;ReconciliationData[[#This Row],[Order_Date]]+60),1,0)</f>
        <v>0</v>
      </c>
      <c r="V1297">
        <f>IF(ReconciliationData[[#This Row],[total_returned_units]]&gt;ReconciliationData[[#This Row],[ordered_units]],1,0)</f>
        <v>0</v>
      </c>
      <c r="W12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97">
        <f>ReconciliationData[[#This Row],[Billed_Units]]*ReconciliationData[[#This Row],[Billed_Price]]</f>
        <v>152290.43400000001</v>
      </c>
      <c r="Y1297">
        <f>ReconciliationData[[#This Row],[ordered_units]]*ReconciliationData[[#This Row],[List_Price]]</f>
        <v>152290.43400000001</v>
      </c>
      <c r="Z1297">
        <f>ReconciliationData[[#This Row],[billed_revenue]]-ReconciliationData[[#This Row],[expected_revenue]]</f>
        <v>0</v>
      </c>
      <c r="AA12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97" t="str">
        <f>IF(ReconciliationData[[#This Row],[severity_score]]=0,"LOW",
 IF(ReconciliationData[[#This Row],[severity_score]]&lt;=5,"MEDIUM","HIGH"))</f>
        <v>LOW</v>
      </c>
      <c r="AC1297" t="str">
        <f>TEXT(ReconciliationData[[#This Row],[Order_Date]],"YYYY-MM")</f>
        <v>2023-09</v>
      </c>
    </row>
    <row r="1298" spans="1:29">
      <c r="A1298" t="s">
        <v>3672</v>
      </c>
      <c r="B1298" s="1">
        <v>45588</v>
      </c>
      <c r="C1298" t="s">
        <v>3225</v>
      </c>
      <c r="D1298" t="s">
        <v>2489</v>
      </c>
      <c r="E1298">
        <v>74</v>
      </c>
      <c r="F1298" t="s">
        <v>3673</v>
      </c>
      <c r="G1298">
        <v>74</v>
      </c>
      <c r="H1298">
        <v>544.5</v>
      </c>
      <c r="N1298">
        <v>544.5</v>
      </c>
      <c r="O1298" s="1">
        <v>45159</v>
      </c>
      <c r="P1298">
        <f>IF(ISBLANK(ReconciliationData[[#This Row],[Invoice_ID]]),1,0)</f>
        <v>0</v>
      </c>
      <c r="Q1298">
        <f>IF(AND(NOT(ISBLANK(ReconciliationData[[#This Row],[Billed_Units]])),ReconciliationData[[#This Row],[ordered_units]]&lt;&gt;ReconciliationData[[#This Row],[Billed_Units]]),1,0)</f>
        <v>0</v>
      </c>
      <c r="R12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8">
        <f>IF(AND(NOT(ISBLANK(ReconciliationData[[#This Row],[Contract_Price]])),ReconciliationData[[#This Row],[Billed_Price]]&lt;&gt;ReconciliationData[[#This Row],[Contract_Price]]),1,0)</f>
        <v>0</v>
      </c>
      <c r="T1298">
        <f>IF(AND(NOT(ISBLANK(ReconciliationData[[#This Row],[End_Date]])),ReconciliationData[[#This Row],[Order_Date]]&gt;ReconciliationData[[#This Row],[End_Date]]),1,0)</f>
        <v>0</v>
      </c>
      <c r="U1298">
        <f>IF(AND(NOT(ISBLANK(ReconciliationData[[#This Row],[last_return_date]])),ReconciliationData[[#This Row],[last_return_date]]&gt;ReconciliationData[[#This Row],[Order_Date]]+60),1,0)</f>
        <v>0</v>
      </c>
      <c r="V1298">
        <f>IF(ReconciliationData[[#This Row],[total_returned_units]]&gt;ReconciliationData[[#This Row],[ordered_units]],1,0)</f>
        <v>0</v>
      </c>
      <c r="W12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98">
        <f>ReconciliationData[[#This Row],[Billed_Units]]*ReconciliationData[[#This Row],[Billed_Price]]</f>
        <v>40293</v>
      </c>
      <c r="Y1298">
        <f>ReconciliationData[[#This Row],[ordered_units]]*ReconciliationData[[#This Row],[List_Price]]</f>
        <v>40293</v>
      </c>
      <c r="Z1298">
        <f>ReconciliationData[[#This Row],[billed_revenue]]-ReconciliationData[[#This Row],[expected_revenue]]</f>
        <v>0</v>
      </c>
      <c r="AA12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98" t="str">
        <f>IF(ReconciliationData[[#This Row],[severity_score]]=0,"LOW",
 IF(ReconciliationData[[#This Row],[severity_score]]&lt;=5,"MEDIUM","HIGH"))</f>
        <v>LOW</v>
      </c>
      <c r="AC1298" t="str">
        <f>TEXT(ReconciliationData[[#This Row],[Order_Date]],"YYYY-MM")</f>
        <v>2024-10</v>
      </c>
    </row>
    <row r="1299" spans="1:29">
      <c r="A1299" t="s">
        <v>3674</v>
      </c>
      <c r="B1299" s="1">
        <v>45127</v>
      </c>
      <c r="C1299" t="s">
        <v>2242</v>
      </c>
      <c r="D1299" t="s">
        <v>789</v>
      </c>
      <c r="E1299">
        <v>102</v>
      </c>
      <c r="F1299" t="s">
        <v>3675</v>
      </c>
      <c r="G1299">
        <v>102</v>
      </c>
      <c r="H1299">
        <v>1026.4637</v>
      </c>
      <c r="N1299">
        <v>1026.4637</v>
      </c>
      <c r="O1299" s="1">
        <v>44967</v>
      </c>
      <c r="P1299">
        <f>IF(ISBLANK(ReconciliationData[[#This Row],[Invoice_ID]]),1,0)</f>
        <v>0</v>
      </c>
      <c r="Q1299">
        <f>IF(AND(NOT(ISBLANK(ReconciliationData[[#This Row],[Billed_Units]])),ReconciliationData[[#This Row],[ordered_units]]&lt;&gt;ReconciliationData[[#This Row],[Billed_Units]]),1,0)</f>
        <v>0</v>
      </c>
      <c r="R12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299">
        <f>IF(AND(NOT(ISBLANK(ReconciliationData[[#This Row],[Contract_Price]])),ReconciliationData[[#This Row],[Billed_Price]]&lt;&gt;ReconciliationData[[#This Row],[Contract_Price]]),1,0)</f>
        <v>0</v>
      </c>
      <c r="T1299">
        <f>IF(AND(NOT(ISBLANK(ReconciliationData[[#This Row],[End_Date]])),ReconciliationData[[#This Row],[Order_Date]]&gt;ReconciliationData[[#This Row],[End_Date]]),1,0)</f>
        <v>0</v>
      </c>
      <c r="U1299">
        <f>IF(AND(NOT(ISBLANK(ReconciliationData[[#This Row],[last_return_date]])),ReconciliationData[[#This Row],[last_return_date]]&gt;ReconciliationData[[#This Row],[Order_Date]]+60),1,0)</f>
        <v>0</v>
      </c>
      <c r="V1299">
        <f>IF(ReconciliationData[[#This Row],[total_returned_units]]&gt;ReconciliationData[[#This Row],[ordered_units]],1,0)</f>
        <v>0</v>
      </c>
      <c r="W12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299">
        <f>ReconciliationData[[#This Row],[Billed_Units]]*ReconciliationData[[#This Row],[Billed_Price]]</f>
        <v>104699.2974</v>
      </c>
      <c r="Y1299">
        <f>ReconciliationData[[#This Row],[ordered_units]]*ReconciliationData[[#This Row],[List_Price]]</f>
        <v>104699.2974</v>
      </c>
      <c r="Z1299">
        <f>ReconciliationData[[#This Row],[billed_revenue]]-ReconciliationData[[#This Row],[expected_revenue]]</f>
        <v>0</v>
      </c>
      <c r="AA12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299" t="str">
        <f>IF(ReconciliationData[[#This Row],[severity_score]]=0,"LOW",
 IF(ReconciliationData[[#This Row],[severity_score]]&lt;=5,"MEDIUM","HIGH"))</f>
        <v>LOW</v>
      </c>
      <c r="AC1299" t="str">
        <f>TEXT(ReconciliationData[[#This Row],[Order_Date]],"YYYY-MM")</f>
        <v>2023-07</v>
      </c>
    </row>
    <row r="1300" spans="1:29">
      <c r="A1300" t="s">
        <v>3676</v>
      </c>
      <c r="B1300" s="1">
        <v>45412</v>
      </c>
      <c r="C1300" t="s">
        <v>3462</v>
      </c>
      <c r="D1300" t="s">
        <v>2097</v>
      </c>
      <c r="E1300">
        <v>183</v>
      </c>
      <c r="F1300" t="s">
        <v>3677</v>
      </c>
      <c r="G1300">
        <v>183</v>
      </c>
      <c r="H1300">
        <v>599.90620000000001</v>
      </c>
      <c r="I1300">
        <v>5</v>
      </c>
      <c r="J1300" s="1">
        <v>45663</v>
      </c>
      <c r="N1300">
        <v>599.90620000000001</v>
      </c>
      <c r="O1300" s="1">
        <v>45060</v>
      </c>
      <c r="P1300">
        <f>IF(ISBLANK(ReconciliationData[[#This Row],[Invoice_ID]]),1,0)</f>
        <v>0</v>
      </c>
      <c r="Q1300">
        <f>IF(AND(NOT(ISBLANK(ReconciliationData[[#This Row],[Billed_Units]])),ReconciliationData[[#This Row],[ordered_units]]&lt;&gt;ReconciliationData[[#This Row],[Billed_Units]]),1,0)</f>
        <v>0</v>
      </c>
      <c r="R13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00">
        <f>IF(AND(NOT(ISBLANK(ReconciliationData[[#This Row],[Contract_Price]])),ReconciliationData[[#This Row],[Billed_Price]]&lt;&gt;ReconciliationData[[#This Row],[Contract_Price]]),1,0)</f>
        <v>0</v>
      </c>
      <c r="T1300">
        <f>IF(AND(NOT(ISBLANK(ReconciliationData[[#This Row],[End_Date]])),ReconciliationData[[#This Row],[Order_Date]]&gt;ReconciliationData[[#This Row],[End_Date]]),1,0)</f>
        <v>0</v>
      </c>
      <c r="U1300">
        <f>IF(AND(NOT(ISBLANK(ReconciliationData[[#This Row],[last_return_date]])),ReconciliationData[[#This Row],[last_return_date]]&gt;ReconciliationData[[#This Row],[Order_Date]]+60),1,0)</f>
        <v>1</v>
      </c>
      <c r="V1300">
        <f>IF(ReconciliationData[[#This Row],[total_returned_units]]&gt;ReconciliationData[[#This Row],[ordered_units]],1,0)</f>
        <v>0</v>
      </c>
      <c r="W13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00">
        <f>ReconciliationData[[#This Row],[Billed_Units]]*ReconciliationData[[#This Row],[Billed_Price]]</f>
        <v>109782.8346</v>
      </c>
      <c r="Y1300">
        <f>ReconciliationData[[#This Row],[ordered_units]]*ReconciliationData[[#This Row],[List_Price]]</f>
        <v>109782.8346</v>
      </c>
      <c r="Z1300">
        <f>ReconciliationData[[#This Row],[billed_revenue]]-ReconciliationData[[#This Row],[expected_revenue]]</f>
        <v>0</v>
      </c>
      <c r="AA13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300" t="str">
        <f>IF(ReconciliationData[[#This Row],[severity_score]]=0,"LOW",
 IF(ReconciliationData[[#This Row],[severity_score]]&lt;=5,"MEDIUM","HIGH"))</f>
        <v>MEDIUM</v>
      </c>
      <c r="AC1300" t="str">
        <f>TEXT(ReconciliationData[[#This Row],[Order_Date]],"YYYY-MM")</f>
        <v>2024-04</v>
      </c>
    </row>
    <row r="1301" spans="1:29">
      <c r="A1301" t="s">
        <v>3678</v>
      </c>
      <c r="B1301" s="1">
        <v>45112</v>
      </c>
      <c r="C1301" t="s">
        <v>2359</v>
      </c>
      <c r="D1301" t="s">
        <v>667</v>
      </c>
      <c r="E1301">
        <v>197</v>
      </c>
      <c r="F1301" t="s">
        <v>3679</v>
      </c>
      <c r="G1301">
        <v>197</v>
      </c>
      <c r="H1301">
        <v>989.96579999999994</v>
      </c>
      <c r="N1301">
        <v>989.96579999999994</v>
      </c>
      <c r="O1301" s="1">
        <v>44975</v>
      </c>
      <c r="P1301">
        <f>IF(ISBLANK(ReconciliationData[[#This Row],[Invoice_ID]]),1,0)</f>
        <v>0</v>
      </c>
      <c r="Q1301">
        <f>IF(AND(NOT(ISBLANK(ReconciliationData[[#This Row],[Billed_Units]])),ReconciliationData[[#This Row],[ordered_units]]&lt;&gt;ReconciliationData[[#This Row],[Billed_Units]]),1,0)</f>
        <v>0</v>
      </c>
      <c r="R13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01">
        <f>IF(AND(NOT(ISBLANK(ReconciliationData[[#This Row],[Contract_Price]])),ReconciliationData[[#This Row],[Billed_Price]]&lt;&gt;ReconciliationData[[#This Row],[Contract_Price]]),1,0)</f>
        <v>0</v>
      </c>
      <c r="T1301">
        <f>IF(AND(NOT(ISBLANK(ReconciliationData[[#This Row],[End_Date]])),ReconciliationData[[#This Row],[Order_Date]]&gt;ReconciliationData[[#This Row],[End_Date]]),1,0)</f>
        <v>0</v>
      </c>
      <c r="U1301">
        <f>IF(AND(NOT(ISBLANK(ReconciliationData[[#This Row],[last_return_date]])),ReconciliationData[[#This Row],[last_return_date]]&gt;ReconciliationData[[#This Row],[Order_Date]]+60),1,0)</f>
        <v>0</v>
      </c>
      <c r="V1301">
        <f>IF(ReconciliationData[[#This Row],[total_returned_units]]&gt;ReconciliationData[[#This Row],[ordered_units]],1,0)</f>
        <v>0</v>
      </c>
      <c r="W13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01">
        <f>ReconciliationData[[#This Row],[Billed_Units]]*ReconciliationData[[#This Row],[Billed_Price]]</f>
        <v>195023.26259999999</v>
      </c>
      <c r="Y1301">
        <f>ReconciliationData[[#This Row],[ordered_units]]*ReconciliationData[[#This Row],[List_Price]]</f>
        <v>195023.26259999999</v>
      </c>
      <c r="Z1301">
        <f>ReconciliationData[[#This Row],[billed_revenue]]-ReconciliationData[[#This Row],[expected_revenue]]</f>
        <v>0</v>
      </c>
      <c r="AA13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01" t="str">
        <f>IF(ReconciliationData[[#This Row],[severity_score]]=0,"LOW",
 IF(ReconciliationData[[#This Row],[severity_score]]&lt;=5,"MEDIUM","HIGH"))</f>
        <v>LOW</v>
      </c>
      <c r="AC1301" t="str">
        <f>TEXT(ReconciliationData[[#This Row],[Order_Date]],"YYYY-MM")</f>
        <v>2023-07</v>
      </c>
    </row>
    <row r="1302" spans="1:29">
      <c r="A1302" t="s">
        <v>3680</v>
      </c>
      <c r="B1302" s="1">
        <v>45439</v>
      </c>
      <c r="C1302" t="s">
        <v>400</v>
      </c>
      <c r="D1302" t="s">
        <v>138</v>
      </c>
      <c r="E1302">
        <v>31</v>
      </c>
      <c r="F1302" t="s">
        <v>3681</v>
      </c>
      <c r="G1302">
        <v>31</v>
      </c>
      <c r="H1302">
        <v>444.22</v>
      </c>
      <c r="I1302">
        <v>16</v>
      </c>
      <c r="J1302" s="1">
        <v>45093</v>
      </c>
      <c r="N1302">
        <v>444.22</v>
      </c>
      <c r="O1302" s="1">
        <v>45074</v>
      </c>
      <c r="P1302">
        <f>IF(ISBLANK(ReconciliationData[[#This Row],[Invoice_ID]]),1,0)</f>
        <v>0</v>
      </c>
      <c r="Q1302">
        <f>IF(AND(NOT(ISBLANK(ReconciliationData[[#This Row],[Billed_Units]])),ReconciliationData[[#This Row],[ordered_units]]&lt;&gt;ReconciliationData[[#This Row],[Billed_Units]]),1,0)</f>
        <v>0</v>
      </c>
      <c r="R13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02">
        <f>IF(AND(NOT(ISBLANK(ReconciliationData[[#This Row],[Contract_Price]])),ReconciliationData[[#This Row],[Billed_Price]]&lt;&gt;ReconciliationData[[#This Row],[Contract_Price]]),1,0)</f>
        <v>0</v>
      </c>
      <c r="T1302">
        <f>IF(AND(NOT(ISBLANK(ReconciliationData[[#This Row],[End_Date]])),ReconciliationData[[#This Row],[Order_Date]]&gt;ReconciliationData[[#This Row],[End_Date]]),1,0)</f>
        <v>0</v>
      </c>
      <c r="U1302">
        <f>IF(AND(NOT(ISBLANK(ReconciliationData[[#This Row],[last_return_date]])),ReconciliationData[[#This Row],[last_return_date]]&gt;ReconciliationData[[#This Row],[Order_Date]]+60),1,0)</f>
        <v>0</v>
      </c>
      <c r="V1302">
        <f>IF(ReconciliationData[[#This Row],[total_returned_units]]&gt;ReconciliationData[[#This Row],[ordered_units]],1,0)</f>
        <v>0</v>
      </c>
      <c r="W13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02">
        <f>ReconciliationData[[#This Row],[Billed_Units]]*ReconciliationData[[#This Row],[Billed_Price]]</f>
        <v>13770.820000000002</v>
      </c>
      <c r="Y1302">
        <f>ReconciliationData[[#This Row],[ordered_units]]*ReconciliationData[[#This Row],[List_Price]]</f>
        <v>13770.820000000002</v>
      </c>
      <c r="Z1302">
        <f>ReconciliationData[[#This Row],[billed_revenue]]-ReconciliationData[[#This Row],[expected_revenue]]</f>
        <v>0</v>
      </c>
      <c r="AA13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02" t="str">
        <f>IF(ReconciliationData[[#This Row],[severity_score]]=0,"LOW",
 IF(ReconciliationData[[#This Row],[severity_score]]&lt;=5,"MEDIUM","HIGH"))</f>
        <v>LOW</v>
      </c>
      <c r="AC1302" t="str">
        <f>TEXT(ReconciliationData[[#This Row],[Order_Date]],"YYYY-MM")</f>
        <v>2024-05</v>
      </c>
    </row>
    <row r="1303" spans="1:29">
      <c r="A1303" t="s">
        <v>3682</v>
      </c>
      <c r="B1303" s="1">
        <v>45236</v>
      </c>
      <c r="C1303" t="s">
        <v>2678</v>
      </c>
      <c r="D1303" t="s">
        <v>1188</v>
      </c>
      <c r="E1303">
        <v>83</v>
      </c>
      <c r="F1303" t="s">
        <v>3683</v>
      </c>
      <c r="G1303">
        <v>83</v>
      </c>
      <c r="H1303">
        <v>73.305100000000024</v>
      </c>
      <c r="N1303">
        <v>73.305100000000024</v>
      </c>
      <c r="O1303" s="1">
        <v>45046</v>
      </c>
      <c r="P1303">
        <f>IF(ISBLANK(ReconciliationData[[#This Row],[Invoice_ID]]),1,0)</f>
        <v>0</v>
      </c>
      <c r="Q1303">
        <f>IF(AND(NOT(ISBLANK(ReconciliationData[[#This Row],[Billed_Units]])),ReconciliationData[[#This Row],[ordered_units]]&lt;&gt;ReconciliationData[[#This Row],[Billed_Units]]),1,0)</f>
        <v>0</v>
      </c>
      <c r="R13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03">
        <f>IF(AND(NOT(ISBLANK(ReconciliationData[[#This Row],[Contract_Price]])),ReconciliationData[[#This Row],[Billed_Price]]&lt;&gt;ReconciliationData[[#This Row],[Contract_Price]]),1,0)</f>
        <v>0</v>
      </c>
      <c r="T1303">
        <f>IF(AND(NOT(ISBLANK(ReconciliationData[[#This Row],[End_Date]])),ReconciliationData[[#This Row],[Order_Date]]&gt;ReconciliationData[[#This Row],[End_Date]]),1,0)</f>
        <v>0</v>
      </c>
      <c r="U1303">
        <f>IF(AND(NOT(ISBLANK(ReconciliationData[[#This Row],[last_return_date]])),ReconciliationData[[#This Row],[last_return_date]]&gt;ReconciliationData[[#This Row],[Order_Date]]+60),1,0)</f>
        <v>0</v>
      </c>
      <c r="V1303">
        <f>IF(ReconciliationData[[#This Row],[total_returned_units]]&gt;ReconciliationData[[#This Row],[ordered_units]],1,0)</f>
        <v>0</v>
      </c>
      <c r="W13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03">
        <f>ReconciliationData[[#This Row],[Billed_Units]]*ReconciliationData[[#This Row],[Billed_Price]]</f>
        <v>6084.3233000000018</v>
      </c>
      <c r="Y1303">
        <f>ReconciliationData[[#This Row],[ordered_units]]*ReconciliationData[[#This Row],[List_Price]]</f>
        <v>6084.3233000000018</v>
      </c>
      <c r="Z1303">
        <f>ReconciliationData[[#This Row],[billed_revenue]]-ReconciliationData[[#This Row],[expected_revenue]]</f>
        <v>0</v>
      </c>
      <c r="AA13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03" t="str">
        <f>IF(ReconciliationData[[#This Row],[severity_score]]=0,"LOW",
 IF(ReconciliationData[[#This Row],[severity_score]]&lt;=5,"MEDIUM","HIGH"))</f>
        <v>LOW</v>
      </c>
      <c r="AC1303" t="str">
        <f>TEXT(ReconciliationData[[#This Row],[Order_Date]],"YYYY-MM")</f>
        <v>2023-11</v>
      </c>
    </row>
    <row r="1304" spans="1:29">
      <c r="A1304" t="s">
        <v>3684</v>
      </c>
      <c r="B1304" s="1">
        <v>44965</v>
      </c>
      <c r="C1304" t="s">
        <v>2758</v>
      </c>
      <c r="D1304" t="s">
        <v>522</v>
      </c>
      <c r="E1304">
        <v>115</v>
      </c>
      <c r="F1304" t="s">
        <v>3685</v>
      </c>
      <c r="G1304">
        <v>115</v>
      </c>
      <c r="H1304">
        <v>929.77200000000005</v>
      </c>
      <c r="N1304">
        <v>929.77200000000005</v>
      </c>
      <c r="O1304" s="1">
        <v>44887</v>
      </c>
      <c r="P1304">
        <f>IF(ISBLANK(ReconciliationData[[#This Row],[Invoice_ID]]),1,0)</f>
        <v>0</v>
      </c>
      <c r="Q1304">
        <f>IF(AND(NOT(ISBLANK(ReconciliationData[[#This Row],[Billed_Units]])),ReconciliationData[[#This Row],[ordered_units]]&lt;&gt;ReconciliationData[[#This Row],[Billed_Units]]),1,0)</f>
        <v>0</v>
      </c>
      <c r="R13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04">
        <f>IF(AND(NOT(ISBLANK(ReconciliationData[[#This Row],[Contract_Price]])),ReconciliationData[[#This Row],[Billed_Price]]&lt;&gt;ReconciliationData[[#This Row],[Contract_Price]]),1,0)</f>
        <v>0</v>
      </c>
      <c r="T1304">
        <f>IF(AND(NOT(ISBLANK(ReconciliationData[[#This Row],[End_Date]])),ReconciliationData[[#This Row],[Order_Date]]&gt;ReconciliationData[[#This Row],[End_Date]]),1,0)</f>
        <v>0</v>
      </c>
      <c r="U1304">
        <f>IF(AND(NOT(ISBLANK(ReconciliationData[[#This Row],[last_return_date]])),ReconciliationData[[#This Row],[last_return_date]]&gt;ReconciliationData[[#This Row],[Order_Date]]+60),1,0)</f>
        <v>0</v>
      </c>
      <c r="V1304">
        <f>IF(ReconciliationData[[#This Row],[total_returned_units]]&gt;ReconciliationData[[#This Row],[ordered_units]],1,0)</f>
        <v>0</v>
      </c>
      <c r="W13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04">
        <f>ReconciliationData[[#This Row],[Billed_Units]]*ReconciliationData[[#This Row],[Billed_Price]]</f>
        <v>106923.78</v>
      </c>
      <c r="Y1304">
        <f>ReconciliationData[[#This Row],[ordered_units]]*ReconciliationData[[#This Row],[List_Price]]</f>
        <v>106923.78</v>
      </c>
      <c r="Z1304">
        <f>ReconciliationData[[#This Row],[billed_revenue]]-ReconciliationData[[#This Row],[expected_revenue]]</f>
        <v>0</v>
      </c>
      <c r="AA13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04" t="str">
        <f>IF(ReconciliationData[[#This Row],[severity_score]]=0,"LOW",
 IF(ReconciliationData[[#This Row],[severity_score]]&lt;=5,"MEDIUM","HIGH"))</f>
        <v>LOW</v>
      </c>
      <c r="AC1304" t="str">
        <f>TEXT(ReconciliationData[[#This Row],[Order_Date]],"YYYY-MM")</f>
        <v>2023-02</v>
      </c>
    </row>
    <row r="1305" spans="1:29">
      <c r="A1305" t="s">
        <v>3686</v>
      </c>
      <c r="B1305" s="1">
        <v>45073</v>
      </c>
      <c r="C1305" t="s">
        <v>3687</v>
      </c>
      <c r="D1305" t="s">
        <v>969</v>
      </c>
      <c r="E1305">
        <v>37</v>
      </c>
      <c r="F1305" t="s">
        <v>3688</v>
      </c>
      <c r="G1305">
        <v>37</v>
      </c>
      <c r="H1305">
        <v>991.99</v>
      </c>
      <c r="N1305">
        <v>991.99</v>
      </c>
      <c r="O1305" s="1">
        <v>44976</v>
      </c>
      <c r="P1305">
        <f>IF(ISBLANK(ReconciliationData[[#This Row],[Invoice_ID]]),1,0)</f>
        <v>0</v>
      </c>
      <c r="Q1305">
        <f>IF(AND(NOT(ISBLANK(ReconciliationData[[#This Row],[Billed_Units]])),ReconciliationData[[#This Row],[ordered_units]]&lt;&gt;ReconciliationData[[#This Row],[Billed_Units]]),1,0)</f>
        <v>0</v>
      </c>
      <c r="R13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05">
        <f>IF(AND(NOT(ISBLANK(ReconciliationData[[#This Row],[Contract_Price]])),ReconciliationData[[#This Row],[Billed_Price]]&lt;&gt;ReconciliationData[[#This Row],[Contract_Price]]),1,0)</f>
        <v>0</v>
      </c>
      <c r="T1305">
        <f>IF(AND(NOT(ISBLANK(ReconciliationData[[#This Row],[End_Date]])),ReconciliationData[[#This Row],[Order_Date]]&gt;ReconciliationData[[#This Row],[End_Date]]),1,0)</f>
        <v>0</v>
      </c>
      <c r="U1305">
        <f>IF(AND(NOT(ISBLANK(ReconciliationData[[#This Row],[last_return_date]])),ReconciliationData[[#This Row],[last_return_date]]&gt;ReconciliationData[[#This Row],[Order_Date]]+60),1,0)</f>
        <v>0</v>
      </c>
      <c r="V1305">
        <f>IF(ReconciliationData[[#This Row],[total_returned_units]]&gt;ReconciliationData[[#This Row],[ordered_units]],1,0)</f>
        <v>0</v>
      </c>
      <c r="W13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05">
        <f>ReconciliationData[[#This Row],[Billed_Units]]*ReconciliationData[[#This Row],[Billed_Price]]</f>
        <v>36703.629999999997</v>
      </c>
      <c r="Y1305">
        <f>ReconciliationData[[#This Row],[ordered_units]]*ReconciliationData[[#This Row],[List_Price]]</f>
        <v>36703.629999999997</v>
      </c>
      <c r="Z1305">
        <f>ReconciliationData[[#This Row],[billed_revenue]]-ReconciliationData[[#This Row],[expected_revenue]]</f>
        <v>0</v>
      </c>
      <c r="AA13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05" t="str">
        <f>IF(ReconciliationData[[#This Row],[severity_score]]=0,"LOW",
 IF(ReconciliationData[[#This Row],[severity_score]]&lt;=5,"MEDIUM","HIGH"))</f>
        <v>LOW</v>
      </c>
      <c r="AC1305" t="str">
        <f>TEXT(ReconciliationData[[#This Row],[Order_Date]],"YYYY-MM")</f>
        <v>2023-05</v>
      </c>
    </row>
    <row r="1306" spans="1:29">
      <c r="A1306" t="s">
        <v>3689</v>
      </c>
      <c r="B1306" s="1">
        <v>45636</v>
      </c>
      <c r="C1306" t="s">
        <v>690</v>
      </c>
      <c r="D1306" t="s">
        <v>951</v>
      </c>
      <c r="E1306">
        <v>120</v>
      </c>
      <c r="F1306" t="s">
        <v>3690</v>
      </c>
      <c r="G1306">
        <v>120</v>
      </c>
      <c r="H1306">
        <v>571.32999999999993</v>
      </c>
      <c r="N1306">
        <v>571.32999999999993</v>
      </c>
      <c r="O1306" s="1">
        <v>45206</v>
      </c>
      <c r="P1306">
        <f>IF(ISBLANK(ReconciliationData[[#This Row],[Invoice_ID]]),1,0)</f>
        <v>0</v>
      </c>
      <c r="Q1306">
        <f>IF(AND(NOT(ISBLANK(ReconciliationData[[#This Row],[Billed_Units]])),ReconciliationData[[#This Row],[ordered_units]]&lt;&gt;ReconciliationData[[#This Row],[Billed_Units]]),1,0)</f>
        <v>0</v>
      </c>
      <c r="R13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06">
        <f>IF(AND(NOT(ISBLANK(ReconciliationData[[#This Row],[Contract_Price]])),ReconciliationData[[#This Row],[Billed_Price]]&lt;&gt;ReconciliationData[[#This Row],[Contract_Price]]),1,0)</f>
        <v>0</v>
      </c>
      <c r="T1306">
        <f>IF(AND(NOT(ISBLANK(ReconciliationData[[#This Row],[End_Date]])),ReconciliationData[[#This Row],[Order_Date]]&gt;ReconciliationData[[#This Row],[End_Date]]),1,0)</f>
        <v>0</v>
      </c>
      <c r="U1306">
        <f>IF(AND(NOT(ISBLANK(ReconciliationData[[#This Row],[last_return_date]])),ReconciliationData[[#This Row],[last_return_date]]&gt;ReconciliationData[[#This Row],[Order_Date]]+60),1,0)</f>
        <v>0</v>
      </c>
      <c r="V1306">
        <f>IF(ReconciliationData[[#This Row],[total_returned_units]]&gt;ReconciliationData[[#This Row],[ordered_units]],1,0)</f>
        <v>0</v>
      </c>
      <c r="W13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06">
        <f>ReconciliationData[[#This Row],[Billed_Units]]*ReconciliationData[[#This Row],[Billed_Price]]</f>
        <v>68559.599999999991</v>
      </c>
      <c r="Y1306">
        <f>ReconciliationData[[#This Row],[ordered_units]]*ReconciliationData[[#This Row],[List_Price]]</f>
        <v>68559.599999999991</v>
      </c>
      <c r="Z1306">
        <f>ReconciliationData[[#This Row],[billed_revenue]]-ReconciliationData[[#This Row],[expected_revenue]]</f>
        <v>0</v>
      </c>
      <c r="AA13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06" t="str">
        <f>IF(ReconciliationData[[#This Row],[severity_score]]=0,"LOW",
 IF(ReconciliationData[[#This Row],[severity_score]]&lt;=5,"MEDIUM","HIGH"))</f>
        <v>LOW</v>
      </c>
      <c r="AC1306" t="str">
        <f>TEXT(ReconciliationData[[#This Row],[Order_Date]],"YYYY-MM")</f>
        <v>2024-12</v>
      </c>
    </row>
    <row r="1307" spans="1:29">
      <c r="A1307" t="s">
        <v>3691</v>
      </c>
      <c r="B1307" s="1">
        <v>45448</v>
      </c>
      <c r="C1307" t="s">
        <v>1152</v>
      </c>
      <c r="D1307" t="s">
        <v>2283</v>
      </c>
      <c r="E1307">
        <v>12</v>
      </c>
      <c r="F1307" t="s">
        <v>3692</v>
      </c>
      <c r="G1307">
        <v>19</v>
      </c>
      <c r="H1307">
        <v>68.942999999999998</v>
      </c>
      <c r="I1307">
        <v>7</v>
      </c>
      <c r="J1307" s="1">
        <v>45443</v>
      </c>
      <c r="N1307">
        <v>68.942999999999998</v>
      </c>
      <c r="O1307" s="1">
        <v>44998</v>
      </c>
      <c r="P1307">
        <f>IF(ISBLANK(ReconciliationData[[#This Row],[Invoice_ID]]),1,0)</f>
        <v>0</v>
      </c>
      <c r="Q1307">
        <f>IF(AND(NOT(ISBLANK(ReconciliationData[[#This Row],[Billed_Units]])),ReconciliationData[[#This Row],[ordered_units]]&lt;&gt;ReconciliationData[[#This Row],[Billed_Units]]),1,0)</f>
        <v>1</v>
      </c>
      <c r="R13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07">
        <f>IF(AND(NOT(ISBLANK(ReconciliationData[[#This Row],[Contract_Price]])),ReconciliationData[[#This Row],[Billed_Price]]&lt;&gt;ReconciliationData[[#This Row],[Contract_Price]]),1,0)</f>
        <v>0</v>
      </c>
      <c r="T1307">
        <f>IF(AND(NOT(ISBLANK(ReconciliationData[[#This Row],[End_Date]])),ReconciliationData[[#This Row],[Order_Date]]&gt;ReconciliationData[[#This Row],[End_Date]]),1,0)</f>
        <v>0</v>
      </c>
      <c r="U1307">
        <f>IF(AND(NOT(ISBLANK(ReconciliationData[[#This Row],[last_return_date]])),ReconciliationData[[#This Row],[last_return_date]]&gt;ReconciliationData[[#This Row],[Order_Date]]+60),1,0)</f>
        <v>0</v>
      </c>
      <c r="V1307">
        <f>IF(ReconciliationData[[#This Row],[total_returned_units]]&gt;ReconciliationData[[#This Row],[ordered_units]],1,0)</f>
        <v>0</v>
      </c>
      <c r="W13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07">
        <f>ReconciliationData[[#This Row],[Billed_Units]]*ReconciliationData[[#This Row],[Billed_Price]]</f>
        <v>1309.9169999999999</v>
      </c>
      <c r="Y1307">
        <f>ReconciliationData[[#This Row],[ordered_units]]*ReconciliationData[[#This Row],[List_Price]]</f>
        <v>827.31600000000003</v>
      </c>
      <c r="Z1307">
        <f>ReconciliationData[[#This Row],[billed_revenue]]-ReconciliationData[[#This Row],[expected_revenue]]</f>
        <v>482.60099999999989</v>
      </c>
      <c r="AA13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1307" t="str">
        <f>IF(ReconciliationData[[#This Row],[severity_score]]=0,"LOW",
 IF(ReconciliationData[[#This Row],[severity_score]]&lt;=5,"MEDIUM","HIGH"))</f>
        <v>MEDIUM</v>
      </c>
      <c r="AC1307" t="str">
        <f>TEXT(ReconciliationData[[#This Row],[Order_Date]],"YYYY-MM")</f>
        <v>2024-06</v>
      </c>
    </row>
    <row r="1308" spans="1:29">
      <c r="A1308" t="s">
        <v>3693</v>
      </c>
      <c r="B1308" s="1">
        <v>45233</v>
      </c>
      <c r="C1308" t="s">
        <v>721</v>
      </c>
      <c r="D1308" t="s">
        <v>333</v>
      </c>
      <c r="E1308">
        <v>79</v>
      </c>
      <c r="F1308" t="s">
        <v>3694</v>
      </c>
      <c r="G1308">
        <v>79</v>
      </c>
      <c r="H1308">
        <v>1144.634929428209</v>
      </c>
      <c r="N1308">
        <v>1144.1684</v>
      </c>
      <c r="O1308" s="1">
        <v>44955</v>
      </c>
      <c r="P1308">
        <f>IF(ISBLANK(ReconciliationData[[#This Row],[Invoice_ID]]),1,0)</f>
        <v>0</v>
      </c>
      <c r="Q1308">
        <f>IF(AND(NOT(ISBLANK(ReconciliationData[[#This Row],[Billed_Units]])),ReconciliationData[[#This Row],[ordered_units]]&lt;&gt;ReconciliationData[[#This Row],[Billed_Units]]),1,0)</f>
        <v>0</v>
      </c>
      <c r="R1308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308">
        <f>IF(AND(NOT(ISBLANK(ReconciliationData[[#This Row],[Contract_Price]])),ReconciliationData[[#This Row],[Billed_Price]]&lt;&gt;ReconciliationData[[#This Row],[Contract_Price]]),1,0)</f>
        <v>0</v>
      </c>
      <c r="T1308">
        <f>IF(AND(NOT(ISBLANK(ReconciliationData[[#This Row],[End_Date]])),ReconciliationData[[#This Row],[Order_Date]]&gt;ReconciliationData[[#This Row],[End_Date]]),1,0)</f>
        <v>0</v>
      </c>
      <c r="U1308">
        <f>IF(AND(NOT(ISBLANK(ReconciliationData[[#This Row],[last_return_date]])),ReconciliationData[[#This Row],[last_return_date]]&gt;ReconciliationData[[#This Row],[Order_Date]]+60),1,0)</f>
        <v>0</v>
      </c>
      <c r="V1308">
        <f>IF(ReconciliationData[[#This Row],[total_returned_units]]&gt;ReconciliationData[[#This Row],[ordered_units]],1,0)</f>
        <v>0</v>
      </c>
      <c r="W13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08">
        <f>ReconciliationData[[#This Row],[Billed_Units]]*ReconciliationData[[#This Row],[Billed_Price]]</f>
        <v>90426.159424828511</v>
      </c>
      <c r="Y1308">
        <f>ReconciliationData[[#This Row],[ordered_units]]*ReconciliationData[[#This Row],[List_Price]]</f>
        <v>90389.303599999999</v>
      </c>
      <c r="Z1308">
        <f>ReconciliationData[[#This Row],[billed_revenue]]-ReconciliationData[[#This Row],[expected_revenue]]</f>
        <v>36.855824828511686</v>
      </c>
      <c r="AA13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308" t="str">
        <f>IF(ReconciliationData[[#This Row],[severity_score]]=0,"LOW",
 IF(ReconciliationData[[#This Row],[severity_score]]&lt;=5,"MEDIUM","HIGH"))</f>
        <v>MEDIUM</v>
      </c>
      <c r="AC1308" t="str">
        <f>TEXT(ReconciliationData[[#This Row],[Order_Date]],"YYYY-MM")</f>
        <v>2023-11</v>
      </c>
    </row>
    <row r="1309" spans="1:29">
      <c r="A1309" t="s">
        <v>3695</v>
      </c>
      <c r="B1309" s="1">
        <v>45631</v>
      </c>
      <c r="C1309" t="s">
        <v>528</v>
      </c>
      <c r="D1309" t="s">
        <v>849</v>
      </c>
      <c r="E1309">
        <v>6</v>
      </c>
      <c r="F1309" t="s">
        <v>3696</v>
      </c>
      <c r="G1309">
        <v>6</v>
      </c>
      <c r="H1309">
        <v>428.46220000000005</v>
      </c>
      <c r="N1309">
        <v>428.46220000000005</v>
      </c>
      <c r="O1309" s="1">
        <v>45102</v>
      </c>
      <c r="P1309">
        <f>IF(ISBLANK(ReconciliationData[[#This Row],[Invoice_ID]]),1,0)</f>
        <v>0</v>
      </c>
      <c r="Q1309">
        <f>IF(AND(NOT(ISBLANK(ReconciliationData[[#This Row],[Billed_Units]])),ReconciliationData[[#This Row],[ordered_units]]&lt;&gt;ReconciliationData[[#This Row],[Billed_Units]]),1,0)</f>
        <v>0</v>
      </c>
      <c r="R13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09">
        <f>IF(AND(NOT(ISBLANK(ReconciliationData[[#This Row],[Contract_Price]])),ReconciliationData[[#This Row],[Billed_Price]]&lt;&gt;ReconciliationData[[#This Row],[Contract_Price]]),1,0)</f>
        <v>0</v>
      </c>
      <c r="T1309">
        <f>IF(AND(NOT(ISBLANK(ReconciliationData[[#This Row],[End_Date]])),ReconciliationData[[#This Row],[Order_Date]]&gt;ReconciliationData[[#This Row],[End_Date]]),1,0)</f>
        <v>0</v>
      </c>
      <c r="U1309">
        <f>IF(AND(NOT(ISBLANK(ReconciliationData[[#This Row],[last_return_date]])),ReconciliationData[[#This Row],[last_return_date]]&gt;ReconciliationData[[#This Row],[Order_Date]]+60),1,0)</f>
        <v>0</v>
      </c>
      <c r="V1309">
        <f>IF(ReconciliationData[[#This Row],[total_returned_units]]&gt;ReconciliationData[[#This Row],[ordered_units]],1,0)</f>
        <v>0</v>
      </c>
      <c r="W13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09">
        <f>ReconciliationData[[#This Row],[Billed_Units]]*ReconciliationData[[#This Row],[Billed_Price]]</f>
        <v>2570.7732000000005</v>
      </c>
      <c r="Y1309">
        <f>ReconciliationData[[#This Row],[ordered_units]]*ReconciliationData[[#This Row],[List_Price]]</f>
        <v>2570.7732000000005</v>
      </c>
      <c r="Z1309">
        <f>ReconciliationData[[#This Row],[billed_revenue]]-ReconciliationData[[#This Row],[expected_revenue]]</f>
        <v>0</v>
      </c>
      <c r="AA13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09" t="str">
        <f>IF(ReconciliationData[[#This Row],[severity_score]]=0,"LOW",
 IF(ReconciliationData[[#This Row],[severity_score]]&lt;=5,"MEDIUM","HIGH"))</f>
        <v>LOW</v>
      </c>
      <c r="AC1309" t="str">
        <f>TEXT(ReconciliationData[[#This Row],[Order_Date]],"YYYY-MM")</f>
        <v>2024-12</v>
      </c>
    </row>
    <row r="1310" spans="1:29">
      <c r="A1310" t="s">
        <v>3697</v>
      </c>
      <c r="B1310" s="1">
        <v>45507</v>
      </c>
      <c r="C1310" t="s">
        <v>580</v>
      </c>
      <c r="D1310" t="s">
        <v>624</v>
      </c>
      <c r="E1310">
        <v>133</v>
      </c>
      <c r="F1310" t="s">
        <v>3698</v>
      </c>
      <c r="G1310">
        <v>133</v>
      </c>
      <c r="H1310">
        <v>147.17669999999998</v>
      </c>
      <c r="N1310">
        <v>147.17669999999998</v>
      </c>
      <c r="O1310" s="1">
        <v>45039</v>
      </c>
      <c r="P1310">
        <f>IF(ISBLANK(ReconciliationData[[#This Row],[Invoice_ID]]),1,0)</f>
        <v>0</v>
      </c>
      <c r="Q1310">
        <f>IF(AND(NOT(ISBLANK(ReconciliationData[[#This Row],[Billed_Units]])),ReconciliationData[[#This Row],[ordered_units]]&lt;&gt;ReconciliationData[[#This Row],[Billed_Units]]),1,0)</f>
        <v>0</v>
      </c>
      <c r="R13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0">
        <f>IF(AND(NOT(ISBLANK(ReconciliationData[[#This Row],[Contract_Price]])),ReconciliationData[[#This Row],[Billed_Price]]&lt;&gt;ReconciliationData[[#This Row],[Contract_Price]]),1,0)</f>
        <v>0</v>
      </c>
      <c r="T1310">
        <f>IF(AND(NOT(ISBLANK(ReconciliationData[[#This Row],[End_Date]])),ReconciliationData[[#This Row],[Order_Date]]&gt;ReconciliationData[[#This Row],[End_Date]]),1,0)</f>
        <v>0</v>
      </c>
      <c r="U1310">
        <f>IF(AND(NOT(ISBLANK(ReconciliationData[[#This Row],[last_return_date]])),ReconciliationData[[#This Row],[last_return_date]]&gt;ReconciliationData[[#This Row],[Order_Date]]+60),1,0)</f>
        <v>0</v>
      </c>
      <c r="V1310">
        <f>IF(ReconciliationData[[#This Row],[total_returned_units]]&gt;ReconciliationData[[#This Row],[ordered_units]],1,0)</f>
        <v>0</v>
      </c>
      <c r="W13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10">
        <f>ReconciliationData[[#This Row],[Billed_Units]]*ReconciliationData[[#This Row],[Billed_Price]]</f>
        <v>19574.501099999998</v>
      </c>
      <c r="Y1310">
        <f>ReconciliationData[[#This Row],[ordered_units]]*ReconciliationData[[#This Row],[List_Price]]</f>
        <v>19574.501099999998</v>
      </c>
      <c r="Z1310">
        <f>ReconciliationData[[#This Row],[billed_revenue]]-ReconciliationData[[#This Row],[expected_revenue]]</f>
        <v>0</v>
      </c>
      <c r="AA13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10" t="str">
        <f>IF(ReconciliationData[[#This Row],[severity_score]]=0,"LOW",
 IF(ReconciliationData[[#This Row],[severity_score]]&lt;=5,"MEDIUM","HIGH"))</f>
        <v>LOW</v>
      </c>
      <c r="AC1310" t="str">
        <f>TEXT(ReconciliationData[[#This Row],[Order_Date]],"YYYY-MM")</f>
        <v>2024-08</v>
      </c>
    </row>
    <row r="1311" spans="1:29">
      <c r="A1311" t="s">
        <v>3699</v>
      </c>
      <c r="B1311" s="1">
        <v>45542</v>
      </c>
      <c r="C1311" t="s">
        <v>3700</v>
      </c>
      <c r="D1311" t="s">
        <v>1245</v>
      </c>
      <c r="E1311">
        <v>100</v>
      </c>
      <c r="F1311" t="s">
        <v>3701</v>
      </c>
      <c r="G1311">
        <v>100</v>
      </c>
      <c r="H1311">
        <v>247.48920000000001</v>
      </c>
      <c r="I1311">
        <v>20</v>
      </c>
      <c r="J1311" s="1">
        <v>45009</v>
      </c>
      <c r="N1311">
        <v>247.48920000000001</v>
      </c>
      <c r="O1311" s="1">
        <v>45088</v>
      </c>
      <c r="P1311">
        <f>IF(ISBLANK(ReconciliationData[[#This Row],[Invoice_ID]]),1,0)</f>
        <v>0</v>
      </c>
      <c r="Q1311">
        <f>IF(AND(NOT(ISBLANK(ReconciliationData[[#This Row],[Billed_Units]])),ReconciliationData[[#This Row],[ordered_units]]&lt;&gt;ReconciliationData[[#This Row],[Billed_Units]]),1,0)</f>
        <v>0</v>
      </c>
      <c r="R13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1">
        <f>IF(AND(NOT(ISBLANK(ReconciliationData[[#This Row],[Contract_Price]])),ReconciliationData[[#This Row],[Billed_Price]]&lt;&gt;ReconciliationData[[#This Row],[Contract_Price]]),1,0)</f>
        <v>0</v>
      </c>
      <c r="T1311">
        <f>IF(AND(NOT(ISBLANK(ReconciliationData[[#This Row],[End_Date]])),ReconciliationData[[#This Row],[Order_Date]]&gt;ReconciliationData[[#This Row],[End_Date]]),1,0)</f>
        <v>0</v>
      </c>
      <c r="U1311">
        <f>IF(AND(NOT(ISBLANK(ReconciliationData[[#This Row],[last_return_date]])),ReconciliationData[[#This Row],[last_return_date]]&gt;ReconciliationData[[#This Row],[Order_Date]]+60),1,0)</f>
        <v>0</v>
      </c>
      <c r="V1311">
        <f>IF(ReconciliationData[[#This Row],[total_returned_units]]&gt;ReconciliationData[[#This Row],[ordered_units]],1,0)</f>
        <v>0</v>
      </c>
      <c r="W13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11">
        <f>ReconciliationData[[#This Row],[Billed_Units]]*ReconciliationData[[#This Row],[Billed_Price]]</f>
        <v>24748.920000000002</v>
      </c>
      <c r="Y1311">
        <f>ReconciliationData[[#This Row],[ordered_units]]*ReconciliationData[[#This Row],[List_Price]]</f>
        <v>24748.920000000002</v>
      </c>
      <c r="Z1311">
        <f>ReconciliationData[[#This Row],[billed_revenue]]-ReconciliationData[[#This Row],[expected_revenue]]</f>
        <v>0</v>
      </c>
      <c r="AA13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11" t="str">
        <f>IF(ReconciliationData[[#This Row],[severity_score]]=0,"LOW",
 IF(ReconciliationData[[#This Row],[severity_score]]&lt;=5,"MEDIUM","HIGH"))</f>
        <v>LOW</v>
      </c>
      <c r="AC1311" t="str">
        <f>TEXT(ReconciliationData[[#This Row],[Order_Date]],"YYYY-MM")</f>
        <v>2024-09</v>
      </c>
    </row>
    <row r="1312" spans="1:29">
      <c r="A1312" t="s">
        <v>3702</v>
      </c>
      <c r="B1312" s="1">
        <v>45383</v>
      </c>
      <c r="C1312" t="s">
        <v>471</v>
      </c>
      <c r="D1312" t="s">
        <v>231</v>
      </c>
      <c r="E1312">
        <v>24</v>
      </c>
      <c r="F1312" t="s">
        <v>3703</v>
      </c>
      <c r="G1312">
        <v>30</v>
      </c>
      <c r="H1312">
        <v>77.398200000000003</v>
      </c>
      <c r="N1312">
        <v>77.398200000000003</v>
      </c>
      <c r="O1312" s="1">
        <v>45032</v>
      </c>
      <c r="P1312">
        <f>IF(ISBLANK(ReconciliationData[[#This Row],[Invoice_ID]]),1,0)</f>
        <v>0</v>
      </c>
      <c r="Q1312">
        <f>IF(AND(NOT(ISBLANK(ReconciliationData[[#This Row],[Billed_Units]])),ReconciliationData[[#This Row],[ordered_units]]&lt;&gt;ReconciliationData[[#This Row],[Billed_Units]]),1,0)</f>
        <v>1</v>
      </c>
      <c r="R13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2">
        <f>IF(AND(NOT(ISBLANK(ReconciliationData[[#This Row],[Contract_Price]])),ReconciliationData[[#This Row],[Billed_Price]]&lt;&gt;ReconciliationData[[#This Row],[Contract_Price]]),1,0)</f>
        <v>0</v>
      </c>
      <c r="T1312">
        <f>IF(AND(NOT(ISBLANK(ReconciliationData[[#This Row],[End_Date]])),ReconciliationData[[#This Row],[Order_Date]]&gt;ReconciliationData[[#This Row],[End_Date]]),1,0)</f>
        <v>0</v>
      </c>
      <c r="U1312">
        <f>IF(AND(NOT(ISBLANK(ReconciliationData[[#This Row],[last_return_date]])),ReconciliationData[[#This Row],[last_return_date]]&gt;ReconciliationData[[#This Row],[Order_Date]]+60),1,0)</f>
        <v>0</v>
      </c>
      <c r="V1312">
        <f>IF(ReconciliationData[[#This Row],[total_returned_units]]&gt;ReconciliationData[[#This Row],[ordered_units]],1,0)</f>
        <v>0</v>
      </c>
      <c r="W13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12">
        <f>ReconciliationData[[#This Row],[Billed_Units]]*ReconciliationData[[#This Row],[Billed_Price]]</f>
        <v>2321.9459999999999</v>
      </c>
      <c r="Y1312">
        <f>ReconciliationData[[#This Row],[ordered_units]]*ReconciliationData[[#This Row],[List_Price]]</f>
        <v>1857.5568000000001</v>
      </c>
      <c r="Z1312">
        <f>ReconciliationData[[#This Row],[billed_revenue]]-ReconciliationData[[#This Row],[expected_revenue]]</f>
        <v>464.38919999999985</v>
      </c>
      <c r="AA13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1312" t="str">
        <f>IF(ReconciliationData[[#This Row],[severity_score]]=0,"LOW",
 IF(ReconciliationData[[#This Row],[severity_score]]&lt;=5,"MEDIUM","HIGH"))</f>
        <v>MEDIUM</v>
      </c>
      <c r="AC1312" t="str">
        <f>TEXT(ReconciliationData[[#This Row],[Order_Date]],"YYYY-MM")</f>
        <v>2024-04</v>
      </c>
    </row>
    <row r="1313" spans="1:29">
      <c r="A1313" t="s">
        <v>3704</v>
      </c>
      <c r="B1313" s="1">
        <v>45079</v>
      </c>
      <c r="C1313" t="s">
        <v>1013</v>
      </c>
      <c r="D1313" t="s">
        <v>2583</v>
      </c>
      <c r="E1313">
        <v>136</v>
      </c>
      <c r="F1313" t="s">
        <v>3705</v>
      </c>
      <c r="G1313">
        <v>136</v>
      </c>
      <c r="H1313">
        <v>511.96</v>
      </c>
      <c r="I1313">
        <v>19</v>
      </c>
      <c r="J1313" s="1">
        <v>45576</v>
      </c>
      <c r="N1313">
        <v>511.96</v>
      </c>
      <c r="O1313" s="1">
        <v>45058</v>
      </c>
      <c r="P1313">
        <f>IF(ISBLANK(ReconciliationData[[#This Row],[Invoice_ID]]),1,0)</f>
        <v>0</v>
      </c>
      <c r="Q1313">
        <f>IF(AND(NOT(ISBLANK(ReconciliationData[[#This Row],[Billed_Units]])),ReconciliationData[[#This Row],[ordered_units]]&lt;&gt;ReconciliationData[[#This Row],[Billed_Units]]),1,0)</f>
        <v>0</v>
      </c>
      <c r="R13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3">
        <f>IF(AND(NOT(ISBLANK(ReconciliationData[[#This Row],[Contract_Price]])),ReconciliationData[[#This Row],[Billed_Price]]&lt;&gt;ReconciliationData[[#This Row],[Contract_Price]]),1,0)</f>
        <v>0</v>
      </c>
      <c r="T1313">
        <f>IF(AND(NOT(ISBLANK(ReconciliationData[[#This Row],[End_Date]])),ReconciliationData[[#This Row],[Order_Date]]&gt;ReconciliationData[[#This Row],[End_Date]]),1,0)</f>
        <v>0</v>
      </c>
      <c r="U1313">
        <f>IF(AND(NOT(ISBLANK(ReconciliationData[[#This Row],[last_return_date]])),ReconciliationData[[#This Row],[last_return_date]]&gt;ReconciliationData[[#This Row],[Order_Date]]+60),1,0)</f>
        <v>1</v>
      </c>
      <c r="V1313">
        <f>IF(ReconciliationData[[#This Row],[total_returned_units]]&gt;ReconciliationData[[#This Row],[ordered_units]],1,0)</f>
        <v>0</v>
      </c>
      <c r="W13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13">
        <f>ReconciliationData[[#This Row],[Billed_Units]]*ReconciliationData[[#This Row],[Billed_Price]]</f>
        <v>69626.559999999998</v>
      </c>
      <c r="Y1313">
        <f>ReconciliationData[[#This Row],[ordered_units]]*ReconciliationData[[#This Row],[List_Price]]</f>
        <v>69626.559999999998</v>
      </c>
      <c r="Z1313">
        <f>ReconciliationData[[#This Row],[billed_revenue]]-ReconciliationData[[#This Row],[expected_revenue]]</f>
        <v>0</v>
      </c>
      <c r="AA13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313" t="str">
        <f>IF(ReconciliationData[[#This Row],[severity_score]]=0,"LOW",
 IF(ReconciliationData[[#This Row],[severity_score]]&lt;=5,"MEDIUM","HIGH"))</f>
        <v>MEDIUM</v>
      </c>
      <c r="AC1313" t="str">
        <f>TEXT(ReconciliationData[[#This Row],[Order_Date]],"YYYY-MM")</f>
        <v>2023-06</v>
      </c>
    </row>
    <row r="1314" spans="1:29">
      <c r="A1314" t="s">
        <v>3706</v>
      </c>
      <c r="B1314" s="1">
        <v>45171</v>
      </c>
      <c r="C1314" t="s">
        <v>3707</v>
      </c>
      <c r="D1314" t="s">
        <v>1294</v>
      </c>
      <c r="E1314">
        <v>60</v>
      </c>
      <c r="F1314" t="s">
        <v>3708</v>
      </c>
      <c r="G1314">
        <v>60</v>
      </c>
      <c r="H1314">
        <v>825.40440000000001</v>
      </c>
      <c r="N1314">
        <v>825.40440000000001</v>
      </c>
      <c r="O1314" s="1">
        <v>45105</v>
      </c>
      <c r="P1314">
        <f>IF(ISBLANK(ReconciliationData[[#This Row],[Invoice_ID]]),1,0)</f>
        <v>0</v>
      </c>
      <c r="Q1314">
        <f>IF(AND(NOT(ISBLANK(ReconciliationData[[#This Row],[Billed_Units]])),ReconciliationData[[#This Row],[ordered_units]]&lt;&gt;ReconciliationData[[#This Row],[Billed_Units]]),1,0)</f>
        <v>0</v>
      </c>
      <c r="R13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4">
        <f>IF(AND(NOT(ISBLANK(ReconciliationData[[#This Row],[Contract_Price]])),ReconciliationData[[#This Row],[Billed_Price]]&lt;&gt;ReconciliationData[[#This Row],[Contract_Price]]),1,0)</f>
        <v>0</v>
      </c>
      <c r="T1314">
        <f>IF(AND(NOT(ISBLANK(ReconciliationData[[#This Row],[End_Date]])),ReconciliationData[[#This Row],[Order_Date]]&gt;ReconciliationData[[#This Row],[End_Date]]),1,0)</f>
        <v>0</v>
      </c>
      <c r="U1314">
        <f>IF(AND(NOT(ISBLANK(ReconciliationData[[#This Row],[last_return_date]])),ReconciliationData[[#This Row],[last_return_date]]&gt;ReconciliationData[[#This Row],[Order_Date]]+60),1,0)</f>
        <v>0</v>
      </c>
      <c r="V1314">
        <f>IF(ReconciliationData[[#This Row],[total_returned_units]]&gt;ReconciliationData[[#This Row],[ordered_units]],1,0)</f>
        <v>0</v>
      </c>
      <c r="W13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14">
        <f>ReconciliationData[[#This Row],[Billed_Units]]*ReconciliationData[[#This Row],[Billed_Price]]</f>
        <v>49524.264000000003</v>
      </c>
      <c r="Y1314">
        <f>ReconciliationData[[#This Row],[ordered_units]]*ReconciliationData[[#This Row],[List_Price]]</f>
        <v>49524.264000000003</v>
      </c>
      <c r="Z1314">
        <f>ReconciliationData[[#This Row],[billed_revenue]]-ReconciliationData[[#This Row],[expected_revenue]]</f>
        <v>0</v>
      </c>
      <c r="AA13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14" t="str">
        <f>IF(ReconciliationData[[#This Row],[severity_score]]=0,"LOW",
 IF(ReconciliationData[[#This Row],[severity_score]]&lt;=5,"MEDIUM","HIGH"))</f>
        <v>LOW</v>
      </c>
      <c r="AC1314" t="str">
        <f>TEXT(ReconciliationData[[#This Row],[Order_Date]],"YYYY-MM")</f>
        <v>2023-09</v>
      </c>
    </row>
    <row r="1315" spans="1:29">
      <c r="A1315" t="s">
        <v>3709</v>
      </c>
      <c r="B1315" s="1">
        <v>44987</v>
      </c>
      <c r="C1315" t="s">
        <v>2503</v>
      </c>
      <c r="D1315" t="s">
        <v>3036</v>
      </c>
      <c r="E1315">
        <v>88</v>
      </c>
      <c r="F1315" t="s">
        <v>3710</v>
      </c>
      <c r="G1315">
        <v>88</v>
      </c>
      <c r="H1315">
        <v>898.26</v>
      </c>
      <c r="N1315">
        <v>898.26</v>
      </c>
      <c r="O1315" s="1">
        <v>44756</v>
      </c>
      <c r="P1315">
        <f>IF(ISBLANK(ReconciliationData[[#This Row],[Invoice_ID]]),1,0)</f>
        <v>0</v>
      </c>
      <c r="Q1315">
        <f>IF(AND(NOT(ISBLANK(ReconciliationData[[#This Row],[Billed_Units]])),ReconciliationData[[#This Row],[ordered_units]]&lt;&gt;ReconciliationData[[#This Row],[Billed_Units]]),1,0)</f>
        <v>0</v>
      </c>
      <c r="R13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5">
        <f>IF(AND(NOT(ISBLANK(ReconciliationData[[#This Row],[Contract_Price]])),ReconciliationData[[#This Row],[Billed_Price]]&lt;&gt;ReconciliationData[[#This Row],[Contract_Price]]),1,0)</f>
        <v>0</v>
      </c>
      <c r="T1315">
        <f>IF(AND(NOT(ISBLANK(ReconciliationData[[#This Row],[End_Date]])),ReconciliationData[[#This Row],[Order_Date]]&gt;ReconciliationData[[#This Row],[End_Date]]),1,0)</f>
        <v>0</v>
      </c>
      <c r="U1315">
        <f>IF(AND(NOT(ISBLANK(ReconciliationData[[#This Row],[last_return_date]])),ReconciliationData[[#This Row],[last_return_date]]&gt;ReconciliationData[[#This Row],[Order_Date]]+60),1,0)</f>
        <v>0</v>
      </c>
      <c r="V1315">
        <f>IF(ReconciliationData[[#This Row],[total_returned_units]]&gt;ReconciliationData[[#This Row],[ordered_units]],1,0)</f>
        <v>0</v>
      </c>
      <c r="W13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15">
        <f>ReconciliationData[[#This Row],[Billed_Units]]*ReconciliationData[[#This Row],[Billed_Price]]</f>
        <v>79046.880000000005</v>
      </c>
      <c r="Y1315">
        <f>ReconciliationData[[#This Row],[ordered_units]]*ReconciliationData[[#This Row],[List_Price]]</f>
        <v>79046.880000000005</v>
      </c>
      <c r="Z1315">
        <f>ReconciliationData[[#This Row],[billed_revenue]]-ReconciliationData[[#This Row],[expected_revenue]]</f>
        <v>0</v>
      </c>
      <c r="AA13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15" t="str">
        <f>IF(ReconciliationData[[#This Row],[severity_score]]=0,"LOW",
 IF(ReconciliationData[[#This Row],[severity_score]]&lt;=5,"MEDIUM","HIGH"))</f>
        <v>LOW</v>
      </c>
      <c r="AC1315" t="str">
        <f>TEXT(ReconciliationData[[#This Row],[Order_Date]],"YYYY-MM")</f>
        <v>2023-03</v>
      </c>
    </row>
    <row r="1316" spans="1:29">
      <c r="A1316" t="s">
        <v>3711</v>
      </c>
      <c r="B1316" s="1">
        <v>45595</v>
      </c>
      <c r="C1316" t="s">
        <v>3003</v>
      </c>
      <c r="D1316" t="s">
        <v>3036</v>
      </c>
      <c r="E1316">
        <v>128</v>
      </c>
      <c r="F1316" t="s">
        <v>3712</v>
      </c>
      <c r="G1316">
        <v>128</v>
      </c>
      <c r="H1316">
        <v>907.24260000000004</v>
      </c>
      <c r="N1316">
        <v>907.24260000000004</v>
      </c>
      <c r="O1316" s="1">
        <v>45222</v>
      </c>
      <c r="P1316">
        <f>IF(ISBLANK(ReconciliationData[[#This Row],[Invoice_ID]]),1,0)</f>
        <v>0</v>
      </c>
      <c r="Q1316">
        <f>IF(AND(NOT(ISBLANK(ReconciliationData[[#This Row],[Billed_Units]])),ReconciliationData[[#This Row],[ordered_units]]&lt;&gt;ReconciliationData[[#This Row],[Billed_Units]]),1,0)</f>
        <v>0</v>
      </c>
      <c r="R13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6">
        <f>IF(AND(NOT(ISBLANK(ReconciliationData[[#This Row],[Contract_Price]])),ReconciliationData[[#This Row],[Billed_Price]]&lt;&gt;ReconciliationData[[#This Row],[Contract_Price]]),1,0)</f>
        <v>0</v>
      </c>
      <c r="T1316">
        <f>IF(AND(NOT(ISBLANK(ReconciliationData[[#This Row],[End_Date]])),ReconciliationData[[#This Row],[Order_Date]]&gt;ReconciliationData[[#This Row],[End_Date]]),1,0)</f>
        <v>0</v>
      </c>
      <c r="U1316">
        <f>IF(AND(NOT(ISBLANK(ReconciliationData[[#This Row],[last_return_date]])),ReconciliationData[[#This Row],[last_return_date]]&gt;ReconciliationData[[#This Row],[Order_Date]]+60),1,0)</f>
        <v>0</v>
      </c>
      <c r="V1316">
        <f>IF(ReconciliationData[[#This Row],[total_returned_units]]&gt;ReconciliationData[[#This Row],[ordered_units]],1,0)</f>
        <v>0</v>
      </c>
      <c r="W13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16">
        <f>ReconciliationData[[#This Row],[Billed_Units]]*ReconciliationData[[#This Row],[Billed_Price]]</f>
        <v>116127.0528</v>
      </c>
      <c r="Y1316">
        <f>ReconciliationData[[#This Row],[ordered_units]]*ReconciliationData[[#This Row],[List_Price]]</f>
        <v>116127.0528</v>
      </c>
      <c r="Z1316">
        <f>ReconciliationData[[#This Row],[billed_revenue]]-ReconciliationData[[#This Row],[expected_revenue]]</f>
        <v>0</v>
      </c>
      <c r="AA13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16" t="str">
        <f>IF(ReconciliationData[[#This Row],[severity_score]]=0,"LOW",
 IF(ReconciliationData[[#This Row],[severity_score]]&lt;=5,"MEDIUM","HIGH"))</f>
        <v>LOW</v>
      </c>
      <c r="AC1316" t="str">
        <f>TEXT(ReconciliationData[[#This Row],[Order_Date]],"YYYY-MM")</f>
        <v>2024-10</v>
      </c>
    </row>
    <row r="1317" spans="1:29">
      <c r="A1317" t="s">
        <v>3713</v>
      </c>
      <c r="B1317" s="1">
        <v>45058</v>
      </c>
      <c r="C1317" t="s">
        <v>794</v>
      </c>
      <c r="D1317" t="s">
        <v>251</v>
      </c>
      <c r="E1317">
        <v>80</v>
      </c>
      <c r="F1317" t="s">
        <v>3714</v>
      </c>
      <c r="G1317">
        <v>80</v>
      </c>
      <c r="H1317">
        <v>957.65700000000015</v>
      </c>
      <c r="I1317">
        <v>16</v>
      </c>
      <c r="J1317" s="1">
        <v>45498</v>
      </c>
      <c r="N1317">
        <v>957.65700000000015</v>
      </c>
      <c r="O1317" s="1">
        <v>45057</v>
      </c>
      <c r="P1317">
        <f>IF(ISBLANK(ReconciliationData[[#This Row],[Invoice_ID]]),1,0)</f>
        <v>0</v>
      </c>
      <c r="Q1317">
        <f>IF(AND(NOT(ISBLANK(ReconciliationData[[#This Row],[Billed_Units]])),ReconciliationData[[#This Row],[ordered_units]]&lt;&gt;ReconciliationData[[#This Row],[Billed_Units]]),1,0)</f>
        <v>0</v>
      </c>
      <c r="R13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7">
        <f>IF(AND(NOT(ISBLANK(ReconciliationData[[#This Row],[Contract_Price]])),ReconciliationData[[#This Row],[Billed_Price]]&lt;&gt;ReconciliationData[[#This Row],[Contract_Price]]),1,0)</f>
        <v>0</v>
      </c>
      <c r="T1317">
        <f>IF(AND(NOT(ISBLANK(ReconciliationData[[#This Row],[End_Date]])),ReconciliationData[[#This Row],[Order_Date]]&gt;ReconciliationData[[#This Row],[End_Date]]),1,0)</f>
        <v>0</v>
      </c>
      <c r="U1317">
        <f>IF(AND(NOT(ISBLANK(ReconciliationData[[#This Row],[last_return_date]])),ReconciliationData[[#This Row],[last_return_date]]&gt;ReconciliationData[[#This Row],[Order_Date]]+60),1,0)</f>
        <v>1</v>
      </c>
      <c r="V1317">
        <f>IF(ReconciliationData[[#This Row],[total_returned_units]]&gt;ReconciliationData[[#This Row],[ordered_units]],1,0)</f>
        <v>0</v>
      </c>
      <c r="W13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17">
        <f>ReconciliationData[[#This Row],[Billed_Units]]*ReconciliationData[[#This Row],[Billed_Price]]</f>
        <v>76612.560000000012</v>
      </c>
      <c r="Y1317">
        <f>ReconciliationData[[#This Row],[ordered_units]]*ReconciliationData[[#This Row],[List_Price]]</f>
        <v>76612.560000000012</v>
      </c>
      <c r="Z1317">
        <f>ReconciliationData[[#This Row],[billed_revenue]]-ReconciliationData[[#This Row],[expected_revenue]]</f>
        <v>0</v>
      </c>
      <c r="AA13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317" t="str">
        <f>IF(ReconciliationData[[#This Row],[severity_score]]=0,"LOW",
 IF(ReconciliationData[[#This Row],[severity_score]]&lt;=5,"MEDIUM","HIGH"))</f>
        <v>MEDIUM</v>
      </c>
      <c r="AC1317" t="str">
        <f>TEXT(ReconciliationData[[#This Row],[Order_Date]],"YYYY-MM")</f>
        <v>2023-05</v>
      </c>
    </row>
    <row r="1318" spans="1:29">
      <c r="A1318" t="s">
        <v>3715</v>
      </c>
      <c r="B1318" s="1">
        <v>44957</v>
      </c>
      <c r="C1318" t="s">
        <v>475</v>
      </c>
      <c r="D1318" t="s">
        <v>1142</v>
      </c>
      <c r="E1318">
        <v>193</v>
      </c>
      <c r="F1318" t="s">
        <v>3716</v>
      </c>
      <c r="G1318">
        <v>193</v>
      </c>
      <c r="H1318">
        <v>624.37260000000003</v>
      </c>
      <c r="N1318">
        <v>624.37260000000003</v>
      </c>
      <c r="O1318" s="1">
        <v>44932</v>
      </c>
      <c r="P1318">
        <f>IF(ISBLANK(ReconciliationData[[#This Row],[Invoice_ID]]),1,0)</f>
        <v>0</v>
      </c>
      <c r="Q1318">
        <f>IF(AND(NOT(ISBLANK(ReconciliationData[[#This Row],[Billed_Units]])),ReconciliationData[[#This Row],[ordered_units]]&lt;&gt;ReconciliationData[[#This Row],[Billed_Units]]),1,0)</f>
        <v>0</v>
      </c>
      <c r="R13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8">
        <f>IF(AND(NOT(ISBLANK(ReconciliationData[[#This Row],[Contract_Price]])),ReconciliationData[[#This Row],[Billed_Price]]&lt;&gt;ReconciliationData[[#This Row],[Contract_Price]]),1,0)</f>
        <v>0</v>
      </c>
      <c r="T1318">
        <f>IF(AND(NOT(ISBLANK(ReconciliationData[[#This Row],[End_Date]])),ReconciliationData[[#This Row],[Order_Date]]&gt;ReconciliationData[[#This Row],[End_Date]]),1,0)</f>
        <v>0</v>
      </c>
      <c r="U1318">
        <f>IF(AND(NOT(ISBLANK(ReconciliationData[[#This Row],[last_return_date]])),ReconciliationData[[#This Row],[last_return_date]]&gt;ReconciliationData[[#This Row],[Order_Date]]+60),1,0)</f>
        <v>0</v>
      </c>
      <c r="V1318">
        <f>IF(ReconciliationData[[#This Row],[total_returned_units]]&gt;ReconciliationData[[#This Row],[ordered_units]],1,0)</f>
        <v>0</v>
      </c>
      <c r="W13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18">
        <f>ReconciliationData[[#This Row],[Billed_Units]]*ReconciliationData[[#This Row],[Billed_Price]]</f>
        <v>120503.9118</v>
      </c>
      <c r="Y1318">
        <f>ReconciliationData[[#This Row],[ordered_units]]*ReconciliationData[[#This Row],[List_Price]]</f>
        <v>120503.9118</v>
      </c>
      <c r="Z1318">
        <f>ReconciliationData[[#This Row],[billed_revenue]]-ReconciliationData[[#This Row],[expected_revenue]]</f>
        <v>0</v>
      </c>
      <c r="AA13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18" t="str">
        <f>IF(ReconciliationData[[#This Row],[severity_score]]=0,"LOW",
 IF(ReconciliationData[[#This Row],[severity_score]]&lt;=5,"MEDIUM","HIGH"))</f>
        <v>LOW</v>
      </c>
      <c r="AC1318" t="str">
        <f>TEXT(ReconciliationData[[#This Row],[Order_Date]],"YYYY-MM")</f>
        <v>2023-01</v>
      </c>
    </row>
    <row r="1319" spans="1:29">
      <c r="A1319" t="s">
        <v>3717</v>
      </c>
      <c r="B1319" s="1">
        <v>45525</v>
      </c>
      <c r="C1319" t="s">
        <v>2131</v>
      </c>
      <c r="D1319" t="s">
        <v>1802</v>
      </c>
      <c r="E1319">
        <v>10</v>
      </c>
      <c r="F1319" t="s">
        <v>3718</v>
      </c>
      <c r="G1319">
        <v>10</v>
      </c>
      <c r="H1319">
        <v>648.86940000000004</v>
      </c>
      <c r="N1319">
        <v>648.86940000000004</v>
      </c>
      <c r="O1319" s="1">
        <v>45064</v>
      </c>
      <c r="P1319">
        <f>IF(ISBLANK(ReconciliationData[[#This Row],[Invoice_ID]]),1,0)</f>
        <v>0</v>
      </c>
      <c r="Q1319">
        <f>IF(AND(NOT(ISBLANK(ReconciliationData[[#This Row],[Billed_Units]])),ReconciliationData[[#This Row],[ordered_units]]&lt;&gt;ReconciliationData[[#This Row],[Billed_Units]]),1,0)</f>
        <v>0</v>
      </c>
      <c r="R13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19">
        <f>IF(AND(NOT(ISBLANK(ReconciliationData[[#This Row],[Contract_Price]])),ReconciliationData[[#This Row],[Billed_Price]]&lt;&gt;ReconciliationData[[#This Row],[Contract_Price]]),1,0)</f>
        <v>0</v>
      </c>
      <c r="T1319">
        <f>IF(AND(NOT(ISBLANK(ReconciliationData[[#This Row],[End_Date]])),ReconciliationData[[#This Row],[Order_Date]]&gt;ReconciliationData[[#This Row],[End_Date]]),1,0)</f>
        <v>0</v>
      </c>
      <c r="U1319">
        <f>IF(AND(NOT(ISBLANK(ReconciliationData[[#This Row],[last_return_date]])),ReconciliationData[[#This Row],[last_return_date]]&gt;ReconciliationData[[#This Row],[Order_Date]]+60),1,0)</f>
        <v>0</v>
      </c>
      <c r="V1319">
        <f>IF(ReconciliationData[[#This Row],[total_returned_units]]&gt;ReconciliationData[[#This Row],[ordered_units]],1,0)</f>
        <v>0</v>
      </c>
      <c r="W13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19">
        <f>ReconciliationData[[#This Row],[Billed_Units]]*ReconciliationData[[#This Row],[Billed_Price]]</f>
        <v>6488.6940000000004</v>
      </c>
      <c r="Y1319">
        <f>ReconciliationData[[#This Row],[ordered_units]]*ReconciliationData[[#This Row],[List_Price]]</f>
        <v>6488.6940000000004</v>
      </c>
      <c r="Z1319">
        <f>ReconciliationData[[#This Row],[billed_revenue]]-ReconciliationData[[#This Row],[expected_revenue]]</f>
        <v>0</v>
      </c>
      <c r="AA13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19" t="str">
        <f>IF(ReconciliationData[[#This Row],[severity_score]]=0,"LOW",
 IF(ReconciliationData[[#This Row],[severity_score]]&lt;=5,"MEDIUM","HIGH"))</f>
        <v>LOW</v>
      </c>
      <c r="AC1319" t="str">
        <f>TEXT(ReconciliationData[[#This Row],[Order_Date]],"YYYY-MM")</f>
        <v>2024-08</v>
      </c>
    </row>
    <row r="1320" spans="1:29">
      <c r="A1320" t="s">
        <v>3719</v>
      </c>
      <c r="B1320" s="1">
        <v>45289</v>
      </c>
      <c r="C1320" t="s">
        <v>617</v>
      </c>
      <c r="D1320" t="s">
        <v>1171</v>
      </c>
      <c r="E1320">
        <v>87</v>
      </c>
      <c r="F1320" t="s">
        <v>3720</v>
      </c>
      <c r="G1320">
        <v>87</v>
      </c>
      <c r="H1320">
        <v>435.57279999999997</v>
      </c>
      <c r="N1320">
        <v>435.57279999999997</v>
      </c>
      <c r="O1320" s="1">
        <v>45159</v>
      </c>
      <c r="P1320">
        <f>IF(ISBLANK(ReconciliationData[[#This Row],[Invoice_ID]]),1,0)</f>
        <v>0</v>
      </c>
      <c r="Q1320">
        <f>IF(AND(NOT(ISBLANK(ReconciliationData[[#This Row],[Billed_Units]])),ReconciliationData[[#This Row],[ordered_units]]&lt;&gt;ReconciliationData[[#This Row],[Billed_Units]]),1,0)</f>
        <v>0</v>
      </c>
      <c r="R13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20">
        <f>IF(AND(NOT(ISBLANK(ReconciliationData[[#This Row],[Contract_Price]])),ReconciliationData[[#This Row],[Billed_Price]]&lt;&gt;ReconciliationData[[#This Row],[Contract_Price]]),1,0)</f>
        <v>0</v>
      </c>
      <c r="T1320">
        <f>IF(AND(NOT(ISBLANK(ReconciliationData[[#This Row],[End_Date]])),ReconciliationData[[#This Row],[Order_Date]]&gt;ReconciliationData[[#This Row],[End_Date]]),1,0)</f>
        <v>0</v>
      </c>
      <c r="U1320">
        <f>IF(AND(NOT(ISBLANK(ReconciliationData[[#This Row],[last_return_date]])),ReconciliationData[[#This Row],[last_return_date]]&gt;ReconciliationData[[#This Row],[Order_Date]]+60),1,0)</f>
        <v>0</v>
      </c>
      <c r="V1320">
        <f>IF(ReconciliationData[[#This Row],[total_returned_units]]&gt;ReconciliationData[[#This Row],[ordered_units]],1,0)</f>
        <v>0</v>
      </c>
      <c r="W13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20">
        <f>ReconciliationData[[#This Row],[Billed_Units]]*ReconciliationData[[#This Row],[Billed_Price]]</f>
        <v>37894.833599999998</v>
      </c>
      <c r="Y1320">
        <f>ReconciliationData[[#This Row],[ordered_units]]*ReconciliationData[[#This Row],[List_Price]]</f>
        <v>37894.833599999998</v>
      </c>
      <c r="Z1320">
        <f>ReconciliationData[[#This Row],[billed_revenue]]-ReconciliationData[[#This Row],[expected_revenue]]</f>
        <v>0</v>
      </c>
      <c r="AA13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20" t="str">
        <f>IF(ReconciliationData[[#This Row],[severity_score]]=0,"LOW",
 IF(ReconciliationData[[#This Row],[severity_score]]&lt;=5,"MEDIUM","HIGH"))</f>
        <v>LOW</v>
      </c>
      <c r="AC1320" t="str">
        <f>TEXT(ReconciliationData[[#This Row],[Order_Date]],"YYYY-MM")</f>
        <v>2023-12</v>
      </c>
    </row>
    <row r="1321" spans="1:29">
      <c r="A1321" t="s">
        <v>3721</v>
      </c>
      <c r="B1321" s="1">
        <v>45382</v>
      </c>
      <c r="C1321" t="s">
        <v>185</v>
      </c>
      <c r="D1321" t="s">
        <v>408</v>
      </c>
      <c r="E1321">
        <v>11</v>
      </c>
      <c r="F1321" t="s">
        <v>3722</v>
      </c>
      <c r="G1321">
        <v>10</v>
      </c>
      <c r="H1321">
        <v>660.96040000000005</v>
      </c>
      <c r="N1321">
        <v>660.96040000000005</v>
      </c>
      <c r="O1321" s="1">
        <v>44947</v>
      </c>
      <c r="P1321">
        <f>IF(ISBLANK(ReconciliationData[[#This Row],[Invoice_ID]]),1,0)</f>
        <v>0</v>
      </c>
      <c r="Q1321">
        <f>IF(AND(NOT(ISBLANK(ReconciliationData[[#This Row],[Billed_Units]])),ReconciliationData[[#This Row],[ordered_units]]&lt;&gt;ReconciliationData[[#This Row],[Billed_Units]]),1,0)</f>
        <v>1</v>
      </c>
      <c r="R13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21">
        <f>IF(AND(NOT(ISBLANK(ReconciliationData[[#This Row],[Contract_Price]])),ReconciliationData[[#This Row],[Billed_Price]]&lt;&gt;ReconciliationData[[#This Row],[Contract_Price]]),1,0)</f>
        <v>0</v>
      </c>
      <c r="T1321">
        <f>IF(AND(NOT(ISBLANK(ReconciliationData[[#This Row],[End_Date]])),ReconciliationData[[#This Row],[Order_Date]]&gt;ReconciliationData[[#This Row],[End_Date]]),1,0)</f>
        <v>0</v>
      </c>
      <c r="U1321">
        <f>IF(AND(NOT(ISBLANK(ReconciliationData[[#This Row],[last_return_date]])),ReconciliationData[[#This Row],[last_return_date]]&gt;ReconciliationData[[#This Row],[Order_Date]]+60),1,0)</f>
        <v>0</v>
      </c>
      <c r="V1321">
        <f>IF(ReconciliationData[[#This Row],[total_returned_units]]&gt;ReconciliationData[[#This Row],[ordered_units]],1,0)</f>
        <v>0</v>
      </c>
      <c r="W13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21">
        <f>ReconciliationData[[#This Row],[Billed_Units]]*ReconciliationData[[#This Row],[Billed_Price]]</f>
        <v>6609.6040000000003</v>
      </c>
      <c r="Y1321">
        <f>ReconciliationData[[#This Row],[ordered_units]]*ReconciliationData[[#This Row],[List_Price]]</f>
        <v>7270.5644000000002</v>
      </c>
      <c r="Z1321">
        <f>ReconciliationData[[#This Row],[billed_revenue]]-ReconciliationData[[#This Row],[expected_revenue]]</f>
        <v>-660.96039999999994</v>
      </c>
      <c r="AA13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321" t="str">
        <f>IF(ReconciliationData[[#This Row],[severity_score]]=0,"LOW",
 IF(ReconciliationData[[#This Row],[severity_score]]&lt;=5,"MEDIUM","HIGH"))</f>
        <v>HIGH</v>
      </c>
      <c r="AC1321" t="str">
        <f>TEXT(ReconciliationData[[#This Row],[Order_Date]],"YYYY-MM")</f>
        <v>2024-03</v>
      </c>
    </row>
    <row r="1322" spans="1:29">
      <c r="A1322" t="s">
        <v>3723</v>
      </c>
      <c r="B1322" s="1">
        <v>45361</v>
      </c>
      <c r="C1322" t="s">
        <v>1990</v>
      </c>
      <c r="D1322" t="s">
        <v>522</v>
      </c>
      <c r="E1322">
        <v>164</v>
      </c>
      <c r="F1322" t="s">
        <v>3724</v>
      </c>
      <c r="G1322">
        <v>164</v>
      </c>
      <c r="H1322">
        <v>826.46400000000006</v>
      </c>
      <c r="N1322">
        <v>826.46400000000006</v>
      </c>
      <c r="O1322" s="1">
        <v>45128</v>
      </c>
      <c r="P1322">
        <f>IF(ISBLANK(ReconciliationData[[#This Row],[Invoice_ID]]),1,0)</f>
        <v>0</v>
      </c>
      <c r="Q1322">
        <f>IF(AND(NOT(ISBLANK(ReconciliationData[[#This Row],[Billed_Units]])),ReconciliationData[[#This Row],[ordered_units]]&lt;&gt;ReconciliationData[[#This Row],[Billed_Units]]),1,0)</f>
        <v>0</v>
      </c>
      <c r="R13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22">
        <f>IF(AND(NOT(ISBLANK(ReconciliationData[[#This Row],[Contract_Price]])),ReconciliationData[[#This Row],[Billed_Price]]&lt;&gt;ReconciliationData[[#This Row],[Contract_Price]]),1,0)</f>
        <v>0</v>
      </c>
      <c r="T1322">
        <f>IF(AND(NOT(ISBLANK(ReconciliationData[[#This Row],[End_Date]])),ReconciliationData[[#This Row],[Order_Date]]&gt;ReconciliationData[[#This Row],[End_Date]]),1,0)</f>
        <v>0</v>
      </c>
      <c r="U1322">
        <f>IF(AND(NOT(ISBLANK(ReconciliationData[[#This Row],[last_return_date]])),ReconciliationData[[#This Row],[last_return_date]]&gt;ReconciliationData[[#This Row],[Order_Date]]+60),1,0)</f>
        <v>0</v>
      </c>
      <c r="V1322">
        <f>IF(ReconciliationData[[#This Row],[total_returned_units]]&gt;ReconciliationData[[#This Row],[ordered_units]],1,0)</f>
        <v>0</v>
      </c>
      <c r="W13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22">
        <f>ReconciliationData[[#This Row],[Billed_Units]]*ReconciliationData[[#This Row],[Billed_Price]]</f>
        <v>135540.09600000002</v>
      </c>
      <c r="Y1322">
        <f>ReconciliationData[[#This Row],[ordered_units]]*ReconciliationData[[#This Row],[List_Price]]</f>
        <v>135540.09600000002</v>
      </c>
      <c r="Z1322">
        <f>ReconciliationData[[#This Row],[billed_revenue]]-ReconciliationData[[#This Row],[expected_revenue]]</f>
        <v>0</v>
      </c>
      <c r="AA13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22" t="str">
        <f>IF(ReconciliationData[[#This Row],[severity_score]]=0,"LOW",
 IF(ReconciliationData[[#This Row],[severity_score]]&lt;=5,"MEDIUM","HIGH"))</f>
        <v>LOW</v>
      </c>
      <c r="AC1322" t="str">
        <f>TEXT(ReconciliationData[[#This Row],[Order_Date]],"YYYY-MM")</f>
        <v>2024-03</v>
      </c>
    </row>
    <row r="1323" spans="1:29">
      <c r="A1323" t="s">
        <v>3725</v>
      </c>
      <c r="B1323" s="1">
        <v>45402</v>
      </c>
      <c r="C1323" t="s">
        <v>677</v>
      </c>
      <c r="D1323" t="s">
        <v>134</v>
      </c>
      <c r="E1323">
        <v>84</v>
      </c>
      <c r="F1323" t="s">
        <v>3726</v>
      </c>
      <c r="G1323">
        <v>84</v>
      </c>
      <c r="H1323">
        <v>446.4905</v>
      </c>
      <c r="N1323">
        <v>446.4905</v>
      </c>
      <c r="O1323" s="1">
        <v>45161</v>
      </c>
      <c r="P1323">
        <f>IF(ISBLANK(ReconciliationData[[#This Row],[Invoice_ID]]),1,0)</f>
        <v>0</v>
      </c>
      <c r="Q1323">
        <f>IF(AND(NOT(ISBLANK(ReconciliationData[[#This Row],[Billed_Units]])),ReconciliationData[[#This Row],[ordered_units]]&lt;&gt;ReconciliationData[[#This Row],[Billed_Units]]),1,0)</f>
        <v>0</v>
      </c>
      <c r="R13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23">
        <f>IF(AND(NOT(ISBLANK(ReconciliationData[[#This Row],[Contract_Price]])),ReconciliationData[[#This Row],[Billed_Price]]&lt;&gt;ReconciliationData[[#This Row],[Contract_Price]]),1,0)</f>
        <v>0</v>
      </c>
      <c r="T1323">
        <f>IF(AND(NOT(ISBLANK(ReconciliationData[[#This Row],[End_Date]])),ReconciliationData[[#This Row],[Order_Date]]&gt;ReconciliationData[[#This Row],[End_Date]]),1,0)</f>
        <v>0</v>
      </c>
      <c r="U1323">
        <f>IF(AND(NOT(ISBLANK(ReconciliationData[[#This Row],[last_return_date]])),ReconciliationData[[#This Row],[last_return_date]]&gt;ReconciliationData[[#This Row],[Order_Date]]+60),1,0)</f>
        <v>0</v>
      </c>
      <c r="V1323">
        <f>IF(ReconciliationData[[#This Row],[total_returned_units]]&gt;ReconciliationData[[#This Row],[ordered_units]],1,0)</f>
        <v>0</v>
      </c>
      <c r="W13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23">
        <f>ReconciliationData[[#This Row],[Billed_Units]]*ReconciliationData[[#This Row],[Billed_Price]]</f>
        <v>37505.201999999997</v>
      </c>
      <c r="Y1323">
        <f>ReconciliationData[[#This Row],[ordered_units]]*ReconciliationData[[#This Row],[List_Price]]</f>
        <v>37505.201999999997</v>
      </c>
      <c r="Z1323">
        <f>ReconciliationData[[#This Row],[billed_revenue]]-ReconciliationData[[#This Row],[expected_revenue]]</f>
        <v>0</v>
      </c>
      <c r="AA13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23" t="str">
        <f>IF(ReconciliationData[[#This Row],[severity_score]]=0,"LOW",
 IF(ReconciliationData[[#This Row],[severity_score]]&lt;=5,"MEDIUM","HIGH"))</f>
        <v>LOW</v>
      </c>
      <c r="AC1323" t="str">
        <f>TEXT(ReconciliationData[[#This Row],[Order_Date]],"YYYY-MM")</f>
        <v>2024-04</v>
      </c>
    </row>
    <row r="1324" spans="1:29">
      <c r="A1324" t="s">
        <v>3727</v>
      </c>
      <c r="B1324" s="1">
        <v>45369</v>
      </c>
      <c r="C1324" t="s">
        <v>3728</v>
      </c>
      <c r="D1324" t="s">
        <v>2331</v>
      </c>
      <c r="E1324">
        <v>18</v>
      </c>
      <c r="F1324" t="s">
        <v>3729</v>
      </c>
      <c r="G1324">
        <v>25</v>
      </c>
      <c r="H1324">
        <v>983.19460000000004</v>
      </c>
      <c r="N1324">
        <v>983.19460000000004</v>
      </c>
      <c r="O1324" s="1">
        <v>45142</v>
      </c>
      <c r="P1324">
        <f>IF(ISBLANK(ReconciliationData[[#This Row],[Invoice_ID]]),1,0)</f>
        <v>0</v>
      </c>
      <c r="Q1324">
        <f>IF(AND(NOT(ISBLANK(ReconciliationData[[#This Row],[Billed_Units]])),ReconciliationData[[#This Row],[ordered_units]]&lt;&gt;ReconciliationData[[#This Row],[Billed_Units]]),1,0)</f>
        <v>1</v>
      </c>
      <c r="R13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24">
        <f>IF(AND(NOT(ISBLANK(ReconciliationData[[#This Row],[Contract_Price]])),ReconciliationData[[#This Row],[Billed_Price]]&lt;&gt;ReconciliationData[[#This Row],[Contract_Price]]),1,0)</f>
        <v>0</v>
      </c>
      <c r="T1324">
        <f>IF(AND(NOT(ISBLANK(ReconciliationData[[#This Row],[End_Date]])),ReconciliationData[[#This Row],[Order_Date]]&gt;ReconciliationData[[#This Row],[End_Date]]),1,0)</f>
        <v>0</v>
      </c>
      <c r="U1324">
        <f>IF(AND(NOT(ISBLANK(ReconciliationData[[#This Row],[last_return_date]])),ReconciliationData[[#This Row],[last_return_date]]&gt;ReconciliationData[[#This Row],[Order_Date]]+60),1,0)</f>
        <v>0</v>
      </c>
      <c r="V1324">
        <f>IF(ReconciliationData[[#This Row],[total_returned_units]]&gt;ReconciliationData[[#This Row],[ordered_units]],1,0)</f>
        <v>0</v>
      </c>
      <c r="W13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24">
        <f>ReconciliationData[[#This Row],[Billed_Units]]*ReconciliationData[[#This Row],[Billed_Price]]</f>
        <v>24579.865000000002</v>
      </c>
      <c r="Y1324">
        <f>ReconciliationData[[#This Row],[ordered_units]]*ReconciliationData[[#This Row],[List_Price]]</f>
        <v>17697.502800000002</v>
      </c>
      <c r="Z1324">
        <f>ReconciliationData[[#This Row],[billed_revenue]]-ReconciliationData[[#This Row],[expected_revenue]]</f>
        <v>6882.3621999999996</v>
      </c>
      <c r="AA13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324" t="str">
        <f>IF(ReconciliationData[[#This Row],[severity_score]]=0,"LOW",
 IF(ReconciliationData[[#This Row],[severity_score]]&lt;=5,"MEDIUM","HIGH"))</f>
        <v>HIGH</v>
      </c>
      <c r="AC1324" t="str">
        <f>TEXT(ReconciliationData[[#This Row],[Order_Date]],"YYYY-MM")</f>
        <v>2024-03</v>
      </c>
    </row>
    <row r="1325" spans="1:29">
      <c r="A1325" t="s">
        <v>3730</v>
      </c>
      <c r="B1325" s="1">
        <v>45519</v>
      </c>
      <c r="C1325" t="s">
        <v>3731</v>
      </c>
      <c r="D1325" t="s">
        <v>1754</v>
      </c>
      <c r="E1325">
        <v>175</v>
      </c>
      <c r="F1325" t="s">
        <v>3732</v>
      </c>
      <c r="G1325">
        <v>175</v>
      </c>
      <c r="H1325">
        <v>1072.2954</v>
      </c>
      <c r="I1325">
        <v>15</v>
      </c>
      <c r="J1325" s="1">
        <v>45296</v>
      </c>
      <c r="N1325">
        <v>1072.2954</v>
      </c>
      <c r="O1325" s="1">
        <v>45120</v>
      </c>
      <c r="P1325">
        <f>IF(ISBLANK(ReconciliationData[[#This Row],[Invoice_ID]]),1,0)</f>
        <v>0</v>
      </c>
      <c r="Q1325">
        <f>IF(AND(NOT(ISBLANK(ReconciliationData[[#This Row],[Billed_Units]])),ReconciliationData[[#This Row],[ordered_units]]&lt;&gt;ReconciliationData[[#This Row],[Billed_Units]]),1,0)</f>
        <v>0</v>
      </c>
      <c r="R13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25">
        <f>IF(AND(NOT(ISBLANK(ReconciliationData[[#This Row],[Contract_Price]])),ReconciliationData[[#This Row],[Billed_Price]]&lt;&gt;ReconciliationData[[#This Row],[Contract_Price]]),1,0)</f>
        <v>0</v>
      </c>
      <c r="T1325">
        <f>IF(AND(NOT(ISBLANK(ReconciliationData[[#This Row],[End_Date]])),ReconciliationData[[#This Row],[Order_Date]]&gt;ReconciliationData[[#This Row],[End_Date]]),1,0)</f>
        <v>0</v>
      </c>
      <c r="U1325">
        <f>IF(AND(NOT(ISBLANK(ReconciliationData[[#This Row],[last_return_date]])),ReconciliationData[[#This Row],[last_return_date]]&gt;ReconciliationData[[#This Row],[Order_Date]]+60),1,0)</f>
        <v>0</v>
      </c>
      <c r="V1325">
        <f>IF(ReconciliationData[[#This Row],[total_returned_units]]&gt;ReconciliationData[[#This Row],[ordered_units]],1,0)</f>
        <v>0</v>
      </c>
      <c r="W13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25">
        <f>ReconciliationData[[#This Row],[Billed_Units]]*ReconciliationData[[#This Row],[Billed_Price]]</f>
        <v>187651.69500000001</v>
      </c>
      <c r="Y1325">
        <f>ReconciliationData[[#This Row],[ordered_units]]*ReconciliationData[[#This Row],[List_Price]]</f>
        <v>187651.69500000001</v>
      </c>
      <c r="Z1325">
        <f>ReconciliationData[[#This Row],[billed_revenue]]-ReconciliationData[[#This Row],[expected_revenue]]</f>
        <v>0</v>
      </c>
      <c r="AA13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25" t="str">
        <f>IF(ReconciliationData[[#This Row],[severity_score]]=0,"LOW",
 IF(ReconciliationData[[#This Row],[severity_score]]&lt;=5,"MEDIUM","HIGH"))</f>
        <v>LOW</v>
      </c>
      <c r="AC1325" t="str">
        <f>TEXT(ReconciliationData[[#This Row],[Order_Date]],"YYYY-MM")</f>
        <v>2024-08</v>
      </c>
    </row>
    <row r="1326" spans="1:29">
      <c r="A1326" t="s">
        <v>3733</v>
      </c>
      <c r="B1326" s="1">
        <v>45655</v>
      </c>
      <c r="C1326" t="s">
        <v>2809</v>
      </c>
      <c r="D1326" t="s">
        <v>243</v>
      </c>
      <c r="E1326">
        <v>11</v>
      </c>
      <c r="F1326" t="s">
        <v>3734</v>
      </c>
      <c r="G1326">
        <v>11</v>
      </c>
      <c r="H1326">
        <v>129.17519999999999</v>
      </c>
      <c r="N1326">
        <v>129.17519999999999</v>
      </c>
      <c r="O1326" s="1">
        <v>45184</v>
      </c>
      <c r="P1326">
        <f>IF(ISBLANK(ReconciliationData[[#This Row],[Invoice_ID]]),1,0)</f>
        <v>0</v>
      </c>
      <c r="Q1326">
        <f>IF(AND(NOT(ISBLANK(ReconciliationData[[#This Row],[Billed_Units]])),ReconciliationData[[#This Row],[ordered_units]]&lt;&gt;ReconciliationData[[#This Row],[Billed_Units]]),1,0)</f>
        <v>0</v>
      </c>
      <c r="R13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26">
        <f>IF(AND(NOT(ISBLANK(ReconciliationData[[#This Row],[Contract_Price]])),ReconciliationData[[#This Row],[Billed_Price]]&lt;&gt;ReconciliationData[[#This Row],[Contract_Price]]),1,0)</f>
        <v>0</v>
      </c>
      <c r="T1326">
        <f>IF(AND(NOT(ISBLANK(ReconciliationData[[#This Row],[End_Date]])),ReconciliationData[[#This Row],[Order_Date]]&gt;ReconciliationData[[#This Row],[End_Date]]),1,0)</f>
        <v>0</v>
      </c>
      <c r="U1326">
        <f>IF(AND(NOT(ISBLANK(ReconciliationData[[#This Row],[last_return_date]])),ReconciliationData[[#This Row],[last_return_date]]&gt;ReconciliationData[[#This Row],[Order_Date]]+60),1,0)</f>
        <v>0</v>
      </c>
      <c r="V1326">
        <f>IF(ReconciliationData[[#This Row],[total_returned_units]]&gt;ReconciliationData[[#This Row],[ordered_units]],1,0)</f>
        <v>0</v>
      </c>
      <c r="W13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26">
        <f>ReconciliationData[[#This Row],[Billed_Units]]*ReconciliationData[[#This Row],[Billed_Price]]</f>
        <v>1420.9271999999999</v>
      </c>
      <c r="Y1326">
        <f>ReconciliationData[[#This Row],[ordered_units]]*ReconciliationData[[#This Row],[List_Price]]</f>
        <v>1420.9271999999999</v>
      </c>
      <c r="Z1326">
        <f>ReconciliationData[[#This Row],[billed_revenue]]-ReconciliationData[[#This Row],[expected_revenue]]</f>
        <v>0</v>
      </c>
      <c r="AA13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26" t="str">
        <f>IF(ReconciliationData[[#This Row],[severity_score]]=0,"LOW",
 IF(ReconciliationData[[#This Row],[severity_score]]&lt;=5,"MEDIUM","HIGH"))</f>
        <v>LOW</v>
      </c>
      <c r="AC1326" t="str">
        <f>TEXT(ReconciliationData[[#This Row],[Order_Date]],"YYYY-MM")</f>
        <v>2024-12</v>
      </c>
    </row>
    <row r="1327" spans="1:29">
      <c r="A1327" t="s">
        <v>3735</v>
      </c>
      <c r="B1327" s="1">
        <v>45414</v>
      </c>
      <c r="C1327" t="s">
        <v>3087</v>
      </c>
      <c r="D1327" t="s">
        <v>916</v>
      </c>
      <c r="E1327">
        <v>130</v>
      </c>
      <c r="F1327" t="s">
        <v>3736</v>
      </c>
      <c r="G1327">
        <v>130</v>
      </c>
      <c r="H1327">
        <v>1158.2643</v>
      </c>
      <c r="N1327">
        <v>1158.2643</v>
      </c>
      <c r="O1327" s="1">
        <v>45119</v>
      </c>
      <c r="P1327">
        <f>IF(ISBLANK(ReconciliationData[[#This Row],[Invoice_ID]]),1,0)</f>
        <v>0</v>
      </c>
      <c r="Q1327">
        <f>IF(AND(NOT(ISBLANK(ReconciliationData[[#This Row],[Billed_Units]])),ReconciliationData[[#This Row],[ordered_units]]&lt;&gt;ReconciliationData[[#This Row],[Billed_Units]]),1,0)</f>
        <v>0</v>
      </c>
      <c r="R13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27">
        <f>IF(AND(NOT(ISBLANK(ReconciliationData[[#This Row],[Contract_Price]])),ReconciliationData[[#This Row],[Billed_Price]]&lt;&gt;ReconciliationData[[#This Row],[Contract_Price]]),1,0)</f>
        <v>0</v>
      </c>
      <c r="T1327">
        <f>IF(AND(NOT(ISBLANK(ReconciliationData[[#This Row],[End_Date]])),ReconciliationData[[#This Row],[Order_Date]]&gt;ReconciliationData[[#This Row],[End_Date]]),1,0)</f>
        <v>0</v>
      </c>
      <c r="U1327">
        <f>IF(AND(NOT(ISBLANK(ReconciliationData[[#This Row],[last_return_date]])),ReconciliationData[[#This Row],[last_return_date]]&gt;ReconciliationData[[#This Row],[Order_Date]]+60),1,0)</f>
        <v>0</v>
      </c>
      <c r="V1327">
        <f>IF(ReconciliationData[[#This Row],[total_returned_units]]&gt;ReconciliationData[[#This Row],[ordered_units]],1,0)</f>
        <v>0</v>
      </c>
      <c r="W13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27">
        <f>ReconciliationData[[#This Row],[Billed_Units]]*ReconciliationData[[#This Row],[Billed_Price]]</f>
        <v>150574.359</v>
      </c>
      <c r="Y1327">
        <f>ReconciliationData[[#This Row],[ordered_units]]*ReconciliationData[[#This Row],[List_Price]]</f>
        <v>150574.359</v>
      </c>
      <c r="Z1327">
        <f>ReconciliationData[[#This Row],[billed_revenue]]-ReconciliationData[[#This Row],[expected_revenue]]</f>
        <v>0</v>
      </c>
      <c r="AA13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27" t="str">
        <f>IF(ReconciliationData[[#This Row],[severity_score]]=0,"LOW",
 IF(ReconciliationData[[#This Row],[severity_score]]&lt;=5,"MEDIUM","HIGH"))</f>
        <v>LOW</v>
      </c>
      <c r="AC1327" t="str">
        <f>TEXT(ReconciliationData[[#This Row],[Order_Date]],"YYYY-MM")</f>
        <v>2024-05</v>
      </c>
    </row>
    <row r="1328" spans="1:29">
      <c r="A1328" t="s">
        <v>3737</v>
      </c>
      <c r="B1328" s="1">
        <v>44973</v>
      </c>
      <c r="C1328" t="s">
        <v>1399</v>
      </c>
      <c r="D1328" t="s">
        <v>2765</v>
      </c>
      <c r="E1328">
        <v>10</v>
      </c>
      <c r="F1328" t="s">
        <v>3738</v>
      </c>
      <c r="G1328">
        <v>10</v>
      </c>
      <c r="H1328">
        <v>987.27656063563052</v>
      </c>
      <c r="N1328">
        <v>987.07560000000001</v>
      </c>
      <c r="O1328" s="1">
        <v>44877</v>
      </c>
      <c r="P1328">
        <f>IF(ISBLANK(ReconciliationData[[#This Row],[Invoice_ID]]),1,0)</f>
        <v>0</v>
      </c>
      <c r="Q1328">
        <f>IF(AND(NOT(ISBLANK(ReconciliationData[[#This Row],[Billed_Units]])),ReconciliationData[[#This Row],[ordered_units]]&lt;&gt;ReconciliationData[[#This Row],[Billed_Units]]),1,0)</f>
        <v>0</v>
      </c>
      <c r="R1328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328">
        <f>IF(AND(NOT(ISBLANK(ReconciliationData[[#This Row],[Contract_Price]])),ReconciliationData[[#This Row],[Billed_Price]]&lt;&gt;ReconciliationData[[#This Row],[Contract_Price]]),1,0)</f>
        <v>0</v>
      </c>
      <c r="T1328">
        <f>IF(AND(NOT(ISBLANK(ReconciliationData[[#This Row],[End_Date]])),ReconciliationData[[#This Row],[Order_Date]]&gt;ReconciliationData[[#This Row],[End_Date]]),1,0)</f>
        <v>0</v>
      </c>
      <c r="U1328">
        <f>IF(AND(NOT(ISBLANK(ReconciliationData[[#This Row],[last_return_date]])),ReconciliationData[[#This Row],[last_return_date]]&gt;ReconciliationData[[#This Row],[Order_Date]]+60),1,0)</f>
        <v>0</v>
      </c>
      <c r="V1328">
        <f>IF(ReconciliationData[[#This Row],[total_returned_units]]&gt;ReconciliationData[[#This Row],[ordered_units]],1,0)</f>
        <v>0</v>
      </c>
      <c r="W13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28">
        <f>ReconciliationData[[#This Row],[Billed_Units]]*ReconciliationData[[#This Row],[Billed_Price]]</f>
        <v>9872.7656063563045</v>
      </c>
      <c r="Y1328">
        <f>ReconciliationData[[#This Row],[ordered_units]]*ReconciliationData[[#This Row],[List_Price]]</f>
        <v>9870.7559999999994</v>
      </c>
      <c r="Z1328">
        <f>ReconciliationData[[#This Row],[billed_revenue]]-ReconciliationData[[#This Row],[expected_revenue]]</f>
        <v>2.0096063563050848</v>
      </c>
      <c r="AA13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328" t="str">
        <f>IF(ReconciliationData[[#This Row],[severity_score]]=0,"LOW",
 IF(ReconciliationData[[#This Row],[severity_score]]&lt;=5,"MEDIUM","HIGH"))</f>
        <v>MEDIUM</v>
      </c>
      <c r="AC1328" t="str">
        <f>TEXT(ReconciliationData[[#This Row],[Order_Date]],"YYYY-MM")</f>
        <v>2023-02</v>
      </c>
    </row>
    <row r="1329" spans="1:29">
      <c r="A1329" t="s">
        <v>3739</v>
      </c>
      <c r="B1329" s="1">
        <v>45458</v>
      </c>
      <c r="C1329" t="s">
        <v>422</v>
      </c>
      <c r="D1329" t="s">
        <v>239</v>
      </c>
      <c r="E1329">
        <v>50</v>
      </c>
      <c r="F1329" t="s">
        <v>3740</v>
      </c>
      <c r="G1329">
        <v>50</v>
      </c>
      <c r="H1329">
        <v>1218.568</v>
      </c>
      <c r="N1329">
        <v>1218.568</v>
      </c>
      <c r="O1329" s="1">
        <v>45061</v>
      </c>
      <c r="P1329">
        <f>IF(ISBLANK(ReconciliationData[[#This Row],[Invoice_ID]]),1,0)</f>
        <v>0</v>
      </c>
      <c r="Q1329">
        <f>IF(AND(NOT(ISBLANK(ReconciliationData[[#This Row],[Billed_Units]])),ReconciliationData[[#This Row],[ordered_units]]&lt;&gt;ReconciliationData[[#This Row],[Billed_Units]]),1,0)</f>
        <v>0</v>
      </c>
      <c r="R13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29">
        <f>IF(AND(NOT(ISBLANK(ReconciliationData[[#This Row],[Contract_Price]])),ReconciliationData[[#This Row],[Billed_Price]]&lt;&gt;ReconciliationData[[#This Row],[Contract_Price]]),1,0)</f>
        <v>0</v>
      </c>
      <c r="T1329">
        <f>IF(AND(NOT(ISBLANK(ReconciliationData[[#This Row],[End_Date]])),ReconciliationData[[#This Row],[Order_Date]]&gt;ReconciliationData[[#This Row],[End_Date]]),1,0)</f>
        <v>0</v>
      </c>
      <c r="U1329">
        <f>IF(AND(NOT(ISBLANK(ReconciliationData[[#This Row],[last_return_date]])),ReconciliationData[[#This Row],[last_return_date]]&gt;ReconciliationData[[#This Row],[Order_Date]]+60),1,0)</f>
        <v>0</v>
      </c>
      <c r="V1329">
        <f>IF(ReconciliationData[[#This Row],[total_returned_units]]&gt;ReconciliationData[[#This Row],[ordered_units]],1,0)</f>
        <v>0</v>
      </c>
      <c r="W13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29">
        <f>ReconciliationData[[#This Row],[Billed_Units]]*ReconciliationData[[#This Row],[Billed_Price]]</f>
        <v>60928.4</v>
      </c>
      <c r="Y1329">
        <f>ReconciliationData[[#This Row],[ordered_units]]*ReconciliationData[[#This Row],[List_Price]]</f>
        <v>60928.4</v>
      </c>
      <c r="Z1329">
        <f>ReconciliationData[[#This Row],[billed_revenue]]-ReconciliationData[[#This Row],[expected_revenue]]</f>
        <v>0</v>
      </c>
      <c r="AA13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29" t="str">
        <f>IF(ReconciliationData[[#This Row],[severity_score]]=0,"LOW",
 IF(ReconciliationData[[#This Row],[severity_score]]&lt;=5,"MEDIUM","HIGH"))</f>
        <v>LOW</v>
      </c>
      <c r="AC1329" t="str">
        <f>TEXT(ReconciliationData[[#This Row],[Order_Date]],"YYYY-MM")</f>
        <v>2024-06</v>
      </c>
    </row>
    <row r="1330" spans="1:29">
      <c r="A1330" t="s">
        <v>3741</v>
      </c>
      <c r="B1330" s="1">
        <v>45220</v>
      </c>
      <c r="C1330" t="s">
        <v>1152</v>
      </c>
      <c r="D1330" t="s">
        <v>880</v>
      </c>
      <c r="E1330">
        <v>42</v>
      </c>
      <c r="F1330" t="s">
        <v>3742</v>
      </c>
      <c r="G1330">
        <v>42</v>
      </c>
      <c r="H1330">
        <v>212.73140000000001</v>
      </c>
      <c r="N1330">
        <v>212.73140000000001</v>
      </c>
      <c r="O1330" s="1">
        <v>45144</v>
      </c>
      <c r="P1330">
        <f>IF(ISBLANK(ReconciliationData[[#This Row],[Invoice_ID]]),1,0)</f>
        <v>0</v>
      </c>
      <c r="Q1330">
        <f>IF(AND(NOT(ISBLANK(ReconciliationData[[#This Row],[Billed_Units]])),ReconciliationData[[#This Row],[ordered_units]]&lt;&gt;ReconciliationData[[#This Row],[Billed_Units]]),1,0)</f>
        <v>0</v>
      </c>
      <c r="R13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0">
        <f>IF(AND(NOT(ISBLANK(ReconciliationData[[#This Row],[Contract_Price]])),ReconciliationData[[#This Row],[Billed_Price]]&lt;&gt;ReconciliationData[[#This Row],[Contract_Price]]),1,0)</f>
        <v>0</v>
      </c>
      <c r="T1330">
        <f>IF(AND(NOT(ISBLANK(ReconciliationData[[#This Row],[End_Date]])),ReconciliationData[[#This Row],[Order_Date]]&gt;ReconciliationData[[#This Row],[End_Date]]),1,0)</f>
        <v>0</v>
      </c>
      <c r="U1330">
        <f>IF(AND(NOT(ISBLANK(ReconciliationData[[#This Row],[last_return_date]])),ReconciliationData[[#This Row],[last_return_date]]&gt;ReconciliationData[[#This Row],[Order_Date]]+60),1,0)</f>
        <v>0</v>
      </c>
      <c r="V1330">
        <f>IF(ReconciliationData[[#This Row],[total_returned_units]]&gt;ReconciliationData[[#This Row],[ordered_units]],1,0)</f>
        <v>0</v>
      </c>
      <c r="W13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30">
        <f>ReconciliationData[[#This Row],[Billed_Units]]*ReconciliationData[[#This Row],[Billed_Price]]</f>
        <v>8934.7188000000006</v>
      </c>
      <c r="Y1330">
        <f>ReconciliationData[[#This Row],[ordered_units]]*ReconciliationData[[#This Row],[List_Price]]</f>
        <v>8934.7188000000006</v>
      </c>
      <c r="Z1330">
        <f>ReconciliationData[[#This Row],[billed_revenue]]-ReconciliationData[[#This Row],[expected_revenue]]</f>
        <v>0</v>
      </c>
      <c r="AA13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30" t="str">
        <f>IF(ReconciliationData[[#This Row],[severity_score]]=0,"LOW",
 IF(ReconciliationData[[#This Row],[severity_score]]&lt;=5,"MEDIUM","HIGH"))</f>
        <v>LOW</v>
      </c>
      <c r="AC1330" t="str">
        <f>TEXT(ReconciliationData[[#This Row],[Order_Date]],"YYYY-MM")</f>
        <v>2023-10</v>
      </c>
    </row>
    <row r="1331" spans="1:29">
      <c r="A1331" t="s">
        <v>3743</v>
      </c>
      <c r="B1331" s="1">
        <v>45512</v>
      </c>
      <c r="C1331" t="s">
        <v>3744</v>
      </c>
      <c r="D1331" t="s">
        <v>1354</v>
      </c>
      <c r="E1331">
        <v>137</v>
      </c>
      <c r="F1331" t="s">
        <v>3745</v>
      </c>
      <c r="G1331">
        <v>137</v>
      </c>
      <c r="H1331">
        <v>60.239800000000002</v>
      </c>
      <c r="N1331">
        <v>60.239800000000002</v>
      </c>
      <c r="O1331" s="1">
        <v>45145</v>
      </c>
      <c r="P1331">
        <f>IF(ISBLANK(ReconciliationData[[#This Row],[Invoice_ID]]),1,0)</f>
        <v>0</v>
      </c>
      <c r="Q1331">
        <f>IF(AND(NOT(ISBLANK(ReconciliationData[[#This Row],[Billed_Units]])),ReconciliationData[[#This Row],[ordered_units]]&lt;&gt;ReconciliationData[[#This Row],[Billed_Units]]),1,0)</f>
        <v>0</v>
      </c>
      <c r="R13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1">
        <f>IF(AND(NOT(ISBLANK(ReconciliationData[[#This Row],[Contract_Price]])),ReconciliationData[[#This Row],[Billed_Price]]&lt;&gt;ReconciliationData[[#This Row],[Contract_Price]]),1,0)</f>
        <v>0</v>
      </c>
      <c r="T1331">
        <f>IF(AND(NOT(ISBLANK(ReconciliationData[[#This Row],[End_Date]])),ReconciliationData[[#This Row],[Order_Date]]&gt;ReconciliationData[[#This Row],[End_Date]]),1,0)</f>
        <v>0</v>
      </c>
      <c r="U1331">
        <f>IF(AND(NOT(ISBLANK(ReconciliationData[[#This Row],[last_return_date]])),ReconciliationData[[#This Row],[last_return_date]]&gt;ReconciliationData[[#This Row],[Order_Date]]+60),1,0)</f>
        <v>0</v>
      </c>
      <c r="V1331">
        <f>IF(ReconciliationData[[#This Row],[total_returned_units]]&gt;ReconciliationData[[#This Row],[ordered_units]],1,0)</f>
        <v>0</v>
      </c>
      <c r="W13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31">
        <f>ReconciliationData[[#This Row],[Billed_Units]]*ReconciliationData[[#This Row],[Billed_Price]]</f>
        <v>8252.8526000000002</v>
      </c>
      <c r="Y1331">
        <f>ReconciliationData[[#This Row],[ordered_units]]*ReconciliationData[[#This Row],[List_Price]]</f>
        <v>8252.8526000000002</v>
      </c>
      <c r="Z1331">
        <f>ReconciliationData[[#This Row],[billed_revenue]]-ReconciliationData[[#This Row],[expected_revenue]]</f>
        <v>0</v>
      </c>
      <c r="AA13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31" t="str">
        <f>IF(ReconciliationData[[#This Row],[severity_score]]=0,"LOW",
 IF(ReconciliationData[[#This Row],[severity_score]]&lt;=5,"MEDIUM","HIGH"))</f>
        <v>LOW</v>
      </c>
      <c r="AC1331" t="str">
        <f>TEXT(ReconciliationData[[#This Row],[Order_Date]],"YYYY-MM")</f>
        <v>2024-08</v>
      </c>
    </row>
    <row r="1332" spans="1:29">
      <c r="A1332" t="s">
        <v>3746</v>
      </c>
      <c r="B1332" s="1">
        <v>44986</v>
      </c>
      <c r="C1332" t="s">
        <v>2451</v>
      </c>
      <c r="D1332" t="s">
        <v>1030</v>
      </c>
      <c r="E1332">
        <v>72</v>
      </c>
      <c r="F1332" t="s">
        <v>3747</v>
      </c>
      <c r="G1332">
        <v>72</v>
      </c>
      <c r="H1332">
        <v>370.82850000000002</v>
      </c>
      <c r="N1332">
        <v>370.82850000000002</v>
      </c>
      <c r="O1332" s="1">
        <v>44986</v>
      </c>
      <c r="P1332">
        <f>IF(ISBLANK(ReconciliationData[[#This Row],[Invoice_ID]]),1,0)</f>
        <v>0</v>
      </c>
      <c r="Q1332">
        <f>IF(AND(NOT(ISBLANK(ReconciliationData[[#This Row],[Billed_Units]])),ReconciliationData[[#This Row],[ordered_units]]&lt;&gt;ReconciliationData[[#This Row],[Billed_Units]]),1,0)</f>
        <v>0</v>
      </c>
      <c r="R13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2">
        <f>IF(AND(NOT(ISBLANK(ReconciliationData[[#This Row],[Contract_Price]])),ReconciliationData[[#This Row],[Billed_Price]]&lt;&gt;ReconciliationData[[#This Row],[Contract_Price]]),1,0)</f>
        <v>0</v>
      </c>
      <c r="T1332">
        <f>IF(AND(NOT(ISBLANK(ReconciliationData[[#This Row],[End_Date]])),ReconciliationData[[#This Row],[Order_Date]]&gt;ReconciliationData[[#This Row],[End_Date]]),1,0)</f>
        <v>0</v>
      </c>
      <c r="U1332">
        <f>IF(AND(NOT(ISBLANK(ReconciliationData[[#This Row],[last_return_date]])),ReconciliationData[[#This Row],[last_return_date]]&gt;ReconciliationData[[#This Row],[Order_Date]]+60),1,0)</f>
        <v>0</v>
      </c>
      <c r="V1332">
        <f>IF(ReconciliationData[[#This Row],[total_returned_units]]&gt;ReconciliationData[[#This Row],[ordered_units]],1,0)</f>
        <v>0</v>
      </c>
      <c r="W13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32">
        <f>ReconciliationData[[#This Row],[Billed_Units]]*ReconciliationData[[#This Row],[Billed_Price]]</f>
        <v>26699.652000000002</v>
      </c>
      <c r="Y1332">
        <f>ReconciliationData[[#This Row],[ordered_units]]*ReconciliationData[[#This Row],[List_Price]]</f>
        <v>26699.652000000002</v>
      </c>
      <c r="Z1332">
        <f>ReconciliationData[[#This Row],[billed_revenue]]-ReconciliationData[[#This Row],[expected_revenue]]</f>
        <v>0</v>
      </c>
      <c r="AA13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32" t="str">
        <f>IF(ReconciliationData[[#This Row],[severity_score]]=0,"LOW",
 IF(ReconciliationData[[#This Row],[severity_score]]&lt;=5,"MEDIUM","HIGH"))</f>
        <v>LOW</v>
      </c>
      <c r="AC1332" t="str">
        <f>TEXT(ReconciliationData[[#This Row],[Order_Date]],"YYYY-MM")</f>
        <v>2023-03</v>
      </c>
    </row>
    <row r="1333" spans="1:29">
      <c r="A1333" t="s">
        <v>3748</v>
      </c>
      <c r="B1333" s="1">
        <v>45364</v>
      </c>
      <c r="C1333" t="s">
        <v>3749</v>
      </c>
      <c r="D1333" t="s">
        <v>674</v>
      </c>
      <c r="E1333">
        <v>86</v>
      </c>
      <c r="F1333" t="s">
        <v>3750</v>
      </c>
      <c r="G1333">
        <v>86</v>
      </c>
      <c r="H1333">
        <v>1061.7264</v>
      </c>
      <c r="N1333">
        <v>1061.7264</v>
      </c>
      <c r="O1333" s="1">
        <v>45180</v>
      </c>
      <c r="P1333">
        <f>IF(ISBLANK(ReconciliationData[[#This Row],[Invoice_ID]]),1,0)</f>
        <v>0</v>
      </c>
      <c r="Q1333">
        <f>IF(AND(NOT(ISBLANK(ReconciliationData[[#This Row],[Billed_Units]])),ReconciliationData[[#This Row],[ordered_units]]&lt;&gt;ReconciliationData[[#This Row],[Billed_Units]]),1,0)</f>
        <v>0</v>
      </c>
      <c r="R13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3">
        <f>IF(AND(NOT(ISBLANK(ReconciliationData[[#This Row],[Contract_Price]])),ReconciliationData[[#This Row],[Billed_Price]]&lt;&gt;ReconciliationData[[#This Row],[Contract_Price]]),1,0)</f>
        <v>0</v>
      </c>
      <c r="T1333">
        <f>IF(AND(NOT(ISBLANK(ReconciliationData[[#This Row],[End_Date]])),ReconciliationData[[#This Row],[Order_Date]]&gt;ReconciliationData[[#This Row],[End_Date]]),1,0)</f>
        <v>0</v>
      </c>
      <c r="U1333">
        <f>IF(AND(NOT(ISBLANK(ReconciliationData[[#This Row],[last_return_date]])),ReconciliationData[[#This Row],[last_return_date]]&gt;ReconciliationData[[#This Row],[Order_Date]]+60),1,0)</f>
        <v>0</v>
      </c>
      <c r="V1333">
        <f>IF(ReconciliationData[[#This Row],[total_returned_units]]&gt;ReconciliationData[[#This Row],[ordered_units]],1,0)</f>
        <v>0</v>
      </c>
      <c r="W13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33">
        <f>ReconciliationData[[#This Row],[Billed_Units]]*ReconciliationData[[#This Row],[Billed_Price]]</f>
        <v>91308.470400000006</v>
      </c>
      <c r="Y1333">
        <f>ReconciliationData[[#This Row],[ordered_units]]*ReconciliationData[[#This Row],[List_Price]]</f>
        <v>91308.470400000006</v>
      </c>
      <c r="Z1333">
        <f>ReconciliationData[[#This Row],[billed_revenue]]-ReconciliationData[[#This Row],[expected_revenue]]</f>
        <v>0</v>
      </c>
      <c r="AA13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33" t="str">
        <f>IF(ReconciliationData[[#This Row],[severity_score]]=0,"LOW",
 IF(ReconciliationData[[#This Row],[severity_score]]&lt;=5,"MEDIUM","HIGH"))</f>
        <v>LOW</v>
      </c>
      <c r="AC1333" t="str">
        <f>TEXT(ReconciliationData[[#This Row],[Order_Date]],"YYYY-MM")</f>
        <v>2024-03</v>
      </c>
    </row>
    <row r="1334" spans="1:29">
      <c r="A1334" t="s">
        <v>3751</v>
      </c>
      <c r="B1334" s="1">
        <v>45292</v>
      </c>
      <c r="C1334" t="s">
        <v>3003</v>
      </c>
      <c r="D1334" t="s">
        <v>873</v>
      </c>
      <c r="E1334">
        <v>200</v>
      </c>
      <c r="F1334" t="s">
        <v>3752</v>
      </c>
      <c r="G1334">
        <v>200</v>
      </c>
      <c r="H1334">
        <v>956.41030000000001</v>
      </c>
      <c r="N1334">
        <v>956.41030000000001</v>
      </c>
      <c r="O1334" s="1">
        <v>45168</v>
      </c>
      <c r="P1334">
        <f>IF(ISBLANK(ReconciliationData[[#This Row],[Invoice_ID]]),1,0)</f>
        <v>0</v>
      </c>
      <c r="Q1334">
        <f>IF(AND(NOT(ISBLANK(ReconciliationData[[#This Row],[Billed_Units]])),ReconciliationData[[#This Row],[ordered_units]]&lt;&gt;ReconciliationData[[#This Row],[Billed_Units]]),1,0)</f>
        <v>0</v>
      </c>
      <c r="R13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4">
        <f>IF(AND(NOT(ISBLANK(ReconciliationData[[#This Row],[Contract_Price]])),ReconciliationData[[#This Row],[Billed_Price]]&lt;&gt;ReconciliationData[[#This Row],[Contract_Price]]),1,0)</f>
        <v>0</v>
      </c>
      <c r="T1334">
        <f>IF(AND(NOT(ISBLANK(ReconciliationData[[#This Row],[End_Date]])),ReconciliationData[[#This Row],[Order_Date]]&gt;ReconciliationData[[#This Row],[End_Date]]),1,0)</f>
        <v>0</v>
      </c>
      <c r="U1334">
        <f>IF(AND(NOT(ISBLANK(ReconciliationData[[#This Row],[last_return_date]])),ReconciliationData[[#This Row],[last_return_date]]&gt;ReconciliationData[[#This Row],[Order_Date]]+60),1,0)</f>
        <v>0</v>
      </c>
      <c r="V1334">
        <f>IF(ReconciliationData[[#This Row],[total_returned_units]]&gt;ReconciliationData[[#This Row],[ordered_units]],1,0)</f>
        <v>0</v>
      </c>
      <c r="W13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34">
        <f>ReconciliationData[[#This Row],[Billed_Units]]*ReconciliationData[[#This Row],[Billed_Price]]</f>
        <v>191282.06</v>
      </c>
      <c r="Y1334">
        <f>ReconciliationData[[#This Row],[ordered_units]]*ReconciliationData[[#This Row],[List_Price]]</f>
        <v>191282.06</v>
      </c>
      <c r="Z1334">
        <f>ReconciliationData[[#This Row],[billed_revenue]]-ReconciliationData[[#This Row],[expected_revenue]]</f>
        <v>0</v>
      </c>
      <c r="AA13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34" t="str">
        <f>IF(ReconciliationData[[#This Row],[severity_score]]=0,"LOW",
 IF(ReconciliationData[[#This Row],[severity_score]]&lt;=5,"MEDIUM","HIGH"))</f>
        <v>LOW</v>
      </c>
      <c r="AC1334" t="str">
        <f>TEXT(ReconciliationData[[#This Row],[Order_Date]],"YYYY-MM")</f>
        <v>2024-01</v>
      </c>
    </row>
    <row r="1335" spans="1:29">
      <c r="A1335" t="s">
        <v>3753</v>
      </c>
      <c r="B1335" s="1">
        <v>45097</v>
      </c>
      <c r="C1335" t="s">
        <v>3646</v>
      </c>
      <c r="D1335" t="s">
        <v>969</v>
      </c>
      <c r="E1335">
        <v>28</v>
      </c>
      <c r="F1335" t="s">
        <v>3754</v>
      </c>
      <c r="G1335">
        <v>28</v>
      </c>
      <c r="H1335">
        <v>991.99</v>
      </c>
      <c r="N1335">
        <v>991.99</v>
      </c>
      <c r="O1335" s="1">
        <v>44976</v>
      </c>
      <c r="P1335">
        <f>IF(ISBLANK(ReconciliationData[[#This Row],[Invoice_ID]]),1,0)</f>
        <v>0</v>
      </c>
      <c r="Q1335">
        <f>IF(AND(NOT(ISBLANK(ReconciliationData[[#This Row],[Billed_Units]])),ReconciliationData[[#This Row],[ordered_units]]&lt;&gt;ReconciliationData[[#This Row],[Billed_Units]]),1,0)</f>
        <v>0</v>
      </c>
      <c r="R13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5">
        <f>IF(AND(NOT(ISBLANK(ReconciliationData[[#This Row],[Contract_Price]])),ReconciliationData[[#This Row],[Billed_Price]]&lt;&gt;ReconciliationData[[#This Row],[Contract_Price]]),1,0)</f>
        <v>0</v>
      </c>
      <c r="T1335">
        <f>IF(AND(NOT(ISBLANK(ReconciliationData[[#This Row],[End_Date]])),ReconciliationData[[#This Row],[Order_Date]]&gt;ReconciliationData[[#This Row],[End_Date]]),1,0)</f>
        <v>0</v>
      </c>
      <c r="U1335">
        <f>IF(AND(NOT(ISBLANK(ReconciliationData[[#This Row],[last_return_date]])),ReconciliationData[[#This Row],[last_return_date]]&gt;ReconciliationData[[#This Row],[Order_Date]]+60),1,0)</f>
        <v>0</v>
      </c>
      <c r="V1335">
        <f>IF(ReconciliationData[[#This Row],[total_returned_units]]&gt;ReconciliationData[[#This Row],[ordered_units]],1,0)</f>
        <v>0</v>
      </c>
      <c r="W13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35">
        <f>ReconciliationData[[#This Row],[Billed_Units]]*ReconciliationData[[#This Row],[Billed_Price]]</f>
        <v>27775.72</v>
      </c>
      <c r="Y1335">
        <f>ReconciliationData[[#This Row],[ordered_units]]*ReconciliationData[[#This Row],[List_Price]]</f>
        <v>27775.72</v>
      </c>
      <c r="Z1335">
        <f>ReconciliationData[[#This Row],[billed_revenue]]-ReconciliationData[[#This Row],[expected_revenue]]</f>
        <v>0</v>
      </c>
      <c r="AA13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35" t="str">
        <f>IF(ReconciliationData[[#This Row],[severity_score]]=0,"LOW",
 IF(ReconciliationData[[#This Row],[severity_score]]&lt;=5,"MEDIUM","HIGH"))</f>
        <v>LOW</v>
      </c>
      <c r="AC1335" t="str">
        <f>TEXT(ReconciliationData[[#This Row],[Order_Date]],"YYYY-MM")</f>
        <v>2023-06</v>
      </c>
    </row>
    <row r="1336" spans="1:29">
      <c r="A1336" t="s">
        <v>3755</v>
      </c>
      <c r="B1336" s="1">
        <v>45631</v>
      </c>
      <c r="C1336" t="s">
        <v>654</v>
      </c>
      <c r="D1336" t="s">
        <v>937</v>
      </c>
      <c r="E1336">
        <v>33</v>
      </c>
      <c r="F1336" t="s">
        <v>3756</v>
      </c>
      <c r="G1336">
        <v>33</v>
      </c>
      <c r="H1336">
        <v>419.71280000000002</v>
      </c>
      <c r="N1336">
        <v>419.71280000000002</v>
      </c>
      <c r="O1336" s="1">
        <v>45214</v>
      </c>
      <c r="P1336">
        <f>IF(ISBLANK(ReconciliationData[[#This Row],[Invoice_ID]]),1,0)</f>
        <v>0</v>
      </c>
      <c r="Q1336">
        <f>IF(AND(NOT(ISBLANK(ReconciliationData[[#This Row],[Billed_Units]])),ReconciliationData[[#This Row],[ordered_units]]&lt;&gt;ReconciliationData[[#This Row],[Billed_Units]]),1,0)</f>
        <v>0</v>
      </c>
      <c r="R13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6">
        <f>IF(AND(NOT(ISBLANK(ReconciliationData[[#This Row],[Contract_Price]])),ReconciliationData[[#This Row],[Billed_Price]]&lt;&gt;ReconciliationData[[#This Row],[Contract_Price]]),1,0)</f>
        <v>0</v>
      </c>
      <c r="T1336">
        <f>IF(AND(NOT(ISBLANK(ReconciliationData[[#This Row],[End_Date]])),ReconciliationData[[#This Row],[Order_Date]]&gt;ReconciliationData[[#This Row],[End_Date]]),1,0)</f>
        <v>0</v>
      </c>
      <c r="U1336">
        <f>IF(AND(NOT(ISBLANK(ReconciliationData[[#This Row],[last_return_date]])),ReconciliationData[[#This Row],[last_return_date]]&gt;ReconciliationData[[#This Row],[Order_Date]]+60),1,0)</f>
        <v>0</v>
      </c>
      <c r="V1336">
        <f>IF(ReconciliationData[[#This Row],[total_returned_units]]&gt;ReconciliationData[[#This Row],[ordered_units]],1,0)</f>
        <v>0</v>
      </c>
      <c r="W13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36">
        <f>ReconciliationData[[#This Row],[Billed_Units]]*ReconciliationData[[#This Row],[Billed_Price]]</f>
        <v>13850.5224</v>
      </c>
      <c r="Y1336">
        <f>ReconciliationData[[#This Row],[ordered_units]]*ReconciliationData[[#This Row],[List_Price]]</f>
        <v>13850.5224</v>
      </c>
      <c r="Z1336">
        <f>ReconciliationData[[#This Row],[billed_revenue]]-ReconciliationData[[#This Row],[expected_revenue]]</f>
        <v>0</v>
      </c>
      <c r="AA13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36" t="str">
        <f>IF(ReconciliationData[[#This Row],[severity_score]]=0,"LOW",
 IF(ReconciliationData[[#This Row],[severity_score]]&lt;=5,"MEDIUM","HIGH"))</f>
        <v>LOW</v>
      </c>
      <c r="AC1336" t="str">
        <f>TEXT(ReconciliationData[[#This Row],[Order_Date]],"YYYY-MM")</f>
        <v>2024-12</v>
      </c>
    </row>
    <row r="1337" spans="1:29">
      <c r="A1337" t="s">
        <v>3757</v>
      </c>
      <c r="B1337" s="1">
        <v>45235</v>
      </c>
      <c r="C1337" t="s">
        <v>2598</v>
      </c>
      <c r="D1337" t="s">
        <v>958</v>
      </c>
      <c r="E1337">
        <v>37</v>
      </c>
      <c r="F1337" t="s">
        <v>3758</v>
      </c>
      <c r="G1337">
        <v>41</v>
      </c>
      <c r="H1337">
        <v>147.87150000000003</v>
      </c>
      <c r="N1337">
        <v>147.87150000000003</v>
      </c>
      <c r="O1337" s="1">
        <v>44972</v>
      </c>
      <c r="P1337">
        <f>IF(ISBLANK(ReconciliationData[[#This Row],[Invoice_ID]]),1,0)</f>
        <v>0</v>
      </c>
      <c r="Q1337">
        <f>IF(AND(NOT(ISBLANK(ReconciliationData[[#This Row],[Billed_Units]])),ReconciliationData[[#This Row],[ordered_units]]&lt;&gt;ReconciliationData[[#This Row],[Billed_Units]]),1,0)</f>
        <v>1</v>
      </c>
      <c r="R13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7">
        <f>IF(AND(NOT(ISBLANK(ReconciliationData[[#This Row],[Contract_Price]])),ReconciliationData[[#This Row],[Billed_Price]]&lt;&gt;ReconciliationData[[#This Row],[Contract_Price]]),1,0)</f>
        <v>0</v>
      </c>
      <c r="T1337">
        <f>IF(AND(NOT(ISBLANK(ReconciliationData[[#This Row],[End_Date]])),ReconciliationData[[#This Row],[Order_Date]]&gt;ReconciliationData[[#This Row],[End_Date]]),1,0)</f>
        <v>0</v>
      </c>
      <c r="U1337">
        <f>IF(AND(NOT(ISBLANK(ReconciliationData[[#This Row],[last_return_date]])),ReconciliationData[[#This Row],[last_return_date]]&gt;ReconciliationData[[#This Row],[Order_Date]]+60),1,0)</f>
        <v>0</v>
      </c>
      <c r="V1337">
        <f>IF(ReconciliationData[[#This Row],[total_returned_units]]&gt;ReconciliationData[[#This Row],[ordered_units]],1,0)</f>
        <v>0</v>
      </c>
      <c r="W13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37">
        <f>ReconciliationData[[#This Row],[Billed_Units]]*ReconciliationData[[#This Row],[Billed_Price]]</f>
        <v>6062.7315000000008</v>
      </c>
      <c r="Y1337">
        <f>ReconciliationData[[#This Row],[ordered_units]]*ReconciliationData[[#This Row],[List_Price]]</f>
        <v>5471.2455000000009</v>
      </c>
      <c r="Z1337">
        <f>ReconciliationData[[#This Row],[billed_revenue]]-ReconciliationData[[#This Row],[expected_revenue]]</f>
        <v>591.48599999999988</v>
      </c>
      <c r="AA13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337" t="str">
        <f>IF(ReconciliationData[[#This Row],[severity_score]]=0,"LOW",
 IF(ReconciliationData[[#This Row],[severity_score]]&lt;=5,"MEDIUM","HIGH"))</f>
        <v>HIGH</v>
      </c>
      <c r="AC1337" t="str">
        <f>TEXT(ReconciliationData[[#This Row],[Order_Date]],"YYYY-MM")</f>
        <v>2023-11</v>
      </c>
    </row>
    <row r="1338" spans="1:29">
      <c r="A1338" t="s">
        <v>3759</v>
      </c>
      <c r="B1338" s="1">
        <v>44957</v>
      </c>
      <c r="C1338" t="s">
        <v>1046</v>
      </c>
      <c r="D1338" t="s">
        <v>577</v>
      </c>
      <c r="E1338">
        <v>127</v>
      </c>
      <c r="F1338" t="s">
        <v>3760</v>
      </c>
      <c r="G1338">
        <v>127</v>
      </c>
      <c r="H1338">
        <v>1158.7071999999998</v>
      </c>
      <c r="N1338">
        <v>1158.7071999999998</v>
      </c>
      <c r="O1338" s="1">
        <v>44887</v>
      </c>
      <c r="P1338">
        <f>IF(ISBLANK(ReconciliationData[[#This Row],[Invoice_ID]]),1,0)</f>
        <v>0</v>
      </c>
      <c r="Q1338">
        <f>IF(AND(NOT(ISBLANK(ReconciliationData[[#This Row],[Billed_Units]])),ReconciliationData[[#This Row],[ordered_units]]&lt;&gt;ReconciliationData[[#This Row],[Billed_Units]]),1,0)</f>
        <v>0</v>
      </c>
      <c r="R13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8">
        <f>IF(AND(NOT(ISBLANK(ReconciliationData[[#This Row],[Contract_Price]])),ReconciliationData[[#This Row],[Billed_Price]]&lt;&gt;ReconciliationData[[#This Row],[Contract_Price]]),1,0)</f>
        <v>0</v>
      </c>
      <c r="T1338">
        <f>IF(AND(NOT(ISBLANK(ReconciliationData[[#This Row],[End_Date]])),ReconciliationData[[#This Row],[Order_Date]]&gt;ReconciliationData[[#This Row],[End_Date]]),1,0)</f>
        <v>0</v>
      </c>
      <c r="U1338">
        <f>IF(AND(NOT(ISBLANK(ReconciliationData[[#This Row],[last_return_date]])),ReconciliationData[[#This Row],[last_return_date]]&gt;ReconciliationData[[#This Row],[Order_Date]]+60),1,0)</f>
        <v>0</v>
      </c>
      <c r="V1338">
        <f>IF(ReconciliationData[[#This Row],[total_returned_units]]&gt;ReconciliationData[[#This Row],[ordered_units]],1,0)</f>
        <v>0</v>
      </c>
      <c r="W13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38">
        <f>ReconciliationData[[#This Row],[Billed_Units]]*ReconciliationData[[#This Row],[Billed_Price]]</f>
        <v>147155.81439999997</v>
      </c>
      <c r="Y1338">
        <f>ReconciliationData[[#This Row],[ordered_units]]*ReconciliationData[[#This Row],[List_Price]]</f>
        <v>147155.81439999997</v>
      </c>
      <c r="Z1338">
        <f>ReconciliationData[[#This Row],[billed_revenue]]-ReconciliationData[[#This Row],[expected_revenue]]</f>
        <v>0</v>
      </c>
      <c r="AA13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38" t="str">
        <f>IF(ReconciliationData[[#This Row],[severity_score]]=0,"LOW",
 IF(ReconciliationData[[#This Row],[severity_score]]&lt;=5,"MEDIUM","HIGH"))</f>
        <v>LOW</v>
      </c>
      <c r="AC1338" t="str">
        <f>TEXT(ReconciliationData[[#This Row],[Order_Date]],"YYYY-MM")</f>
        <v>2023-01</v>
      </c>
    </row>
    <row r="1339" spans="1:29">
      <c r="A1339" t="s">
        <v>3761</v>
      </c>
      <c r="B1339" s="1">
        <v>45067</v>
      </c>
      <c r="C1339" t="s">
        <v>940</v>
      </c>
      <c r="D1339" t="s">
        <v>2765</v>
      </c>
      <c r="E1339">
        <v>146</v>
      </c>
      <c r="F1339" t="s">
        <v>3762</v>
      </c>
      <c r="G1339">
        <v>146</v>
      </c>
      <c r="H1339">
        <v>987.07560000000001</v>
      </c>
      <c r="N1339">
        <v>987.07560000000001</v>
      </c>
      <c r="O1339" s="1">
        <v>44877</v>
      </c>
      <c r="P1339">
        <f>IF(ISBLANK(ReconciliationData[[#This Row],[Invoice_ID]]),1,0)</f>
        <v>0</v>
      </c>
      <c r="Q1339">
        <f>IF(AND(NOT(ISBLANK(ReconciliationData[[#This Row],[Billed_Units]])),ReconciliationData[[#This Row],[ordered_units]]&lt;&gt;ReconciliationData[[#This Row],[Billed_Units]]),1,0)</f>
        <v>0</v>
      </c>
      <c r="R13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39">
        <f>IF(AND(NOT(ISBLANK(ReconciliationData[[#This Row],[Contract_Price]])),ReconciliationData[[#This Row],[Billed_Price]]&lt;&gt;ReconciliationData[[#This Row],[Contract_Price]]),1,0)</f>
        <v>0</v>
      </c>
      <c r="T1339">
        <f>IF(AND(NOT(ISBLANK(ReconciliationData[[#This Row],[End_Date]])),ReconciliationData[[#This Row],[Order_Date]]&gt;ReconciliationData[[#This Row],[End_Date]]),1,0)</f>
        <v>0</v>
      </c>
      <c r="U1339">
        <f>IF(AND(NOT(ISBLANK(ReconciliationData[[#This Row],[last_return_date]])),ReconciliationData[[#This Row],[last_return_date]]&gt;ReconciliationData[[#This Row],[Order_Date]]+60),1,0)</f>
        <v>0</v>
      </c>
      <c r="V1339">
        <f>IF(ReconciliationData[[#This Row],[total_returned_units]]&gt;ReconciliationData[[#This Row],[ordered_units]],1,0)</f>
        <v>0</v>
      </c>
      <c r="W13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39">
        <f>ReconciliationData[[#This Row],[Billed_Units]]*ReconciliationData[[#This Row],[Billed_Price]]</f>
        <v>144113.03760000001</v>
      </c>
      <c r="Y1339">
        <f>ReconciliationData[[#This Row],[ordered_units]]*ReconciliationData[[#This Row],[List_Price]]</f>
        <v>144113.03760000001</v>
      </c>
      <c r="Z1339">
        <f>ReconciliationData[[#This Row],[billed_revenue]]-ReconciliationData[[#This Row],[expected_revenue]]</f>
        <v>0</v>
      </c>
      <c r="AA13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39" t="str">
        <f>IF(ReconciliationData[[#This Row],[severity_score]]=0,"LOW",
 IF(ReconciliationData[[#This Row],[severity_score]]&lt;=5,"MEDIUM","HIGH"))</f>
        <v>LOW</v>
      </c>
      <c r="AC1339" t="str">
        <f>TEXT(ReconciliationData[[#This Row],[Order_Date]],"YYYY-MM")</f>
        <v>2023-05</v>
      </c>
    </row>
    <row r="1340" spans="1:29">
      <c r="A1340" t="s">
        <v>3763</v>
      </c>
      <c r="B1340" s="1">
        <v>45477</v>
      </c>
      <c r="C1340" t="s">
        <v>1082</v>
      </c>
      <c r="D1340" t="s">
        <v>142</v>
      </c>
      <c r="E1340">
        <v>189</v>
      </c>
      <c r="F1340" t="s">
        <v>3764</v>
      </c>
      <c r="G1340">
        <v>199</v>
      </c>
      <c r="H1340">
        <v>189.1498</v>
      </c>
      <c r="N1340">
        <v>189.1498</v>
      </c>
      <c r="O1340" s="1">
        <v>45108</v>
      </c>
      <c r="P1340">
        <f>IF(ISBLANK(ReconciliationData[[#This Row],[Invoice_ID]]),1,0)</f>
        <v>0</v>
      </c>
      <c r="Q1340">
        <f>IF(AND(NOT(ISBLANK(ReconciliationData[[#This Row],[Billed_Units]])),ReconciliationData[[#This Row],[ordered_units]]&lt;&gt;ReconciliationData[[#This Row],[Billed_Units]]),1,0)</f>
        <v>1</v>
      </c>
      <c r="R13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0">
        <f>IF(AND(NOT(ISBLANK(ReconciliationData[[#This Row],[Contract_Price]])),ReconciliationData[[#This Row],[Billed_Price]]&lt;&gt;ReconciliationData[[#This Row],[Contract_Price]]),1,0)</f>
        <v>0</v>
      </c>
      <c r="T1340">
        <f>IF(AND(NOT(ISBLANK(ReconciliationData[[#This Row],[End_Date]])),ReconciliationData[[#This Row],[Order_Date]]&gt;ReconciliationData[[#This Row],[End_Date]]),1,0)</f>
        <v>0</v>
      </c>
      <c r="U1340">
        <f>IF(AND(NOT(ISBLANK(ReconciliationData[[#This Row],[last_return_date]])),ReconciliationData[[#This Row],[last_return_date]]&gt;ReconciliationData[[#This Row],[Order_Date]]+60),1,0)</f>
        <v>0</v>
      </c>
      <c r="V1340">
        <f>IF(ReconciliationData[[#This Row],[total_returned_units]]&gt;ReconciliationData[[#This Row],[ordered_units]],1,0)</f>
        <v>0</v>
      </c>
      <c r="W13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40">
        <f>ReconciliationData[[#This Row],[Billed_Units]]*ReconciliationData[[#This Row],[Billed_Price]]</f>
        <v>37640.8102</v>
      </c>
      <c r="Y1340">
        <f>ReconciliationData[[#This Row],[ordered_units]]*ReconciliationData[[#This Row],[List_Price]]</f>
        <v>35749.3122</v>
      </c>
      <c r="Z1340">
        <f>ReconciliationData[[#This Row],[billed_revenue]]-ReconciliationData[[#This Row],[expected_revenue]]</f>
        <v>1891.4979999999996</v>
      </c>
      <c r="AA13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340" t="str">
        <f>IF(ReconciliationData[[#This Row],[severity_score]]=0,"LOW",
 IF(ReconciliationData[[#This Row],[severity_score]]&lt;=5,"MEDIUM","HIGH"))</f>
        <v>HIGH</v>
      </c>
      <c r="AC1340" t="str">
        <f>TEXT(ReconciliationData[[#This Row],[Order_Date]],"YYYY-MM")</f>
        <v>2024-07</v>
      </c>
    </row>
    <row r="1341" spans="1:29">
      <c r="A1341" t="s">
        <v>3765</v>
      </c>
      <c r="B1341" s="1">
        <v>45418</v>
      </c>
      <c r="C1341" t="s">
        <v>631</v>
      </c>
      <c r="D1341" t="s">
        <v>212</v>
      </c>
      <c r="E1341">
        <v>73</v>
      </c>
      <c r="F1341" t="s">
        <v>3766</v>
      </c>
      <c r="G1341">
        <v>73</v>
      </c>
      <c r="H1341">
        <v>833.41650000000004</v>
      </c>
      <c r="N1341">
        <v>833.41650000000004</v>
      </c>
      <c r="O1341" s="1">
        <v>45194</v>
      </c>
      <c r="P1341">
        <f>IF(ISBLANK(ReconciliationData[[#This Row],[Invoice_ID]]),1,0)</f>
        <v>0</v>
      </c>
      <c r="Q1341">
        <f>IF(AND(NOT(ISBLANK(ReconciliationData[[#This Row],[Billed_Units]])),ReconciliationData[[#This Row],[ordered_units]]&lt;&gt;ReconciliationData[[#This Row],[Billed_Units]]),1,0)</f>
        <v>0</v>
      </c>
      <c r="R13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1">
        <f>IF(AND(NOT(ISBLANK(ReconciliationData[[#This Row],[Contract_Price]])),ReconciliationData[[#This Row],[Billed_Price]]&lt;&gt;ReconciliationData[[#This Row],[Contract_Price]]),1,0)</f>
        <v>0</v>
      </c>
      <c r="T1341">
        <f>IF(AND(NOT(ISBLANK(ReconciliationData[[#This Row],[End_Date]])),ReconciliationData[[#This Row],[Order_Date]]&gt;ReconciliationData[[#This Row],[End_Date]]),1,0)</f>
        <v>0</v>
      </c>
      <c r="U1341">
        <f>IF(AND(NOT(ISBLANK(ReconciliationData[[#This Row],[last_return_date]])),ReconciliationData[[#This Row],[last_return_date]]&gt;ReconciliationData[[#This Row],[Order_Date]]+60),1,0)</f>
        <v>0</v>
      </c>
      <c r="V1341">
        <f>IF(ReconciliationData[[#This Row],[total_returned_units]]&gt;ReconciliationData[[#This Row],[ordered_units]],1,0)</f>
        <v>0</v>
      </c>
      <c r="W13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41">
        <f>ReconciliationData[[#This Row],[Billed_Units]]*ReconciliationData[[#This Row],[Billed_Price]]</f>
        <v>60839.404500000004</v>
      </c>
      <c r="Y1341">
        <f>ReconciliationData[[#This Row],[ordered_units]]*ReconciliationData[[#This Row],[List_Price]]</f>
        <v>60839.404500000004</v>
      </c>
      <c r="Z1341">
        <f>ReconciliationData[[#This Row],[billed_revenue]]-ReconciliationData[[#This Row],[expected_revenue]]</f>
        <v>0</v>
      </c>
      <c r="AA13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41" t="str">
        <f>IF(ReconciliationData[[#This Row],[severity_score]]=0,"LOW",
 IF(ReconciliationData[[#This Row],[severity_score]]&lt;=5,"MEDIUM","HIGH"))</f>
        <v>LOW</v>
      </c>
      <c r="AC1341" t="str">
        <f>TEXT(ReconciliationData[[#This Row],[Order_Date]],"YYYY-MM")</f>
        <v>2024-05</v>
      </c>
    </row>
    <row r="1342" spans="1:29">
      <c r="A1342" t="s">
        <v>3767</v>
      </c>
      <c r="B1342" s="1">
        <v>45565</v>
      </c>
      <c r="C1342" t="s">
        <v>1548</v>
      </c>
      <c r="D1342" t="s">
        <v>1142</v>
      </c>
      <c r="E1342">
        <v>185</v>
      </c>
      <c r="F1342" t="s">
        <v>3768</v>
      </c>
      <c r="G1342">
        <v>193</v>
      </c>
      <c r="H1342">
        <v>624.37260000000003</v>
      </c>
      <c r="I1342">
        <v>10</v>
      </c>
      <c r="J1342" s="1">
        <v>45553</v>
      </c>
      <c r="N1342">
        <v>624.37260000000003</v>
      </c>
      <c r="O1342" s="1">
        <v>44932</v>
      </c>
      <c r="P1342">
        <f>IF(ISBLANK(ReconciliationData[[#This Row],[Invoice_ID]]),1,0)</f>
        <v>0</v>
      </c>
      <c r="Q1342">
        <f>IF(AND(NOT(ISBLANK(ReconciliationData[[#This Row],[Billed_Units]])),ReconciliationData[[#This Row],[ordered_units]]&lt;&gt;ReconciliationData[[#This Row],[Billed_Units]]),1,0)</f>
        <v>1</v>
      </c>
      <c r="R13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2">
        <f>IF(AND(NOT(ISBLANK(ReconciliationData[[#This Row],[Contract_Price]])),ReconciliationData[[#This Row],[Billed_Price]]&lt;&gt;ReconciliationData[[#This Row],[Contract_Price]]),1,0)</f>
        <v>0</v>
      </c>
      <c r="T1342">
        <f>IF(AND(NOT(ISBLANK(ReconciliationData[[#This Row],[End_Date]])),ReconciliationData[[#This Row],[Order_Date]]&gt;ReconciliationData[[#This Row],[End_Date]]),1,0)</f>
        <v>0</v>
      </c>
      <c r="U1342">
        <f>IF(AND(NOT(ISBLANK(ReconciliationData[[#This Row],[last_return_date]])),ReconciliationData[[#This Row],[last_return_date]]&gt;ReconciliationData[[#This Row],[Order_Date]]+60),1,0)</f>
        <v>0</v>
      </c>
      <c r="V1342">
        <f>IF(ReconciliationData[[#This Row],[total_returned_units]]&gt;ReconciliationData[[#This Row],[ordered_units]],1,0)</f>
        <v>0</v>
      </c>
      <c r="W13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42">
        <f>ReconciliationData[[#This Row],[Billed_Units]]*ReconciliationData[[#This Row],[Billed_Price]]</f>
        <v>120503.9118</v>
      </c>
      <c r="Y1342">
        <f>ReconciliationData[[#This Row],[ordered_units]]*ReconciliationData[[#This Row],[List_Price]]</f>
        <v>115508.93100000001</v>
      </c>
      <c r="Z1342">
        <f>ReconciliationData[[#This Row],[billed_revenue]]-ReconciliationData[[#This Row],[expected_revenue]]</f>
        <v>4994.9807999999903</v>
      </c>
      <c r="AA13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342" t="str">
        <f>IF(ReconciliationData[[#This Row],[severity_score]]=0,"LOW",
 IF(ReconciliationData[[#This Row],[severity_score]]&lt;=5,"MEDIUM","HIGH"))</f>
        <v>HIGH</v>
      </c>
      <c r="AC1342" t="str">
        <f>TEXT(ReconciliationData[[#This Row],[Order_Date]],"YYYY-MM")</f>
        <v>2024-09</v>
      </c>
    </row>
    <row r="1343" spans="1:29">
      <c r="A1343" t="s">
        <v>3769</v>
      </c>
      <c r="B1343" s="1">
        <v>45097</v>
      </c>
      <c r="C1343" t="s">
        <v>1967</v>
      </c>
      <c r="D1343" t="s">
        <v>3770</v>
      </c>
      <c r="E1343">
        <v>121</v>
      </c>
      <c r="F1343" t="s">
        <v>3771</v>
      </c>
      <c r="G1343">
        <v>121</v>
      </c>
      <c r="H1343">
        <v>724.16120000000001</v>
      </c>
      <c r="N1343">
        <v>724.16120000000001</v>
      </c>
      <c r="O1343" s="1">
        <v>45044</v>
      </c>
      <c r="P1343">
        <f>IF(ISBLANK(ReconciliationData[[#This Row],[Invoice_ID]]),1,0)</f>
        <v>0</v>
      </c>
      <c r="Q1343">
        <f>IF(AND(NOT(ISBLANK(ReconciliationData[[#This Row],[Billed_Units]])),ReconciliationData[[#This Row],[ordered_units]]&lt;&gt;ReconciliationData[[#This Row],[Billed_Units]]),1,0)</f>
        <v>0</v>
      </c>
      <c r="R13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3">
        <f>IF(AND(NOT(ISBLANK(ReconciliationData[[#This Row],[Contract_Price]])),ReconciliationData[[#This Row],[Billed_Price]]&lt;&gt;ReconciliationData[[#This Row],[Contract_Price]]),1,0)</f>
        <v>0</v>
      </c>
      <c r="T1343">
        <f>IF(AND(NOT(ISBLANK(ReconciliationData[[#This Row],[End_Date]])),ReconciliationData[[#This Row],[Order_Date]]&gt;ReconciliationData[[#This Row],[End_Date]]),1,0)</f>
        <v>0</v>
      </c>
      <c r="U1343">
        <f>IF(AND(NOT(ISBLANK(ReconciliationData[[#This Row],[last_return_date]])),ReconciliationData[[#This Row],[last_return_date]]&gt;ReconciliationData[[#This Row],[Order_Date]]+60),1,0)</f>
        <v>0</v>
      </c>
      <c r="V1343">
        <f>IF(ReconciliationData[[#This Row],[total_returned_units]]&gt;ReconciliationData[[#This Row],[ordered_units]],1,0)</f>
        <v>0</v>
      </c>
      <c r="W13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43">
        <f>ReconciliationData[[#This Row],[Billed_Units]]*ReconciliationData[[#This Row],[Billed_Price]]</f>
        <v>87623.5052</v>
      </c>
      <c r="Y1343">
        <f>ReconciliationData[[#This Row],[ordered_units]]*ReconciliationData[[#This Row],[List_Price]]</f>
        <v>87623.5052</v>
      </c>
      <c r="Z1343">
        <f>ReconciliationData[[#This Row],[billed_revenue]]-ReconciliationData[[#This Row],[expected_revenue]]</f>
        <v>0</v>
      </c>
      <c r="AA13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43" t="str">
        <f>IF(ReconciliationData[[#This Row],[severity_score]]=0,"LOW",
 IF(ReconciliationData[[#This Row],[severity_score]]&lt;=5,"MEDIUM","HIGH"))</f>
        <v>LOW</v>
      </c>
      <c r="AC1343" t="str">
        <f>TEXT(ReconciliationData[[#This Row],[Order_Date]],"YYYY-MM")</f>
        <v>2023-06</v>
      </c>
    </row>
    <row r="1344" spans="1:29">
      <c r="A1344" t="s">
        <v>3772</v>
      </c>
      <c r="B1344" s="1">
        <v>44949</v>
      </c>
      <c r="C1344" t="s">
        <v>282</v>
      </c>
      <c r="D1344" t="s">
        <v>873</v>
      </c>
      <c r="E1344">
        <v>117</v>
      </c>
      <c r="F1344" t="s">
        <v>3773</v>
      </c>
      <c r="G1344">
        <v>117</v>
      </c>
      <c r="H1344">
        <v>1035.2895000000001</v>
      </c>
      <c r="I1344">
        <v>5</v>
      </c>
      <c r="J1344" s="1">
        <v>45619</v>
      </c>
      <c r="N1344">
        <v>1035.2895000000001</v>
      </c>
      <c r="O1344" s="1">
        <v>44804</v>
      </c>
      <c r="P1344">
        <f>IF(ISBLANK(ReconciliationData[[#This Row],[Invoice_ID]]),1,0)</f>
        <v>0</v>
      </c>
      <c r="Q1344">
        <f>IF(AND(NOT(ISBLANK(ReconciliationData[[#This Row],[Billed_Units]])),ReconciliationData[[#This Row],[ordered_units]]&lt;&gt;ReconciliationData[[#This Row],[Billed_Units]]),1,0)</f>
        <v>0</v>
      </c>
      <c r="R13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4">
        <f>IF(AND(NOT(ISBLANK(ReconciliationData[[#This Row],[Contract_Price]])),ReconciliationData[[#This Row],[Billed_Price]]&lt;&gt;ReconciliationData[[#This Row],[Contract_Price]]),1,0)</f>
        <v>0</v>
      </c>
      <c r="T1344">
        <f>IF(AND(NOT(ISBLANK(ReconciliationData[[#This Row],[End_Date]])),ReconciliationData[[#This Row],[Order_Date]]&gt;ReconciliationData[[#This Row],[End_Date]]),1,0)</f>
        <v>0</v>
      </c>
      <c r="U1344">
        <f>IF(AND(NOT(ISBLANK(ReconciliationData[[#This Row],[last_return_date]])),ReconciliationData[[#This Row],[last_return_date]]&gt;ReconciliationData[[#This Row],[Order_Date]]+60),1,0)</f>
        <v>1</v>
      </c>
      <c r="V1344">
        <f>IF(ReconciliationData[[#This Row],[total_returned_units]]&gt;ReconciliationData[[#This Row],[ordered_units]],1,0)</f>
        <v>0</v>
      </c>
      <c r="W13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44">
        <f>ReconciliationData[[#This Row],[Billed_Units]]*ReconciliationData[[#This Row],[Billed_Price]]</f>
        <v>121128.87150000001</v>
      </c>
      <c r="Y1344">
        <f>ReconciliationData[[#This Row],[ordered_units]]*ReconciliationData[[#This Row],[List_Price]]</f>
        <v>121128.87150000001</v>
      </c>
      <c r="Z1344">
        <f>ReconciliationData[[#This Row],[billed_revenue]]-ReconciliationData[[#This Row],[expected_revenue]]</f>
        <v>0</v>
      </c>
      <c r="AA13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344" t="str">
        <f>IF(ReconciliationData[[#This Row],[severity_score]]=0,"LOW",
 IF(ReconciliationData[[#This Row],[severity_score]]&lt;=5,"MEDIUM","HIGH"))</f>
        <v>MEDIUM</v>
      </c>
      <c r="AC1344" t="str">
        <f>TEXT(ReconciliationData[[#This Row],[Order_Date]],"YYYY-MM")</f>
        <v>2023-01</v>
      </c>
    </row>
    <row r="1345" spans="1:29">
      <c r="A1345" t="s">
        <v>3774</v>
      </c>
      <c r="B1345" s="1">
        <v>45461</v>
      </c>
      <c r="C1345" t="s">
        <v>3775</v>
      </c>
      <c r="D1345" t="s">
        <v>150</v>
      </c>
      <c r="E1345">
        <v>161</v>
      </c>
      <c r="F1345" t="s">
        <v>3776</v>
      </c>
      <c r="G1345">
        <v>161</v>
      </c>
      <c r="H1345">
        <v>353.52719999999999</v>
      </c>
      <c r="N1345">
        <v>353.52719999999999</v>
      </c>
      <c r="O1345" s="1">
        <v>45182</v>
      </c>
      <c r="P1345">
        <f>IF(ISBLANK(ReconciliationData[[#This Row],[Invoice_ID]]),1,0)</f>
        <v>0</v>
      </c>
      <c r="Q1345">
        <f>IF(AND(NOT(ISBLANK(ReconciliationData[[#This Row],[Billed_Units]])),ReconciliationData[[#This Row],[ordered_units]]&lt;&gt;ReconciliationData[[#This Row],[Billed_Units]]),1,0)</f>
        <v>0</v>
      </c>
      <c r="R13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5">
        <f>IF(AND(NOT(ISBLANK(ReconciliationData[[#This Row],[Contract_Price]])),ReconciliationData[[#This Row],[Billed_Price]]&lt;&gt;ReconciliationData[[#This Row],[Contract_Price]]),1,0)</f>
        <v>0</v>
      </c>
      <c r="T1345">
        <f>IF(AND(NOT(ISBLANK(ReconciliationData[[#This Row],[End_Date]])),ReconciliationData[[#This Row],[Order_Date]]&gt;ReconciliationData[[#This Row],[End_Date]]),1,0)</f>
        <v>0</v>
      </c>
      <c r="U1345">
        <f>IF(AND(NOT(ISBLANK(ReconciliationData[[#This Row],[last_return_date]])),ReconciliationData[[#This Row],[last_return_date]]&gt;ReconciliationData[[#This Row],[Order_Date]]+60),1,0)</f>
        <v>0</v>
      </c>
      <c r="V1345">
        <f>IF(ReconciliationData[[#This Row],[total_returned_units]]&gt;ReconciliationData[[#This Row],[ordered_units]],1,0)</f>
        <v>0</v>
      </c>
      <c r="W13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45">
        <f>ReconciliationData[[#This Row],[Billed_Units]]*ReconciliationData[[#This Row],[Billed_Price]]</f>
        <v>56917.879199999996</v>
      </c>
      <c r="Y1345">
        <f>ReconciliationData[[#This Row],[ordered_units]]*ReconciliationData[[#This Row],[List_Price]]</f>
        <v>56917.879199999996</v>
      </c>
      <c r="Z1345">
        <f>ReconciliationData[[#This Row],[billed_revenue]]-ReconciliationData[[#This Row],[expected_revenue]]</f>
        <v>0</v>
      </c>
      <c r="AA13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45" t="str">
        <f>IF(ReconciliationData[[#This Row],[severity_score]]=0,"LOW",
 IF(ReconciliationData[[#This Row],[severity_score]]&lt;=5,"MEDIUM","HIGH"))</f>
        <v>LOW</v>
      </c>
      <c r="AC1345" t="str">
        <f>TEXT(ReconciliationData[[#This Row],[Order_Date]],"YYYY-MM")</f>
        <v>2024-06</v>
      </c>
    </row>
    <row r="1346" spans="1:29">
      <c r="A1346" t="s">
        <v>3777</v>
      </c>
      <c r="B1346" s="1">
        <v>45168</v>
      </c>
      <c r="C1346" t="s">
        <v>2639</v>
      </c>
      <c r="D1346" t="s">
        <v>341</v>
      </c>
      <c r="E1346">
        <v>51</v>
      </c>
      <c r="F1346" t="s">
        <v>3778</v>
      </c>
      <c r="G1346">
        <v>51</v>
      </c>
      <c r="H1346">
        <v>49.450800000000001</v>
      </c>
      <c r="N1346">
        <v>49.450800000000001</v>
      </c>
      <c r="O1346" s="1">
        <v>45168</v>
      </c>
      <c r="P1346">
        <f>IF(ISBLANK(ReconciliationData[[#This Row],[Invoice_ID]]),1,0)</f>
        <v>0</v>
      </c>
      <c r="Q1346">
        <f>IF(AND(NOT(ISBLANK(ReconciliationData[[#This Row],[Billed_Units]])),ReconciliationData[[#This Row],[ordered_units]]&lt;&gt;ReconciliationData[[#This Row],[Billed_Units]]),1,0)</f>
        <v>0</v>
      </c>
      <c r="R13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6">
        <f>IF(AND(NOT(ISBLANK(ReconciliationData[[#This Row],[Contract_Price]])),ReconciliationData[[#This Row],[Billed_Price]]&lt;&gt;ReconciliationData[[#This Row],[Contract_Price]]),1,0)</f>
        <v>0</v>
      </c>
      <c r="T1346">
        <f>IF(AND(NOT(ISBLANK(ReconciliationData[[#This Row],[End_Date]])),ReconciliationData[[#This Row],[Order_Date]]&gt;ReconciliationData[[#This Row],[End_Date]]),1,0)</f>
        <v>0</v>
      </c>
      <c r="U1346">
        <f>IF(AND(NOT(ISBLANK(ReconciliationData[[#This Row],[last_return_date]])),ReconciliationData[[#This Row],[last_return_date]]&gt;ReconciliationData[[#This Row],[Order_Date]]+60),1,0)</f>
        <v>0</v>
      </c>
      <c r="V1346">
        <f>IF(ReconciliationData[[#This Row],[total_returned_units]]&gt;ReconciliationData[[#This Row],[ordered_units]],1,0)</f>
        <v>0</v>
      </c>
      <c r="W13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46">
        <f>ReconciliationData[[#This Row],[Billed_Units]]*ReconciliationData[[#This Row],[Billed_Price]]</f>
        <v>2521.9908</v>
      </c>
      <c r="Y1346">
        <f>ReconciliationData[[#This Row],[ordered_units]]*ReconciliationData[[#This Row],[List_Price]]</f>
        <v>2521.9908</v>
      </c>
      <c r="Z1346">
        <f>ReconciliationData[[#This Row],[billed_revenue]]-ReconciliationData[[#This Row],[expected_revenue]]</f>
        <v>0</v>
      </c>
      <c r="AA13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46" t="str">
        <f>IF(ReconciliationData[[#This Row],[severity_score]]=0,"LOW",
 IF(ReconciliationData[[#This Row],[severity_score]]&lt;=5,"MEDIUM","HIGH"))</f>
        <v>LOW</v>
      </c>
      <c r="AC1346" t="str">
        <f>TEXT(ReconciliationData[[#This Row],[Order_Date]],"YYYY-MM")</f>
        <v>2023-08</v>
      </c>
    </row>
    <row r="1347" spans="1:29">
      <c r="A1347" t="s">
        <v>3779</v>
      </c>
      <c r="B1347" s="1">
        <v>45347</v>
      </c>
      <c r="C1347" t="s">
        <v>1435</v>
      </c>
      <c r="D1347" t="s">
        <v>651</v>
      </c>
      <c r="E1347">
        <v>171</v>
      </c>
      <c r="F1347" t="s">
        <v>3780</v>
      </c>
      <c r="G1347">
        <v>171</v>
      </c>
      <c r="H1347">
        <v>214.6182</v>
      </c>
      <c r="N1347">
        <v>214.6182</v>
      </c>
      <c r="O1347" s="1">
        <v>45116</v>
      </c>
      <c r="P1347">
        <f>IF(ISBLANK(ReconciliationData[[#This Row],[Invoice_ID]]),1,0)</f>
        <v>0</v>
      </c>
      <c r="Q1347">
        <f>IF(AND(NOT(ISBLANK(ReconciliationData[[#This Row],[Billed_Units]])),ReconciliationData[[#This Row],[ordered_units]]&lt;&gt;ReconciliationData[[#This Row],[Billed_Units]]),1,0)</f>
        <v>0</v>
      </c>
      <c r="R13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7">
        <f>IF(AND(NOT(ISBLANK(ReconciliationData[[#This Row],[Contract_Price]])),ReconciliationData[[#This Row],[Billed_Price]]&lt;&gt;ReconciliationData[[#This Row],[Contract_Price]]),1,0)</f>
        <v>0</v>
      </c>
      <c r="T1347">
        <f>IF(AND(NOT(ISBLANK(ReconciliationData[[#This Row],[End_Date]])),ReconciliationData[[#This Row],[Order_Date]]&gt;ReconciliationData[[#This Row],[End_Date]]),1,0)</f>
        <v>0</v>
      </c>
      <c r="U1347">
        <f>IF(AND(NOT(ISBLANK(ReconciliationData[[#This Row],[last_return_date]])),ReconciliationData[[#This Row],[last_return_date]]&gt;ReconciliationData[[#This Row],[Order_Date]]+60),1,0)</f>
        <v>0</v>
      </c>
      <c r="V1347">
        <f>IF(ReconciliationData[[#This Row],[total_returned_units]]&gt;ReconciliationData[[#This Row],[ordered_units]],1,0)</f>
        <v>0</v>
      </c>
      <c r="W13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47">
        <f>ReconciliationData[[#This Row],[Billed_Units]]*ReconciliationData[[#This Row],[Billed_Price]]</f>
        <v>36699.712200000002</v>
      </c>
      <c r="Y1347">
        <f>ReconciliationData[[#This Row],[ordered_units]]*ReconciliationData[[#This Row],[List_Price]]</f>
        <v>36699.712200000002</v>
      </c>
      <c r="Z1347">
        <f>ReconciliationData[[#This Row],[billed_revenue]]-ReconciliationData[[#This Row],[expected_revenue]]</f>
        <v>0</v>
      </c>
      <c r="AA13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47" t="str">
        <f>IF(ReconciliationData[[#This Row],[severity_score]]=0,"LOW",
 IF(ReconciliationData[[#This Row],[severity_score]]&lt;=5,"MEDIUM","HIGH"))</f>
        <v>LOW</v>
      </c>
      <c r="AC1347" t="str">
        <f>TEXT(ReconciliationData[[#This Row],[Order_Date]],"YYYY-MM")</f>
        <v>2024-02</v>
      </c>
    </row>
    <row r="1348" spans="1:29">
      <c r="A1348" t="s">
        <v>3781</v>
      </c>
      <c r="B1348" s="1">
        <v>45314</v>
      </c>
      <c r="C1348" t="s">
        <v>3782</v>
      </c>
      <c r="D1348" t="s">
        <v>381</v>
      </c>
      <c r="E1348">
        <v>106</v>
      </c>
      <c r="F1348" t="s">
        <v>3783</v>
      </c>
      <c r="G1348">
        <v>106</v>
      </c>
      <c r="H1348">
        <v>942.54840000000013</v>
      </c>
      <c r="N1348">
        <v>942.54840000000013</v>
      </c>
      <c r="O1348" s="1">
        <v>45086</v>
      </c>
      <c r="P1348">
        <f>IF(ISBLANK(ReconciliationData[[#This Row],[Invoice_ID]]),1,0)</f>
        <v>0</v>
      </c>
      <c r="Q1348">
        <f>IF(AND(NOT(ISBLANK(ReconciliationData[[#This Row],[Billed_Units]])),ReconciliationData[[#This Row],[ordered_units]]&lt;&gt;ReconciliationData[[#This Row],[Billed_Units]]),1,0)</f>
        <v>0</v>
      </c>
      <c r="R13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8">
        <f>IF(AND(NOT(ISBLANK(ReconciliationData[[#This Row],[Contract_Price]])),ReconciliationData[[#This Row],[Billed_Price]]&lt;&gt;ReconciliationData[[#This Row],[Contract_Price]]),1,0)</f>
        <v>0</v>
      </c>
      <c r="T1348">
        <f>IF(AND(NOT(ISBLANK(ReconciliationData[[#This Row],[End_Date]])),ReconciliationData[[#This Row],[Order_Date]]&gt;ReconciliationData[[#This Row],[End_Date]]),1,0)</f>
        <v>0</v>
      </c>
      <c r="U1348">
        <f>IF(AND(NOT(ISBLANK(ReconciliationData[[#This Row],[last_return_date]])),ReconciliationData[[#This Row],[last_return_date]]&gt;ReconciliationData[[#This Row],[Order_Date]]+60),1,0)</f>
        <v>0</v>
      </c>
      <c r="V1348">
        <f>IF(ReconciliationData[[#This Row],[total_returned_units]]&gt;ReconciliationData[[#This Row],[ordered_units]],1,0)</f>
        <v>0</v>
      </c>
      <c r="W13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48">
        <f>ReconciliationData[[#This Row],[Billed_Units]]*ReconciliationData[[#This Row],[Billed_Price]]</f>
        <v>99910.130400000009</v>
      </c>
      <c r="Y1348">
        <f>ReconciliationData[[#This Row],[ordered_units]]*ReconciliationData[[#This Row],[List_Price]]</f>
        <v>99910.130400000009</v>
      </c>
      <c r="Z1348">
        <f>ReconciliationData[[#This Row],[billed_revenue]]-ReconciliationData[[#This Row],[expected_revenue]]</f>
        <v>0</v>
      </c>
      <c r="AA13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48" t="str">
        <f>IF(ReconciliationData[[#This Row],[severity_score]]=0,"LOW",
 IF(ReconciliationData[[#This Row],[severity_score]]&lt;=5,"MEDIUM","HIGH"))</f>
        <v>LOW</v>
      </c>
      <c r="AC1348" t="str">
        <f>TEXT(ReconciliationData[[#This Row],[Order_Date]],"YYYY-MM")</f>
        <v>2024-01</v>
      </c>
    </row>
    <row r="1349" spans="1:29">
      <c r="A1349" t="s">
        <v>3784</v>
      </c>
      <c r="B1349" s="1">
        <v>45418</v>
      </c>
      <c r="C1349" t="s">
        <v>563</v>
      </c>
      <c r="D1349" t="s">
        <v>867</v>
      </c>
      <c r="E1349">
        <v>118</v>
      </c>
      <c r="F1349" t="s">
        <v>3785</v>
      </c>
      <c r="G1349">
        <v>118</v>
      </c>
      <c r="H1349">
        <v>1146.7456000000002</v>
      </c>
      <c r="N1349">
        <v>1146.7456000000002</v>
      </c>
      <c r="O1349" s="1">
        <v>45148</v>
      </c>
      <c r="P1349">
        <f>IF(ISBLANK(ReconciliationData[[#This Row],[Invoice_ID]]),1,0)</f>
        <v>0</v>
      </c>
      <c r="Q1349">
        <f>IF(AND(NOT(ISBLANK(ReconciliationData[[#This Row],[Billed_Units]])),ReconciliationData[[#This Row],[ordered_units]]&lt;&gt;ReconciliationData[[#This Row],[Billed_Units]]),1,0)</f>
        <v>0</v>
      </c>
      <c r="R13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49">
        <f>IF(AND(NOT(ISBLANK(ReconciliationData[[#This Row],[Contract_Price]])),ReconciliationData[[#This Row],[Billed_Price]]&lt;&gt;ReconciliationData[[#This Row],[Contract_Price]]),1,0)</f>
        <v>0</v>
      </c>
      <c r="T1349">
        <f>IF(AND(NOT(ISBLANK(ReconciliationData[[#This Row],[End_Date]])),ReconciliationData[[#This Row],[Order_Date]]&gt;ReconciliationData[[#This Row],[End_Date]]),1,0)</f>
        <v>0</v>
      </c>
      <c r="U1349">
        <f>IF(AND(NOT(ISBLANK(ReconciliationData[[#This Row],[last_return_date]])),ReconciliationData[[#This Row],[last_return_date]]&gt;ReconciliationData[[#This Row],[Order_Date]]+60),1,0)</f>
        <v>0</v>
      </c>
      <c r="V1349">
        <f>IF(ReconciliationData[[#This Row],[total_returned_units]]&gt;ReconciliationData[[#This Row],[ordered_units]],1,0)</f>
        <v>0</v>
      </c>
      <c r="W13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49">
        <f>ReconciliationData[[#This Row],[Billed_Units]]*ReconciliationData[[#This Row],[Billed_Price]]</f>
        <v>135315.98080000002</v>
      </c>
      <c r="Y1349">
        <f>ReconciliationData[[#This Row],[ordered_units]]*ReconciliationData[[#This Row],[List_Price]]</f>
        <v>135315.98080000002</v>
      </c>
      <c r="Z1349">
        <f>ReconciliationData[[#This Row],[billed_revenue]]-ReconciliationData[[#This Row],[expected_revenue]]</f>
        <v>0</v>
      </c>
      <c r="AA13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49" t="str">
        <f>IF(ReconciliationData[[#This Row],[severity_score]]=0,"LOW",
 IF(ReconciliationData[[#This Row],[severity_score]]&lt;=5,"MEDIUM","HIGH"))</f>
        <v>LOW</v>
      </c>
      <c r="AC1349" t="str">
        <f>TEXT(ReconciliationData[[#This Row],[Order_Date]],"YYYY-MM")</f>
        <v>2024-05</v>
      </c>
    </row>
    <row r="1350" spans="1:29">
      <c r="A1350" t="s">
        <v>3786</v>
      </c>
      <c r="B1350" s="1">
        <v>45146</v>
      </c>
      <c r="C1350" t="s">
        <v>690</v>
      </c>
      <c r="D1350" t="s">
        <v>891</v>
      </c>
      <c r="E1350">
        <v>45</v>
      </c>
      <c r="F1350" t="s">
        <v>3787</v>
      </c>
      <c r="G1350">
        <v>45</v>
      </c>
      <c r="H1350">
        <v>680.30940000000021</v>
      </c>
      <c r="N1350">
        <v>680.30940000000021</v>
      </c>
      <c r="O1350" s="1">
        <v>44934</v>
      </c>
      <c r="P1350">
        <f>IF(ISBLANK(ReconciliationData[[#This Row],[Invoice_ID]]),1,0)</f>
        <v>0</v>
      </c>
      <c r="Q1350">
        <f>IF(AND(NOT(ISBLANK(ReconciliationData[[#This Row],[Billed_Units]])),ReconciliationData[[#This Row],[ordered_units]]&lt;&gt;ReconciliationData[[#This Row],[Billed_Units]]),1,0)</f>
        <v>0</v>
      </c>
      <c r="R13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0">
        <f>IF(AND(NOT(ISBLANK(ReconciliationData[[#This Row],[Contract_Price]])),ReconciliationData[[#This Row],[Billed_Price]]&lt;&gt;ReconciliationData[[#This Row],[Contract_Price]]),1,0)</f>
        <v>0</v>
      </c>
      <c r="T1350">
        <f>IF(AND(NOT(ISBLANK(ReconciliationData[[#This Row],[End_Date]])),ReconciliationData[[#This Row],[Order_Date]]&gt;ReconciliationData[[#This Row],[End_Date]]),1,0)</f>
        <v>0</v>
      </c>
      <c r="U1350">
        <f>IF(AND(NOT(ISBLANK(ReconciliationData[[#This Row],[last_return_date]])),ReconciliationData[[#This Row],[last_return_date]]&gt;ReconciliationData[[#This Row],[Order_Date]]+60),1,0)</f>
        <v>0</v>
      </c>
      <c r="V1350">
        <f>IF(ReconciliationData[[#This Row],[total_returned_units]]&gt;ReconciliationData[[#This Row],[ordered_units]],1,0)</f>
        <v>0</v>
      </c>
      <c r="W13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0">
        <f>ReconciliationData[[#This Row],[Billed_Units]]*ReconciliationData[[#This Row],[Billed_Price]]</f>
        <v>30613.92300000001</v>
      </c>
      <c r="Y1350">
        <f>ReconciliationData[[#This Row],[ordered_units]]*ReconciliationData[[#This Row],[List_Price]]</f>
        <v>30613.92300000001</v>
      </c>
      <c r="Z1350">
        <f>ReconciliationData[[#This Row],[billed_revenue]]-ReconciliationData[[#This Row],[expected_revenue]]</f>
        <v>0</v>
      </c>
      <c r="AA13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0" t="str">
        <f>IF(ReconciliationData[[#This Row],[severity_score]]=0,"LOW",
 IF(ReconciliationData[[#This Row],[severity_score]]&lt;=5,"MEDIUM","HIGH"))</f>
        <v>LOW</v>
      </c>
      <c r="AC1350" t="str">
        <f>TEXT(ReconciliationData[[#This Row],[Order_Date]],"YYYY-MM")</f>
        <v>2023-08</v>
      </c>
    </row>
    <row r="1351" spans="1:29">
      <c r="A1351" t="s">
        <v>3788</v>
      </c>
      <c r="B1351" s="1">
        <v>45144</v>
      </c>
      <c r="C1351" t="s">
        <v>1270</v>
      </c>
      <c r="D1351" t="s">
        <v>374</v>
      </c>
      <c r="E1351">
        <v>40</v>
      </c>
      <c r="F1351" t="s">
        <v>3789</v>
      </c>
      <c r="G1351">
        <v>40</v>
      </c>
      <c r="H1351">
        <v>517.39100000000008</v>
      </c>
      <c r="I1351">
        <v>13</v>
      </c>
      <c r="J1351" s="1">
        <v>45105</v>
      </c>
      <c r="N1351">
        <v>517.39100000000008</v>
      </c>
      <c r="O1351" s="1">
        <v>45045</v>
      </c>
      <c r="P1351">
        <f>IF(ISBLANK(ReconciliationData[[#This Row],[Invoice_ID]]),1,0)</f>
        <v>0</v>
      </c>
      <c r="Q1351">
        <f>IF(AND(NOT(ISBLANK(ReconciliationData[[#This Row],[Billed_Units]])),ReconciliationData[[#This Row],[ordered_units]]&lt;&gt;ReconciliationData[[#This Row],[Billed_Units]]),1,0)</f>
        <v>0</v>
      </c>
      <c r="R13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1">
        <f>IF(AND(NOT(ISBLANK(ReconciliationData[[#This Row],[Contract_Price]])),ReconciliationData[[#This Row],[Billed_Price]]&lt;&gt;ReconciliationData[[#This Row],[Contract_Price]]),1,0)</f>
        <v>0</v>
      </c>
      <c r="T1351">
        <f>IF(AND(NOT(ISBLANK(ReconciliationData[[#This Row],[End_Date]])),ReconciliationData[[#This Row],[Order_Date]]&gt;ReconciliationData[[#This Row],[End_Date]]),1,0)</f>
        <v>0</v>
      </c>
      <c r="U1351">
        <f>IF(AND(NOT(ISBLANK(ReconciliationData[[#This Row],[last_return_date]])),ReconciliationData[[#This Row],[last_return_date]]&gt;ReconciliationData[[#This Row],[Order_Date]]+60),1,0)</f>
        <v>0</v>
      </c>
      <c r="V1351">
        <f>IF(ReconciliationData[[#This Row],[total_returned_units]]&gt;ReconciliationData[[#This Row],[ordered_units]],1,0)</f>
        <v>0</v>
      </c>
      <c r="W13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1">
        <f>ReconciliationData[[#This Row],[Billed_Units]]*ReconciliationData[[#This Row],[Billed_Price]]</f>
        <v>20695.640000000003</v>
      </c>
      <c r="Y1351">
        <f>ReconciliationData[[#This Row],[ordered_units]]*ReconciliationData[[#This Row],[List_Price]]</f>
        <v>20695.640000000003</v>
      </c>
      <c r="Z1351">
        <f>ReconciliationData[[#This Row],[billed_revenue]]-ReconciliationData[[#This Row],[expected_revenue]]</f>
        <v>0</v>
      </c>
      <c r="AA13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1" t="str">
        <f>IF(ReconciliationData[[#This Row],[severity_score]]=0,"LOW",
 IF(ReconciliationData[[#This Row],[severity_score]]&lt;=5,"MEDIUM","HIGH"))</f>
        <v>LOW</v>
      </c>
      <c r="AC1351" t="str">
        <f>TEXT(ReconciliationData[[#This Row],[Order_Date]],"YYYY-MM")</f>
        <v>2023-08</v>
      </c>
    </row>
    <row r="1352" spans="1:29">
      <c r="A1352" t="s">
        <v>3790</v>
      </c>
      <c r="B1352" s="1">
        <v>45201</v>
      </c>
      <c r="C1352" t="s">
        <v>859</v>
      </c>
      <c r="D1352" t="s">
        <v>577</v>
      </c>
      <c r="E1352">
        <v>30</v>
      </c>
      <c r="F1352" t="s">
        <v>3791</v>
      </c>
      <c r="G1352">
        <v>30</v>
      </c>
      <c r="H1352">
        <v>1093.1199999999999</v>
      </c>
      <c r="N1352">
        <v>1093.1199999999999</v>
      </c>
      <c r="O1352" s="1">
        <v>45035</v>
      </c>
      <c r="P1352">
        <f>IF(ISBLANK(ReconciliationData[[#This Row],[Invoice_ID]]),1,0)</f>
        <v>0</v>
      </c>
      <c r="Q1352">
        <f>IF(AND(NOT(ISBLANK(ReconciliationData[[#This Row],[Billed_Units]])),ReconciliationData[[#This Row],[ordered_units]]&lt;&gt;ReconciliationData[[#This Row],[Billed_Units]]),1,0)</f>
        <v>0</v>
      </c>
      <c r="R13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2">
        <f>IF(AND(NOT(ISBLANK(ReconciliationData[[#This Row],[Contract_Price]])),ReconciliationData[[#This Row],[Billed_Price]]&lt;&gt;ReconciliationData[[#This Row],[Contract_Price]]),1,0)</f>
        <v>0</v>
      </c>
      <c r="T1352">
        <f>IF(AND(NOT(ISBLANK(ReconciliationData[[#This Row],[End_Date]])),ReconciliationData[[#This Row],[Order_Date]]&gt;ReconciliationData[[#This Row],[End_Date]]),1,0)</f>
        <v>0</v>
      </c>
      <c r="U1352">
        <f>IF(AND(NOT(ISBLANK(ReconciliationData[[#This Row],[last_return_date]])),ReconciliationData[[#This Row],[last_return_date]]&gt;ReconciliationData[[#This Row],[Order_Date]]+60),1,0)</f>
        <v>0</v>
      </c>
      <c r="V1352">
        <f>IF(ReconciliationData[[#This Row],[total_returned_units]]&gt;ReconciliationData[[#This Row],[ordered_units]],1,0)</f>
        <v>0</v>
      </c>
      <c r="W13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2">
        <f>ReconciliationData[[#This Row],[Billed_Units]]*ReconciliationData[[#This Row],[Billed_Price]]</f>
        <v>32793.599999999999</v>
      </c>
      <c r="Y1352">
        <f>ReconciliationData[[#This Row],[ordered_units]]*ReconciliationData[[#This Row],[List_Price]]</f>
        <v>32793.599999999999</v>
      </c>
      <c r="Z1352">
        <f>ReconciliationData[[#This Row],[billed_revenue]]-ReconciliationData[[#This Row],[expected_revenue]]</f>
        <v>0</v>
      </c>
      <c r="AA13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2" t="str">
        <f>IF(ReconciliationData[[#This Row],[severity_score]]=0,"LOW",
 IF(ReconciliationData[[#This Row],[severity_score]]&lt;=5,"MEDIUM","HIGH"))</f>
        <v>LOW</v>
      </c>
      <c r="AC1352" t="str">
        <f>TEXT(ReconciliationData[[#This Row],[Order_Date]],"YYYY-MM")</f>
        <v>2023-10</v>
      </c>
    </row>
    <row r="1353" spans="1:29">
      <c r="A1353" t="s">
        <v>3792</v>
      </c>
      <c r="B1353" s="1">
        <v>45391</v>
      </c>
      <c r="C1353" t="s">
        <v>1615</v>
      </c>
      <c r="D1353" t="s">
        <v>306</v>
      </c>
      <c r="E1353">
        <v>4</v>
      </c>
      <c r="F1353" t="s">
        <v>3793</v>
      </c>
      <c r="G1353">
        <v>4</v>
      </c>
      <c r="H1353">
        <v>1211.7708</v>
      </c>
      <c r="N1353">
        <v>1211.7708</v>
      </c>
      <c r="O1353" s="1">
        <v>45193</v>
      </c>
      <c r="P1353">
        <f>IF(ISBLANK(ReconciliationData[[#This Row],[Invoice_ID]]),1,0)</f>
        <v>0</v>
      </c>
      <c r="Q1353">
        <f>IF(AND(NOT(ISBLANK(ReconciliationData[[#This Row],[Billed_Units]])),ReconciliationData[[#This Row],[ordered_units]]&lt;&gt;ReconciliationData[[#This Row],[Billed_Units]]),1,0)</f>
        <v>0</v>
      </c>
      <c r="R13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3">
        <f>IF(AND(NOT(ISBLANK(ReconciliationData[[#This Row],[Contract_Price]])),ReconciliationData[[#This Row],[Billed_Price]]&lt;&gt;ReconciliationData[[#This Row],[Contract_Price]]),1,0)</f>
        <v>0</v>
      </c>
      <c r="T1353">
        <f>IF(AND(NOT(ISBLANK(ReconciliationData[[#This Row],[End_Date]])),ReconciliationData[[#This Row],[Order_Date]]&gt;ReconciliationData[[#This Row],[End_Date]]),1,0)</f>
        <v>0</v>
      </c>
      <c r="U1353">
        <f>IF(AND(NOT(ISBLANK(ReconciliationData[[#This Row],[last_return_date]])),ReconciliationData[[#This Row],[last_return_date]]&gt;ReconciliationData[[#This Row],[Order_Date]]+60),1,0)</f>
        <v>0</v>
      </c>
      <c r="V1353">
        <f>IF(ReconciliationData[[#This Row],[total_returned_units]]&gt;ReconciliationData[[#This Row],[ordered_units]],1,0)</f>
        <v>0</v>
      </c>
      <c r="W13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3">
        <f>ReconciliationData[[#This Row],[Billed_Units]]*ReconciliationData[[#This Row],[Billed_Price]]</f>
        <v>4847.0832</v>
      </c>
      <c r="Y1353">
        <f>ReconciliationData[[#This Row],[ordered_units]]*ReconciliationData[[#This Row],[List_Price]]</f>
        <v>4847.0832</v>
      </c>
      <c r="Z1353">
        <f>ReconciliationData[[#This Row],[billed_revenue]]-ReconciliationData[[#This Row],[expected_revenue]]</f>
        <v>0</v>
      </c>
      <c r="AA13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3" t="str">
        <f>IF(ReconciliationData[[#This Row],[severity_score]]=0,"LOW",
 IF(ReconciliationData[[#This Row],[severity_score]]&lt;=5,"MEDIUM","HIGH"))</f>
        <v>LOW</v>
      </c>
      <c r="AC1353" t="str">
        <f>TEXT(ReconciliationData[[#This Row],[Order_Date]],"YYYY-MM")</f>
        <v>2024-04</v>
      </c>
    </row>
    <row r="1354" spans="1:29">
      <c r="A1354" t="s">
        <v>3794</v>
      </c>
      <c r="B1354" s="1">
        <v>45515</v>
      </c>
      <c r="C1354" t="s">
        <v>760</v>
      </c>
      <c r="D1354" t="s">
        <v>366</v>
      </c>
      <c r="E1354">
        <v>23</v>
      </c>
      <c r="F1354" t="s">
        <v>3795</v>
      </c>
      <c r="G1354">
        <v>23</v>
      </c>
      <c r="H1354">
        <v>499.17750000000001</v>
      </c>
      <c r="N1354">
        <v>499.17750000000001</v>
      </c>
      <c r="O1354" s="1">
        <v>45123</v>
      </c>
      <c r="P1354">
        <f>IF(ISBLANK(ReconciliationData[[#This Row],[Invoice_ID]]),1,0)</f>
        <v>0</v>
      </c>
      <c r="Q1354">
        <f>IF(AND(NOT(ISBLANK(ReconciliationData[[#This Row],[Billed_Units]])),ReconciliationData[[#This Row],[ordered_units]]&lt;&gt;ReconciliationData[[#This Row],[Billed_Units]]),1,0)</f>
        <v>0</v>
      </c>
      <c r="R13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4">
        <f>IF(AND(NOT(ISBLANK(ReconciliationData[[#This Row],[Contract_Price]])),ReconciliationData[[#This Row],[Billed_Price]]&lt;&gt;ReconciliationData[[#This Row],[Contract_Price]]),1,0)</f>
        <v>0</v>
      </c>
      <c r="T1354">
        <f>IF(AND(NOT(ISBLANK(ReconciliationData[[#This Row],[End_Date]])),ReconciliationData[[#This Row],[Order_Date]]&gt;ReconciliationData[[#This Row],[End_Date]]),1,0)</f>
        <v>0</v>
      </c>
      <c r="U1354">
        <f>IF(AND(NOT(ISBLANK(ReconciliationData[[#This Row],[last_return_date]])),ReconciliationData[[#This Row],[last_return_date]]&gt;ReconciliationData[[#This Row],[Order_Date]]+60),1,0)</f>
        <v>0</v>
      </c>
      <c r="V1354">
        <f>IF(ReconciliationData[[#This Row],[total_returned_units]]&gt;ReconciliationData[[#This Row],[ordered_units]],1,0)</f>
        <v>0</v>
      </c>
      <c r="W13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4">
        <f>ReconciliationData[[#This Row],[Billed_Units]]*ReconciliationData[[#This Row],[Billed_Price]]</f>
        <v>11481.0825</v>
      </c>
      <c r="Y1354">
        <f>ReconciliationData[[#This Row],[ordered_units]]*ReconciliationData[[#This Row],[List_Price]]</f>
        <v>11481.0825</v>
      </c>
      <c r="Z1354">
        <f>ReconciliationData[[#This Row],[billed_revenue]]-ReconciliationData[[#This Row],[expected_revenue]]</f>
        <v>0</v>
      </c>
      <c r="AA13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4" t="str">
        <f>IF(ReconciliationData[[#This Row],[severity_score]]=0,"LOW",
 IF(ReconciliationData[[#This Row],[severity_score]]&lt;=5,"MEDIUM","HIGH"))</f>
        <v>LOW</v>
      </c>
      <c r="AC1354" t="str">
        <f>TEXT(ReconciliationData[[#This Row],[Order_Date]],"YYYY-MM")</f>
        <v>2024-08</v>
      </c>
    </row>
    <row r="1355" spans="1:29">
      <c r="A1355" t="s">
        <v>3796</v>
      </c>
      <c r="B1355" s="1">
        <v>45575</v>
      </c>
      <c r="C1355" t="s">
        <v>3797</v>
      </c>
      <c r="D1355" t="s">
        <v>757</v>
      </c>
      <c r="E1355">
        <v>34</v>
      </c>
      <c r="F1355" t="s">
        <v>3798</v>
      </c>
      <c r="G1355">
        <v>34</v>
      </c>
      <c r="H1355">
        <v>744.44590000000005</v>
      </c>
      <c r="N1355">
        <v>744.44590000000005</v>
      </c>
      <c r="O1355" s="1">
        <v>45008</v>
      </c>
      <c r="P1355">
        <f>IF(ISBLANK(ReconciliationData[[#This Row],[Invoice_ID]]),1,0)</f>
        <v>0</v>
      </c>
      <c r="Q1355">
        <f>IF(AND(NOT(ISBLANK(ReconciliationData[[#This Row],[Billed_Units]])),ReconciliationData[[#This Row],[ordered_units]]&lt;&gt;ReconciliationData[[#This Row],[Billed_Units]]),1,0)</f>
        <v>0</v>
      </c>
      <c r="R13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5">
        <f>IF(AND(NOT(ISBLANK(ReconciliationData[[#This Row],[Contract_Price]])),ReconciliationData[[#This Row],[Billed_Price]]&lt;&gt;ReconciliationData[[#This Row],[Contract_Price]]),1,0)</f>
        <v>0</v>
      </c>
      <c r="T1355">
        <f>IF(AND(NOT(ISBLANK(ReconciliationData[[#This Row],[End_Date]])),ReconciliationData[[#This Row],[Order_Date]]&gt;ReconciliationData[[#This Row],[End_Date]]),1,0)</f>
        <v>0</v>
      </c>
      <c r="U1355">
        <f>IF(AND(NOT(ISBLANK(ReconciliationData[[#This Row],[last_return_date]])),ReconciliationData[[#This Row],[last_return_date]]&gt;ReconciliationData[[#This Row],[Order_Date]]+60),1,0)</f>
        <v>0</v>
      </c>
      <c r="V1355">
        <f>IF(ReconciliationData[[#This Row],[total_returned_units]]&gt;ReconciliationData[[#This Row],[ordered_units]],1,0)</f>
        <v>0</v>
      </c>
      <c r="W13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5">
        <f>ReconciliationData[[#This Row],[Billed_Units]]*ReconciliationData[[#This Row],[Billed_Price]]</f>
        <v>25311.160600000003</v>
      </c>
      <c r="Y1355">
        <f>ReconciliationData[[#This Row],[ordered_units]]*ReconciliationData[[#This Row],[List_Price]]</f>
        <v>25311.160600000003</v>
      </c>
      <c r="Z1355">
        <f>ReconciliationData[[#This Row],[billed_revenue]]-ReconciliationData[[#This Row],[expected_revenue]]</f>
        <v>0</v>
      </c>
      <c r="AA13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5" t="str">
        <f>IF(ReconciliationData[[#This Row],[severity_score]]=0,"LOW",
 IF(ReconciliationData[[#This Row],[severity_score]]&lt;=5,"MEDIUM","HIGH"))</f>
        <v>LOW</v>
      </c>
      <c r="AC1355" t="str">
        <f>TEXT(ReconciliationData[[#This Row],[Order_Date]],"YYYY-MM")</f>
        <v>2024-10</v>
      </c>
    </row>
    <row r="1356" spans="1:29">
      <c r="A1356" t="s">
        <v>3799</v>
      </c>
      <c r="B1356" s="1">
        <v>45048</v>
      </c>
      <c r="C1356" t="s">
        <v>3800</v>
      </c>
      <c r="D1356" t="s">
        <v>419</v>
      </c>
      <c r="E1356">
        <v>126</v>
      </c>
      <c r="F1356" t="s">
        <v>3801</v>
      </c>
      <c r="G1356">
        <v>126</v>
      </c>
      <c r="H1356">
        <v>1016.9848</v>
      </c>
      <c r="N1356">
        <v>1016.9848</v>
      </c>
      <c r="O1356" s="1">
        <v>45033</v>
      </c>
      <c r="P1356">
        <f>IF(ISBLANK(ReconciliationData[[#This Row],[Invoice_ID]]),1,0)</f>
        <v>0</v>
      </c>
      <c r="Q1356">
        <f>IF(AND(NOT(ISBLANK(ReconciliationData[[#This Row],[Billed_Units]])),ReconciliationData[[#This Row],[ordered_units]]&lt;&gt;ReconciliationData[[#This Row],[Billed_Units]]),1,0)</f>
        <v>0</v>
      </c>
      <c r="R13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6">
        <f>IF(AND(NOT(ISBLANK(ReconciliationData[[#This Row],[Contract_Price]])),ReconciliationData[[#This Row],[Billed_Price]]&lt;&gt;ReconciliationData[[#This Row],[Contract_Price]]),1,0)</f>
        <v>0</v>
      </c>
      <c r="T1356">
        <f>IF(AND(NOT(ISBLANK(ReconciliationData[[#This Row],[End_Date]])),ReconciliationData[[#This Row],[Order_Date]]&gt;ReconciliationData[[#This Row],[End_Date]]),1,0)</f>
        <v>0</v>
      </c>
      <c r="U1356">
        <f>IF(AND(NOT(ISBLANK(ReconciliationData[[#This Row],[last_return_date]])),ReconciliationData[[#This Row],[last_return_date]]&gt;ReconciliationData[[#This Row],[Order_Date]]+60),1,0)</f>
        <v>0</v>
      </c>
      <c r="V1356">
        <f>IF(ReconciliationData[[#This Row],[total_returned_units]]&gt;ReconciliationData[[#This Row],[ordered_units]],1,0)</f>
        <v>0</v>
      </c>
      <c r="W13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6">
        <f>ReconciliationData[[#This Row],[Billed_Units]]*ReconciliationData[[#This Row],[Billed_Price]]</f>
        <v>128140.0848</v>
      </c>
      <c r="Y1356">
        <f>ReconciliationData[[#This Row],[ordered_units]]*ReconciliationData[[#This Row],[List_Price]]</f>
        <v>128140.0848</v>
      </c>
      <c r="Z1356">
        <f>ReconciliationData[[#This Row],[billed_revenue]]-ReconciliationData[[#This Row],[expected_revenue]]</f>
        <v>0</v>
      </c>
      <c r="AA13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6" t="str">
        <f>IF(ReconciliationData[[#This Row],[severity_score]]=0,"LOW",
 IF(ReconciliationData[[#This Row],[severity_score]]&lt;=5,"MEDIUM","HIGH"))</f>
        <v>LOW</v>
      </c>
      <c r="AC1356" t="str">
        <f>TEXT(ReconciliationData[[#This Row],[Order_Date]],"YYYY-MM")</f>
        <v>2023-05</v>
      </c>
    </row>
    <row r="1357" spans="1:29">
      <c r="A1357" t="s">
        <v>3802</v>
      </c>
      <c r="B1357" s="1">
        <v>45439</v>
      </c>
      <c r="C1357" t="s">
        <v>3782</v>
      </c>
      <c r="D1357" t="s">
        <v>525</v>
      </c>
      <c r="E1357">
        <v>93</v>
      </c>
      <c r="F1357" t="s">
        <v>3803</v>
      </c>
      <c r="G1357">
        <v>93</v>
      </c>
      <c r="H1357">
        <v>249.1748</v>
      </c>
      <c r="N1357">
        <v>249.1748</v>
      </c>
      <c r="O1357" s="1">
        <v>45141</v>
      </c>
      <c r="P1357">
        <f>IF(ISBLANK(ReconciliationData[[#This Row],[Invoice_ID]]),1,0)</f>
        <v>0</v>
      </c>
      <c r="Q1357">
        <f>IF(AND(NOT(ISBLANK(ReconciliationData[[#This Row],[Billed_Units]])),ReconciliationData[[#This Row],[ordered_units]]&lt;&gt;ReconciliationData[[#This Row],[Billed_Units]]),1,0)</f>
        <v>0</v>
      </c>
      <c r="R13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7">
        <f>IF(AND(NOT(ISBLANK(ReconciliationData[[#This Row],[Contract_Price]])),ReconciliationData[[#This Row],[Billed_Price]]&lt;&gt;ReconciliationData[[#This Row],[Contract_Price]]),1,0)</f>
        <v>0</v>
      </c>
      <c r="T1357">
        <f>IF(AND(NOT(ISBLANK(ReconciliationData[[#This Row],[End_Date]])),ReconciliationData[[#This Row],[Order_Date]]&gt;ReconciliationData[[#This Row],[End_Date]]),1,0)</f>
        <v>0</v>
      </c>
      <c r="U1357">
        <f>IF(AND(NOT(ISBLANK(ReconciliationData[[#This Row],[last_return_date]])),ReconciliationData[[#This Row],[last_return_date]]&gt;ReconciliationData[[#This Row],[Order_Date]]+60),1,0)</f>
        <v>0</v>
      </c>
      <c r="V1357">
        <f>IF(ReconciliationData[[#This Row],[total_returned_units]]&gt;ReconciliationData[[#This Row],[ordered_units]],1,0)</f>
        <v>0</v>
      </c>
      <c r="W13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7">
        <f>ReconciliationData[[#This Row],[Billed_Units]]*ReconciliationData[[#This Row],[Billed_Price]]</f>
        <v>23173.256400000002</v>
      </c>
      <c r="Y1357">
        <f>ReconciliationData[[#This Row],[ordered_units]]*ReconciliationData[[#This Row],[List_Price]]</f>
        <v>23173.256400000002</v>
      </c>
      <c r="Z1357">
        <f>ReconciliationData[[#This Row],[billed_revenue]]-ReconciliationData[[#This Row],[expected_revenue]]</f>
        <v>0</v>
      </c>
      <c r="AA13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7" t="str">
        <f>IF(ReconciliationData[[#This Row],[severity_score]]=0,"LOW",
 IF(ReconciliationData[[#This Row],[severity_score]]&lt;=5,"MEDIUM","HIGH"))</f>
        <v>LOW</v>
      </c>
      <c r="AC1357" t="str">
        <f>TEXT(ReconciliationData[[#This Row],[Order_Date]],"YYYY-MM")</f>
        <v>2024-05</v>
      </c>
    </row>
    <row r="1358" spans="1:29">
      <c r="A1358" t="s">
        <v>3804</v>
      </c>
      <c r="B1358" s="1">
        <v>45184</v>
      </c>
      <c r="C1358" t="s">
        <v>3805</v>
      </c>
      <c r="D1358" t="s">
        <v>1322</v>
      </c>
      <c r="E1358">
        <v>44</v>
      </c>
      <c r="F1358" t="s">
        <v>3806</v>
      </c>
      <c r="G1358">
        <v>44</v>
      </c>
      <c r="H1358">
        <v>69.45</v>
      </c>
      <c r="N1358">
        <v>69.45</v>
      </c>
      <c r="O1358" s="1">
        <v>45169</v>
      </c>
      <c r="P1358">
        <f>IF(ISBLANK(ReconciliationData[[#This Row],[Invoice_ID]]),1,0)</f>
        <v>0</v>
      </c>
      <c r="Q1358">
        <f>IF(AND(NOT(ISBLANK(ReconciliationData[[#This Row],[Billed_Units]])),ReconciliationData[[#This Row],[ordered_units]]&lt;&gt;ReconciliationData[[#This Row],[Billed_Units]]),1,0)</f>
        <v>0</v>
      </c>
      <c r="R13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8">
        <f>IF(AND(NOT(ISBLANK(ReconciliationData[[#This Row],[Contract_Price]])),ReconciliationData[[#This Row],[Billed_Price]]&lt;&gt;ReconciliationData[[#This Row],[Contract_Price]]),1,0)</f>
        <v>0</v>
      </c>
      <c r="T1358">
        <f>IF(AND(NOT(ISBLANK(ReconciliationData[[#This Row],[End_Date]])),ReconciliationData[[#This Row],[Order_Date]]&gt;ReconciliationData[[#This Row],[End_Date]]),1,0)</f>
        <v>0</v>
      </c>
      <c r="U1358">
        <f>IF(AND(NOT(ISBLANK(ReconciliationData[[#This Row],[last_return_date]])),ReconciliationData[[#This Row],[last_return_date]]&gt;ReconciliationData[[#This Row],[Order_Date]]+60),1,0)</f>
        <v>0</v>
      </c>
      <c r="V1358">
        <f>IF(ReconciliationData[[#This Row],[total_returned_units]]&gt;ReconciliationData[[#This Row],[ordered_units]],1,0)</f>
        <v>0</v>
      </c>
      <c r="W13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8">
        <f>ReconciliationData[[#This Row],[Billed_Units]]*ReconciliationData[[#This Row],[Billed_Price]]</f>
        <v>3055.8</v>
      </c>
      <c r="Y1358">
        <f>ReconciliationData[[#This Row],[ordered_units]]*ReconciliationData[[#This Row],[List_Price]]</f>
        <v>3055.8</v>
      </c>
      <c r="Z1358">
        <f>ReconciliationData[[#This Row],[billed_revenue]]-ReconciliationData[[#This Row],[expected_revenue]]</f>
        <v>0</v>
      </c>
      <c r="AA13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8" t="str">
        <f>IF(ReconciliationData[[#This Row],[severity_score]]=0,"LOW",
 IF(ReconciliationData[[#This Row],[severity_score]]&lt;=5,"MEDIUM","HIGH"))</f>
        <v>LOW</v>
      </c>
      <c r="AC1358" t="str">
        <f>TEXT(ReconciliationData[[#This Row],[Order_Date]],"YYYY-MM")</f>
        <v>2023-09</v>
      </c>
    </row>
    <row r="1359" spans="1:29">
      <c r="A1359" t="s">
        <v>3807</v>
      </c>
      <c r="B1359" s="1">
        <v>45361</v>
      </c>
      <c r="C1359" t="s">
        <v>2902</v>
      </c>
      <c r="D1359" t="s">
        <v>1382</v>
      </c>
      <c r="E1359">
        <v>175</v>
      </c>
      <c r="F1359" t="s">
        <v>3808</v>
      </c>
      <c r="G1359">
        <v>175</v>
      </c>
      <c r="H1359">
        <v>82.026000000000025</v>
      </c>
      <c r="N1359">
        <v>82.026000000000025</v>
      </c>
      <c r="O1359" s="1">
        <v>45061</v>
      </c>
      <c r="P1359">
        <f>IF(ISBLANK(ReconciliationData[[#This Row],[Invoice_ID]]),1,0)</f>
        <v>0</v>
      </c>
      <c r="Q1359">
        <f>IF(AND(NOT(ISBLANK(ReconciliationData[[#This Row],[Billed_Units]])),ReconciliationData[[#This Row],[ordered_units]]&lt;&gt;ReconciliationData[[#This Row],[Billed_Units]]),1,0)</f>
        <v>0</v>
      </c>
      <c r="R13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59">
        <f>IF(AND(NOT(ISBLANK(ReconciliationData[[#This Row],[Contract_Price]])),ReconciliationData[[#This Row],[Billed_Price]]&lt;&gt;ReconciliationData[[#This Row],[Contract_Price]]),1,0)</f>
        <v>0</v>
      </c>
      <c r="T1359">
        <f>IF(AND(NOT(ISBLANK(ReconciliationData[[#This Row],[End_Date]])),ReconciliationData[[#This Row],[Order_Date]]&gt;ReconciliationData[[#This Row],[End_Date]]),1,0)</f>
        <v>0</v>
      </c>
      <c r="U1359">
        <f>IF(AND(NOT(ISBLANK(ReconciliationData[[#This Row],[last_return_date]])),ReconciliationData[[#This Row],[last_return_date]]&gt;ReconciliationData[[#This Row],[Order_Date]]+60),1,0)</f>
        <v>0</v>
      </c>
      <c r="V1359">
        <f>IF(ReconciliationData[[#This Row],[total_returned_units]]&gt;ReconciliationData[[#This Row],[ordered_units]],1,0)</f>
        <v>0</v>
      </c>
      <c r="W13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59">
        <f>ReconciliationData[[#This Row],[Billed_Units]]*ReconciliationData[[#This Row],[Billed_Price]]</f>
        <v>14354.550000000005</v>
      </c>
      <c r="Y1359">
        <f>ReconciliationData[[#This Row],[ordered_units]]*ReconciliationData[[#This Row],[List_Price]]</f>
        <v>14354.550000000005</v>
      </c>
      <c r="Z1359">
        <f>ReconciliationData[[#This Row],[billed_revenue]]-ReconciliationData[[#This Row],[expected_revenue]]</f>
        <v>0</v>
      </c>
      <c r="AA13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59" t="str">
        <f>IF(ReconciliationData[[#This Row],[severity_score]]=0,"LOW",
 IF(ReconciliationData[[#This Row],[severity_score]]&lt;=5,"MEDIUM","HIGH"))</f>
        <v>LOW</v>
      </c>
      <c r="AC1359" t="str">
        <f>TEXT(ReconciliationData[[#This Row],[Order_Date]],"YYYY-MM")</f>
        <v>2024-03</v>
      </c>
    </row>
    <row r="1360" spans="1:29">
      <c r="A1360" t="s">
        <v>3809</v>
      </c>
      <c r="B1360" s="1">
        <v>44960</v>
      </c>
      <c r="C1360" t="s">
        <v>1640</v>
      </c>
      <c r="D1360" t="s">
        <v>2187</v>
      </c>
      <c r="E1360">
        <v>148</v>
      </c>
      <c r="F1360" t="s">
        <v>3810</v>
      </c>
      <c r="G1360">
        <v>148</v>
      </c>
      <c r="H1360">
        <v>230.52</v>
      </c>
      <c r="N1360">
        <v>230.52</v>
      </c>
      <c r="O1360" s="1">
        <v>44711</v>
      </c>
      <c r="P1360">
        <f>IF(ISBLANK(ReconciliationData[[#This Row],[Invoice_ID]]),1,0)</f>
        <v>0</v>
      </c>
      <c r="Q1360">
        <f>IF(AND(NOT(ISBLANK(ReconciliationData[[#This Row],[Billed_Units]])),ReconciliationData[[#This Row],[ordered_units]]&lt;&gt;ReconciliationData[[#This Row],[Billed_Units]]),1,0)</f>
        <v>0</v>
      </c>
      <c r="R13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0">
        <f>IF(AND(NOT(ISBLANK(ReconciliationData[[#This Row],[Contract_Price]])),ReconciliationData[[#This Row],[Billed_Price]]&lt;&gt;ReconciliationData[[#This Row],[Contract_Price]]),1,0)</f>
        <v>0</v>
      </c>
      <c r="T1360">
        <f>IF(AND(NOT(ISBLANK(ReconciliationData[[#This Row],[End_Date]])),ReconciliationData[[#This Row],[Order_Date]]&gt;ReconciliationData[[#This Row],[End_Date]]),1,0)</f>
        <v>0</v>
      </c>
      <c r="U1360">
        <f>IF(AND(NOT(ISBLANK(ReconciliationData[[#This Row],[last_return_date]])),ReconciliationData[[#This Row],[last_return_date]]&gt;ReconciliationData[[#This Row],[Order_Date]]+60),1,0)</f>
        <v>0</v>
      </c>
      <c r="V1360">
        <f>IF(ReconciliationData[[#This Row],[total_returned_units]]&gt;ReconciliationData[[#This Row],[ordered_units]],1,0)</f>
        <v>0</v>
      </c>
      <c r="W13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0">
        <f>ReconciliationData[[#This Row],[Billed_Units]]*ReconciliationData[[#This Row],[Billed_Price]]</f>
        <v>34116.959999999999</v>
      </c>
      <c r="Y1360">
        <f>ReconciliationData[[#This Row],[ordered_units]]*ReconciliationData[[#This Row],[List_Price]]</f>
        <v>34116.959999999999</v>
      </c>
      <c r="Z1360">
        <f>ReconciliationData[[#This Row],[billed_revenue]]-ReconciliationData[[#This Row],[expected_revenue]]</f>
        <v>0</v>
      </c>
      <c r="AA13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0" t="str">
        <f>IF(ReconciliationData[[#This Row],[severity_score]]=0,"LOW",
 IF(ReconciliationData[[#This Row],[severity_score]]&lt;=5,"MEDIUM","HIGH"))</f>
        <v>LOW</v>
      </c>
      <c r="AC1360" t="str">
        <f>TEXT(ReconciliationData[[#This Row],[Order_Date]],"YYYY-MM")</f>
        <v>2023-02</v>
      </c>
    </row>
    <row r="1361" spans="1:29">
      <c r="A1361" t="s">
        <v>3811</v>
      </c>
      <c r="B1361" s="1">
        <v>45178</v>
      </c>
      <c r="C1361" t="s">
        <v>222</v>
      </c>
      <c r="D1361" t="s">
        <v>306</v>
      </c>
      <c r="E1361">
        <v>16</v>
      </c>
      <c r="F1361" t="s">
        <v>3812</v>
      </c>
      <c r="G1361">
        <v>16</v>
      </c>
      <c r="H1361">
        <v>1065.9095</v>
      </c>
      <c r="N1361">
        <v>1065.9095</v>
      </c>
      <c r="O1361" s="1">
        <v>44963</v>
      </c>
      <c r="P1361">
        <f>IF(ISBLANK(ReconciliationData[[#This Row],[Invoice_ID]]),1,0)</f>
        <v>0</v>
      </c>
      <c r="Q1361">
        <f>IF(AND(NOT(ISBLANK(ReconciliationData[[#This Row],[Billed_Units]])),ReconciliationData[[#This Row],[ordered_units]]&lt;&gt;ReconciliationData[[#This Row],[Billed_Units]]),1,0)</f>
        <v>0</v>
      </c>
      <c r="R13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1">
        <f>IF(AND(NOT(ISBLANK(ReconciliationData[[#This Row],[Contract_Price]])),ReconciliationData[[#This Row],[Billed_Price]]&lt;&gt;ReconciliationData[[#This Row],[Contract_Price]]),1,0)</f>
        <v>0</v>
      </c>
      <c r="T1361">
        <f>IF(AND(NOT(ISBLANK(ReconciliationData[[#This Row],[End_Date]])),ReconciliationData[[#This Row],[Order_Date]]&gt;ReconciliationData[[#This Row],[End_Date]]),1,0)</f>
        <v>0</v>
      </c>
      <c r="U1361">
        <f>IF(AND(NOT(ISBLANK(ReconciliationData[[#This Row],[last_return_date]])),ReconciliationData[[#This Row],[last_return_date]]&gt;ReconciliationData[[#This Row],[Order_Date]]+60),1,0)</f>
        <v>0</v>
      </c>
      <c r="V1361">
        <f>IF(ReconciliationData[[#This Row],[total_returned_units]]&gt;ReconciliationData[[#This Row],[ordered_units]],1,0)</f>
        <v>0</v>
      </c>
      <c r="W13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1">
        <f>ReconciliationData[[#This Row],[Billed_Units]]*ReconciliationData[[#This Row],[Billed_Price]]</f>
        <v>17054.552</v>
      </c>
      <c r="Y1361">
        <f>ReconciliationData[[#This Row],[ordered_units]]*ReconciliationData[[#This Row],[List_Price]]</f>
        <v>17054.552</v>
      </c>
      <c r="Z1361">
        <f>ReconciliationData[[#This Row],[billed_revenue]]-ReconciliationData[[#This Row],[expected_revenue]]</f>
        <v>0</v>
      </c>
      <c r="AA13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1" t="str">
        <f>IF(ReconciliationData[[#This Row],[severity_score]]=0,"LOW",
 IF(ReconciliationData[[#This Row],[severity_score]]&lt;=5,"MEDIUM","HIGH"))</f>
        <v>LOW</v>
      </c>
      <c r="AC1361" t="str">
        <f>TEXT(ReconciliationData[[#This Row],[Order_Date]],"YYYY-MM")</f>
        <v>2023-09</v>
      </c>
    </row>
    <row r="1362" spans="1:29">
      <c r="A1362" t="s">
        <v>3813</v>
      </c>
      <c r="B1362" s="1">
        <v>44990</v>
      </c>
      <c r="C1362" t="s">
        <v>806</v>
      </c>
      <c r="D1362" t="s">
        <v>764</v>
      </c>
      <c r="E1362">
        <v>194</v>
      </c>
      <c r="F1362" t="s">
        <v>3814</v>
      </c>
      <c r="G1362">
        <v>194</v>
      </c>
      <c r="H1362">
        <v>1140.74</v>
      </c>
      <c r="N1362">
        <v>1140.74</v>
      </c>
      <c r="O1362" s="1">
        <v>44564</v>
      </c>
      <c r="P1362">
        <f>IF(ISBLANK(ReconciliationData[[#This Row],[Invoice_ID]]),1,0)</f>
        <v>0</v>
      </c>
      <c r="Q1362">
        <f>IF(AND(NOT(ISBLANK(ReconciliationData[[#This Row],[Billed_Units]])),ReconciliationData[[#This Row],[ordered_units]]&lt;&gt;ReconciliationData[[#This Row],[Billed_Units]]),1,0)</f>
        <v>0</v>
      </c>
      <c r="R13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2">
        <f>IF(AND(NOT(ISBLANK(ReconciliationData[[#This Row],[Contract_Price]])),ReconciliationData[[#This Row],[Billed_Price]]&lt;&gt;ReconciliationData[[#This Row],[Contract_Price]]),1,0)</f>
        <v>0</v>
      </c>
      <c r="T1362">
        <f>IF(AND(NOT(ISBLANK(ReconciliationData[[#This Row],[End_Date]])),ReconciliationData[[#This Row],[Order_Date]]&gt;ReconciliationData[[#This Row],[End_Date]]),1,0)</f>
        <v>0</v>
      </c>
      <c r="U1362">
        <f>IF(AND(NOT(ISBLANK(ReconciliationData[[#This Row],[last_return_date]])),ReconciliationData[[#This Row],[last_return_date]]&gt;ReconciliationData[[#This Row],[Order_Date]]+60),1,0)</f>
        <v>0</v>
      </c>
      <c r="V1362">
        <f>IF(ReconciliationData[[#This Row],[total_returned_units]]&gt;ReconciliationData[[#This Row],[ordered_units]],1,0)</f>
        <v>0</v>
      </c>
      <c r="W13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2">
        <f>ReconciliationData[[#This Row],[Billed_Units]]*ReconciliationData[[#This Row],[Billed_Price]]</f>
        <v>221303.56</v>
      </c>
      <c r="Y1362">
        <f>ReconciliationData[[#This Row],[ordered_units]]*ReconciliationData[[#This Row],[List_Price]]</f>
        <v>221303.56</v>
      </c>
      <c r="Z1362">
        <f>ReconciliationData[[#This Row],[billed_revenue]]-ReconciliationData[[#This Row],[expected_revenue]]</f>
        <v>0</v>
      </c>
      <c r="AA13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2" t="str">
        <f>IF(ReconciliationData[[#This Row],[severity_score]]=0,"LOW",
 IF(ReconciliationData[[#This Row],[severity_score]]&lt;=5,"MEDIUM","HIGH"))</f>
        <v>LOW</v>
      </c>
      <c r="AC1362" t="str">
        <f>TEXT(ReconciliationData[[#This Row],[Order_Date]],"YYYY-MM")</f>
        <v>2023-03</v>
      </c>
    </row>
    <row r="1363" spans="1:29">
      <c r="A1363" t="s">
        <v>3815</v>
      </c>
      <c r="B1363" s="1">
        <v>45376</v>
      </c>
      <c r="C1363" t="s">
        <v>926</v>
      </c>
      <c r="D1363" t="s">
        <v>2853</v>
      </c>
      <c r="E1363">
        <v>146</v>
      </c>
      <c r="F1363" t="s">
        <v>3816</v>
      </c>
      <c r="G1363">
        <v>146</v>
      </c>
      <c r="H1363">
        <v>278.27100000000002</v>
      </c>
      <c r="N1363">
        <v>278.27100000000002</v>
      </c>
      <c r="O1363" s="1">
        <v>45119</v>
      </c>
      <c r="P1363">
        <f>IF(ISBLANK(ReconciliationData[[#This Row],[Invoice_ID]]),1,0)</f>
        <v>0</v>
      </c>
      <c r="Q1363">
        <f>IF(AND(NOT(ISBLANK(ReconciliationData[[#This Row],[Billed_Units]])),ReconciliationData[[#This Row],[ordered_units]]&lt;&gt;ReconciliationData[[#This Row],[Billed_Units]]),1,0)</f>
        <v>0</v>
      </c>
      <c r="R13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3">
        <f>IF(AND(NOT(ISBLANK(ReconciliationData[[#This Row],[Contract_Price]])),ReconciliationData[[#This Row],[Billed_Price]]&lt;&gt;ReconciliationData[[#This Row],[Contract_Price]]),1,0)</f>
        <v>0</v>
      </c>
      <c r="T1363">
        <f>IF(AND(NOT(ISBLANK(ReconciliationData[[#This Row],[End_Date]])),ReconciliationData[[#This Row],[Order_Date]]&gt;ReconciliationData[[#This Row],[End_Date]]),1,0)</f>
        <v>0</v>
      </c>
      <c r="U1363">
        <f>IF(AND(NOT(ISBLANK(ReconciliationData[[#This Row],[last_return_date]])),ReconciliationData[[#This Row],[last_return_date]]&gt;ReconciliationData[[#This Row],[Order_Date]]+60),1,0)</f>
        <v>0</v>
      </c>
      <c r="V1363">
        <f>IF(ReconciliationData[[#This Row],[total_returned_units]]&gt;ReconciliationData[[#This Row],[ordered_units]],1,0)</f>
        <v>0</v>
      </c>
      <c r="W13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3">
        <f>ReconciliationData[[#This Row],[Billed_Units]]*ReconciliationData[[#This Row],[Billed_Price]]</f>
        <v>40627.565999999999</v>
      </c>
      <c r="Y1363">
        <f>ReconciliationData[[#This Row],[ordered_units]]*ReconciliationData[[#This Row],[List_Price]]</f>
        <v>40627.565999999999</v>
      </c>
      <c r="Z1363">
        <f>ReconciliationData[[#This Row],[billed_revenue]]-ReconciliationData[[#This Row],[expected_revenue]]</f>
        <v>0</v>
      </c>
      <c r="AA13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3" t="str">
        <f>IF(ReconciliationData[[#This Row],[severity_score]]=0,"LOW",
 IF(ReconciliationData[[#This Row],[severity_score]]&lt;=5,"MEDIUM","HIGH"))</f>
        <v>LOW</v>
      </c>
      <c r="AC1363" t="str">
        <f>TEXT(ReconciliationData[[#This Row],[Order_Date]],"YYYY-MM")</f>
        <v>2024-03</v>
      </c>
    </row>
    <row r="1364" spans="1:29">
      <c r="A1364" t="s">
        <v>3817</v>
      </c>
      <c r="B1364" s="1">
        <v>45222</v>
      </c>
      <c r="C1364" t="s">
        <v>177</v>
      </c>
      <c r="D1364" t="s">
        <v>2101</v>
      </c>
      <c r="E1364">
        <v>97</v>
      </c>
      <c r="F1364" t="s">
        <v>3818</v>
      </c>
      <c r="G1364">
        <v>97</v>
      </c>
      <c r="H1364">
        <v>230.7345</v>
      </c>
      <c r="N1364">
        <v>230.7345</v>
      </c>
      <c r="O1364" s="1">
        <v>45142</v>
      </c>
      <c r="P1364">
        <f>IF(ISBLANK(ReconciliationData[[#This Row],[Invoice_ID]]),1,0)</f>
        <v>0</v>
      </c>
      <c r="Q1364">
        <f>IF(AND(NOT(ISBLANK(ReconciliationData[[#This Row],[Billed_Units]])),ReconciliationData[[#This Row],[ordered_units]]&lt;&gt;ReconciliationData[[#This Row],[Billed_Units]]),1,0)</f>
        <v>0</v>
      </c>
      <c r="R13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4">
        <f>IF(AND(NOT(ISBLANK(ReconciliationData[[#This Row],[Contract_Price]])),ReconciliationData[[#This Row],[Billed_Price]]&lt;&gt;ReconciliationData[[#This Row],[Contract_Price]]),1,0)</f>
        <v>0</v>
      </c>
      <c r="T1364">
        <f>IF(AND(NOT(ISBLANK(ReconciliationData[[#This Row],[End_Date]])),ReconciliationData[[#This Row],[Order_Date]]&gt;ReconciliationData[[#This Row],[End_Date]]),1,0)</f>
        <v>0</v>
      </c>
      <c r="U1364">
        <f>IF(AND(NOT(ISBLANK(ReconciliationData[[#This Row],[last_return_date]])),ReconciliationData[[#This Row],[last_return_date]]&gt;ReconciliationData[[#This Row],[Order_Date]]+60),1,0)</f>
        <v>0</v>
      </c>
      <c r="V1364">
        <f>IF(ReconciliationData[[#This Row],[total_returned_units]]&gt;ReconciliationData[[#This Row],[ordered_units]],1,0)</f>
        <v>0</v>
      </c>
      <c r="W13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4">
        <f>ReconciliationData[[#This Row],[Billed_Units]]*ReconciliationData[[#This Row],[Billed_Price]]</f>
        <v>22381.246500000001</v>
      </c>
      <c r="Y1364">
        <f>ReconciliationData[[#This Row],[ordered_units]]*ReconciliationData[[#This Row],[List_Price]]</f>
        <v>22381.246500000001</v>
      </c>
      <c r="Z1364">
        <f>ReconciliationData[[#This Row],[billed_revenue]]-ReconciliationData[[#This Row],[expected_revenue]]</f>
        <v>0</v>
      </c>
      <c r="AA13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4" t="str">
        <f>IF(ReconciliationData[[#This Row],[severity_score]]=0,"LOW",
 IF(ReconciliationData[[#This Row],[severity_score]]&lt;=5,"MEDIUM","HIGH"))</f>
        <v>LOW</v>
      </c>
      <c r="AC1364" t="str">
        <f>TEXT(ReconciliationData[[#This Row],[Order_Date]],"YYYY-MM")</f>
        <v>2023-10</v>
      </c>
    </row>
    <row r="1365" spans="1:29">
      <c r="A1365" t="s">
        <v>3819</v>
      </c>
      <c r="B1365" s="1">
        <v>45449</v>
      </c>
      <c r="C1365" t="s">
        <v>3820</v>
      </c>
      <c r="D1365" t="s">
        <v>1392</v>
      </c>
      <c r="E1365">
        <v>192</v>
      </c>
      <c r="F1365" t="s">
        <v>3821</v>
      </c>
      <c r="G1365">
        <v>192</v>
      </c>
      <c r="H1365">
        <v>107.1605</v>
      </c>
      <c r="N1365">
        <v>107.1605</v>
      </c>
      <c r="O1365" s="1">
        <v>44970</v>
      </c>
      <c r="P1365">
        <f>IF(ISBLANK(ReconciliationData[[#This Row],[Invoice_ID]]),1,0)</f>
        <v>0</v>
      </c>
      <c r="Q1365">
        <f>IF(AND(NOT(ISBLANK(ReconciliationData[[#This Row],[Billed_Units]])),ReconciliationData[[#This Row],[ordered_units]]&lt;&gt;ReconciliationData[[#This Row],[Billed_Units]]),1,0)</f>
        <v>0</v>
      </c>
      <c r="R13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5">
        <f>IF(AND(NOT(ISBLANK(ReconciliationData[[#This Row],[Contract_Price]])),ReconciliationData[[#This Row],[Billed_Price]]&lt;&gt;ReconciliationData[[#This Row],[Contract_Price]]),1,0)</f>
        <v>0</v>
      </c>
      <c r="T1365">
        <f>IF(AND(NOT(ISBLANK(ReconciliationData[[#This Row],[End_Date]])),ReconciliationData[[#This Row],[Order_Date]]&gt;ReconciliationData[[#This Row],[End_Date]]),1,0)</f>
        <v>0</v>
      </c>
      <c r="U1365">
        <f>IF(AND(NOT(ISBLANK(ReconciliationData[[#This Row],[last_return_date]])),ReconciliationData[[#This Row],[last_return_date]]&gt;ReconciliationData[[#This Row],[Order_Date]]+60),1,0)</f>
        <v>0</v>
      </c>
      <c r="V1365">
        <f>IF(ReconciliationData[[#This Row],[total_returned_units]]&gt;ReconciliationData[[#This Row],[ordered_units]],1,0)</f>
        <v>0</v>
      </c>
      <c r="W13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5">
        <f>ReconciliationData[[#This Row],[Billed_Units]]*ReconciliationData[[#This Row],[Billed_Price]]</f>
        <v>20574.815999999999</v>
      </c>
      <c r="Y1365">
        <f>ReconciliationData[[#This Row],[ordered_units]]*ReconciliationData[[#This Row],[List_Price]]</f>
        <v>20574.815999999999</v>
      </c>
      <c r="Z1365">
        <f>ReconciliationData[[#This Row],[billed_revenue]]-ReconciliationData[[#This Row],[expected_revenue]]</f>
        <v>0</v>
      </c>
      <c r="AA13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5" t="str">
        <f>IF(ReconciliationData[[#This Row],[severity_score]]=0,"LOW",
 IF(ReconciliationData[[#This Row],[severity_score]]&lt;=5,"MEDIUM","HIGH"))</f>
        <v>LOW</v>
      </c>
      <c r="AC1365" t="str">
        <f>TEXT(ReconciliationData[[#This Row],[Order_Date]],"YYYY-MM")</f>
        <v>2024-06</v>
      </c>
    </row>
    <row r="1366" spans="1:29">
      <c r="A1366" t="s">
        <v>3822</v>
      </c>
      <c r="B1366" s="1">
        <v>45196</v>
      </c>
      <c r="C1366" t="s">
        <v>1558</v>
      </c>
      <c r="D1366" t="s">
        <v>494</v>
      </c>
      <c r="E1366">
        <v>199</v>
      </c>
      <c r="F1366" t="s">
        <v>3823</v>
      </c>
      <c r="G1366">
        <v>199</v>
      </c>
      <c r="H1366">
        <v>262.37120000000004</v>
      </c>
      <c r="N1366">
        <v>262.37120000000004</v>
      </c>
      <c r="O1366" s="1">
        <v>45105</v>
      </c>
      <c r="P1366">
        <f>IF(ISBLANK(ReconciliationData[[#This Row],[Invoice_ID]]),1,0)</f>
        <v>0</v>
      </c>
      <c r="Q1366">
        <f>IF(AND(NOT(ISBLANK(ReconciliationData[[#This Row],[Billed_Units]])),ReconciliationData[[#This Row],[ordered_units]]&lt;&gt;ReconciliationData[[#This Row],[Billed_Units]]),1,0)</f>
        <v>0</v>
      </c>
      <c r="R13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6">
        <f>IF(AND(NOT(ISBLANK(ReconciliationData[[#This Row],[Contract_Price]])),ReconciliationData[[#This Row],[Billed_Price]]&lt;&gt;ReconciliationData[[#This Row],[Contract_Price]]),1,0)</f>
        <v>0</v>
      </c>
      <c r="T1366">
        <f>IF(AND(NOT(ISBLANK(ReconciliationData[[#This Row],[End_Date]])),ReconciliationData[[#This Row],[Order_Date]]&gt;ReconciliationData[[#This Row],[End_Date]]),1,0)</f>
        <v>0</v>
      </c>
      <c r="U1366">
        <f>IF(AND(NOT(ISBLANK(ReconciliationData[[#This Row],[last_return_date]])),ReconciliationData[[#This Row],[last_return_date]]&gt;ReconciliationData[[#This Row],[Order_Date]]+60),1,0)</f>
        <v>0</v>
      </c>
      <c r="V1366">
        <f>IF(ReconciliationData[[#This Row],[total_returned_units]]&gt;ReconciliationData[[#This Row],[ordered_units]],1,0)</f>
        <v>0</v>
      </c>
      <c r="W13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6">
        <f>ReconciliationData[[#This Row],[Billed_Units]]*ReconciliationData[[#This Row],[Billed_Price]]</f>
        <v>52211.868800000011</v>
      </c>
      <c r="Y1366">
        <f>ReconciliationData[[#This Row],[ordered_units]]*ReconciliationData[[#This Row],[List_Price]]</f>
        <v>52211.868800000011</v>
      </c>
      <c r="Z1366">
        <f>ReconciliationData[[#This Row],[billed_revenue]]-ReconciliationData[[#This Row],[expected_revenue]]</f>
        <v>0</v>
      </c>
      <c r="AA13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6" t="str">
        <f>IF(ReconciliationData[[#This Row],[severity_score]]=0,"LOW",
 IF(ReconciliationData[[#This Row],[severity_score]]&lt;=5,"MEDIUM","HIGH"))</f>
        <v>LOW</v>
      </c>
      <c r="AC1366" t="str">
        <f>TEXT(ReconciliationData[[#This Row],[Order_Date]],"YYYY-MM")</f>
        <v>2023-09</v>
      </c>
    </row>
    <row r="1367" spans="1:29">
      <c r="A1367" t="s">
        <v>3824</v>
      </c>
      <c r="B1367" s="1">
        <v>45363</v>
      </c>
      <c r="C1367" t="s">
        <v>2796</v>
      </c>
      <c r="D1367" t="s">
        <v>2370</v>
      </c>
      <c r="E1367">
        <v>30</v>
      </c>
      <c r="F1367" t="s">
        <v>3825</v>
      </c>
      <c r="G1367">
        <v>30</v>
      </c>
      <c r="H1367">
        <v>1247.7911999999999</v>
      </c>
      <c r="N1367">
        <v>1247.7911999999999</v>
      </c>
      <c r="O1367" s="1">
        <v>45213</v>
      </c>
      <c r="P1367">
        <f>IF(ISBLANK(ReconciliationData[[#This Row],[Invoice_ID]]),1,0)</f>
        <v>0</v>
      </c>
      <c r="Q1367">
        <f>IF(AND(NOT(ISBLANK(ReconciliationData[[#This Row],[Billed_Units]])),ReconciliationData[[#This Row],[ordered_units]]&lt;&gt;ReconciliationData[[#This Row],[Billed_Units]]),1,0)</f>
        <v>0</v>
      </c>
      <c r="R13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7">
        <f>IF(AND(NOT(ISBLANK(ReconciliationData[[#This Row],[Contract_Price]])),ReconciliationData[[#This Row],[Billed_Price]]&lt;&gt;ReconciliationData[[#This Row],[Contract_Price]]),1,0)</f>
        <v>0</v>
      </c>
      <c r="T1367">
        <f>IF(AND(NOT(ISBLANK(ReconciliationData[[#This Row],[End_Date]])),ReconciliationData[[#This Row],[Order_Date]]&gt;ReconciliationData[[#This Row],[End_Date]]),1,0)</f>
        <v>0</v>
      </c>
      <c r="U1367">
        <f>IF(AND(NOT(ISBLANK(ReconciliationData[[#This Row],[last_return_date]])),ReconciliationData[[#This Row],[last_return_date]]&gt;ReconciliationData[[#This Row],[Order_Date]]+60),1,0)</f>
        <v>0</v>
      </c>
      <c r="V1367">
        <f>IF(ReconciliationData[[#This Row],[total_returned_units]]&gt;ReconciliationData[[#This Row],[ordered_units]],1,0)</f>
        <v>0</v>
      </c>
      <c r="W13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7">
        <f>ReconciliationData[[#This Row],[Billed_Units]]*ReconciliationData[[#This Row],[Billed_Price]]</f>
        <v>37433.735999999997</v>
      </c>
      <c r="Y1367">
        <f>ReconciliationData[[#This Row],[ordered_units]]*ReconciliationData[[#This Row],[List_Price]]</f>
        <v>37433.735999999997</v>
      </c>
      <c r="Z1367">
        <f>ReconciliationData[[#This Row],[billed_revenue]]-ReconciliationData[[#This Row],[expected_revenue]]</f>
        <v>0</v>
      </c>
      <c r="AA13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7" t="str">
        <f>IF(ReconciliationData[[#This Row],[severity_score]]=0,"LOW",
 IF(ReconciliationData[[#This Row],[severity_score]]&lt;=5,"MEDIUM","HIGH"))</f>
        <v>LOW</v>
      </c>
      <c r="AC1367" t="str">
        <f>TEXT(ReconciliationData[[#This Row],[Order_Date]],"YYYY-MM")</f>
        <v>2024-03</v>
      </c>
    </row>
    <row r="1368" spans="1:29">
      <c r="A1368" t="s">
        <v>3826</v>
      </c>
      <c r="B1368" s="1">
        <v>45567</v>
      </c>
      <c r="C1368" t="s">
        <v>1462</v>
      </c>
      <c r="D1368" t="s">
        <v>235</v>
      </c>
      <c r="E1368">
        <v>135</v>
      </c>
      <c r="F1368" t="s">
        <v>3827</v>
      </c>
      <c r="G1368">
        <v>135</v>
      </c>
      <c r="H1368">
        <v>426.10500000000002</v>
      </c>
      <c r="I1368">
        <v>7</v>
      </c>
      <c r="J1368" s="1">
        <v>45317</v>
      </c>
      <c r="N1368">
        <v>426.10500000000002</v>
      </c>
      <c r="O1368" s="1">
        <v>45215</v>
      </c>
      <c r="P1368">
        <f>IF(ISBLANK(ReconciliationData[[#This Row],[Invoice_ID]]),1,0)</f>
        <v>0</v>
      </c>
      <c r="Q1368">
        <f>IF(AND(NOT(ISBLANK(ReconciliationData[[#This Row],[Billed_Units]])),ReconciliationData[[#This Row],[ordered_units]]&lt;&gt;ReconciliationData[[#This Row],[Billed_Units]]),1,0)</f>
        <v>0</v>
      </c>
      <c r="R13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8">
        <f>IF(AND(NOT(ISBLANK(ReconciliationData[[#This Row],[Contract_Price]])),ReconciliationData[[#This Row],[Billed_Price]]&lt;&gt;ReconciliationData[[#This Row],[Contract_Price]]),1,0)</f>
        <v>0</v>
      </c>
      <c r="T1368">
        <f>IF(AND(NOT(ISBLANK(ReconciliationData[[#This Row],[End_Date]])),ReconciliationData[[#This Row],[Order_Date]]&gt;ReconciliationData[[#This Row],[End_Date]]),1,0)</f>
        <v>0</v>
      </c>
      <c r="U1368">
        <f>IF(AND(NOT(ISBLANK(ReconciliationData[[#This Row],[last_return_date]])),ReconciliationData[[#This Row],[last_return_date]]&gt;ReconciliationData[[#This Row],[Order_Date]]+60),1,0)</f>
        <v>0</v>
      </c>
      <c r="V1368">
        <f>IF(ReconciliationData[[#This Row],[total_returned_units]]&gt;ReconciliationData[[#This Row],[ordered_units]],1,0)</f>
        <v>0</v>
      </c>
      <c r="W13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8">
        <f>ReconciliationData[[#This Row],[Billed_Units]]*ReconciliationData[[#This Row],[Billed_Price]]</f>
        <v>57524.175000000003</v>
      </c>
      <c r="Y1368">
        <f>ReconciliationData[[#This Row],[ordered_units]]*ReconciliationData[[#This Row],[List_Price]]</f>
        <v>57524.175000000003</v>
      </c>
      <c r="Z1368">
        <f>ReconciliationData[[#This Row],[billed_revenue]]-ReconciliationData[[#This Row],[expected_revenue]]</f>
        <v>0</v>
      </c>
      <c r="AA13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8" t="str">
        <f>IF(ReconciliationData[[#This Row],[severity_score]]=0,"LOW",
 IF(ReconciliationData[[#This Row],[severity_score]]&lt;=5,"MEDIUM","HIGH"))</f>
        <v>LOW</v>
      </c>
      <c r="AC1368" t="str">
        <f>TEXT(ReconciliationData[[#This Row],[Order_Date]],"YYYY-MM")</f>
        <v>2024-10</v>
      </c>
    </row>
    <row r="1369" spans="1:29">
      <c r="A1369" t="s">
        <v>3828</v>
      </c>
      <c r="B1369" s="1">
        <v>45506</v>
      </c>
      <c r="C1369" t="s">
        <v>1178</v>
      </c>
      <c r="D1369" t="s">
        <v>2360</v>
      </c>
      <c r="E1369">
        <v>135</v>
      </c>
      <c r="F1369" t="s">
        <v>3829</v>
      </c>
      <c r="G1369">
        <v>135</v>
      </c>
      <c r="H1369">
        <v>852.46560000000011</v>
      </c>
      <c r="I1369">
        <v>12</v>
      </c>
      <c r="J1369" s="1">
        <v>45312</v>
      </c>
      <c r="N1369">
        <v>852.46560000000011</v>
      </c>
      <c r="O1369" s="1">
        <v>44996</v>
      </c>
      <c r="P1369">
        <f>IF(ISBLANK(ReconciliationData[[#This Row],[Invoice_ID]]),1,0)</f>
        <v>0</v>
      </c>
      <c r="Q1369">
        <f>IF(AND(NOT(ISBLANK(ReconciliationData[[#This Row],[Billed_Units]])),ReconciliationData[[#This Row],[ordered_units]]&lt;&gt;ReconciliationData[[#This Row],[Billed_Units]]),1,0)</f>
        <v>0</v>
      </c>
      <c r="R13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69">
        <f>IF(AND(NOT(ISBLANK(ReconciliationData[[#This Row],[Contract_Price]])),ReconciliationData[[#This Row],[Billed_Price]]&lt;&gt;ReconciliationData[[#This Row],[Contract_Price]]),1,0)</f>
        <v>0</v>
      </c>
      <c r="T1369">
        <f>IF(AND(NOT(ISBLANK(ReconciliationData[[#This Row],[End_Date]])),ReconciliationData[[#This Row],[Order_Date]]&gt;ReconciliationData[[#This Row],[End_Date]]),1,0)</f>
        <v>0</v>
      </c>
      <c r="U1369">
        <f>IF(AND(NOT(ISBLANK(ReconciliationData[[#This Row],[last_return_date]])),ReconciliationData[[#This Row],[last_return_date]]&gt;ReconciliationData[[#This Row],[Order_Date]]+60),1,0)</f>
        <v>0</v>
      </c>
      <c r="V1369">
        <f>IF(ReconciliationData[[#This Row],[total_returned_units]]&gt;ReconciliationData[[#This Row],[ordered_units]],1,0)</f>
        <v>0</v>
      </c>
      <c r="W13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69">
        <f>ReconciliationData[[#This Row],[Billed_Units]]*ReconciliationData[[#This Row],[Billed_Price]]</f>
        <v>115082.85600000001</v>
      </c>
      <c r="Y1369">
        <f>ReconciliationData[[#This Row],[ordered_units]]*ReconciliationData[[#This Row],[List_Price]]</f>
        <v>115082.85600000001</v>
      </c>
      <c r="Z1369">
        <f>ReconciliationData[[#This Row],[billed_revenue]]-ReconciliationData[[#This Row],[expected_revenue]]</f>
        <v>0</v>
      </c>
      <c r="AA13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69" t="str">
        <f>IF(ReconciliationData[[#This Row],[severity_score]]=0,"LOW",
 IF(ReconciliationData[[#This Row],[severity_score]]&lt;=5,"MEDIUM","HIGH"))</f>
        <v>LOW</v>
      </c>
      <c r="AC1369" t="str">
        <f>TEXT(ReconciliationData[[#This Row],[Order_Date]],"YYYY-MM")</f>
        <v>2024-08</v>
      </c>
    </row>
    <row r="1370" spans="1:29">
      <c r="A1370" t="s">
        <v>3830</v>
      </c>
      <c r="B1370" s="1">
        <v>45288</v>
      </c>
      <c r="C1370" t="s">
        <v>1325</v>
      </c>
      <c r="D1370" t="s">
        <v>389</v>
      </c>
      <c r="E1370">
        <v>191</v>
      </c>
      <c r="F1370" t="s">
        <v>3831</v>
      </c>
      <c r="G1370">
        <v>191</v>
      </c>
      <c r="H1370">
        <v>759.48969999999997</v>
      </c>
      <c r="N1370">
        <v>759.48969999999997</v>
      </c>
      <c r="O1370" s="1">
        <v>45138</v>
      </c>
      <c r="P1370">
        <f>IF(ISBLANK(ReconciliationData[[#This Row],[Invoice_ID]]),1,0)</f>
        <v>0</v>
      </c>
      <c r="Q1370">
        <f>IF(AND(NOT(ISBLANK(ReconciliationData[[#This Row],[Billed_Units]])),ReconciliationData[[#This Row],[ordered_units]]&lt;&gt;ReconciliationData[[#This Row],[Billed_Units]]),1,0)</f>
        <v>0</v>
      </c>
      <c r="R13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0">
        <f>IF(AND(NOT(ISBLANK(ReconciliationData[[#This Row],[Contract_Price]])),ReconciliationData[[#This Row],[Billed_Price]]&lt;&gt;ReconciliationData[[#This Row],[Contract_Price]]),1,0)</f>
        <v>0</v>
      </c>
      <c r="T1370">
        <f>IF(AND(NOT(ISBLANK(ReconciliationData[[#This Row],[End_Date]])),ReconciliationData[[#This Row],[Order_Date]]&gt;ReconciliationData[[#This Row],[End_Date]]),1,0)</f>
        <v>0</v>
      </c>
      <c r="U1370">
        <f>IF(AND(NOT(ISBLANK(ReconciliationData[[#This Row],[last_return_date]])),ReconciliationData[[#This Row],[last_return_date]]&gt;ReconciliationData[[#This Row],[Order_Date]]+60),1,0)</f>
        <v>0</v>
      </c>
      <c r="V1370">
        <f>IF(ReconciliationData[[#This Row],[total_returned_units]]&gt;ReconciliationData[[#This Row],[ordered_units]],1,0)</f>
        <v>0</v>
      </c>
      <c r="W13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0">
        <f>ReconciliationData[[#This Row],[Billed_Units]]*ReconciliationData[[#This Row],[Billed_Price]]</f>
        <v>145062.53269999998</v>
      </c>
      <c r="Y1370">
        <f>ReconciliationData[[#This Row],[ordered_units]]*ReconciliationData[[#This Row],[List_Price]]</f>
        <v>145062.53269999998</v>
      </c>
      <c r="Z1370">
        <f>ReconciliationData[[#This Row],[billed_revenue]]-ReconciliationData[[#This Row],[expected_revenue]]</f>
        <v>0</v>
      </c>
      <c r="AA13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0" t="str">
        <f>IF(ReconciliationData[[#This Row],[severity_score]]=0,"LOW",
 IF(ReconciliationData[[#This Row],[severity_score]]&lt;=5,"MEDIUM","HIGH"))</f>
        <v>LOW</v>
      </c>
      <c r="AC1370" t="str">
        <f>TEXT(ReconciliationData[[#This Row],[Order_Date]],"YYYY-MM")</f>
        <v>2023-12</v>
      </c>
    </row>
    <row r="1371" spans="1:29">
      <c r="A1371" t="s">
        <v>3832</v>
      </c>
      <c r="B1371" s="1">
        <v>45266</v>
      </c>
      <c r="C1371" t="s">
        <v>3833</v>
      </c>
      <c r="D1371" t="s">
        <v>389</v>
      </c>
      <c r="E1371">
        <v>74</v>
      </c>
      <c r="F1371" t="s">
        <v>3834</v>
      </c>
      <c r="G1371">
        <v>74</v>
      </c>
      <c r="H1371">
        <v>759.48969999999997</v>
      </c>
      <c r="I1371">
        <v>19</v>
      </c>
      <c r="J1371" s="1">
        <v>45007</v>
      </c>
      <c r="N1371">
        <v>759.48969999999997</v>
      </c>
      <c r="O1371" s="1">
        <v>45138</v>
      </c>
      <c r="P1371">
        <f>IF(ISBLANK(ReconciliationData[[#This Row],[Invoice_ID]]),1,0)</f>
        <v>0</v>
      </c>
      <c r="Q1371">
        <f>IF(AND(NOT(ISBLANK(ReconciliationData[[#This Row],[Billed_Units]])),ReconciliationData[[#This Row],[ordered_units]]&lt;&gt;ReconciliationData[[#This Row],[Billed_Units]]),1,0)</f>
        <v>0</v>
      </c>
      <c r="R13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1">
        <f>IF(AND(NOT(ISBLANK(ReconciliationData[[#This Row],[Contract_Price]])),ReconciliationData[[#This Row],[Billed_Price]]&lt;&gt;ReconciliationData[[#This Row],[Contract_Price]]),1,0)</f>
        <v>0</v>
      </c>
      <c r="T1371">
        <f>IF(AND(NOT(ISBLANK(ReconciliationData[[#This Row],[End_Date]])),ReconciliationData[[#This Row],[Order_Date]]&gt;ReconciliationData[[#This Row],[End_Date]]),1,0)</f>
        <v>0</v>
      </c>
      <c r="U1371">
        <f>IF(AND(NOT(ISBLANK(ReconciliationData[[#This Row],[last_return_date]])),ReconciliationData[[#This Row],[last_return_date]]&gt;ReconciliationData[[#This Row],[Order_Date]]+60),1,0)</f>
        <v>0</v>
      </c>
      <c r="V1371">
        <f>IF(ReconciliationData[[#This Row],[total_returned_units]]&gt;ReconciliationData[[#This Row],[ordered_units]],1,0)</f>
        <v>0</v>
      </c>
      <c r="W13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1">
        <f>ReconciliationData[[#This Row],[Billed_Units]]*ReconciliationData[[#This Row],[Billed_Price]]</f>
        <v>56202.237799999995</v>
      </c>
      <c r="Y1371">
        <f>ReconciliationData[[#This Row],[ordered_units]]*ReconciliationData[[#This Row],[List_Price]]</f>
        <v>56202.237799999995</v>
      </c>
      <c r="Z1371">
        <f>ReconciliationData[[#This Row],[billed_revenue]]-ReconciliationData[[#This Row],[expected_revenue]]</f>
        <v>0</v>
      </c>
      <c r="AA13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1" t="str">
        <f>IF(ReconciliationData[[#This Row],[severity_score]]=0,"LOW",
 IF(ReconciliationData[[#This Row],[severity_score]]&lt;=5,"MEDIUM","HIGH"))</f>
        <v>LOW</v>
      </c>
      <c r="AC1371" t="str">
        <f>TEXT(ReconciliationData[[#This Row],[Order_Date]],"YYYY-MM")</f>
        <v>2023-12</v>
      </c>
    </row>
    <row r="1372" spans="1:29">
      <c r="A1372" t="s">
        <v>3835</v>
      </c>
      <c r="B1372" s="1">
        <v>45099</v>
      </c>
      <c r="C1372" t="s">
        <v>1536</v>
      </c>
      <c r="D1372" t="s">
        <v>162</v>
      </c>
      <c r="E1372">
        <v>70</v>
      </c>
      <c r="F1372" t="s">
        <v>3836</v>
      </c>
      <c r="G1372">
        <v>70</v>
      </c>
      <c r="H1372">
        <v>510.91840000000002</v>
      </c>
      <c r="N1372">
        <v>510.91840000000002</v>
      </c>
      <c r="O1372" s="1">
        <v>44981</v>
      </c>
      <c r="P1372">
        <f>IF(ISBLANK(ReconciliationData[[#This Row],[Invoice_ID]]),1,0)</f>
        <v>0</v>
      </c>
      <c r="Q1372">
        <f>IF(AND(NOT(ISBLANK(ReconciliationData[[#This Row],[Billed_Units]])),ReconciliationData[[#This Row],[ordered_units]]&lt;&gt;ReconciliationData[[#This Row],[Billed_Units]]),1,0)</f>
        <v>0</v>
      </c>
      <c r="R13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2">
        <f>IF(AND(NOT(ISBLANK(ReconciliationData[[#This Row],[Contract_Price]])),ReconciliationData[[#This Row],[Billed_Price]]&lt;&gt;ReconciliationData[[#This Row],[Contract_Price]]),1,0)</f>
        <v>0</v>
      </c>
      <c r="T1372">
        <f>IF(AND(NOT(ISBLANK(ReconciliationData[[#This Row],[End_Date]])),ReconciliationData[[#This Row],[Order_Date]]&gt;ReconciliationData[[#This Row],[End_Date]]),1,0)</f>
        <v>0</v>
      </c>
      <c r="U1372">
        <f>IF(AND(NOT(ISBLANK(ReconciliationData[[#This Row],[last_return_date]])),ReconciliationData[[#This Row],[last_return_date]]&gt;ReconciliationData[[#This Row],[Order_Date]]+60),1,0)</f>
        <v>0</v>
      </c>
      <c r="V1372">
        <f>IF(ReconciliationData[[#This Row],[total_returned_units]]&gt;ReconciliationData[[#This Row],[ordered_units]],1,0)</f>
        <v>0</v>
      </c>
      <c r="W13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2">
        <f>ReconciliationData[[#This Row],[Billed_Units]]*ReconciliationData[[#This Row],[Billed_Price]]</f>
        <v>35764.288</v>
      </c>
      <c r="Y1372">
        <f>ReconciliationData[[#This Row],[ordered_units]]*ReconciliationData[[#This Row],[List_Price]]</f>
        <v>35764.288</v>
      </c>
      <c r="Z1372">
        <f>ReconciliationData[[#This Row],[billed_revenue]]-ReconciliationData[[#This Row],[expected_revenue]]</f>
        <v>0</v>
      </c>
      <c r="AA13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2" t="str">
        <f>IF(ReconciliationData[[#This Row],[severity_score]]=0,"LOW",
 IF(ReconciliationData[[#This Row],[severity_score]]&lt;=5,"MEDIUM","HIGH"))</f>
        <v>LOW</v>
      </c>
      <c r="AC1372" t="str">
        <f>TEXT(ReconciliationData[[#This Row],[Order_Date]],"YYYY-MM")</f>
        <v>2023-06</v>
      </c>
    </row>
    <row r="1373" spans="1:29">
      <c r="A1373" t="s">
        <v>3837</v>
      </c>
      <c r="B1373" s="1">
        <v>44974</v>
      </c>
      <c r="C1373" t="s">
        <v>3838</v>
      </c>
      <c r="D1373" t="s">
        <v>1848</v>
      </c>
      <c r="E1373">
        <v>128</v>
      </c>
      <c r="F1373" t="s">
        <v>3839</v>
      </c>
      <c r="G1373">
        <v>128</v>
      </c>
      <c r="H1373">
        <v>83.314999999999998</v>
      </c>
      <c r="N1373">
        <v>83.314999999999998</v>
      </c>
      <c r="O1373" s="1">
        <v>44819</v>
      </c>
      <c r="P1373">
        <f>IF(ISBLANK(ReconciliationData[[#This Row],[Invoice_ID]]),1,0)</f>
        <v>0</v>
      </c>
      <c r="Q1373">
        <f>IF(AND(NOT(ISBLANK(ReconciliationData[[#This Row],[Billed_Units]])),ReconciliationData[[#This Row],[ordered_units]]&lt;&gt;ReconciliationData[[#This Row],[Billed_Units]]),1,0)</f>
        <v>0</v>
      </c>
      <c r="R13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3">
        <f>IF(AND(NOT(ISBLANK(ReconciliationData[[#This Row],[Contract_Price]])),ReconciliationData[[#This Row],[Billed_Price]]&lt;&gt;ReconciliationData[[#This Row],[Contract_Price]]),1,0)</f>
        <v>0</v>
      </c>
      <c r="T1373">
        <f>IF(AND(NOT(ISBLANK(ReconciliationData[[#This Row],[End_Date]])),ReconciliationData[[#This Row],[Order_Date]]&gt;ReconciliationData[[#This Row],[End_Date]]),1,0)</f>
        <v>0</v>
      </c>
      <c r="U1373">
        <f>IF(AND(NOT(ISBLANK(ReconciliationData[[#This Row],[last_return_date]])),ReconciliationData[[#This Row],[last_return_date]]&gt;ReconciliationData[[#This Row],[Order_Date]]+60),1,0)</f>
        <v>0</v>
      </c>
      <c r="V1373">
        <f>IF(ReconciliationData[[#This Row],[total_returned_units]]&gt;ReconciliationData[[#This Row],[ordered_units]],1,0)</f>
        <v>0</v>
      </c>
      <c r="W13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3">
        <f>ReconciliationData[[#This Row],[Billed_Units]]*ReconciliationData[[#This Row],[Billed_Price]]</f>
        <v>10664.32</v>
      </c>
      <c r="Y1373">
        <f>ReconciliationData[[#This Row],[ordered_units]]*ReconciliationData[[#This Row],[List_Price]]</f>
        <v>10664.32</v>
      </c>
      <c r="Z1373">
        <f>ReconciliationData[[#This Row],[billed_revenue]]-ReconciliationData[[#This Row],[expected_revenue]]</f>
        <v>0</v>
      </c>
      <c r="AA13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3" t="str">
        <f>IF(ReconciliationData[[#This Row],[severity_score]]=0,"LOW",
 IF(ReconciliationData[[#This Row],[severity_score]]&lt;=5,"MEDIUM","HIGH"))</f>
        <v>LOW</v>
      </c>
      <c r="AC1373" t="str">
        <f>TEXT(ReconciliationData[[#This Row],[Order_Date]],"YYYY-MM")</f>
        <v>2023-02</v>
      </c>
    </row>
    <row r="1374" spans="1:29">
      <c r="A1374" t="s">
        <v>3840</v>
      </c>
      <c r="B1374" s="1">
        <v>45036</v>
      </c>
      <c r="C1374" t="s">
        <v>2723</v>
      </c>
      <c r="D1374" t="s">
        <v>1030</v>
      </c>
      <c r="E1374">
        <v>2</v>
      </c>
      <c r="F1374" t="s">
        <v>3841</v>
      </c>
      <c r="G1374">
        <v>2</v>
      </c>
      <c r="H1374">
        <v>370.82850000000002</v>
      </c>
      <c r="N1374">
        <v>370.82850000000002</v>
      </c>
      <c r="O1374" s="1">
        <v>44986</v>
      </c>
      <c r="P1374">
        <f>IF(ISBLANK(ReconciliationData[[#This Row],[Invoice_ID]]),1,0)</f>
        <v>0</v>
      </c>
      <c r="Q1374">
        <f>IF(AND(NOT(ISBLANK(ReconciliationData[[#This Row],[Billed_Units]])),ReconciliationData[[#This Row],[ordered_units]]&lt;&gt;ReconciliationData[[#This Row],[Billed_Units]]),1,0)</f>
        <v>0</v>
      </c>
      <c r="R13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4">
        <f>IF(AND(NOT(ISBLANK(ReconciliationData[[#This Row],[Contract_Price]])),ReconciliationData[[#This Row],[Billed_Price]]&lt;&gt;ReconciliationData[[#This Row],[Contract_Price]]),1,0)</f>
        <v>0</v>
      </c>
      <c r="T1374">
        <f>IF(AND(NOT(ISBLANK(ReconciliationData[[#This Row],[End_Date]])),ReconciliationData[[#This Row],[Order_Date]]&gt;ReconciliationData[[#This Row],[End_Date]]),1,0)</f>
        <v>0</v>
      </c>
      <c r="U1374">
        <f>IF(AND(NOT(ISBLANK(ReconciliationData[[#This Row],[last_return_date]])),ReconciliationData[[#This Row],[last_return_date]]&gt;ReconciliationData[[#This Row],[Order_Date]]+60),1,0)</f>
        <v>0</v>
      </c>
      <c r="V1374">
        <f>IF(ReconciliationData[[#This Row],[total_returned_units]]&gt;ReconciliationData[[#This Row],[ordered_units]],1,0)</f>
        <v>0</v>
      </c>
      <c r="W13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4">
        <f>ReconciliationData[[#This Row],[Billed_Units]]*ReconciliationData[[#This Row],[Billed_Price]]</f>
        <v>741.65700000000004</v>
      </c>
      <c r="Y1374">
        <f>ReconciliationData[[#This Row],[ordered_units]]*ReconciliationData[[#This Row],[List_Price]]</f>
        <v>741.65700000000004</v>
      </c>
      <c r="Z1374">
        <f>ReconciliationData[[#This Row],[billed_revenue]]-ReconciliationData[[#This Row],[expected_revenue]]</f>
        <v>0</v>
      </c>
      <c r="AA13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4" t="str">
        <f>IF(ReconciliationData[[#This Row],[severity_score]]=0,"LOW",
 IF(ReconciliationData[[#This Row],[severity_score]]&lt;=5,"MEDIUM","HIGH"))</f>
        <v>LOW</v>
      </c>
      <c r="AC1374" t="str">
        <f>TEXT(ReconciliationData[[#This Row],[Order_Date]],"YYYY-MM")</f>
        <v>2023-04</v>
      </c>
    </row>
    <row r="1375" spans="1:29">
      <c r="A1375" t="s">
        <v>3842</v>
      </c>
      <c r="B1375" s="1">
        <v>45500</v>
      </c>
      <c r="C1375" t="s">
        <v>320</v>
      </c>
      <c r="D1375" t="s">
        <v>341</v>
      </c>
      <c r="E1375">
        <v>101</v>
      </c>
      <c r="F1375" t="s">
        <v>3843</v>
      </c>
      <c r="G1375">
        <v>101</v>
      </c>
      <c r="H1375">
        <v>49.450800000000001</v>
      </c>
      <c r="N1375">
        <v>49.450800000000001</v>
      </c>
      <c r="O1375" s="1">
        <v>45168</v>
      </c>
      <c r="P1375">
        <f>IF(ISBLANK(ReconciliationData[[#This Row],[Invoice_ID]]),1,0)</f>
        <v>0</v>
      </c>
      <c r="Q1375">
        <f>IF(AND(NOT(ISBLANK(ReconciliationData[[#This Row],[Billed_Units]])),ReconciliationData[[#This Row],[ordered_units]]&lt;&gt;ReconciliationData[[#This Row],[Billed_Units]]),1,0)</f>
        <v>0</v>
      </c>
      <c r="R13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5">
        <f>IF(AND(NOT(ISBLANK(ReconciliationData[[#This Row],[Contract_Price]])),ReconciliationData[[#This Row],[Billed_Price]]&lt;&gt;ReconciliationData[[#This Row],[Contract_Price]]),1,0)</f>
        <v>0</v>
      </c>
      <c r="T1375">
        <f>IF(AND(NOT(ISBLANK(ReconciliationData[[#This Row],[End_Date]])),ReconciliationData[[#This Row],[Order_Date]]&gt;ReconciliationData[[#This Row],[End_Date]]),1,0)</f>
        <v>0</v>
      </c>
      <c r="U1375">
        <f>IF(AND(NOT(ISBLANK(ReconciliationData[[#This Row],[last_return_date]])),ReconciliationData[[#This Row],[last_return_date]]&gt;ReconciliationData[[#This Row],[Order_Date]]+60),1,0)</f>
        <v>0</v>
      </c>
      <c r="V1375">
        <f>IF(ReconciliationData[[#This Row],[total_returned_units]]&gt;ReconciliationData[[#This Row],[ordered_units]],1,0)</f>
        <v>0</v>
      </c>
      <c r="W13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5">
        <f>ReconciliationData[[#This Row],[Billed_Units]]*ReconciliationData[[#This Row],[Billed_Price]]</f>
        <v>4994.5308000000005</v>
      </c>
      <c r="Y1375">
        <f>ReconciliationData[[#This Row],[ordered_units]]*ReconciliationData[[#This Row],[List_Price]]</f>
        <v>4994.5308000000005</v>
      </c>
      <c r="Z1375">
        <f>ReconciliationData[[#This Row],[billed_revenue]]-ReconciliationData[[#This Row],[expected_revenue]]</f>
        <v>0</v>
      </c>
      <c r="AA13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5" t="str">
        <f>IF(ReconciliationData[[#This Row],[severity_score]]=0,"LOW",
 IF(ReconciliationData[[#This Row],[severity_score]]&lt;=5,"MEDIUM","HIGH"))</f>
        <v>LOW</v>
      </c>
      <c r="AC1375" t="str">
        <f>TEXT(ReconciliationData[[#This Row],[Order_Date]],"YYYY-MM")</f>
        <v>2024-07</v>
      </c>
    </row>
    <row r="1376" spans="1:29">
      <c r="A1376" t="s">
        <v>3844</v>
      </c>
      <c r="B1376" s="1">
        <v>45148</v>
      </c>
      <c r="C1376" t="s">
        <v>947</v>
      </c>
      <c r="D1376" t="s">
        <v>206</v>
      </c>
      <c r="E1376">
        <v>186</v>
      </c>
      <c r="F1376" t="s">
        <v>3845</v>
      </c>
      <c r="G1376">
        <v>186</v>
      </c>
      <c r="H1376">
        <v>361.57799999999997</v>
      </c>
      <c r="N1376">
        <v>361.57799999999997</v>
      </c>
      <c r="O1376" s="1">
        <v>44932</v>
      </c>
      <c r="P1376">
        <f>IF(ISBLANK(ReconciliationData[[#This Row],[Invoice_ID]]),1,0)</f>
        <v>0</v>
      </c>
      <c r="Q1376">
        <f>IF(AND(NOT(ISBLANK(ReconciliationData[[#This Row],[Billed_Units]])),ReconciliationData[[#This Row],[ordered_units]]&lt;&gt;ReconciliationData[[#This Row],[Billed_Units]]),1,0)</f>
        <v>0</v>
      </c>
      <c r="R13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6">
        <f>IF(AND(NOT(ISBLANK(ReconciliationData[[#This Row],[Contract_Price]])),ReconciliationData[[#This Row],[Billed_Price]]&lt;&gt;ReconciliationData[[#This Row],[Contract_Price]]),1,0)</f>
        <v>0</v>
      </c>
      <c r="T1376">
        <f>IF(AND(NOT(ISBLANK(ReconciliationData[[#This Row],[End_Date]])),ReconciliationData[[#This Row],[Order_Date]]&gt;ReconciliationData[[#This Row],[End_Date]]),1,0)</f>
        <v>0</v>
      </c>
      <c r="U1376">
        <f>IF(AND(NOT(ISBLANK(ReconciliationData[[#This Row],[last_return_date]])),ReconciliationData[[#This Row],[last_return_date]]&gt;ReconciliationData[[#This Row],[Order_Date]]+60),1,0)</f>
        <v>0</v>
      </c>
      <c r="V1376">
        <f>IF(ReconciliationData[[#This Row],[total_returned_units]]&gt;ReconciliationData[[#This Row],[ordered_units]],1,0)</f>
        <v>0</v>
      </c>
      <c r="W13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6">
        <f>ReconciliationData[[#This Row],[Billed_Units]]*ReconciliationData[[#This Row],[Billed_Price]]</f>
        <v>67253.508000000002</v>
      </c>
      <c r="Y1376">
        <f>ReconciliationData[[#This Row],[ordered_units]]*ReconciliationData[[#This Row],[List_Price]]</f>
        <v>67253.508000000002</v>
      </c>
      <c r="Z1376">
        <f>ReconciliationData[[#This Row],[billed_revenue]]-ReconciliationData[[#This Row],[expected_revenue]]</f>
        <v>0</v>
      </c>
      <c r="AA13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6" t="str">
        <f>IF(ReconciliationData[[#This Row],[severity_score]]=0,"LOW",
 IF(ReconciliationData[[#This Row],[severity_score]]&lt;=5,"MEDIUM","HIGH"))</f>
        <v>LOW</v>
      </c>
      <c r="AC1376" t="str">
        <f>TEXT(ReconciliationData[[#This Row],[Order_Date]],"YYYY-MM")</f>
        <v>2023-08</v>
      </c>
    </row>
    <row r="1377" spans="1:29">
      <c r="A1377" t="s">
        <v>3846</v>
      </c>
      <c r="B1377" s="1">
        <v>45259</v>
      </c>
      <c r="C1377" t="s">
        <v>536</v>
      </c>
      <c r="D1377" t="s">
        <v>1235</v>
      </c>
      <c r="E1377">
        <v>150</v>
      </c>
      <c r="F1377" t="s">
        <v>3847</v>
      </c>
      <c r="G1377">
        <v>150</v>
      </c>
      <c r="H1377">
        <v>892.55520000000013</v>
      </c>
      <c r="N1377">
        <v>892.55520000000013</v>
      </c>
      <c r="O1377" s="1">
        <v>44985</v>
      </c>
      <c r="P1377">
        <f>IF(ISBLANK(ReconciliationData[[#This Row],[Invoice_ID]]),1,0)</f>
        <v>0</v>
      </c>
      <c r="Q1377">
        <f>IF(AND(NOT(ISBLANK(ReconciliationData[[#This Row],[Billed_Units]])),ReconciliationData[[#This Row],[ordered_units]]&lt;&gt;ReconciliationData[[#This Row],[Billed_Units]]),1,0)</f>
        <v>0</v>
      </c>
      <c r="R13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7">
        <f>IF(AND(NOT(ISBLANK(ReconciliationData[[#This Row],[Contract_Price]])),ReconciliationData[[#This Row],[Billed_Price]]&lt;&gt;ReconciliationData[[#This Row],[Contract_Price]]),1,0)</f>
        <v>0</v>
      </c>
      <c r="T1377">
        <f>IF(AND(NOT(ISBLANK(ReconciliationData[[#This Row],[End_Date]])),ReconciliationData[[#This Row],[Order_Date]]&gt;ReconciliationData[[#This Row],[End_Date]]),1,0)</f>
        <v>0</v>
      </c>
      <c r="U1377">
        <f>IF(AND(NOT(ISBLANK(ReconciliationData[[#This Row],[last_return_date]])),ReconciliationData[[#This Row],[last_return_date]]&gt;ReconciliationData[[#This Row],[Order_Date]]+60),1,0)</f>
        <v>0</v>
      </c>
      <c r="V1377">
        <f>IF(ReconciliationData[[#This Row],[total_returned_units]]&gt;ReconciliationData[[#This Row],[ordered_units]],1,0)</f>
        <v>0</v>
      </c>
      <c r="W13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7">
        <f>ReconciliationData[[#This Row],[Billed_Units]]*ReconciliationData[[#This Row],[Billed_Price]]</f>
        <v>133883.28000000003</v>
      </c>
      <c r="Y1377">
        <f>ReconciliationData[[#This Row],[ordered_units]]*ReconciliationData[[#This Row],[List_Price]]</f>
        <v>133883.28000000003</v>
      </c>
      <c r="Z1377">
        <f>ReconciliationData[[#This Row],[billed_revenue]]-ReconciliationData[[#This Row],[expected_revenue]]</f>
        <v>0</v>
      </c>
      <c r="AA13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7" t="str">
        <f>IF(ReconciliationData[[#This Row],[severity_score]]=0,"LOW",
 IF(ReconciliationData[[#This Row],[severity_score]]&lt;=5,"MEDIUM","HIGH"))</f>
        <v>LOW</v>
      </c>
      <c r="AC1377" t="str">
        <f>TEXT(ReconciliationData[[#This Row],[Order_Date]],"YYYY-MM")</f>
        <v>2023-11</v>
      </c>
    </row>
    <row r="1378" spans="1:29">
      <c r="A1378" t="s">
        <v>3848</v>
      </c>
      <c r="B1378" s="1">
        <v>45064</v>
      </c>
      <c r="C1378" t="s">
        <v>3276</v>
      </c>
      <c r="D1378" t="s">
        <v>1606</v>
      </c>
      <c r="E1378">
        <v>153</v>
      </c>
      <c r="F1378" t="s">
        <v>3849</v>
      </c>
      <c r="G1378">
        <v>153</v>
      </c>
      <c r="H1378">
        <v>579.65</v>
      </c>
      <c r="N1378">
        <v>579.65</v>
      </c>
      <c r="O1378" s="1">
        <v>44837</v>
      </c>
      <c r="P1378">
        <f>IF(ISBLANK(ReconciliationData[[#This Row],[Invoice_ID]]),1,0)</f>
        <v>0</v>
      </c>
      <c r="Q1378">
        <f>IF(AND(NOT(ISBLANK(ReconciliationData[[#This Row],[Billed_Units]])),ReconciliationData[[#This Row],[ordered_units]]&lt;&gt;ReconciliationData[[#This Row],[Billed_Units]]),1,0)</f>
        <v>0</v>
      </c>
      <c r="R13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8">
        <f>IF(AND(NOT(ISBLANK(ReconciliationData[[#This Row],[Contract_Price]])),ReconciliationData[[#This Row],[Billed_Price]]&lt;&gt;ReconciliationData[[#This Row],[Contract_Price]]),1,0)</f>
        <v>0</v>
      </c>
      <c r="T1378">
        <f>IF(AND(NOT(ISBLANK(ReconciliationData[[#This Row],[End_Date]])),ReconciliationData[[#This Row],[Order_Date]]&gt;ReconciliationData[[#This Row],[End_Date]]),1,0)</f>
        <v>0</v>
      </c>
      <c r="U1378">
        <f>IF(AND(NOT(ISBLANK(ReconciliationData[[#This Row],[last_return_date]])),ReconciliationData[[#This Row],[last_return_date]]&gt;ReconciliationData[[#This Row],[Order_Date]]+60),1,0)</f>
        <v>0</v>
      </c>
      <c r="V1378">
        <f>IF(ReconciliationData[[#This Row],[total_returned_units]]&gt;ReconciliationData[[#This Row],[ordered_units]],1,0)</f>
        <v>0</v>
      </c>
      <c r="W13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8">
        <f>ReconciliationData[[#This Row],[Billed_Units]]*ReconciliationData[[#This Row],[Billed_Price]]</f>
        <v>88686.45</v>
      </c>
      <c r="Y1378">
        <f>ReconciliationData[[#This Row],[ordered_units]]*ReconciliationData[[#This Row],[List_Price]]</f>
        <v>88686.45</v>
      </c>
      <c r="Z1378">
        <f>ReconciliationData[[#This Row],[billed_revenue]]-ReconciliationData[[#This Row],[expected_revenue]]</f>
        <v>0</v>
      </c>
      <c r="AA13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8" t="str">
        <f>IF(ReconciliationData[[#This Row],[severity_score]]=0,"LOW",
 IF(ReconciliationData[[#This Row],[severity_score]]&lt;=5,"MEDIUM","HIGH"))</f>
        <v>LOW</v>
      </c>
      <c r="AC1378" t="str">
        <f>TEXT(ReconciliationData[[#This Row],[Order_Date]],"YYYY-MM")</f>
        <v>2023-05</v>
      </c>
    </row>
    <row r="1379" spans="1:29">
      <c r="A1379" t="s">
        <v>3850</v>
      </c>
      <c r="B1379" s="1">
        <v>45120</v>
      </c>
      <c r="C1379" t="s">
        <v>3003</v>
      </c>
      <c r="D1379" t="s">
        <v>825</v>
      </c>
      <c r="E1379">
        <v>3</v>
      </c>
      <c r="F1379" t="s">
        <v>3851</v>
      </c>
      <c r="G1379">
        <v>3</v>
      </c>
      <c r="H1379">
        <v>752.48910000000001</v>
      </c>
      <c r="N1379">
        <v>752.48910000000001</v>
      </c>
      <c r="O1379" s="1">
        <v>44953</v>
      </c>
      <c r="P1379">
        <f>IF(ISBLANK(ReconciliationData[[#This Row],[Invoice_ID]]),1,0)</f>
        <v>0</v>
      </c>
      <c r="Q1379">
        <f>IF(AND(NOT(ISBLANK(ReconciliationData[[#This Row],[Billed_Units]])),ReconciliationData[[#This Row],[ordered_units]]&lt;&gt;ReconciliationData[[#This Row],[Billed_Units]]),1,0)</f>
        <v>0</v>
      </c>
      <c r="R13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79">
        <f>IF(AND(NOT(ISBLANK(ReconciliationData[[#This Row],[Contract_Price]])),ReconciliationData[[#This Row],[Billed_Price]]&lt;&gt;ReconciliationData[[#This Row],[Contract_Price]]),1,0)</f>
        <v>0</v>
      </c>
      <c r="T1379">
        <f>IF(AND(NOT(ISBLANK(ReconciliationData[[#This Row],[End_Date]])),ReconciliationData[[#This Row],[Order_Date]]&gt;ReconciliationData[[#This Row],[End_Date]]),1,0)</f>
        <v>0</v>
      </c>
      <c r="U1379">
        <f>IF(AND(NOT(ISBLANK(ReconciliationData[[#This Row],[last_return_date]])),ReconciliationData[[#This Row],[last_return_date]]&gt;ReconciliationData[[#This Row],[Order_Date]]+60),1,0)</f>
        <v>0</v>
      </c>
      <c r="V1379">
        <f>IF(ReconciliationData[[#This Row],[total_returned_units]]&gt;ReconciliationData[[#This Row],[ordered_units]],1,0)</f>
        <v>0</v>
      </c>
      <c r="W13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79">
        <f>ReconciliationData[[#This Row],[Billed_Units]]*ReconciliationData[[#This Row],[Billed_Price]]</f>
        <v>2257.4673000000003</v>
      </c>
      <c r="Y1379">
        <f>ReconciliationData[[#This Row],[ordered_units]]*ReconciliationData[[#This Row],[List_Price]]</f>
        <v>2257.4673000000003</v>
      </c>
      <c r="Z1379">
        <f>ReconciliationData[[#This Row],[billed_revenue]]-ReconciliationData[[#This Row],[expected_revenue]]</f>
        <v>0</v>
      </c>
      <c r="AA13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79" t="str">
        <f>IF(ReconciliationData[[#This Row],[severity_score]]=0,"LOW",
 IF(ReconciliationData[[#This Row],[severity_score]]&lt;=5,"MEDIUM","HIGH"))</f>
        <v>LOW</v>
      </c>
      <c r="AC1379" t="str">
        <f>TEXT(ReconciliationData[[#This Row],[Order_Date]],"YYYY-MM")</f>
        <v>2023-07</v>
      </c>
    </row>
    <row r="1380" spans="1:29">
      <c r="A1380" t="s">
        <v>3852</v>
      </c>
      <c r="B1380" s="1">
        <v>44964</v>
      </c>
      <c r="C1380" t="s">
        <v>2401</v>
      </c>
      <c r="D1380" t="s">
        <v>243</v>
      </c>
      <c r="E1380">
        <v>84</v>
      </c>
      <c r="F1380" t="s">
        <v>3853</v>
      </c>
      <c r="G1380">
        <v>84</v>
      </c>
      <c r="H1380">
        <v>126.5656</v>
      </c>
      <c r="N1380">
        <v>126.5656</v>
      </c>
      <c r="O1380" s="1">
        <v>44947</v>
      </c>
      <c r="P1380">
        <f>IF(ISBLANK(ReconciliationData[[#This Row],[Invoice_ID]]),1,0)</f>
        <v>0</v>
      </c>
      <c r="Q1380">
        <f>IF(AND(NOT(ISBLANK(ReconciliationData[[#This Row],[Billed_Units]])),ReconciliationData[[#This Row],[ordered_units]]&lt;&gt;ReconciliationData[[#This Row],[Billed_Units]]),1,0)</f>
        <v>0</v>
      </c>
      <c r="R13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0">
        <f>IF(AND(NOT(ISBLANK(ReconciliationData[[#This Row],[Contract_Price]])),ReconciliationData[[#This Row],[Billed_Price]]&lt;&gt;ReconciliationData[[#This Row],[Contract_Price]]),1,0)</f>
        <v>0</v>
      </c>
      <c r="T1380">
        <f>IF(AND(NOT(ISBLANK(ReconciliationData[[#This Row],[End_Date]])),ReconciliationData[[#This Row],[Order_Date]]&gt;ReconciliationData[[#This Row],[End_Date]]),1,0)</f>
        <v>0</v>
      </c>
      <c r="U1380">
        <f>IF(AND(NOT(ISBLANK(ReconciliationData[[#This Row],[last_return_date]])),ReconciliationData[[#This Row],[last_return_date]]&gt;ReconciliationData[[#This Row],[Order_Date]]+60),1,0)</f>
        <v>0</v>
      </c>
      <c r="V1380">
        <f>IF(ReconciliationData[[#This Row],[total_returned_units]]&gt;ReconciliationData[[#This Row],[ordered_units]],1,0)</f>
        <v>0</v>
      </c>
      <c r="W13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80">
        <f>ReconciliationData[[#This Row],[Billed_Units]]*ReconciliationData[[#This Row],[Billed_Price]]</f>
        <v>10631.510400000001</v>
      </c>
      <c r="Y1380">
        <f>ReconciliationData[[#This Row],[ordered_units]]*ReconciliationData[[#This Row],[List_Price]]</f>
        <v>10631.510400000001</v>
      </c>
      <c r="Z1380">
        <f>ReconciliationData[[#This Row],[billed_revenue]]-ReconciliationData[[#This Row],[expected_revenue]]</f>
        <v>0</v>
      </c>
      <c r="AA13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80" t="str">
        <f>IF(ReconciliationData[[#This Row],[severity_score]]=0,"LOW",
 IF(ReconciliationData[[#This Row],[severity_score]]&lt;=5,"MEDIUM","HIGH"))</f>
        <v>LOW</v>
      </c>
      <c r="AC1380" t="str">
        <f>TEXT(ReconciliationData[[#This Row],[Order_Date]],"YYYY-MM")</f>
        <v>2023-02</v>
      </c>
    </row>
    <row r="1381" spans="1:29">
      <c r="A1381" t="s">
        <v>3854</v>
      </c>
      <c r="B1381" s="1">
        <v>45309</v>
      </c>
      <c r="C1381" t="s">
        <v>2614</v>
      </c>
      <c r="D1381" t="s">
        <v>134</v>
      </c>
      <c r="E1381">
        <v>85</v>
      </c>
      <c r="F1381" t="s">
        <v>3855</v>
      </c>
      <c r="G1381">
        <v>85</v>
      </c>
      <c r="H1381">
        <v>446.4905</v>
      </c>
      <c r="N1381">
        <v>446.4905</v>
      </c>
      <c r="O1381" s="1">
        <v>45161</v>
      </c>
      <c r="P1381">
        <f>IF(ISBLANK(ReconciliationData[[#This Row],[Invoice_ID]]),1,0)</f>
        <v>0</v>
      </c>
      <c r="Q1381">
        <f>IF(AND(NOT(ISBLANK(ReconciliationData[[#This Row],[Billed_Units]])),ReconciliationData[[#This Row],[ordered_units]]&lt;&gt;ReconciliationData[[#This Row],[Billed_Units]]),1,0)</f>
        <v>0</v>
      </c>
      <c r="R13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1">
        <f>IF(AND(NOT(ISBLANK(ReconciliationData[[#This Row],[Contract_Price]])),ReconciliationData[[#This Row],[Billed_Price]]&lt;&gt;ReconciliationData[[#This Row],[Contract_Price]]),1,0)</f>
        <v>0</v>
      </c>
      <c r="T1381">
        <f>IF(AND(NOT(ISBLANK(ReconciliationData[[#This Row],[End_Date]])),ReconciliationData[[#This Row],[Order_Date]]&gt;ReconciliationData[[#This Row],[End_Date]]),1,0)</f>
        <v>0</v>
      </c>
      <c r="U1381">
        <f>IF(AND(NOT(ISBLANK(ReconciliationData[[#This Row],[last_return_date]])),ReconciliationData[[#This Row],[last_return_date]]&gt;ReconciliationData[[#This Row],[Order_Date]]+60),1,0)</f>
        <v>0</v>
      </c>
      <c r="V1381">
        <f>IF(ReconciliationData[[#This Row],[total_returned_units]]&gt;ReconciliationData[[#This Row],[ordered_units]],1,0)</f>
        <v>0</v>
      </c>
      <c r="W13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81">
        <f>ReconciliationData[[#This Row],[Billed_Units]]*ReconciliationData[[#This Row],[Billed_Price]]</f>
        <v>37951.692499999997</v>
      </c>
      <c r="Y1381">
        <f>ReconciliationData[[#This Row],[ordered_units]]*ReconciliationData[[#This Row],[List_Price]]</f>
        <v>37951.692499999997</v>
      </c>
      <c r="Z1381">
        <f>ReconciliationData[[#This Row],[billed_revenue]]-ReconciliationData[[#This Row],[expected_revenue]]</f>
        <v>0</v>
      </c>
      <c r="AA13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81" t="str">
        <f>IF(ReconciliationData[[#This Row],[severity_score]]=0,"LOW",
 IF(ReconciliationData[[#This Row],[severity_score]]&lt;=5,"MEDIUM","HIGH"))</f>
        <v>LOW</v>
      </c>
      <c r="AC1381" t="str">
        <f>TEXT(ReconciliationData[[#This Row],[Order_Date]],"YYYY-MM")</f>
        <v>2024-01</v>
      </c>
    </row>
    <row r="1382" spans="1:29">
      <c r="A1382" t="s">
        <v>3856</v>
      </c>
      <c r="B1382" s="1">
        <v>45598</v>
      </c>
      <c r="C1382" t="s">
        <v>1784</v>
      </c>
      <c r="D1382" t="s">
        <v>1487</v>
      </c>
      <c r="E1382">
        <v>4</v>
      </c>
      <c r="F1382" t="s">
        <v>3857</v>
      </c>
      <c r="G1382">
        <v>4</v>
      </c>
      <c r="H1382">
        <v>273.24680000000001</v>
      </c>
      <c r="N1382">
        <v>273.24680000000001</v>
      </c>
      <c r="O1382" s="1">
        <v>45103</v>
      </c>
      <c r="P1382">
        <f>IF(ISBLANK(ReconciliationData[[#This Row],[Invoice_ID]]),1,0)</f>
        <v>0</v>
      </c>
      <c r="Q1382">
        <f>IF(AND(NOT(ISBLANK(ReconciliationData[[#This Row],[Billed_Units]])),ReconciliationData[[#This Row],[ordered_units]]&lt;&gt;ReconciliationData[[#This Row],[Billed_Units]]),1,0)</f>
        <v>0</v>
      </c>
      <c r="R13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2">
        <f>IF(AND(NOT(ISBLANK(ReconciliationData[[#This Row],[Contract_Price]])),ReconciliationData[[#This Row],[Billed_Price]]&lt;&gt;ReconciliationData[[#This Row],[Contract_Price]]),1,0)</f>
        <v>0</v>
      </c>
      <c r="T1382">
        <f>IF(AND(NOT(ISBLANK(ReconciliationData[[#This Row],[End_Date]])),ReconciliationData[[#This Row],[Order_Date]]&gt;ReconciliationData[[#This Row],[End_Date]]),1,0)</f>
        <v>0</v>
      </c>
      <c r="U1382">
        <f>IF(AND(NOT(ISBLANK(ReconciliationData[[#This Row],[last_return_date]])),ReconciliationData[[#This Row],[last_return_date]]&gt;ReconciliationData[[#This Row],[Order_Date]]+60),1,0)</f>
        <v>0</v>
      </c>
      <c r="V1382">
        <f>IF(ReconciliationData[[#This Row],[total_returned_units]]&gt;ReconciliationData[[#This Row],[ordered_units]],1,0)</f>
        <v>0</v>
      </c>
      <c r="W13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82">
        <f>ReconciliationData[[#This Row],[Billed_Units]]*ReconciliationData[[#This Row],[Billed_Price]]</f>
        <v>1092.9872</v>
      </c>
      <c r="Y1382">
        <f>ReconciliationData[[#This Row],[ordered_units]]*ReconciliationData[[#This Row],[List_Price]]</f>
        <v>1092.9872</v>
      </c>
      <c r="Z1382">
        <f>ReconciliationData[[#This Row],[billed_revenue]]-ReconciliationData[[#This Row],[expected_revenue]]</f>
        <v>0</v>
      </c>
      <c r="AA13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82" t="str">
        <f>IF(ReconciliationData[[#This Row],[severity_score]]=0,"LOW",
 IF(ReconciliationData[[#This Row],[severity_score]]&lt;=5,"MEDIUM","HIGH"))</f>
        <v>LOW</v>
      </c>
      <c r="AC1382" t="str">
        <f>TEXT(ReconciliationData[[#This Row],[Order_Date]],"YYYY-MM")</f>
        <v>2024-11</v>
      </c>
    </row>
    <row r="1383" spans="1:29">
      <c r="A1383" t="s">
        <v>3858</v>
      </c>
      <c r="B1383" s="1">
        <v>44927</v>
      </c>
      <c r="C1383" t="s">
        <v>1784</v>
      </c>
      <c r="D1383" t="s">
        <v>891</v>
      </c>
      <c r="E1383">
        <v>21</v>
      </c>
      <c r="F1383" t="s">
        <v>3859</v>
      </c>
      <c r="G1383">
        <v>21</v>
      </c>
      <c r="H1383">
        <v>686.97910000000002</v>
      </c>
      <c r="N1383">
        <v>686.97910000000002</v>
      </c>
      <c r="O1383" s="1">
        <v>44790</v>
      </c>
      <c r="P1383">
        <f>IF(ISBLANK(ReconciliationData[[#This Row],[Invoice_ID]]),1,0)</f>
        <v>0</v>
      </c>
      <c r="Q1383">
        <f>IF(AND(NOT(ISBLANK(ReconciliationData[[#This Row],[Billed_Units]])),ReconciliationData[[#This Row],[ordered_units]]&lt;&gt;ReconciliationData[[#This Row],[Billed_Units]]),1,0)</f>
        <v>0</v>
      </c>
      <c r="R13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3">
        <f>IF(AND(NOT(ISBLANK(ReconciliationData[[#This Row],[Contract_Price]])),ReconciliationData[[#This Row],[Billed_Price]]&lt;&gt;ReconciliationData[[#This Row],[Contract_Price]]),1,0)</f>
        <v>0</v>
      </c>
      <c r="T1383">
        <f>IF(AND(NOT(ISBLANK(ReconciliationData[[#This Row],[End_Date]])),ReconciliationData[[#This Row],[Order_Date]]&gt;ReconciliationData[[#This Row],[End_Date]]),1,0)</f>
        <v>0</v>
      </c>
      <c r="U1383">
        <f>IF(AND(NOT(ISBLANK(ReconciliationData[[#This Row],[last_return_date]])),ReconciliationData[[#This Row],[last_return_date]]&gt;ReconciliationData[[#This Row],[Order_Date]]+60),1,0)</f>
        <v>0</v>
      </c>
      <c r="V1383">
        <f>IF(ReconciliationData[[#This Row],[total_returned_units]]&gt;ReconciliationData[[#This Row],[ordered_units]],1,0)</f>
        <v>0</v>
      </c>
      <c r="W13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83">
        <f>ReconciliationData[[#This Row],[Billed_Units]]*ReconciliationData[[#This Row],[Billed_Price]]</f>
        <v>14426.561100000001</v>
      </c>
      <c r="Y1383">
        <f>ReconciliationData[[#This Row],[ordered_units]]*ReconciliationData[[#This Row],[List_Price]]</f>
        <v>14426.561100000001</v>
      </c>
      <c r="Z1383">
        <f>ReconciliationData[[#This Row],[billed_revenue]]-ReconciliationData[[#This Row],[expected_revenue]]</f>
        <v>0</v>
      </c>
      <c r="AA13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83" t="str">
        <f>IF(ReconciliationData[[#This Row],[severity_score]]=0,"LOW",
 IF(ReconciliationData[[#This Row],[severity_score]]&lt;=5,"MEDIUM","HIGH"))</f>
        <v>LOW</v>
      </c>
      <c r="AC1383" t="str">
        <f>TEXT(ReconciliationData[[#This Row],[Order_Date]],"YYYY-MM")</f>
        <v>2023-01</v>
      </c>
    </row>
    <row r="1384" spans="1:29">
      <c r="A1384" t="s">
        <v>3860</v>
      </c>
      <c r="B1384" s="1">
        <v>45035</v>
      </c>
      <c r="C1384" t="s">
        <v>165</v>
      </c>
      <c r="D1384" t="s">
        <v>937</v>
      </c>
      <c r="E1384">
        <v>13</v>
      </c>
      <c r="F1384" t="s">
        <v>3861</v>
      </c>
      <c r="G1384">
        <v>13</v>
      </c>
      <c r="H1384">
        <v>431.81990000000002</v>
      </c>
      <c r="I1384">
        <v>8</v>
      </c>
      <c r="J1384" s="1">
        <v>45673</v>
      </c>
      <c r="N1384">
        <v>431.81990000000002</v>
      </c>
      <c r="O1384" s="1">
        <v>44807</v>
      </c>
      <c r="P1384">
        <f>IF(ISBLANK(ReconciliationData[[#This Row],[Invoice_ID]]),1,0)</f>
        <v>0</v>
      </c>
      <c r="Q1384">
        <f>IF(AND(NOT(ISBLANK(ReconciliationData[[#This Row],[Billed_Units]])),ReconciliationData[[#This Row],[ordered_units]]&lt;&gt;ReconciliationData[[#This Row],[Billed_Units]]),1,0)</f>
        <v>0</v>
      </c>
      <c r="R13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4">
        <f>IF(AND(NOT(ISBLANK(ReconciliationData[[#This Row],[Contract_Price]])),ReconciliationData[[#This Row],[Billed_Price]]&lt;&gt;ReconciliationData[[#This Row],[Contract_Price]]),1,0)</f>
        <v>0</v>
      </c>
      <c r="T1384">
        <f>IF(AND(NOT(ISBLANK(ReconciliationData[[#This Row],[End_Date]])),ReconciliationData[[#This Row],[Order_Date]]&gt;ReconciliationData[[#This Row],[End_Date]]),1,0)</f>
        <v>0</v>
      </c>
      <c r="U1384">
        <f>IF(AND(NOT(ISBLANK(ReconciliationData[[#This Row],[last_return_date]])),ReconciliationData[[#This Row],[last_return_date]]&gt;ReconciliationData[[#This Row],[Order_Date]]+60),1,0)</f>
        <v>1</v>
      </c>
      <c r="V1384">
        <f>IF(ReconciliationData[[#This Row],[total_returned_units]]&gt;ReconciliationData[[#This Row],[ordered_units]],1,0)</f>
        <v>0</v>
      </c>
      <c r="W13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84">
        <f>ReconciliationData[[#This Row],[Billed_Units]]*ReconciliationData[[#This Row],[Billed_Price]]</f>
        <v>5613.6587</v>
      </c>
      <c r="Y1384">
        <f>ReconciliationData[[#This Row],[ordered_units]]*ReconciliationData[[#This Row],[List_Price]]</f>
        <v>5613.6587</v>
      </c>
      <c r="Z1384">
        <f>ReconciliationData[[#This Row],[billed_revenue]]-ReconciliationData[[#This Row],[expected_revenue]]</f>
        <v>0</v>
      </c>
      <c r="AA13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384" t="str">
        <f>IF(ReconciliationData[[#This Row],[severity_score]]=0,"LOW",
 IF(ReconciliationData[[#This Row],[severity_score]]&lt;=5,"MEDIUM","HIGH"))</f>
        <v>MEDIUM</v>
      </c>
      <c r="AC1384" t="str">
        <f>TEXT(ReconciliationData[[#This Row],[Order_Date]],"YYYY-MM")</f>
        <v>2023-04</v>
      </c>
    </row>
    <row r="1385" spans="1:29">
      <c r="A1385" t="s">
        <v>3862</v>
      </c>
      <c r="B1385" s="1">
        <v>45219</v>
      </c>
      <c r="C1385" t="s">
        <v>1741</v>
      </c>
      <c r="D1385" t="s">
        <v>329</v>
      </c>
      <c r="E1385">
        <v>154</v>
      </c>
      <c r="F1385" t="s">
        <v>3863</v>
      </c>
      <c r="G1385">
        <v>154</v>
      </c>
      <c r="H1385">
        <v>385.42419999999998</v>
      </c>
      <c r="N1385">
        <v>385.42419999999998</v>
      </c>
      <c r="O1385" s="1">
        <v>45079</v>
      </c>
      <c r="P1385">
        <f>IF(ISBLANK(ReconciliationData[[#This Row],[Invoice_ID]]),1,0)</f>
        <v>0</v>
      </c>
      <c r="Q1385">
        <f>IF(AND(NOT(ISBLANK(ReconciliationData[[#This Row],[Billed_Units]])),ReconciliationData[[#This Row],[ordered_units]]&lt;&gt;ReconciliationData[[#This Row],[Billed_Units]]),1,0)</f>
        <v>0</v>
      </c>
      <c r="R13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5">
        <f>IF(AND(NOT(ISBLANK(ReconciliationData[[#This Row],[Contract_Price]])),ReconciliationData[[#This Row],[Billed_Price]]&lt;&gt;ReconciliationData[[#This Row],[Contract_Price]]),1,0)</f>
        <v>0</v>
      </c>
      <c r="T1385">
        <f>IF(AND(NOT(ISBLANK(ReconciliationData[[#This Row],[End_Date]])),ReconciliationData[[#This Row],[Order_Date]]&gt;ReconciliationData[[#This Row],[End_Date]]),1,0)</f>
        <v>0</v>
      </c>
      <c r="U1385">
        <f>IF(AND(NOT(ISBLANK(ReconciliationData[[#This Row],[last_return_date]])),ReconciliationData[[#This Row],[last_return_date]]&gt;ReconciliationData[[#This Row],[Order_Date]]+60),1,0)</f>
        <v>0</v>
      </c>
      <c r="V1385">
        <f>IF(ReconciliationData[[#This Row],[total_returned_units]]&gt;ReconciliationData[[#This Row],[ordered_units]],1,0)</f>
        <v>0</v>
      </c>
      <c r="W13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85">
        <f>ReconciliationData[[#This Row],[Billed_Units]]*ReconciliationData[[#This Row],[Billed_Price]]</f>
        <v>59355.326799999995</v>
      </c>
      <c r="Y1385">
        <f>ReconciliationData[[#This Row],[ordered_units]]*ReconciliationData[[#This Row],[List_Price]]</f>
        <v>59355.326799999995</v>
      </c>
      <c r="Z1385">
        <f>ReconciliationData[[#This Row],[billed_revenue]]-ReconciliationData[[#This Row],[expected_revenue]]</f>
        <v>0</v>
      </c>
      <c r="AA13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85" t="str">
        <f>IF(ReconciliationData[[#This Row],[severity_score]]=0,"LOW",
 IF(ReconciliationData[[#This Row],[severity_score]]&lt;=5,"MEDIUM","HIGH"))</f>
        <v>LOW</v>
      </c>
      <c r="AC1385" t="str">
        <f>TEXT(ReconciliationData[[#This Row],[Order_Date]],"YYYY-MM")</f>
        <v>2023-10</v>
      </c>
    </row>
    <row r="1386" spans="1:29">
      <c r="A1386" t="s">
        <v>3864</v>
      </c>
      <c r="B1386" s="1">
        <v>44990</v>
      </c>
      <c r="C1386" t="s">
        <v>222</v>
      </c>
      <c r="D1386" t="s">
        <v>674</v>
      </c>
      <c r="E1386">
        <v>56</v>
      </c>
      <c r="F1386" t="s">
        <v>3865</v>
      </c>
      <c r="G1386">
        <v>56</v>
      </c>
      <c r="H1386">
        <v>1032.2340000000002</v>
      </c>
      <c r="N1386">
        <v>1032.2340000000002</v>
      </c>
      <c r="O1386" s="1">
        <v>44798</v>
      </c>
      <c r="P1386">
        <f>IF(ISBLANK(ReconciliationData[[#This Row],[Invoice_ID]]),1,0)</f>
        <v>0</v>
      </c>
      <c r="Q1386">
        <f>IF(AND(NOT(ISBLANK(ReconciliationData[[#This Row],[Billed_Units]])),ReconciliationData[[#This Row],[ordered_units]]&lt;&gt;ReconciliationData[[#This Row],[Billed_Units]]),1,0)</f>
        <v>0</v>
      </c>
      <c r="R13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6">
        <f>IF(AND(NOT(ISBLANK(ReconciliationData[[#This Row],[Contract_Price]])),ReconciliationData[[#This Row],[Billed_Price]]&lt;&gt;ReconciliationData[[#This Row],[Contract_Price]]),1,0)</f>
        <v>0</v>
      </c>
      <c r="T1386">
        <f>IF(AND(NOT(ISBLANK(ReconciliationData[[#This Row],[End_Date]])),ReconciliationData[[#This Row],[Order_Date]]&gt;ReconciliationData[[#This Row],[End_Date]]),1,0)</f>
        <v>0</v>
      </c>
      <c r="U1386">
        <f>IF(AND(NOT(ISBLANK(ReconciliationData[[#This Row],[last_return_date]])),ReconciliationData[[#This Row],[last_return_date]]&gt;ReconciliationData[[#This Row],[Order_Date]]+60),1,0)</f>
        <v>0</v>
      </c>
      <c r="V1386">
        <f>IF(ReconciliationData[[#This Row],[total_returned_units]]&gt;ReconciliationData[[#This Row],[ordered_units]],1,0)</f>
        <v>0</v>
      </c>
      <c r="W13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86">
        <f>ReconciliationData[[#This Row],[Billed_Units]]*ReconciliationData[[#This Row],[Billed_Price]]</f>
        <v>57805.104000000007</v>
      </c>
      <c r="Y1386">
        <f>ReconciliationData[[#This Row],[ordered_units]]*ReconciliationData[[#This Row],[List_Price]]</f>
        <v>57805.104000000007</v>
      </c>
      <c r="Z1386">
        <f>ReconciliationData[[#This Row],[billed_revenue]]-ReconciliationData[[#This Row],[expected_revenue]]</f>
        <v>0</v>
      </c>
      <c r="AA13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86" t="str">
        <f>IF(ReconciliationData[[#This Row],[severity_score]]=0,"LOW",
 IF(ReconciliationData[[#This Row],[severity_score]]&lt;=5,"MEDIUM","HIGH"))</f>
        <v>LOW</v>
      </c>
      <c r="AC1386" t="str">
        <f>TEXT(ReconciliationData[[#This Row],[Order_Date]],"YYYY-MM")</f>
        <v>2023-03</v>
      </c>
    </row>
    <row r="1387" spans="1:29">
      <c r="A1387" t="s">
        <v>3866</v>
      </c>
      <c r="B1387" s="1">
        <v>45386</v>
      </c>
      <c r="C1387" t="s">
        <v>670</v>
      </c>
      <c r="D1387" t="s">
        <v>891</v>
      </c>
      <c r="E1387">
        <v>185</v>
      </c>
      <c r="F1387" t="s">
        <v>3867</v>
      </c>
      <c r="G1387">
        <v>185</v>
      </c>
      <c r="H1387">
        <v>680.30940000000021</v>
      </c>
      <c r="N1387">
        <v>680.30940000000021</v>
      </c>
      <c r="O1387" s="1">
        <v>44934</v>
      </c>
      <c r="P1387">
        <f>IF(ISBLANK(ReconciliationData[[#This Row],[Invoice_ID]]),1,0)</f>
        <v>0</v>
      </c>
      <c r="Q1387">
        <f>IF(AND(NOT(ISBLANK(ReconciliationData[[#This Row],[Billed_Units]])),ReconciliationData[[#This Row],[ordered_units]]&lt;&gt;ReconciliationData[[#This Row],[Billed_Units]]),1,0)</f>
        <v>0</v>
      </c>
      <c r="R13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7">
        <f>IF(AND(NOT(ISBLANK(ReconciliationData[[#This Row],[Contract_Price]])),ReconciliationData[[#This Row],[Billed_Price]]&lt;&gt;ReconciliationData[[#This Row],[Contract_Price]]),1,0)</f>
        <v>0</v>
      </c>
      <c r="T1387">
        <f>IF(AND(NOT(ISBLANK(ReconciliationData[[#This Row],[End_Date]])),ReconciliationData[[#This Row],[Order_Date]]&gt;ReconciliationData[[#This Row],[End_Date]]),1,0)</f>
        <v>0</v>
      </c>
      <c r="U1387">
        <f>IF(AND(NOT(ISBLANK(ReconciliationData[[#This Row],[last_return_date]])),ReconciliationData[[#This Row],[last_return_date]]&gt;ReconciliationData[[#This Row],[Order_Date]]+60),1,0)</f>
        <v>0</v>
      </c>
      <c r="V1387">
        <f>IF(ReconciliationData[[#This Row],[total_returned_units]]&gt;ReconciliationData[[#This Row],[ordered_units]],1,0)</f>
        <v>0</v>
      </c>
      <c r="W13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87">
        <f>ReconciliationData[[#This Row],[Billed_Units]]*ReconciliationData[[#This Row],[Billed_Price]]</f>
        <v>125857.23900000005</v>
      </c>
      <c r="Y1387">
        <f>ReconciliationData[[#This Row],[ordered_units]]*ReconciliationData[[#This Row],[List_Price]]</f>
        <v>125857.23900000005</v>
      </c>
      <c r="Z1387">
        <f>ReconciliationData[[#This Row],[billed_revenue]]-ReconciliationData[[#This Row],[expected_revenue]]</f>
        <v>0</v>
      </c>
      <c r="AA13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87" t="str">
        <f>IF(ReconciliationData[[#This Row],[severity_score]]=0,"LOW",
 IF(ReconciliationData[[#This Row],[severity_score]]&lt;=5,"MEDIUM","HIGH"))</f>
        <v>LOW</v>
      </c>
      <c r="AC1387" t="str">
        <f>TEXT(ReconciliationData[[#This Row],[Order_Date]],"YYYY-MM")</f>
        <v>2024-04</v>
      </c>
    </row>
    <row r="1388" spans="1:29">
      <c r="A1388" t="s">
        <v>3868</v>
      </c>
      <c r="B1388" s="1">
        <v>45448</v>
      </c>
      <c r="C1388" t="s">
        <v>1375</v>
      </c>
      <c r="D1388" t="s">
        <v>408</v>
      </c>
      <c r="E1388">
        <v>140</v>
      </c>
      <c r="F1388" t="s">
        <v>3869</v>
      </c>
      <c r="G1388">
        <v>140</v>
      </c>
      <c r="H1388">
        <v>660.96040000000005</v>
      </c>
      <c r="N1388">
        <v>660.96040000000005</v>
      </c>
      <c r="O1388" s="1">
        <v>44947</v>
      </c>
      <c r="P1388">
        <f>IF(ISBLANK(ReconciliationData[[#This Row],[Invoice_ID]]),1,0)</f>
        <v>0</v>
      </c>
      <c r="Q1388">
        <f>IF(AND(NOT(ISBLANK(ReconciliationData[[#This Row],[Billed_Units]])),ReconciliationData[[#This Row],[ordered_units]]&lt;&gt;ReconciliationData[[#This Row],[Billed_Units]]),1,0)</f>
        <v>0</v>
      </c>
      <c r="R13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8">
        <f>IF(AND(NOT(ISBLANK(ReconciliationData[[#This Row],[Contract_Price]])),ReconciliationData[[#This Row],[Billed_Price]]&lt;&gt;ReconciliationData[[#This Row],[Contract_Price]]),1,0)</f>
        <v>0</v>
      </c>
      <c r="T1388">
        <f>IF(AND(NOT(ISBLANK(ReconciliationData[[#This Row],[End_Date]])),ReconciliationData[[#This Row],[Order_Date]]&gt;ReconciliationData[[#This Row],[End_Date]]),1,0)</f>
        <v>0</v>
      </c>
      <c r="U1388">
        <f>IF(AND(NOT(ISBLANK(ReconciliationData[[#This Row],[last_return_date]])),ReconciliationData[[#This Row],[last_return_date]]&gt;ReconciliationData[[#This Row],[Order_Date]]+60),1,0)</f>
        <v>0</v>
      </c>
      <c r="V1388">
        <f>IF(ReconciliationData[[#This Row],[total_returned_units]]&gt;ReconciliationData[[#This Row],[ordered_units]],1,0)</f>
        <v>0</v>
      </c>
      <c r="W13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88">
        <f>ReconciliationData[[#This Row],[Billed_Units]]*ReconciliationData[[#This Row],[Billed_Price]]</f>
        <v>92534.456000000006</v>
      </c>
      <c r="Y1388">
        <f>ReconciliationData[[#This Row],[ordered_units]]*ReconciliationData[[#This Row],[List_Price]]</f>
        <v>92534.456000000006</v>
      </c>
      <c r="Z1388">
        <f>ReconciliationData[[#This Row],[billed_revenue]]-ReconciliationData[[#This Row],[expected_revenue]]</f>
        <v>0</v>
      </c>
      <c r="AA13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88" t="str">
        <f>IF(ReconciliationData[[#This Row],[severity_score]]=0,"LOW",
 IF(ReconciliationData[[#This Row],[severity_score]]&lt;=5,"MEDIUM","HIGH"))</f>
        <v>LOW</v>
      </c>
      <c r="AC1388" t="str">
        <f>TEXT(ReconciliationData[[#This Row],[Order_Date]],"YYYY-MM")</f>
        <v>2024-06</v>
      </c>
    </row>
    <row r="1389" spans="1:29">
      <c r="A1389" t="s">
        <v>3870</v>
      </c>
      <c r="B1389" s="1">
        <v>45380</v>
      </c>
      <c r="C1389" t="s">
        <v>3632</v>
      </c>
      <c r="D1389" t="s">
        <v>958</v>
      </c>
      <c r="E1389">
        <v>183</v>
      </c>
      <c r="F1389" t="s">
        <v>3871</v>
      </c>
      <c r="G1389">
        <v>183</v>
      </c>
      <c r="H1389">
        <v>147.87150000000003</v>
      </c>
      <c r="N1389">
        <v>147.87150000000003</v>
      </c>
      <c r="O1389" s="1">
        <v>44972</v>
      </c>
      <c r="P1389">
        <f>IF(ISBLANK(ReconciliationData[[#This Row],[Invoice_ID]]),1,0)</f>
        <v>0</v>
      </c>
      <c r="Q1389">
        <f>IF(AND(NOT(ISBLANK(ReconciliationData[[#This Row],[Billed_Units]])),ReconciliationData[[#This Row],[ordered_units]]&lt;&gt;ReconciliationData[[#This Row],[Billed_Units]]),1,0)</f>
        <v>0</v>
      </c>
      <c r="R13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89">
        <f>IF(AND(NOT(ISBLANK(ReconciliationData[[#This Row],[Contract_Price]])),ReconciliationData[[#This Row],[Billed_Price]]&lt;&gt;ReconciliationData[[#This Row],[Contract_Price]]),1,0)</f>
        <v>0</v>
      </c>
      <c r="T1389">
        <f>IF(AND(NOT(ISBLANK(ReconciliationData[[#This Row],[End_Date]])),ReconciliationData[[#This Row],[Order_Date]]&gt;ReconciliationData[[#This Row],[End_Date]]),1,0)</f>
        <v>0</v>
      </c>
      <c r="U1389">
        <f>IF(AND(NOT(ISBLANK(ReconciliationData[[#This Row],[last_return_date]])),ReconciliationData[[#This Row],[last_return_date]]&gt;ReconciliationData[[#This Row],[Order_Date]]+60),1,0)</f>
        <v>0</v>
      </c>
      <c r="V1389">
        <f>IF(ReconciliationData[[#This Row],[total_returned_units]]&gt;ReconciliationData[[#This Row],[ordered_units]],1,0)</f>
        <v>0</v>
      </c>
      <c r="W13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89">
        <f>ReconciliationData[[#This Row],[Billed_Units]]*ReconciliationData[[#This Row],[Billed_Price]]</f>
        <v>27060.484500000006</v>
      </c>
      <c r="Y1389">
        <f>ReconciliationData[[#This Row],[ordered_units]]*ReconciliationData[[#This Row],[List_Price]]</f>
        <v>27060.484500000006</v>
      </c>
      <c r="Z1389">
        <f>ReconciliationData[[#This Row],[billed_revenue]]-ReconciliationData[[#This Row],[expected_revenue]]</f>
        <v>0</v>
      </c>
      <c r="AA13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89" t="str">
        <f>IF(ReconciliationData[[#This Row],[severity_score]]=0,"LOW",
 IF(ReconciliationData[[#This Row],[severity_score]]&lt;=5,"MEDIUM","HIGH"))</f>
        <v>LOW</v>
      </c>
      <c r="AC1389" t="str">
        <f>TEXT(ReconciliationData[[#This Row],[Order_Date]],"YYYY-MM")</f>
        <v>2024-03</v>
      </c>
    </row>
    <row r="1390" spans="1:29">
      <c r="A1390" t="s">
        <v>3872</v>
      </c>
      <c r="B1390" s="1">
        <v>45184</v>
      </c>
      <c r="C1390" t="s">
        <v>609</v>
      </c>
      <c r="D1390" t="s">
        <v>628</v>
      </c>
      <c r="E1390">
        <v>41</v>
      </c>
      <c r="F1390" t="s">
        <v>3873</v>
      </c>
      <c r="G1390">
        <v>41</v>
      </c>
      <c r="H1390">
        <v>322.71780000000001</v>
      </c>
      <c r="N1390">
        <v>322.71780000000001</v>
      </c>
      <c r="O1390" s="1">
        <v>45169</v>
      </c>
      <c r="P1390">
        <f>IF(ISBLANK(ReconciliationData[[#This Row],[Invoice_ID]]),1,0)</f>
        <v>0</v>
      </c>
      <c r="Q1390">
        <f>IF(AND(NOT(ISBLANK(ReconciliationData[[#This Row],[Billed_Units]])),ReconciliationData[[#This Row],[ordered_units]]&lt;&gt;ReconciliationData[[#This Row],[Billed_Units]]),1,0)</f>
        <v>0</v>
      </c>
      <c r="R13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90">
        <f>IF(AND(NOT(ISBLANK(ReconciliationData[[#This Row],[Contract_Price]])),ReconciliationData[[#This Row],[Billed_Price]]&lt;&gt;ReconciliationData[[#This Row],[Contract_Price]]),1,0)</f>
        <v>0</v>
      </c>
      <c r="T1390">
        <f>IF(AND(NOT(ISBLANK(ReconciliationData[[#This Row],[End_Date]])),ReconciliationData[[#This Row],[Order_Date]]&gt;ReconciliationData[[#This Row],[End_Date]]),1,0)</f>
        <v>0</v>
      </c>
      <c r="U1390">
        <f>IF(AND(NOT(ISBLANK(ReconciliationData[[#This Row],[last_return_date]])),ReconciliationData[[#This Row],[last_return_date]]&gt;ReconciliationData[[#This Row],[Order_Date]]+60),1,0)</f>
        <v>0</v>
      </c>
      <c r="V1390">
        <f>IF(ReconciliationData[[#This Row],[total_returned_units]]&gt;ReconciliationData[[#This Row],[ordered_units]],1,0)</f>
        <v>0</v>
      </c>
      <c r="W13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90">
        <f>ReconciliationData[[#This Row],[Billed_Units]]*ReconciliationData[[#This Row],[Billed_Price]]</f>
        <v>13231.4298</v>
      </c>
      <c r="Y1390">
        <f>ReconciliationData[[#This Row],[ordered_units]]*ReconciliationData[[#This Row],[List_Price]]</f>
        <v>13231.4298</v>
      </c>
      <c r="Z1390">
        <f>ReconciliationData[[#This Row],[billed_revenue]]-ReconciliationData[[#This Row],[expected_revenue]]</f>
        <v>0</v>
      </c>
      <c r="AA13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90" t="str">
        <f>IF(ReconciliationData[[#This Row],[severity_score]]=0,"LOW",
 IF(ReconciliationData[[#This Row],[severity_score]]&lt;=5,"MEDIUM","HIGH"))</f>
        <v>LOW</v>
      </c>
      <c r="AC1390" t="str">
        <f>TEXT(ReconciliationData[[#This Row],[Order_Date]],"YYYY-MM")</f>
        <v>2023-09</v>
      </c>
    </row>
    <row r="1391" spans="1:29">
      <c r="A1391" t="s">
        <v>3874</v>
      </c>
      <c r="B1391" s="1">
        <v>45603</v>
      </c>
      <c r="C1391" t="s">
        <v>3875</v>
      </c>
      <c r="D1391" t="s">
        <v>321</v>
      </c>
      <c r="E1391">
        <v>150</v>
      </c>
      <c r="F1391" t="s">
        <v>3876</v>
      </c>
      <c r="G1391">
        <v>150</v>
      </c>
      <c r="H1391">
        <v>169.22900000000001</v>
      </c>
      <c r="I1391">
        <v>15</v>
      </c>
      <c r="J1391" s="1">
        <v>45388</v>
      </c>
      <c r="N1391">
        <v>169.22900000000001</v>
      </c>
      <c r="O1391" s="1">
        <v>45039</v>
      </c>
      <c r="P1391">
        <f>IF(ISBLANK(ReconciliationData[[#This Row],[Invoice_ID]]),1,0)</f>
        <v>0</v>
      </c>
      <c r="Q1391">
        <f>IF(AND(NOT(ISBLANK(ReconciliationData[[#This Row],[Billed_Units]])),ReconciliationData[[#This Row],[ordered_units]]&lt;&gt;ReconciliationData[[#This Row],[Billed_Units]]),1,0)</f>
        <v>0</v>
      </c>
      <c r="R13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91">
        <f>IF(AND(NOT(ISBLANK(ReconciliationData[[#This Row],[Contract_Price]])),ReconciliationData[[#This Row],[Billed_Price]]&lt;&gt;ReconciliationData[[#This Row],[Contract_Price]]),1,0)</f>
        <v>0</v>
      </c>
      <c r="T1391">
        <f>IF(AND(NOT(ISBLANK(ReconciliationData[[#This Row],[End_Date]])),ReconciliationData[[#This Row],[Order_Date]]&gt;ReconciliationData[[#This Row],[End_Date]]),1,0)</f>
        <v>0</v>
      </c>
      <c r="U1391">
        <f>IF(AND(NOT(ISBLANK(ReconciliationData[[#This Row],[last_return_date]])),ReconciliationData[[#This Row],[last_return_date]]&gt;ReconciliationData[[#This Row],[Order_Date]]+60),1,0)</f>
        <v>0</v>
      </c>
      <c r="V1391">
        <f>IF(ReconciliationData[[#This Row],[total_returned_units]]&gt;ReconciliationData[[#This Row],[ordered_units]],1,0)</f>
        <v>0</v>
      </c>
      <c r="W13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91">
        <f>ReconciliationData[[#This Row],[Billed_Units]]*ReconciliationData[[#This Row],[Billed_Price]]</f>
        <v>25384.350000000002</v>
      </c>
      <c r="Y1391">
        <f>ReconciliationData[[#This Row],[ordered_units]]*ReconciliationData[[#This Row],[List_Price]]</f>
        <v>25384.350000000002</v>
      </c>
      <c r="Z1391">
        <f>ReconciliationData[[#This Row],[billed_revenue]]-ReconciliationData[[#This Row],[expected_revenue]]</f>
        <v>0</v>
      </c>
      <c r="AA13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91" t="str">
        <f>IF(ReconciliationData[[#This Row],[severity_score]]=0,"LOW",
 IF(ReconciliationData[[#This Row],[severity_score]]&lt;=5,"MEDIUM","HIGH"))</f>
        <v>LOW</v>
      </c>
      <c r="AC1391" t="str">
        <f>TEXT(ReconciliationData[[#This Row],[Order_Date]],"YYYY-MM")</f>
        <v>2024-11</v>
      </c>
    </row>
    <row r="1392" spans="1:29">
      <c r="A1392" t="s">
        <v>3877</v>
      </c>
      <c r="B1392" s="1">
        <v>44984</v>
      </c>
      <c r="C1392" t="s">
        <v>3878</v>
      </c>
      <c r="D1392" t="s">
        <v>2645</v>
      </c>
      <c r="E1392">
        <v>20</v>
      </c>
      <c r="F1392" t="s">
        <v>3879</v>
      </c>
      <c r="G1392">
        <v>20</v>
      </c>
      <c r="H1392">
        <v>112.0184</v>
      </c>
      <c r="N1392">
        <v>112.0184</v>
      </c>
      <c r="O1392" s="1">
        <v>44905</v>
      </c>
      <c r="P1392">
        <f>IF(ISBLANK(ReconciliationData[[#This Row],[Invoice_ID]]),1,0)</f>
        <v>0</v>
      </c>
      <c r="Q1392">
        <f>IF(AND(NOT(ISBLANK(ReconciliationData[[#This Row],[Billed_Units]])),ReconciliationData[[#This Row],[ordered_units]]&lt;&gt;ReconciliationData[[#This Row],[Billed_Units]]),1,0)</f>
        <v>0</v>
      </c>
      <c r="R13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92">
        <f>IF(AND(NOT(ISBLANK(ReconciliationData[[#This Row],[Contract_Price]])),ReconciliationData[[#This Row],[Billed_Price]]&lt;&gt;ReconciliationData[[#This Row],[Contract_Price]]),1,0)</f>
        <v>0</v>
      </c>
      <c r="T1392">
        <f>IF(AND(NOT(ISBLANK(ReconciliationData[[#This Row],[End_Date]])),ReconciliationData[[#This Row],[Order_Date]]&gt;ReconciliationData[[#This Row],[End_Date]]),1,0)</f>
        <v>0</v>
      </c>
      <c r="U1392">
        <f>IF(AND(NOT(ISBLANK(ReconciliationData[[#This Row],[last_return_date]])),ReconciliationData[[#This Row],[last_return_date]]&gt;ReconciliationData[[#This Row],[Order_Date]]+60),1,0)</f>
        <v>0</v>
      </c>
      <c r="V1392">
        <f>IF(ReconciliationData[[#This Row],[total_returned_units]]&gt;ReconciliationData[[#This Row],[ordered_units]],1,0)</f>
        <v>0</v>
      </c>
      <c r="W13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92">
        <f>ReconciliationData[[#This Row],[Billed_Units]]*ReconciliationData[[#This Row],[Billed_Price]]</f>
        <v>2240.3679999999999</v>
      </c>
      <c r="Y1392">
        <f>ReconciliationData[[#This Row],[ordered_units]]*ReconciliationData[[#This Row],[List_Price]]</f>
        <v>2240.3679999999999</v>
      </c>
      <c r="Z1392">
        <f>ReconciliationData[[#This Row],[billed_revenue]]-ReconciliationData[[#This Row],[expected_revenue]]</f>
        <v>0</v>
      </c>
      <c r="AA13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92" t="str">
        <f>IF(ReconciliationData[[#This Row],[severity_score]]=0,"LOW",
 IF(ReconciliationData[[#This Row],[severity_score]]&lt;=5,"MEDIUM","HIGH"))</f>
        <v>LOW</v>
      </c>
      <c r="AC1392" t="str">
        <f>TEXT(ReconciliationData[[#This Row],[Order_Date]],"YYYY-MM")</f>
        <v>2023-02</v>
      </c>
    </row>
    <row r="1393" spans="1:29">
      <c r="A1393" t="s">
        <v>3880</v>
      </c>
      <c r="B1393" s="1">
        <v>45019</v>
      </c>
      <c r="C1393" t="s">
        <v>511</v>
      </c>
      <c r="D1393" t="s">
        <v>1754</v>
      </c>
      <c r="E1393">
        <v>139</v>
      </c>
      <c r="F1393" t="s">
        <v>3881</v>
      </c>
      <c r="G1393">
        <v>139</v>
      </c>
      <c r="H1393">
        <v>1114.3462</v>
      </c>
      <c r="N1393">
        <v>1114.3462</v>
      </c>
      <c r="O1393" s="1">
        <v>45015</v>
      </c>
      <c r="P1393">
        <f>IF(ISBLANK(ReconciliationData[[#This Row],[Invoice_ID]]),1,0)</f>
        <v>0</v>
      </c>
      <c r="Q1393">
        <f>IF(AND(NOT(ISBLANK(ReconciliationData[[#This Row],[Billed_Units]])),ReconciliationData[[#This Row],[ordered_units]]&lt;&gt;ReconciliationData[[#This Row],[Billed_Units]]),1,0)</f>
        <v>0</v>
      </c>
      <c r="R13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93">
        <f>IF(AND(NOT(ISBLANK(ReconciliationData[[#This Row],[Contract_Price]])),ReconciliationData[[#This Row],[Billed_Price]]&lt;&gt;ReconciliationData[[#This Row],[Contract_Price]]),1,0)</f>
        <v>0</v>
      </c>
      <c r="T1393">
        <f>IF(AND(NOT(ISBLANK(ReconciliationData[[#This Row],[End_Date]])),ReconciliationData[[#This Row],[Order_Date]]&gt;ReconciliationData[[#This Row],[End_Date]]),1,0)</f>
        <v>0</v>
      </c>
      <c r="U1393">
        <f>IF(AND(NOT(ISBLANK(ReconciliationData[[#This Row],[last_return_date]])),ReconciliationData[[#This Row],[last_return_date]]&gt;ReconciliationData[[#This Row],[Order_Date]]+60),1,0)</f>
        <v>0</v>
      </c>
      <c r="V1393">
        <f>IF(ReconciliationData[[#This Row],[total_returned_units]]&gt;ReconciliationData[[#This Row],[ordered_units]],1,0)</f>
        <v>0</v>
      </c>
      <c r="W13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93">
        <f>ReconciliationData[[#This Row],[Billed_Units]]*ReconciliationData[[#This Row],[Billed_Price]]</f>
        <v>154894.12179999999</v>
      </c>
      <c r="Y1393">
        <f>ReconciliationData[[#This Row],[ordered_units]]*ReconciliationData[[#This Row],[List_Price]]</f>
        <v>154894.12179999999</v>
      </c>
      <c r="Z1393">
        <f>ReconciliationData[[#This Row],[billed_revenue]]-ReconciliationData[[#This Row],[expected_revenue]]</f>
        <v>0</v>
      </c>
      <c r="AA13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93" t="str">
        <f>IF(ReconciliationData[[#This Row],[severity_score]]=0,"LOW",
 IF(ReconciliationData[[#This Row],[severity_score]]&lt;=5,"MEDIUM","HIGH"))</f>
        <v>LOW</v>
      </c>
      <c r="AC1393" t="str">
        <f>TEXT(ReconciliationData[[#This Row],[Order_Date]],"YYYY-MM")</f>
        <v>2023-04</v>
      </c>
    </row>
    <row r="1394" spans="1:29">
      <c r="A1394" t="s">
        <v>3882</v>
      </c>
      <c r="B1394" s="1">
        <v>45524</v>
      </c>
      <c r="C1394" t="s">
        <v>1970</v>
      </c>
      <c r="D1394" t="s">
        <v>329</v>
      </c>
      <c r="E1394">
        <v>37</v>
      </c>
      <c r="F1394" t="s">
        <v>3883</v>
      </c>
      <c r="G1394">
        <v>37</v>
      </c>
      <c r="H1394">
        <v>385.42419999999998</v>
      </c>
      <c r="I1394">
        <v>8</v>
      </c>
      <c r="J1394" s="1">
        <v>44977</v>
      </c>
      <c r="N1394">
        <v>385.42419999999998</v>
      </c>
      <c r="O1394" s="1">
        <v>45079</v>
      </c>
      <c r="P1394">
        <f>IF(ISBLANK(ReconciliationData[[#This Row],[Invoice_ID]]),1,0)</f>
        <v>0</v>
      </c>
      <c r="Q1394">
        <f>IF(AND(NOT(ISBLANK(ReconciliationData[[#This Row],[Billed_Units]])),ReconciliationData[[#This Row],[ordered_units]]&lt;&gt;ReconciliationData[[#This Row],[Billed_Units]]),1,0)</f>
        <v>0</v>
      </c>
      <c r="R13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94">
        <f>IF(AND(NOT(ISBLANK(ReconciliationData[[#This Row],[Contract_Price]])),ReconciliationData[[#This Row],[Billed_Price]]&lt;&gt;ReconciliationData[[#This Row],[Contract_Price]]),1,0)</f>
        <v>0</v>
      </c>
      <c r="T1394">
        <f>IF(AND(NOT(ISBLANK(ReconciliationData[[#This Row],[End_Date]])),ReconciliationData[[#This Row],[Order_Date]]&gt;ReconciliationData[[#This Row],[End_Date]]),1,0)</f>
        <v>0</v>
      </c>
      <c r="U1394">
        <f>IF(AND(NOT(ISBLANK(ReconciliationData[[#This Row],[last_return_date]])),ReconciliationData[[#This Row],[last_return_date]]&gt;ReconciliationData[[#This Row],[Order_Date]]+60),1,0)</f>
        <v>0</v>
      </c>
      <c r="V1394">
        <f>IF(ReconciliationData[[#This Row],[total_returned_units]]&gt;ReconciliationData[[#This Row],[ordered_units]],1,0)</f>
        <v>0</v>
      </c>
      <c r="W13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94">
        <f>ReconciliationData[[#This Row],[Billed_Units]]*ReconciliationData[[#This Row],[Billed_Price]]</f>
        <v>14260.695399999999</v>
      </c>
      <c r="Y1394">
        <f>ReconciliationData[[#This Row],[ordered_units]]*ReconciliationData[[#This Row],[List_Price]]</f>
        <v>14260.695399999999</v>
      </c>
      <c r="Z1394">
        <f>ReconciliationData[[#This Row],[billed_revenue]]-ReconciliationData[[#This Row],[expected_revenue]]</f>
        <v>0</v>
      </c>
      <c r="AA13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94" t="str">
        <f>IF(ReconciliationData[[#This Row],[severity_score]]=0,"LOW",
 IF(ReconciliationData[[#This Row],[severity_score]]&lt;=5,"MEDIUM","HIGH"))</f>
        <v>LOW</v>
      </c>
      <c r="AC1394" t="str">
        <f>TEXT(ReconciliationData[[#This Row],[Order_Date]],"YYYY-MM")</f>
        <v>2024-08</v>
      </c>
    </row>
    <row r="1395" spans="1:29">
      <c r="A1395" t="s">
        <v>3884</v>
      </c>
      <c r="B1395" s="1">
        <v>45318</v>
      </c>
      <c r="C1395" t="s">
        <v>3885</v>
      </c>
      <c r="D1395" t="s">
        <v>3256</v>
      </c>
      <c r="E1395">
        <v>168</v>
      </c>
      <c r="F1395" t="s">
        <v>3886</v>
      </c>
      <c r="G1395">
        <v>168</v>
      </c>
      <c r="H1395">
        <v>1160.0259918152638</v>
      </c>
      <c r="N1395">
        <v>1159.732</v>
      </c>
      <c r="O1395" s="1">
        <v>45032</v>
      </c>
      <c r="P1395">
        <f>IF(ISBLANK(ReconciliationData[[#This Row],[Invoice_ID]]),1,0)</f>
        <v>0</v>
      </c>
      <c r="Q1395">
        <f>IF(AND(NOT(ISBLANK(ReconciliationData[[#This Row],[Billed_Units]])),ReconciliationData[[#This Row],[ordered_units]]&lt;&gt;ReconciliationData[[#This Row],[Billed_Units]]),1,0)</f>
        <v>0</v>
      </c>
      <c r="R139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395">
        <f>IF(AND(NOT(ISBLANK(ReconciliationData[[#This Row],[Contract_Price]])),ReconciliationData[[#This Row],[Billed_Price]]&lt;&gt;ReconciliationData[[#This Row],[Contract_Price]]),1,0)</f>
        <v>0</v>
      </c>
      <c r="T1395">
        <f>IF(AND(NOT(ISBLANK(ReconciliationData[[#This Row],[End_Date]])),ReconciliationData[[#This Row],[Order_Date]]&gt;ReconciliationData[[#This Row],[End_Date]]),1,0)</f>
        <v>0</v>
      </c>
      <c r="U1395">
        <f>IF(AND(NOT(ISBLANK(ReconciliationData[[#This Row],[last_return_date]])),ReconciliationData[[#This Row],[last_return_date]]&gt;ReconciliationData[[#This Row],[Order_Date]]+60),1,0)</f>
        <v>0</v>
      </c>
      <c r="V1395">
        <f>IF(ReconciliationData[[#This Row],[total_returned_units]]&gt;ReconciliationData[[#This Row],[ordered_units]],1,0)</f>
        <v>0</v>
      </c>
      <c r="W13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395">
        <f>ReconciliationData[[#This Row],[Billed_Units]]*ReconciliationData[[#This Row],[Billed_Price]]</f>
        <v>194884.36662496431</v>
      </c>
      <c r="Y1395">
        <f>ReconciliationData[[#This Row],[ordered_units]]*ReconciliationData[[#This Row],[List_Price]]</f>
        <v>194834.976</v>
      </c>
      <c r="Z1395">
        <f>ReconciliationData[[#This Row],[billed_revenue]]-ReconciliationData[[#This Row],[expected_revenue]]</f>
        <v>49.390624964318704</v>
      </c>
      <c r="AA13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395" t="str">
        <f>IF(ReconciliationData[[#This Row],[severity_score]]=0,"LOW",
 IF(ReconciliationData[[#This Row],[severity_score]]&lt;=5,"MEDIUM","HIGH"))</f>
        <v>MEDIUM</v>
      </c>
      <c r="AC1395" t="str">
        <f>TEXT(ReconciliationData[[#This Row],[Order_Date]],"YYYY-MM")</f>
        <v>2024-01</v>
      </c>
    </row>
    <row r="1396" spans="1:29">
      <c r="A1396" t="s">
        <v>3887</v>
      </c>
      <c r="B1396" s="1">
        <v>45057</v>
      </c>
      <c r="C1396" t="s">
        <v>2394</v>
      </c>
      <c r="D1396" t="s">
        <v>908</v>
      </c>
      <c r="E1396">
        <v>91</v>
      </c>
      <c r="F1396" t="s">
        <v>3888</v>
      </c>
      <c r="G1396">
        <v>91</v>
      </c>
      <c r="H1396">
        <v>565.82459999999992</v>
      </c>
      <c r="N1396">
        <v>565.82459999999992</v>
      </c>
      <c r="O1396" s="1">
        <v>45013</v>
      </c>
      <c r="P1396">
        <f>IF(ISBLANK(ReconciliationData[[#This Row],[Invoice_ID]]),1,0)</f>
        <v>0</v>
      </c>
      <c r="Q1396">
        <f>IF(AND(NOT(ISBLANK(ReconciliationData[[#This Row],[Billed_Units]])),ReconciliationData[[#This Row],[ordered_units]]&lt;&gt;ReconciliationData[[#This Row],[Billed_Units]]),1,0)</f>
        <v>0</v>
      </c>
      <c r="R13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96">
        <f>IF(AND(NOT(ISBLANK(ReconciliationData[[#This Row],[Contract_Price]])),ReconciliationData[[#This Row],[Billed_Price]]&lt;&gt;ReconciliationData[[#This Row],[Contract_Price]]),1,0)</f>
        <v>0</v>
      </c>
      <c r="T1396">
        <f>IF(AND(NOT(ISBLANK(ReconciliationData[[#This Row],[End_Date]])),ReconciliationData[[#This Row],[Order_Date]]&gt;ReconciliationData[[#This Row],[End_Date]]),1,0)</f>
        <v>0</v>
      </c>
      <c r="U1396">
        <f>IF(AND(NOT(ISBLANK(ReconciliationData[[#This Row],[last_return_date]])),ReconciliationData[[#This Row],[last_return_date]]&gt;ReconciliationData[[#This Row],[Order_Date]]+60),1,0)</f>
        <v>0</v>
      </c>
      <c r="V1396">
        <f>IF(ReconciliationData[[#This Row],[total_returned_units]]&gt;ReconciliationData[[#This Row],[ordered_units]],1,0)</f>
        <v>0</v>
      </c>
      <c r="W13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96">
        <f>ReconciliationData[[#This Row],[Billed_Units]]*ReconciliationData[[#This Row],[Billed_Price]]</f>
        <v>51490.038599999993</v>
      </c>
      <c r="Y1396">
        <f>ReconciliationData[[#This Row],[ordered_units]]*ReconciliationData[[#This Row],[List_Price]]</f>
        <v>51490.038599999993</v>
      </c>
      <c r="Z1396">
        <f>ReconciliationData[[#This Row],[billed_revenue]]-ReconciliationData[[#This Row],[expected_revenue]]</f>
        <v>0</v>
      </c>
      <c r="AA13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96" t="str">
        <f>IF(ReconciliationData[[#This Row],[severity_score]]=0,"LOW",
 IF(ReconciliationData[[#This Row],[severity_score]]&lt;=5,"MEDIUM","HIGH"))</f>
        <v>LOW</v>
      </c>
      <c r="AC1396" t="str">
        <f>TEXT(ReconciliationData[[#This Row],[Order_Date]],"YYYY-MM")</f>
        <v>2023-05</v>
      </c>
    </row>
    <row r="1397" spans="1:29">
      <c r="A1397" t="s">
        <v>3889</v>
      </c>
      <c r="B1397" s="1">
        <v>45267</v>
      </c>
      <c r="C1397" t="s">
        <v>1391</v>
      </c>
      <c r="D1397" t="s">
        <v>610</v>
      </c>
      <c r="E1397">
        <v>110</v>
      </c>
      <c r="F1397" t="s">
        <v>3890</v>
      </c>
      <c r="G1397">
        <v>110</v>
      </c>
      <c r="H1397">
        <v>457.65019999999998</v>
      </c>
      <c r="N1397">
        <v>457.65019999999998</v>
      </c>
      <c r="O1397" s="1">
        <v>44950</v>
      </c>
      <c r="P1397">
        <f>IF(ISBLANK(ReconciliationData[[#This Row],[Invoice_ID]]),1,0)</f>
        <v>0</v>
      </c>
      <c r="Q1397">
        <f>IF(AND(NOT(ISBLANK(ReconciliationData[[#This Row],[Billed_Units]])),ReconciliationData[[#This Row],[ordered_units]]&lt;&gt;ReconciliationData[[#This Row],[Billed_Units]]),1,0)</f>
        <v>0</v>
      </c>
      <c r="R13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97">
        <f>IF(AND(NOT(ISBLANK(ReconciliationData[[#This Row],[Contract_Price]])),ReconciliationData[[#This Row],[Billed_Price]]&lt;&gt;ReconciliationData[[#This Row],[Contract_Price]]),1,0)</f>
        <v>0</v>
      </c>
      <c r="T1397">
        <f>IF(AND(NOT(ISBLANK(ReconciliationData[[#This Row],[End_Date]])),ReconciliationData[[#This Row],[Order_Date]]&gt;ReconciliationData[[#This Row],[End_Date]]),1,0)</f>
        <v>0</v>
      </c>
      <c r="U1397">
        <f>IF(AND(NOT(ISBLANK(ReconciliationData[[#This Row],[last_return_date]])),ReconciliationData[[#This Row],[last_return_date]]&gt;ReconciliationData[[#This Row],[Order_Date]]+60),1,0)</f>
        <v>0</v>
      </c>
      <c r="V1397">
        <f>IF(ReconciliationData[[#This Row],[total_returned_units]]&gt;ReconciliationData[[#This Row],[ordered_units]],1,0)</f>
        <v>0</v>
      </c>
      <c r="W13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97">
        <f>ReconciliationData[[#This Row],[Billed_Units]]*ReconciliationData[[#This Row],[Billed_Price]]</f>
        <v>50341.521999999997</v>
      </c>
      <c r="Y1397">
        <f>ReconciliationData[[#This Row],[ordered_units]]*ReconciliationData[[#This Row],[List_Price]]</f>
        <v>50341.521999999997</v>
      </c>
      <c r="Z1397">
        <f>ReconciliationData[[#This Row],[billed_revenue]]-ReconciliationData[[#This Row],[expected_revenue]]</f>
        <v>0</v>
      </c>
      <c r="AA13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97" t="str">
        <f>IF(ReconciliationData[[#This Row],[severity_score]]=0,"LOW",
 IF(ReconciliationData[[#This Row],[severity_score]]&lt;=5,"MEDIUM","HIGH"))</f>
        <v>LOW</v>
      </c>
      <c r="AC1397" t="str">
        <f>TEXT(ReconciliationData[[#This Row],[Order_Date]],"YYYY-MM")</f>
        <v>2023-12</v>
      </c>
    </row>
    <row r="1398" spans="1:29">
      <c r="A1398" t="s">
        <v>3891</v>
      </c>
      <c r="B1398" s="1">
        <v>45342</v>
      </c>
      <c r="C1398" t="s">
        <v>521</v>
      </c>
      <c r="D1398" t="s">
        <v>923</v>
      </c>
      <c r="E1398">
        <v>92</v>
      </c>
      <c r="F1398" t="s">
        <v>3892</v>
      </c>
      <c r="G1398">
        <v>92</v>
      </c>
      <c r="H1398">
        <v>754.20799999999997</v>
      </c>
      <c r="N1398">
        <v>754.20799999999997</v>
      </c>
      <c r="O1398" s="1">
        <v>45069</v>
      </c>
      <c r="P1398">
        <f>IF(ISBLANK(ReconciliationData[[#This Row],[Invoice_ID]]),1,0)</f>
        <v>0</v>
      </c>
      <c r="Q1398">
        <f>IF(AND(NOT(ISBLANK(ReconciliationData[[#This Row],[Billed_Units]])),ReconciliationData[[#This Row],[ordered_units]]&lt;&gt;ReconciliationData[[#This Row],[Billed_Units]]),1,0)</f>
        <v>0</v>
      </c>
      <c r="R13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98">
        <f>IF(AND(NOT(ISBLANK(ReconciliationData[[#This Row],[Contract_Price]])),ReconciliationData[[#This Row],[Billed_Price]]&lt;&gt;ReconciliationData[[#This Row],[Contract_Price]]),1,0)</f>
        <v>0</v>
      </c>
      <c r="T1398">
        <f>IF(AND(NOT(ISBLANK(ReconciliationData[[#This Row],[End_Date]])),ReconciliationData[[#This Row],[Order_Date]]&gt;ReconciliationData[[#This Row],[End_Date]]),1,0)</f>
        <v>0</v>
      </c>
      <c r="U1398">
        <f>IF(AND(NOT(ISBLANK(ReconciliationData[[#This Row],[last_return_date]])),ReconciliationData[[#This Row],[last_return_date]]&gt;ReconciliationData[[#This Row],[Order_Date]]+60),1,0)</f>
        <v>0</v>
      </c>
      <c r="V1398">
        <f>IF(ReconciliationData[[#This Row],[total_returned_units]]&gt;ReconciliationData[[#This Row],[ordered_units]],1,0)</f>
        <v>0</v>
      </c>
      <c r="W13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98">
        <f>ReconciliationData[[#This Row],[Billed_Units]]*ReconciliationData[[#This Row],[Billed_Price]]</f>
        <v>69387.135999999999</v>
      </c>
      <c r="Y1398">
        <f>ReconciliationData[[#This Row],[ordered_units]]*ReconciliationData[[#This Row],[List_Price]]</f>
        <v>69387.135999999999</v>
      </c>
      <c r="Z1398">
        <f>ReconciliationData[[#This Row],[billed_revenue]]-ReconciliationData[[#This Row],[expected_revenue]]</f>
        <v>0</v>
      </c>
      <c r="AA13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98" t="str">
        <f>IF(ReconciliationData[[#This Row],[severity_score]]=0,"LOW",
 IF(ReconciliationData[[#This Row],[severity_score]]&lt;=5,"MEDIUM","HIGH"))</f>
        <v>LOW</v>
      </c>
      <c r="AC1398" t="str">
        <f>TEXT(ReconciliationData[[#This Row],[Order_Date]],"YYYY-MM")</f>
        <v>2024-02</v>
      </c>
    </row>
    <row r="1399" spans="1:29">
      <c r="A1399" t="s">
        <v>3893</v>
      </c>
      <c r="B1399" s="1">
        <v>45481</v>
      </c>
      <c r="C1399" t="s">
        <v>961</v>
      </c>
      <c r="D1399" t="s">
        <v>2605</v>
      </c>
      <c r="E1399">
        <v>18</v>
      </c>
      <c r="F1399" t="s">
        <v>3894</v>
      </c>
      <c r="G1399">
        <v>18</v>
      </c>
      <c r="H1399">
        <v>696.93029999999999</v>
      </c>
      <c r="N1399">
        <v>696.93029999999999</v>
      </c>
      <c r="O1399" s="1">
        <v>45150</v>
      </c>
      <c r="P1399">
        <f>IF(ISBLANK(ReconciliationData[[#This Row],[Invoice_ID]]),1,0)</f>
        <v>0</v>
      </c>
      <c r="Q1399">
        <f>IF(AND(NOT(ISBLANK(ReconciliationData[[#This Row],[Billed_Units]])),ReconciliationData[[#This Row],[ordered_units]]&lt;&gt;ReconciliationData[[#This Row],[Billed_Units]]),1,0)</f>
        <v>0</v>
      </c>
      <c r="R13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399">
        <f>IF(AND(NOT(ISBLANK(ReconciliationData[[#This Row],[Contract_Price]])),ReconciliationData[[#This Row],[Billed_Price]]&lt;&gt;ReconciliationData[[#This Row],[Contract_Price]]),1,0)</f>
        <v>0</v>
      </c>
      <c r="T1399">
        <f>IF(AND(NOT(ISBLANK(ReconciliationData[[#This Row],[End_Date]])),ReconciliationData[[#This Row],[Order_Date]]&gt;ReconciliationData[[#This Row],[End_Date]]),1,0)</f>
        <v>0</v>
      </c>
      <c r="U1399">
        <f>IF(AND(NOT(ISBLANK(ReconciliationData[[#This Row],[last_return_date]])),ReconciliationData[[#This Row],[last_return_date]]&gt;ReconciliationData[[#This Row],[Order_Date]]+60),1,0)</f>
        <v>0</v>
      </c>
      <c r="V1399">
        <f>IF(ReconciliationData[[#This Row],[total_returned_units]]&gt;ReconciliationData[[#This Row],[ordered_units]],1,0)</f>
        <v>0</v>
      </c>
      <c r="W13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399">
        <f>ReconciliationData[[#This Row],[Billed_Units]]*ReconciliationData[[#This Row],[Billed_Price]]</f>
        <v>12544.7454</v>
      </c>
      <c r="Y1399">
        <f>ReconciliationData[[#This Row],[ordered_units]]*ReconciliationData[[#This Row],[List_Price]]</f>
        <v>12544.7454</v>
      </c>
      <c r="Z1399">
        <f>ReconciliationData[[#This Row],[billed_revenue]]-ReconciliationData[[#This Row],[expected_revenue]]</f>
        <v>0</v>
      </c>
      <c r="AA13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399" t="str">
        <f>IF(ReconciliationData[[#This Row],[severity_score]]=0,"LOW",
 IF(ReconciliationData[[#This Row],[severity_score]]&lt;=5,"MEDIUM","HIGH"))</f>
        <v>LOW</v>
      </c>
      <c r="AC1399" t="str">
        <f>TEXT(ReconciliationData[[#This Row],[Order_Date]],"YYYY-MM")</f>
        <v>2024-07</v>
      </c>
    </row>
    <row r="1400" spans="1:29">
      <c r="A1400" t="s">
        <v>3895</v>
      </c>
      <c r="B1400" s="1">
        <v>45631</v>
      </c>
      <c r="C1400" t="s">
        <v>2775</v>
      </c>
      <c r="D1400" t="s">
        <v>1455</v>
      </c>
      <c r="E1400">
        <v>46</v>
      </c>
      <c r="F1400" t="s">
        <v>3896</v>
      </c>
      <c r="G1400">
        <v>46</v>
      </c>
      <c r="H1400">
        <v>556.99</v>
      </c>
      <c r="N1400">
        <v>556.99</v>
      </c>
      <c r="O1400" s="1">
        <v>45147</v>
      </c>
      <c r="P1400">
        <f>IF(ISBLANK(ReconciliationData[[#This Row],[Invoice_ID]]),1,0)</f>
        <v>0</v>
      </c>
      <c r="Q1400">
        <f>IF(AND(NOT(ISBLANK(ReconciliationData[[#This Row],[Billed_Units]])),ReconciliationData[[#This Row],[ordered_units]]&lt;&gt;ReconciliationData[[#This Row],[Billed_Units]]),1,0)</f>
        <v>0</v>
      </c>
      <c r="R14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0">
        <f>IF(AND(NOT(ISBLANK(ReconciliationData[[#This Row],[Contract_Price]])),ReconciliationData[[#This Row],[Billed_Price]]&lt;&gt;ReconciliationData[[#This Row],[Contract_Price]]),1,0)</f>
        <v>0</v>
      </c>
      <c r="T1400">
        <f>IF(AND(NOT(ISBLANK(ReconciliationData[[#This Row],[End_Date]])),ReconciliationData[[#This Row],[Order_Date]]&gt;ReconciliationData[[#This Row],[End_Date]]),1,0)</f>
        <v>0</v>
      </c>
      <c r="U1400">
        <f>IF(AND(NOT(ISBLANK(ReconciliationData[[#This Row],[last_return_date]])),ReconciliationData[[#This Row],[last_return_date]]&gt;ReconciliationData[[#This Row],[Order_Date]]+60),1,0)</f>
        <v>0</v>
      </c>
      <c r="V1400">
        <f>IF(ReconciliationData[[#This Row],[total_returned_units]]&gt;ReconciliationData[[#This Row],[ordered_units]],1,0)</f>
        <v>0</v>
      </c>
      <c r="W14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00">
        <f>ReconciliationData[[#This Row],[Billed_Units]]*ReconciliationData[[#This Row],[Billed_Price]]</f>
        <v>25621.54</v>
      </c>
      <c r="Y1400">
        <f>ReconciliationData[[#This Row],[ordered_units]]*ReconciliationData[[#This Row],[List_Price]]</f>
        <v>25621.54</v>
      </c>
      <c r="Z1400">
        <f>ReconciliationData[[#This Row],[billed_revenue]]-ReconciliationData[[#This Row],[expected_revenue]]</f>
        <v>0</v>
      </c>
      <c r="AA14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00" t="str">
        <f>IF(ReconciliationData[[#This Row],[severity_score]]=0,"LOW",
 IF(ReconciliationData[[#This Row],[severity_score]]&lt;=5,"MEDIUM","HIGH"))</f>
        <v>LOW</v>
      </c>
      <c r="AC1400" t="str">
        <f>TEXT(ReconciliationData[[#This Row],[Order_Date]],"YYYY-MM")</f>
        <v>2024-12</v>
      </c>
    </row>
    <row r="1401" spans="1:29">
      <c r="A1401" t="s">
        <v>3897</v>
      </c>
      <c r="B1401" s="1">
        <v>45428</v>
      </c>
      <c r="C1401" t="s">
        <v>422</v>
      </c>
      <c r="D1401" t="s">
        <v>1555</v>
      </c>
      <c r="E1401">
        <v>18</v>
      </c>
      <c r="F1401" t="s">
        <v>3898</v>
      </c>
      <c r="G1401">
        <v>18</v>
      </c>
      <c r="H1401">
        <v>850.16200000000003</v>
      </c>
      <c r="N1401">
        <v>850.16200000000003</v>
      </c>
      <c r="O1401" s="1">
        <v>45099</v>
      </c>
      <c r="P1401">
        <f>IF(ISBLANK(ReconciliationData[[#This Row],[Invoice_ID]]),1,0)</f>
        <v>0</v>
      </c>
      <c r="Q1401">
        <f>IF(AND(NOT(ISBLANK(ReconciliationData[[#This Row],[Billed_Units]])),ReconciliationData[[#This Row],[ordered_units]]&lt;&gt;ReconciliationData[[#This Row],[Billed_Units]]),1,0)</f>
        <v>0</v>
      </c>
      <c r="R14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1">
        <f>IF(AND(NOT(ISBLANK(ReconciliationData[[#This Row],[Contract_Price]])),ReconciliationData[[#This Row],[Billed_Price]]&lt;&gt;ReconciliationData[[#This Row],[Contract_Price]]),1,0)</f>
        <v>0</v>
      </c>
      <c r="T1401">
        <f>IF(AND(NOT(ISBLANK(ReconciliationData[[#This Row],[End_Date]])),ReconciliationData[[#This Row],[Order_Date]]&gt;ReconciliationData[[#This Row],[End_Date]]),1,0)</f>
        <v>0</v>
      </c>
      <c r="U1401">
        <f>IF(AND(NOT(ISBLANK(ReconciliationData[[#This Row],[last_return_date]])),ReconciliationData[[#This Row],[last_return_date]]&gt;ReconciliationData[[#This Row],[Order_Date]]+60),1,0)</f>
        <v>0</v>
      </c>
      <c r="V1401">
        <f>IF(ReconciliationData[[#This Row],[total_returned_units]]&gt;ReconciliationData[[#This Row],[ordered_units]],1,0)</f>
        <v>0</v>
      </c>
      <c r="W14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01">
        <f>ReconciliationData[[#This Row],[Billed_Units]]*ReconciliationData[[#This Row],[Billed_Price]]</f>
        <v>15302.916000000001</v>
      </c>
      <c r="Y1401">
        <f>ReconciliationData[[#This Row],[ordered_units]]*ReconciliationData[[#This Row],[List_Price]]</f>
        <v>15302.916000000001</v>
      </c>
      <c r="Z1401">
        <f>ReconciliationData[[#This Row],[billed_revenue]]-ReconciliationData[[#This Row],[expected_revenue]]</f>
        <v>0</v>
      </c>
      <c r="AA14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01" t="str">
        <f>IF(ReconciliationData[[#This Row],[severity_score]]=0,"LOW",
 IF(ReconciliationData[[#This Row],[severity_score]]&lt;=5,"MEDIUM","HIGH"))</f>
        <v>LOW</v>
      </c>
      <c r="AC1401" t="str">
        <f>TEXT(ReconciliationData[[#This Row],[Order_Date]],"YYYY-MM")</f>
        <v>2024-05</v>
      </c>
    </row>
    <row r="1402" spans="1:29">
      <c r="A1402" t="s">
        <v>3899</v>
      </c>
      <c r="B1402" s="1">
        <v>45518</v>
      </c>
      <c r="C1402" t="s">
        <v>3900</v>
      </c>
      <c r="D1402" t="s">
        <v>596</v>
      </c>
      <c r="E1402">
        <v>111</v>
      </c>
      <c r="F1402" t="s">
        <v>3901</v>
      </c>
      <c r="G1402">
        <v>111</v>
      </c>
      <c r="H1402">
        <v>652.1472</v>
      </c>
      <c r="N1402">
        <v>652.1472</v>
      </c>
      <c r="O1402" s="1">
        <v>44959</v>
      </c>
      <c r="P1402">
        <f>IF(ISBLANK(ReconciliationData[[#This Row],[Invoice_ID]]),1,0)</f>
        <v>0</v>
      </c>
      <c r="Q1402">
        <f>IF(AND(NOT(ISBLANK(ReconciliationData[[#This Row],[Billed_Units]])),ReconciliationData[[#This Row],[ordered_units]]&lt;&gt;ReconciliationData[[#This Row],[Billed_Units]]),1,0)</f>
        <v>0</v>
      </c>
      <c r="R14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2">
        <f>IF(AND(NOT(ISBLANK(ReconciliationData[[#This Row],[Contract_Price]])),ReconciliationData[[#This Row],[Billed_Price]]&lt;&gt;ReconciliationData[[#This Row],[Contract_Price]]),1,0)</f>
        <v>0</v>
      </c>
      <c r="T1402">
        <f>IF(AND(NOT(ISBLANK(ReconciliationData[[#This Row],[End_Date]])),ReconciliationData[[#This Row],[Order_Date]]&gt;ReconciliationData[[#This Row],[End_Date]]),1,0)</f>
        <v>0</v>
      </c>
      <c r="U1402">
        <f>IF(AND(NOT(ISBLANK(ReconciliationData[[#This Row],[last_return_date]])),ReconciliationData[[#This Row],[last_return_date]]&gt;ReconciliationData[[#This Row],[Order_Date]]+60),1,0)</f>
        <v>0</v>
      </c>
      <c r="V1402">
        <f>IF(ReconciliationData[[#This Row],[total_returned_units]]&gt;ReconciliationData[[#This Row],[ordered_units]],1,0)</f>
        <v>0</v>
      </c>
      <c r="W14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02">
        <f>ReconciliationData[[#This Row],[Billed_Units]]*ReconciliationData[[#This Row],[Billed_Price]]</f>
        <v>72388.339200000002</v>
      </c>
      <c r="Y1402">
        <f>ReconciliationData[[#This Row],[ordered_units]]*ReconciliationData[[#This Row],[List_Price]]</f>
        <v>72388.339200000002</v>
      </c>
      <c r="Z1402">
        <f>ReconciliationData[[#This Row],[billed_revenue]]-ReconciliationData[[#This Row],[expected_revenue]]</f>
        <v>0</v>
      </c>
      <c r="AA14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02" t="str">
        <f>IF(ReconciliationData[[#This Row],[severity_score]]=0,"LOW",
 IF(ReconciliationData[[#This Row],[severity_score]]&lt;=5,"MEDIUM","HIGH"))</f>
        <v>LOW</v>
      </c>
      <c r="AC1402" t="str">
        <f>TEXT(ReconciliationData[[#This Row],[Order_Date]],"YYYY-MM")</f>
        <v>2024-08</v>
      </c>
    </row>
    <row r="1403" spans="1:29">
      <c r="A1403" t="s">
        <v>3902</v>
      </c>
      <c r="B1403" s="1">
        <v>44936</v>
      </c>
      <c r="C1403" t="s">
        <v>3903</v>
      </c>
      <c r="D1403" t="s">
        <v>849</v>
      </c>
      <c r="E1403">
        <v>46</v>
      </c>
      <c r="F1403" t="s">
        <v>3904</v>
      </c>
      <c r="G1403">
        <v>46</v>
      </c>
      <c r="H1403">
        <v>436.9466000000001</v>
      </c>
      <c r="N1403">
        <v>436.9466000000001</v>
      </c>
      <c r="O1403" s="1">
        <v>44764</v>
      </c>
      <c r="P1403">
        <f>IF(ISBLANK(ReconciliationData[[#This Row],[Invoice_ID]]),1,0)</f>
        <v>0</v>
      </c>
      <c r="Q1403">
        <f>IF(AND(NOT(ISBLANK(ReconciliationData[[#This Row],[Billed_Units]])),ReconciliationData[[#This Row],[ordered_units]]&lt;&gt;ReconciliationData[[#This Row],[Billed_Units]]),1,0)</f>
        <v>0</v>
      </c>
      <c r="R14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3">
        <f>IF(AND(NOT(ISBLANK(ReconciliationData[[#This Row],[Contract_Price]])),ReconciliationData[[#This Row],[Billed_Price]]&lt;&gt;ReconciliationData[[#This Row],[Contract_Price]]),1,0)</f>
        <v>0</v>
      </c>
      <c r="T1403">
        <f>IF(AND(NOT(ISBLANK(ReconciliationData[[#This Row],[End_Date]])),ReconciliationData[[#This Row],[Order_Date]]&gt;ReconciliationData[[#This Row],[End_Date]]),1,0)</f>
        <v>0</v>
      </c>
      <c r="U1403">
        <f>IF(AND(NOT(ISBLANK(ReconciliationData[[#This Row],[last_return_date]])),ReconciliationData[[#This Row],[last_return_date]]&gt;ReconciliationData[[#This Row],[Order_Date]]+60),1,0)</f>
        <v>0</v>
      </c>
      <c r="V1403">
        <f>IF(ReconciliationData[[#This Row],[total_returned_units]]&gt;ReconciliationData[[#This Row],[ordered_units]],1,0)</f>
        <v>0</v>
      </c>
      <c r="W14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03">
        <f>ReconciliationData[[#This Row],[Billed_Units]]*ReconciliationData[[#This Row],[Billed_Price]]</f>
        <v>20099.543600000005</v>
      </c>
      <c r="Y1403">
        <f>ReconciliationData[[#This Row],[ordered_units]]*ReconciliationData[[#This Row],[List_Price]]</f>
        <v>20099.543600000005</v>
      </c>
      <c r="Z1403">
        <f>ReconciliationData[[#This Row],[billed_revenue]]-ReconciliationData[[#This Row],[expected_revenue]]</f>
        <v>0</v>
      </c>
      <c r="AA14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03" t="str">
        <f>IF(ReconciliationData[[#This Row],[severity_score]]=0,"LOW",
 IF(ReconciliationData[[#This Row],[severity_score]]&lt;=5,"MEDIUM","HIGH"))</f>
        <v>LOW</v>
      </c>
      <c r="AC1403" t="str">
        <f>TEXT(ReconciliationData[[#This Row],[Order_Date]],"YYYY-MM")</f>
        <v>2023-01</v>
      </c>
    </row>
    <row r="1404" spans="1:29">
      <c r="A1404" t="s">
        <v>3905</v>
      </c>
      <c r="B1404" s="1">
        <v>45223</v>
      </c>
      <c r="C1404" t="s">
        <v>2394</v>
      </c>
      <c r="D1404" t="s">
        <v>321</v>
      </c>
      <c r="E1404">
        <v>114</v>
      </c>
      <c r="F1404" t="s">
        <v>3906</v>
      </c>
      <c r="G1404">
        <v>123</v>
      </c>
      <c r="H1404">
        <v>169.22900000000001</v>
      </c>
      <c r="N1404">
        <v>169.22900000000001</v>
      </c>
      <c r="O1404" s="1">
        <v>45039</v>
      </c>
      <c r="P1404">
        <f>IF(ISBLANK(ReconciliationData[[#This Row],[Invoice_ID]]),1,0)</f>
        <v>0</v>
      </c>
      <c r="Q1404">
        <f>IF(AND(NOT(ISBLANK(ReconciliationData[[#This Row],[Billed_Units]])),ReconciliationData[[#This Row],[ordered_units]]&lt;&gt;ReconciliationData[[#This Row],[Billed_Units]]),1,0)</f>
        <v>1</v>
      </c>
      <c r="R14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4">
        <f>IF(AND(NOT(ISBLANK(ReconciliationData[[#This Row],[Contract_Price]])),ReconciliationData[[#This Row],[Billed_Price]]&lt;&gt;ReconciliationData[[#This Row],[Contract_Price]]),1,0)</f>
        <v>0</v>
      </c>
      <c r="T1404">
        <f>IF(AND(NOT(ISBLANK(ReconciliationData[[#This Row],[End_Date]])),ReconciliationData[[#This Row],[Order_Date]]&gt;ReconciliationData[[#This Row],[End_Date]]),1,0)</f>
        <v>0</v>
      </c>
      <c r="U1404">
        <f>IF(AND(NOT(ISBLANK(ReconciliationData[[#This Row],[last_return_date]])),ReconciliationData[[#This Row],[last_return_date]]&gt;ReconciliationData[[#This Row],[Order_Date]]+60),1,0)</f>
        <v>0</v>
      </c>
      <c r="V1404">
        <f>IF(ReconciliationData[[#This Row],[total_returned_units]]&gt;ReconciliationData[[#This Row],[ordered_units]],1,0)</f>
        <v>0</v>
      </c>
      <c r="W14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04">
        <f>ReconciliationData[[#This Row],[Billed_Units]]*ReconciliationData[[#This Row],[Billed_Price]]</f>
        <v>20815.167000000001</v>
      </c>
      <c r="Y1404">
        <f>ReconciliationData[[#This Row],[ordered_units]]*ReconciliationData[[#This Row],[List_Price]]</f>
        <v>19292.106</v>
      </c>
      <c r="Z1404">
        <f>ReconciliationData[[#This Row],[billed_revenue]]-ReconciliationData[[#This Row],[expected_revenue]]</f>
        <v>1523.0610000000015</v>
      </c>
      <c r="AA14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404" t="str">
        <f>IF(ReconciliationData[[#This Row],[severity_score]]=0,"LOW",
 IF(ReconciliationData[[#This Row],[severity_score]]&lt;=5,"MEDIUM","HIGH"))</f>
        <v>HIGH</v>
      </c>
      <c r="AC1404" t="str">
        <f>TEXT(ReconciliationData[[#This Row],[Order_Date]],"YYYY-MM")</f>
        <v>2023-10</v>
      </c>
    </row>
    <row r="1405" spans="1:29">
      <c r="A1405" t="s">
        <v>3907</v>
      </c>
      <c r="B1405" s="1">
        <v>45445</v>
      </c>
      <c r="C1405" t="s">
        <v>3903</v>
      </c>
      <c r="D1405" t="s">
        <v>263</v>
      </c>
      <c r="E1405">
        <v>144</v>
      </c>
      <c r="F1405" t="s">
        <v>3908</v>
      </c>
      <c r="G1405">
        <v>144</v>
      </c>
      <c r="H1405">
        <v>1147.3289</v>
      </c>
      <c r="N1405">
        <v>1147.3289</v>
      </c>
      <c r="O1405" s="1">
        <v>44945</v>
      </c>
      <c r="P1405">
        <f>IF(ISBLANK(ReconciliationData[[#This Row],[Invoice_ID]]),1,0)</f>
        <v>0</v>
      </c>
      <c r="Q1405">
        <f>IF(AND(NOT(ISBLANK(ReconciliationData[[#This Row],[Billed_Units]])),ReconciliationData[[#This Row],[ordered_units]]&lt;&gt;ReconciliationData[[#This Row],[Billed_Units]]),1,0)</f>
        <v>0</v>
      </c>
      <c r="R14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5">
        <f>IF(AND(NOT(ISBLANK(ReconciliationData[[#This Row],[Contract_Price]])),ReconciliationData[[#This Row],[Billed_Price]]&lt;&gt;ReconciliationData[[#This Row],[Contract_Price]]),1,0)</f>
        <v>0</v>
      </c>
      <c r="T1405">
        <f>IF(AND(NOT(ISBLANK(ReconciliationData[[#This Row],[End_Date]])),ReconciliationData[[#This Row],[Order_Date]]&gt;ReconciliationData[[#This Row],[End_Date]]),1,0)</f>
        <v>0</v>
      </c>
      <c r="U1405">
        <f>IF(AND(NOT(ISBLANK(ReconciliationData[[#This Row],[last_return_date]])),ReconciliationData[[#This Row],[last_return_date]]&gt;ReconciliationData[[#This Row],[Order_Date]]+60),1,0)</f>
        <v>0</v>
      </c>
      <c r="V1405">
        <f>IF(ReconciliationData[[#This Row],[total_returned_units]]&gt;ReconciliationData[[#This Row],[ordered_units]],1,0)</f>
        <v>0</v>
      </c>
      <c r="W14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05">
        <f>ReconciliationData[[#This Row],[Billed_Units]]*ReconciliationData[[#This Row],[Billed_Price]]</f>
        <v>165215.3616</v>
      </c>
      <c r="Y1405">
        <f>ReconciliationData[[#This Row],[ordered_units]]*ReconciliationData[[#This Row],[List_Price]]</f>
        <v>165215.3616</v>
      </c>
      <c r="Z1405">
        <f>ReconciliationData[[#This Row],[billed_revenue]]-ReconciliationData[[#This Row],[expected_revenue]]</f>
        <v>0</v>
      </c>
      <c r="AA14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05" t="str">
        <f>IF(ReconciliationData[[#This Row],[severity_score]]=0,"LOW",
 IF(ReconciliationData[[#This Row],[severity_score]]&lt;=5,"MEDIUM","HIGH"))</f>
        <v>LOW</v>
      </c>
      <c r="AC1405" t="str">
        <f>TEXT(ReconciliationData[[#This Row],[Order_Date]],"YYYY-MM")</f>
        <v>2024-06</v>
      </c>
    </row>
    <row r="1406" spans="1:29">
      <c r="A1406" t="s">
        <v>3909</v>
      </c>
      <c r="B1406" s="1">
        <v>45492</v>
      </c>
      <c r="C1406" t="s">
        <v>1049</v>
      </c>
      <c r="D1406" t="s">
        <v>1559</v>
      </c>
      <c r="E1406">
        <v>189</v>
      </c>
      <c r="F1406" t="s">
        <v>3910</v>
      </c>
      <c r="G1406">
        <v>195</v>
      </c>
      <c r="H1406">
        <v>1065.7722000000001</v>
      </c>
      <c r="N1406">
        <v>1065.7722000000001</v>
      </c>
      <c r="O1406" s="1">
        <v>44936</v>
      </c>
      <c r="P1406">
        <f>IF(ISBLANK(ReconciliationData[[#This Row],[Invoice_ID]]),1,0)</f>
        <v>0</v>
      </c>
      <c r="Q1406">
        <f>IF(AND(NOT(ISBLANK(ReconciliationData[[#This Row],[Billed_Units]])),ReconciliationData[[#This Row],[ordered_units]]&lt;&gt;ReconciliationData[[#This Row],[Billed_Units]]),1,0)</f>
        <v>1</v>
      </c>
      <c r="R14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6">
        <f>IF(AND(NOT(ISBLANK(ReconciliationData[[#This Row],[Contract_Price]])),ReconciliationData[[#This Row],[Billed_Price]]&lt;&gt;ReconciliationData[[#This Row],[Contract_Price]]),1,0)</f>
        <v>0</v>
      </c>
      <c r="T1406">
        <f>IF(AND(NOT(ISBLANK(ReconciliationData[[#This Row],[End_Date]])),ReconciliationData[[#This Row],[Order_Date]]&gt;ReconciliationData[[#This Row],[End_Date]]),1,0)</f>
        <v>0</v>
      </c>
      <c r="U1406">
        <f>IF(AND(NOT(ISBLANK(ReconciliationData[[#This Row],[last_return_date]])),ReconciliationData[[#This Row],[last_return_date]]&gt;ReconciliationData[[#This Row],[Order_Date]]+60),1,0)</f>
        <v>0</v>
      </c>
      <c r="V1406">
        <f>IF(ReconciliationData[[#This Row],[total_returned_units]]&gt;ReconciliationData[[#This Row],[ordered_units]],1,0)</f>
        <v>0</v>
      </c>
      <c r="W14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06">
        <f>ReconciliationData[[#This Row],[Billed_Units]]*ReconciliationData[[#This Row],[Billed_Price]]</f>
        <v>207825.57900000003</v>
      </c>
      <c r="Y1406">
        <f>ReconciliationData[[#This Row],[ordered_units]]*ReconciliationData[[#This Row],[List_Price]]</f>
        <v>201430.94580000002</v>
      </c>
      <c r="Z1406">
        <f>ReconciliationData[[#This Row],[billed_revenue]]-ReconciliationData[[#This Row],[expected_revenue]]</f>
        <v>6394.6332000000111</v>
      </c>
      <c r="AA14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406" t="str">
        <f>IF(ReconciliationData[[#This Row],[severity_score]]=0,"LOW",
 IF(ReconciliationData[[#This Row],[severity_score]]&lt;=5,"MEDIUM","HIGH"))</f>
        <v>HIGH</v>
      </c>
      <c r="AC1406" t="str">
        <f>TEXT(ReconciliationData[[#This Row],[Order_Date]],"YYYY-MM")</f>
        <v>2024-07</v>
      </c>
    </row>
    <row r="1407" spans="1:29">
      <c r="A1407" t="s">
        <v>3911</v>
      </c>
      <c r="B1407" s="1">
        <v>44993</v>
      </c>
      <c r="C1407" t="s">
        <v>3912</v>
      </c>
      <c r="D1407" t="s">
        <v>674</v>
      </c>
      <c r="E1407">
        <v>194</v>
      </c>
      <c r="F1407" t="s">
        <v>3913</v>
      </c>
      <c r="G1407">
        <v>194</v>
      </c>
      <c r="H1407">
        <v>1032.2340000000002</v>
      </c>
      <c r="N1407">
        <v>1032.2340000000002</v>
      </c>
      <c r="O1407" s="1">
        <v>44798</v>
      </c>
      <c r="P1407">
        <f>IF(ISBLANK(ReconciliationData[[#This Row],[Invoice_ID]]),1,0)</f>
        <v>0</v>
      </c>
      <c r="Q1407">
        <f>IF(AND(NOT(ISBLANK(ReconciliationData[[#This Row],[Billed_Units]])),ReconciliationData[[#This Row],[ordered_units]]&lt;&gt;ReconciliationData[[#This Row],[Billed_Units]]),1,0)</f>
        <v>0</v>
      </c>
      <c r="R14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7">
        <f>IF(AND(NOT(ISBLANK(ReconciliationData[[#This Row],[Contract_Price]])),ReconciliationData[[#This Row],[Billed_Price]]&lt;&gt;ReconciliationData[[#This Row],[Contract_Price]]),1,0)</f>
        <v>0</v>
      </c>
      <c r="T1407">
        <f>IF(AND(NOT(ISBLANK(ReconciliationData[[#This Row],[End_Date]])),ReconciliationData[[#This Row],[Order_Date]]&gt;ReconciliationData[[#This Row],[End_Date]]),1,0)</f>
        <v>0</v>
      </c>
      <c r="U1407">
        <f>IF(AND(NOT(ISBLANK(ReconciliationData[[#This Row],[last_return_date]])),ReconciliationData[[#This Row],[last_return_date]]&gt;ReconciliationData[[#This Row],[Order_Date]]+60),1,0)</f>
        <v>0</v>
      </c>
      <c r="V1407">
        <f>IF(ReconciliationData[[#This Row],[total_returned_units]]&gt;ReconciliationData[[#This Row],[ordered_units]],1,0)</f>
        <v>0</v>
      </c>
      <c r="W14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07">
        <f>ReconciliationData[[#This Row],[Billed_Units]]*ReconciliationData[[#This Row],[Billed_Price]]</f>
        <v>200253.39600000004</v>
      </c>
      <c r="Y1407">
        <f>ReconciliationData[[#This Row],[ordered_units]]*ReconciliationData[[#This Row],[List_Price]]</f>
        <v>200253.39600000004</v>
      </c>
      <c r="Z1407">
        <f>ReconciliationData[[#This Row],[billed_revenue]]-ReconciliationData[[#This Row],[expected_revenue]]</f>
        <v>0</v>
      </c>
      <c r="AA14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07" t="str">
        <f>IF(ReconciliationData[[#This Row],[severity_score]]=0,"LOW",
 IF(ReconciliationData[[#This Row],[severity_score]]&lt;=5,"MEDIUM","HIGH"))</f>
        <v>LOW</v>
      </c>
      <c r="AC1407" t="str">
        <f>TEXT(ReconciliationData[[#This Row],[Order_Date]],"YYYY-MM")</f>
        <v>2023-03</v>
      </c>
    </row>
    <row r="1408" spans="1:29">
      <c r="A1408" t="s">
        <v>3914</v>
      </c>
      <c r="B1408" s="1">
        <v>45469</v>
      </c>
      <c r="C1408" t="s">
        <v>2389</v>
      </c>
      <c r="D1408" t="s">
        <v>235</v>
      </c>
      <c r="E1408">
        <v>103</v>
      </c>
      <c r="F1408" t="s">
        <v>3915</v>
      </c>
      <c r="G1408">
        <v>103</v>
      </c>
      <c r="H1408">
        <v>426.10500000000002</v>
      </c>
      <c r="I1408">
        <v>7</v>
      </c>
      <c r="J1408" s="1">
        <v>45514</v>
      </c>
      <c r="N1408">
        <v>426.10500000000002</v>
      </c>
      <c r="O1408" s="1">
        <v>45215</v>
      </c>
      <c r="P1408">
        <f>IF(ISBLANK(ReconciliationData[[#This Row],[Invoice_ID]]),1,0)</f>
        <v>0</v>
      </c>
      <c r="Q1408">
        <f>IF(AND(NOT(ISBLANK(ReconciliationData[[#This Row],[Billed_Units]])),ReconciliationData[[#This Row],[ordered_units]]&lt;&gt;ReconciliationData[[#This Row],[Billed_Units]]),1,0)</f>
        <v>0</v>
      </c>
      <c r="R14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8">
        <f>IF(AND(NOT(ISBLANK(ReconciliationData[[#This Row],[Contract_Price]])),ReconciliationData[[#This Row],[Billed_Price]]&lt;&gt;ReconciliationData[[#This Row],[Contract_Price]]),1,0)</f>
        <v>0</v>
      </c>
      <c r="T1408">
        <f>IF(AND(NOT(ISBLANK(ReconciliationData[[#This Row],[End_Date]])),ReconciliationData[[#This Row],[Order_Date]]&gt;ReconciliationData[[#This Row],[End_Date]]),1,0)</f>
        <v>0</v>
      </c>
      <c r="U1408">
        <f>IF(AND(NOT(ISBLANK(ReconciliationData[[#This Row],[last_return_date]])),ReconciliationData[[#This Row],[last_return_date]]&gt;ReconciliationData[[#This Row],[Order_Date]]+60),1,0)</f>
        <v>0</v>
      </c>
      <c r="V1408">
        <f>IF(ReconciliationData[[#This Row],[total_returned_units]]&gt;ReconciliationData[[#This Row],[ordered_units]],1,0)</f>
        <v>0</v>
      </c>
      <c r="W14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08">
        <f>ReconciliationData[[#This Row],[Billed_Units]]*ReconciliationData[[#This Row],[Billed_Price]]</f>
        <v>43888.815000000002</v>
      </c>
      <c r="Y1408">
        <f>ReconciliationData[[#This Row],[ordered_units]]*ReconciliationData[[#This Row],[List_Price]]</f>
        <v>43888.815000000002</v>
      </c>
      <c r="Z1408">
        <f>ReconciliationData[[#This Row],[billed_revenue]]-ReconciliationData[[#This Row],[expected_revenue]]</f>
        <v>0</v>
      </c>
      <c r="AA14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08" t="str">
        <f>IF(ReconciliationData[[#This Row],[severity_score]]=0,"LOW",
 IF(ReconciliationData[[#This Row],[severity_score]]&lt;=5,"MEDIUM","HIGH"))</f>
        <v>LOW</v>
      </c>
      <c r="AC1408" t="str">
        <f>TEXT(ReconciliationData[[#This Row],[Order_Date]],"YYYY-MM")</f>
        <v>2024-06</v>
      </c>
    </row>
    <row r="1409" spans="1:29">
      <c r="A1409" t="s">
        <v>3916</v>
      </c>
      <c r="B1409" s="1">
        <v>45150</v>
      </c>
      <c r="C1409" t="s">
        <v>1693</v>
      </c>
      <c r="D1409" t="s">
        <v>560</v>
      </c>
      <c r="E1409">
        <v>140</v>
      </c>
      <c r="F1409" t="s">
        <v>3917</v>
      </c>
      <c r="G1409">
        <v>140</v>
      </c>
      <c r="H1409">
        <v>1119.6587000000002</v>
      </c>
      <c r="N1409">
        <v>1119.6587000000002</v>
      </c>
      <c r="O1409" s="1">
        <v>45147</v>
      </c>
      <c r="P1409">
        <f>IF(ISBLANK(ReconciliationData[[#This Row],[Invoice_ID]]),1,0)</f>
        <v>0</v>
      </c>
      <c r="Q1409">
        <f>IF(AND(NOT(ISBLANK(ReconciliationData[[#This Row],[Billed_Units]])),ReconciliationData[[#This Row],[ordered_units]]&lt;&gt;ReconciliationData[[#This Row],[Billed_Units]]),1,0)</f>
        <v>0</v>
      </c>
      <c r="R14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09">
        <f>IF(AND(NOT(ISBLANK(ReconciliationData[[#This Row],[Contract_Price]])),ReconciliationData[[#This Row],[Billed_Price]]&lt;&gt;ReconciliationData[[#This Row],[Contract_Price]]),1,0)</f>
        <v>0</v>
      </c>
      <c r="T1409">
        <f>IF(AND(NOT(ISBLANK(ReconciliationData[[#This Row],[End_Date]])),ReconciliationData[[#This Row],[Order_Date]]&gt;ReconciliationData[[#This Row],[End_Date]]),1,0)</f>
        <v>0</v>
      </c>
      <c r="U1409">
        <f>IF(AND(NOT(ISBLANK(ReconciliationData[[#This Row],[last_return_date]])),ReconciliationData[[#This Row],[last_return_date]]&gt;ReconciliationData[[#This Row],[Order_Date]]+60),1,0)</f>
        <v>0</v>
      </c>
      <c r="V1409">
        <f>IF(ReconciliationData[[#This Row],[total_returned_units]]&gt;ReconciliationData[[#This Row],[ordered_units]],1,0)</f>
        <v>0</v>
      </c>
      <c r="W14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09">
        <f>ReconciliationData[[#This Row],[Billed_Units]]*ReconciliationData[[#This Row],[Billed_Price]]</f>
        <v>156752.21800000002</v>
      </c>
      <c r="Y1409">
        <f>ReconciliationData[[#This Row],[ordered_units]]*ReconciliationData[[#This Row],[List_Price]]</f>
        <v>156752.21800000002</v>
      </c>
      <c r="Z1409">
        <f>ReconciliationData[[#This Row],[billed_revenue]]-ReconciliationData[[#This Row],[expected_revenue]]</f>
        <v>0</v>
      </c>
      <c r="AA14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09" t="str">
        <f>IF(ReconciliationData[[#This Row],[severity_score]]=0,"LOW",
 IF(ReconciliationData[[#This Row],[severity_score]]&lt;=5,"MEDIUM","HIGH"))</f>
        <v>LOW</v>
      </c>
      <c r="AC1409" t="str">
        <f>TEXT(ReconciliationData[[#This Row],[Order_Date]],"YYYY-MM")</f>
        <v>2023-08</v>
      </c>
    </row>
    <row r="1410" spans="1:29">
      <c r="A1410" t="s">
        <v>3918</v>
      </c>
      <c r="B1410" s="1">
        <v>45569</v>
      </c>
      <c r="C1410" t="s">
        <v>1117</v>
      </c>
      <c r="D1410" t="s">
        <v>1812</v>
      </c>
      <c r="E1410">
        <v>134</v>
      </c>
      <c r="F1410" t="s">
        <v>3919</v>
      </c>
      <c r="G1410">
        <v>134</v>
      </c>
      <c r="H1410">
        <v>226.88399999999999</v>
      </c>
      <c r="N1410">
        <v>226.88399999999999</v>
      </c>
      <c r="O1410" s="1">
        <v>45086</v>
      </c>
      <c r="P1410">
        <f>IF(ISBLANK(ReconciliationData[[#This Row],[Invoice_ID]]),1,0)</f>
        <v>0</v>
      </c>
      <c r="Q1410">
        <f>IF(AND(NOT(ISBLANK(ReconciliationData[[#This Row],[Billed_Units]])),ReconciliationData[[#This Row],[ordered_units]]&lt;&gt;ReconciliationData[[#This Row],[Billed_Units]]),1,0)</f>
        <v>0</v>
      </c>
      <c r="R14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0">
        <f>IF(AND(NOT(ISBLANK(ReconciliationData[[#This Row],[Contract_Price]])),ReconciliationData[[#This Row],[Billed_Price]]&lt;&gt;ReconciliationData[[#This Row],[Contract_Price]]),1,0)</f>
        <v>0</v>
      </c>
      <c r="T1410">
        <f>IF(AND(NOT(ISBLANK(ReconciliationData[[#This Row],[End_Date]])),ReconciliationData[[#This Row],[Order_Date]]&gt;ReconciliationData[[#This Row],[End_Date]]),1,0)</f>
        <v>0</v>
      </c>
      <c r="U1410">
        <f>IF(AND(NOT(ISBLANK(ReconciliationData[[#This Row],[last_return_date]])),ReconciliationData[[#This Row],[last_return_date]]&gt;ReconciliationData[[#This Row],[Order_Date]]+60),1,0)</f>
        <v>0</v>
      </c>
      <c r="V1410">
        <f>IF(ReconciliationData[[#This Row],[total_returned_units]]&gt;ReconciliationData[[#This Row],[ordered_units]],1,0)</f>
        <v>0</v>
      </c>
      <c r="W14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10">
        <f>ReconciliationData[[#This Row],[Billed_Units]]*ReconciliationData[[#This Row],[Billed_Price]]</f>
        <v>30402.455999999998</v>
      </c>
      <c r="Y1410">
        <f>ReconciliationData[[#This Row],[ordered_units]]*ReconciliationData[[#This Row],[List_Price]]</f>
        <v>30402.455999999998</v>
      </c>
      <c r="Z1410">
        <f>ReconciliationData[[#This Row],[billed_revenue]]-ReconciliationData[[#This Row],[expected_revenue]]</f>
        <v>0</v>
      </c>
      <c r="AA14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10" t="str">
        <f>IF(ReconciliationData[[#This Row],[severity_score]]=0,"LOW",
 IF(ReconciliationData[[#This Row],[severity_score]]&lt;=5,"MEDIUM","HIGH"))</f>
        <v>LOW</v>
      </c>
      <c r="AC1410" t="str">
        <f>TEXT(ReconciliationData[[#This Row],[Order_Date]],"YYYY-MM")</f>
        <v>2024-10</v>
      </c>
    </row>
    <row r="1411" spans="1:29">
      <c r="A1411" t="s">
        <v>3920</v>
      </c>
      <c r="B1411" s="1">
        <v>45363</v>
      </c>
      <c r="C1411" t="s">
        <v>1321</v>
      </c>
      <c r="D1411" t="s">
        <v>2471</v>
      </c>
      <c r="E1411">
        <v>17</v>
      </c>
      <c r="F1411" t="s">
        <v>3921</v>
      </c>
      <c r="G1411">
        <v>17</v>
      </c>
      <c r="H1411">
        <v>1066.4874</v>
      </c>
      <c r="N1411">
        <v>1066.4874</v>
      </c>
      <c r="O1411" s="1">
        <v>45077</v>
      </c>
      <c r="P1411">
        <f>IF(ISBLANK(ReconciliationData[[#This Row],[Invoice_ID]]),1,0)</f>
        <v>0</v>
      </c>
      <c r="Q1411">
        <f>IF(AND(NOT(ISBLANK(ReconciliationData[[#This Row],[Billed_Units]])),ReconciliationData[[#This Row],[ordered_units]]&lt;&gt;ReconciliationData[[#This Row],[Billed_Units]]),1,0)</f>
        <v>0</v>
      </c>
      <c r="R14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1">
        <f>IF(AND(NOT(ISBLANK(ReconciliationData[[#This Row],[Contract_Price]])),ReconciliationData[[#This Row],[Billed_Price]]&lt;&gt;ReconciliationData[[#This Row],[Contract_Price]]),1,0)</f>
        <v>0</v>
      </c>
      <c r="T1411">
        <f>IF(AND(NOT(ISBLANK(ReconciliationData[[#This Row],[End_Date]])),ReconciliationData[[#This Row],[Order_Date]]&gt;ReconciliationData[[#This Row],[End_Date]]),1,0)</f>
        <v>0</v>
      </c>
      <c r="U1411">
        <f>IF(AND(NOT(ISBLANK(ReconciliationData[[#This Row],[last_return_date]])),ReconciliationData[[#This Row],[last_return_date]]&gt;ReconciliationData[[#This Row],[Order_Date]]+60),1,0)</f>
        <v>0</v>
      </c>
      <c r="V1411">
        <f>IF(ReconciliationData[[#This Row],[total_returned_units]]&gt;ReconciliationData[[#This Row],[ordered_units]],1,0)</f>
        <v>0</v>
      </c>
      <c r="W14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11">
        <f>ReconciliationData[[#This Row],[Billed_Units]]*ReconciliationData[[#This Row],[Billed_Price]]</f>
        <v>18130.285799999998</v>
      </c>
      <c r="Y1411">
        <f>ReconciliationData[[#This Row],[ordered_units]]*ReconciliationData[[#This Row],[List_Price]]</f>
        <v>18130.285799999998</v>
      </c>
      <c r="Z1411">
        <f>ReconciliationData[[#This Row],[billed_revenue]]-ReconciliationData[[#This Row],[expected_revenue]]</f>
        <v>0</v>
      </c>
      <c r="AA14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11" t="str">
        <f>IF(ReconciliationData[[#This Row],[severity_score]]=0,"LOW",
 IF(ReconciliationData[[#This Row],[severity_score]]&lt;=5,"MEDIUM","HIGH"))</f>
        <v>LOW</v>
      </c>
      <c r="AC1411" t="str">
        <f>TEXT(ReconciliationData[[#This Row],[Order_Date]],"YYYY-MM")</f>
        <v>2024-03</v>
      </c>
    </row>
    <row r="1412" spans="1:29">
      <c r="A1412" t="s">
        <v>3922</v>
      </c>
      <c r="B1412" s="1">
        <v>44933</v>
      </c>
      <c r="C1412" t="s">
        <v>3923</v>
      </c>
      <c r="D1412" t="s">
        <v>134</v>
      </c>
      <c r="E1412">
        <v>185</v>
      </c>
      <c r="F1412" t="s">
        <v>3924</v>
      </c>
      <c r="G1412">
        <v>185</v>
      </c>
      <c r="H1412">
        <v>502.88930000000011</v>
      </c>
      <c r="N1412">
        <v>502.88930000000011</v>
      </c>
      <c r="O1412" s="1">
        <v>44922</v>
      </c>
      <c r="P1412">
        <f>IF(ISBLANK(ReconciliationData[[#This Row],[Invoice_ID]]),1,0)</f>
        <v>0</v>
      </c>
      <c r="Q1412">
        <f>IF(AND(NOT(ISBLANK(ReconciliationData[[#This Row],[Billed_Units]])),ReconciliationData[[#This Row],[ordered_units]]&lt;&gt;ReconciliationData[[#This Row],[Billed_Units]]),1,0)</f>
        <v>0</v>
      </c>
      <c r="R14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2">
        <f>IF(AND(NOT(ISBLANK(ReconciliationData[[#This Row],[Contract_Price]])),ReconciliationData[[#This Row],[Billed_Price]]&lt;&gt;ReconciliationData[[#This Row],[Contract_Price]]),1,0)</f>
        <v>0</v>
      </c>
      <c r="T1412">
        <f>IF(AND(NOT(ISBLANK(ReconciliationData[[#This Row],[End_Date]])),ReconciliationData[[#This Row],[Order_Date]]&gt;ReconciliationData[[#This Row],[End_Date]]),1,0)</f>
        <v>0</v>
      </c>
      <c r="U1412">
        <f>IF(AND(NOT(ISBLANK(ReconciliationData[[#This Row],[last_return_date]])),ReconciliationData[[#This Row],[last_return_date]]&gt;ReconciliationData[[#This Row],[Order_Date]]+60),1,0)</f>
        <v>0</v>
      </c>
      <c r="V1412">
        <f>IF(ReconciliationData[[#This Row],[total_returned_units]]&gt;ReconciliationData[[#This Row],[ordered_units]],1,0)</f>
        <v>0</v>
      </c>
      <c r="W14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12">
        <f>ReconciliationData[[#This Row],[Billed_Units]]*ReconciliationData[[#This Row],[Billed_Price]]</f>
        <v>93034.520500000013</v>
      </c>
      <c r="Y1412">
        <f>ReconciliationData[[#This Row],[ordered_units]]*ReconciliationData[[#This Row],[List_Price]]</f>
        <v>93034.520500000013</v>
      </c>
      <c r="Z1412">
        <f>ReconciliationData[[#This Row],[billed_revenue]]-ReconciliationData[[#This Row],[expected_revenue]]</f>
        <v>0</v>
      </c>
      <c r="AA14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12" t="str">
        <f>IF(ReconciliationData[[#This Row],[severity_score]]=0,"LOW",
 IF(ReconciliationData[[#This Row],[severity_score]]&lt;=5,"MEDIUM","HIGH"))</f>
        <v>LOW</v>
      </c>
      <c r="AC1412" t="str">
        <f>TEXT(ReconciliationData[[#This Row],[Order_Date]],"YYYY-MM")</f>
        <v>2023-01</v>
      </c>
    </row>
    <row r="1413" spans="1:29">
      <c r="A1413" t="s">
        <v>3925</v>
      </c>
      <c r="B1413" s="1">
        <v>45290</v>
      </c>
      <c r="C1413" t="s">
        <v>2291</v>
      </c>
      <c r="D1413" t="s">
        <v>651</v>
      </c>
      <c r="E1413">
        <v>69</v>
      </c>
      <c r="F1413" t="s">
        <v>3926</v>
      </c>
      <c r="G1413">
        <v>69</v>
      </c>
      <c r="H1413">
        <v>214.6182</v>
      </c>
      <c r="N1413">
        <v>214.6182</v>
      </c>
      <c r="O1413" s="1">
        <v>45116</v>
      </c>
      <c r="P1413">
        <f>IF(ISBLANK(ReconciliationData[[#This Row],[Invoice_ID]]),1,0)</f>
        <v>0</v>
      </c>
      <c r="Q1413">
        <f>IF(AND(NOT(ISBLANK(ReconciliationData[[#This Row],[Billed_Units]])),ReconciliationData[[#This Row],[ordered_units]]&lt;&gt;ReconciliationData[[#This Row],[Billed_Units]]),1,0)</f>
        <v>0</v>
      </c>
      <c r="R14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3">
        <f>IF(AND(NOT(ISBLANK(ReconciliationData[[#This Row],[Contract_Price]])),ReconciliationData[[#This Row],[Billed_Price]]&lt;&gt;ReconciliationData[[#This Row],[Contract_Price]]),1,0)</f>
        <v>0</v>
      </c>
      <c r="T1413">
        <f>IF(AND(NOT(ISBLANK(ReconciliationData[[#This Row],[End_Date]])),ReconciliationData[[#This Row],[Order_Date]]&gt;ReconciliationData[[#This Row],[End_Date]]),1,0)</f>
        <v>0</v>
      </c>
      <c r="U1413">
        <f>IF(AND(NOT(ISBLANK(ReconciliationData[[#This Row],[last_return_date]])),ReconciliationData[[#This Row],[last_return_date]]&gt;ReconciliationData[[#This Row],[Order_Date]]+60),1,0)</f>
        <v>0</v>
      </c>
      <c r="V1413">
        <f>IF(ReconciliationData[[#This Row],[total_returned_units]]&gt;ReconciliationData[[#This Row],[ordered_units]],1,0)</f>
        <v>0</v>
      </c>
      <c r="W14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13">
        <f>ReconciliationData[[#This Row],[Billed_Units]]*ReconciliationData[[#This Row],[Billed_Price]]</f>
        <v>14808.6558</v>
      </c>
      <c r="Y1413">
        <f>ReconciliationData[[#This Row],[ordered_units]]*ReconciliationData[[#This Row],[List_Price]]</f>
        <v>14808.6558</v>
      </c>
      <c r="Z1413">
        <f>ReconciliationData[[#This Row],[billed_revenue]]-ReconciliationData[[#This Row],[expected_revenue]]</f>
        <v>0</v>
      </c>
      <c r="AA14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13" t="str">
        <f>IF(ReconciliationData[[#This Row],[severity_score]]=0,"LOW",
 IF(ReconciliationData[[#This Row],[severity_score]]&lt;=5,"MEDIUM","HIGH"))</f>
        <v>LOW</v>
      </c>
      <c r="AC1413" t="str">
        <f>TEXT(ReconciliationData[[#This Row],[Order_Date]],"YYYY-MM")</f>
        <v>2023-12</v>
      </c>
    </row>
    <row r="1414" spans="1:29">
      <c r="A1414" t="s">
        <v>3927</v>
      </c>
      <c r="B1414" s="1">
        <v>44952</v>
      </c>
      <c r="C1414" t="s">
        <v>2578</v>
      </c>
      <c r="D1414" t="s">
        <v>1305</v>
      </c>
      <c r="E1414">
        <v>171</v>
      </c>
      <c r="F1414" t="s">
        <v>3928</v>
      </c>
      <c r="G1414">
        <v>171</v>
      </c>
      <c r="H1414">
        <v>240.40479999999999</v>
      </c>
      <c r="N1414">
        <v>240.40479999999999</v>
      </c>
      <c r="O1414" s="1">
        <v>44854</v>
      </c>
      <c r="P1414">
        <f>IF(ISBLANK(ReconciliationData[[#This Row],[Invoice_ID]]),1,0)</f>
        <v>0</v>
      </c>
      <c r="Q1414">
        <f>IF(AND(NOT(ISBLANK(ReconciliationData[[#This Row],[Billed_Units]])),ReconciliationData[[#This Row],[ordered_units]]&lt;&gt;ReconciliationData[[#This Row],[Billed_Units]]),1,0)</f>
        <v>0</v>
      </c>
      <c r="R14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4">
        <f>IF(AND(NOT(ISBLANK(ReconciliationData[[#This Row],[Contract_Price]])),ReconciliationData[[#This Row],[Billed_Price]]&lt;&gt;ReconciliationData[[#This Row],[Contract_Price]]),1,0)</f>
        <v>0</v>
      </c>
      <c r="T1414">
        <f>IF(AND(NOT(ISBLANK(ReconciliationData[[#This Row],[End_Date]])),ReconciliationData[[#This Row],[Order_Date]]&gt;ReconciliationData[[#This Row],[End_Date]]),1,0)</f>
        <v>0</v>
      </c>
      <c r="U1414">
        <f>IF(AND(NOT(ISBLANK(ReconciliationData[[#This Row],[last_return_date]])),ReconciliationData[[#This Row],[last_return_date]]&gt;ReconciliationData[[#This Row],[Order_Date]]+60),1,0)</f>
        <v>0</v>
      </c>
      <c r="V1414">
        <f>IF(ReconciliationData[[#This Row],[total_returned_units]]&gt;ReconciliationData[[#This Row],[ordered_units]],1,0)</f>
        <v>0</v>
      </c>
      <c r="W14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14">
        <f>ReconciliationData[[#This Row],[Billed_Units]]*ReconciliationData[[#This Row],[Billed_Price]]</f>
        <v>41109.220799999996</v>
      </c>
      <c r="Y1414">
        <f>ReconciliationData[[#This Row],[ordered_units]]*ReconciliationData[[#This Row],[List_Price]]</f>
        <v>41109.220799999996</v>
      </c>
      <c r="Z1414">
        <f>ReconciliationData[[#This Row],[billed_revenue]]-ReconciliationData[[#This Row],[expected_revenue]]</f>
        <v>0</v>
      </c>
      <c r="AA14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14" t="str">
        <f>IF(ReconciliationData[[#This Row],[severity_score]]=0,"LOW",
 IF(ReconciliationData[[#This Row],[severity_score]]&lt;=5,"MEDIUM","HIGH"))</f>
        <v>LOW</v>
      </c>
      <c r="AC1414" t="str">
        <f>TEXT(ReconciliationData[[#This Row],[Order_Date]],"YYYY-MM")</f>
        <v>2023-01</v>
      </c>
    </row>
    <row r="1415" spans="1:29">
      <c r="A1415" t="s">
        <v>3929</v>
      </c>
      <c r="B1415" s="1">
        <v>45269</v>
      </c>
      <c r="C1415" t="s">
        <v>226</v>
      </c>
      <c r="D1415" t="s">
        <v>306</v>
      </c>
      <c r="E1415">
        <v>91</v>
      </c>
      <c r="F1415" t="s">
        <v>3930</v>
      </c>
      <c r="G1415">
        <v>91</v>
      </c>
      <c r="H1415">
        <v>1211.7708</v>
      </c>
      <c r="N1415">
        <v>1211.7708</v>
      </c>
      <c r="O1415" s="1">
        <v>45193</v>
      </c>
      <c r="P1415">
        <f>IF(ISBLANK(ReconciliationData[[#This Row],[Invoice_ID]]),1,0)</f>
        <v>0</v>
      </c>
      <c r="Q1415">
        <f>IF(AND(NOT(ISBLANK(ReconciliationData[[#This Row],[Billed_Units]])),ReconciliationData[[#This Row],[ordered_units]]&lt;&gt;ReconciliationData[[#This Row],[Billed_Units]]),1,0)</f>
        <v>0</v>
      </c>
      <c r="R14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5">
        <f>IF(AND(NOT(ISBLANK(ReconciliationData[[#This Row],[Contract_Price]])),ReconciliationData[[#This Row],[Billed_Price]]&lt;&gt;ReconciliationData[[#This Row],[Contract_Price]]),1,0)</f>
        <v>0</v>
      </c>
      <c r="T1415">
        <f>IF(AND(NOT(ISBLANK(ReconciliationData[[#This Row],[End_Date]])),ReconciliationData[[#This Row],[Order_Date]]&gt;ReconciliationData[[#This Row],[End_Date]]),1,0)</f>
        <v>0</v>
      </c>
      <c r="U1415">
        <f>IF(AND(NOT(ISBLANK(ReconciliationData[[#This Row],[last_return_date]])),ReconciliationData[[#This Row],[last_return_date]]&gt;ReconciliationData[[#This Row],[Order_Date]]+60),1,0)</f>
        <v>0</v>
      </c>
      <c r="V1415">
        <f>IF(ReconciliationData[[#This Row],[total_returned_units]]&gt;ReconciliationData[[#This Row],[ordered_units]],1,0)</f>
        <v>0</v>
      </c>
      <c r="W14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15">
        <f>ReconciliationData[[#This Row],[Billed_Units]]*ReconciliationData[[#This Row],[Billed_Price]]</f>
        <v>110271.1428</v>
      </c>
      <c r="Y1415">
        <f>ReconciliationData[[#This Row],[ordered_units]]*ReconciliationData[[#This Row],[List_Price]]</f>
        <v>110271.1428</v>
      </c>
      <c r="Z1415">
        <f>ReconciliationData[[#This Row],[billed_revenue]]-ReconciliationData[[#This Row],[expected_revenue]]</f>
        <v>0</v>
      </c>
      <c r="AA14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15" t="str">
        <f>IF(ReconciliationData[[#This Row],[severity_score]]=0,"LOW",
 IF(ReconciliationData[[#This Row],[severity_score]]&lt;=5,"MEDIUM","HIGH"))</f>
        <v>LOW</v>
      </c>
      <c r="AC1415" t="str">
        <f>TEXT(ReconciliationData[[#This Row],[Order_Date]],"YYYY-MM")</f>
        <v>2023-12</v>
      </c>
    </row>
    <row r="1416" spans="1:29">
      <c r="A1416" t="s">
        <v>3931</v>
      </c>
      <c r="B1416" s="1">
        <v>45175</v>
      </c>
      <c r="C1416" t="s">
        <v>407</v>
      </c>
      <c r="D1416" t="s">
        <v>1126</v>
      </c>
      <c r="E1416">
        <v>67</v>
      </c>
      <c r="F1416" t="s">
        <v>3932</v>
      </c>
      <c r="G1416">
        <v>67</v>
      </c>
      <c r="H1416">
        <v>1024.0545</v>
      </c>
      <c r="N1416">
        <v>1024.0545</v>
      </c>
      <c r="O1416" s="1">
        <v>45003</v>
      </c>
      <c r="P1416">
        <f>IF(ISBLANK(ReconciliationData[[#This Row],[Invoice_ID]]),1,0)</f>
        <v>0</v>
      </c>
      <c r="Q1416">
        <f>IF(AND(NOT(ISBLANK(ReconciliationData[[#This Row],[Billed_Units]])),ReconciliationData[[#This Row],[ordered_units]]&lt;&gt;ReconciliationData[[#This Row],[Billed_Units]]),1,0)</f>
        <v>0</v>
      </c>
      <c r="R14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6">
        <f>IF(AND(NOT(ISBLANK(ReconciliationData[[#This Row],[Contract_Price]])),ReconciliationData[[#This Row],[Billed_Price]]&lt;&gt;ReconciliationData[[#This Row],[Contract_Price]]),1,0)</f>
        <v>0</v>
      </c>
      <c r="T1416">
        <f>IF(AND(NOT(ISBLANK(ReconciliationData[[#This Row],[End_Date]])),ReconciliationData[[#This Row],[Order_Date]]&gt;ReconciliationData[[#This Row],[End_Date]]),1,0)</f>
        <v>0</v>
      </c>
      <c r="U1416">
        <f>IF(AND(NOT(ISBLANK(ReconciliationData[[#This Row],[last_return_date]])),ReconciliationData[[#This Row],[last_return_date]]&gt;ReconciliationData[[#This Row],[Order_Date]]+60),1,0)</f>
        <v>0</v>
      </c>
      <c r="V1416">
        <f>IF(ReconciliationData[[#This Row],[total_returned_units]]&gt;ReconciliationData[[#This Row],[ordered_units]],1,0)</f>
        <v>0</v>
      </c>
      <c r="W14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16">
        <f>ReconciliationData[[#This Row],[Billed_Units]]*ReconciliationData[[#This Row],[Billed_Price]]</f>
        <v>68611.651499999993</v>
      </c>
      <c r="Y1416">
        <f>ReconciliationData[[#This Row],[ordered_units]]*ReconciliationData[[#This Row],[List_Price]]</f>
        <v>68611.651499999993</v>
      </c>
      <c r="Z1416">
        <f>ReconciliationData[[#This Row],[billed_revenue]]-ReconciliationData[[#This Row],[expected_revenue]]</f>
        <v>0</v>
      </c>
      <c r="AA14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16" t="str">
        <f>IF(ReconciliationData[[#This Row],[severity_score]]=0,"LOW",
 IF(ReconciliationData[[#This Row],[severity_score]]&lt;=5,"MEDIUM","HIGH"))</f>
        <v>LOW</v>
      </c>
      <c r="AC1416" t="str">
        <f>TEXT(ReconciliationData[[#This Row],[Order_Date]],"YYYY-MM")</f>
        <v>2023-09</v>
      </c>
    </row>
    <row r="1417" spans="1:29">
      <c r="A1417" t="s">
        <v>3933</v>
      </c>
      <c r="B1417" s="1">
        <v>45368</v>
      </c>
      <c r="C1417" t="s">
        <v>3499</v>
      </c>
      <c r="D1417" t="s">
        <v>275</v>
      </c>
      <c r="E1417">
        <v>20</v>
      </c>
      <c r="F1417" t="s">
        <v>3934</v>
      </c>
      <c r="G1417">
        <v>20</v>
      </c>
      <c r="H1417">
        <v>397.19560000000001</v>
      </c>
      <c r="N1417">
        <v>397.19560000000001</v>
      </c>
      <c r="O1417" s="1">
        <v>44932</v>
      </c>
      <c r="P1417">
        <f>IF(ISBLANK(ReconciliationData[[#This Row],[Invoice_ID]]),1,0)</f>
        <v>0</v>
      </c>
      <c r="Q1417">
        <f>IF(AND(NOT(ISBLANK(ReconciliationData[[#This Row],[Billed_Units]])),ReconciliationData[[#This Row],[ordered_units]]&lt;&gt;ReconciliationData[[#This Row],[Billed_Units]]),1,0)</f>
        <v>0</v>
      </c>
      <c r="R14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7">
        <f>IF(AND(NOT(ISBLANK(ReconciliationData[[#This Row],[Contract_Price]])),ReconciliationData[[#This Row],[Billed_Price]]&lt;&gt;ReconciliationData[[#This Row],[Contract_Price]]),1,0)</f>
        <v>0</v>
      </c>
      <c r="T1417">
        <f>IF(AND(NOT(ISBLANK(ReconciliationData[[#This Row],[End_Date]])),ReconciliationData[[#This Row],[Order_Date]]&gt;ReconciliationData[[#This Row],[End_Date]]),1,0)</f>
        <v>0</v>
      </c>
      <c r="U1417">
        <f>IF(AND(NOT(ISBLANK(ReconciliationData[[#This Row],[last_return_date]])),ReconciliationData[[#This Row],[last_return_date]]&gt;ReconciliationData[[#This Row],[Order_Date]]+60),1,0)</f>
        <v>0</v>
      </c>
      <c r="V1417">
        <f>IF(ReconciliationData[[#This Row],[total_returned_units]]&gt;ReconciliationData[[#This Row],[ordered_units]],1,0)</f>
        <v>0</v>
      </c>
      <c r="W14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17">
        <f>ReconciliationData[[#This Row],[Billed_Units]]*ReconciliationData[[#This Row],[Billed_Price]]</f>
        <v>7943.9120000000003</v>
      </c>
      <c r="Y1417">
        <f>ReconciliationData[[#This Row],[ordered_units]]*ReconciliationData[[#This Row],[List_Price]]</f>
        <v>7943.9120000000003</v>
      </c>
      <c r="Z1417">
        <f>ReconciliationData[[#This Row],[billed_revenue]]-ReconciliationData[[#This Row],[expected_revenue]]</f>
        <v>0</v>
      </c>
      <c r="AA14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17" t="str">
        <f>IF(ReconciliationData[[#This Row],[severity_score]]=0,"LOW",
 IF(ReconciliationData[[#This Row],[severity_score]]&lt;=5,"MEDIUM","HIGH"))</f>
        <v>LOW</v>
      </c>
      <c r="AC1417" t="str">
        <f>TEXT(ReconciliationData[[#This Row],[Order_Date]],"YYYY-MM")</f>
        <v>2024-03</v>
      </c>
    </row>
    <row r="1418" spans="1:29">
      <c r="A1418" t="s">
        <v>3935</v>
      </c>
      <c r="B1418" s="1">
        <v>44974</v>
      </c>
      <c r="C1418" t="s">
        <v>929</v>
      </c>
      <c r="D1418" t="s">
        <v>3256</v>
      </c>
      <c r="E1418">
        <v>59</v>
      </c>
      <c r="F1418" t="s">
        <v>3936</v>
      </c>
      <c r="G1418">
        <v>59</v>
      </c>
      <c r="H1418">
        <v>1195.5999999999999</v>
      </c>
      <c r="I1418">
        <v>6</v>
      </c>
      <c r="J1418" s="1">
        <v>45557</v>
      </c>
      <c r="N1418">
        <v>1195.5999999999999</v>
      </c>
      <c r="O1418" s="1">
        <v>44695</v>
      </c>
      <c r="P1418">
        <f>IF(ISBLANK(ReconciliationData[[#This Row],[Invoice_ID]]),1,0)</f>
        <v>0</v>
      </c>
      <c r="Q1418">
        <f>IF(AND(NOT(ISBLANK(ReconciliationData[[#This Row],[Billed_Units]])),ReconciliationData[[#This Row],[ordered_units]]&lt;&gt;ReconciliationData[[#This Row],[Billed_Units]]),1,0)</f>
        <v>0</v>
      </c>
      <c r="R14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8">
        <f>IF(AND(NOT(ISBLANK(ReconciliationData[[#This Row],[Contract_Price]])),ReconciliationData[[#This Row],[Billed_Price]]&lt;&gt;ReconciliationData[[#This Row],[Contract_Price]]),1,0)</f>
        <v>0</v>
      </c>
      <c r="T1418">
        <f>IF(AND(NOT(ISBLANK(ReconciliationData[[#This Row],[End_Date]])),ReconciliationData[[#This Row],[Order_Date]]&gt;ReconciliationData[[#This Row],[End_Date]]),1,0)</f>
        <v>0</v>
      </c>
      <c r="U1418">
        <f>IF(AND(NOT(ISBLANK(ReconciliationData[[#This Row],[last_return_date]])),ReconciliationData[[#This Row],[last_return_date]]&gt;ReconciliationData[[#This Row],[Order_Date]]+60),1,0)</f>
        <v>1</v>
      </c>
      <c r="V1418">
        <f>IF(ReconciliationData[[#This Row],[total_returned_units]]&gt;ReconciliationData[[#This Row],[ordered_units]],1,0)</f>
        <v>0</v>
      </c>
      <c r="W14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18">
        <f>ReconciliationData[[#This Row],[Billed_Units]]*ReconciliationData[[#This Row],[Billed_Price]]</f>
        <v>70540.399999999994</v>
      </c>
      <c r="Y1418">
        <f>ReconciliationData[[#This Row],[ordered_units]]*ReconciliationData[[#This Row],[List_Price]]</f>
        <v>70540.399999999994</v>
      </c>
      <c r="Z1418">
        <f>ReconciliationData[[#This Row],[billed_revenue]]-ReconciliationData[[#This Row],[expected_revenue]]</f>
        <v>0</v>
      </c>
      <c r="AA14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418" t="str">
        <f>IF(ReconciliationData[[#This Row],[severity_score]]=0,"LOW",
 IF(ReconciliationData[[#This Row],[severity_score]]&lt;=5,"MEDIUM","HIGH"))</f>
        <v>MEDIUM</v>
      </c>
      <c r="AC1418" t="str">
        <f>TEXT(ReconciliationData[[#This Row],[Order_Date]],"YYYY-MM")</f>
        <v>2023-02</v>
      </c>
    </row>
    <row r="1419" spans="1:29">
      <c r="A1419" t="s">
        <v>3937</v>
      </c>
      <c r="B1419" s="1">
        <v>45327</v>
      </c>
      <c r="C1419" t="s">
        <v>2067</v>
      </c>
      <c r="D1419" t="s">
        <v>849</v>
      </c>
      <c r="E1419">
        <v>142</v>
      </c>
      <c r="F1419" t="s">
        <v>3938</v>
      </c>
      <c r="G1419">
        <v>142</v>
      </c>
      <c r="H1419">
        <v>428.46220000000005</v>
      </c>
      <c r="N1419">
        <v>428.46220000000005</v>
      </c>
      <c r="O1419" s="1">
        <v>45102</v>
      </c>
      <c r="P1419">
        <f>IF(ISBLANK(ReconciliationData[[#This Row],[Invoice_ID]]),1,0)</f>
        <v>0</v>
      </c>
      <c r="Q1419">
        <f>IF(AND(NOT(ISBLANK(ReconciliationData[[#This Row],[Billed_Units]])),ReconciliationData[[#This Row],[ordered_units]]&lt;&gt;ReconciliationData[[#This Row],[Billed_Units]]),1,0)</f>
        <v>0</v>
      </c>
      <c r="R14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19">
        <f>IF(AND(NOT(ISBLANK(ReconciliationData[[#This Row],[Contract_Price]])),ReconciliationData[[#This Row],[Billed_Price]]&lt;&gt;ReconciliationData[[#This Row],[Contract_Price]]),1,0)</f>
        <v>0</v>
      </c>
      <c r="T1419">
        <f>IF(AND(NOT(ISBLANK(ReconciliationData[[#This Row],[End_Date]])),ReconciliationData[[#This Row],[Order_Date]]&gt;ReconciliationData[[#This Row],[End_Date]]),1,0)</f>
        <v>0</v>
      </c>
      <c r="U1419">
        <f>IF(AND(NOT(ISBLANK(ReconciliationData[[#This Row],[last_return_date]])),ReconciliationData[[#This Row],[last_return_date]]&gt;ReconciliationData[[#This Row],[Order_Date]]+60),1,0)</f>
        <v>0</v>
      </c>
      <c r="V1419">
        <f>IF(ReconciliationData[[#This Row],[total_returned_units]]&gt;ReconciliationData[[#This Row],[ordered_units]],1,0)</f>
        <v>0</v>
      </c>
      <c r="W14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19">
        <f>ReconciliationData[[#This Row],[Billed_Units]]*ReconciliationData[[#This Row],[Billed_Price]]</f>
        <v>60841.63240000001</v>
      </c>
      <c r="Y1419">
        <f>ReconciliationData[[#This Row],[ordered_units]]*ReconciliationData[[#This Row],[List_Price]]</f>
        <v>60841.63240000001</v>
      </c>
      <c r="Z1419">
        <f>ReconciliationData[[#This Row],[billed_revenue]]-ReconciliationData[[#This Row],[expected_revenue]]</f>
        <v>0</v>
      </c>
      <c r="AA14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19" t="str">
        <f>IF(ReconciliationData[[#This Row],[severity_score]]=0,"LOW",
 IF(ReconciliationData[[#This Row],[severity_score]]&lt;=5,"MEDIUM","HIGH"))</f>
        <v>LOW</v>
      </c>
      <c r="AC1419" t="str">
        <f>TEXT(ReconciliationData[[#This Row],[Order_Date]],"YYYY-MM")</f>
        <v>2024-02</v>
      </c>
    </row>
    <row r="1420" spans="1:29">
      <c r="A1420" t="s">
        <v>3939</v>
      </c>
      <c r="B1420" s="1">
        <v>45407</v>
      </c>
      <c r="C1420" t="s">
        <v>3940</v>
      </c>
      <c r="D1420" t="s">
        <v>962</v>
      </c>
      <c r="E1420">
        <v>60</v>
      </c>
      <c r="F1420" t="s">
        <v>3941</v>
      </c>
      <c r="G1420">
        <v>60</v>
      </c>
      <c r="H1420">
        <v>709.52</v>
      </c>
      <c r="N1420">
        <v>709.52</v>
      </c>
      <c r="O1420" s="1">
        <v>44952</v>
      </c>
      <c r="P1420">
        <f>IF(ISBLANK(ReconciliationData[[#This Row],[Invoice_ID]]),1,0)</f>
        <v>0</v>
      </c>
      <c r="Q1420">
        <f>IF(AND(NOT(ISBLANK(ReconciliationData[[#This Row],[Billed_Units]])),ReconciliationData[[#This Row],[ordered_units]]&lt;&gt;ReconciliationData[[#This Row],[Billed_Units]]),1,0)</f>
        <v>0</v>
      </c>
      <c r="R14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20">
        <f>IF(AND(NOT(ISBLANK(ReconciliationData[[#This Row],[Contract_Price]])),ReconciliationData[[#This Row],[Billed_Price]]&lt;&gt;ReconciliationData[[#This Row],[Contract_Price]]),1,0)</f>
        <v>0</v>
      </c>
      <c r="T1420">
        <f>IF(AND(NOT(ISBLANK(ReconciliationData[[#This Row],[End_Date]])),ReconciliationData[[#This Row],[Order_Date]]&gt;ReconciliationData[[#This Row],[End_Date]]),1,0)</f>
        <v>0</v>
      </c>
      <c r="U1420">
        <f>IF(AND(NOT(ISBLANK(ReconciliationData[[#This Row],[last_return_date]])),ReconciliationData[[#This Row],[last_return_date]]&gt;ReconciliationData[[#This Row],[Order_Date]]+60),1,0)</f>
        <v>0</v>
      </c>
      <c r="V1420">
        <f>IF(ReconciliationData[[#This Row],[total_returned_units]]&gt;ReconciliationData[[#This Row],[ordered_units]],1,0)</f>
        <v>0</v>
      </c>
      <c r="W14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20">
        <f>ReconciliationData[[#This Row],[Billed_Units]]*ReconciliationData[[#This Row],[Billed_Price]]</f>
        <v>42571.199999999997</v>
      </c>
      <c r="Y1420">
        <f>ReconciliationData[[#This Row],[ordered_units]]*ReconciliationData[[#This Row],[List_Price]]</f>
        <v>42571.199999999997</v>
      </c>
      <c r="Z1420">
        <f>ReconciliationData[[#This Row],[billed_revenue]]-ReconciliationData[[#This Row],[expected_revenue]]</f>
        <v>0</v>
      </c>
      <c r="AA14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20" t="str">
        <f>IF(ReconciliationData[[#This Row],[severity_score]]=0,"LOW",
 IF(ReconciliationData[[#This Row],[severity_score]]&lt;=5,"MEDIUM","HIGH"))</f>
        <v>LOW</v>
      </c>
      <c r="AC1420" t="str">
        <f>TEXT(ReconciliationData[[#This Row],[Order_Date]],"YYYY-MM")</f>
        <v>2024-04</v>
      </c>
    </row>
    <row r="1421" spans="1:29">
      <c r="A1421" t="s">
        <v>3942</v>
      </c>
      <c r="B1421" s="1">
        <v>44953</v>
      </c>
      <c r="C1421" t="s">
        <v>929</v>
      </c>
      <c r="D1421" t="s">
        <v>647</v>
      </c>
      <c r="E1421">
        <v>46</v>
      </c>
      <c r="F1421" t="s">
        <v>3943</v>
      </c>
      <c r="G1421">
        <v>46</v>
      </c>
      <c r="H1421">
        <v>288.07</v>
      </c>
      <c r="I1421">
        <v>16</v>
      </c>
      <c r="J1421" s="1">
        <v>44979</v>
      </c>
      <c r="N1421">
        <v>288.07</v>
      </c>
      <c r="O1421" s="1">
        <v>44647</v>
      </c>
      <c r="P1421">
        <f>IF(ISBLANK(ReconciliationData[[#This Row],[Invoice_ID]]),1,0)</f>
        <v>0</v>
      </c>
      <c r="Q1421">
        <f>IF(AND(NOT(ISBLANK(ReconciliationData[[#This Row],[Billed_Units]])),ReconciliationData[[#This Row],[ordered_units]]&lt;&gt;ReconciliationData[[#This Row],[Billed_Units]]),1,0)</f>
        <v>0</v>
      </c>
      <c r="R14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21">
        <f>IF(AND(NOT(ISBLANK(ReconciliationData[[#This Row],[Contract_Price]])),ReconciliationData[[#This Row],[Billed_Price]]&lt;&gt;ReconciliationData[[#This Row],[Contract_Price]]),1,0)</f>
        <v>0</v>
      </c>
      <c r="T1421">
        <f>IF(AND(NOT(ISBLANK(ReconciliationData[[#This Row],[End_Date]])),ReconciliationData[[#This Row],[Order_Date]]&gt;ReconciliationData[[#This Row],[End_Date]]),1,0)</f>
        <v>0</v>
      </c>
      <c r="U1421">
        <f>IF(AND(NOT(ISBLANK(ReconciliationData[[#This Row],[last_return_date]])),ReconciliationData[[#This Row],[last_return_date]]&gt;ReconciliationData[[#This Row],[Order_Date]]+60),1,0)</f>
        <v>0</v>
      </c>
      <c r="V1421">
        <f>IF(ReconciliationData[[#This Row],[total_returned_units]]&gt;ReconciliationData[[#This Row],[ordered_units]],1,0)</f>
        <v>0</v>
      </c>
      <c r="W14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21">
        <f>ReconciliationData[[#This Row],[Billed_Units]]*ReconciliationData[[#This Row],[Billed_Price]]</f>
        <v>13251.22</v>
      </c>
      <c r="Y1421">
        <f>ReconciliationData[[#This Row],[ordered_units]]*ReconciliationData[[#This Row],[List_Price]]</f>
        <v>13251.22</v>
      </c>
      <c r="Z1421">
        <f>ReconciliationData[[#This Row],[billed_revenue]]-ReconciliationData[[#This Row],[expected_revenue]]</f>
        <v>0</v>
      </c>
      <c r="AA14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21" t="str">
        <f>IF(ReconciliationData[[#This Row],[severity_score]]=0,"LOW",
 IF(ReconciliationData[[#This Row],[severity_score]]&lt;=5,"MEDIUM","HIGH"))</f>
        <v>LOW</v>
      </c>
      <c r="AC1421" t="str">
        <f>TEXT(ReconciliationData[[#This Row],[Order_Date]],"YYYY-MM")</f>
        <v>2023-01</v>
      </c>
    </row>
    <row r="1422" spans="1:29">
      <c r="A1422" t="s">
        <v>3944</v>
      </c>
      <c r="B1422" s="1">
        <v>45345</v>
      </c>
      <c r="C1422" t="s">
        <v>3326</v>
      </c>
      <c r="D1422" t="s">
        <v>2035</v>
      </c>
      <c r="E1422">
        <v>111</v>
      </c>
      <c r="F1422" t="s">
        <v>3945</v>
      </c>
      <c r="G1422">
        <v>111</v>
      </c>
      <c r="H1422">
        <v>1160.7750039494179</v>
      </c>
      <c r="N1422">
        <v>1160.71</v>
      </c>
      <c r="O1422" s="1">
        <v>44964</v>
      </c>
      <c r="P1422">
        <f>IF(ISBLANK(ReconciliationData[[#This Row],[Invoice_ID]]),1,0)</f>
        <v>0</v>
      </c>
      <c r="Q1422">
        <f>IF(AND(NOT(ISBLANK(ReconciliationData[[#This Row],[Billed_Units]])),ReconciliationData[[#This Row],[ordered_units]]&lt;&gt;ReconciliationData[[#This Row],[Billed_Units]]),1,0)</f>
        <v>0</v>
      </c>
      <c r="R142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422">
        <f>IF(AND(NOT(ISBLANK(ReconciliationData[[#This Row],[Contract_Price]])),ReconciliationData[[#This Row],[Billed_Price]]&lt;&gt;ReconciliationData[[#This Row],[Contract_Price]]),1,0)</f>
        <v>0</v>
      </c>
      <c r="T1422">
        <f>IF(AND(NOT(ISBLANK(ReconciliationData[[#This Row],[End_Date]])),ReconciliationData[[#This Row],[Order_Date]]&gt;ReconciliationData[[#This Row],[End_Date]]),1,0)</f>
        <v>0</v>
      </c>
      <c r="U1422">
        <f>IF(AND(NOT(ISBLANK(ReconciliationData[[#This Row],[last_return_date]])),ReconciliationData[[#This Row],[last_return_date]]&gt;ReconciliationData[[#This Row],[Order_Date]]+60),1,0)</f>
        <v>0</v>
      </c>
      <c r="V1422">
        <f>IF(ReconciliationData[[#This Row],[total_returned_units]]&gt;ReconciliationData[[#This Row],[ordered_units]],1,0)</f>
        <v>0</v>
      </c>
      <c r="W14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22">
        <f>ReconciliationData[[#This Row],[Billed_Units]]*ReconciliationData[[#This Row],[Billed_Price]]</f>
        <v>128846.02543838538</v>
      </c>
      <c r="Y1422">
        <f>ReconciliationData[[#This Row],[ordered_units]]*ReconciliationData[[#This Row],[List_Price]]</f>
        <v>128838.81</v>
      </c>
      <c r="Z1422">
        <f>ReconciliationData[[#This Row],[billed_revenue]]-ReconciliationData[[#This Row],[expected_revenue]]</f>
        <v>7.215438385377638</v>
      </c>
      <c r="AA14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422" t="str">
        <f>IF(ReconciliationData[[#This Row],[severity_score]]=0,"LOW",
 IF(ReconciliationData[[#This Row],[severity_score]]&lt;=5,"MEDIUM","HIGH"))</f>
        <v>MEDIUM</v>
      </c>
      <c r="AC1422" t="str">
        <f>TEXT(ReconciliationData[[#This Row],[Order_Date]],"YYYY-MM")</f>
        <v>2024-02</v>
      </c>
    </row>
    <row r="1423" spans="1:29">
      <c r="A1423" t="s">
        <v>3946</v>
      </c>
      <c r="B1423" s="1">
        <v>45166</v>
      </c>
      <c r="C1423" t="s">
        <v>1765</v>
      </c>
      <c r="D1423" t="s">
        <v>412</v>
      </c>
      <c r="E1423">
        <v>163</v>
      </c>
      <c r="F1423" t="s">
        <v>3947</v>
      </c>
      <c r="G1423">
        <v>163</v>
      </c>
      <c r="H1423">
        <v>1160.5650000000001</v>
      </c>
      <c r="N1423">
        <v>1160.5650000000001</v>
      </c>
      <c r="O1423" s="1">
        <v>45055</v>
      </c>
      <c r="P1423">
        <f>IF(ISBLANK(ReconciliationData[[#This Row],[Invoice_ID]]),1,0)</f>
        <v>0</v>
      </c>
      <c r="Q1423">
        <f>IF(AND(NOT(ISBLANK(ReconciliationData[[#This Row],[Billed_Units]])),ReconciliationData[[#This Row],[ordered_units]]&lt;&gt;ReconciliationData[[#This Row],[Billed_Units]]),1,0)</f>
        <v>0</v>
      </c>
      <c r="R14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23">
        <f>IF(AND(NOT(ISBLANK(ReconciliationData[[#This Row],[Contract_Price]])),ReconciliationData[[#This Row],[Billed_Price]]&lt;&gt;ReconciliationData[[#This Row],[Contract_Price]]),1,0)</f>
        <v>0</v>
      </c>
      <c r="T1423">
        <f>IF(AND(NOT(ISBLANK(ReconciliationData[[#This Row],[End_Date]])),ReconciliationData[[#This Row],[Order_Date]]&gt;ReconciliationData[[#This Row],[End_Date]]),1,0)</f>
        <v>0</v>
      </c>
      <c r="U1423">
        <f>IF(AND(NOT(ISBLANK(ReconciliationData[[#This Row],[last_return_date]])),ReconciliationData[[#This Row],[last_return_date]]&gt;ReconciliationData[[#This Row],[Order_Date]]+60),1,0)</f>
        <v>0</v>
      </c>
      <c r="V1423">
        <f>IF(ReconciliationData[[#This Row],[total_returned_units]]&gt;ReconciliationData[[#This Row],[ordered_units]],1,0)</f>
        <v>0</v>
      </c>
      <c r="W14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23">
        <f>ReconciliationData[[#This Row],[Billed_Units]]*ReconciliationData[[#This Row],[Billed_Price]]</f>
        <v>189172.095</v>
      </c>
      <c r="Y1423">
        <f>ReconciliationData[[#This Row],[ordered_units]]*ReconciliationData[[#This Row],[List_Price]]</f>
        <v>189172.095</v>
      </c>
      <c r="Z1423">
        <f>ReconciliationData[[#This Row],[billed_revenue]]-ReconciliationData[[#This Row],[expected_revenue]]</f>
        <v>0</v>
      </c>
      <c r="AA14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23" t="str">
        <f>IF(ReconciliationData[[#This Row],[severity_score]]=0,"LOW",
 IF(ReconciliationData[[#This Row],[severity_score]]&lt;=5,"MEDIUM","HIGH"))</f>
        <v>LOW</v>
      </c>
      <c r="AC1423" t="str">
        <f>TEXT(ReconciliationData[[#This Row],[Order_Date]],"YYYY-MM")</f>
        <v>2023-08</v>
      </c>
    </row>
    <row r="1424" spans="1:29">
      <c r="A1424" t="s">
        <v>3948</v>
      </c>
      <c r="B1424" s="1">
        <v>45311</v>
      </c>
      <c r="C1424" t="s">
        <v>3949</v>
      </c>
      <c r="D1424" t="s">
        <v>271</v>
      </c>
      <c r="E1424">
        <v>102</v>
      </c>
      <c r="F1424" t="s">
        <v>3950</v>
      </c>
      <c r="G1424">
        <v>102</v>
      </c>
      <c r="H1424">
        <v>54.580199999999998</v>
      </c>
      <c r="N1424">
        <v>54.580199999999998</v>
      </c>
      <c r="O1424" s="1">
        <v>44984</v>
      </c>
      <c r="P1424">
        <f>IF(ISBLANK(ReconciliationData[[#This Row],[Invoice_ID]]),1,0)</f>
        <v>0</v>
      </c>
      <c r="Q1424">
        <f>IF(AND(NOT(ISBLANK(ReconciliationData[[#This Row],[Billed_Units]])),ReconciliationData[[#This Row],[ordered_units]]&lt;&gt;ReconciliationData[[#This Row],[Billed_Units]]),1,0)</f>
        <v>0</v>
      </c>
      <c r="R14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24">
        <f>IF(AND(NOT(ISBLANK(ReconciliationData[[#This Row],[Contract_Price]])),ReconciliationData[[#This Row],[Billed_Price]]&lt;&gt;ReconciliationData[[#This Row],[Contract_Price]]),1,0)</f>
        <v>0</v>
      </c>
      <c r="T1424">
        <f>IF(AND(NOT(ISBLANK(ReconciliationData[[#This Row],[End_Date]])),ReconciliationData[[#This Row],[Order_Date]]&gt;ReconciliationData[[#This Row],[End_Date]]),1,0)</f>
        <v>0</v>
      </c>
      <c r="U1424">
        <f>IF(AND(NOT(ISBLANK(ReconciliationData[[#This Row],[last_return_date]])),ReconciliationData[[#This Row],[last_return_date]]&gt;ReconciliationData[[#This Row],[Order_Date]]+60),1,0)</f>
        <v>0</v>
      </c>
      <c r="V1424">
        <f>IF(ReconciliationData[[#This Row],[total_returned_units]]&gt;ReconciliationData[[#This Row],[ordered_units]],1,0)</f>
        <v>0</v>
      </c>
      <c r="W14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24">
        <f>ReconciliationData[[#This Row],[Billed_Units]]*ReconciliationData[[#This Row],[Billed_Price]]</f>
        <v>5567.1804000000002</v>
      </c>
      <c r="Y1424">
        <f>ReconciliationData[[#This Row],[ordered_units]]*ReconciliationData[[#This Row],[List_Price]]</f>
        <v>5567.1804000000002</v>
      </c>
      <c r="Z1424">
        <f>ReconciliationData[[#This Row],[billed_revenue]]-ReconciliationData[[#This Row],[expected_revenue]]</f>
        <v>0</v>
      </c>
      <c r="AA14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24" t="str">
        <f>IF(ReconciliationData[[#This Row],[severity_score]]=0,"LOW",
 IF(ReconciliationData[[#This Row],[severity_score]]&lt;=5,"MEDIUM","HIGH"))</f>
        <v>LOW</v>
      </c>
      <c r="AC1424" t="str">
        <f>TEXT(ReconciliationData[[#This Row],[Order_Date]],"YYYY-MM")</f>
        <v>2024-01</v>
      </c>
    </row>
    <row r="1425" spans="1:29">
      <c r="A1425" t="s">
        <v>3951</v>
      </c>
      <c r="B1425" s="1">
        <v>45086</v>
      </c>
      <c r="C1425" t="s">
        <v>1478</v>
      </c>
      <c r="D1425" t="s">
        <v>533</v>
      </c>
      <c r="E1425">
        <v>15</v>
      </c>
      <c r="F1425" t="s">
        <v>3952</v>
      </c>
      <c r="G1425">
        <v>15</v>
      </c>
      <c r="H1425">
        <v>859.25750000000005</v>
      </c>
      <c r="N1425">
        <v>859.25750000000005</v>
      </c>
      <c r="O1425" s="1">
        <v>44782</v>
      </c>
      <c r="P1425">
        <f>IF(ISBLANK(ReconciliationData[[#This Row],[Invoice_ID]]),1,0)</f>
        <v>0</v>
      </c>
      <c r="Q1425">
        <f>IF(AND(NOT(ISBLANK(ReconciliationData[[#This Row],[Billed_Units]])),ReconciliationData[[#This Row],[ordered_units]]&lt;&gt;ReconciliationData[[#This Row],[Billed_Units]]),1,0)</f>
        <v>0</v>
      </c>
      <c r="R14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25">
        <f>IF(AND(NOT(ISBLANK(ReconciliationData[[#This Row],[Contract_Price]])),ReconciliationData[[#This Row],[Billed_Price]]&lt;&gt;ReconciliationData[[#This Row],[Contract_Price]]),1,0)</f>
        <v>0</v>
      </c>
      <c r="T1425">
        <f>IF(AND(NOT(ISBLANK(ReconciliationData[[#This Row],[End_Date]])),ReconciliationData[[#This Row],[Order_Date]]&gt;ReconciliationData[[#This Row],[End_Date]]),1,0)</f>
        <v>0</v>
      </c>
      <c r="U1425">
        <f>IF(AND(NOT(ISBLANK(ReconciliationData[[#This Row],[last_return_date]])),ReconciliationData[[#This Row],[last_return_date]]&gt;ReconciliationData[[#This Row],[Order_Date]]+60),1,0)</f>
        <v>0</v>
      </c>
      <c r="V1425">
        <f>IF(ReconciliationData[[#This Row],[total_returned_units]]&gt;ReconciliationData[[#This Row],[ordered_units]],1,0)</f>
        <v>0</v>
      </c>
      <c r="W14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25">
        <f>ReconciliationData[[#This Row],[Billed_Units]]*ReconciliationData[[#This Row],[Billed_Price]]</f>
        <v>12888.862500000001</v>
      </c>
      <c r="Y1425">
        <f>ReconciliationData[[#This Row],[ordered_units]]*ReconciliationData[[#This Row],[List_Price]]</f>
        <v>12888.862500000001</v>
      </c>
      <c r="Z1425">
        <f>ReconciliationData[[#This Row],[billed_revenue]]-ReconciliationData[[#This Row],[expected_revenue]]</f>
        <v>0</v>
      </c>
      <c r="AA14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25" t="str">
        <f>IF(ReconciliationData[[#This Row],[severity_score]]=0,"LOW",
 IF(ReconciliationData[[#This Row],[severity_score]]&lt;=5,"MEDIUM","HIGH"))</f>
        <v>LOW</v>
      </c>
      <c r="AC1425" t="str">
        <f>TEXT(ReconciliationData[[#This Row],[Order_Date]],"YYYY-MM")</f>
        <v>2023-06</v>
      </c>
    </row>
    <row r="1426" spans="1:29">
      <c r="A1426" t="s">
        <v>3953</v>
      </c>
      <c r="B1426" s="1">
        <v>45170</v>
      </c>
      <c r="C1426" t="s">
        <v>3174</v>
      </c>
      <c r="D1426" t="s">
        <v>3954</v>
      </c>
      <c r="E1426">
        <v>23</v>
      </c>
      <c r="F1426" t="s">
        <v>3955</v>
      </c>
      <c r="G1426">
        <v>23</v>
      </c>
      <c r="H1426">
        <v>269.95269999999999</v>
      </c>
      <c r="N1426">
        <v>269.95269999999999</v>
      </c>
      <c r="O1426" s="1">
        <v>44781</v>
      </c>
      <c r="P1426">
        <f>IF(ISBLANK(ReconciliationData[[#This Row],[Invoice_ID]]),1,0)</f>
        <v>0</v>
      </c>
      <c r="Q1426">
        <f>IF(AND(NOT(ISBLANK(ReconciliationData[[#This Row],[Billed_Units]])),ReconciliationData[[#This Row],[ordered_units]]&lt;&gt;ReconciliationData[[#This Row],[Billed_Units]]),1,0)</f>
        <v>0</v>
      </c>
      <c r="R14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26">
        <f>IF(AND(NOT(ISBLANK(ReconciliationData[[#This Row],[Contract_Price]])),ReconciliationData[[#This Row],[Billed_Price]]&lt;&gt;ReconciliationData[[#This Row],[Contract_Price]]),1,0)</f>
        <v>0</v>
      </c>
      <c r="T1426">
        <f>IF(AND(NOT(ISBLANK(ReconciliationData[[#This Row],[End_Date]])),ReconciliationData[[#This Row],[Order_Date]]&gt;ReconciliationData[[#This Row],[End_Date]]),1,0)</f>
        <v>0</v>
      </c>
      <c r="U1426">
        <f>IF(AND(NOT(ISBLANK(ReconciliationData[[#This Row],[last_return_date]])),ReconciliationData[[#This Row],[last_return_date]]&gt;ReconciliationData[[#This Row],[Order_Date]]+60),1,0)</f>
        <v>0</v>
      </c>
      <c r="V1426">
        <f>IF(ReconciliationData[[#This Row],[total_returned_units]]&gt;ReconciliationData[[#This Row],[ordered_units]],1,0)</f>
        <v>0</v>
      </c>
      <c r="W14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26">
        <f>ReconciliationData[[#This Row],[Billed_Units]]*ReconciliationData[[#This Row],[Billed_Price]]</f>
        <v>6208.9120999999996</v>
      </c>
      <c r="Y1426">
        <f>ReconciliationData[[#This Row],[ordered_units]]*ReconciliationData[[#This Row],[List_Price]]</f>
        <v>6208.9120999999996</v>
      </c>
      <c r="Z1426">
        <f>ReconciliationData[[#This Row],[billed_revenue]]-ReconciliationData[[#This Row],[expected_revenue]]</f>
        <v>0</v>
      </c>
      <c r="AA14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26" t="str">
        <f>IF(ReconciliationData[[#This Row],[severity_score]]=0,"LOW",
 IF(ReconciliationData[[#This Row],[severity_score]]&lt;=5,"MEDIUM","HIGH"))</f>
        <v>LOW</v>
      </c>
      <c r="AC1426" t="str">
        <f>TEXT(ReconciliationData[[#This Row],[Order_Date]],"YYYY-MM")</f>
        <v>2023-09</v>
      </c>
    </row>
    <row r="1427" spans="1:29">
      <c r="A1427" t="s">
        <v>3956</v>
      </c>
      <c r="B1427" s="1">
        <v>45482</v>
      </c>
      <c r="C1427" t="s">
        <v>388</v>
      </c>
      <c r="D1427" t="s">
        <v>512</v>
      </c>
      <c r="E1427">
        <v>141</v>
      </c>
      <c r="F1427" t="s">
        <v>3957</v>
      </c>
      <c r="G1427">
        <v>141</v>
      </c>
      <c r="H1427">
        <v>211.68960000000001</v>
      </c>
      <c r="N1427">
        <v>211.68960000000001</v>
      </c>
      <c r="O1427" s="1">
        <v>45129</v>
      </c>
      <c r="P1427">
        <f>IF(ISBLANK(ReconciliationData[[#This Row],[Invoice_ID]]),1,0)</f>
        <v>0</v>
      </c>
      <c r="Q1427">
        <f>IF(AND(NOT(ISBLANK(ReconciliationData[[#This Row],[Billed_Units]])),ReconciliationData[[#This Row],[ordered_units]]&lt;&gt;ReconciliationData[[#This Row],[Billed_Units]]),1,0)</f>
        <v>0</v>
      </c>
      <c r="R14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27">
        <f>IF(AND(NOT(ISBLANK(ReconciliationData[[#This Row],[Contract_Price]])),ReconciliationData[[#This Row],[Billed_Price]]&lt;&gt;ReconciliationData[[#This Row],[Contract_Price]]),1,0)</f>
        <v>0</v>
      </c>
      <c r="T1427">
        <f>IF(AND(NOT(ISBLANK(ReconciliationData[[#This Row],[End_Date]])),ReconciliationData[[#This Row],[Order_Date]]&gt;ReconciliationData[[#This Row],[End_Date]]),1,0)</f>
        <v>0</v>
      </c>
      <c r="U1427">
        <f>IF(AND(NOT(ISBLANK(ReconciliationData[[#This Row],[last_return_date]])),ReconciliationData[[#This Row],[last_return_date]]&gt;ReconciliationData[[#This Row],[Order_Date]]+60),1,0)</f>
        <v>0</v>
      </c>
      <c r="V1427">
        <f>IF(ReconciliationData[[#This Row],[total_returned_units]]&gt;ReconciliationData[[#This Row],[ordered_units]],1,0)</f>
        <v>0</v>
      </c>
      <c r="W14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27">
        <f>ReconciliationData[[#This Row],[Billed_Units]]*ReconciliationData[[#This Row],[Billed_Price]]</f>
        <v>29848.233600000003</v>
      </c>
      <c r="Y1427">
        <f>ReconciliationData[[#This Row],[ordered_units]]*ReconciliationData[[#This Row],[List_Price]]</f>
        <v>29848.233600000003</v>
      </c>
      <c r="Z1427">
        <f>ReconciliationData[[#This Row],[billed_revenue]]-ReconciliationData[[#This Row],[expected_revenue]]</f>
        <v>0</v>
      </c>
      <c r="AA14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27" t="str">
        <f>IF(ReconciliationData[[#This Row],[severity_score]]=0,"LOW",
 IF(ReconciliationData[[#This Row],[severity_score]]&lt;=5,"MEDIUM","HIGH"))</f>
        <v>LOW</v>
      </c>
      <c r="AC1427" t="str">
        <f>TEXT(ReconciliationData[[#This Row],[Order_Date]],"YYYY-MM")</f>
        <v>2024-07</v>
      </c>
    </row>
    <row r="1428" spans="1:29">
      <c r="A1428" t="s">
        <v>3958</v>
      </c>
      <c r="B1428" s="1">
        <v>45318</v>
      </c>
      <c r="C1428" t="s">
        <v>1021</v>
      </c>
      <c r="D1428" t="s">
        <v>1945</v>
      </c>
      <c r="E1428">
        <v>129</v>
      </c>
      <c r="F1428" t="s">
        <v>3959</v>
      </c>
      <c r="G1428">
        <v>129</v>
      </c>
      <c r="H1428">
        <v>1178.6880000000001</v>
      </c>
      <c r="N1428">
        <v>1178.6880000000001</v>
      </c>
      <c r="O1428" s="1">
        <v>44930</v>
      </c>
      <c r="P1428">
        <f>IF(ISBLANK(ReconciliationData[[#This Row],[Invoice_ID]]),1,0)</f>
        <v>0</v>
      </c>
      <c r="Q1428">
        <f>IF(AND(NOT(ISBLANK(ReconciliationData[[#This Row],[Billed_Units]])),ReconciliationData[[#This Row],[ordered_units]]&lt;&gt;ReconciliationData[[#This Row],[Billed_Units]]),1,0)</f>
        <v>0</v>
      </c>
      <c r="R14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28">
        <f>IF(AND(NOT(ISBLANK(ReconciliationData[[#This Row],[Contract_Price]])),ReconciliationData[[#This Row],[Billed_Price]]&lt;&gt;ReconciliationData[[#This Row],[Contract_Price]]),1,0)</f>
        <v>0</v>
      </c>
      <c r="T1428">
        <f>IF(AND(NOT(ISBLANK(ReconciliationData[[#This Row],[End_Date]])),ReconciliationData[[#This Row],[Order_Date]]&gt;ReconciliationData[[#This Row],[End_Date]]),1,0)</f>
        <v>0</v>
      </c>
      <c r="U1428">
        <f>IF(AND(NOT(ISBLANK(ReconciliationData[[#This Row],[last_return_date]])),ReconciliationData[[#This Row],[last_return_date]]&gt;ReconciliationData[[#This Row],[Order_Date]]+60),1,0)</f>
        <v>0</v>
      </c>
      <c r="V1428">
        <f>IF(ReconciliationData[[#This Row],[total_returned_units]]&gt;ReconciliationData[[#This Row],[ordered_units]],1,0)</f>
        <v>0</v>
      </c>
      <c r="W14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28">
        <f>ReconciliationData[[#This Row],[Billed_Units]]*ReconciliationData[[#This Row],[Billed_Price]]</f>
        <v>152050.75200000001</v>
      </c>
      <c r="Y1428">
        <f>ReconciliationData[[#This Row],[ordered_units]]*ReconciliationData[[#This Row],[List_Price]]</f>
        <v>152050.75200000001</v>
      </c>
      <c r="Z1428">
        <f>ReconciliationData[[#This Row],[billed_revenue]]-ReconciliationData[[#This Row],[expected_revenue]]</f>
        <v>0</v>
      </c>
      <c r="AA14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28" t="str">
        <f>IF(ReconciliationData[[#This Row],[severity_score]]=0,"LOW",
 IF(ReconciliationData[[#This Row],[severity_score]]&lt;=5,"MEDIUM","HIGH"))</f>
        <v>LOW</v>
      </c>
      <c r="AC1428" t="str">
        <f>TEXT(ReconciliationData[[#This Row],[Order_Date]],"YYYY-MM")</f>
        <v>2024-01</v>
      </c>
    </row>
    <row r="1429" spans="1:29">
      <c r="A1429" t="s">
        <v>3960</v>
      </c>
      <c r="B1429" s="1">
        <v>45247</v>
      </c>
      <c r="C1429" t="s">
        <v>1501</v>
      </c>
      <c r="D1429" t="s">
        <v>142</v>
      </c>
      <c r="E1429">
        <v>82</v>
      </c>
      <c r="F1429" t="s">
        <v>3961</v>
      </c>
      <c r="G1429">
        <v>82</v>
      </c>
      <c r="H1429">
        <v>189.1498</v>
      </c>
      <c r="N1429">
        <v>189.1498</v>
      </c>
      <c r="O1429" s="1">
        <v>45108</v>
      </c>
      <c r="P1429">
        <f>IF(ISBLANK(ReconciliationData[[#This Row],[Invoice_ID]]),1,0)</f>
        <v>0</v>
      </c>
      <c r="Q1429">
        <f>IF(AND(NOT(ISBLANK(ReconciliationData[[#This Row],[Billed_Units]])),ReconciliationData[[#This Row],[ordered_units]]&lt;&gt;ReconciliationData[[#This Row],[Billed_Units]]),1,0)</f>
        <v>0</v>
      </c>
      <c r="R14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29">
        <f>IF(AND(NOT(ISBLANK(ReconciliationData[[#This Row],[Contract_Price]])),ReconciliationData[[#This Row],[Billed_Price]]&lt;&gt;ReconciliationData[[#This Row],[Contract_Price]]),1,0)</f>
        <v>0</v>
      </c>
      <c r="T1429">
        <f>IF(AND(NOT(ISBLANK(ReconciliationData[[#This Row],[End_Date]])),ReconciliationData[[#This Row],[Order_Date]]&gt;ReconciliationData[[#This Row],[End_Date]]),1,0)</f>
        <v>0</v>
      </c>
      <c r="U1429">
        <f>IF(AND(NOT(ISBLANK(ReconciliationData[[#This Row],[last_return_date]])),ReconciliationData[[#This Row],[last_return_date]]&gt;ReconciliationData[[#This Row],[Order_Date]]+60),1,0)</f>
        <v>0</v>
      </c>
      <c r="V1429">
        <f>IF(ReconciliationData[[#This Row],[total_returned_units]]&gt;ReconciliationData[[#This Row],[ordered_units]],1,0)</f>
        <v>0</v>
      </c>
      <c r="W14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29">
        <f>ReconciliationData[[#This Row],[Billed_Units]]*ReconciliationData[[#This Row],[Billed_Price]]</f>
        <v>15510.283600000001</v>
      </c>
      <c r="Y1429">
        <f>ReconciliationData[[#This Row],[ordered_units]]*ReconciliationData[[#This Row],[List_Price]]</f>
        <v>15510.283600000001</v>
      </c>
      <c r="Z1429">
        <f>ReconciliationData[[#This Row],[billed_revenue]]-ReconciliationData[[#This Row],[expected_revenue]]</f>
        <v>0</v>
      </c>
      <c r="AA14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29" t="str">
        <f>IF(ReconciliationData[[#This Row],[severity_score]]=0,"LOW",
 IF(ReconciliationData[[#This Row],[severity_score]]&lt;=5,"MEDIUM","HIGH"))</f>
        <v>LOW</v>
      </c>
      <c r="AC1429" t="str">
        <f>TEXT(ReconciliationData[[#This Row],[Order_Date]],"YYYY-MM")</f>
        <v>2023-11</v>
      </c>
    </row>
    <row r="1430" spans="1:29">
      <c r="A1430" t="s">
        <v>3962</v>
      </c>
      <c r="B1430" s="1">
        <v>45155</v>
      </c>
      <c r="C1430" t="s">
        <v>415</v>
      </c>
      <c r="D1430" t="s">
        <v>1235</v>
      </c>
      <c r="E1430">
        <v>113</v>
      </c>
      <c r="F1430" t="s">
        <v>3963</v>
      </c>
      <c r="G1430">
        <v>113</v>
      </c>
      <c r="H1430">
        <v>892.55520000000013</v>
      </c>
      <c r="N1430">
        <v>892.55520000000013</v>
      </c>
      <c r="O1430" s="1">
        <v>44985</v>
      </c>
      <c r="P1430">
        <f>IF(ISBLANK(ReconciliationData[[#This Row],[Invoice_ID]]),1,0)</f>
        <v>0</v>
      </c>
      <c r="Q1430">
        <f>IF(AND(NOT(ISBLANK(ReconciliationData[[#This Row],[Billed_Units]])),ReconciliationData[[#This Row],[ordered_units]]&lt;&gt;ReconciliationData[[#This Row],[Billed_Units]]),1,0)</f>
        <v>0</v>
      </c>
      <c r="R14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0">
        <f>IF(AND(NOT(ISBLANK(ReconciliationData[[#This Row],[Contract_Price]])),ReconciliationData[[#This Row],[Billed_Price]]&lt;&gt;ReconciliationData[[#This Row],[Contract_Price]]),1,0)</f>
        <v>0</v>
      </c>
      <c r="T1430">
        <f>IF(AND(NOT(ISBLANK(ReconciliationData[[#This Row],[End_Date]])),ReconciliationData[[#This Row],[Order_Date]]&gt;ReconciliationData[[#This Row],[End_Date]]),1,0)</f>
        <v>0</v>
      </c>
      <c r="U1430">
        <f>IF(AND(NOT(ISBLANK(ReconciliationData[[#This Row],[last_return_date]])),ReconciliationData[[#This Row],[last_return_date]]&gt;ReconciliationData[[#This Row],[Order_Date]]+60),1,0)</f>
        <v>0</v>
      </c>
      <c r="V1430">
        <f>IF(ReconciliationData[[#This Row],[total_returned_units]]&gt;ReconciliationData[[#This Row],[ordered_units]],1,0)</f>
        <v>0</v>
      </c>
      <c r="W14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0">
        <f>ReconciliationData[[#This Row],[Billed_Units]]*ReconciliationData[[#This Row],[Billed_Price]]</f>
        <v>100858.73760000001</v>
      </c>
      <c r="Y1430">
        <f>ReconciliationData[[#This Row],[ordered_units]]*ReconciliationData[[#This Row],[List_Price]]</f>
        <v>100858.73760000001</v>
      </c>
      <c r="Z1430">
        <f>ReconciliationData[[#This Row],[billed_revenue]]-ReconciliationData[[#This Row],[expected_revenue]]</f>
        <v>0</v>
      </c>
      <c r="AA14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0" t="str">
        <f>IF(ReconciliationData[[#This Row],[severity_score]]=0,"LOW",
 IF(ReconciliationData[[#This Row],[severity_score]]&lt;=5,"MEDIUM","HIGH"))</f>
        <v>LOW</v>
      </c>
      <c r="AC1430" t="str">
        <f>TEXT(ReconciliationData[[#This Row],[Order_Date]],"YYYY-MM")</f>
        <v>2023-08</v>
      </c>
    </row>
    <row r="1431" spans="1:29">
      <c r="A1431" t="s">
        <v>3964</v>
      </c>
      <c r="B1431" s="1">
        <v>44983</v>
      </c>
      <c r="C1431" t="s">
        <v>1705</v>
      </c>
      <c r="D1431" t="s">
        <v>832</v>
      </c>
      <c r="E1431">
        <v>92</v>
      </c>
      <c r="F1431" t="s">
        <v>3965</v>
      </c>
      <c r="G1431">
        <v>92</v>
      </c>
      <c r="H1431">
        <v>309.07</v>
      </c>
      <c r="N1431">
        <v>309.07</v>
      </c>
      <c r="O1431" s="1">
        <v>44675</v>
      </c>
      <c r="P1431">
        <f>IF(ISBLANK(ReconciliationData[[#This Row],[Invoice_ID]]),1,0)</f>
        <v>0</v>
      </c>
      <c r="Q1431">
        <f>IF(AND(NOT(ISBLANK(ReconciliationData[[#This Row],[Billed_Units]])),ReconciliationData[[#This Row],[ordered_units]]&lt;&gt;ReconciliationData[[#This Row],[Billed_Units]]),1,0)</f>
        <v>0</v>
      </c>
      <c r="R14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1">
        <f>IF(AND(NOT(ISBLANK(ReconciliationData[[#This Row],[Contract_Price]])),ReconciliationData[[#This Row],[Billed_Price]]&lt;&gt;ReconciliationData[[#This Row],[Contract_Price]]),1,0)</f>
        <v>0</v>
      </c>
      <c r="T1431">
        <f>IF(AND(NOT(ISBLANK(ReconciliationData[[#This Row],[End_Date]])),ReconciliationData[[#This Row],[Order_Date]]&gt;ReconciliationData[[#This Row],[End_Date]]),1,0)</f>
        <v>0</v>
      </c>
      <c r="U1431">
        <f>IF(AND(NOT(ISBLANK(ReconciliationData[[#This Row],[last_return_date]])),ReconciliationData[[#This Row],[last_return_date]]&gt;ReconciliationData[[#This Row],[Order_Date]]+60),1,0)</f>
        <v>0</v>
      </c>
      <c r="V1431">
        <f>IF(ReconciliationData[[#This Row],[total_returned_units]]&gt;ReconciliationData[[#This Row],[ordered_units]],1,0)</f>
        <v>0</v>
      </c>
      <c r="W14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1">
        <f>ReconciliationData[[#This Row],[Billed_Units]]*ReconciliationData[[#This Row],[Billed_Price]]</f>
        <v>28434.44</v>
      </c>
      <c r="Y1431">
        <f>ReconciliationData[[#This Row],[ordered_units]]*ReconciliationData[[#This Row],[List_Price]]</f>
        <v>28434.44</v>
      </c>
      <c r="Z1431">
        <f>ReconciliationData[[#This Row],[billed_revenue]]-ReconciliationData[[#This Row],[expected_revenue]]</f>
        <v>0</v>
      </c>
      <c r="AA14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1" t="str">
        <f>IF(ReconciliationData[[#This Row],[severity_score]]=0,"LOW",
 IF(ReconciliationData[[#This Row],[severity_score]]&lt;=5,"MEDIUM","HIGH"))</f>
        <v>LOW</v>
      </c>
      <c r="AC1431" t="str">
        <f>TEXT(ReconciliationData[[#This Row],[Order_Date]],"YYYY-MM")</f>
        <v>2023-02</v>
      </c>
    </row>
    <row r="1432" spans="1:29">
      <c r="A1432" t="s">
        <v>3966</v>
      </c>
      <c r="B1432" s="1">
        <v>45496</v>
      </c>
      <c r="C1432" t="s">
        <v>3522</v>
      </c>
      <c r="D1432" t="s">
        <v>202</v>
      </c>
      <c r="E1432">
        <v>114</v>
      </c>
      <c r="F1432" t="s">
        <v>3967</v>
      </c>
      <c r="G1432">
        <v>114</v>
      </c>
      <c r="H1432">
        <v>761.50400000000002</v>
      </c>
      <c r="N1432">
        <v>761.50400000000002</v>
      </c>
      <c r="O1432" s="1">
        <v>45161</v>
      </c>
      <c r="P1432">
        <f>IF(ISBLANK(ReconciliationData[[#This Row],[Invoice_ID]]),1,0)</f>
        <v>0</v>
      </c>
      <c r="Q1432">
        <f>IF(AND(NOT(ISBLANK(ReconciliationData[[#This Row],[Billed_Units]])),ReconciliationData[[#This Row],[ordered_units]]&lt;&gt;ReconciliationData[[#This Row],[Billed_Units]]),1,0)</f>
        <v>0</v>
      </c>
      <c r="R14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2">
        <f>IF(AND(NOT(ISBLANK(ReconciliationData[[#This Row],[Contract_Price]])),ReconciliationData[[#This Row],[Billed_Price]]&lt;&gt;ReconciliationData[[#This Row],[Contract_Price]]),1,0)</f>
        <v>0</v>
      </c>
      <c r="T1432">
        <f>IF(AND(NOT(ISBLANK(ReconciliationData[[#This Row],[End_Date]])),ReconciliationData[[#This Row],[Order_Date]]&gt;ReconciliationData[[#This Row],[End_Date]]),1,0)</f>
        <v>0</v>
      </c>
      <c r="U1432">
        <f>IF(AND(NOT(ISBLANK(ReconciliationData[[#This Row],[last_return_date]])),ReconciliationData[[#This Row],[last_return_date]]&gt;ReconciliationData[[#This Row],[Order_Date]]+60),1,0)</f>
        <v>0</v>
      </c>
      <c r="V1432">
        <f>IF(ReconciliationData[[#This Row],[total_returned_units]]&gt;ReconciliationData[[#This Row],[ordered_units]],1,0)</f>
        <v>0</v>
      </c>
      <c r="W14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2">
        <f>ReconciliationData[[#This Row],[Billed_Units]]*ReconciliationData[[#This Row],[Billed_Price]]</f>
        <v>86811.456000000006</v>
      </c>
      <c r="Y1432">
        <f>ReconciliationData[[#This Row],[ordered_units]]*ReconciliationData[[#This Row],[List_Price]]</f>
        <v>86811.456000000006</v>
      </c>
      <c r="Z1432">
        <f>ReconciliationData[[#This Row],[billed_revenue]]-ReconciliationData[[#This Row],[expected_revenue]]</f>
        <v>0</v>
      </c>
      <c r="AA14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2" t="str">
        <f>IF(ReconciliationData[[#This Row],[severity_score]]=0,"LOW",
 IF(ReconciliationData[[#This Row],[severity_score]]&lt;=5,"MEDIUM","HIGH"))</f>
        <v>LOW</v>
      </c>
      <c r="AC1432" t="str">
        <f>TEXT(ReconciliationData[[#This Row],[Order_Date]],"YYYY-MM")</f>
        <v>2024-07</v>
      </c>
    </row>
    <row r="1433" spans="1:29">
      <c r="A1433" t="s">
        <v>3968</v>
      </c>
      <c r="B1433" s="1">
        <v>45293</v>
      </c>
      <c r="C1433" t="s">
        <v>133</v>
      </c>
      <c r="D1433" t="s">
        <v>3036</v>
      </c>
      <c r="E1433">
        <v>168</v>
      </c>
      <c r="F1433" t="s">
        <v>3969</v>
      </c>
      <c r="G1433">
        <v>168</v>
      </c>
      <c r="H1433">
        <v>907.24260000000004</v>
      </c>
      <c r="N1433">
        <v>907.24260000000004</v>
      </c>
      <c r="O1433" s="1">
        <v>45222</v>
      </c>
      <c r="P1433">
        <f>IF(ISBLANK(ReconciliationData[[#This Row],[Invoice_ID]]),1,0)</f>
        <v>0</v>
      </c>
      <c r="Q1433">
        <f>IF(AND(NOT(ISBLANK(ReconciliationData[[#This Row],[Billed_Units]])),ReconciliationData[[#This Row],[ordered_units]]&lt;&gt;ReconciliationData[[#This Row],[Billed_Units]]),1,0)</f>
        <v>0</v>
      </c>
      <c r="R14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3">
        <f>IF(AND(NOT(ISBLANK(ReconciliationData[[#This Row],[Contract_Price]])),ReconciliationData[[#This Row],[Billed_Price]]&lt;&gt;ReconciliationData[[#This Row],[Contract_Price]]),1,0)</f>
        <v>0</v>
      </c>
      <c r="T1433">
        <f>IF(AND(NOT(ISBLANK(ReconciliationData[[#This Row],[End_Date]])),ReconciliationData[[#This Row],[Order_Date]]&gt;ReconciliationData[[#This Row],[End_Date]]),1,0)</f>
        <v>0</v>
      </c>
      <c r="U1433">
        <f>IF(AND(NOT(ISBLANK(ReconciliationData[[#This Row],[last_return_date]])),ReconciliationData[[#This Row],[last_return_date]]&gt;ReconciliationData[[#This Row],[Order_Date]]+60),1,0)</f>
        <v>0</v>
      </c>
      <c r="V1433">
        <f>IF(ReconciliationData[[#This Row],[total_returned_units]]&gt;ReconciliationData[[#This Row],[ordered_units]],1,0)</f>
        <v>0</v>
      </c>
      <c r="W14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3">
        <f>ReconciliationData[[#This Row],[Billed_Units]]*ReconciliationData[[#This Row],[Billed_Price]]</f>
        <v>152416.7568</v>
      </c>
      <c r="Y1433">
        <f>ReconciliationData[[#This Row],[ordered_units]]*ReconciliationData[[#This Row],[List_Price]]</f>
        <v>152416.7568</v>
      </c>
      <c r="Z1433">
        <f>ReconciliationData[[#This Row],[billed_revenue]]-ReconciliationData[[#This Row],[expected_revenue]]</f>
        <v>0</v>
      </c>
      <c r="AA14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3" t="str">
        <f>IF(ReconciliationData[[#This Row],[severity_score]]=0,"LOW",
 IF(ReconciliationData[[#This Row],[severity_score]]&lt;=5,"MEDIUM","HIGH"))</f>
        <v>LOW</v>
      </c>
      <c r="AC1433" t="str">
        <f>TEXT(ReconciliationData[[#This Row],[Order_Date]],"YYYY-MM")</f>
        <v>2024-01</v>
      </c>
    </row>
    <row r="1434" spans="1:29">
      <c r="A1434" t="s">
        <v>3970</v>
      </c>
      <c r="B1434" s="1">
        <v>44997</v>
      </c>
      <c r="C1434" t="s">
        <v>3401</v>
      </c>
      <c r="D1434" t="s">
        <v>747</v>
      </c>
      <c r="E1434">
        <v>51</v>
      </c>
      <c r="F1434" t="s">
        <v>3971</v>
      </c>
      <c r="G1434">
        <v>51</v>
      </c>
      <c r="H1434">
        <v>58.98</v>
      </c>
      <c r="N1434">
        <v>58.98</v>
      </c>
      <c r="O1434" s="1">
        <v>44934</v>
      </c>
      <c r="P1434">
        <f>IF(ISBLANK(ReconciliationData[[#This Row],[Invoice_ID]]),1,0)</f>
        <v>0</v>
      </c>
      <c r="Q1434">
        <f>IF(AND(NOT(ISBLANK(ReconciliationData[[#This Row],[Billed_Units]])),ReconciliationData[[#This Row],[ordered_units]]&lt;&gt;ReconciliationData[[#This Row],[Billed_Units]]),1,0)</f>
        <v>0</v>
      </c>
      <c r="R14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4">
        <f>IF(AND(NOT(ISBLANK(ReconciliationData[[#This Row],[Contract_Price]])),ReconciliationData[[#This Row],[Billed_Price]]&lt;&gt;ReconciliationData[[#This Row],[Contract_Price]]),1,0)</f>
        <v>0</v>
      </c>
      <c r="T1434">
        <f>IF(AND(NOT(ISBLANK(ReconciliationData[[#This Row],[End_Date]])),ReconciliationData[[#This Row],[Order_Date]]&gt;ReconciliationData[[#This Row],[End_Date]]),1,0)</f>
        <v>0</v>
      </c>
      <c r="U1434">
        <f>IF(AND(NOT(ISBLANK(ReconciliationData[[#This Row],[last_return_date]])),ReconciliationData[[#This Row],[last_return_date]]&gt;ReconciliationData[[#This Row],[Order_Date]]+60),1,0)</f>
        <v>0</v>
      </c>
      <c r="V1434">
        <f>IF(ReconciliationData[[#This Row],[total_returned_units]]&gt;ReconciliationData[[#This Row],[ordered_units]],1,0)</f>
        <v>0</v>
      </c>
      <c r="W14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4">
        <f>ReconciliationData[[#This Row],[Billed_Units]]*ReconciliationData[[#This Row],[Billed_Price]]</f>
        <v>3007.98</v>
      </c>
      <c r="Y1434">
        <f>ReconciliationData[[#This Row],[ordered_units]]*ReconciliationData[[#This Row],[List_Price]]</f>
        <v>3007.98</v>
      </c>
      <c r="Z1434">
        <f>ReconciliationData[[#This Row],[billed_revenue]]-ReconciliationData[[#This Row],[expected_revenue]]</f>
        <v>0</v>
      </c>
      <c r="AA14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4" t="str">
        <f>IF(ReconciliationData[[#This Row],[severity_score]]=0,"LOW",
 IF(ReconciliationData[[#This Row],[severity_score]]&lt;=5,"MEDIUM","HIGH"))</f>
        <v>LOW</v>
      </c>
      <c r="AC1434" t="str">
        <f>TEXT(ReconciliationData[[#This Row],[Order_Date]],"YYYY-MM")</f>
        <v>2023-03</v>
      </c>
    </row>
    <row r="1435" spans="1:29">
      <c r="A1435" t="s">
        <v>3972</v>
      </c>
      <c r="B1435" s="1">
        <v>45154</v>
      </c>
      <c r="C1435" t="s">
        <v>813</v>
      </c>
      <c r="D1435" t="s">
        <v>973</v>
      </c>
      <c r="E1435">
        <v>97</v>
      </c>
      <c r="F1435" t="s">
        <v>3973</v>
      </c>
      <c r="G1435">
        <v>97</v>
      </c>
      <c r="H1435">
        <v>156.37459999999999</v>
      </c>
      <c r="N1435">
        <v>156.37459999999999</v>
      </c>
      <c r="O1435" s="1">
        <v>45090</v>
      </c>
      <c r="P1435">
        <f>IF(ISBLANK(ReconciliationData[[#This Row],[Invoice_ID]]),1,0)</f>
        <v>0</v>
      </c>
      <c r="Q1435">
        <f>IF(AND(NOT(ISBLANK(ReconciliationData[[#This Row],[Billed_Units]])),ReconciliationData[[#This Row],[ordered_units]]&lt;&gt;ReconciliationData[[#This Row],[Billed_Units]]),1,0)</f>
        <v>0</v>
      </c>
      <c r="R14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5">
        <f>IF(AND(NOT(ISBLANK(ReconciliationData[[#This Row],[Contract_Price]])),ReconciliationData[[#This Row],[Billed_Price]]&lt;&gt;ReconciliationData[[#This Row],[Contract_Price]]),1,0)</f>
        <v>0</v>
      </c>
      <c r="T1435">
        <f>IF(AND(NOT(ISBLANK(ReconciliationData[[#This Row],[End_Date]])),ReconciliationData[[#This Row],[Order_Date]]&gt;ReconciliationData[[#This Row],[End_Date]]),1,0)</f>
        <v>0</v>
      </c>
      <c r="U1435">
        <f>IF(AND(NOT(ISBLANK(ReconciliationData[[#This Row],[last_return_date]])),ReconciliationData[[#This Row],[last_return_date]]&gt;ReconciliationData[[#This Row],[Order_Date]]+60),1,0)</f>
        <v>0</v>
      </c>
      <c r="V1435">
        <f>IF(ReconciliationData[[#This Row],[total_returned_units]]&gt;ReconciliationData[[#This Row],[ordered_units]],1,0)</f>
        <v>0</v>
      </c>
      <c r="W14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5">
        <f>ReconciliationData[[#This Row],[Billed_Units]]*ReconciliationData[[#This Row],[Billed_Price]]</f>
        <v>15168.336199999998</v>
      </c>
      <c r="Y1435">
        <f>ReconciliationData[[#This Row],[ordered_units]]*ReconciliationData[[#This Row],[List_Price]]</f>
        <v>15168.336199999998</v>
      </c>
      <c r="Z1435">
        <f>ReconciliationData[[#This Row],[billed_revenue]]-ReconciliationData[[#This Row],[expected_revenue]]</f>
        <v>0</v>
      </c>
      <c r="AA14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5" t="str">
        <f>IF(ReconciliationData[[#This Row],[severity_score]]=0,"LOW",
 IF(ReconciliationData[[#This Row],[severity_score]]&lt;=5,"MEDIUM","HIGH"))</f>
        <v>LOW</v>
      </c>
      <c r="AC1435" t="str">
        <f>TEXT(ReconciliationData[[#This Row],[Order_Date]],"YYYY-MM")</f>
        <v>2023-08</v>
      </c>
    </row>
    <row r="1436" spans="1:29">
      <c r="A1436" t="s">
        <v>3974</v>
      </c>
      <c r="B1436" s="1">
        <v>44952</v>
      </c>
      <c r="C1436" t="s">
        <v>2091</v>
      </c>
      <c r="D1436" t="s">
        <v>1083</v>
      </c>
      <c r="E1436">
        <v>118</v>
      </c>
      <c r="F1436" t="s">
        <v>3975</v>
      </c>
      <c r="G1436">
        <v>118</v>
      </c>
      <c r="H1436">
        <v>479.40280000000007</v>
      </c>
      <c r="N1436">
        <v>479.40280000000007</v>
      </c>
      <c r="O1436" s="1">
        <v>44941</v>
      </c>
      <c r="P1436">
        <f>IF(ISBLANK(ReconciliationData[[#This Row],[Invoice_ID]]),1,0)</f>
        <v>0</v>
      </c>
      <c r="Q1436">
        <f>IF(AND(NOT(ISBLANK(ReconciliationData[[#This Row],[Billed_Units]])),ReconciliationData[[#This Row],[ordered_units]]&lt;&gt;ReconciliationData[[#This Row],[Billed_Units]]),1,0)</f>
        <v>0</v>
      </c>
      <c r="R14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6">
        <f>IF(AND(NOT(ISBLANK(ReconciliationData[[#This Row],[Contract_Price]])),ReconciliationData[[#This Row],[Billed_Price]]&lt;&gt;ReconciliationData[[#This Row],[Contract_Price]]),1,0)</f>
        <v>0</v>
      </c>
      <c r="T1436">
        <f>IF(AND(NOT(ISBLANK(ReconciliationData[[#This Row],[End_Date]])),ReconciliationData[[#This Row],[Order_Date]]&gt;ReconciliationData[[#This Row],[End_Date]]),1,0)</f>
        <v>0</v>
      </c>
      <c r="U1436">
        <f>IF(AND(NOT(ISBLANK(ReconciliationData[[#This Row],[last_return_date]])),ReconciliationData[[#This Row],[last_return_date]]&gt;ReconciliationData[[#This Row],[Order_Date]]+60),1,0)</f>
        <v>0</v>
      </c>
      <c r="V1436">
        <f>IF(ReconciliationData[[#This Row],[total_returned_units]]&gt;ReconciliationData[[#This Row],[ordered_units]],1,0)</f>
        <v>0</v>
      </c>
      <c r="W14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6">
        <f>ReconciliationData[[#This Row],[Billed_Units]]*ReconciliationData[[#This Row],[Billed_Price]]</f>
        <v>56569.530400000011</v>
      </c>
      <c r="Y1436">
        <f>ReconciliationData[[#This Row],[ordered_units]]*ReconciliationData[[#This Row],[List_Price]]</f>
        <v>56569.530400000011</v>
      </c>
      <c r="Z1436">
        <f>ReconciliationData[[#This Row],[billed_revenue]]-ReconciliationData[[#This Row],[expected_revenue]]</f>
        <v>0</v>
      </c>
      <c r="AA14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6" t="str">
        <f>IF(ReconciliationData[[#This Row],[severity_score]]=0,"LOW",
 IF(ReconciliationData[[#This Row],[severity_score]]&lt;=5,"MEDIUM","HIGH"))</f>
        <v>LOW</v>
      </c>
      <c r="AC1436" t="str">
        <f>TEXT(ReconciliationData[[#This Row],[Order_Date]],"YYYY-MM")</f>
        <v>2023-01</v>
      </c>
    </row>
    <row r="1437" spans="1:29">
      <c r="A1437" t="s">
        <v>3976</v>
      </c>
      <c r="B1437" s="1">
        <v>45457</v>
      </c>
      <c r="C1437" t="s">
        <v>2104</v>
      </c>
      <c r="D1437" t="s">
        <v>825</v>
      </c>
      <c r="E1437">
        <v>90</v>
      </c>
      <c r="F1437" t="s">
        <v>3977</v>
      </c>
      <c r="G1437">
        <v>90</v>
      </c>
      <c r="H1437">
        <v>752.48910000000001</v>
      </c>
      <c r="N1437">
        <v>752.48910000000001</v>
      </c>
      <c r="O1437" s="1">
        <v>44953</v>
      </c>
      <c r="P1437">
        <f>IF(ISBLANK(ReconciliationData[[#This Row],[Invoice_ID]]),1,0)</f>
        <v>0</v>
      </c>
      <c r="Q1437">
        <f>IF(AND(NOT(ISBLANK(ReconciliationData[[#This Row],[Billed_Units]])),ReconciliationData[[#This Row],[ordered_units]]&lt;&gt;ReconciliationData[[#This Row],[Billed_Units]]),1,0)</f>
        <v>0</v>
      </c>
      <c r="R14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7">
        <f>IF(AND(NOT(ISBLANK(ReconciliationData[[#This Row],[Contract_Price]])),ReconciliationData[[#This Row],[Billed_Price]]&lt;&gt;ReconciliationData[[#This Row],[Contract_Price]]),1,0)</f>
        <v>0</v>
      </c>
      <c r="T1437">
        <f>IF(AND(NOT(ISBLANK(ReconciliationData[[#This Row],[End_Date]])),ReconciliationData[[#This Row],[Order_Date]]&gt;ReconciliationData[[#This Row],[End_Date]]),1,0)</f>
        <v>0</v>
      </c>
      <c r="U1437">
        <f>IF(AND(NOT(ISBLANK(ReconciliationData[[#This Row],[last_return_date]])),ReconciliationData[[#This Row],[last_return_date]]&gt;ReconciliationData[[#This Row],[Order_Date]]+60),1,0)</f>
        <v>0</v>
      </c>
      <c r="V1437">
        <f>IF(ReconciliationData[[#This Row],[total_returned_units]]&gt;ReconciliationData[[#This Row],[ordered_units]],1,0)</f>
        <v>0</v>
      </c>
      <c r="W14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7">
        <f>ReconciliationData[[#This Row],[Billed_Units]]*ReconciliationData[[#This Row],[Billed_Price]]</f>
        <v>67724.019</v>
      </c>
      <c r="Y1437">
        <f>ReconciliationData[[#This Row],[ordered_units]]*ReconciliationData[[#This Row],[List_Price]]</f>
        <v>67724.019</v>
      </c>
      <c r="Z1437">
        <f>ReconciliationData[[#This Row],[billed_revenue]]-ReconciliationData[[#This Row],[expected_revenue]]</f>
        <v>0</v>
      </c>
      <c r="AA14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7" t="str">
        <f>IF(ReconciliationData[[#This Row],[severity_score]]=0,"LOW",
 IF(ReconciliationData[[#This Row],[severity_score]]&lt;=5,"MEDIUM","HIGH"))</f>
        <v>LOW</v>
      </c>
      <c r="AC1437" t="str">
        <f>TEXT(ReconciliationData[[#This Row],[Order_Date]],"YYYY-MM")</f>
        <v>2024-06</v>
      </c>
    </row>
    <row r="1438" spans="1:29">
      <c r="A1438" t="s">
        <v>3978</v>
      </c>
      <c r="B1438" s="1">
        <v>45428</v>
      </c>
      <c r="C1438" t="s">
        <v>3979</v>
      </c>
      <c r="D1438" t="s">
        <v>2283</v>
      </c>
      <c r="E1438">
        <v>116</v>
      </c>
      <c r="F1438" t="s">
        <v>3980</v>
      </c>
      <c r="G1438">
        <v>116</v>
      </c>
      <c r="H1438">
        <v>68.942999999999998</v>
      </c>
      <c r="N1438">
        <v>68.942999999999998</v>
      </c>
      <c r="O1438" s="1">
        <v>44998</v>
      </c>
      <c r="P1438">
        <f>IF(ISBLANK(ReconciliationData[[#This Row],[Invoice_ID]]),1,0)</f>
        <v>0</v>
      </c>
      <c r="Q1438">
        <f>IF(AND(NOT(ISBLANK(ReconciliationData[[#This Row],[Billed_Units]])),ReconciliationData[[#This Row],[ordered_units]]&lt;&gt;ReconciliationData[[#This Row],[Billed_Units]]),1,0)</f>
        <v>0</v>
      </c>
      <c r="R14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8">
        <f>IF(AND(NOT(ISBLANK(ReconciliationData[[#This Row],[Contract_Price]])),ReconciliationData[[#This Row],[Billed_Price]]&lt;&gt;ReconciliationData[[#This Row],[Contract_Price]]),1,0)</f>
        <v>0</v>
      </c>
      <c r="T1438">
        <f>IF(AND(NOT(ISBLANK(ReconciliationData[[#This Row],[End_Date]])),ReconciliationData[[#This Row],[Order_Date]]&gt;ReconciliationData[[#This Row],[End_Date]]),1,0)</f>
        <v>0</v>
      </c>
      <c r="U1438">
        <f>IF(AND(NOT(ISBLANK(ReconciliationData[[#This Row],[last_return_date]])),ReconciliationData[[#This Row],[last_return_date]]&gt;ReconciliationData[[#This Row],[Order_Date]]+60),1,0)</f>
        <v>0</v>
      </c>
      <c r="V1438">
        <f>IF(ReconciliationData[[#This Row],[total_returned_units]]&gt;ReconciliationData[[#This Row],[ordered_units]],1,0)</f>
        <v>0</v>
      </c>
      <c r="W14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8">
        <f>ReconciliationData[[#This Row],[Billed_Units]]*ReconciliationData[[#This Row],[Billed_Price]]</f>
        <v>7997.3879999999999</v>
      </c>
      <c r="Y1438">
        <f>ReconciliationData[[#This Row],[ordered_units]]*ReconciliationData[[#This Row],[List_Price]]</f>
        <v>7997.3879999999999</v>
      </c>
      <c r="Z1438">
        <f>ReconciliationData[[#This Row],[billed_revenue]]-ReconciliationData[[#This Row],[expected_revenue]]</f>
        <v>0</v>
      </c>
      <c r="AA14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8" t="str">
        <f>IF(ReconciliationData[[#This Row],[severity_score]]=0,"LOW",
 IF(ReconciliationData[[#This Row],[severity_score]]&lt;=5,"MEDIUM","HIGH"))</f>
        <v>LOW</v>
      </c>
      <c r="AC1438" t="str">
        <f>TEXT(ReconciliationData[[#This Row],[Order_Date]],"YYYY-MM")</f>
        <v>2024-05</v>
      </c>
    </row>
    <row r="1439" spans="1:29">
      <c r="A1439" t="s">
        <v>3981</v>
      </c>
      <c r="B1439" s="1">
        <v>45621</v>
      </c>
      <c r="C1439" t="s">
        <v>373</v>
      </c>
      <c r="D1439" t="s">
        <v>814</v>
      </c>
      <c r="E1439">
        <v>173</v>
      </c>
      <c r="F1439" t="s">
        <v>3982</v>
      </c>
      <c r="G1439">
        <v>173</v>
      </c>
      <c r="H1439">
        <v>521.54959999999994</v>
      </c>
      <c r="N1439">
        <v>521.54959999999994</v>
      </c>
      <c r="O1439" s="1">
        <v>44994</v>
      </c>
      <c r="P1439">
        <f>IF(ISBLANK(ReconciliationData[[#This Row],[Invoice_ID]]),1,0)</f>
        <v>0</v>
      </c>
      <c r="Q1439">
        <f>IF(AND(NOT(ISBLANK(ReconciliationData[[#This Row],[Billed_Units]])),ReconciliationData[[#This Row],[ordered_units]]&lt;&gt;ReconciliationData[[#This Row],[Billed_Units]]),1,0)</f>
        <v>0</v>
      </c>
      <c r="R14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39">
        <f>IF(AND(NOT(ISBLANK(ReconciliationData[[#This Row],[Contract_Price]])),ReconciliationData[[#This Row],[Billed_Price]]&lt;&gt;ReconciliationData[[#This Row],[Contract_Price]]),1,0)</f>
        <v>0</v>
      </c>
      <c r="T1439">
        <f>IF(AND(NOT(ISBLANK(ReconciliationData[[#This Row],[End_Date]])),ReconciliationData[[#This Row],[Order_Date]]&gt;ReconciliationData[[#This Row],[End_Date]]),1,0)</f>
        <v>0</v>
      </c>
      <c r="U1439">
        <f>IF(AND(NOT(ISBLANK(ReconciliationData[[#This Row],[last_return_date]])),ReconciliationData[[#This Row],[last_return_date]]&gt;ReconciliationData[[#This Row],[Order_Date]]+60),1,0)</f>
        <v>0</v>
      </c>
      <c r="V1439">
        <f>IF(ReconciliationData[[#This Row],[total_returned_units]]&gt;ReconciliationData[[#This Row],[ordered_units]],1,0)</f>
        <v>0</v>
      </c>
      <c r="W14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39">
        <f>ReconciliationData[[#This Row],[Billed_Units]]*ReconciliationData[[#This Row],[Billed_Price]]</f>
        <v>90228.080799999996</v>
      </c>
      <c r="Y1439">
        <f>ReconciliationData[[#This Row],[ordered_units]]*ReconciliationData[[#This Row],[List_Price]]</f>
        <v>90228.080799999996</v>
      </c>
      <c r="Z1439">
        <f>ReconciliationData[[#This Row],[billed_revenue]]-ReconciliationData[[#This Row],[expected_revenue]]</f>
        <v>0</v>
      </c>
      <c r="AA14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39" t="str">
        <f>IF(ReconciliationData[[#This Row],[severity_score]]=0,"LOW",
 IF(ReconciliationData[[#This Row],[severity_score]]&lt;=5,"MEDIUM","HIGH"))</f>
        <v>LOW</v>
      </c>
      <c r="AC1439" t="str">
        <f>TEXT(ReconciliationData[[#This Row],[Order_Date]],"YYYY-MM")</f>
        <v>2024-11</v>
      </c>
    </row>
    <row r="1440" spans="1:29">
      <c r="A1440" t="s">
        <v>3983</v>
      </c>
      <c r="B1440" s="1">
        <v>45569</v>
      </c>
      <c r="C1440" t="s">
        <v>551</v>
      </c>
      <c r="D1440" t="s">
        <v>182</v>
      </c>
      <c r="E1440">
        <v>32</v>
      </c>
      <c r="F1440" t="s">
        <v>3984</v>
      </c>
      <c r="G1440">
        <v>32</v>
      </c>
      <c r="H1440">
        <v>689.58720000000005</v>
      </c>
      <c r="N1440">
        <v>689.58720000000005</v>
      </c>
      <c r="O1440" s="1">
        <v>45224</v>
      </c>
      <c r="P1440">
        <f>IF(ISBLANK(ReconciliationData[[#This Row],[Invoice_ID]]),1,0)</f>
        <v>0</v>
      </c>
      <c r="Q1440">
        <f>IF(AND(NOT(ISBLANK(ReconciliationData[[#This Row],[Billed_Units]])),ReconciliationData[[#This Row],[ordered_units]]&lt;&gt;ReconciliationData[[#This Row],[Billed_Units]]),1,0)</f>
        <v>0</v>
      </c>
      <c r="R14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0">
        <f>IF(AND(NOT(ISBLANK(ReconciliationData[[#This Row],[Contract_Price]])),ReconciliationData[[#This Row],[Billed_Price]]&lt;&gt;ReconciliationData[[#This Row],[Contract_Price]]),1,0)</f>
        <v>0</v>
      </c>
      <c r="T1440">
        <f>IF(AND(NOT(ISBLANK(ReconciliationData[[#This Row],[End_Date]])),ReconciliationData[[#This Row],[Order_Date]]&gt;ReconciliationData[[#This Row],[End_Date]]),1,0)</f>
        <v>0</v>
      </c>
      <c r="U1440">
        <f>IF(AND(NOT(ISBLANK(ReconciliationData[[#This Row],[last_return_date]])),ReconciliationData[[#This Row],[last_return_date]]&gt;ReconciliationData[[#This Row],[Order_Date]]+60),1,0)</f>
        <v>0</v>
      </c>
      <c r="V1440">
        <f>IF(ReconciliationData[[#This Row],[total_returned_units]]&gt;ReconciliationData[[#This Row],[ordered_units]],1,0)</f>
        <v>0</v>
      </c>
      <c r="W14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40">
        <f>ReconciliationData[[#This Row],[Billed_Units]]*ReconciliationData[[#This Row],[Billed_Price]]</f>
        <v>22066.790400000002</v>
      </c>
      <c r="Y1440">
        <f>ReconciliationData[[#This Row],[ordered_units]]*ReconciliationData[[#This Row],[List_Price]]</f>
        <v>22066.790400000002</v>
      </c>
      <c r="Z1440">
        <f>ReconciliationData[[#This Row],[billed_revenue]]-ReconciliationData[[#This Row],[expected_revenue]]</f>
        <v>0</v>
      </c>
      <c r="AA14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40" t="str">
        <f>IF(ReconciliationData[[#This Row],[severity_score]]=0,"LOW",
 IF(ReconciliationData[[#This Row],[severity_score]]&lt;=5,"MEDIUM","HIGH"))</f>
        <v>LOW</v>
      </c>
      <c r="AC1440" t="str">
        <f>TEXT(ReconciliationData[[#This Row],[Order_Date]],"YYYY-MM")</f>
        <v>2024-10</v>
      </c>
    </row>
    <row r="1441" spans="1:29">
      <c r="A1441" t="s">
        <v>3985</v>
      </c>
      <c r="B1441" s="1">
        <v>45253</v>
      </c>
      <c r="C1441" t="s">
        <v>3986</v>
      </c>
      <c r="D1441" t="s">
        <v>1088</v>
      </c>
      <c r="E1441">
        <v>10</v>
      </c>
      <c r="F1441" t="s">
        <v>3987</v>
      </c>
      <c r="G1441">
        <v>10</v>
      </c>
      <c r="H1441">
        <v>72.63</v>
      </c>
      <c r="N1441">
        <v>72.63</v>
      </c>
      <c r="O1441" s="1">
        <v>44956</v>
      </c>
      <c r="P1441">
        <f>IF(ISBLANK(ReconciliationData[[#This Row],[Invoice_ID]]),1,0)</f>
        <v>0</v>
      </c>
      <c r="Q1441">
        <f>IF(AND(NOT(ISBLANK(ReconciliationData[[#This Row],[Billed_Units]])),ReconciliationData[[#This Row],[ordered_units]]&lt;&gt;ReconciliationData[[#This Row],[Billed_Units]]),1,0)</f>
        <v>0</v>
      </c>
      <c r="R14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1">
        <f>IF(AND(NOT(ISBLANK(ReconciliationData[[#This Row],[Contract_Price]])),ReconciliationData[[#This Row],[Billed_Price]]&lt;&gt;ReconciliationData[[#This Row],[Contract_Price]]),1,0)</f>
        <v>0</v>
      </c>
      <c r="T1441">
        <f>IF(AND(NOT(ISBLANK(ReconciliationData[[#This Row],[End_Date]])),ReconciliationData[[#This Row],[Order_Date]]&gt;ReconciliationData[[#This Row],[End_Date]]),1,0)</f>
        <v>0</v>
      </c>
      <c r="U1441">
        <f>IF(AND(NOT(ISBLANK(ReconciliationData[[#This Row],[last_return_date]])),ReconciliationData[[#This Row],[last_return_date]]&gt;ReconciliationData[[#This Row],[Order_Date]]+60),1,0)</f>
        <v>0</v>
      </c>
      <c r="V1441">
        <f>IF(ReconciliationData[[#This Row],[total_returned_units]]&gt;ReconciliationData[[#This Row],[ordered_units]],1,0)</f>
        <v>0</v>
      </c>
      <c r="W14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41">
        <f>ReconciliationData[[#This Row],[Billed_Units]]*ReconciliationData[[#This Row],[Billed_Price]]</f>
        <v>726.3</v>
      </c>
      <c r="Y1441">
        <f>ReconciliationData[[#This Row],[ordered_units]]*ReconciliationData[[#This Row],[List_Price]]</f>
        <v>726.3</v>
      </c>
      <c r="Z1441">
        <f>ReconciliationData[[#This Row],[billed_revenue]]-ReconciliationData[[#This Row],[expected_revenue]]</f>
        <v>0</v>
      </c>
      <c r="AA14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41" t="str">
        <f>IF(ReconciliationData[[#This Row],[severity_score]]=0,"LOW",
 IF(ReconciliationData[[#This Row],[severity_score]]&lt;=5,"MEDIUM","HIGH"))</f>
        <v>LOW</v>
      </c>
      <c r="AC1441" t="str">
        <f>TEXT(ReconciliationData[[#This Row],[Order_Date]],"YYYY-MM")</f>
        <v>2023-11</v>
      </c>
    </row>
    <row r="1442" spans="1:29">
      <c r="A1442" t="s">
        <v>3988</v>
      </c>
      <c r="B1442" s="1">
        <v>45339</v>
      </c>
      <c r="C1442" t="s">
        <v>262</v>
      </c>
      <c r="D1442" t="s">
        <v>3404</v>
      </c>
      <c r="E1442">
        <v>173</v>
      </c>
      <c r="F1442" t="s">
        <v>3989</v>
      </c>
      <c r="G1442">
        <v>173</v>
      </c>
      <c r="H1442">
        <v>850.88400000000001</v>
      </c>
      <c r="I1442">
        <v>17</v>
      </c>
      <c r="J1442" s="1">
        <v>45562</v>
      </c>
      <c r="N1442">
        <v>850.88400000000001</v>
      </c>
      <c r="O1442" s="1">
        <v>45100</v>
      </c>
      <c r="P1442">
        <f>IF(ISBLANK(ReconciliationData[[#This Row],[Invoice_ID]]),1,0)</f>
        <v>0</v>
      </c>
      <c r="Q1442">
        <f>IF(AND(NOT(ISBLANK(ReconciliationData[[#This Row],[Billed_Units]])),ReconciliationData[[#This Row],[ordered_units]]&lt;&gt;ReconciliationData[[#This Row],[Billed_Units]]),1,0)</f>
        <v>0</v>
      </c>
      <c r="R14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2">
        <f>IF(AND(NOT(ISBLANK(ReconciliationData[[#This Row],[Contract_Price]])),ReconciliationData[[#This Row],[Billed_Price]]&lt;&gt;ReconciliationData[[#This Row],[Contract_Price]]),1,0)</f>
        <v>0</v>
      </c>
      <c r="T1442">
        <f>IF(AND(NOT(ISBLANK(ReconciliationData[[#This Row],[End_Date]])),ReconciliationData[[#This Row],[Order_Date]]&gt;ReconciliationData[[#This Row],[End_Date]]),1,0)</f>
        <v>0</v>
      </c>
      <c r="U1442">
        <f>IF(AND(NOT(ISBLANK(ReconciliationData[[#This Row],[last_return_date]])),ReconciliationData[[#This Row],[last_return_date]]&gt;ReconciliationData[[#This Row],[Order_Date]]+60),1,0)</f>
        <v>1</v>
      </c>
      <c r="V1442">
        <f>IF(ReconciliationData[[#This Row],[total_returned_units]]&gt;ReconciliationData[[#This Row],[ordered_units]],1,0)</f>
        <v>0</v>
      </c>
      <c r="W14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42">
        <f>ReconciliationData[[#This Row],[Billed_Units]]*ReconciliationData[[#This Row],[Billed_Price]]</f>
        <v>147202.932</v>
      </c>
      <c r="Y1442">
        <f>ReconciliationData[[#This Row],[ordered_units]]*ReconciliationData[[#This Row],[List_Price]]</f>
        <v>147202.932</v>
      </c>
      <c r="Z1442">
        <f>ReconciliationData[[#This Row],[billed_revenue]]-ReconciliationData[[#This Row],[expected_revenue]]</f>
        <v>0</v>
      </c>
      <c r="AA14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442" t="str">
        <f>IF(ReconciliationData[[#This Row],[severity_score]]=0,"LOW",
 IF(ReconciliationData[[#This Row],[severity_score]]&lt;=5,"MEDIUM","HIGH"))</f>
        <v>MEDIUM</v>
      </c>
      <c r="AC1442" t="str">
        <f>TEXT(ReconciliationData[[#This Row],[Order_Date]],"YYYY-MM")</f>
        <v>2024-02</v>
      </c>
    </row>
    <row r="1443" spans="1:29">
      <c r="A1443" t="s">
        <v>3990</v>
      </c>
      <c r="B1443" s="1">
        <v>45242</v>
      </c>
      <c r="C1443" t="s">
        <v>298</v>
      </c>
      <c r="D1443" t="s">
        <v>577</v>
      </c>
      <c r="E1443">
        <v>176</v>
      </c>
      <c r="F1443" t="s">
        <v>3991</v>
      </c>
      <c r="G1443">
        <v>176</v>
      </c>
      <c r="H1443">
        <v>1093.1199999999999</v>
      </c>
      <c r="N1443">
        <v>1093.1199999999999</v>
      </c>
      <c r="O1443" s="1">
        <v>45035</v>
      </c>
      <c r="P1443">
        <f>IF(ISBLANK(ReconciliationData[[#This Row],[Invoice_ID]]),1,0)</f>
        <v>0</v>
      </c>
      <c r="Q1443">
        <f>IF(AND(NOT(ISBLANK(ReconciliationData[[#This Row],[Billed_Units]])),ReconciliationData[[#This Row],[ordered_units]]&lt;&gt;ReconciliationData[[#This Row],[Billed_Units]]),1,0)</f>
        <v>0</v>
      </c>
      <c r="R14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3">
        <f>IF(AND(NOT(ISBLANK(ReconciliationData[[#This Row],[Contract_Price]])),ReconciliationData[[#This Row],[Billed_Price]]&lt;&gt;ReconciliationData[[#This Row],[Contract_Price]]),1,0)</f>
        <v>0</v>
      </c>
      <c r="T1443">
        <f>IF(AND(NOT(ISBLANK(ReconciliationData[[#This Row],[End_Date]])),ReconciliationData[[#This Row],[Order_Date]]&gt;ReconciliationData[[#This Row],[End_Date]]),1,0)</f>
        <v>0</v>
      </c>
      <c r="U1443">
        <f>IF(AND(NOT(ISBLANK(ReconciliationData[[#This Row],[last_return_date]])),ReconciliationData[[#This Row],[last_return_date]]&gt;ReconciliationData[[#This Row],[Order_Date]]+60),1,0)</f>
        <v>0</v>
      </c>
      <c r="V1443">
        <f>IF(ReconciliationData[[#This Row],[total_returned_units]]&gt;ReconciliationData[[#This Row],[ordered_units]],1,0)</f>
        <v>0</v>
      </c>
      <c r="W14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43">
        <f>ReconciliationData[[#This Row],[Billed_Units]]*ReconciliationData[[#This Row],[Billed_Price]]</f>
        <v>192389.12</v>
      </c>
      <c r="Y1443">
        <f>ReconciliationData[[#This Row],[ordered_units]]*ReconciliationData[[#This Row],[List_Price]]</f>
        <v>192389.12</v>
      </c>
      <c r="Z1443">
        <f>ReconciliationData[[#This Row],[billed_revenue]]-ReconciliationData[[#This Row],[expected_revenue]]</f>
        <v>0</v>
      </c>
      <c r="AA14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43" t="str">
        <f>IF(ReconciliationData[[#This Row],[severity_score]]=0,"LOW",
 IF(ReconciliationData[[#This Row],[severity_score]]&lt;=5,"MEDIUM","HIGH"))</f>
        <v>LOW</v>
      </c>
      <c r="AC1443" t="str">
        <f>TEXT(ReconciliationData[[#This Row],[Order_Date]],"YYYY-MM")</f>
        <v>2023-11</v>
      </c>
    </row>
    <row r="1444" spans="1:29">
      <c r="A1444" t="s">
        <v>3992</v>
      </c>
      <c r="B1444" s="1">
        <v>45608</v>
      </c>
      <c r="C1444" t="s">
        <v>3993</v>
      </c>
      <c r="D1444" t="s">
        <v>1812</v>
      </c>
      <c r="E1444">
        <v>167</v>
      </c>
      <c r="F1444" t="s">
        <v>3994</v>
      </c>
      <c r="G1444">
        <v>167</v>
      </c>
      <c r="H1444">
        <v>226.88399999999999</v>
      </c>
      <c r="N1444">
        <v>226.88399999999999</v>
      </c>
      <c r="O1444" s="1">
        <v>45086</v>
      </c>
      <c r="P1444">
        <f>IF(ISBLANK(ReconciliationData[[#This Row],[Invoice_ID]]),1,0)</f>
        <v>0</v>
      </c>
      <c r="Q1444">
        <f>IF(AND(NOT(ISBLANK(ReconciliationData[[#This Row],[Billed_Units]])),ReconciliationData[[#This Row],[ordered_units]]&lt;&gt;ReconciliationData[[#This Row],[Billed_Units]]),1,0)</f>
        <v>0</v>
      </c>
      <c r="R14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4">
        <f>IF(AND(NOT(ISBLANK(ReconciliationData[[#This Row],[Contract_Price]])),ReconciliationData[[#This Row],[Billed_Price]]&lt;&gt;ReconciliationData[[#This Row],[Contract_Price]]),1,0)</f>
        <v>0</v>
      </c>
      <c r="T1444">
        <f>IF(AND(NOT(ISBLANK(ReconciliationData[[#This Row],[End_Date]])),ReconciliationData[[#This Row],[Order_Date]]&gt;ReconciliationData[[#This Row],[End_Date]]),1,0)</f>
        <v>0</v>
      </c>
      <c r="U1444">
        <f>IF(AND(NOT(ISBLANK(ReconciliationData[[#This Row],[last_return_date]])),ReconciliationData[[#This Row],[last_return_date]]&gt;ReconciliationData[[#This Row],[Order_Date]]+60),1,0)</f>
        <v>0</v>
      </c>
      <c r="V1444">
        <f>IF(ReconciliationData[[#This Row],[total_returned_units]]&gt;ReconciliationData[[#This Row],[ordered_units]],1,0)</f>
        <v>0</v>
      </c>
      <c r="W14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44">
        <f>ReconciliationData[[#This Row],[Billed_Units]]*ReconciliationData[[#This Row],[Billed_Price]]</f>
        <v>37889.627999999997</v>
      </c>
      <c r="Y1444">
        <f>ReconciliationData[[#This Row],[ordered_units]]*ReconciliationData[[#This Row],[List_Price]]</f>
        <v>37889.627999999997</v>
      </c>
      <c r="Z1444">
        <f>ReconciliationData[[#This Row],[billed_revenue]]-ReconciliationData[[#This Row],[expected_revenue]]</f>
        <v>0</v>
      </c>
      <c r="AA14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44" t="str">
        <f>IF(ReconciliationData[[#This Row],[severity_score]]=0,"LOW",
 IF(ReconciliationData[[#This Row],[severity_score]]&lt;=5,"MEDIUM","HIGH"))</f>
        <v>LOW</v>
      </c>
      <c r="AC1444" t="str">
        <f>TEXT(ReconciliationData[[#This Row],[Order_Date]],"YYYY-MM")</f>
        <v>2024-11</v>
      </c>
    </row>
    <row r="1445" spans="1:29">
      <c r="A1445" t="s">
        <v>3995</v>
      </c>
      <c r="B1445" s="1">
        <v>45344</v>
      </c>
      <c r="C1445" t="s">
        <v>3996</v>
      </c>
      <c r="D1445" t="s">
        <v>2321</v>
      </c>
      <c r="E1445">
        <v>59</v>
      </c>
      <c r="F1445" t="s">
        <v>3997</v>
      </c>
      <c r="G1445">
        <v>59</v>
      </c>
      <c r="H1445">
        <v>153.69479999999999</v>
      </c>
      <c r="N1445">
        <v>153.69479999999999</v>
      </c>
      <c r="O1445" s="1">
        <v>44960</v>
      </c>
      <c r="P1445">
        <f>IF(ISBLANK(ReconciliationData[[#This Row],[Invoice_ID]]),1,0)</f>
        <v>0</v>
      </c>
      <c r="Q1445">
        <f>IF(AND(NOT(ISBLANK(ReconciliationData[[#This Row],[Billed_Units]])),ReconciliationData[[#This Row],[ordered_units]]&lt;&gt;ReconciliationData[[#This Row],[Billed_Units]]),1,0)</f>
        <v>0</v>
      </c>
      <c r="R14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5">
        <f>IF(AND(NOT(ISBLANK(ReconciliationData[[#This Row],[Contract_Price]])),ReconciliationData[[#This Row],[Billed_Price]]&lt;&gt;ReconciliationData[[#This Row],[Contract_Price]]),1,0)</f>
        <v>0</v>
      </c>
      <c r="T1445">
        <f>IF(AND(NOT(ISBLANK(ReconciliationData[[#This Row],[End_Date]])),ReconciliationData[[#This Row],[Order_Date]]&gt;ReconciliationData[[#This Row],[End_Date]]),1,0)</f>
        <v>0</v>
      </c>
      <c r="U1445">
        <f>IF(AND(NOT(ISBLANK(ReconciliationData[[#This Row],[last_return_date]])),ReconciliationData[[#This Row],[last_return_date]]&gt;ReconciliationData[[#This Row],[Order_Date]]+60),1,0)</f>
        <v>0</v>
      </c>
      <c r="V1445">
        <f>IF(ReconciliationData[[#This Row],[total_returned_units]]&gt;ReconciliationData[[#This Row],[ordered_units]],1,0)</f>
        <v>0</v>
      </c>
      <c r="W14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45">
        <f>ReconciliationData[[#This Row],[Billed_Units]]*ReconciliationData[[#This Row],[Billed_Price]]</f>
        <v>9067.993199999999</v>
      </c>
      <c r="Y1445">
        <f>ReconciliationData[[#This Row],[ordered_units]]*ReconciliationData[[#This Row],[List_Price]]</f>
        <v>9067.993199999999</v>
      </c>
      <c r="Z1445">
        <f>ReconciliationData[[#This Row],[billed_revenue]]-ReconciliationData[[#This Row],[expected_revenue]]</f>
        <v>0</v>
      </c>
      <c r="AA14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45" t="str">
        <f>IF(ReconciliationData[[#This Row],[severity_score]]=0,"LOW",
 IF(ReconciliationData[[#This Row],[severity_score]]&lt;=5,"MEDIUM","HIGH"))</f>
        <v>LOW</v>
      </c>
      <c r="AC1445" t="str">
        <f>TEXT(ReconciliationData[[#This Row],[Order_Date]],"YYYY-MM")</f>
        <v>2024-02</v>
      </c>
    </row>
    <row r="1446" spans="1:29">
      <c r="A1446" t="s">
        <v>3998</v>
      </c>
      <c r="B1446" s="1">
        <v>45599</v>
      </c>
      <c r="C1446" t="s">
        <v>215</v>
      </c>
      <c r="D1446" t="s">
        <v>1436</v>
      </c>
      <c r="E1446">
        <v>21</v>
      </c>
      <c r="F1446" t="s">
        <v>3999</v>
      </c>
      <c r="G1446">
        <v>24</v>
      </c>
      <c r="H1446">
        <v>189.52920000000003</v>
      </c>
      <c r="N1446">
        <v>189.52920000000003</v>
      </c>
      <c r="O1446" s="1">
        <v>45070</v>
      </c>
      <c r="P1446">
        <f>IF(ISBLANK(ReconciliationData[[#This Row],[Invoice_ID]]),1,0)</f>
        <v>0</v>
      </c>
      <c r="Q1446">
        <f>IF(AND(NOT(ISBLANK(ReconciliationData[[#This Row],[Billed_Units]])),ReconciliationData[[#This Row],[ordered_units]]&lt;&gt;ReconciliationData[[#This Row],[Billed_Units]]),1,0)</f>
        <v>1</v>
      </c>
      <c r="R14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6">
        <f>IF(AND(NOT(ISBLANK(ReconciliationData[[#This Row],[Contract_Price]])),ReconciliationData[[#This Row],[Billed_Price]]&lt;&gt;ReconciliationData[[#This Row],[Contract_Price]]),1,0)</f>
        <v>0</v>
      </c>
      <c r="T1446">
        <f>IF(AND(NOT(ISBLANK(ReconciliationData[[#This Row],[End_Date]])),ReconciliationData[[#This Row],[Order_Date]]&gt;ReconciliationData[[#This Row],[End_Date]]),1,0)</f>
        <v>0</v>
      </c>
      <c r="U1446">
        <f>IF(AND(NOT(ISBLANK(ReconciliationData[[#This Row],[last_return_date]])),ReconciliationData[[#This Row],[last_return_date]]&gt;ReconciliationData[[#This Row],[Order_Date]]+60),1,0)</f>
        <v>0</v>
      </c>
      <c r="V1446">
        <f>IF(ReconciliationData[[#This Row],[total_returned_units]]&gt;ReconciliationData[[#This Row],[ordered_units]],1,0)</f>
        <v>0</v>
      </c>
      <c r="W14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46">
        <f>ReconciliationData[[#This Row],[Billed_Units]]*ReconciliationData[[#This Row],[Billed_Price]]</f>
        <v>4548.7008000000005</v>
      </c>
      <c r="Y1446">
        <f>ReconciliationData[[#This Row],[ordered_units]]*ReconciliationData[[#This Row],[List_Price]]</f>
        <v>3980.1132000000007</v>
      </c>
      <c r="Z1446">
        <f>ReconciliationData[[#This Row],[billed_revenue]]-ReconciliationData[[#This Row],[expected_revenue]]</f>
        <v>568.58759999999984</v>
      </c>
      <c r="AA14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446" t="str">
        <f>IF(ReconciliationData[[#This Row],[severity_score]]=0,"LOW",
 IF(ReconciliationData[[#This Row],[severity_score]]&lt;=5,"MEDIUM","HIGH"))</f>
        <v>HIGH</v>
      </c>
      <c r="AC1446" t="str">
        <f>TEXT(ReconciliationData[[#This Row],[Order_Date]],"YYYY-MM")</f>
        <v>2024-11</v>
      </c>
    </row>
    <row r="1447" spans="1:29">
      <c r="A1447" t="s">
        <v>4000</v>
      </c>
      <c r="B1447" s="1">
        <v>44984</v>
      </c>
      <c r="C1447" t="s">
        <v>3157</v>
      </c>
      <c r="D1447" t="s">
        <v>1436</v>
      </c>
      <c r="E1447">
        <v>44</v>
      </c>
      <c r="F1447" t="s">
        <v>4001</v>
      </c>
      <c r="G1447">
        <v>44</v>
      </c>
      <c r="H1447">
        <v>175.49</v>
      </c>
      <c r="N1447">
        <v>175.49</v>
      </c>
      <c r="O1447" s="1">
        <v>44760</v>
      </c>
      <c r="P1447">
        <f>IF(ISBLANK(ReconciliationData[[#This Row],[Invoice_ID]]),1,0)</f>
        <v>0</v>
      </c>
      <c r="Q1447">
        <f>IF(AND(NOT(ISBLANK(ReconciliationData[[#This Row],[Billed_Units]])),ReconciliationData[[#This Row],[ordered_units]]&lt;&gt;ReconciliationData[[#This Row],[Billed_Units]]),1,0)</f>
        <v>0</v>
      </c>
      <c r="R14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7">
        <f>IF(AND(NOT(ISBLANK(ReconciliationData[[#This Row],[Contract_Price]])),ReconciliationData[[#This Row],[Billed_Price]]&lt;&gt;ReconciliationData[[#This Row],[Contract_Price]]),1,0)</f>
        <v>0</v>
      </c>
      <c r="T1447">
        <f>IF(AND(NOT(ISBLANK(ReconciliationData[[#This Row],[End_Date]])),ReconciliationData[[#This Row],[Order_Date]]&gt;ReconciliationData[[#This Row],[End_Date]]),1,0)</f>
        <v>0</v>
      </c>
      <c r="U1447">
        <f>IF(AND(NOT(ISBLANK(ReconciliationData[[#This Row],[last_return_date]])),ReconciliationData[[#This Row],[last_return_date]]&gt;ReconciliationData[[#This Row],[Order_Date]]+60),1,0)</f>
        <v>0</v>
      </c>
      <c r="V1447">
        <f>IF(ReconciliationData[[#This Row],[total_returned_units]]&gt;ReconciliationData[[#This Row],[ordered_units]],1,0)</f>
        <v>0</v>
      </c>
      <c r="W14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47">
        <f>ReconciliationData[[#This Row],[Billed_Units]]*ReconciliationData[[#This Row],[Billed_Price]]</f>
        <v>7721.56</v>
      </c>
      <c r="Y1447">
        <f>ReconciliationData[[#This Row],[ordered_units]]*ReconciliationData[[#This Row],[List_Price]]</f>
        <v>7721.56</v>
      </c>
      <c r="Z1447">
        <f>ReconciliationData[[#This Row],[billed_revenue]]-ReconciliationData[[#This Row],[expected_revenue]]</f>
        <v>0</v>
      </c>
      <c r="AA14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47" t="str">
        <f>IF(ReconciliationData[[#This Row],[severity_score]]=0,"LOW",
 IF(ReconciliationData[[#This Row],[severity_score]]&lt;=5,"MEDIUM","HIGH"))</f>
        <v>LOW</v>
      </c>
      <c r="AC1447" t="str">
        <f>TEXT(ReconciliationData[[#This Row],[Order_Date]],"YYYY-MM")</f>
        <v>2023-02</v>
      </c>
    </row>
    <row r="1448" spans="1:29">
      <c r="A1448" t="s">
        <v>4002</v>
      </c>
      <c r="B1448" s="1">
        <v>45397</v>
      </c>
      <c r="C1448" t="s">
        <v>1728</v>
      </c>
      <c r="D1448" t="s">
        <v>333</v>
      </c>
      <c r="E1448">
        <v>168</v>
      </c>
      <c r="F1448" t="s">
        <v>4003</v>
      </c>
      <c r="G1448">
        <v>168</v>
      </c>
      <c r="H1448">
        <v>1144.1684</v>
      </c>
      <c r="N1448">
        <v>1144.1684</v>
      </c>
      <c r="O1448" s="1">
        <v>44955</v>
      </c>
      <c r="P1448">
        <f>IF(ISBLANK(ReconciliationData[[#This Row],[Invoice_ID]]),1,0)</f>
        <v>0</v>
      </c>
      <c r="Q1448">
        <f>IF(AND(NOT(ISBLANK(ReconciliationData[[#This Row],[Billed_Units]])),ReconciliationData[[#This Row],[ordered_units]]&lt;&gt;ReconciliationData[[#This Row],[Billed_Units]]),1,0)</f>
        <v>0</v>
      </c>
      <c r="R14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8">
        <f>IF(AND(NOT(ISBLANK(ReconciliationData[[#This Row],[Contract_Price]])),ReconciliationData[[#This Row],[Billed_Price]]&lt;&gt;ReconciliationData[[#This Row],[Contract_Price]]),1,0)</f>
        <v>0</v>
      </c>
      <c r="T1448">
        <f>IF(AND(NOT(ISBLANK(ReconciliationData[[#This Row],[End_Date]])),ReconciliationData[[#This Row],[Order_Date]]&gt;ReconciliationData[[#This Row],[End_Date]]),1,0)</f>
        <v>0</v>
      </c>
      <c r="U1448">
        <f>IF(AND(NOT(ISBLANK(ReconciliationData[[#This Row],[last_return_date]])),ReconciliationData[[#This Row],[last_return_date]]&gt;ReconciliationData[[#This Row],[Order_Date]]+60),1,0)</f>
        <v>0</v>
      </c>
      <c r="V1448">
        <f>IF(ReconciliationData[[#This Row],[total_returned_units]]&gt;ReconciliationData[[#This Row],[ordered_units]],1,0)</f>
        <v>0</v>
      </c>
      <c r="W14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48">
        <f>ReconciliationData[[#This Row],[Billed_Units]]*ReconciliationData[[#This Row],[Billed_Price]]</f>
        <v>192220.29120000001</v>
      </c>
      <c r="Y1448">
        <f>ReconciliationData[[#This Row],[ordered_units]]*ReconciliationData[[#This Row],[List_Price]]</f>
        <v>192220.29120000001</v>
      </c>
      <c r="Z1448">
        <f>ReconciliationData[[#This Row],[billed_revenue]]-ReconciliationData[[#This Row],[expected_revenue]]</f>
        <v>0</v>
      </c>
      <c r="AA14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48" t="str">
        <f>IF(ReconciliationData[[#This Row],[severity_score]]=0,"LOW",
 IF(ReconciliationData[[#This Row],[severity_score]]&lt;=5,"MEDIUM","HIGH"))</f>
        <v>LOW</v>
      </c>
      <c r="AC1448" t="str">
        <f>TEXT(ReconciliationData[[#This Row],[Order_Date]],"YYYY-MM")</f>
        <v>2024-04</v>
      </c>
    </row>
    <row r="1449" spans="1:29">
      <c r="A1449" t="s">
        <v>4004</v>
      </c>
      <c r="B1449" s="1">
        <v>45227</v>
      </c>
      <c r="C1449" t="s">
        <v>242</v>
      </c>
      <c r="D1449" t="s">
        <v>1333</v>
      </c>
      <c r="E1449">
        <v>50</v>
      </c>
      <c r="F1449" t="s">
        <v>4005</v>
      </c>
      <c r="G1449">
        <v>50</v>
      </c>
      <c r="H1449">
        <v>418.93040000000002</v>
      </c>
      <c r="N1449">
        <v>418.93040000000002</v>
      </c>
      <c r="O1449" s="1">
        <v>45214</v>
      </c>
      <c r="P1449">
        <f>IF(ISBLANK(ReconciliationData[[#This Row],[Invoice_ID]]),1,0)</f>
        <v>0</v>
      </c>
      <c r="Q1449">
        <f>IF(AND(NOT(ISBLANK(ReconciliationData[[#This Row],[Billed_Units]])),ReconciliationData[[#This Row],[ordered_units]]&lt;&gt;ReconciliationData[[#This Row],[Billed_Units]]),1,0)</f>
        <v>0</v>
      </c>
      <c r="R14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49">
        <f>IF(AND(NOT(ISBLANK(ReconciliationData[[#This Row],[Contract_Price]])),ReconciliationData[[#This Row],[Billed_Price]]&lt;&gt;ReconciliationData[[#This Row],[Contract_Price]]),1,0)</f>
        <v>0</v>
      </c>
      <c r="T1449">
        <f>IF(AND(NOT(ISBLANK(ReconciliationData[[#This Row],[End_Date]])),ReconciliationData[[#This Row],[Order_Date]]&gt;ReconciliationData[[#This Row],[End_Date]]),1,0)</f>
        <v>0</v>
      </c>
      <c r="U1449">
        <f>IF(AND(NOT(ISBLANK(ReconciliationData[[#This Row],[last_return_date]])),ReconciliationData[[#This Row],[last_return_date]]&gt;ReconciliationData[[#This Row],[Order_Date]]+60),1,0)</f>
        <v>0</v>
      </c>
      <c r="V1449">
        <f>IF(ReconciliationData[[#This Row],[total_returned_units]]&gt;ReconciliationData[[#This Row],[ordered_units]],1,0)</f>
        <v>0</v>
      </c>
      <c r="W14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49">
        <f>ReconciliationData[[#This Row],[Billed_Units]]*ReconciliationData[[#This Row],[Billed_Price]]</f>
        <v>20946.52</v>
      </c>
      <c r="Y1449">
        <f>ReconciliationData[[#This Row],[ordered_units]]*ReconciliationData[[#This Row],[List_Price]]</f>
        <v>20946.52</v>
      </c>
      <c r="Z1449">
        <f>ReconciliationData[[#This Row],[billed_revenue]]-ReconciliationData[[#This Row],[expected_revenue]]</f>
        <v>0</v>
      </c>
      <c r="AA14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49" t="str">
        <f>IF(ReconciliationData[[#This Row],[severity_score]]=0,"LOW",
 IF(ReconciliationData[[#This Row],[severity_score]]&lt;=5,"MEDIUM","HIGH"))</f>
        <v>LOW</v>
      </c>
      <c r="AC1449" t="str">
        <f>TEXT(ReconciliationData[[#This Row],[Order_Date]],"YYYY-MM")</f>
        <v>2023-10</v>
      </c>
    </row>
    <row r="1450" spans="1:29">
      <c r="A1450" t="s">
        <v>4006</v>
      </c>
      <c r="B1450" s="1">
        <v>45222</v>
      </c>
      <c r="C1450" t="s">
        <v>222</v>
      </c>
      <c r="D1450" t="s">
        <v>1294</v>
      </c>
      <c r="E1450">
        <v>152</v>
      </c>
      <c r="F1450" t="s">
        <v>4007</v>
      </c>
      <c r="G1450">
        <v>152</v>
      </c>
      <c r="H1450">
        <v>825.40440000000001</v>
      </c>
      <c r="N1450">
        <v>825.40440000000001</v>
      </c>
      <c r="O1450" s="1">
        <v>45105</v>
      </c>
      <c r="P1450">
        <f>IF(ISBLANK(ReconciliationData[[#This Row],[Invoice_ID]]),1,0)</f>
        <v>0</v>
      </c>
      <c r="Q1450">
        <f>IF(AND(NOT(ISBLANK(ReconciliationData[[#This Row],[Billed_Units]])),ReconciliationData[[#This Row],[ordered_units]]&lt;&gt;ReconciliationData[[#This Row],[Billed_Units]]),1,0)</f>
        <v>0</v>
      </c>
      <c r="R14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0">
        <f>IF(AND(NOT(ISBLANK(ReconciliationData[[#This Row],[Contract_Price]])),ReconciliationData[[#This Row],[Billed_Price]]&lt;&gt;ReconciliationData[[#This Row],[Contract_Price]]),1,0)</f>
        <v>0</v>
      </c>
      <c r="T1450">
        <f>IF(AND(NOT(ISBLANK(ReconciliationData[[#This Row],[End_Date]])),ReconciliationData[[#This Row],[Order_Date]]&gt;ReconciliationData[[#This Row],[End_Date]]),1,0)</f>
        <v>0</v>
      </c>
      <c r="U1450">
        <f>IF(AND(NOT(ISBLANK(ReconciliationData[[#This Row],[last_return_date]])),ReconciliationData[[#This Row],[last_return_date]]&gt;ReconciliationData[[#This Row],[Order_Date]]+60),1,0)</f>
        <v>0</v>
      </c>
      <c r="V1450">
        <f>IF(ReconciliationData[[#This Row],[total_returned_units]]&gt;ReconciliationData[[#This Row],[ordered_units]],1,0)</f>
        <v>0</v>
      </c>
      <c r="W14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50">
        <f>ReconciliationData[[#This Row],[Billed_Units]]*ReconciliationData[[#This Row],[Billed_Price]]</f>
        <v>125461.4688</v>
      </c>
      <c r="Y1450">
        <f>ReconciliationData[[#This Row],[ordered_units]]*ReconciliationData[[#This Row],[List_Price]]</f>
        <v>125461.4688</v>
      </c>
      <c r="Z1450">
        <f>ReconciliationData[[#This Row],[billed_revenue]]-ReconciliationData[[#This Row],[expected_revenue]]</f>
        <v>0</v>
      </c>
      <c r="AA14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50" t="str">
        <f>IF(ReconciliationData[[#This Row],[severity_score]]=0,"LOW",
 IF(ReconciliationData[[#This Row],[severity_score]]&lt;=5,"MEDIUM","HIGH"))</f>
        <v>LOW</v>
      </c>
      <c r="AC1450" t="str">
        <f>TEXT(ReconciliationData[[#This Row],[Order_Date]],"YYYY-MM")</f>
        <v>2023-10</v>
      </c>
    </row>
    <row r="1451" spans="1:29">
      <c r="A1451" t="s">
        <v>4008</v>
      </c>
      <c r="B1451" s="1">
        <v>44991</v>
      </c>
      <c r="C1451" t="s">
        <v>3450</v>
      </c>
      <c r="D1451" t="s">
        <v>775</v>
      </c>
      <c r="E1451">
        <v>77</v>
      </c>
      <c r="F1451" t="s">
        <v>4009</v>
      </c>
      <c r="G1451">
        <v>77</v>
      </c>
      <c r="H1451">
        <v>1173.1600000000001</v>
      </c>
      <c r="I1451">
        <v>13</v>
      </c>
      <c r="J1451" s="1">
        <v>45525</v>
      </c>
      <c r="N1451">
        <v>1173.1600000000001</v>
      </c>
      <c r="O1451" s="1">
        <v>44692</v>
      </c>
      <c r="P1451">
        <f>IF(ISBLANK(ReconciliationData[[#This Row],[Invoice_ID]]),1,0)</f>
        <v>0</v>
      </c>
      <c r="Q1451">
        <f>IF(AND(NOT(ISBLANK(ReconciliationData[[#This Row],[Billed_Units]])),ReconciliationData[[#This Row],[ordered_units]]&lt;&gt;ReconciliationData[[#This Row],[Billed_Units]]),1,0)</f>
        <v>0</v>
      </c>
      <c r="R14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1">
        <f>IF(AND(NOT(ISBLANK(ReconciliationData[[#This Row],[Contract_Price]])),ReconciliationData[[#This Row],[Billed_Price]]&lt;&gt;ReconciliationData[[#This Row],[Contract_Price]]),1,0)</f>
        <v>0</v>
      </c>
      <c r="T1451">
        <f>IF(AND(NOT(ISBLANK(ReconciliationData[[#This Row],[End_Date]])),ReconciliationData[[#This Row],[Order_Date]]&gt;ReconciliationData[[#This Row],[End_Date]]),1,0)</f>
        <v>0</v>
      </c>
      <c r="U1451">
        <f>IF(AND(NOT(ISBLANK(ReconciliationData[[#This Row],[last_return_date]])),ReconciliationData[[#This Row],[last_return_date]]&gt;ReconciliationData[[#This Row],[Order_Date]]+60),1,0)</f>
        <v>1</v>
      </c>
      <c r="V1451">
        <f>IF(ReconciliationData[[#This Row],[total_returned_units]]&gt;ReconciliationData[[#This Row],[ordered_units]],1,0)</f>
        <v>0</v>
      </c>
      <c r="W14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51">
        <f>ReconciliationData[[#This Row],[Billed_Units]]*ReconciliationData[[#This Row],[Billed_Price]]</f>
        <v>90333.32</v>
      </c>
      <c r="Y1451">
        <f>ReconciliationData[[#This Row],[ordered_units]]*ReconciliationData[[#This Row],[List_Price]]</f>
        <v>90333.32</v>
      </c>
      <c r="Z1451">
        <f>ReconciliationData[[#This Row],[billed_revenue]]-ReconciliationData[[#This Row],[expected_revenue]]</f>
        <v>0</v>
      </c>
      <c r="AA14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451" t="str">
        <f>IF(ReconciliationData[[#This Row],[severity_score]]=0,"LOW",
 IF(ReconciliationData[[#This Row],[severity_score]]&lt;=5,"MEDIUM","HIGH"))</f>
        <v>MEDIUM</v>
      </c>
      <c r="AC1451" t="str">
        <f>TEXT(ReconciliationData[[#This Row],[Order_Date]],"YYYY-MM")</f>
        <v>2023-03</v>
      </c>
    </row>
    <row r="1452" spans="1:29">
      <c r="A1452" t="s">
        <v>4010</v>
      </c>
      <c r="B1452" s="1">
        <v>44961</v>
      </c>
      <c r="C1452" t="s">
        <v>1536</v>
      </c>
      <c r="D1452" t="s">
        <v>1848</v>
      </c>
      <c r="E1452">
        <v>92</v>
      </c>
      <c r="F1452" t="s">
        <v>4011</v>
      </c>
      <c r="G1452">
        <v>92</v>
      </c>
      <c r="H1452">
        <v>83.314999999999998</v>
      </c>
      <c r="N1452">
        <v>83.314999999999998</v>
      </c>
      <c r="O1452" s="1">
        <v>44819</v>
      </c>
      <c r="P1452">
        <f>IF(ISBLANK(ReconciliationData[[#This Row],[Invoice_ID]]),1,0)</f>
        <v>0</v>
      </c>
      <c r="Q1452">
        <f>IF(AND(NOT(ISBLANK(ReconciliationData[[#This Row],[Billed_Units]])),ReconciliationData[[#This Row],[ordered_units]]&lt;&gt;ReconciliationData[[#This Row],[Billed_Units]]),1,0)</f>
        <v>0</v>
      </c>
      <c r="R14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2">
        <f>IF(AND(NOT(ISBLANK(ReconciliationData[[#This Row],[Contract_Price]])),ReconciliationData[[#This Row],[Billed_Price]]&lt;&gt;ReconciliationData[[#This Row],[Contract_Price]]),1,0)</f>
        <v>0</v>
      </c>
      <c r="T1452">
        <f>IF(AND(NOT(ISBLANK(ReconciliationData[[#This Row],[End_Date]])),ReconciliationData[[#This Row],[Order_Date]]&gt;ReconciliationData[[#This Row],[End_Date]]),1,0)</f>
        <v>0</v>
      </c>
      <c r="U1452">
        <f>IF(AND(NOT(ISBLANK(ReconciliationData[[#This Row],[last_return_date]])),ReconciliationData[[#This Row],[last_return_date]]&gt;ReconciliationData[[#This Row],[Order_Date]]+60),1,0)</f>
        <v>0</v>
      </c>
      <c r="V1452">
        <f>IF(ReconciliationData[[#This Row],[total_returned_units]]&gt;ReconciliationData[[#This Row],[ordered_units]],1,0)</f>
        <v>0</v>
      </c>
      <c r="W14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52">
        <f>ReconciliationData[[#This Row],[Billed_Units]]*ReconciliationData[[#This Row],[Billed_Price]]</f>
        <v>7664.98</v>
      </c>
      <c r="Y1452">
        <f>ReconciliationData[[#This Row],[ordered_units]]*ReconciliationData[[#This Row],[List_Price]]</f>
        <v>7664.98</v>
      </c>
      <c r="Z1452">
        <f>ReconciliationData[[#This Row],[billed_revenue]]-ReconciliationData[[#This Row],[expected_revenue]]</f>
        <v>0</v>
      </c>
      <c r="AA14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52" t="str">
        <f>IF(ReconciliationData[[#This Row],[severity_score]]=0,"LOW",
 IF(ReconciliationData[[#This Row],[severity_score]]&lt;=5,"MEDIUM","HIGH"))</f>
        <v>LOW</v>
      </c>
      <c r="AC1452" t="str">
        <f>TEXT(ReconciliationData[[#This Row],[Order_Date]],"YYYY-MM")</f>
        <v>2023-02</v>
      </c>
    </row>
    <row r="1453" spans="1:29">
      <c r="A1453" t="s">
        <v>4012</v>
      </c>
      <c r="B1453" s="1">
        <v>45201</v>
      </c>
      <c r="C1453" t="s">
        <v>373</v>
      </c>
      <c r="D1453" t="s">
        <v>1358</v>
      </c>
      <c r="E1453">
        <v>161</v>
      </c>
      <c r="F1453" t="s">
        <v>4013</v>
      </c>
      <c r="G1453">
        <v>161</v>
      </c>
      <c r="H1453">
        <v>940.1952</v>
      </c>
      <c r="N1453">
        <v>940.1952</v>
      </c>
      <c r="O1453" s="1">
        <v>45058</v>
      </c>
      <c r="P1453">
        <f>IF(ISBLANK(ReconciliationData[[#This Row],[Invoice_ID]]),1,0)</f>
        <v>0</v>
      </c>
      <c r="Q1453">
        <f>IF(AND(NOT(ISBLANK(ReconciliationData[[#This Row],[Billed_Units]])),ReconciliationData[[#This Row],[ordered_units]]&lt;&gt;ReconciliationData[[#This Row],[Billed_Units]]),1,0)</f>
        <v>0</v>
      </c>
      <c r="R14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3">
        <f>IF(AND(NOT(ISBLANK(ReconciliationData[[#This Row],[Contract_Price]])),ReconciliationData[[#This Row],[Billed_Price]]&lt;&gt;ReconciliationData[[#This Row],[Contract_Price]]),1,0)</f>
        <v>0</v>
      </c>
      <c r="T1453">
        <f>IF(AND(NOT(ISBLANK(ReconciliationData[[#This Row],[End_Date]])),ReconciliationData[[#This Row],[Order_Date]]&gt;ReconciliationData[[#This Row],[End_Date]]),1,0)</f>
        <v>0</v>
      </c>
      <c r="U1453">
        <f>IF(AND(NOT(ISBLANK(ReconciliationData[[#This Row],[last_return_date]])),ReconciliationData[[#This Row],[last_return_date]]&gt;ReconciliationData[[#This Row],[Order_Date]]+60),1,0)</f>
        <v>0</v>
      </c>
      <c r="V1453">
        <f>IF(ReconciliationData[[#This Row],[total_returned_units]]&gt;ReconciliationData[[#This Row],[ordered_units]],1,0)</f>
        <v>0</v>
      </c>
      <c r="W14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53">
        <f>ReconciliationData[[#This Row],[Billed_Units]]*ReconciliationData[[#This Row],[Billed_Price]]</f>
        <v>151371.42720000001</v>
      </c>
      <c r="Y1453">
        <f>ReconciliationData[[#This Row],[ordered_units]]*ReconciliationData[[#This Row],[List_Price]]</f>
        <v>151371.42720000001</v>
      </c>
      <c r="Z1453">
        <f>ReconciliationData[[#This Row],[billed_revenue]]-ReconciliationData[[#This Row],[expected_revenue]]</f>
        <v>0</v>
      </c>
      <c r="AA14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53" t="str">
        <f>IF(ReconciliationData[[#This Row],[severity_score]]=0,"LOW",
 IF(ReconciliationData[[#This Row],[severity_score]]&lt;=5,"MEDIUM","HIGH"))</f>
        <v>LOW</v>
      </c>
      <c r="AC1453" t="str">
        <f>TEXT(ReconciliationData[[#This Row],[Order_Date]],"YYYY-MM")</f>
        <v>2023-10</v>
      </c>
    </row>
    <row r="1454" spans="1:29">
      <c r="A1454" t="s">
        <v>4014</v>
      </c>
      <c r="B1454" s="1">
        <v>45482</v>
      </c>
      <c r="C1454" t="s">
        <v>4015</v>
      </c>
      <c r="D1454" t="s">
        <v>479</v>
      </c>
      <c r="E1454">
        <v>185</v>
      </c>
      <c r="F1454" t="s">
        <v>4016</v>
      </c>
      <c r="G1454">
        <v>192</v>
      </c>
      <c r="H1454">
        <v>1014.5718000000001</v>
      </c>
      <c r="N1454">
        <v>1014.5718000000001</v>
      </c>
      <c r="O1454" s="1">
        <v>45035</v>
      </c>
      <c r="P1454">
        <f>IF(ISBLANK(ReconciliationData[[#This Row],[Invoice_ID]]),1,0)</f>
        <v>0</v>
      </c>
      <c r="Q1454">
        <f>IF(AND(NOT(ISBLANK(ReconciliationData[[#This Row],[Billed_Units]])),ReconciliationData[[#This Row],[ordered_units]]&lt;&gt;ReconciliationData[[#This Row],[Billed_Units]]),1,0)</f>
        <v>1</v>
      </c>
      <c r="R14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4">
        <f>IF(AND(NOT(ISBLANK(ReconciliationData[[#This Row],[Contract_Price]])),ReconciliationData[[#This Row],[Billed_Price]]&lt;&gt;ReconciliationData[[#This Row],[Contract_Price]]),1,0)</f>
        <v>0</v>
      </c>
      <c r="T1454">
        <f>IF(AND(NOT(ISBLANK(ReconciliationData[[#This Row],[End_Date]])),ReconciliationData[[#This Row],[Order_Date]]&gt;ReconciliationData[[#This Row],[End_Date]]),1,0)</f>
        <v>0</v>
      </c>
      <c r="U1454">
        <f>IF(AND(NOT(ISBLANK(ReconciliationData[[#This Row],[last_return_date]])),ReconciliationData[[#This Row],[last_return_date]]&gt;ReconciliationData[[#This Row],[Order_Date]]+60),1,0)</f>
        <v>0</v>
      </c>
      <c r="V1454">
        <f>IF(ReconciliationData[[#This Row],[total_returned_units]]&gt;ReconciliationData[[#This Row],[ordered_units]],1,0)</f>
        <v>0</v>
      </c>
      <c r="W14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54">
        <f>ReconciliationData[[#This Row],[Billed_Units]]*ReconciliationData[[#This Row],[Billed_Price]]</f>
        <v>194797.7856</v>
      </c>
      <c r="Y1454">
        <f>ReconciliationData[[#This Row],[ordered_units]]*ReconciliationData[[#This Row],[List_Price]]</f>
        <v>187695.783</v>
      </c>
      <c r="Z1454">
        <f>ReconciliationData[[#This Row],[billed_revenue]]-ReconciliationData[[#This Row],[expected_revenue]]</f>
        <v>7102.0026000000071</v>
      </c>
      <c r="AA14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454" t="str">
        <f>IF(ReconciliationData[[#This Row],[severity_score]]=0,"LOW",
 IF(ReconciliationData[[#This Row],[severity_score]]&lt;=5,"MEDIUM","HIGH"))</f>
        <v>HIGH</v>
      </c>
      <c r="AC1454" t="str">
        <f>TEXT(ReconciliationData[[#This Row],[Order_Date]],"YYYY-MM")</f>
        <v>2024-07</v>
      </c>
    </row>
    <row r="1455" spans="1:29">
      <c r="A1455" t="s">
        <v>4017</v>
      </c>
      <c r="B1455" s="1">
        <v>45484</v>
      </c>
      <c r="C1455" t="s">
        <v>1336</v>
      </c>
      <c r="D1455" t="s">
        <v>408</v>
      </c>
      <c r="E1455">
        <v>166</v>
      </c>
      <c r="F1455" t="s">
        <v>4018</v>
      </c>
      <c r="G1455">
        <v>166</v>
      </c>
      <c r="H1455">
        <v>660.96040000000005</v>
      </c>
      <c r="N1455">
        <v>660.96040000000005</v>
      </c>
      <c r="O1455" s="1">
        <v>44947</v>
      </c>
      <c r="P1455">
        <f>IF(ISBLANK(ReconciliationData[[#This Row],[Invoice_ID]]),1,0)</f>
        <v>0</v>
      </c>
      <c r="Q1455">
        <f>IF(AND(NOT(ISBLANK(ReconciliationData[[#This Row],[Billed_Units]])),ReconciliationData[[#This Row],[ordered_units]]&lt;&gt;ReconciliationData[[#This Row],[Billed_Units]]),1,0)</f>
        <v>0</v>
      </c>
      <c r="R14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5">
        <f>IF(AND(NOT(ISBLANK(ReconciliationData[[#This Row],[Contract_Price]])),ReconciliationData[[#This Row],[Billed_Price]]&lt;&gt;ReconciliationData[[#This Row],[Contract_Price]]),1,0)</f>
        <v>0</v>
      </c>
      <c r="T1455">
        <f>IF(AND(NOT(ISBLANK(ReconciliationData[[#This Row],[End_Date]])),ReconciliationData[[#This Row],[Order_Date]]&gt;ReconciliationData[[#This Row],[End_Date]]),1,0)</f>
        <v>0</v>
      </c>
      <c r="U1455">
        <f>IF(AND(NOT(ISBLANK(ReconciliationData[[#This Row],[last_return_date]])),ReconciliationData[[#This Row],[last_return_date]]&gt;ReconciliationData[[#This Row],[Order_Date]]+60),1,0)</f>
        <v>0</v>
      </c>
      <c r="V1455">
        <f>IF(ReconciliationData[[#This Row],[total_returned_units]]&gt;ReconciliationData[[#This Row],[ordered_units]],1,0)</f>
        <v>0</v>
      </c>
      <c r="W14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55">
        <f>ReconciliationData[[#This Row],[Billed_Units]]*ReconciliationData[[#This Row],[Billed_Price]]</f>
        <v>109719.42640000001</v>
      </c>
      <c r="Y1455">
        <f>ReconciliationData[[#This Row],[ordered_units]]*ReconciliationData[[#This Row],[List_Price]]</f>
        <v>109719.42640000001</v>
      </c>
      <c r="Z1455">
        <f>ReconciliationData[[#This Row],[billed_revenue]]-ReconciliationData[[#This Row],[expected_revenue]]</f>
        <v>0</v>
      </c>
      <c r="AA14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55" t="str">
        <f>IF(ReconciliationData[[#This Row],[severity_score]]=0,"LOW",
 IF(ReconciliationData[[#This Row],[severity_score]]&lt;=5,"MEDIUM","HIGH"))</f>
        <v>LOW</v>
      </c>
      <c r="AC1455" t="str">
        <f>TEXT(ReconciliationData[[#This Row],[Order_Date]],"YYYY-MM")</f>
        <v>2024-07</v>
      </c>
    </row>
    <row r="1456" spans="1:29">
      <c r="A1456" t="s">
        <v>4019</v>
      </c>
      <c r="B1456" s="1">
        <v>45176</v>
      </c>
      <c r="C1456" t="s">
        <v>1253</v>
      </c>
      <c r="D1456" t="s">
        <v>1436</v>
      </c>
      <c r="E1456">
        <v>9</v>
      </c>
      <c r="F1456" t="s">
        <v>4020</v>
      </c>
      <c r="G1456">
        <v>9</v>
      </c>
      <c r="H1456">
        <v>189.52920000000003</v>
      </c>
      <c r="N1456">
        <v>189.52920000000003</v>
      </c>
      <c r="O1456" s="1">
        <v>45070</v>
      </c>
      <c r="P1456">
        <f>IF(ISBLANK(ReconciliationData[[#This Row],[Invoice_ID]]),1,0)</f>
        <v>0</v>
      </c>
      <c r="Q1456">
        <f>IF(AND(NOT(ISBLANK(ReconciliationData[[#This Row],[Billed_Units]])),ReconciliationData[[#This Row],[ordered_units]]&lt;&gt;ReconciliationData[[#This Row],[Billed_Units]]),1,0)</f>
        <v>0</v>
      </c>
      <c r="R14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6">
        <f>IF(AND(NOT(ISBLANK(ReconciliationData[[#This Row],[Contract_Price]])),ReconciliationData[[#This Row],[Billed_Price]]&lt;&gt;ReconciliationData[[#This Row],[Contract_Price]]),1,0)</f>
        <v>0</v>
      </c>
      <c r="T1456">
        <f>IF(AND(NOT(ISBLANK(ReconciliationData[[#This Row],[End_Date]])),ReconciliationData[[#This Row],[Order_Date]]&gt;ReconciliationData[[#This Row],[End_Date]]),1,0)</f>
        <v>0</v>
      </c>
      <c r="U1456">
        <f>IF(AND(NOT(ISBLANK(ReconciliationData[[#This Row],[last_return_date]])),ReconciliationData[[#This Row],[last_return_date]]&gt;ReconciliationData[[#This Row],[Order_Date]]+60),1,0)</f>
        <v>0</v>
      </c>
      <c r="V1456">
        <f>IF(ReconciliationData[[#This Row],[total_returned_units]]&gt;ReconciliationData[[#This Row],[ordered_units]],1,0)</f>
        <v>0</v>
      </c>
      <c r="W14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56">
        <f>ReconciliationData[[#This Row],[Billed_Units]]*ReconciliationData[[#This Row],[Billed_Price]]</f>
        <v>1705.7628000000002</v>
      </c>
      <c r="Y1456">
        <f>ReconciliationData[[#This Row],[ordered_units]]*ReconciliationData[[#This Row],[List_Price]]</f>
        <v>1705.7628000000002</v>
      </c>
      <c r="Z1456">
        <f>ReconciliationData[[#This Row],[billed_revenue]]-ReconciliationData[[#This Row],[expected_revenue]]</f>
        <v>0</v>
      </c>
      <c r="AA14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56" t="str">
        <f>IF(ReconciliationData[[#This Row],[severity_score]]=0,"LOW",
 IF(ReconciliationData[[#This Row],[severity_score]]&lt;=5,"MEDIUM","HIGH"))</f>
        <v>LOW</v>
      </c>
      <c r="AC1456" t="str">
        <f>TEXT(ReconciliationData[[#This Row],[Order_Date]],"YYYY-MM")</f>
        <v>2023-09</v>
      </c>
    </row>
    <row r="1457" spans="1:29">
      <c r="A1457" t="s">
        <v>4021</v>
      </c>
      <c r="B1457" s="1">
        <v>45471</v>
      </c>
      <c r="C1457" t="s">
        <v>1781</v>
      </c>
      <c r="D1457" t="s">
        <v>930</v>
      </c>
      <c r="E1457">
        <v>15</v>
      </c>
      <c r="F1457" t="s">
        <v>4022</v>
      </c>
      <c r="G1457">
        <v>15</v>
      </c>
      <c r="H1457">
        <v>159.06059999999999</v>
      </c>
      <c r="N1457">
        <v>159.06059999999999</v>
      </c>
      <c r="O1457" s="1">
        <v>44944</v>
      </c>
      <c r="P1457">
        <f>IF(ISBLANK(ReconciliationData[[#This Row],[Invoice_ID]]),1,0)</f>
        <v>0</v>
      </c>
      <c r="Q1457">
        <f>IF(AND(NOT(ISBLANK(ReconciliationData[[#This Row],[Billed_Units]])),ReconciliationData[[#This Row],[ordered_units]]&lt;&gt;ReconciliationData[[#This Row],[Billed_Units]]),1,0)</f>
        <v>0</v>
      </c>
      <c r="R14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7">
        <f>IF(AND(NOT(ISBLANK(ReconciliationData[[#This Row],[Contract_Price]])),ReconciliationData[[#This Row],[Billed_Price]]&lt;&gt;ReconciliationData[[#This Row],[Contract_Price]]),1,0)</f>
        <v>0</v>
      </c>
      <c r="T1457">
        <f>IF(AND(NOT(ISBLANK(ReconciliationData[[#This Row],[End_Date]])),ReconciliationData[[#This Row],[Order_Date]]&gt;ReconciliationData[[#This Row],[End_Date]]),1,0)</f>
        <v>0</v>
      </c>
      <c r="U1457">
        <f>IF(AND(NOT(ISBLANK(ReconciliationData[[#This Row],[last_return_date]])),ReconciliationData[[#This Row],[last_return_date]]&gt;ReconciliationData[[#This Row],[Order_Date]]+60),1,0)</f>
        <v>0</v>
      </c>
      <c r="V1457">
        <f>IF(ReconciliationData[[#This Row],[total_returned_units]]&gt;ReconciliationData[[#This Row],[ordered_units]],1,0)</f>
        <v>0</v>
      </c>
      <c r="W14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57">
        <f>ReconciliationData[[#This Row],[Billed_Units]]*ReconciliationData[[#This Row],[Billed_Price]]</f>
        <v>2385.9090000000001</v>
      </c>
      <c r="Y1457">
        <f>ReconciliationData[[#This Row],[ordered_units]]*ReconciliationData[[#This Row],[List_Price]]</f>
        <v>2385.9090000000001</v>
      </c>
      <c r="Z1457">
        <f>ReconciliationData[[#This Row],[billed_revenue]]-ReconciliationData[[#This Row],[expected_revenue]]</f>
        <v>0</v>
      </c>
      <c r="AA14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57" t="str">
        <f>IF(ReconciliationData[[#This Row],[severity_score]]=0,"LOW",
 IF(ReconciliationData[[#This Row],[severity_score]]&lt;=5,"MEDIUM","HIGH"))</f>
        <v>LOW</v>
      </c>
      <c r="AC1457" t="str">
        <f>TEXT(ReconciliationData[[#This Row],[Order_Date]],"YYYY-MM")</f>
        <v>2024-06</v>
      </c>
    </row>
    <row r="1458" spans="1:29">
      <c r="A1458" t="s">
        <v>4023</v>
      </c>
      <c r="B1458" s="1">
        <v>45118</v>
      </c>
      <c r="C1458" t="s">
        <v>1941</v>
      </c>
      <c r="D1458" t="s">
        <v>2853</v>
      </c>
      <c r="E1458">
        <v>97</v>
      </c>
      <c r="F1458" t="s">
        <v>4024</v>
      </c>
      <c r="G1458">
        <v>97</v>
      </c>
      <c r="H1458">
        <v>272.97059999999999</v>
      </c>
      <c r="N1458">
        <v>272.97059999999999</v>
      </c>
      <c r="O1458" s="1">
        <v>44883</v>
      </c>
      <c r="P1458">
        <f>IF(ISBLANK(ReconciliationData[[#This Row],[Invoice_ID]]),1,0)</f>
        <v>0</v>
      </c>
      <c r="Q1458">
        <f>IF(AND(NOT(ISBLANK(ReconciliationData[[#This Row],[Billed_Units]])),ReconciliationData[[#This Row],[ordered_units]]&lt;&gt;ReconciliationData[[#This Row],[Billed_Units]]),1,0)</f>
        <v>0</v>
      </c>
      <c r="R14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8">
        <f>IF(AND(NOT(ISBLANK(ReconciliationData[[#This Row],[Contract_Price]])),ReconciliationData[[#This Row],[Billed_Price]]&lt;&gt;ReconciliationData[[#This Row],[Contract_Price]]),1,0)</f>
        <v>0</v>
      </c>
      <c r="T1458">
        <f>IF(AND(NOT(ISBLANK(ReconciliationData[[#This Row],[End_Date]])),ReconciliationData[[#This Row],[Order_Date]]&gt;ReconciliationData[[#This Row],[End_Date]]),1,0)</f>
        <v>0</v>
      </c>
      <c r="U1458">
        <f>IF(AND(NOT(ISBLANK(ReconciliationData[[#This Row],[last_return_date]])),ReconciliationData[[#This Row],[last_return_date]]&gt;ReconciliationData[[#This Row],[Order_Date]]+60),1,0)</f>
        <v>0</v>
      </c>
      <c r="V1458">
        <f>IF(ReconciliationData[[#This Row],[total_returned_units]]&gt;ReconciliationData[[#This Row],[ordered_units]],1,0)</f>
        <v>0</v>
      </c>
      <c r="W14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58">
        <f>ReconciliationData[[#This Row],[Billed_Units]]*ReconciliationData[[#This Row],[Billed_Price]]</f>
        <v>26478.1482</v>
      </c>
      <c r="Y1458">
        <f>ReconciliationData[[#This Row],[ordered_units]]*ReconciliationData[[#This Row],[List_Price]]</f>
        <v>26478.1482</v>
      </c>
      <c r="Z1458">
        <f>ReconciliationData[[#This Row],[billed_revenue]]-ReconciliationData[[#This Row],[expected_revenue]]</f>
        <v>0</v>
      </c>
      <c r="AA14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58" t="str">
        <f>IF(ReconciliationData[[#This Row],[severity_score]]=0,"LOW",
 IF(ReconciliationData[[#This Row],[severity_score]]&lt;=5,"MEDIUM","HIGH"))</f>
        <v>LOW</v>
      </c>
      <c r="AC1458" t="str">
        <f>TEXT(ReconciliationData[[#This Row],[Order_Date]],"YYYY-MM")</f>
        <v>2023-07</v>
      </c>
    </row>
    <row r="1459" spans="1:29">
      <c r="A1459" t="s">
        <v>4025</v>
      </c>
      <c r="B1459" s="1">
        <v>45048</v>
      </c>
      <c r="C1459" t="s">
        <v>312</v>
      </c>
      <c r="D1459" t="s">
        <v>600</v>
      </c>
      <c r="E1459">
        <v>80</v>
      </c>
      <c r="F1459" t="s">
        <v>4026</v>
      </c>
      <c r="G1459">
        <v>80</v>
      </c>
      <c r="H1459">
        <v>52.185000000000002</v>
      </c>
      <c r="N1459">
        <v>52.185000000000002</v>
      </c>
      <c r="O1459" s="1">
        <v>44998</v>
      </c>
      <c r="P1459">
        <f>IF(ISBLANK(ReconciliationData[[#This Row],[Invoice_ID]]),1,0)</f>
        <v>0</v>
      </c>
      <c r="Q1459">
        <f>IF(AND(NOT(ISBLANK(ReconciliationData[[#This Row],[Billed_Units]])),ReconciliationData[[#This Row],[ordered_units]]&lt;&gt;ReconciliationData[[#This Row],[Billed_Units]]),1,0)</f>
        <v>0</v>
      </c>
      <c r="R14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59">
        <f>IF(AND(NOT(ISBLANK(ReconciliationData[[#This Row],[Contract_Price]])),ReconciliationData[[#This Row],[Billed_Price]]&lt;&gt;ReconciliationData[[#This Row],[Contract_Price]]),1,0)</f>
        <v>0</v>
      </c>
      <c r="T1459">
        <f>IF(AND(NOT(ISBLANK(ReconciliationData[[#This Row],[End_Date]])),ReconciliationData[[#This Row],[Order_Date]]&gt;ReconciliationData[[#This Row],[End_Date]]),1,0)</f>
        <v>0</v>
      </c>
      <c r="U1459">
        <f>IF(AND(NOT(ISBLANK(ReconciliationData[[#This Row],[last_return_date]])),ReconciliationData[[#This Row],[last_return_date]]&gt;ReconciliationData[[#This Row],[Order_Date]]+60),1,0)</f>
        <v>0</v>
      </c>
      <c r="V1459">
        <f>IF(ReconciliationData[[#This Row],[total_returned_units]]&gt;ReconciliationData[[#This Row],[ordered_units]],1,0)</f>
        <v>0</v>
      </c>
      <c r="W14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59">
        <f>ReconciliationData[[#This Row],[Billed_Units]]*ReconciliationData[[#This Row],[Billed_Price]]</f>
        <v>4174.8</v>
      </c>
      <c r="Y1459">
        <f>ReconciliationData[[#This Row],[ordered_units]]*ReconciliationData[[#This Row],[List_Price]]</f>
        <v>4174.8</v>
      </c>
      <c r="Z1459">
        <f>ReconciliationData[[#This Row],[billed_revenue]]-ReconciliationData[[#This Row],[expected_revenue]]</f>
        <v>0</v>
      </c>
      <c r="AA14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59" t="str">
        <f>IF(ReconciliationData[[#This Row],[severity_score]]=0,"LOW",
 IF(ReconciliationData[[#This Row],[severity_score]]&lt;=5,"MEDIUM","HIGH"))</f>
        <v>LOW</v>
      </c>
      <c r="AC1459" t="str">
        <f>TEXT(ReconciliationData[[#This Row],[Order_Date]],"YYYY-MM")</f>
        <v>2023-05</v>
      </c>
    </row>
    <row r="1460" spans="1:29">
      <c r="A1460" t="s">
        <v>4027</v>
      </c>
      <c r="B1460" s="1">
        <v>45612</v>
      </c>
      <c r="C1460" t="s">
        <v>1768</v>
      </c>
      <c r="D1460" t="s">
        <v>374</v>
      </c>
      <c r="E1460">
        <v>98</v>
      </c>
      <c r="F1460" t="s">
        <v>4028</v>
      </c>
      <c r="G1460">
        <v>106</v>
      </c>
      <c r="H1460">
        <v>517.39100000000008</v>
      </c>
      <c r="N1460">
        <v>517.39100000000008</v>
      </c>
      <c r="O1460" s="1">
        <v>45045</v>
      </c>
      <c r="P1460">
        <f>IF(ISBLANK(ReconciliationData[[#This Row],[Invoice_ID]]),1,0)</f>
        <v>0</v>
      </c>
      <c r="Q1460">
        <f>IF(AND(NOT(ISBLANK(ReconciliationData[[#This Row],[Billed_Units]])),ReconciliationData[[#This Row],[ordered_units]]&lt;&gt;ReconciliationData[[#This Row],[Billed_Units]]),1,0)</f>
        <v>1</v>
      </c>
      <c r="R14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60">
        <f>IF(AND(NOT(ISBLANK(ReconciliationData[[#This Row],[Contract_Price]])),ReconciliationData[[#This Row],[Billed_Price]]&lt;&gt;ReconciliationData[[#This Row],[Contract_Price]]),1,0)</f>
        <v>0</v>
      </c>
      <c r="T1460">
        <f>IF(AND(NOT(ISBLANK(ReconciliationData[[#This Row],[End_Date]])),ReconciliationData[[#This Row],[Order_Date]]&gt;ReconciliationData[[#This Row],[End_Date]]),1,0)</f>
        <v>0</v>
      </c>
      <c r="U1460">
        <f>IF(AND(NOT(ISBLANK(ReconciliationData[[#This Row],[last_return_date]])),ReconciliationData[[#This Row],[last_return_date]]&gt;ReconciliationData[[#This Row],[Order_Date]]+60),1,0)</f>
        <v>0</v>
      </c>
      <c r="V1460">
        <f>IF(ReconciliationData[[#This Row],[total_returned_units]]&gt;ReconciliationData[[#This Row],[ordered_units]],1,0)</f>
        <v>0</v>
      </c>
      <c r="W14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60">
        <f>ReconciliationData[[#This Row],[Billed_Units]]*ReconciliationData[[#This Row],[Billed_Price]]</f>
        <v>54843.446000000011</v>
      </c>
      <c r="Y1460">
        <f>ReconciliationData[[#This Row],[ordered_units]]*ReconciliationData[[#This Row],[List_Price]]</f>
        <v>50704.318000000007</v>
      </c>
      <c r="Z1460">
        <f>ReconciliationData[[#This Row],[billed_revenue]]-ReconciliationData[[#This Row],[expected_revenue]]</f>
        <v>4139.1280000000042</v>
      </c>
      <c r="AA14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460" t="str">
        <f>IF(ReconciliationData[[#This Row],[severity_score]]=0,"LOW",
 IF(ReconciliationData[[#This Row],[severity_score]]&lt;=5,"MEDIUM","HIGH"))</f>
        <v>HIGH</v>
      </c>
      <c r="AC1460" t="str">
        <f>TEXT(ReconciliationData[[#This Row],[Order_Date]],"YYYY-MM")</f>
        <v>2024-11</v>
      </c>
    </row>
    <row r="1461" spans="1:29">
      <c r="A1461" t="s">
        <v>4029</v>
      </c>
      <c r="B1461" s="1">
        <v>45543</v>
      </c>
      <c r="C1461" t="s">
        <v>3878</v>
      </c>
      <c r="D1461" t="s">
        <v>647</v>
      </c>
      <c r="E1461">
        <v>194</v>
      </c>
      <c r="F1461" t="s">
        <v>4030</v>
      </c>
      <c r="G1461">
        <v>194</v>
      </c>
      <c r="H1461">
        <v>279.42789999999997</v>
      </c>
      <c r="N1461">
        <v>279.42789999999997</v>
      </c>
      <c r="O1461" s="1">
        <v>45103</v>
      </c>
      <c r="P1461">
        <f>IF(ISBLANK(ReconciliationData[[#This Row],[Invoice_ID]]),1,0)</f>
        <v>0</v>
      </c>
      <c r="Q1461">
        <f>IF(AND(NOT(ISBLANK(ReconciliationData[[#This Row],[Billed_Units]])),ReconciliationData[[#This Row],[ordered_units]]&lt;&gt;ReconciliationData[[#This Row],[Billed_Units]]),1,0)</f>
        <v>0</v>
      </c>
      <c r="R14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61">
        <f>IF(AND(NOT(ISBLANK(ReconciliationData[[#This Row],[Contract_Price]])),ReconciliationData[[#This Row],[Billed_Price]]&lt;&gt;ReconciliationData[[#This Row],[Contract_Price]]),1,0)</f>
        <v>0</v>
      </c>
      <c r="T1461">
        <f>IF(AND(NOT(ISBLANK(ReconciliationData[[#This Row],[End_Date]])),ReconciliationData[[#This Row],[Order_Date]]&gt;ReconciliationData[[#This Row],[End_Date]]),1,0)</f>
        <v>0</v>
      </c>
      <c r="U1461">
        <f>IF(AND(NOT(ISBLANK(ReconciliationData[[#This Row],[last_return_date]])),ReconciliationData[[#This Row],[last_return_date]]&gt;ReconciliationData[[#This Row],[Order_Date]]+60),1,0)</f>
        <v>0</v>
      </c>
      <c r="V1461">
        <f>IF(ReconciliationData[[#This Row],[total_returned_units]]&gt;ReconciliationData[[#This Row],[ordered_units]],1,0)</f>
        <v>0</v>
      </c>
      <c r="W14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61">
        <f>ReconciliationData[[#This Row],[Billed_Units]]*ReconciliationData[[#This Row],[Billed_Price]]</f>
        <v>54209.012599999995</v>
      </c>
      <c r="Y1461">
        <f>ReconciliationData[[#This Row],[ordered_units]]*ReconciliationData[[#This Row],[List_Price]]</f>
        <v>54209.012599999995</v>
      </c>
      <c r="Z1461">
        <f>ReconciliationData[[#This Row],[billed_revenue]]-ReconciliationData[[#This Row],[expected_revenue]]</f>
        <v>0</v>
      </c>
      <c r="AA14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61" t="str">
        <f>IF(ReconciliationData[[#This Row],[severity_score]]=0,"LOW",
 IF(ReconciliationData[[#This Row],[severity_score]]&lt;=5,"MEDIUM","HIGH"))</f>
        <v>LOW</v>
      </c>
      <c r="AC1461" t="str">
        <f>TEXT(ReconciliationData[[#This Row],[Order_Date]],"YYYY-MM")</f>
        <v>2024-09</v>
      </c>
    </row>
    <row r="1462" spans="1:29">
      <c r="A1462" t="s">
        <v>4031</v>
      </c>
      <c r="B1462" s="1">
        <v>44933</v>
      </c>
      <c r="C1462" t="s">
        <v>2976</v>
      </c>
      <c r="D1462" t="s">
        <v>916</v>
      </c>
      <c r="E1462">
        <v>97</v>
      </c>
      <c r="F1462" t="s">
        <v>4032</v>
      </c>
      <c r="G1462">
        <v>97</v>
      </c>
      <c r="H1462">
        <v>1158.2643</v>
      </c>
      <c r="N1462">
        <v>1158.2643</v>
      </c>
      <c r="O1462" s="1">
        <v>44771</v>
      </c>
      <c r="P1462">
        <f>IF(ISBLANK(ReconciliationData[[#This Row],[Invoice_ID]]),1,0)</f>
        <v>0</v>
      </c>
      <c r="Q1462">
        <f>IF(AND(NOT(ISBLANK(ReconciliationData[[#This Row],[Billed_Units]])),ReconciliationData[[#This Row],[ordered_units]]&lt;&gt;ReconciliationData[[#This Row],[Billed_Units]]),1,0)</f>
        <v>0</v>
      </c>
      <c r="R14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62">
        <f>IF(AND(NOT(ISBLANK(ReconciliationData[[#This Row],[Contract_Price]])),ReconciliationData[[#This Row],[Billed_Price]]&lt;&gt;ReconciliationData[[#This Row],[Contract_Price]]),1,0)</f>
        <v>0</v>
      </c>
      <c r="T1462">
        <f>IF(AND(NOT(ISBLANK(ReconciliationData[[#This Row],[End_Date]])),ReconciliationData[[#This Row],[Order_Date]]&gt;ReconciliationData[[#This Row],[End_Date]]),1,0)</f>
        <v>0</v>
      </c>
      <c r="U1462">
        <f>IF(AND(NOT(ISBLANK(ReconciliationData[[#This Row],[last_return_date]])),ReconciliationData[[#This Row],[last_return_date]]&gt;ReconciliationData[[#This Row],[Order_Date]]+60),1,0)</f>
        <v>0</v>
      </c>
      <c r="V1462">
        <f>IF(ReconciliationData[[#This Row],[total_returned_units]]&gt;ReconciliationData[[#This Row],[ordered_units]],1,0)</f>
        <v>0</v>
      </c>
      <c r="W14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62">
        <f>ReconciliationData[[#This Row],[Billed_Units]]*ReconciliationData[[#This Row],[Billed_Price]]</f>
        <v>112351.63710000001</v>
      </c>
      <c r="Y1462">
        <f>ReconciliationData[[#This Row],[ordered_units]]*ReconciliationData[[#This Row],[List_Price]]</f>
        <v>112351.63710000001</v>
      </c>
      <c r="Z1462">
        <f>ReconciliationData[[#This Row],[billed_revenue]]-ReconciliationData[[#This Row],[expected_revenue]]</f>
        <v>0</v>
      </c>
      <c r="AA14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62" t="str">
        <f>IF(ReconciliationData[[#This Row],[severity_score]]=0,"LOW",
 IF(ReconciliationData[[#This Row],[severity_score]]&lt;=5,"MEDIUM","HIGH"))</f>
        <v>LOW</v>
      </c>
      <c r="AC1462" t="str">
        <f>TEXT(ReconciliationData[[#This Row],[Order_Date]],"YYYY-MM")</f>
        <v>2023-01</v>
      </c>
    </row>
    <row r="1463" spans="1:29">
      <c r="A1463" t="s">
        <v>4033</v>
      </c>
      <c r="B1463" s="1">
        <v>45417</v>
      </c>
      <c r="C1463" t="s">
        <v>1141</v>
      </c>
      <c r="D1463" t="s">
        <v>1549</v>
      </c>
      <c r="E1463">
        <v>76</v>
      </c>
      <c r="F1463" t="s">
        <v>4034</v>
      </c>
      <c r="G1463">
        <v>85</v>
      </c>
      <c r="H1463">
        <v>234.87090000000001</v>
      </c>
      <c r="N1463">
        <v>234.87090000000001</v>
      </c>
      <c r="O1463" s="1">
        <v>45150</v>
      </c>
      <c r="P1463">
        <f>IF(ISBLANK(ReconciliationData[[#This Row],[Invoice_ID]]),1,0)</f>
        <v>0</v>
      </c>
      <c r="Q1463">
        <f>IF(AND(NOT(ISBLANK(ReconciliationData[[#This Row],[Billed_Units]])),ReconciliationData[[#This Row],[ordered_units]]&lt;&gt;ReconciliationData[[#This Row],[Billed_Units]]),1,0)</f>
        <v>1</v>
      </c>
      <c r="R14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63">
        <f>IF(AND(NOT(ISBLANK(ReconciliationData[[#This Row],[Contract_Price]])),ReconciliationData[[#This Row],[Billed_Price]]&lt;&gt;ReconciliationData[[#This Row],[Contract_Price]]),1,0)</f>
        <v>0</v>
      </c>
      <c r="T1463">
        <f>IF(AND(NOT(ISBLANK(ReconciliationData[[#This Row],[End_Date]])),ReconciliationData[[#This Row],[Order_Date]]&gt;ReconciliationData[[#This Row],[End_Date]]),1,0)</f>
        <v>0</v>
      </c>
      <c r="U1463">
        <f>IF(AND(NOT(ISBLANK(ReconciliationData[[#This Row],[last_return_date]])),ReconciliationData[[#This Row],[last_return_date]]&gt;ReconciliationData[[#This Row],[Order_Date]]+60),1,0)</f>
        <v>0</v>
      </c>
      <c r="V1463">
        <f>IF(ReconciliationData[[#This Row],[total_returned_units]]&gt;ReconciliationData[[#This Row],[ordered_units]],1,0)</f>
        <v>0</v>
      </c>
      <c r="W14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63">
        <f>ReconciliationData[[#This Row],[Billed_Units]]*ReconciliationData[[#This Row],[Billed_Price]]</f>
        <v>19964.0265</v>
      </c>
      <c r="Y1463">
        <f>ReconciliationData[[#This Row],[ordered_units]]*ReconciliationData[[#This Row],[List_Price]]</f>
        <v>17850.188399999999</v>
      </c>
      <c r="Z1463">
        <f>ReconciliationData[[#This Row],[billed_revenue]]-ReconciliationData[[#This Row],[expected_revenue]]</f>
        <v>2113.8381000000008</v>
      </c>
      <c r="AA14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463" t="str">
        <f>IF(ReconciliationData[[#This Row],[severity_score]]=0,"LOW",
 IF(ReconciliationData[[#This Row],[severity_score]]&lt;=5,"MEDIUM","HIGH"))</f>
        <v>HIGH</v>
      </c>
      <c r="AC1463" t="str">
        <f>TEXT(ReconciliationData[[#This Row],[Order_Date]],"YYYY-MM")</f>
        <v>2024-05</v>
      </c>
    </row>
    <row r="1464" spans="1:29">
      <c r="A1464" t="s">
        <v>4035</v>
      </c>
      <c r="B1464" s="1">
        <v>45090</v>
      </c>
      <c r="C1464" t="s">
        <v>1013</v>
      </c>
      <c r="D1464" t="s">
        <v>3006</v>
      </c>
      <c r="E1464">
        <v>142</v>
      </c>
      <c r="F1464" t="s">
        <v>4036</v>
      </c>
      <c r="G1464">
        <v>142</v>
      </c>
      <c r="H1464">
        <v>720.47380000000021</v>
      </c>
      <c r="I1464">
        <v>12</v>
      </c>
      <c r="J1464" s="1">
        <v>45470</v>
      </c>
      <c r="N1464">
        <v>720.47380000000021</v>
      </c>
      <c r="O1464" s="1">
        <v>45026</v>
      </c>
      <c r="P1464">
        <f>IF(ISBLANK(ReconciliationData[[#This Row],[Invoice_ID]]),1,0)</f>
        <v>0</v>
      </c>
      <c r="Q1464">
        <f>IF(AND(NOT(ISBLANK(ReconciliationData[[#This Row],[Billed_Units]])),ReconciliationData[[#This Row],[ordered_units]]&lt;&gt;ReconciliationData[[#This Row],[Billed_Units]]),1,0)</f>
        <v>0</v>
      </c>
      <c r="R14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64">
        <f>IF(AND(NOT(ISBLANK(ReconciliationData[[#This Row],[Contract_Price]])),ReconciliationData[[#This Row],[Billed_Price]]&lt;&gt;ReconciliationData[[#This Row],[Contract_Price]]),1,0)</f>
        <v>0</v>
      </c>
      <c r="T1464">
        <f>IF(AND(NOT(ISBLANK(ReconciliationData[[#This Row],[End_Date]])),ReconciliationData[[#This Row],[Order_Date]]&gt;ReconciliationData[[#This Row],[End_Date]]),1,0)</f>
        <v>0</v>
      </c>
      <c r="U1464">
        <f>IF(AND(NOT(ISBLANK(ReconciliationData[[#This Row],[last_return_date]])),ReconciliationData[[#This Row],[last_return_date]]&gt;ReconciliationData[[#This Row],[Order_Date]]+60),1,0)</f>
        <v>1</v>
      </c>
      <c r="V1464">
        <f>IF(ReconciliationData[[#This Row],[total_returned_units]]&gt;ReconciliationData[[#This Row],[ordered_units]],1,0)</f>
        <v>0</v>
      </c>
      <c r="W14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64">
        <f>ReconciliationData[[#This Row],[Billed_Units]]*ReconciliationData[[#This Row],[Billed_Price]]</f>
        <v>102307.27960000002</v>
      </c>
      <c r="Y1464">
        <f>ReconciliationData[[#This Row],[ordered_units]]*ReconciliationData[[#This Row],[List_Price]]</f>
        <v>102307.27960000002</v>
      </c>
      <c r="Z1464">
        <f>ReconciliationData[[#This Row],[billed_revenue]]-ReconciliationData[[#This Row],[expected_revenue]]</f>
        <v>0</v>
      </c>
      <c r="AA14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464" t="str">
        <f>IF(ReconciliationData[[#This Row],[severity_score]]=0,"LOW",
 IF(ReconciliationData[[#This Row],[severity_score]]&lt;=5,"MEDIUM","HIGH"))</f>
        <v>MEDIUM</v>
      </c>
      <c r="AC1464" t="str">
        <f>TEXT(ReconciliationData[[#This Row],[Order_Date]],"YYYY-MM")</f>
        <v>2023-06</v>
      </c>
    </row>
    <row r="1465" spans="1:29">
      <c r="A1465" t="s">
        <v>4037</v>
      </c>
      <c r="B1465" s="1">
        <v>45525</v>
      </c>
      <c r="C1465" t="s">
        <v>359</v>
      </c>
      <c r="D1465" t="s">
        <v>1432</v>
      </c>
      <c r="E1465">
        <v>31</v>
      </c>
      <c r="F1465" t="s">
        <v>4038</v>
      </c>
      <c r="G1465">
        <v>31</v>
      </c>
      <c r="H1465">
        <v>829.38407811833838</v>
      </c>
      <c r="N1465">
        <v>828.36189999999999</v>
      </c>
      <c r="O1465" s="1">
        <v>45137</v>
      </c>
      <c r="P1465">
        <f>IF(ISBLANK(ReconciliationData[[#This Row],[Invoice_ID]]),1,0)</f>
        <v>0</v>
      </c>
      <c r="Q1465">
        <f>IF(AND(NOT(ISBLANK(ReconciliationData[[#This Row],[Billed_Units]])),ReconciliationData[[#This Row],[ordered_units]]&lt;&gt;ReconciliationData[[#This Row],[Billed_Units]]),1,0)</f>
        <v>0</v>
      </c>
      <c r="R146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465">
        <f>IF(AND(NOT(ISBLANK(ReconciliationData[[#This Row],[Contract_Price]])),ReconciliationData[[#This Row],[Billed_Price]]&lt;&gt;ReconciliationData[[#This Row],[Contract_Price]]),1,0)</f>
        <v>0</v>
      </c>
      <c r="T1465">
        <f>IF(AND(NOT(ISBLANK(ReconciliationData[[#This Row],[End_Date]])),ReconciliationData[[#This Row],[Order_Date]]&gt;ReconciliationData[[#This Row],[End_Date]]),1,0)</f>
        <v>0</v>
      </c>
      <c r="U1465">
        <f>IF(AND(NOT(ISBLANK(ReconciliationData[[#This Row],[last_return_date]])),ReconciliationData[[#This Row],[last_return_date]]&gt;ReconciliationData[[#This Row],[Order_Date]]+60),1,0)</f>
        <v>0</v>
      </c>
      <c r="V1465">
        <f>IF(ReconciliationData[[#This Row],[total_returned_units]]&gt;ReconciliationData[[#This Row],[ordered_units]],1,0)</f>
        <v>0</v>
      </c>
      <c r="W14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65">
        <f>ReconciliationData[[#This Row],[Billed_Units]]*ReconciliationData[[#This Row],[Billed_Price]]</f>
        <v>25710.906421668489</v>
      </c>
      <c r="Y1465">
        <f>ReconciliationData[[#This Row],[ordered_units]]*ReconciliationData[[#This Row],[List_Price]]</f>
        <v>25679.2189</v>
      </c>
      <c r="Z1465">
        <f>ReconciliationData[[#This Row],[billed_revenue]]-ReconciliationData[[#This Row],[expected_revenue]]</f>
        <v>31.687521668489353</v>
      </c>
      <c r="AA14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465" t="str">
        <f>IF(ReconciliationData[[#This Row],[severity_score]]=0,"LOW",
 IF(ReconciliationData[[#This Row],[severity_score]]&lt;=5,"MEDIUM","HIGH"))</f>
        <v>MEDIUM</v>
      </c>
      <c r="AC1465" t="str">
        <f>TEXT(ReconciliationData[[#This Row],[Order_Date]],"YYYY-MM")</f>
        <v>2024-08</v>
      </c>
    </row>
    <row r="1466" spans="1:29">
      <c r="A1466" t="s">
        <v>4039</v>
      </c>
      <c r="B1466" s="1">
        <v>45027</v>
      </c>
      <c r="C1466" t="s">
        <v>4040</v>
      </c>
      <c r="D1466" t="s">
        <v>1385</v>
      </c>
      <c r="E1466">
        <v>123</v>
      </c>
      <c r="F1466" t="s">
        <v>4041</v>
      </c>
      <c r="G1466">
        <v>123</v>
      </c>
      <c r="H1466">
        <v>296.2912</v>
      </c>
      <c r="N1466">
        <v>296.2912</v>
      </c>
      <c r="O1466" s="1">
        <v>44921</v>
      </c>
      <c r="P1466">
        <f>IF(ISBLANK(ReconciliationData[[#This Row],[Invoice_ID]]),1,0)</f>
        <v>0</v>
      </c>
      <c r="Q1466">
        <f>IF(AND(NOT(ISBLANK(ReconciliationData[[#This Row],[Billed_Units]])),ReconciliationData[[#This Row],[ordered_units]]&lt;&gt;ReconciliationData[[#This Row],[Billed_Units]]),1,0)</f>
        <v>0</v>
      </c>
      <c r="R14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66">
        <f>IF(AND(NOT(ISBLANK(ReconciliationData[[#This Row],[Contract_Price]])),ReconciliationData[[#This Row],[Billed_Price]]&lt;&gt;ReconciliationData[[#This Row],[Contract_Price]]),1,0)</f>
        <v>0</v>
      </c>
      <c r="T1466">
        <f>IF(AND(NOT(ISBLANK(ReconciliationData[[#This Row],[End_Date]])),ReconciliationData[[#This Row],[Order_Date]]&gt;ReconciliationData[[#This Row],[End_Date]]),1,0)</f>
        <v>0</v>
      </c>
      <c r="U1466">
        <f>IF(AND(NOT(ISBLANK(ReconciliationData[[#This Row],[last_return_date]])),ReconciliationData[[#This Row],[last_return_date]]&gt;ReconciliationData[[#This Row],[Order_Date]]+60),1,0)</f>
        <v>0</v>
      </c>
      <c r="V1466">
        <f>IF(ReconciliationData[[#This Row],[total_returned_units]]&gt;ReconciliationData[[#This Row],[ordered_units]],1,0)</f>
        <v>0</v>
      </c>
      <c r="W14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66">
        <f>ReconciliationData[[#This Row],[Billed_Units]]*ReconciliationData[[#This Row],[Billed_Price]]</f>
        <v>36443.817600000002</v>
      </c>
      <c r="Y1466">
        <f>ReconciliationData[[#This Row],[ordered_units]]*ReconciliationData[[#This Row],[List_Price]]</f>
        <v>36443.817600000002</v>
      </c>
      <c r="Z1466">
        <f>ReconciliationData[[#This Row],[billed_revenue]]-ReconciliationData[[#This Row],[expected_revenue]]</f>
        <v>0</v>
      </c>
      <c r="AA14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66" t="str">
        <f>IF(ReconciliationData[[#This Row],[severity_score]]=0,"LOW",
 IF(ReconciliationData[[#This Row],[severity_score]]&lt;=5,"MEDIUM","HIGH"))</f>
        <v>LOW</v>
      </c>
      <c r="AC1466" t="str">
        <f>TEXT(ReconciliationData[[#This Row],[Order_Date]],"YYYY-MM")</f>
        <v>2023-04</v>
      </c>
    </row>
    <row r="1467" spans="1:29">
      <c r="A1467" t="s">
        <v>4042</v>
      </c>
      <c r="B1467" s="1">
        <v>45221</v>
      </c>
      <c r="C1467" t="s">
        <v>2681</v>
      </c>
      <c r="D1467" t="s">
        <v>2035</v>
      </c>
      <c r="E1467">
        <v>114</v>
      </c>
      <c r="F1467" t="s">
        <v>4043</v>
      </c>
      <c r="G1467">
        <v>114</v>
      </c>
      <c r="H1467">
        <v>1160.71</v>
      </c>
      <c r="N1467">
        <v>1160.71</v>
      </c>
      <c r="O1467" s="1">
        <v>44964</v>
      </c>
      <c r="P1467">
        <f>IF(ISBLANK(ReconciliationData[[#This Row],[Invoice_ID]]),1,0)</f>
        <v>0</v>
      </c>
      <c r="Q1467">
        <f>IF(AND(NOT(ISBLANK(ReconciliationData[[#This Row],[Billed_Units]])),ReconciliationData[[#This Row],[ordered_units]]&lt;&gt;ReconciliationData[[#This Row],[Billed_Units]]),1,0)</f>
        <v>0</v>
      </c>
      <c r="R14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67">
        <f>IF(AND(NOT(ISBLANK(ReconciliationData[[#This Row],[Contract_Price]])),ReconciliationData[[#This Row],[Billed_Price]]&lt;&gt;ReconciliationData[[#This Row],[Contract_Price]]),1,0)</f>
        <v>0</v>
      </c>
      <c r="T1467">
        <f>IF(AND(NOT(ISBLANK(ReconciliationData[[#This Row],[End_Date]])),ReconciliationData[[#This Row],[Order_Date]]&gt;ReconciliationData[[#This Row],[End_Date]]),1,0)</f>
        <v>0</v>
      </c>
      <c r="U1467">
        <f>IF(AND(NOT(ISBLANK(ReconciliationData[[#This Row],[last_return_date]])),ReconciliationData[[#This Row],[last_return_date]]&gt;ReconciliationData[[#This Row],[Order_Date]]+60),1,0)</f>
        <v>0</v>
      </c>
      <c r="V1467">
        <f>IF(ReconciliationData[[#This Row],[total_returned_units]]&gt;ReconciliationData[[#This Row],[ordered_units]],1,0)</f>
        <v>0</v>
      </c>
      <c r="W14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67">
        <f>ReconciliationData[[#This Row],[Billed_Units]]*ReconciliationData[[#This Row],[Billed_Price]]</f>
        <v>132320.94</v>
      </c>
      <c r="Y1467">
        <f>ReconciliationData[[#This Row],[ordered_units]]*ReconciliationData[[#This Row],[List_Price]]</f>
        <v>132320.94</v>
      </c>
      <c r="Z1467">
        <f>ReconciliationData[[#This Row],[billed_revenue]]-ReconciliationData[[#This Row],[expected_revenue]]</f>
        <v>0</v>
      </c>
      <c r="AA14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67" t="str">
        <f>IF(ReconciliationData[[#This Row],[severity_score]]=0,"LOW",
 IF(ReconciliationData[[#This Row],[severity_score]]&lt;=5,"MEDIUM","HIGH"))</f>
        <v>LOW</v>
      </c>
      <c r="AC1467" t="str">
        <f>TEXT(ReconciliationData[[#This Row],[Order_Date]],"YYYY-MM")</f>
        <v>2023-10</v>
      </c>
    </row>
    <row r="1468" spans="1:29">
      <c r="A1468" t="s">
        <v>4044</v>
      </c>
      <c r="B1468" s="1">
        <v>45004</v>
      </c>
      <c r="C1468" t="s">
        <v>1781</v>
      </c>
      <c r="D1468" t="s">
        <v>345</v>
      </c>
      <c r="E1468">
        <v>164</v>
      </c>
      <c r="F1468" t="s">
        <v>4045</v>
      </c>
      <c r="G1468">
        <v>164</v>
      </c>
      <c r="H1468">
        <v>574.3415</v>
      </c>
      <c r="N1468">
        <v>574.3415</v>
      </c>
      <c r="O1468" s="1">
        <v>44806</v>
      </c>
      <c r="P1468">
        <f>IF(ISBLANK(ReconciliationData[[#This Row],[Invoice_ID]]),1,0)</f>
        <v>0</v>
      </c>
      <c r="Q1468">
        <f>IF(AND(NOT(ISBLANK(ReconciliationData[[#This Row],[Billed_Units]])),ReconciliationData[[#This Row],[ordered_units]]&lt;&gt;ReconciliationData[[#This Row],[Billed_Units]]),1,0)</f>
        <v>0</v>
      </c>
      <c r="R14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68">
        <f>IF(AND(NOT(ISBLANK(ReconciliationData[[#This Row],[Contract_Price]])),ReconciliationData[[#This Row],[Billed_Price]]&lt;&gt;ReconciliationData[[#This Row],[Contract_Price]]),1,0)</f>
        <v>0</v>
      </c>
      <c r="T1468">
        <f>IF(AND(NOT(ISBLANK(ReconciliationData[[#This Row],[End_Date]])),ReconciliationData[[#This Row],[Order_Date]]&gt;ReconciliationData[[#This Row],[End_Date]]),1,0)</f>
        <v>0</v>
      </c>
      <c r="U1468">
        <f>IF(AND(NOT(ISBLANK(ReconciliationData[[#This Row],[last_return_date]])),ReconciliationData[[#This Row],[last_return_date]]&gt;ReconciliationData[[#This Row],[Order_Date]]+60),1,0)</f>
        <v>0</v>
      </c>
      <c r="V1468">
        <f>IF(ReconciliationData[[#This Row],[total_returned_units]]&gt;ReconciliationData[[#This Row],[ordered_units]],1,0)</f>
        <v>0</v>
      </c>
      <c r="W14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68">
        <f>ReconciliationData[[#This Row],[Billed_Units]]*ReconciliationData[[#This Row],[Billed_Price]]</f>
        <v>94192.005999999994</v>
      </c>
      <c r="Y1468">
        <f>ReconciliationData[[#This Row],[ordered_units]]*ReconciliationData[[#This Row],[List_Price]]</f>
        <v>94192.005999999994</v>
      </c>
      <c r="Z1468">
        <f>ReconciliationData[[#This Row],[billed_revenue]]-ReconciliationData[[#This Row],[expected_revenue]]</f>
        <v>0</v>
      </c>
      <c r="AA14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68" t="str">
        <f>IF(ReconciliationData[[#This Row],[severity_score]]=0,"LOW",
 IF(ReconciliationData[[#This Row],[severity_score]]&lt;=5,"MEDIUM","HIGH"))</f>
        <v>LOW</v>
      </c>
      <c r="AC1468" t="str">
        <f>TEXT(ReconciliationData[[#This Row],[Order_Date]],"YYYY-MM")</f>
        <v>2023-03</v>
      </c>
    </row>
    <row r="1469" spans="1:29">
      <c r="A1469" t="s">
        <v>4046</v>
      </c>
      <c r="B1469" s="1">
        <v>45456</v>
      </c>
      <c r="C1469" t="s">
        <v>1548</v>
      </c>
      <c r="D1469" t="s">
        <v>3770</v>
      </c>
      <c r="E1469">
        <v>16</v>
      </c>
      <c r="F1469" t="s">
        <v>4047</v>
      </c>
      <c r="G1469">
        <v>16</v>
      </c>
      <c r="H1469">
        <v>724.16120000000001</v>
      </c>
      <c r="N1469">
        <v>724.16120000000001</v>
      </c>
      <c r="O1469" s="1">
        <v>45044</v>
      </c>
      <c r="P1469">
        <f>IF(ISBLANK(ReconciliationData[[#This Row],[Invoice_ID]]),1,0)</f>
        <v>0</v>
      </c>
      <c r="Q1469">
        <f>IF(AND(NOT(ISBLANK(ReconciliationData[[#This Row],[Billed_Units]])),ReconciliationData[[#This Row],[ordered_units]]&lt;&gt;ReconciliationData[[#This Row],[Billed_Units]]),1,0)</f>
        <v>0</v>
      </c>
      <c r="R14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69">
        <f>IF(AND(NOT(ISBLANK(ReconciliationData[[#This Row],[Contract_Price]])),ReconciliationData[[#This Row],[Billed_Price]]&lt;&gt;ReconciliationData[[#This Row],[Contract_Price]]),1,0)</f>
        <v>0</v>
      </c>
      <c r="T1469">
        <f>IF(AND(NOT(ISBLANK(ReconciliationData[[#This Row],[End_Date]])),ReconciliationData[[#This Row],[Order_Date]]&gt;ReconciliationData[[#This Row],[End_Date]]),1,0)</f>
        <v>0</v>
      </c>
      <c r="U1469">
        <f>IF(AND(NOT(ISBLANK(ReconciliationData[[#This Row],[last_return_date]])),ReconciliationData[[#This Row],[last_return_date]]&gt;ReconciliationData[[#This Row],[Order_Date]]+60),1,0)</f>
        <v>0</v>
      </c>
      <c r="V1469">
        <f>IF(ReconciliationData[[#This Row],[total_returned_units]]&gt;ReconciliationData[[#This Row],[ordered_units]],1,0)</f>
        <v>0</v>
      </c>
      <c r="W14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69">
        <f>ReconciliationData[[#This Row],[Billed_Units]]*ReconciliationData[[#This Row],[Billed_Price]]</f>
        <v>11586.5792</v>
      </c>
      <c r="Y1469">
        <f>ReconciliationData[[#This Row],[ordered_units]]*ReconciliationData[[#This Row],[List_Price]]</f>
        <v>11586.5792</v>
      </c>
      <c r="Z1469">
        <f>ReconciliationData[[#This Row],[billed_revenue]]-ReconciliationData[[#This Row],[expected_revenue]]</f>
        <v>0</v>
      </c>
      <c r="AA14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69" t="str">
        <f>IF(ReconciliationData[[#This Row],[severity_score]]=0,"LOW",
 IF(ReconciliationData[[#This Row],[severity_score]]&lt;=5,"MEDIUM","HIGH"))</f>
        <v>LOW</v>
      </c>
      <c r="AC1469" t="str">
        <f>TEXT(ReconciliationData[[#This Row],[Order_Date]],"YYYY-MM")</f>
        <v>2024-06</v>
      </c>
    </row>
    <row r="1470" spans="1:29">
      <c r="A1470" t="s">
        <v>4048</v>
      </c>
      <c r="B1470" s="1">
        <v>44984</v>
      </c>
      <c r="C1470" t="s">
        <v>2200</v>
      </c>
      <c r="D1470" t="s">
        <v>279</v>
      </c>
      <c r="E1470">
        <v>185</v>
      </c>
      <c r="F1470" t="s">
        <v>4049</v>
      </c>
      <c r="G1470">
        <v>185</v>
      </c>
      <c r="H1470">
        <v>1131.7511999999999</v>
      </c>
      <c r="N1470">
        <v>1131.7511999999999</v>
      </c>
      <c r="O1470" s="1">
        <v>44806</v>
      </c>
      <c r="P1470">
        <f>IF(ISBLANK(ReconciliationData[[#This Row],[Invoice_ID]]),1,0)</f>
        <v>0</v>
      </c>
      <c r="Q1470">
        <f>IF(AND(NOT(ISBLANK(ReconciliationData[[#This Row],[Billed_Units]])),ReconciliationData[[#This Row],[ordered_units]]&lt;&gt;ReconciliationData[[#This Row],[Billed_Units]]),1,0)</f>
        <v>0</v>
      </c>
      <c r="R14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0">
        <f>IF(AND(NOT(ISBLANK(ReconciliationData[[#This Row],[Contract_Price]])),ReconciliationData[[#This Row],[Billed_Price]]&lt;&gt;ReconciliationData[[#This Row],[Contract_Price]]),1,0)</f>
        <v>0</v>
      </c>
      <c r="T1470">
        <f>IF(AND(NOT(ISBLANK(ReconciliationData[[#This Row],[End_Date]])),ReconciliationData[[#This Row],[Order_Date]]&gt;ReconciliationData[[#This Row],[End_Date]]),1,0)</f>
        <v>0</v>
      </c>
      <c r="U1470">
        <f>IF(AND(NOT(ISBLANK(ReconciliationData[[#This Row],[last_return_date]])),ReconciliationData[[#This Row],[last_return_date]]&gt;ReconciliationData[[#This Row],[Order_Date]]+60),1,0)</f>
        <v>0</v>
      </c>
      <c r="V1470">
        <f>IF(ReconciliationData[[#This Row],[total_returned_units]]&gt;ReconciliationData[[#This Row],[ordered_units]],1,0)</f>
        <v>0</v>
      </c>
      <c r="W14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0">
        <f>ReconciliationData[[#This Row],[Billed_Units]]*ReconciliationData[[#This Row],[Billed_Price]]</f>
        <v>209373.97199999998</v>
      </c>
      <c r="Y1470">
        <f>ReconciliationData[[#This Row],[ordered_units]]*ReconciliationData[[#This Row],[List_Price]]</f>
        <v>209373.97199999998</v>
      </c>
      <c r="Z1470">
        <f>ReconciliationData[[#This Row],[billed_revenue]]-ReconciliationData[[#This Row],[expected_revenue]]</f>
        <v>0</v>
      </c>
      <c r="AA14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0" t="str">
        <f>IF(ReconciliationData[[#This Row],[severity_score]]=0,"LOW",
 IF(ReconciliationData[[#This Row],[severity_score]]&lt;=5,"MEDIUM","HIGH"))</f>
        <v>LOW</v>
      </c>
      <c r="AC1470" t="str">
        <f>TEXT(ReconciliationData[[#This Row],[Order_Date]],"YYYY-MM")</f>
        <v>2023-02</v>
      </c>
    </row>
    <row r="1471" spans="1:29">
      <c r="A1471" t="s">
        <v>4050</v>
      </c>
      <c r="B1471" s="1">
        <v>45158</v>
      </c>
      <c r="C1471" t="s">
        <v>2789</v>
      </c>
      <c r="D1471" t="s">
        <v>2444</v>
      </c>
      <c r="E1471">
        <v>133</v>
      </c>
      <c r="F1471" t="s">
        <v>4051</v>
      </c>
      <c r="G1471">
        <v>133</v>
      </c>
      <c r="H1471">
        <v>797.23339999999996</v>
      </c>
      <c r="N1471">
        <v>797.23339999999996</v>
      </c>
      <c r="O1471" s="1">
        <v>45085</v>
      </c>
      <c r="P1471">
        <f>IF(ISBLANK(ReconciliationData[[#This Row],[Invoice_ID]]),1,0)</f>
        <v>0</v>
      </c>
      <c r="Q1471">
        <f>IF(AND(NOT(ISBLANK(ReconciliationData[[#This Row],[Billed_Units]])),ReconciliationData[[#This Row],[ordered_units]]&lt;&gt;ReconciliationData[[#This Row],[Billed_Units]]),1,0)</f>
        <v>0</v>
      </c>
      <c r="R14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1">
        <f>IF(AND(NOT(ISBLANK(ReconciliationData[[#This Row],[Contract_Price]])),ReconciliationData[[#This Row],[Billed_Price]]&lt;&gt;ReconciliationData[[#This Row],[Contract_Price]]),1,0)</f>
        <v>0</v>
      </c>
      <c r="T1471">
        <f>IF(AND(NOT(ISBLANK(ReconciliationData[[#This Row],[End_Date]])),ReconciliationData[[#This Row],[Order_Date]]&gt;ReconciliationData[[#This Row],[End_Date]]),1,0)</f>
        <v>0</v>
      </c>
      <c r="U1471">
        <f>IF(AND(NOT(ISBLANK(ReconciliationData[[#This Row],[last_return_date]])),ReconciliationData[[#This Row],[last_return_date]]&gt;ReconciliationData[[#This Row],[Order_Date]]+60),1,0)</f>
        <v>0</v>
      </c>
      <c r="V1471">
        <f>IF(ReconciliationData[[#This Row],[total_returned_units]]&gt;ReconciliationData[[#This Row],[ordered_units]],1,0)</f>
        <v>0</v>
      </c>
      <c r="W14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1">
        <f>ReconciliationData[[#This Row],[Billed_Units]]*ReconciliationData[[#This Row],[Billed_Price]]</f>
        <v>106032.0422</v>
      </c>
      <c r="Y1471">
        <f>ReconciliationData[[#This Row],[ordered_units]]*ReconciliationData[[#This Row],[List_Price]]</f>
        <v>106032.0422</v>
      </c>
      <c r="Z1471">
        <f>ReconciliationData[[#This Row],[billed_revenue]]-ReconciliationData[[#This Row],[expected_revenue]]</f>
        <v>0</v>
      </c>
      <c r="AA14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1" t="str">
        <f>IF(ReconciliationData[[#This Row],[severity_score]]=0,"LOW",
 IF(ReconciliationData[[#This Row],[severity_score]]&lt;=5,"MEDIUM","HIGH"))</f>
        <v>LOW</v>
      </c>
      <c r="AC1471" t="str">
        <f>TEXT(ReconciliationData[[#This Row],[Order_Date]],"YYYY-MM")</f>
        <v>2023-08</v>
      </c>
    </row>
    <row r="1472" spans="1:29">
      <c r="A1472" t="s">
        <v>4052</v>
      </c>
      <c r="B1472" s="1">
        <v>44962</v>
      </c>
      <c r="C1472" t="s">
        <v>4053</v>
      </c>
      <c r="D1472" t="s">
        <v>3297</v>
      </c>
      <c r="E1472">
        <v>110</v>
      </c>
      <c r="F1472" t="s">
        <v>4054</v>
      </c>
      <c r="G1472">
        <v>110</v>
      </c>
      <c r="H1472">
        <v>924.19</v>
      </c>
      <c r="N1472">
        <v>924.19</v>
      </c>
      <c r="O1472" s="1">
        <v>44659</v>
      </c>
      <c r="P1472">
        <f>IF(ISBLANK(ReconciliationData[[#This Row],[Invoice_ID]]),1,0)</f>
        <v>0</v>
      </c>
      <c r="Q1472">
        <f>IF(AND(NOT(ISBLANK(ReconciliationData[[#This Row],[Billed_Units]])),ReconciliationData[[#This Row],[ordered_units]]&lt;&gt;ReconciliationData[[#This Row],[Billed_Units]]),1,0)</f>
        <v>0</v>
      </c>
      <c r="R14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2">
        <f>IF(AND(NOT(ISBLANK(ReconciliationData[[#This Row],[Contract_Price]])),ReconciliationData[[#This Row],[Billed_Price]]&lt;&gt;ReconciliationData[[#This Row],[Contract_Price]]),1,0)</f>
        <v>0</v>
      </c>
      <c r="T1472">
        <f>IF(AND(NOT(ISBLANK(ReconciliationData[[#This Row],[End_Date]])),ReconciliationData[[#This Row],[Order_Date]]&gt;ReconciliationData[[#This Row],[End_Date]]),1,0)</f>
        <v>0</v>
      </c>
      <c r="U1472">
        <f>IF(AND(NOT(ISBLANK(ReconciliationData[[#This Row],[last_return_date]])),ReconciliationData[[#This Row],[last_return_date]]&gt;ReconciliationData[[#This Row],[Order_Date]]+60),1,0)</f>
        <v>0</v>
      </c>
      <c r="V1472">
        <f>IF(ReconciliationData[[#This Row],[total_returned_units]]&gt;ReconciliationData[[#This Row],[ordered_units]],1,0)</f>
        <v>0</v>
      </c>
      <c r="W14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2">
        <f>ReconciliationData[[#This Row],[Billed_Units]]*ReconciliationData[[#This Row],[Billed_Price]]</f>
        <v>101660.90000000001</v>
      </c>
      <c r="Y1472">
        <f>ReconciliationData[[#This Row],[ordered_units]]*ReconciliationData[[#This Row],[List_Price]]</f>
        <v>101660.90000000001</v>
      </c>
      <c r="Z1472">
        <f>ReconciliationData[[#This Row],[billed_revenue]]-ReconciliationData[[#This Row],[expected_revenue]]</f>
        <v>0</v>
      </c>
      <c r="AA14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2" t="str">
        <f>IF(ReconciliationData[[#This Row],[severity_score]]=0,"LOW",
 IF(ReconciliationData[[#This Row],[severity_score]]&lt;=5,"MEDIUM","HIGH"))</f>
        <v>LOW</v>
      </c>
      <c r="AC1472" t="str">
        <f>TEXT(ReconciliationData[[#This Row],[Order_Date]],"YYYY-MM")</f>
        <v>2023-02</v>
      </c>
    </row>
    <row r="1473" spans="1:29">
      <c r="A1473" t="s">
        <v>4055</v>
      </c>
      <c r="B1473" s="1">
        <v>45190</v>
      </c>
      <c r="C1473" t="s">
        <v>2590</v>
      </c>
      <c r="D1473" t="s">
        <v>639</v>
      </c>
      <c r="E1473">
        <v>53</v>
      </c>
      <c r="F1473" t="s">
        <v>4056</v>
      </c>
      <c r="G1473">
        <v>53</v>
      </c>
      <c r="H1473">
        <v>945.38850000000002</v>
      </c>
      <c r="N1473">
        <v>945.38850000000002</v>
      </c>
      <c r="O1473" s="1">
        <v>45047</v>
      </c>
      <c r="P1473">
        <f>IF(ISBLANK(ReconciliationData[[#This Row],[Invoice_ID]]),1,0)</f>
        <v>0</v>
      </c>
      <c r="Q1473">
        <f>IF(AND(NOT(ISBLANK(ReconciliationData[[#This Row],[Billed_Units]])),ReconciliationData[[#This Row],[ordered_units]]&lt;&gt;ReconciliationData[[#This Row],[Billed_Units]]),1,0)</f>
        <v>0</v>
      </c>
      <c r="R14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3">
        <f>IF(AND(NOT(ISBLANK(ReconciliationData[[#This Row],[Contract_Price]])),ReconciliationData[[#This Row],[Billed_Price]]&lt;&gt;ReconciliationData[[#This Row],[Contract_Price]]),1,0)</f>
        <v>0</v>
      </c>
      <c r="T1473">
        <f>IF(AND(NOT(ISBLANK(ReconciliationData[[#This Row],[End_Date]])),ReconciliationData[[#This Row],[Order_Date]]&gt;ReconciliationData[[#This Row],[End_Date]]),1,0)</f>
        <v>0</v>
      </c>
      <c r="U1473">
        <f>IF(AND(NOT(ISBLANK(ReconciliationData[[#This Row],[last_return_date]])),ReconciliationData[[#This Row],[last_return_date]]&gt;ReconciliationData[[#This Row],[Order_Date]]+60),1,0)</f>
        <v>0</v>
      </c>
      <c r="V1473">
        <f>IF(ReconciliationData[[#This Row],[total_returned_units]]&gt;ReconciliationData[[#This Row],[ordered_units]],1,0)</f>
        <v>0</v>
      </c>
      <c r="W14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3">
        <f>ReconciliationData[[#This Row],[Billed_Units]]*ReconciliationData[[#This Row],[Billed_Price]]</f>
        <v>50105.590499999998</v>
      </c>
      <c r="Y1473">
        <f>ReconciliationData[[#This Row],[ordered_units]]*ReconciliationData[[#This Row],[List_Price]]</f>
        <v>50105.590499999998</v>
      </c>
      <c r="Z1473">
        <f>ReconciliationData[[#This Row],[billed_revenue]]-ReconciliationData[[#This Row],[expected_revenue]]</f>
        <v>0</v>
      </c>
      <c r="AA14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3" t="str">
        <f>IF(ReconciliationData[[#This Row],[severity_score]]=0,"LOW",
 IF(ReconciliationData[[#This Row],[severity_score]]&lt;=5,"MEDIUM","HIGH"))</f>
        <v>LOW</v>
      </c>
      <c r="AC1473" t="str">
        <f>TEXT(ReconciliationData[[#This Row],[Order_Date]],"YYYY-MM")</f>
        <v>2023-09</v>
      </c>
    </row>
    <row r="1474" spans="1:29">
      <c r="A1474" t="s">
        <v>4057</v>
      </c>
      <c r="B1474" s="1">
        <v>45202</v>
      </c>
      <c r="C1474" t="s">
        <v>690</v>
      </c>
      <c r="D1474" t="s">
        <v>1606</v>
      </c>
      <c r="E1474">
        <v>59</v>
      </c>
      <c r="F1474" t="s">
        <v>4058</v>
      </c>
      <c r="G1474">
        <v>59</v>
      </c>
      <c r="H1474">
        <v>620.22550000000001</v>
      </c>
      <c r="N1474">
        <v>620.22550000000001</v>
      </c>
      <c r="O1474" s="1">
        <v>45200</v>
      </c>
      <c r="P1474">
        <f>IF(ISBLANK(ReconciliationData[[#This Row],[Invoice_ID]]),1,0)</f>
        <v>0</v>
      </c>
      <c r="Q1474">
        <f>IF(AND(NOT(ISBLANK(ReconciliationData[[#This Row],[Billed_Units]])),ReconciliationData[[#This Row],[ordered_units]]&lt;&gt;ReconciliationData[[#This Row],[Billed_Units]]),1,0)</f>
        <v>0</v>
      </c>
      <c r="R14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4">
        <f>IF(AND(NOT(ISBLANK(ReconciliationData[[#This Row],[Contract_Price]])),ReconciliationData[[#This Row],[Billed_Price]]&lt;&gt;ReconciliationData[[#This Row],[Contract_Price]]),1,0)</f>
        <v>0</v>
      </c>
      <c r="T1474">
        <f>IF(AND(NOT(ISBLANK(ReconciliationData[[#This Row],[End_Date]])),ReconciliationData[[#This Row],[Order_Date]]&gt;ReconciliationData[[#This Row],[End_Date]]),1,0)</f>
        <v>0</v>
      </c>
      <c r="U1474">
        <f>IF(AND(NOT(ISBLANK(ReconciliationData[[#This Row],[last_return_date]])),ReconciliationData[[#This Row],[last_return_date]]&gt;ReconciliationData[[#This Row],[Order_Date]]+60),1,0)</f>
        <v>0</v>
      </c>
      <c r="V1474">
        <f>IF(ReconciliationData[[#This Row],[total_returned_units]]&gt;ReconciliationData[[#This Row],[ordered_units]],1,0)</f>
        <v>0</v>
      </c>
      <c r="W14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4">
        <f>ReconciliationData[[#This Row],[Billed_Units]]*ReconciliationData[[#This Row],[Billed_Price]]</f>
        <v>36593.304499999998</v>
      </c>
      <c r="Y1474">
        <f>ReconciliationData[[#This Row],[ordered_units]]*ReconciliationData[[#This Row],[List_Price]]</f>
        <v>36593.304499999998</v>
      </c>
      <c r="Z1474">
        <f>ReconciliationData[[#This Row],[billed_revenue]]-ReconciliationData[[#This Row],[expected_revenue]]</f>
        <v>0</v>
      </c>
      <c r="AA14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4" t="str">
        <f>IF(ReconciliationData[[#This Row],[severity_score]]=0,"LOW",
 IF(ReconciliationData[[#This Row],[severity_score]]&lt;=5,"MEDIUM","HIGH"))</f>
        <v>LOW</v>
      </c>
      <c r="AC1474" t="str">
        <f>TEXT(ReconciliationData[[#This Row],[Order_Date]],"YYYY-MM")</f>
        <v>2023-10</v>
      </c>
    </row>
    <row r="1475" spans="1:29">
      <c r="A1475" t="s">
        <v>4059</v>
      </c>
      <c r="B1475" s="1">
        <v>45628</v>
      </c>
      <c r="C1475" t="s">
        <v>4060</v>
      </c>
      <c r="D1475" t="s">
        <v>374</v>
      </c>
      <c r="E1475">
        <v>160</v>
      </c>
      <c r="F1475" t="s">
        <v>4061</v>
      </c>
      <c r="G1475">
        <v>160</v>
      </c>
      <c r="H1475">
        <v>517.39100000000008</v>
      </c>
      <c r="N1475">
        <v>517.39100000000008</v>
      </c>
      <c r="O1475" s="1">
        <v>45045</v>
      </c>
      <c r="P1475">
        <f>IF(ISBLANK(ReconciliationData[[#This Row],[Invoice_ID]]),1,0)</f>
        <v>0</v>
      </c>
      <c r="Q1475">
        <f>IF(AND(NOT(ISBLANK(ReconciliationData[[#This Row],[Billed_Units]])),ReconciliationData[[#This Row],[ordered_units]]&lt;&gt;ReconciliationData[[#This Row],[Billed_Units]]),1,0)</f>
        <v>0</v>
      </c>
      <c r="R14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5">
        <f>IF(AND(NOT(ISBLANK(ReconciliationData[[#This Row],[Contract_Price]])),ReconciliationData[[#This Row],[Billed_Price]]&lt;&gt;ReconciliationData[[#This Row],[Contract_Price]]),1,0)</f>
        <v>0</v>
      </c>
      <c r="T1475">
        <f>IF(AND(NOT(ISBLANK(ReconciliationData[[#This Row],[End_Date]])),ReconciliationData[[#This Row],[Order_Date]]&gt;ReconciliationData[[#This Row],[End_Date]]),1,0)</f>
        <v>0</v>
      </c>
      <c r="U1475">
        <f>IF(AND(NOT(ISBLANK(ReconciliationData[[#This Row],[last_return_date]])),ReconciliationData[[#This Row],[last_return_date]]&gt;ReconciliationData[[#This Row],[Order_Date]]+60),1,0)</f>
        <v>0</v>
      </c>
      <c r="V1475">
        <f>IF(ReconciliationData[[#This Row],[total_returned_units]]&gt;ReconciliationData[[#This Row],[ordered_units]],1,0)</f>
        <v>0</v>
      </c>
      <c r="W14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5">
        <f>ReconciliationData[[#This Row],[Billed_Units]]*ReconciliationData[[#This Row],[Billed_Price]]</f>
        <v>82782.560000000012</v>
      </c>
      <c r="Y1475">
        <f>ReconciliationData[[#This Row],[ordered_units]]*ReconciliationData[[#This Row],[List_Price]]</f>
        <v>82782.560000000012</v>
      </c>
      <c r="Z1475">
        <f>ReconciliationData[[#This Row],[billed_revenue]]-ReconciliationData[[#This Row],[expected_revenue]]</f>
        <v>0</v>
      </c>
      <c r="AA14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5" t="str">
        <f>IF(ReconciliationData[[#This Row],[severity_score]]=0,"LOW",
 IF(ReconciliationData[[#This Row],[severity_score]]&lt;=5,"MEDIUM","HIGH"))</f>
        <v>LOW</v>
      </c>
      <c r="AC1475" t="str">
        <f>TEXT(ReconciliationData[[#This Row],[Order_Date]],"YYYY-MM")</f>
        <v>2024-12</v>
      </c>
    </row>
    <row r="1476" spans="1:29">
      <c r="A1476" t="s">
        <v>4062</v>
      </c>
      <c r="B1476" s="1">
        <v>45382</v>
      </c>
      <c r="C1476" t="s">
        <v>2231</v>
      </c>
      <c r="D1476" t="s">
        <v>1333</v>
      </c>
      <c r="E1476">
        <v>185</v>
      </c>
      <c r="F1476" t="s">
        <v>4063</v>
      </c>
      <c r="G1476">
        <v>185</v>
      </c>
      <c r="H1476">
        <v>418.93040000000002</v>
      </c>
      <c r="N1476">
        <v>418.93040000000002</v>
      </c>
      <c r="O1476" s="1">
        <v>45214</v>
      </c>
      <c r="P1476">
        <f>IF(ISBLANK(ReconciliationData[[#This Row],[Invoice_ID]]),1,0)</f>
        <v>0</v>
      </c>
      <c r="Q1476">
        <f>IF(AND(NOT(ISBLANK(ReconciliationData[[#This Row],[Billed_Units]])),ReconciliationData[[#This Row],[ordered_units]]&lt;&gt;ReconciliationData[[#This Row],[Billed_Units]]),1,0)</f>
        <v>0</v>
      </c>
      <c r="R14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6">
        <f>IF(AND(NOT(ISBLANK(ReconciliationData[[#This Row],[Contract_Price]])),ReconciliationData[[#This Row],[Billed_Price]]&lt;&gt;ReconciliationData[[#This Row],[Contract_Price]]),1,0)</f>
        <v>0</v>
      </c>
      <c r="T1476">
        <f>IF(AND(NOT(ISBLANK(ReconciliationData[[#This Row],[End_Date]])),ReconciliationData[[#This Row],[Order_Date]]&gt;ReconciliationData[[#This Row],[End_Date]]),1,0)</f>
        <v>0</v>
      </c>
      <c r="U1476">
        <f>IF(AND(NOT(ISBLANK(ReconciliationData[[#This Row],[last_return_date]])),ReconciliationData[[#This Row],[last_return_date]]&gt;ReconciliationData[[#This Row],[Order_Date]]+60),1,0)</f>
        <v>0</v>
      </c>
      <c r="V1476">
        <f>IF(ReconciliationData[[#This Row],[total_returned_units]]&gt;ReconciliationData[[#This Row],[ordered_units]],1,0)</f>
        <v>0</v>
      </c>
      <c r="W14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6">
        <f>ReconciliationData[[#This Row],[Billed_Units]]*ReconciliationData[[#This Row],[Billed_Price]]</f>
        <v>77502.124000000011</v>
      </c>
      <c r="Y1476">
        <f>ReconciliationData[[#This Row],[ordered_units]]*ReconciliationData[[#This Row],[List_Price]]</f>
        <v>77502.124000000011</v>
      </c>
      <c r="Z1476">
        <f>ReconciliationData[[#This Row],[billed_revenue]]-ReconciliationData[[#This Row],[expected_revenue]]</f>
        <v>0</v>
      </c>
      <c r="AA14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6" t="str">
        <f>IF(ReconciliationData[[#This Row],[severity_score]]=0,"LOW",
 IF(ReconciliationData[[#This Row],[severity_score]]&lt;=5,"MEDIUM","HIGH"))</f>
        <v>LOW</v>
      </c>
      <c r="AC1476" t="str">
        <f>TEXT(ReconciliationData[[#This Row],[Order_Date]],"YYYY-MM")</f>
        <v>2024-03</v>
      </c>
    </row>
    <row r="1477" spans="1:29">
      <c r="A1477" t="s">
        <v>4064</v>
      </c>
      <c r="B1477" s="1">
        <v>45423</v>
      </c>
      <c r="C1477" t="s">
        <v>1444</v>
      </c>
      <c r="D1477" t="s">
        <v>1580</v>
      </c>
      <c r="E1477">
        <v>115</v>
      </c>
      <c r="F1477" t="s">
        <v>4065</v>
      </c>
      <c r="G1477">
        <v>115</v>
      </c>
      <c r="H1477">
        <v>708.51900000000001</v>
      </c>
      <c r="N1477">
        <v>708.51900000000001</v>
      </c>
      <c r="O1477" s="1">
        <v>45063</v>
      </c>
      <c r="P1477">
        <f>IF(ISBLANK(ReconciliationData[[#This Row],[Invoice_ID]]),1,0)</f>
        <v>0</v>
      </c>
      <c r="Q1477">
        <f>IF(AND(NOT(ISBLANK(ReconciliationData[[#This Row],[Billed_Units]])),ReconciliationData[[#This Row],[ordered_units]]&lt;&gt;ReconciliationData[[#This Row],[Billed_Units]]),1,0)</f>
        <v>0</v>
      </c>
      <c r="R14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7">
        <f>IF(AND(NOT(ISBLANK(ReconciliationData[[#This Row],[Contract_Price]])),ReconciliationData[[#This Row],[Billed_Price]]&lt;&gt;ReconciliationData[[#This Row],[Contract_Price]]),1,0)</f>
        <v>0</v>
      </c>
      <c r="T1477">
        <f>IF(AND(NOT(ISBLANK(ReconciliationData[[#This Row],[End_Date]])),ReconciliationData[[#This Row],[Order_Date]]&gt;ReconciliationData[[#This Row],[End_Date]]),1,0)</f>
        <v>0</v>
      </c>
      <c r="U1477">
        <f>IF(AND(NOT(ISBLANK(ReconciliationData[[#This Row],[last_return_date]])),ReconciliationData[[#This Row],[last_return_date]]&gt;ReconciliationData[[#This Row],[Order_Date]]+60),1,0)</f>
        <v>0</v>
      </c>
      <c r="V1477">
        <f>IF(ReconciliationData[[#This Row],[total_returned_units]]&gt;ReconciliationData[[#This Row],[ordered_units]],1,0)</f>
        <v>0</v>
      </c>
      <c r="W14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7">
        <f>ReconciliationData[[#This Row],[Billed_Units]]*ReconciliationData[[#This Row],[Billed_Price]]</f>
        <v>81479.684999999998</v>
      </c>
      <c r="Y1477">
        <f>ReconciliationData[[#This Row],[ordered_units]]*ReconciliationData[[#This Row],[List_Price]]</f>
        <v>81479.684999999998</v>
      </c>
      <c r="Z1477">
        <f>ReconciliationData[[#This Row],[billed_revenue]]-ReconciliationData[[#This Row],[expected_revenue]]</f>
        <v>0</v>
      </c>
      <c r="AA14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7" t="str">
        <f>IF(ReconciliationData[[#This Row],[severity_score]]=0,"LOW",
 IF(ReconciliationData[[#This Row],[severity_score]]&lt;=5,"MEDIUM","HIGH"))</f>
        <v>LOW</v>
      </c>
      <c r="AC1477" t="str">
        <f>TEXT(ReconciliationData[[#This Row],[Order_Date]],"YYYY-MM")</f>
        <v>2024-05</v>
      </c>
    </row>
    <row r="1478" spans="1:29">
      <c r="A1478" t="s">
        <v>4066</v>
      </c>
      <c r="B1478" s="1">
        <v>45134</v>
      </c>
      <c r="C1478" t="s">
        <v>2884</v>
      </c>
      <c r="D1478" t="s">
        <v>1061</v>
      </c>
      <c r="E1478">
        <v>97</v>
      </c>
      <c r="F1478" t="s">
        <v>4067</v>
      </c>
      <c r="G1478">
        <v>97</v>
      </c>
      <c r="H1478">
        <v>78.298400000000001</v>
      </c>
      <c r="I1478">
        <v>4</v>
      </c>
      <c r="J1478" s="1">
        <v>45186</v>
      </c>
      <c r="N1478">
        <v>78.298400000000001</v>
      </c>
      <c r="O1478" s="1">
        <v>44919</v>
      </c>
      <c r="P1478">
        <f>IF(ISBLANK(ReconciliationData[[#This Row],[Invoice_ID]]),1,0)</f>
        <v>0</v>
      </c>
      <c r="Q1478">
        <f>IF(AND(NOT(ISBLANK(ReconciliationData[[#This Row],[Billed_Units]])),ReconciliationData[[#This Row],[ordered_units]]&lt;&gt;ReconciliationData[[#This Row],[Billed_Units]]),1,0)</f>
        <v>0</v>
      </c>
      <c r="R14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8">
        <f>IF(AND(NOT(ISBLANK(ReconciliationData[[#This Row],[Contract_Price]])),ReconciliationData[[#This Row],[Billed_Price]]&lt;&gt;ReconciliationData[[#This Row],[Contract_Price]]),1,0)</f>
        <v>0</v>
      </c>
      <c r="T1478">
        <f>IF(AND(NOT(ISBLANK(ReconciliationData[[#This Row],[End_Date]])),ReconciliationData[[#This Row],[Order_Date]]&gt;ReconciliationData[[#This Row],[End_Date]]),1,0)</f>
        <v>0</v>
      </c>
      <c r="U1478">
        <f>IF(AND(NOT(ISBLANK(ReconciliationData[[#This Row],[last_return_date]])),ReconciliationData[[#This Row],[last_return_date]]&gt;ReconciliationData[[#This Row],[Order_Date]]+60),1,0)</f>
        <v>0</v>
      </c>
      <c r="V1478">
        <f>IF(ReconciliationData[[#This Row],[total_returned_units]]&gt;ReconciliationData[[#This Row],[ordered_units]],1,0)</f>
        <v>0</v>
      </c>
      <c r="W14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8">
        <f>ReconciliationData[[#This Row],[Billed_Units]]*ReconciliationData[[#This Row],[Billed_Price]]</f>
        <v>7594.9448000000002</v>
      </c>
      <c r="Y1478">
        <f>ReconciliationData[[#This Row],[ordered_units]]*ReconciliationData[[#This Row],[List_Price]]</f>
        <v>7594.9448000000002</v>
      </c>
      <c r="Z1478">
        <f>ReconciliationData[[#This Row],[billed_revenue]]-ReconciliationData[[#This Row],[expected_revenue]]</f>
        <v>0</v>
      </c>
      <c r="AA14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8" t="str">
        <f>IF(ReconciliationData[[#This Row],[severity_score]]=0,"LOW",
 IF(ReconciliationData[[#This Row],[severity_score]]&lt;=5,"MEDIUM","HIGH"))</f>
        <v>LOW</v>
      </c>
      <c r="AC1478" t="str">
        <f>TEXT(ReconciliationData[[#This Row],[Order_Date]],"YYYY-MM")</f>
        <v>2023-07</v>
      </c>
    </row>
    <row r="1479" spans="1:29">
      <c r="A1479" t="s">
        <v>4068</v>
      </c>
      <c r="B1479" s="1">
        <v>45396</v>
      </c>
      <c r="C1479" t="s">
        <v>2352</v>
      </c>
      <c r="D1479" t="s">
        <v>849</v>
      </c>
      <c r="E1479">
        <v>66</v>
      </c>
      <c r="F1479" t="s">
        <v>4069</v>
      </c>
      <c r="G1479">
        <v>66</v>
      </c>
      <c r="H1479">
        <v>428.46220000000005</v>
      </c>
      <c r="N1479">
        <v>428.46220000000005</v>
      </c>
      <c r="O1479" s="1">
        <v>45102</v>
      </c>
      <c r="P1479">
        <f>IF(ISBLANK(ReconciliationData[[#This Row],[Invoice_ID]]),1,0)</f>
        <v>0</v>
      </c>
      <c r="Q1479">
        <f>IF(AND(NOT(ISBLANK(ReconciliationData[[#This Row],[Billed_Units]])),ReconciliationData[[#This Row],[ordered_units]]&lt;&gt;ReconciliationData[[#This Row],[Billed_Units]]),1,0)</f>
        <v>0</v>
      </c>
      <c r="R14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79">
        <f>IF(AND(NOT(ISBLANK(ReconciliationData[[#This Row],[Contract_Price]])),ReconciliationData[[#This Row],[Billed_Price]]&lt;&gt;ReconciliationData[[#This Row],[Contract_Price]]),1,0)</f>
        <v>0</v>
      </c>
      <c r="T1479">
        <f>IF(AND(NOT(ISBLANK(ReconciliationData[[#This Row],[End_Date]])),ReconciliationData[[#This Row],[Order_Date]]&gt;ReconciliationData[[#This Row],[End_Date]]),1,0)</f>
        <v>0</v>
      </c>
      <c r="U1479">
        <f>IF(AND(NOT(ISBLANK(ReconciliationData[[#This Row],[last_return_date]])),ReconciliationData[[#This Row],[last_return_date]]&gt;ReconciliationData[[#This Row],[Order_Date]]+60),1,0)</f>
        <v>0</v>
      </c>
      <c r="V1479">
        <f>IF(ReconciliationData[[#This Row],[total_returned_units]]&gt;ReconciliationData[[#This Row],[ordered_units]],1,0)</f>
        <v>0</v>
      </c>
      <c r="W14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79">
        <f>ReconciliationData[[#This Row],[Billed_Units]]*ReconciliationData[[#This Row],[Billed_Price]]</f>
        <v>28278.505200000003</v>
      </c>
      <c r="Y1479">
        <f>ReconciliationData[[#This Row],[ordered_units]]*ReconciliationData[[#This Row],[List_Price]]</f>
        <v>28278.505200000003</v>
      </c>
      <c r="Z1479">
        <f>ReconciliationData[[#This Row],[billed_revenue]]-ReconciliationData[[#This Row],[expected_revenue]]</f>
        <v>0</v>
      </c>
      <c r="AA14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79" t="str">
        <f>IF(ReconciliationData[[#This Row],[severity_score]]=0,"LOW",
 IF(ReconciliationData[[#This Row],[severity_score]]&lt;=5,"MEDIUM","HIGH"))</f>
        <v>LOW</v>
      </c>
      <c r="AC1479" t="str">
        <f>TEXT(ReconciliationData[[#This Row],[Order_Date]],"YYYY-MM")</f>
        <v>2024-04</v>
      </c>
    </row>
    <row r="1480" spans="1:29">
      <c r="A1480" t="s">
        <v>4070</v>
      </c>
      <c r="B1480" s="1">
        <v>45404</v>
      </c>
      <c r="C1480" t="s">
        <v>623</v>
      </c>
      <c r="D1480" t="s">
        <v>849</v>
      </c>
      <c r="E1480">
        <v>122</v>
      </c>
      <c r="F1480" t="s">
        <v>4071</v>
      </c>
      <c r="G1480">
        <v>122</v>
      </c>
      <c r="H1480">
        <v>428.71915989592588</v>
      </c>
      <c r="N1480">
        <v>428.46220000000005</v>
      </c>
      <c r="O1480" s="1">
        <v>45102</v>
      </c>
      <c r="P1480">
        <f>IF(ISBLANK(ReconciliationData[[#This Row],[Invoice_ID]]),1,0)</f>
        <v>0</v>
      </c>
      <c r="Q1480">
        <f>IF(AND(NOT(ISBLANK(ReconciliationData[[#This Row],[Billed_Units]])),ReconciliationData[[#This Row],[ordered_units]]&lt;&gt;ReconciliationData[[#This Row],[Billed_Units]]),1,0)</f>
        <v>0</v>
      </c>
      <c r="R1480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480">
        <f>IF(AND(NOT(ISBLANK(ReconciliationData[[#This Row],[Contract_Price]])),ReconciliationData[[#This Row],[Billed_Price]]&lt;&gt;ReconciliationData[[#This Row],[Contract_Price]]),1,0)</f>
        <v>0</v>
      </c>
      <c r="T1480">
        <f>IF(AND(NOT(ISBLANK(ReconciliationData[[#This Row],[End_Date]])),ReconciliationData[[#This Row],[Order_Date]]&gt;ReconciliationData[[#This Row],[End_Date]]),1,0)</f>
        <v>0</v>
      </c>
      <c r="U1480">
        <f>IF(AND(NOT(ISBLANK(ReconciliationData[[#This Row],[last_return_date]])),ReconciliationData[[#This Row],[last_return_date]]&gt;ReconciliationData[[#This Row],[Order_Date]]+60),1,0)</f>
        <v>0</v>
      </c>
      <c r="V1480">
        <f>IF(ReconciliationData[[#This Row],[total_returned_units]]&gt;ReconciliationData[[#This Row],[ordered_units]],1,0)</f>
        <v>0</v>
      </c>
      <c r="W14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80">
        <f>ReconciliationData[[#This Row],[Billed_Units]]*ReconciliationData[[#This Row],[Billed_Price]]</f>
        <v>52303.737507302954</v>
      </c>
      <c r="Y1480">
        <f>ReconciliationData[[#This Row],[ordered_units]]*ReconciliationData[[#This Row],[List_Price]]</f>
        <v>52272.388400000003</v>
      </c>
      <c r="Z1480">
        <f>ReconciliationData[[#This Row],[billed_revenue]]-ReconciliationData[[#This Row],[expected_revenue]]</f>
        <v>31.34910730295087</v>
      </c>
      <c r="AA14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480" t="str">
        <f>IF(ReconciliationData[[#This Row],[severity_score]]=0,"LOW",
 IF(ReconciliationData[[#This Row],[severity_score]]&lt;=5,"MEDIUM","HIGH"))</f>
        <v>MEDIUM</v>
      </c>
      <c r="AC1480" t="str">
        <f>TEXT(ReconciliationData[[#This Row],[Order_Date]],"YYYY-MM")</f>
        <v>2024-04</v>
      </c>
    </row>
    <row r="1481" spans="1:29">
      <c r="A1481" t="s">
        <v>4072</v>
      </c>
      <c r="B1481" s="1">
        <v>45404</v>
      </c>
      <c r="C1481" t="s">
        <v>588</v>
      </c>
      <c r="D1481" t="s">
        <v>1961</v>
      </c>
      <c r="E1481">
        <v>48</v>
      </c>
      <c r="F1481" t="s">
        <v>4073</v>
      </c>
      <c r="G1481">
        <v>48</v>
      </c>
      <c r="H1481">
        <v>717.0471</v>
      </c>
      <c r="N1481">
        <v>717.0471</v>
      </c>
      <c r="O1481" s="1">
        <v>44984</v>
      </c>
      <c r="P1481">
        <f>IF(ISBLANK(ReconciliationData[[#This Row],[Invoice_ID]]),1,0)</f>
        <v>0</v>
      </c>
      <c r="Q1481">
        <f>IF(AND(NOT(ISBLANK(ReconciliationData[[#This Row],[Billed_Units]])),ReconciliationData[[#This Row],[ordered_units]]&lt;&gt;ReconciliationData[[#This Row],[Billed_Units]]),1,0)</f>
        <v>0</v>
      </c>
      <c r="R14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81">
        <f>IF(AND(NOT(ISBLANK(ReconciliationData[[#This Row],[Contract_Price]])),ReconciliationData[[#This Row],[Billed_Price]]&lt;&gt;ReconciliationData[[#This Row],[Contract_Price]]),1,0)</f>
        <v>0</v>
      </c>
      <c r="T1481">
        <f>IF(AND(NOT(ISBLANK(ReconciliationData[[#This Row],[End_Date]])),ReconciliationData[[#This Row],[Order_Date]]&gt;ReconciliationData[[#This Row],[End_Date]]),1,0)</f>
        <v>0</v>
      </c>
      <c r="U1481">
        <f>IF(AND(NOT(ISBLANK(ReconciliationData[[#This Row],[last_return_date]])),ReconciliationData[[#This Row],[last_return_date]]&gt;ReconciliationData[[#This Row],[Order_Date]]+60),1,0)</f>
        <v>0</v>
      </c>
      <c r="V1481">
        <f>IF(ReconciliationData[[#This Row],[total_returned_units]]&gt;ReconciliationData[[#This Row],[ordered_units]],1,0)</f>
        <v>0</v>
      </c>
      <c r="W14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81">
        <f>ReconciliationData[[#This Row],[Billed_Units]]*ReconciliationData[[#This Row],[Billed_Price]]</f>
        <v>34418.260800000004</v>
      </c>
      <c r="Y1481">
        <f>ReconciliationData[[#This Row],[ordered_units]]*ReconciliationData[[#This Row],[List_Price]]</f>
        <v>34418.260800000004</v>
      </c>
      <c r="Z1481">
        <f>ReconciliationData[[#This Row],[billed_revenue]]-ReconciliationData[[#This Row],[expected_revenue]]</f>
        <v>0</v>
      </c>
      <c r="AA14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81" t="str">
        <f>IF(ReconciliationData[[#This Row],[severity_score]]=0,"LOW",
 IF(ReconciliationData[[#This Row],[severity_score]]&lt;=5,"MEDIUM","HIGH"))</f>
        <v>LOW</v>
      </c>
      <c r="AC1481" t="str">
        <f>TEXT(ReconciliationData[[#This Row],[Order_Date]],"YYYY-MM")</f>
        <v>2024-04</v>
      </c>
    </row>
    <row r="1482" spans="1:29">
      <c r="A1482" t="s">
        <v>4074</v>
      </c>
      <c r="B1482" s="1">
        <v>44967</v>
      </c>
      <c r="C1482" t="s">
        <v>638</v>
      </c>
      <c r="D1482" t="s">
        <v>525</v>
      </c>
      <c r="E1482">
        <v>194</v>
      </c>
      <c r="F1482" t="s">
        <v>4075</v>
      </c>
      <c r="G1482">
        <v>194</v>
      </c>
      <c r="H1482">
        <v>251.7174</v>
      </c>
      <c r="I1482">
        <v>4</v>
      </c>
      <c r="J1482" s="1">
        <v>45177</v>
      </c>
      <c r="N1482">
        <v>251.7174</v>
      </c>
      <c r="O1482" s="1">
        <v>44882</v>
      </c>
      <c r="P1482">
        <f>IF(ISBLANK(ReconciliationData[[#This Row],[Invoice_ID]]),1,0)</f>
        <v>0</v>
      </c>
      <c r="Q1482">
        <f>IF(AND(NOT(ISBLANK(ReconciliationData[[#This Row],[Billed_Units]])),ReconciliationData[[#This Row],[ordered_units]]&lt;&gt;ReconciliationData[[#This Row],[Billed_Units]]),1,0)</f>
        <v>0</v>
      </c>
      <c r="R14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82">
        <f>IF(AND(NOT(ISBLANK(ReconciliationData[[#This Row],[Contract_Price]])),ReconciliationData[[#This Row],[Billed_Price]]&lt;&gt;ReconciliationData[[#This Row],[Contract_Price]]),1,0)</f>
        <v>0</v>
      </c>
      <c r="T1482">
        <f>IF(AND(NOT(ISBLANK(ReconciliationData[[#This Row],[End_Date]])),ReconciliationData[[#This Row],[Order_Date]]&gt;ReconciliationData[[#This Row],[End_Date]]),1,0)</f>
        <v>0</v>
      </c>
      <c r="U1482">
        <f>IF(AND(NOT(ISBLANK(ReconciliationData[[#This Row],[last_return_date]])),ReconciliationData[[#This Row],[last_return_date]]&gt;ReconciliationData[[#This Row],[Order_Date]]+60),1,0)</f>
        <v>1</v>
      </c>
      <c r="V1482">
        <f>IF(ReconciliationData[[#This Row],[total_returned_units]]&gt;ReconciliationData[[#This Row],[ordered_units]],1,0)</f>
        <v>0</v>
      </c>
      <c r="W14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82">
        <f>ReconciliationData[[#This Row],[Billed_Units]]*ReconciliationData[[#This Row],[Billed_Price]]</f>
        <v>48833.175600000002</v>
      </c>
      <c r="Y1482">
        <f>ReconciliationData[[#This Row],[ordered_units]]*ReconciliationData[[#This Row],[List_Price]]</f>
        <v>48833.175600000002</v>
      </c>
      <c r="Z1482">
        <f>ReconciliationData[[#This Row],[billed_revenue]]-ReconciliationData[[#This Row],[expected_revenue]]</f>
        <v>0</v>
      </c>
      <c r="AA14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482" t="str">
        <f>IF(ReconciliationData[[#This Row],[severity_score]]=0,"LOW",
 IF(ReconciliationData[[#This Row],[severity_score]]&lt;=5,"MEDIUM","HIGH"))</f>
        <v>MEDIUM</v>
      </c>
      <c r="AC1482" t="str">
        <f>TEXT(ReconciliationData[[#This Row],[Order_Date]],"YYYY-MM")</f>
        <v>2023-02</v>
      </c>
    </row>
    <row r="1483" spans="1:29">
      <c r="A1483" t="s">
        <v>4076</v>
      </c>
      <c r="B1483" s="1">
        <v>45459</v>
      </c>
      <c r="C1483" t="s">
        <v>3797</v>
      </c>
      <c r="D1483" t="s">
        <v>1071</v>
      </c>
      <c r="E1483">
        <v>167</v>
      </c>
      <c r="F1483" t="s">
        <v>4077</v>
      </c>
      <c r="G1483">
        <v>167</v>
      </c>
      <c r="H1483">
        <v>335.39150000000001</v>
      </c>
      <c r="N1483">
        <v>335.39150000000001</v>
      </c>
      <c r="O1483" s="1">
        <v>45151</v>
      </c>
      <c r="P1483">
        <f>IF(ISBLANK(ReconciliationData[[#This Row],[Invoice_ID]]),1,0)</f>
        <v>0</v>
      </c>
      <c r="Q1483">
        <f>IF(AND(NOT(ISBLANK(ReconciliationData[[#This Row],[Billed_Units]])),ReconciliationData[[#This Row],[ordered_units]]&lt;&gt;ReconciliationData[[#This Row],[Billed_Units]]),1,0)</f>
        <v>0</v>
      </c>
      <c r="R14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83">
        <f>IF(AND(NOT(ISBLANK(ReconciliationData[[#This Row],[Contract_Price]])),ReconciliationData[[#This Row],[Billed_Price]]&lt;&gt;ReconciliationData[[#This Row],[Contract_Price]]),1,0)</f>
        <v>0</v>
      </c>
      <c r="T1483">
        <f>IF(AND(NOT(ISBLANK(ReconciliationData[[#This Row],[End_Date]])),ReconciliationData[[#This Row],[Order_Date]]&gt;ReconciliationData[[#This Row],[End_Date]]),1,0)</f>
        <v>0</v>
      </c>
      <c r="U1483">
        <f>IF(AND(NOT(ISBLANK(ReconciliationData[[#This Row],[last_return_date]])),ReconciliationData[[#This Row],[last_return_date]]&gt;ReconciliationData[[#This Row],[Order_Date]]+60),1,0)</f>
        <v>0</v>
      </c>
      <c r="V1483">
        <f>IF(ReconciliationData[[#This Row],[total_returned_units]]&gt;ReconciliationData[[#This Row],[ordered_units]],1,0)</f>
        <v>0</v>
      </c>
      <c r="W14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83">
        <f>ReconciliationData[[#This Row],[Billed_Units]]*ReconciliationData[[#This Row],[Billed_Price]]</f>
        <v>56010.380499999999</v>
      </c>
      <c r="Y1483">
        <f>ReconciliationData[[#This Row],[ordered_units]]*ReconciliationData[[#This Row],[List_Price]]</f>
        <v>56010.380499999999</v>
      </c>
      <c r="Z1483">
        <f>ReconciliationData[[#This Row],[billed_revenue]]-ReconciliationData[[#This Row],[expected_revenue]]</f>
        <v>0</v>
      </c>
      <c r="AA14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83" t="str">
        <f>IF(ReconciliationData[[#This Row],[severity_score]]=0,"LOW",
 IF(ReconciliationData[[#This Row],[severity_score]]&lt;=5,"MEDIUM","HIGH"))</f>
        <v>LOW</v>
      </c>
      <c r="AC1483" t="str">
        <f>TEXT(ReconciliationData[[#This Row],[Order_Date]],"YYYY-MM")</f>
        <v>2024-06</v>
      </c>
    </row>
    <row r="1484" spans="1:29">
      <c r="A1484" t="s">
        <v>4078</v>
      </c>
      <c r="B1484" s="1">
        <v>45335</v>
      </c>
      <c r="C1484" t="s">
        <v>2619</v>
      </c>
      <c r="D1484" t="s">
        <v>1298</v>
      </c>
      <c r="E1484">
        <v>143</v>
      </c>
      <c r="F1484" t="s">
        <v>4079</v>
      </c>
      <c r="G1484">
        <v>143</v>
      </c>
      <c r="H1484">
        <v>1099.82</v>
      </c>
      <c r="N1484">
        <v>1099.82</v>
      </c>
      <c r="O1484" s="1">
        <v>44962</v>
      </c>
      <c r="P1484">
        <f>IF(ISBLANK(ReconciliationData[[#This Row],[Invoice_ID]]),1,0)</f>
        <v>0</v>
      </c>
      <c r="Q1484">
        <f>IF(AND(NOT(ISBLANK(ReconciliationData[[#This Row],[Billed_Units]])),ReconciliationData[[#This Row],[ordered_units]]&lt;&gt;ReconciliationData[[#This Row],[Billed_Units]]),1,0)</f>
        <v>0</v>
      </c>
      <c r="R14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84">
        <f>IF(AND(NOT(ISBLANK(ReconciliationData[[#This Row],[Contract_Price]])),ReconciliationData[[#This Row],[Billed_Price]]&lt;&gt;ReconciliationData[[#This Row],[Contract_Price]]),1,0)</f>
        <v>0</v>
      </c>
      <c r="T1484">
        <f>IF(AND(NOT(ISBLANK(ReconciliationData[[#This Row],[End_Date]])),ReconciliationData[[#This Row],[Order_Date]]&gt;ReconciliationData[[#This Row],[End_Date]]),1,0)</f>
        <v>0</v>
      </c>
      <c r="U1484">
        <f>IF(AND(NOT(ISBLANK(ReconciliationData[[#This Row],[last_return_date]])),ReconciliationData[[#This Row],[last_return_date]]&gt;ReconciliationData[[#This Row],[Order_Date]]+60),1,0)</f>
        <v>0</v>
      </c>
      <c r="V1484">
        <f>IF(ReconciliationData[[#This Row],[total_returned_units]]&gt;ReconciliationData[[#This Row],[ordered_units]],1,0)</f>
        <v>0</v>
      </c>
      <c r="W14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84">
        <f>ReconciliationData[[#This Row],[Billed_Units]]*ReconciliationData[[#This Row],[Billed_Price]]</f>
        <v>157274.25999999998</v>
      </c>
      <c r="Y1484">
        <f>ReconciliationData[[#This Row],[ordered_units]]*ReconciliationData[[#This Row],[List_Price]]</f>
        <v>157274.25999999998</v>
      </c>
      <c r="Z1484">
        <f>ReconciliationData[[#This Row],[billed_revenue]]-ReconciliationData[[#This Row],[expected_revenue]]</f>
        <v>0</v>
      </c>
      <c r="AA14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84" t="str">
        <f>IF(ReconciliationData[[#This Row],[severity_score]]=0,"LOW",
 IF(ReconciliationData[[#This Row],[severity_score]]&lt;=5,"MEDIUM","HIGH"))</f>
        <v>LOW</v>
      </c>
      <c r="AC1484" t="str">
        <f>TEXT(ReconciliationData[[#This Row],[Order_Date]],"YYYY-MM")</f>
        <v>2024-02</v>
      </c>
    </row>
    <row r="1485" spans="1:29">
      <c r="A1485" t="s">
        <v>4080</v>
      </c>
      <c r="B1485" s="1">
        <v>45402</v>
      </c>
      <c r="C1485" t="s">
        <v>2611</v>
      </c>
      <c r="D1485" t="s">
        <v>1706</v>
      </c>
      <c r="E1485">
        <v>121</v>
      </c>
      <c r="F1485" t="s">
        <v>4081</v>
      </c>
      <c r="G1485">
        <v>121</v>
      </c>
      <c r="H1485">
        <v>854.74350000000004</v>
      </c>
      <c r="N1485">
        <v>854.74350000000004</v>
      </c>
      <c r="O1485" s="1">
        <v>44984</v>
      </c>
      <c r="P1485">
        <f>IF(ISBLANK(ReconciliationData[[#This Row],[Invoice_ID]]),1,0)</f>
        <v>0</v>
      </c>
      <c r="Q1485">
        <f>IF(AND(NOT(ISBLANK(ReconciliationData[[#This Row],[Billed_Units]])),ReconciliationData[[#This Row],[ordered_units]]&lt;&gt;ReconciliationData[[#This Row],[Billed_Units]]),1,0)</f>
        <v>0</v>
      </c>
      <c r="R14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85">
        <f>IF(AND(NOT(ISBLANK(ReconciliationData[[#This Row],[Contract_Price]])),ReconciliationData[[#This Row],[Billed_Price]]&lt;&gt;ReconciliationData[[#This Row],[Contract_Price]]),1,0)</f>
        <v>0</v>
      </c>
      <c r="T1485">
        <f>IF(AND(NOT(ISBLANK(ReconciliationData[[#This Row],[End_Date]])),ReconciliationData[[#This Row],[Order_Date]]&gt;ReconciliationData[[#This Row],[End_Date]]),1,0)</f>
        <v>0</v>
      </c>
      <c r="U1485">
        <f>IF(AND(NOT(ISBLANK(ReconciliationData[[#This Row],[last_return_date]])),ReconciliationData[[#This Row],[last_return_date]]&gt;ReconciliationData[[#This Row],[Order_Date]]+60),1,0)</f>
        <v>0</v>
      </c>
      <c r="V1485">
        <f>IF(ReconciliationData[[#This Row],[total_returned_units]]&gt;ReconciliationData[[#This Row],[ordered_units]],1,0)</f>
        <v>0</v>
      </c>
      <c r="W14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85">
        <f>ReconciliationData[[#This Row],[Billed_Units]]*ReconciliationData[[#This Row],[Billed_Price]]</f>
        <v>103423.9635</v>
      </c>
      <c r="Y1485">
        <f>ReconciliationData[[#This Row],[ordered_units]]*ReconciliationData[[#This Row],[List_Price]]</f>
        <v>103423.9635</v>
      </c>
      <c r="Z1485">
        <f>ReconciliationData[[#This Row],[billed_revenue]]-ReconciliationData[[#This Row],[expected_revenue]]</f>
        <v>0</v>
      </c>
      <c r="AA14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85" t="str">
        <f>IF(ReconciliationData[[#This Row],[severity_score]]=0,"LOW",
 IF(ReconciliationData[[#This Row],[severity_score]]&lt;=5,"MEDIUM","HIGH"))</f>
        <v>LOW</v>
      </c>
      <c r="AC1485" t="str">
        <f>TEXT(ReconciliationData[[#This Row],[Order_Date]],"YYYY-MM")</f>
        <v>2024-04</v>
      </c>
    </row>
    <row r="1486" spans="1:29">
      <c r="A1486" t="s">
        <v>4082</v>
      </c>
      <c r="B1486" s="1">
        <v>44988</v>
      </c>
      <c r="C1486" t="s">
        <v>2943</v>
      </c>
      <c r="D1486" t="s">
        <v>182</v>
      </c>
      <c r="E1486">
        <v>170</v>
      </c>
      <c r="F1486" t="s">
        <v>4083</v>
      </c>
      <c r="G1486">
        <v>170</v>
      </c>
      <c r="H1486">
        <v>726.19808721391485</v>
      </c>
      <c r="I1486">
        <v>14</v>
      </c>
      <c r="J1486" s="1">
        <v>45398</v>
      </c>
      <c r="N1486">
        <v>725.50320000000011</v>
      </c>
      <c r="O1486" s="1">
        <v>44858</v>
      </c>
      <c r="P1486">
        <f>IF(ISBLANK(ReconciliationData[[#This Row],[Invoice_ID]]),1,0)</f>
        <v>0</v>
      </c>
      <c r="Q1486">
        <f>IF(AND(NOT(ISBLANK(ReconciliationData[[#This Row],[Billed_Units]])),ReconciliationData[[#This Row],[ordered_units]]&lt;&gt;ReconciliationData[[#This Row],[Billed_Units]]),1,0)</f>
        <v>0</v>
      </c>
      <c r="R148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486">
        <f>IF(AND(NOT(ISBLANK(ReconciliationData[[#This Row],[Contract_Price]])),ReconciliationData[[#This Row],[Billed_Price]]&lt;&gt;ReconciliationData[[#This Row],[Contract_Price]]),1,0)</f>
        <v>0</v>
      </c>
      <c r="T1486">
        <f>IF(AND(NOT(ISBLANK(ReconciliationData[[#This Row],[End_Date]])),ReconciliationData[[#This Row],[Order_Date]]&gt;ReconciliationData[[#This Row],[End_Date]]),1,0)</f>
        <v>0</v>
      </c>
      <c r="U1486">
        <f>IF(AND(NOT(ISBLANK(ReconciliationData[[#This Row],[last_return_date]])),ReconciliationData[[#This Row],[last_return_date]]&gt;ReconciliationData[[#This Row],[Order_Date]]+60),1,0)</f>
        <v>1</v>
      </c>
      <c r="V1486">
        <f>IF(ReconciliationData[[#This Row],[total_returned_units]]&gt;ReconciliationData[[#This Row],[ordered_units]],1,0)</f>
        <v>0</v>
      </c>
      <c r="W14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86">
        <f>ReconciliationData[[#This Row],[Billed_Units]]*ReconciliationData[[#This Row],[Billed_Price]]</f>
        <v>123453.67482636552</v>
      </c>
      <c r="Y1486">
        <f>ReconciliationData[[#This Row],[ordered_units]]*ReconciliationData[[#This Row],[List_Price]]</f>
        <v>123335.54400000002</v>
      </c>
      <c r="Z1486">
        <f>ReconciliationData[[#This Row],[billed_revenue]]-ReconciliationData[[#This Row],[expected_revenue]]</f>
        <v>118.1308263654937</v>
      </c>
      <c r="AA14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6</v>
      </c>
      <c r="AB1486" t="str">
        <f>IF(ReconciliationData[[#This Row],[severity_score]]=0,"LOW",
 IF(ReconciliationData[[#This Row],[severity_score]]&lt;=5,"MEDIUM","HIGH"))</f>
        <v>HIGH</v>
      </c>
      <c r="AC1486" t="str">
        <f>TEXT(ReconciliationData[[#This Row],[Order_Date]],"YYYY-MM")</f>
        <v>2023-03</v>
      </c>
    </row>
    <row r="1487" spans="1:29">
      <c r="A1487" t="s">
        <v>4084</v>
      </c>
      <c r="B1487" s="1">
        <v>45208</v>
      </c>
      <c r="C1487" t="s">
        <v>866</v>
      </c>
      <c r="D1487" t="s">
        <v>291</v>
      </c>
      <c r="E1487">
        <v>67</v>
      </c>
      <c r="F1487" t="s">
        <v>4085</v>
      </c>
      <c r="G1487">
        <v>67</v>
      </c>
      <c r="H1487">
        <v>455.04644931082737</v>
      </c>
      <c r="N1487">
        <v>454.98379999999997</v>
      </c>
      <c r="O1487" s="1">
        <v>45011</v>
      </c>
      <c r="P1487">
        <f>IF(ISBLANK(ReconciliationData[[#This Row],[Invoice_ID]]),1,0)</f>
        <v>0</v>
      </c>
      <c r="Q1487">
        <f>IF(AND(NOT(ISBLANK(ReconciliationData[[#This Row],[Billed_Units]])),ReconciliationData[[#This Row],[ordered_units]]&lt;&gt;ReconciliationData[[#This Row],[Billed_Units]]),1,0)</f>
        <v>0</v>
      </c>
      <c r="R148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487">
        <f>IF(AND(NOT(ISBLANK(ReconciliationData[[#This Row],[Contract_Price]])),ReconciliationData[[#This Row],[Billed_Price]]&lt;&gt;ReconciliationData[[#This Row],[Contract_Price]]),1,0)</f>
        <v>0</v>
      </c>
      <c r="T1487">
        <f>IF(AND(NOT(ISBLANK(ReconciliationData[[#This Row],[End_Date]])),ReconciliationData[[#This Row],[Order_Date]]&gt;ReconciliationData[[#This Row],[End_Date]]),1,0)</f>
        <v>0</v>
      </c>
      <c r="U1487">
        <f>IF(AND(NOT(ISBLANK(ReconciliationData[[#This Row],[last_return_date]])),ReconciliationData[[#This Row],[last_return_date]]&gt;ReconciliationData[[#This Row],[Order_Date]]+60),1,0)</f>
        <v>0</v>
      </c>
      <c r="V1487">
        <f>IF(ReconciliationData[[#This Row],[total_returned_units]]&gt;ReconciliationData[[#This Row],[ordered_units]],1,0)</f>
        <v>0</v>
      </c>
      <c r="W14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87">
        <f>ReconciliationData[[#This Row],[Billed_Units]]*ReconciliationData[[#This Row],[Billed_Price]]</f>
        <v>30488.112103825435</v>
      </c>
      <c r="Y1487">
        <f>ReconciliationData[[#This Row],[ordered_units]]*ReconciliationData[[#This Row],[List_Price]]</f>
        <v>30483.914599999996</v>
      </c>
      <c r="Z1487">
        <f>ReconciliationData[[#This Row],[billed_revenue]]-ReconciliationData[[#This Row],[expected_revenue]]</f>
        <v>4.1975038254386163</v>
      </c>
      <c r="AA14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487" t="str">
        <f>IF(ReconciliationData[[#This Row],[severity_score]]=0,"LOW",
 IF(ReconciliationData[[#This Row],[severity_score]]&lt;=5,"MEDIUM","HIGH"))</f>
        <v>MEDIUM</v>
      </c>
      <c r="AC1487" t="str">
        <f>TEXT(ReconciliationData[[#This Row],[Order_Date]],"YYYY-MM")</f>
        <v>2023-10</v>
      </c>
    </row>
    <row r="1488" spans="1:29">
      <c r="A1488" t="s">
        <v>4086</v>
      </c>
      <c r="B1488" s="1">
        <v>45538</v>
      </c>
      <c r="C1488" t="s">
        <v>1212</v>
      </c>
      <c r="D1488" t="s">
        <v>1411</v>
      </c>
      <c r="E1488">
        <v>57</v>
      </c>
      <c r="F1488" t="s">
        <v>4087</v>
      </c>
      <c r="G1488">
        <v>57</v>
      </c>
      <c r="H1488">
        <v>1167.9120000000005</v>
      </c>
      <c r="N1488">
        <v>1167.9120000000005</v>
      </c>
      <c r="O1488" s="1">
        <v>45019</v>
      </c>
      <c r="P1488">
        <f>IF(ISBLANK(ReconciliationData[[#This Row],[Invoice_ID]]),1,0)</f>
        <v>0</v>
      </c>
      <c r="Q1488">
        <f>IF(AND(NOT(ISBLANK(ReconciliationData[[#This Row],[Billed_Units]])),ReconciliationData[[#This Row],[ordered_units]]&lt;&gt;ReconciliationData[[#This Row],[Billed_Units]]),1,0)</f>
        <v>0</v>
      </c>
      <c r="R14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88">
        <f>IF(AND(NOT(ISBLANK(ReconciliationData[[#This Row],[Contract_Price]])),ReconciliationData[[#This Row],[Billed_Price]]&lt;&gt;ReconciliationData[[#This Row],[Contract_Price]]),1,0)</f>
        <v>0</v>
      </c>
      <c r="T1488">
        <f>IF(AND(NOT(ISBLANK(ReconciliationData[[#This Row],[End_Date]])),ReconciliationData[[#This Row],[Order_Date]]&gt;ReconciliationData[[#This Row],[End_Date]]),1,0)</f>
        <v>0</v>
      </c>
      <c r="U1488">
        <f>IF(AND(NOT(ISBLANK(ReconciliationData[[#This Row],[last_return_date]])),ReconciliationData[[#This Row],[last_return_date]]&gt;ReconciliationData[[#This Row],[Order_Date]]+60),1,0)</f>
        <v>0</v>
      </c>
      <c r="V1488">
        <f>IF(ReconciliationData[[#This Row],[total_returned_units]]&gt;ReconciliationData[[#This Row],[ordered_units]],1,0)</f>
        <v>0</v>
      </c>
      <c r="W14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88">
        <f>ReconciliationData[[#This Row],[Billed_Units]]*ReconciliationData[[#This Row],[Billed_Price]]</f>
        <v>66570.984000000026</v>
      </c>
      <c r="Y1488">
        <f>ReconciliationData[[#This Row],[ordered_units]]*ReconciliationData[[#This Row],[List_Price]]</f>
        <v>66570.984000000026</v>
      </c>
      <c r="Z1488">
        <f>ReconciliationData[[#This Row],[billed_revenue]]-ReconciliationData[[#This Row],[expected_revenue]]</f>
        <v>0</v>
      </c>
      <c r="AA14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88" t="str">
        <f>IF(ReconciliationData[[#This Row],[severity_score]]=0,"LOW",
 IF(ReconciliationData[[#This Row],[severity_score]]&lt;=5,"MEDIUM","HIGH"))</f>
        <v>LOW</v>
      </c>
      <c r="AC1488" t="str">
        <f>TEXT(ReconciliationData[[#This Row],[Order_Date]],"YYYY-MM")</f>
        <v>2024-09</v>
      </c>
    </row>
    <row r="1489" spans="1:29">
      <c r="A1489" t="s">
        <v>4088</v>
      </c>
      <c r="B1489" s="1">
        <v>45331</v>
      </c>
      <c r="C1489" t="s">
        <v>4089</v>
      </c>
      <c r="D1489" t="s">
        <v>2353</v>
      </c>
      <c r="E1489">
        <v>149</v>
      </c>
      <c r="F1489" t="s">
        <v>4090</v>
      </c>
      <c r="G1489">
        <v>149</v>
      </c>
      <c r="H1489">
        <v>358.35930694874457</v>
      </c>
      <c r="N1489">
        <v>358.33919999999995</v>
      </c>
      <c r="O1489" s="1">
        <v>45108</v>
      </c>
      <c r="P1489">
        <f>IF(ISBLANK(ReconciliationData[[#This Row],[Invoice_ID]]),1,0)</f>
        <v>0</v>
      </c>
      <c r="Q1489">
        <f>IF(AND(NOT(ISBLANK(ReconciliationData[[#This Row],[Billed_Units]])),ReconciliationData[[#This Row],[ordered_units]]&lt;&gt;ReconciliationData[[#This Row],[Billed_Units]]),1,0)</f>
        <v>0</v>
      </c>
      <c r="R148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489">
        <f>IF(AND(NOT(ISBLANK(ReconciliationData[[#This Row],[Contract_Price]])),ReconciliationData[[#This Row],[Billed_Price]]&lt;&gt;ReconciliationData[[#This Row],[Contract_Price]]),1,0)</f>
        <v>0</v>
      </c>
      <c r="T1489">
        <f>IF(AND(NOT(ISBLANK(ReconciliationData[[#This Row],[End_Date]])),ReconciliationData[[#This Row],[Order_Date]]&gt;ReconciliationData[[#This Row],[End_Date]]),1,0)</f>
        <v>0</v>
      </c>
      <c r="U1489">
        <f>IF(AND(NOT(ISBLANK(ReconciliationData[[#This Row],[last_return_date]])),ReconciliationData[[#This Row],[last_return_date]]&gt;ReconciliationData[[#This Row],[Order_Date]]+60),1,0)</f>
        <v>0</v>
      </c>
      <c r="V1489">
        <f>IF(ReconciliationData[[#This Row],[total_returned_units]]&gt;ReconciliationData[[#This Row],[ordered_units]],1,0)</f>
        <v>0</v>
      </c>
      <c r="W14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89">
        <f>ReconciliationData[[#This Row],[Billed_Units]]*ReconciliationData[[#This Row],[Billed_Price]]</f>
        <v>53395.536735362941</v>
      </c>
      <c r="Y1489">
        <f>ReconciliationData[[#This Row],[ordered_units]]*ReconciliationData[[#This Row],[List_Price]]</f>
        <v>53392.540799999995</v>
      </c>
      <c r="Z1489">
        <f>ReconciliationData[[#This Row],[billed_revenue]]-ReconciliationData[[#This Row],[expected_revenue]]</f>
        <v>2.9959353629456018</v>
      </c>
      <c r="AA14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489" t="str">
        <f>IF(ReconciliationData[[#This Row],[severity_score]]=0,"LOW",
 IF(ReconciliationData[[#This Row],[severity_score]]&lt;=5,"MEDIUM","HIGH"))</f>
        <v>MEDIUM</v>
      </c>
      <c r="AC1489" t="str">
        <f>TEXT(ReconciliationData[[#This Row],[Order_Date]],"YYYY-MM")</f>
        <v>2024-02</v>
      </c>
    </row>
    <row r="1490" spans="1:29">
      <c r="A1490" t="s">
        <v>4091</v>
      </c>
      <c r="B1490" s="1">
        <v>45149</v>
      </c>
      <c r="C1490" t="s">
        <v>1182</v>
      </c>
      <c r="D1490" t="s">
        <v>1396</v>
      </c>
      <c r="E1490">
        <v>149</v>
      </c>
      <c r="F1490" t="s">
        <v>4092</v>
      </c>
      <c r="G1490">
        <v>149</v>
      </c>
      <c r="H1490">
        <v>880.66300000000001</v>
      </c>
      <c r="N1490">
        <v>880.66300000000001</v>
      </c>
      <c r="O1490" s="1">
        <v>44966</v>
      </c>
      <c r="P1490">
        <f>IF(ISBLANK(ReconciliationData[[#This Row],[Invoice_ID]]),1,0)</f>
        <v>0</v>
      </c>
      <c r="Q1490">
        <f>IF(AND(NOT(ISBLANK(ReconciliationData[[#This Row],[Billed_Units]])),ReconciliationData[[#This Row],[ordered_units]]&lt;&gt;ReconciliationData[[#This Row],[Billed_Units]]),1,0)</f>
        <v>0</v>
      </c>
      <c r="R14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0">
        <f>IF(AND(NOT(ISBLANK(ReconciliationData[[#This Row],[Contract_Price]])),ReconciliationData[[#This Row],[Billed_Price]]&lt;&gt;ReconciliationData[[#This Row],[Contract_Price]]),1,0)</f>
        <v>0</v>
      </c>
      <c r="T1490">
        <f>IF(AND(NOT(ISBLANK(ReconciliationData[[#This Row],[End_Date]])),ReconciliationData[[#This Row],[Order_Date]]&gt;ReconciliationData[[#This Row],[End_Date]]),1,0)</f>
        <v>0</v>
      </c>
      <c r="U1490">
        <f>IF(AND(NOT(ISBLANK(ReconciliationData[[#This Row],[last_return_date]])),ReconciliationData[[#This Row],[last_return_date]]&gt;ReconciliationData[[#This Row],[Order_Date]]+60),1,0)</f>
        <v>0</v>
      </c>
      <c r="V1490">
        <f>IF(ReconciliationData[[#This Row],[total_returned_units]]&gt;ReconciliationData[[#This Row],[ordered_units]],1,0)</f>
        <v>0</v>
      </c>
      <c r="W14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90">
        <f>ReconciliationData[[#This Row],[Billed_Units]]*ReconciliationData[[#This Row],[Billed_Price]]</f>
        <v>131218.78700000001</v>
      </c>
      <c r="Y1490">
        <f>ReconciliationData[[#This Row],[ordered_units]]*ReconciliationData[[#This Row],[List_Price]]</f>
        <v>131218.78700000001</v>
      </c>
      <c r="Z1490">
        <f>ReconciliationData[[#This Row],[billed_revenue]]-ReconciliationData[[#This Row],[expected_revenue]]</f>
        <v>0</v>
      </c>
      <c r="AA14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90" t="str">
        <f>IF(ReconciliationData[[#This Row],[severity_score]]=0,"LOW",
 IF(ReconciliationData[[#This Row],[severity_score]]&lt;=5,"MEDIUM","HIGH"))</f>
        <v>LOW</v>
      </c>
      <c r="AC1490" t="str">
        <f>TEXT(ReconciliationData[[#This Row],[Order_Date]],"YYYY-MM")</f>
        <v>2023-08</v>
      </c>
    </row>
    <row r="1491" spans="1:29">
      <c r="A1491" t="s">
        <v>4093</v>
      </c>
      <c r="B1491" s="1">
        <v>44997</v>
      </c>
      <c r="C1491" t="s">
        <v>1889</v>
      </c>
      <c r="D1491" t="s">
        <v>2682</v>
      </c>
      <c r="E1491">
        <v>153</v>
      </c>
      <c r="F1491" t="s">
        <v>4094</v>
      </c>
      <c r="G1491">
        <v>153</v>
      </c>
      <c r="H1491">
        <v>1052.6012000000001</v>
      </c>
      <c r="N1491">
        <v>1052.6012000000001</v>
      </c>
      <c r="O1491" s="1">
        <v>44879</v>
      </c>
      <c r="P1491">
        <f>IF(ISBLANK(ReconciliationData[[#This Row],[Invoice_ID]]),1,0)</f>
        <v>0</v>
      </c>
      <c r="Q1491">
        <f>IF(AND(NOT(ISBLANK(ReconciliationData[[#This Row],[Billed_Units]])),ReconciliationData[[#This Row],[ordered_units]]&lt;&gt;ReconciliationData[[#This Row],[Billed_Units]]),1,0)</f>
        <v>0</v>
      </c>
      <c r="R14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1">
        <f>IF(AND(NOT(ISBLANK(ReconciliationData[[#This Row],[Contract_Price]])),ReconciliationData[[#This Row],[Billed_Price]]&lt;&gt;ReconciliationData[[#This Row],[Contract_Price]]),1,0)</f>
        <v>0</v>
      </c>
      <c r="T1491">
        <f>IF(AND(NOT(ISBLANK(ReconciliationData[[#This Row],[End_Date]])),ReconciliationData[[#This Row],[Order_Date]]&gt;ReconciliationData[[#This Row],[End_Date]]),1,0)</f>
        <v>0</v>
      </c>
      <c r="U1491">
        <f>IF(AND(NOT(ISBLANK(ReconciliationData[[#This Row],[last_return_date]])),ReconciliationData[[#This Row],[last_return_date]]&gt;ReconciliationData[[#This Row],[Order_Date]]+60),1,0)</f>
        <v>0</v>
      </c>
      <c r="V1491">
        <f>IF(ReconciliationData[[#This Row],[total_returned_units]]&gt;ReconciliationData[[#This Row],[ordered_units]],1,0)</f>
        <v>0</v>
      </c>
      <c r="W14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91">
        <f>ReconciliationData[[#This Row],[Billed_Units]]*ReconciliationData[[#This Row],[Billed_Price]]</f>
        <v>161047.98360000001</v>
      </c>
      <c r="Y1491">
        <f>ReconciliationData[[#This Row],[ordered_units]]*ReconciliationData[[#This Row],[List_Price]]</f>
        <v>161047.98360000001</v>
      </c>
      <c r="Z1491">
        <f>ReconciliationData[[#This Row],[billed_revenue]]-ReconciliationData[[#This Row],[expected_revenue]]</f>
        <v>0</v>
      </c>
      <c r="AA14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91" t="str">
        <f>IF(ReconciliationData[[#This Row],[severity_score]]=0,"LOW",
 IF(ReconciliationData[[#This Row],[severity_score]]&lt;=5,"MEDIUM","HIGH"))</f>
        <v>LOW</v>
      </c>
      <c r="AC1491" t="str">
        <f>TEXT(ReconciliationData[[#This Row],[Order_Date]],"YYYY-MM")</f>
        <v>2023-03</v>
      </c>
    </row>
    <row r="1492" spans="1:29">
      <c r="A1492" t="s">
        <v>4095</v>
      </c>
      <c r="B1492" s="1">
        <v>45548</v>
      </c>
      <c r="C1492" t="s">
        <v>4096</v>
      </c>
      <c r="D1492" t="s">
        <v>472</v>
      </c>
      <c r="E1492">
        <v>103</v>
      </c>
      <c r="F1492" t="s">
        <v>4097</v>
      </c>
      <c r="G1492">
        <v>103</v>
      </c>
      <c r="H1492">
        <v>730.7886000000002</v>
      </c>
      <c r="I1492">
        <v>13</v>
      </c>
      <c r="J1492" s="1">
        <v>45682</v>
      </c>
      <c r="N1492">
        <v>730.7886000000002</v>
      </c>
      <c r="O1492" s="1">
        <v>45099</v>
      </c>
      <c r="P1492">
        <f>IF(ISBLANK(ReconciliationData[[#This Row],[Invoice_ID]]),1,0)</f>
        <v>0</v>
      </c>
      <c r="Q1492">
        <f>IF(AND(NOT(ISBLANK(ReconciliationData[[#This Row],[Billed_Units]])),ReconciliationData[[#This Row],[ordered_units]]&lt;&gt;ReconciliationData[[#This Row],[Billed_Units]]),1,0)</f>
        <v>0</v>
      </c>
      <c r="R14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2">
        <f>IF(AND(NOT(ISBLANK(ReconciliationData[[#This Row],[Contract_Price]])),ReconciliationData[[#This Row],[Billed_Price]]&lt;&gt;ReconciliationData[[#This Row],[Contract_Price]]),1,0)</f>
        <v>0</v>
      </c>
      <c r="T1492">
        <f>IF(AND(NOT(ISBLANK(ReconciliationData[[#This Row],[End_Date]])),ReconciliationData[[#This Row],[Order_Date]]&gt;ReconciliationData[[#This Row],[End_Date]]),1,0)</f>
        <v>0</v>
      </c>
      <c r="U1492">
        <f>IF(AND(NOT(ISBLANK(ReconciliationData[[#This Row],[last_return_date]])),ReconciliationData[[#This Row],[last_return_date]]&gt;ReconciliationData[[#This Row],[Order_Date]]+60),1,0)</f>
        <v>1</v>
      </c>
      <c r="V1492">
        <f>IF(ReconciliationData[[#This Row],[total_returned_units]]&gt;ReconciliationData[[#This Row],[ordered_units]],1,0)</f>
        <v>0</v>
      </c>
      <c r="W14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92">
        <f>ReconciliationData[[#This Row],[Billed_Units]]*ReconciliationData[[#This Row],[Billed_Price]]</f>
        <v>75271.225800000015</v>
      </c>
      <c r="Y1492">
        <f>ReconciliationData[[#This Row],[ordered_units]]*ReconciliationData[[#This Row],[List_Price]]</f>
        <v>75271.225800000015</v>
      </c>
      <c r="Z1492">
        <f>ReconciliationData[[#This Row],[billed_revenue]]-ReconciliationData[[#This Row],[expected_revenue]]</f>
        <v>0</v>
      </c>
      <c r="AA14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492" t="str">
        <f>IF(ReconciliationData[[#This Row],[severity_score]]=0,"LOW",
 IF(ReconciliationData[[#This Row],[severity_score]]&lt;=5,"MEDIUM","HIGH"))</f>
        <v>MEDIUM</v>
      </c>
      <c r="AC1492" t="str">
        <f>TEXT(ReconciliationData[[#This Row],[Order_Date]],"YYYY-MM")</f>
        <v>2024-09</v>
      </c>
    </row>
    <row r="1493" spans="1:29">
      <c r="A1493" t="s">
        <v>4098</v>
      </c>
      <c r="B1493" s="1">
        <v>45523</v>
      </c>
      <c r="C1493" t="s">
        <v>4099</v>
      </c>
      <c r="D1493" t="s">
        <v>2622</v>
      </c>
      <c r="E1493">
        <v>110</v>
      </c>
      <c r="F1493" t="s">
        <v>4100</v>
      </c>
      <c r="G1493">
        <v>110</v>
      </c>
      <c r="H1493">
        <v>380.976</v>
      </c>
      <c r="N1493">
        <v>380.976</v>
      </c>
      <c r="O1493" s="1">
        <v>45172</v>
      </c>
      <c r="P1493">
        <f>IF(ISBLANK(ReconciliationData[[#This Row],[Invoice_ID]]),1,0)</f>
        <v>0</v>
      </c>
      <c r="Q1493">
        <f>IF(AND(NOT(ISBLANK(ReconciliationData[[#This Row],[Billed_Units]])),ReconciliationData[[#This Row],[ordered_units]]&lt;&gt;ReconciliationData[[#This Row],[Billed_Units]]),1,0)</f>
        <v>0</v>
      </c>
      <c r="R14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3">
        <f>IF(AND(NOT(ISBLANK(ReconciliationData[[#This Row],[Contract_Price]])),ReconciliationData[[#This Row],[Billed_Price]]&lt;&gt;ReconciliationData[[#This Row],[Contract_Price]]),1,0)</f>
        <v>0</v>
      </c>
      <c r="T1493">
        <f>IF(AND(NOT(ISBLANK(ReconciliationData[[#This Row],[End_Date]])),ReconciliationData[[#This Row],[Order_Date]]&gt;ReconciliationData[[#This Row],[End_Date]]),1,0)</f>
        <v>0</v>
      </c>
      <c r="U1493">
        <f>IF(AND(NOT(ISBLANK(ReconciliationData[[#This Row],[last_return_date]])),ReconciliationData[[#This Row],[last_return_date]]&gt;ReconciliationData[[#This Row],[Order_Date]]+60),1,0)</f>
        <v>0</v>
      </c>
      <c r="V1493">
        <f>IF(ReconciliationData[[#This Row],[total_returned_units]]&gt;ReconciliationData[[#This Row],[ordered_units]],1,0)</f>
        <v>0</v>
      </c>
      <c r="W14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93">
        <f>ReconciliationData[[#This Row],[Billed_Units]]*ReconciliationData[[#This Row],[Billed_Price]]</f>
        <v>41907.360000000001</v>
      </c>
      <c r="Y1493">
        <f>ReconciliationData[[#This Row],[ordered_units]]*ReconciliationData[[#This Row],[List_Price]]</f>
        <v>41907.360000000001</v>
      </c>
      <c r="Z1493">
        <f>ReconciliationData[[#This Row],[billed_revenue]]-ReconciliationData[[#This Row],[expected_revenue]]</f>
        <v>0</v>
      </c>
      <c r="AA14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93" t="str">
        <f>IF(ReconciliationData[[#This Row],[severity_score]]=0,"LOW",
 IF(ReconciliationData[[#This Row],[severity_score]]&lt;=5,"MEDIUM","HIGH"))</f>
        <v>LOW</v>
      </c>
      <c r="AC1493" t="str">
        <f>TEXT(ReconciliationData[[#This Row],[Order_Date]],"YYYY-MM")</f>
        <v>2024-08</v>
      </c>
    </row>
    <row r="1494" spans="1:29">
      <c r="A1494" t="s">
        <v>4101</v>
      </c>
      <c r="B1494" s="1">
        <v>45530</v>
      </c>
      <c r="C1494" t="s">
        <v>4060</v>
      </c>
      <c r="D1494" t="s">
        <v>3530</v>
      </c>
      <c r="E1494">
        <v>108</v>
      </c>
      <c r="F1494" t="s">
        <v>4102</v>
      </c>
      <c r="G1494">
        <v>108</v>
      </c>
      <c r="H1494">
        <v>143.86799999999999</v>
      </c>
      <c r="N1494">
        <v>143.86799999999999</v>
      </c>
      <c r="O1494" s="1">
        <v>45036</v>
      </c>
      <c r="P1494">
        <f>IF(ISBLANK(ReconciliationData[[#This Row],[Invoice_ID]]),1,0)</f>
        <v>0</v>
      </c>
      <c r="Q1494">
        <f>IF(AND(NOT(ISBLANK(ReconciliationData[[#This Row],[Billed_Units]])),ReconciliationData[[#This Row],[ordered_units]]&lt;&gt;ReconciliationData[[#This Row],[Billed_Units]]),1,0)</f>
        <v>0</v>
      </c>
      <c r="R14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4">
        <f>IF(AND(NOT(ISBLANK(ReconciliationData[[#This Row],[Contract_Price]])),ReconciliationData[[#This Row],[Billed_Price]]&lt;&gt;ReconciliationData[[#This Row],[Contract_Price]]),1,0)</f>
        <v>0</v>
      </c>
      <c r="T1494">
        <f>IF(AND(NOT(ISBLANK(ReconciliationData[[#This Row],[End_Date]])),ReconciliationData[[#This Row],[Order_Date]]&gt;ReconciliationData[[#This Row],[End_Date]]),1,0)</f>
        <v>0</v>
      </c>
      <c r="U1494">
        <f>IF(AND(NOT(ISBLANK(ReconciliationData[[#This Row],[last_return_date]])),ReconciliationData[[#This Row],[last_return_date]]&gt;ReconciliationData[[#This Row],[Order_Date]]+60),1,0)</f>
        <v>0</v>
      </c>
      <c r="V1494">
        <f>IF(ReconciliationData[[#This Row],[total_returned_units]]&gt;ReconciliationData[[#This Row],[ordered_units]],1,0)</f>
        <v>0</v>
      </c>
      <c r="W14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94">
        <f>ReconciliationData[[#This Row],[Billed_Units]]*ReconciliationData[[#This Row],[Billed_Price]]</f>
        <v>15537.743999999999</v>
      </c>
      <c r="Y1494">
        <f>ReconciliationData[[#This Row],[ordered_units]]*ReconciliationData[[#This Row],[List_Price]]</f>
        <v>15537.743999999999</v>
      </c>
      <c r="Z1494">
        <f>ReconciliationData[[#This Row],[billed_revenue]]-ReconciliationData[[#This Row],[expected_revenue]]</f>
        <v>0</v>
      </c>
      <c r="AA14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94" t="str">
        <f>IF(ReconciliationData[[#This Row],[severity_score]]=0,"LOW",
 IF(ReconciliationData[[#This Row],[severity_score]]&lt;=5,"MEDIUM","HIGH"))</f>
        <v>LOW</v>
      </c>
      <c r="AC1494" t="str">
        <f>TEXT(ReconciliationData[[#This Row],[Order_Date]],"YYYY-MM")</f>
        <v>2024-08</v>
      </c>
    </row>
    <row r="1495" spans="1:29">
      <c r="A1495" t="s">
        <v>4103</v>
      </c>
      <c r="B1495" s="1">
        <v>45141</v>
      </c>
      <c r="C1495" t="s">
        <v>4099</v>
      </c>
      <c r="D1495" t="s">
        <v>1775</v>
      </c>
      <c r="E1495">
        <v>96</v>
      </c>
      <c r="F1495" t="s">
        <v>4104</v>
      </c>
      <c r="G1495">
        <v>96</v>
      </c>
      <c r="H1495">
        <v>908.12130000000002</v>
      </c>
      <c r="N1495">
        <v>908.12130000000002</v>
      </c>
      <c r="O1495" s="1">
        <v>45140</v>
      </c>
      <c r="P1495">
        <f>IF(ISBLANK(ReconciliationData[[#This Row],[Invoice_ID]]),1,0)</f>
        <v>0</v>
      </c>
      <c r="Q1495">
        <f>IF(AND(NOT(ISBLANK(ReconciliationData[[#This Row],[Billed_Units]])),ReconciliationData[[#This Row],[ordered_units]]&lt;&gt;ReconciliationData[[#This Row],[Billed_Units]]),1,0)</f>
        <v>0</v>
      </c>
      <c r="R14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5">
        <f>IF(AND(NOT(ISBLANK(ReconciliationData[[#This Row],[Contract_Price]])),ReconciliationData[[#This Row],[Billed_Price]]&lt;&gt;ReconciliationData[[#This Row],[Contract_Price]]),1,0)</f>
        <v>0</v>
      </c>
      <c r="T1495">
        <f>IF(AND(NOT(ISBLANK(ReconciliationData[[#This Row],[End_Date]])),ReconciliationData[[#This Row],[Order_Date]]&gt;ReconciliationData[[#This Row],[End_Date]]),1,0)</f>
        <v>0</v>
      </c>
      <c r="U1495">
        <f>IF(AND(NOT(ISBLANK(ReconciliationData[[#This Row],[last_return_date]])),ReconciliationData[[#This Row],[last_return_date]]&gt;ReconciliationData[[#This Row],[Order_Date]]+60),1,0)</f>
        <v>0</v>
      </c>
      <c r="V1495">
        <f>IF(ReconciliationData[[#This Row],[total_returned_units]]&gt;ReconciliationData[[#This Row],[ordered_units]],1,0)</f>
        <v>0</v>
      </c>
      <c r="W14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95">
        <f>ReconciliationData[[#This Row],[Billed_Units]]*ReconciliationData[[#This Row],[Billed_Price]]</f>
        <v>87179.644800000009</v>
      </c>
      <c r="Y1495">
        <f>ReconciliationData[[#This Row],[ordered_units]]*ReconciliationData[[#This Row],[List_Price]]</f>
        <v>87179.644800000009</v>
      </c>
      <c r="Z1495">
        <f>ReconciliationData[[#This Row],[billed_revenue]]-ReconciliationData[[#This Row],[expected_revenue]]</f>
        <v>0</v>
      </c>
      <c r="AA14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95" t="str">
        <f>IF(ReconciliationData[[#This Row],[severity_score]]=0,"LOW",
 IF(ReconciliationData[[#This Row],[severity_score]]&lt;=5,"MEDIUM","HIGH"))</f>
        <v>LOW</v>
      </c>
      <c r="AC1495" t="str">
        <f>TEXT(ReconciliationData[[#This Row],[Order_Date]],"YYYY-MM")</f>
        <v>2023-08</v>
      </c>
    </row>
    <row r="1496" spans="1:29">
      <c r="A1496" t="s">
        <v>4105</v>
      </c>
      <c r="B1496" s="1">
        <v>44993</v>
      </c>
      <c r="C1496" t="s">
        <v>1856</v>
      </c>
      <c r="D1496" t="s">
        <v>596</v>
      </c>
      <c r="E1496">
        <v>195</v>
      </c>
      <c r="F1496" t="s">
        <v>4106</v>
      </c>
      <c r="G1496">
        <v>204</v>
      </c>
      <c r="H1496">
        <v>652.1472</v>
      </c>
      <c r="N1496">
        <v>652.1472</v>
      </c>
      <c r="O1496" s="1">
        <v>44959</v>
      </c>
      <c r="P1496">
        <f>IF(ISBLANK(ReconciliationData[[#This Row],[Invoice_ID]]),1,0)</f>
        <v>0</v>
      </c>
      <c r="Q1496">
        <f>IF(AND(NOT(ISBLANK(ReconciliationData[[#This Row],[Billed_Units]])),ReconciliationData[[#This Row],[ordered_units]]&lt;&gt;ReconciliationData[[#This Row],[Billed_Units]]),1,0)</f>
        <v>1</v>
      </c>
      <c r="R14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6">
        <f>IF(AND(NOT(ISBLANK(ReconciliationData[[#This Row],[Contract_Price]])),ReconciliationData[[#This Row],[Billed_Price]]&lt;&gt;ReconciliationData[[#This Row],[Contract_Price]]),1,0)</f>
        <v>0</v>
      </c>
      <c r="T1496">
        <f>IF(AND(NOT(ISBLANK(ReconciliationData[[#This Row],[End_Date]])),ReconciliationData[[#This Row],[Order_Date]]&gt;ReconciliationData[[#This Row],[End_Date]]),1,0)</f>
        <v>0</v>
      </c>
      <c r="U1496">
        <f>IF(AND(NOT(ISBLANK(ReconciliationData[[#This Row],[last_return_date]])),ReconciliationData[[#This Row],[last_return_date]]&gt;ReconciliationData[[#This Row],[Order_Date]]+60),1,0)</f>
        <v>0</v>
      </c>
      <c r="V1496">
        <f>IF(ReconciliationData[[#This Row],[total_returned_units]]&gt;ReconciliationData[[#This Row],[ordered_units]],1,0)</f>
        <v>0</v>
      </c>
      <c r="W14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496">
        <f>ReconciliationData[[#This Row],[Billed_Units]]*ReconciliationData[[#This Row],[Billed_Price]]</f>
        <v>133038.0288</v>
      </c>
      <c r="Y1496">
        <f>ReconciliationData[[#This Row],[ordered_units]]*ReconciliationData[[#This Row],[List_Price]]</f>
        <v>127168.704</v>
      </c>
      <c r="Z1496">
        <f>ReconciliationData[[#This Row],[billed_revenue]]-ReconciliationData[[#This Row],[expected_revenue]]</f>
        <v>5869.3248000000021</v>
      </c>
      <c r="AA14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496" t="str">
        <f>IF(ReconciliationData[[#This Row],[severity_score]]=0,"LOW",
 IF(ReconciliationData[[#This Row],[severity_score]]&lt;=5,"MEDIUM","HIGH"))</f>
        <v>HIGH</v>
      </c>
      <c r="AC1496" t="str">
        <f>TEXT(ReconciliationData[[#This Row],[Order_Date]],"YYYY-MM")</f>
        <v>2023-03</v>
      </c>
    </row>
    <row r="1497" spans="1:29">
      <c r="A1497" t="s">
        <v>4107</v>
      </c>
      <c r="B1497" s="1">
        <v>45230</v>
      </c>
      <c r="C1497" t="s">
        <v>2415</v>
      </c>
      <c r="D1497" t="s">
        <v>457</v>
      </c>
      <c r="E1497">
        <v>20</v>
      </c>
      <c r="F1497" t="s">
        <v>4108</v>
      </c>
      <c r="G1497">
        <v>20</v>
      </c>
      <c r="H1497">
        <v>492.38400000000001</v>
      </c>
      <c r="N1497">
        <v>492.38400000000001</v>
      </c>
      <c r="O1497" s="1">
        <v>44966</v>
      </c>
      <c r="P1497">
        <f>IF(ISBLANK(ReconciliationData[[#This Row],[Invoice_ID]]),1,0)</f>
        <v>0</v>
      </c>
      <c r="Q1497">
        <f>IF(AND(NOT(ISBLANK(ReconciliationData[[#This Row],[Billed_Units]])),ReconciliationData[[#This Row],[ordered_units]]&lt;&gt;ReconciliationData[[#This Row],[Billed_Units]]),1,0)</f>
        <v>0</v>
      </c>
      <c r="R14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7">
        <f>IF(AND(NOT(ISBLANK(ReconciliationData[[#This Row],[Contract_Price]])),ReconciliationData[[#This Row],[Billed_Price]]&lt;&gt;ReconciliationData[[#This Row],[Contract_Price]]),1,0)</f>
        <v>0</v>
      </c>
      <c r="T1497">
        <f>IF(AND(NOT(ISBLANK(ReconciliationData[[#This Row],[End_Date]])),ReconciliationData[[#This Row],[Order_Date]]&gt;ReconciliationData[[#This Row],[End_Date]]),1,0)</f>
        <v>0</v>
      </c>
      <c r="U1497">
        <f>IF(AND(NOT(ISBLANK(ReconciliationData[[#This Row],[last_return_date]])),ReconciliationData[[#This Row],[last_return_date]]&gt;ReconciliationData[[#This Row],[Order_Date]]+60),1,0)</f>
        <v>0</v>
      </c>
      <c r="V1497">
        <f>IF(ReconciliationData[[#This Row],[total_returned_units]]&gt;ReconciliationData[[#This Row],[ordered_units]],1,0)</f>
        <v>0</v>
      </c>
      <c r="W14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97">
        <f>ReconciliationData[[#This Row],[Billed_Units]]*ReconciliationData[[#This Row],[Billed_Price]]</f>
        <v>9847.68</v>
      </c>
      <c r="Y1497">
        <f>ReconciliationData[[#This Row],[ordered_units]]*ReconciliationData[[#This Row],[List_Price]]</f>
        <v>9847.68</v>
      </c>
      <c r="Z1497">
        <f>ReconciliationData[[#This Row],[billed_revenue]]-ReconciliationData[[#This Row],[expected_revenue]]</f>
        <v>0</v>
      </c>
      <c r="AA14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97" t="str">
        <f>IF(ReconciliationData[[#This Row],[severity_score]]=0,"LOW",
 IF(ReconciliationData[[#This Row],[severity_score]]&lt;=5,"MEDIUM","HIGH"))</f>
        <v>LOW</v>
      </c>
      <c r="AC1497" t="str">
        <f>TEXT(ReconciliationData[[#This Row],[Order_Date]],"YYYY-MM")</f>
        <v>2023-10</v>
      </c>
    </row>
    <row r="1498" spans="1:29">
      <c r="A1498" t="s">
        <v>4109</v>
      </c>
      <c r="B1498" s="1">
        <v>45383</v>
      </c>
      <c r="C1498" t="s">
        <v>4110</v>
      </c>
      <c r="D1498" t="s">
        <v>807</v>
      </c>
      <c r="E1498">
        <v>185</v>
      </c>
      <c r="F1498" t="s">
        <v>4111</v>
      </c>
      <c r="G1498">
        <v>185</v>
      </c>
      <c r="H1498">
        <v>383.63</v>
      </c>
      <c r="N1498">
        <v>383.63</v>
      </c>
      <c r="O1498" s="1">
        <v>45200</v>
      </c>
      <c r="P1498">
        <f>IF(ISBLANK(ReconciliationData[[#This Row],[Invoice_ID]]),1,0)</f>
        <v>0</v>
      </c>
      <c r="Q1498">
        <f>IF(AND(NOT(ISBLANK(ReconciliationData[[#This Row],[Billed_Units]])),ReconciliationData[[#This Row],[ordered_units]]&lt;&gt;ReconciliationData[[#This Row],[Billed_Units]]),1,0)</f>
        <v>0</v>
      </c>
      <c r="R14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8">
        <f>IF(AND(NOT(ISBLANK(ReconciliationData[[#This Row],[Contract_Price]])),ReconciliationData[[#This Row],[Billed_Price]]&lt;&gt;ReconciliationData[[#This Row],[Contract_Price]]),1,0)</f>
        <v>0</v>
      </c>
      <c r="T1498">
        <f>IF(AND(NOT(ISBLANK(ReconciliationData[[#This Row],[End_Date]])),ReconciliationData[[#This Row],[Order_Date]]&gt;ReconciliationData[[#This Row],[End_Date]]),1,0)</f>
        <v>0</v>
      </c>
      <c r="U1498">
        <f>IF(AND(NOT(ISBLANK(ReconciliationData[[#This Row],[last_return_date]])),ReconciliationData[[#This Row],[last_return_date]]&gt;ReconciliationData[[#This Row],[Order_Date]]+60),1,0)</f>
        <v>0</v>
      </c>
      <c r="V1498">
        <f>IF(ReconciliationData[[#This Row],[total_returned_units]]&gt;ReconciliationData[[#This Row],[ordered_units]],1,0)</f>
        <v>0</v>
      </c>
      <c r="W14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98">
        <f>ReconciliationData[[#This Row],[Billed_Units]]*ReconciliationData[[#This Row],[Billed_Price]]</f>
        <v>70971.55</v>
      </c>
      <c r="Y1498">
        <f>ReconciliationData[[#This Row],[ordered_units]]*ReconciliationData[[#This Row],[List_Price]]</f>
        <v>70971.55</v>
      </c>
      <c r="Z1498">
        <f>ReconciliationData[[#This Row],[billed_revenue]]-ReconciliationData[[#This Row],[expected_revenue]]</f>
        <v>0</v>
      </c>
      <c r="AA14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98" t="str">
        <f>IF(ReconciliationData[[#This Row],[severity_score]]=0,"LOW",
 IF(ReconciliationData[[#This Row],[severity_score]]&lt;=5,"MEDIUM","HIGH"))</f>
        <v>LOW</v>
      </c>
      <c r="AC1498" t="str">
        <f>TEXT(ReconciliationData[[#This Row],[Order_Date]],"YYYY-MM")</f>
        <v>2024-04</v>
      </c>
    </row>
    <row r="1499" spans="1:29">
      <c r="A1499" t="s">
        <v>4112</v>
      </c>
      <c r="B1499" s="1">
        <v>45094</v>
      </c>
      <c r="C1499" t="s">
        <v>521</v>
      </c>
      <c r="D1499" t="s">
        <v>548</v>
      </c>
      <c r="E1499">
        <v>39</v>
      </c>
      <c r="F1499" t="s">
        <v>4113</v>
      </c>
      <c r="G1499">
        <v>39</v>
      </c>
      <c r="H1499">
        <v>1072.1079000000002</v>
      </c>
      <c r="N1499">
        <v>1072.1079000000002</v>
      </c>
      <c r="O1499" s="1">
        <v>45035</v>
      </c>
      <c r="P1499">
        <f>IF(ISBLANK(ReconciliationData[[#This Row],[Invoice_ID]]),1,0)</f>
        <v>0</v>
      </c>
      <c r="Q1499">
        <f>IF(AND(NOT(ISBLANK(ReconciliationData[[#This Row],[Billed_Units]])),ReconciliationData[[#This Row],[ordered_units]]&lt;&gt;ReconciliationData[[#This Row],[Billed_Units]]),1,0)</f>
        <v>0</v>
      </c>
      <c r="R14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499">
        <f>IF(AND(NOT(ISBLANK(ReconciliationData[[#This Row],[Contract_Price]])),ReconciliationData[[#This Row],[Billed_Price]]&lt;&gt;ReconciliationData[[#This Row],[Contract_Price]]),1,0)</f>
        <v>0</v>
      </c>
      <c r="T1499">
        <f>IF(AND(NOT(ISBLANK(ReconciliationData[[#This Row],[End_Date]])),ReconciliationData[[#This Row],[Order_Date]]&gt;ReconciliationData[[#This Row],[End_Date]]),1,0)</f>
        <v>0</v>
      </c>
      <c r="U1499">
        <f>IF(AND(NOT(ISBLANK(ReconciliationData[[#This Row],[last_return_date]])),ReconciliationData[[#This Row],[last_return_date]]&gt;ReconciliationData[[#This Row],[Order_Date]]+60),1,0)</f>
        <v>0</v>
      </c>
      <c r="V1499">
        <f>IF(ReconciliationData[[#This Row],[total_returned_units]]&gt;ReconciliationData[[#This Row],[ordered_units]],1,0)</f>
        <v>0</v>
      </c>
      <c r="W14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499">
        <f>ReconciliationData[[#This Row],[Billed_Units]]*ReconciliationData[[#This Row],[Billed_Price]]</f>
        <v>41812.208100000011</v>
      </c>
      <c r="Y1499">
        <f>ReconciliationData[[#This Row],[ordered_units]]*ReconciliationData[[#This Row],[List_Price]]</f>
        <v>41812.208100000011</v>
      </c>
      <c r="Z1499">
        <f>ReconciliationData[[#This Row],[billed_revenue]]-ReconciliationData[[#This Row],[expected_revenue]]</f>
        <v>0</v>
      </c>
      <c r="AA14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499" t="str">
        <f>IF(ReconciliationData[[#This Row],[severity_score]]=0,"LOW",
 IF(ReconciliationData[[#This Row],[severity_score]]&lt;=5,"MEDIUM","HIGH"))</f>
        <v>LOW</v>
      </c>
      <c r="AC1499" t="str">
        <f>TEXT(ReconciliationData[[#This Row],[Order_Date]],"YYYY-MM")</f>
        <v>2023-06</v>
      </c>
    </row>
    <row r="1500" spans="1:29">
      <c r="A1500" t="s">
        <v>4114</v>
      </c>
      <c r="B1500" s="1">
        <v>45607</v>
      </c>
      <c r="C1500" t="s">
        <v>1558</v>
      </c>
      <c r="D1500" t="s">
        <v>525</v>
      </c>
      <c r="E1500">
        <v>157</v>
      </c>
      <c r="F1500" t="s">
        <v>4115</v>
      </c>
      <c r="G1500">
        <v>157</v>
      </c>
      <c r="H1500">
        <v>249.1748</v>
      </c>
      <c r="I1500">
        <v>10</v>
      </c>
      <c r="J1500" s="1">
        <v>45643</v>
      </c>
      <c r="N1500">
        <v>249.1748</v>
      </c>
      <c r="O1500" s="1">
        <v>45141</v>
      </c>
      <c r="P1500">
        <f>IF(ISBLANK(ReconciliationData[[#This Row],[Invoice_ID]]),1,0)</f>
        <v>0</v>
      </c>
      <c r="Q1500">
        <f>IF(AND(NOT(ISBLANK(ReconciliationData[[#This Row],[Billed_Units]])),ReconciliationData[[#This Row],[ordered_units]]&lt;&gt;ReconciliationData[[#This Row],[Billed_Units]]),1,0)</f>
        <v>0</v>
      </c>
      <c r="R15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00">
        <f>IF(AND(NOT(ISBLANK(ReconciliationData[[#This Row],[Contract_Price]])),ReconciliationData[[#This Row],[Billed_Price]]&lt;&gt;ReconciliationData[[#This Row],[Contract_Price]]),1,0)</f>
        <v>0</v>
      </c>
      <c r="T1500">
        <f>IF(AND(NOT(ISBLANK(ReconciliationData[[#This Row],[End_Date]])),ReconciliationData[[#This Row],[Order_Date]]&gt;ReconciliationData[[#This Row],[End_Date]]),1,0)</f>
        <v>0</v>
      </c>
      <c r="U1500">
        <f>IF(AND(NOT(ISBLANK(ReconciliationData[[#This Row],[last_return_date]])),ReconciliationData[[#This Row],[last_return_date]]&gt;ReconciliationData[[#This Row],[Order_Date]]+60),1,0)</f>
        <v>0</v>
      </c>
      <c r="V1500">
        <f>IF(ReconciliationData[[#This Row],[total_returned_units]]&gt;ReconciliationData[[#This Row],[ordered_units]],1,0)</f>
        <v>0</v>
      </c>
      <c r="W15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00">
        <f>ReconciliationData[[#This Row],[Billed_Units]]*ReconciliationData[[#This Row],[Billed_Price]]</f>
        <v>39120.443599999999</v>
      </c>
      <c r="Y1500">
        <f>ReconciliationData[[#This Row],[ordered_units]]*ReconciliationData[[#This Row],[List_Price]]</f>
        <v>39120.443599999999</v>
      </c>
      <c r="Z1500">
        <f>ReconciliationData[[#This Row],[billed_revenue]]-ReconciliationData[[#This Row],[expected_revenue]]</f>
        <v>0</v>
      </c>
      <c r="AA15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00" t="str">
        <f>IF(ReconciliationData[[#This Row],[severity_score]]=0,"LOW",
 IF(ReconciliationData[[#This Row],[severity_score]]&lt;=5,"MEDIUM","HIGH"))</f>
        <v>LOW</v>
      </c>
      <c r="AC1500" t="str">
        <f>TEXT(ReconciliationData[[#This Row],[Order_Date]],"YYYY-MM")</f>
        <v>2024-11</v>
      </c>
    </row>
    <row r="1501" spans="1:29">
      <c r="A1501" t="s">
        <v>4116</v>
      </c>
      <c r="B1501" s="1">
        <v>45389</v>
      </c>
      <c r="C1501" t="s">
        <v>4117</v>
      </c>
      <c r="D1501" t="s">
        <v>2682</v>
      </c>
      <c r="E1501">
        <v>187</v>
      </c>
      <c r="F1501" t="s">
        <v>4118</v>
      </c>
      <c r="G1501">
        <v>187</v>
      </c>
      <c r="H1501">
        <v>1032.7408</v>
      </c>
      <c r="N1501">
        <v>1032.7408</v>
      </c>
      <c r="O1501" s="1">
        <v>45077</v>
      </c>
      <c r="P1501">
        <f>IF(ISBLANK(ReconciliationData[[#This Row],[Invoice_ID]]),1,0)</f>
        <v>0</v>
      </c>
      <c r="Q1501">
        <f>IF(AND(NOT(ISBLANK(ReconciliationData[[#This Row],[Billed_Units]])),ReconciliationData[[#This Row],[ordered_units]]&lt;&gt;ReconciliationData[[#This Row],[Billed_Units]]),1,0)</f>
        <v>0</v>
      </c>
      <c r="R15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01">
        <f>IF(AND(NOT(ISBLANK(ReconciliationData[[#This Row],[Contract_Price]])),ReconciliationData[[#This Row],[Billed_Price]]&lt;&gt;ReconciliationData[[#This Row],[Contract_Price]]),1,0)</f>
        <v>0</v>
      </c>
      <c r="T1501">
        <f>IF(AND(NOT(ISBLANK(ReconciliationData[[#This Row],[End_Date]])),ReconciliationData[[#This Row],[Order_Date]]&gt;ReconciliationData[[#This Row],[End_Date]]),1,0)</f>
        <v>0</v>
      </c>
      <c r="U1501">
        <f>IF(AND(NOT(ISBLANK(ReconciliationData[[#This Row],[last_return_date]])),ReconciliationData[[#This Row],[last_return_date]]&gt;ReconciliationData[[#This Row],[Order_Date]]+60),1,0)</f>
        <v>0</v>
      </c>
      <c r="V1501">
        <f>IF(ReconciliationData[[#This Row],[total_returned_units]]&gt;ReconciliationData[[#This Row],[ordered_units]],1,0)</f>
        <v>0</v>
      </c>
      <c r="W15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01">
        <f>ReconciliationData[[#This Row],[Billed_Units]]*ReconciliationData[[#This Row],[Billed_Price]]</f>
        <v>193122.52960000001</v>
      </c>
      <c r="Y1501">
        <f>ReconciliationData[[#This Row],[ordered_units]]*ReconciliationData[[#This Row],[List_Price]]</f>
        <v>193122.52960000001</v>
      </c>
      <c r="Z1501">
        <f>ReconciliationData[[#This Row],[billed_revenue]]-ReconciliationData[[#This Row],[expected_revenue]]</f>
        <v>0</v>
      </c>
      <c r="AA15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01" t="str">
        <f>IF(ReconciliationData[[#This Row],[severity_score]]=0,"LOW",
 IF(ReconciliationData[[#This Row],[severity_score]]&lt;=5,"MEDIUM","HIGH"))</f>
        <v>LOW</v>
      </c>
      <c r="AC1501" t="str">
        <f>TEXT(ReconciliationData[[#This Row],[Order_Date]],"YYYY-MM")</f>
        <v>2024-04</v>
      </c>
    </row>
    <row r="1502" spans="1:29">
      <c r="A1502" t="s">
        <v>4119</v>
      </c>
      <c r="B1502" s="1">
        <v>45005</v>
      </c>
      <c r="C1502" t="s">
        <v>2217</v>
      </c>
      <c r="D1502" t="s">
        <v>1671</v>
      </c>
      <c r="E1502">
        <v>82</v>
      </c>
      <c r="F1502" t="s">
        <v>4120</v>
      </c>
      <c r="G1502">
        <v>82</v>
      </c>
      <c r="H1502">
        <v>466.18778227584994</v>
      </c>
      <c r="N1502">
        <v>465.6096</v>
      </c>
      <c r="O1502" s="1">
        <v>44810</v>
      </c>
      <c r="P1502">
        <f>IF(ISBLANK(ReconciliationData[[#This Row],[Invoice_ID]]),1,0)</f>
        <v>0</v>
      </c>
      <c r="Q1502">
        <f>IF(AND(NOT(ISBLANK(ReconciliationData[[#This Row],[Billed_Units]])),ReconciliationData[[#This Row],[ordered_units]]&lt;&gt;ReconciliationData[[#This Row],[Billed_Units]]),1,0)</f>
        <v>0</v>
      </c>
      <c r="R150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502">
        <f>IF(AND(NOT(ISBLANK(ReconciliationData[[#This Row],[Contract_Price]])),ReconciliationData[[#This Row],[Billed_Price]]&lt;&gt;ReconciliationData[[#This Row],[Contract_Price]]),1,0)</f>
        <v>0</v>
      </c>
      <c r="T1502">
        <f>IF(AND(NOT(ISBLANK(ReconciliationData[[#This Row],[End_Date]])),ReconciliationData[[#This Row],[Order_Date]]&gt;ReconciliationData[[#This Row],[End_Date]]),1,0)</f>
        <v>0</v>
      </c>
      <c r="U1502">
        <f>IF(AND(NOT(ISBLANK(ReconciliationData[[#This Row],[last_return_date]])),ReconciliationData[[#This Row],[last_return_date]]&gt;ReconciliationData[[#This Row],[Order_Date]]+60),1,0)</f>
        <v>0</v>
      </c>
      <c r="V1502">
        <f>IF(ReconciliationData[[#This Row],[total_returned_units]]&gt;ReconciliationData[[#This Row],[ordered_units]],1,0)</f>
        <v>0</v>
      </c>
      <c r="W15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02">
        <f>ReconciliationData[[#This Row],[Billed_Units]]*ReconciliationData[[#This Row],[Billed_Price]]</f>
        <v>38227.398146619693</v>
      </c>
      <c r="Y1502">
        <f>ReconciliationData[[#This Row],[ordered_units]]*ReconciliationData[[#This Row],[List_Price]]</f>
        <v>38179.987200000003</v>
      </c>
      <c r="Z1502">
        <f>ReconciliationData[[#This Row],[billed_revenue]]-ReconciliationData[[#This Row],[expected_revenue]]</f>
        <v>47.410946619689639</v>
      </c>
      <c r="AA15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502" t="str">
        <f>IF(ReconciliationData[[#This Row],[severity_score]]=0,"LOW",
 IF(ReconciliationData[[#This Row],[severity_score]]&lt;=5,"MEDIUM","HIGH"))</f>
        <v>MEDIUM</v>
      </c>
      <c r="AC1502" t="str">
        <f>TEXT(ReconciliationData[[#This Row],[Order_Date]],"YYYY-MM")</f>
        <v>2023-03</v>
      </c>
    </row>
    <row r="1503" spans="1:29">
      <c r="A1503" t="s">
        <v>4121</v>
      </c>
      <c r="B1503" s="1">
        <v>45307</v>
      </c>
      <c r="C1503" t="s">
        <v>897</v>
      </c>
      <c r="D1503" t="s">
        <v>1654</v>
      </c>
      <c r="E1503">
        <v>38</v>
      </c>
      <c r="F1503" t="s">
        <v>4122</v>
      </c>
      <c r="G1503">
        <v>38</v>
      </c>
      <c r="H1503">
        <v>1197.9306999999999</v>
      </c>
      <c r="N1503">
        <v>1197.9306999999999</v>
      </c>
      <c r="O1503" s="1">
        <v>45089</v>
      </c>
      <c r="P1503">
        <f>IF(ISBLANK(ReconciliationData[[#This Row],[Invoice_ID]]),1,0)</f>
        <v>0</v>
      </c>
      <c r="Q1503">
        <f>IF(AND(NOT(ISBLANK(ReconciliationData[[#This Row],[Billed_Units]])),ReconciliationData[[#This Row],[ordered_units]]&lt;&gt;ReconciliationData[[#This Row],[Billed_Units]]),1,0)</f>
        <v>0</v>
      </c>
      <c r="R15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03">
        <f>IF(AND(NOT(ISBLANK(ReconciliationData[[#This Row],[Contract_Price]])),ReconciliationData[[#This Row],[Billed_Price]]&lt;&gt;ReconciliationData[[#This Row],[Contract_Price]]),1,0)</f>
        <v>0</v>
      </c>
      <c r="T1503">
        <f>IF(AND(NOT(ISBLANK(ReconciliationData[[#This Row],[End_Date]])),ReconciliationData[[#This Row],[Order_Date]]&gt;ReconciliationData[[#This Row],[End_Date]]),1,0)</f>
        <v>0</v>
      </c>
      <c r="U1503">
        <f>IF(AND(NOT(ISBLANK(ReconciliationData[[#This Row],[last_return_date]])),ReconciliationData[[#This Row],[last_return_date]]&gt;ReconciliationData[[#This Row],[Order_Date]]+60),1,0)</f>
        <v>0</v>
      </c>
      <c r="V1503">
        <f>IF(ReconciliationData[[#This Row],[total_returned_units]]&gt;ReconciliationData[[#This Row],[ordered_units]],1,0)</f>
        <v>0</v>
      </c>
      <c r="W15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03">
        <f>ReconciliationData[[#This Row],[Billed_Units]]*ReconciliationData[[#This Row],[Billed_Price]]</f>
        <v>45521.366599999994</v>
      </c>
      <c r="Y1503">
        <f>ReconciliationData[[#This Row],[ordered_units]]*ReconciliationData[[#This Row],[List_Price]]</f>
        <v>45521.366599999994</v>
      </c>
      <c r="Z1503">
        <f>ReconciliationData[[#This Row],[billed_revenue]]-ReconciliationData[[#This Row],[expected_revenue]]</f>
        <v>0</v>
      </c>
      <c r="AA15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03" t="str">
        <f>IF(ReconciliationData[[#This Row],[severity_score]]=0,"LOW",
 IF(ReconciliationData[[#This Row],[severity_score]]&lt;=5,"MEDIUM","HIGH"))</f>
        <v>LOW</v>
      </c>
      <c r="AC1503" t="str">
        <f>TEXT(ReconciliationData[[#This Row],[Order_Date]],"YYYY-MM")</f>
        <v>2024-01</v>
      </c>
    </row>
    <row r="1504" spans="1:29">
      <c r="A1504" t="s">
        <v>4123</v>
      </c>
      <c r="B1504" s="1">
        <v>45158</v>
      </c>
      <c r="C1504" t="s">
        <v>4124</v>
      </c>
      <c r="D1504" t="s">
        <v>1555</v>
      </c>
      <c r="E1504">
        <v>175</v>
      </c>
      <c r="F1504" t="s">
        <v>4125</v>
      </c>
      <c r="G1504">
        <v>175</v>
      </c>
      <c r="H1504">
        <v>850.16200000000003</v>
      </c>
      <c r="N1504">
        <v>850.16200000000003</v>
      </c>
      <c r="O1504" s="1">
        <v>45099</v>
      </c>
      <c r="P1504">
        <f>IF(ISBLANK(ReconciliationData[[#This Row],[Invoice_ID]]),1,0)</f>
        <v>0</v>
      </c>
      <c r="Q1504">
        <f>IF(AND(NOT(ISBLANK(ReconciliationData[[#This Row],[Billed_Units]])),ReconciliationData[[#This Row],[ordered_units]]&lt;&gt;ReconciliationData[[#This Row],[Billed_Units]]),1,0)</f>
        <v>0</v>
      </c>
      <c r="R15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04">
        <f>IF(AND(NOT(ISBLANK(ReconciliationData[[#This Row],[Contract_Price]])),ReconciliationData[[#This Row],[Billed_Price]]&lt;&gt;ReconciliationData[[#This Row],[Contract_Price]]),1,0)</f>
        <v>0</v>
      </c>
      <c r="T1504">
        <f>IF(AND(NOT(ISBLANK(ReconciliationData[[#This Row],[End_Date]])),ReconciliationData[[#This Row],[Order_Date]]&gt;ReconciliationData[[#This Row],[End_Date]]),1,0)</f>
        <v>0</v>
      </c>
      <c r="U1504">
        <f>IF(AND(NOT(ISBLANK(ReconciliationData[[#This Row],[last_return_date]])),ReconciliationData[[#This Row],[last_return_date]]&gt;ReconciliationData[[#This Row],[Order_Date]]+60),1,0)</f>
        <v>0</v>
      </c>
      <c r="V1504">
        <f>IF(ReconciliationData[[#This Row],[total_returned_units]]&gt;ReconciliationData[[#This Row],[ordered_units]],1,0)</f>
        <v>0</v>
      </c>
      <c r="W15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04">
        <f>ReconciliationData[[#This Row],[Billed_Units]]*ReconciliationData[[#This Row],[Billed_Price]]</f>
        <v>148778.35</v>
      </c>
      <c r="Y1504">
        <f>ReconciliationData[[#This Row],[ordered_units]]*ReconciliationData[[#This Row],[List_Price]]</f>
        <v>148778.35</v>
      </c>
      <c r="Z1504">
        <f>ReconciliationData[[#This Row],[billed_revenue]]-ReconciliationData[[#This Row],[expected_revenue]]</f>
        <v>0</v>
      </c>
      <c r="AA15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04" t="str">
        <f>IF(ReconciliationData[[#This Row],[severity_score]]=0,"LOW",
 IF(ReconciliationData[[#This Row],[severity_score]]&lt;=5,"MEDIUM","HIGH"))</f>
        <v>LOW</v>
      </c>
      <c r="AC1504" t="str">
        <f>TEXT(ReconciliationData[[#This Row],[Order_Date]],"YYYY-MM")</f>
        <v>2023-08</v>
      </c>
    </row>
    <row r="1505" spans="1:29">
      <c r="A1505" t="s">
        <v>4126</v>
      </c>
      <c r="B1505" s="1">
        <v>45393</v>
      </c>
      <c r="C1505" t="s">
        <v>1588</v>
      </c>
      <c r="D1505" t="s">
        <v>589</v>
      </c>
      <c r="E1505">
        <v>169</v>
      </c>
      <c r="F1505" t="s">
        <v>4127</v>
      </c>
      <c r="G1505">
        <v>169</v>
      </c>
      <c r="H1505">
        <v>1085.8974999999998</v>
      </c>
      <c r="N1505">
        <v>1085.8974999999998</v>
      </c>
      <c r="O1505" s="1">
        <v>45147</v>
      </c>
      <c r="P1505">
        <f>IF(ISBLANK(ReconciliationData[[#This Row],[Invoice_ID]]),1,0)</f>
        <v>0</v>
      </c>
      <c r="Q1505">
        <f>IF(AND(NOT(ISBLANK(ReconciliationData[[#This Row],[Billed_Units]])),ReconciliationData[[#This Row],[ordered_units]]&lt;&gt;ReconciliationData[[#This Row],[Billed_Units]]),1,0)</f>
        <v>0</v>
      </c>
      <c r="R15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05">
        <f>IF(AND(NOT(ISBLANK(ReconciliationData[[#This Row],[Contract_Price]])),ReconciliationData[[#This Row],[Billed_Price]]&lt;&gt;ReconciliationData[[#This Row],[Contract_Price]]),1,0)</f>
        <v>0</v>
      </c>
      <c r="T1505">
        <f>IF(AND(NOT(ISBLANK(ReconciliationData[[#This Row],[End_Date]])),ReconciliationData[[#This Row],[Order_Date]]&gt;ReconciliationData[[#This Row],[End_Date]]),1,0)</f>
        <v>0</v>
      </c>
      <c r="U1505">
        <f>IF(AND(NOT(ISBLANK(ReconciliationData[[#This Row],[last_return_date]])),ReconciliationData[[#This Row],[last_return_date]]&gt;ReconciliationData[[#This Row],[Order_Date]]+60),1,0)</f>
        <v>0</v>
      </c>
      <c r="V1505">
        <f>IF(ReconciliationData[[#This Row],[total_returned_units]]&gt;ReconciliationData[[#This Row],[ordered_units]],1,0)</f>
        <v>0</v>
      </c>
      <c r="W15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05">
        <f>ReconciliationData[[#This Row],[Billed_Units]]*ReconciliationData[[#This Row],[Billed_Price]]</f>
        <v>183516.67749999996</v>
      </c>
      <c r="Y1505">
        <f>ReconciliationData[[#This Row],[ordered_units]]*ReconciliationData[[#This Row],[List_Price]]</f>
        <v>183516.67749999996</v>
      </c>
      <c r="Z1505">
        <f>ReconciliationData[[#This Row],[billed_revenue]]-ReconciliationData[[#This Row],[expected_revenue]]</f>
        <v>0</v>
      </c>
      <c r="AA15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05" t="str">
        <f>IF(ReconciliationData[[#This Row],[severity_score]]=0,"LOW",
 IF(ReconciliationData[[#This Row],[severity_score]]&lt;=5,"MEDIUM","HIGH"))</f>
        <v>LOW</v>
      </c>
      <c r="AC1505" t="str">
        <f>TEXT(ReconciliationData[[#This Row],[Order_Date]],"YYYY-MM")</f>
        <v>2024-04</v>
      </c>
    </row>
    <row r="1506" spans="1:29">
      <c r="A1506" t="s">
        <v>4128</v>
      </c>
      <c r="B1506" s="1">
        <v>45601</v>
      </c>
      <c r="C1506" t="s">
        <v>4129</v>
      </c>
      <c r="D1506" t="s">
        <v>2035</v>
      </c>
      <c r="E1506">
        <v>13</v>
      </c>
      <c r="F1506" t="s">
        <v>4130</v>
      </c>
      <c r="G1506">
        <v>13</v>
      </c>
      <c r="H1506">
        <v>1160.71</v>
      </c>
      <c r="N1506">
        <v>1160.71</v>
      </c>
      <c r="O1506" s="1">
        <v>44964</v>
      </c>
      <c r="P1506">
        <f>IF(ISBLANK(ReconciliationData[[#This Row],[Invoice_ID]]),1,0)</f>
        <v>0</v>
      </c>
      <c r="Q1506">
        <f>IF(AND(NOT(ISBLANK(ReconciliationData[[#This Row],[Billed_Units]])),ReconciliationData[[#This Row],[ordered_units]]&lt;&gt;ReconciliationData[[#This Row],[Billed_Units]]),1,0)</f>
        <v>0</v>
      </c>
      <c r="R15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06">
        <f>IF(AND(NOT(ISBLANK(ReconciliationData[[#This Row],[Contract_Price]])),ReconciliationData[[#This Row],[Billed_Price]]&lt;&gt;ReconciliationData[[#This Row],[Contract_Price]]),1,0)</f>
        <v>0</v>
      </c>
      <c r="T1506">
        <f>IF(AND(NOT(ISBLANK(ReconciliationData[[#This Row],[End_Date]])),ReconciliationData[[#This Row],[Order_Date]]&gt;ReconciliationData[[#This Row],[End_Date]]),1,0)</f>
        <v>0</v>
      </c>
      <c r="U1506">
        <f>IF(AND(NOT(ISBLANK(ReconciliationData[[#This Row],[last_return_date]])),ReconciliationData[[#This Row],[last_return_date]]&gt;ReconciliationData[[#This Row],[Order_Date]]+60),1,0)</f>
        <v>0</v>
      </c>
      <c r="V1506">
        <f>IF(ReconciliationData[[#This Row],[total_returned_units]]&gt;ReconciliationData[[#This Row],[ordered_units]],1,0)</f>
        <v>0</v>
      </c>
      <c r="W15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06">
        <f>ReconciliationData[[#This Row],[Billed_Units]]*ReconciliationData[[#This Row],[Billed_Price]]</f>
        <v>15089.23</v>
      </c>
      <c r="Y1506">
        <f>ReconciliationData[[#This Row],[ordered_units]]*ReconciliationData[[#This Row],[List_Price]]</f>
        <v>15089.23</v>
      </c>
      <c r="Z1506">
        <f>ReconciliationData[[#This Row],[billed_revenue]]-ReconciliationData[[#This Row],[expected_revenue]]</f>
        <v>0</v>
      </c>
      <c r="AA15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06" t="str">
        <f>IF(ReconciliationData[[#This Row],[severity_score]]=0,"LOW",
 IF(ReconciliationData[[#This Row],[severity_score]]&lt;=5,"MEDIUM","HIGH"))</f>
        <v>LOW</v>
      </c>
      <c r="AC1506" t="str">
        <f>TEXT(ReconciliationData[[#This Row],[Order_Date]],"YYYY-MM")</f>
        <v>2024-11</v>
      </c>
    </row>
    <row r="1507" spans="1:29">
      <c r="A1507" t="s">
        <v>4131</v>
      </c>
      <c r="B1507" s="1">
        <v>44956</v>
      </c>
      <c r="C1507" t="s">
        <v>1801</v>
      </c>
      <c r="D1507" t="s">
        <v>2045</v>
      </c>
      <c r="E1507">
        <v>74</v>
      </c>
      <c r="F1507" t="s">
        <v>4132</v>
      </c>
      <c r="G1507">
        <v>74</v>
      </c>
      <c r="H1507">
        <v>952.9855</v>
      </c>
      <c r="I1507">
        <v>13</v>
      </c>
      <c r="J1507" s="1">
        <v>45436</v>
      </c>
      <c r="N1507">
        <v>952.9855</v>
      </c>
      <c r="O1507" s="1">
        <v>44820</v>
      </c>
      <c r="P1507">
        <f>IF(ISBLANK(ReconciliationData[[#This Row],[Invoice_ID]]),1,0)</f>
        <v>0</v>
      </c>
      <c r="Q1507">
        <f>IF(AND(NOT(ISBLANK(ReconciliationData[[#This Row],[Billed_Units]])),ReconciliationData[[#This Row],[ordered_units]]&lt;&gt;ReconciliationData[[#This Row],[Billed_Units]]),1,0)</f>
        <v>0</v>
      </c>
      <c r="R15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07">
        <f>IF(AND(NOT(ISBLANK(ReconciliationData[[#This Row],[Contract_Price]])),ReconciliationData[[#This Row],[Billed_Price]]&lt;&gt;ReconciliationData[[#This Row],[Contract_Price]]),1,0)</f>
        <v>0</v>
      </c>
      <c r="T1507">
        <f>IF(AND(NOT(ISBLANK(ReconciliationData[[#This Row],[End_Date]])),ReconciliationData[[#This Row],[Order_Date]]&gt;ReconciliationData[[#This Row],[End_Date]]),1,0)</f>
        <v>0</v>
      </c>
      <c r="U1507">
        <f>IF(AND(NOT(ISBLANK(ReconciliationData[[#This Row],[last_return_date]])),ReconciliationData[[#This Row],[last_return_date]]&gt;ReconciliationData[[#This Row],[Order_Date]]+60),1,0)</f>
        <v>1</v>
      </c>
      <c r="V1507">
        <f>IF(ReconciliationData[[#This Row],[total_returned_units]]&gt;ReconciliationData[[#This Row],[ordered_units]],1,0)</f>
        <v>0</v>
      </c>
      <c r="W15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07">
        <f>ReconciliationData[[#This Row],[Billed_Units]]*ReconciliationData[[#This Row],[Billed_Price]]</f>
        <v>70520.926999999996</v>
      </c>
      <c r="Y1507">
        <f>ReconciliationData[[#This Row],[ordered_units]]*ReconciliationData[[#This Row],[List_Price]]</f>
        <v>70520.926999999996</v>
      </c>
      <c r="Z1507">
        <f>ReconciliationData[[#This Row],[billed_revenue]]-ReconciliationData[[#This Row],[expected_revenue]]</f>
        <v>0</v>
      </c>
      <c r="AA15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507" t="str">
        <f>IF(ReconciliationData[[#This Row],[severity_score]]=0,"LOW",
 IF(ReconciliationData[[#This Row],[severity_score]]&lt;=5,"MEDIUM","HIGH"))</f>
        <v>MEDIUM</v>
      </c>
      <c r="AC1507" t="str">
        <f>TEXT(ReconciliationData[[#This Row],[Order_Date]],"YYYY-MM")</f>
        <v>2023-01</v>
      </c>
    </row>
    <row r="1508" spans="1:29">
      <c r="A1508" t="s">
        <v>4133</v>
      </c>
      <c r="B1508" s="1">
        <v>45487</v>
      </c>
      <c r="C1508" t="s">
        <v>3749</v>
      </c>
      <c r="D1508" t="s">
        <v>556</v>
      </c>
      <c r="E1508">
        <v>69</v>
      </c>
      <c r="F1508" t="s">
        <v>4134</v>
      </c>
      <c r="G1508">
        <v>69</v>
      </c>
      <c r="H1508">
        <v>664.57040000000006</v>
      </c>
      <c r="N1508">
        <v>664.57040000000006</v>
      </c>
      <c r="O1508" s="1">
        <v>45066</v>
      </c>
      <c r="P1508">
        <f>IF(ISBLANK(ReconciliationData[[#This Row],[Invoice_ID]]),1,0)</f>
        <v>0</v>
      </c>
      <c r="Q1508">
        <f>IF(AND(NOT(ISBLANK(ReconciliationData[[#This Row],[Billed_Units]])),ReconciliationData[[#This Row],[ordered_units]]&lt;&gt;ReconciliationData[[#This Row],[Billed_Units]]),1,0)</f>
        <v>0</v>
      </c>
      <c r="R15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08">
        <f>IF(AND(NOT(ISBLANK(ReconciliationData[[#This Row],[Contract_Price]])),ReconciliationData[[#This Row],[Billed_Price]]&lt;&gt;ReconciliationData[[#This Row],[Contract_Price]]),1,0)</f>
        <v>0</v>
      </c>
      <c r="T1508">
        <f>IF(AND(NOT(ISBLANK(ReconciliationData[[#This Row],[End_Date]])),ReconciliationData[[#This Row],[Order_Date]]&gt;ReconciliationData[[#This Row],[End_Date]]),1,0)</f>
        <v>0</v>
      </c>
      <c r="U1508">
        <f>IF(AND(NOT(ISBLANK(ReconciliationData[[#This Row],[last_return_date]])),ReconciliationData[[#This Row],[last_return_date]]&gt;ReconciliationData[[#This Row],[Order_Date]]+60),1,0)</f>
        <v>0</v>
      </c>
      <c r="V1508">
        <f>IF(ReconciliationData[[#This Row],[total_returned_units]]&gt;ReconciliationData[[#This Row],[ordered_units]],1,0)</f>
        <v>0</v>
      </c>
      <c r="W15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08">
        <f>ReconciliationData[[#This Row],[Billed_Units]]*ReconciliationData[[#This Row],[Billed_Price]]</f>
        <v>45855.357600000003</v>
      </c>
      <c r="Y1508">
        <f>ReconciliationData[[#This Row],[ordered_units]]*ReconciliationData[[#This Row],[List_Price]]</f>
        <v>45855.357600000003</v>
      </c>
      <c r="Z1508">
        <f>ReconciliationData[[#This Row],[billed_revenue]]-ReconciliationData[[#This Row],[expected_revenue]]</f>
        <v>0</v>
      </c>
      <c r="AA15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08" t="str">
        <f>IF(ReconciliationData[[#This Row],[severity_score]]=0,"LOW",
 IF(ReconciliationData[[#This Row],[severity_score]]&lt;=5,"MEDIUM","HIGH"))</f>
        <v>LOW</v>
      </c>
      <c r="AC1508" t="str">
        <f>TEXT(ReconciliationData[[#This Row],[Order_Date]],"YYYY-MM")</f>
        <v>2024-07</v>
      </c>
    </row>
    <row r="1509" spans="1:29">
      <c r="A1509" t="s">
        <v>4135</v>
      </c>
      <c r="B1509" s="1">
        <v>45509</v>
      </c>
      <c r="C1509" t="s">
        <v>528</v>
      </c>
      <c r="D1509" t="s">
        <v>658</v>
      </c>
      <c r="E1509">
        <v>199</v>
      </c>
      <c r="F1509" t="s">
        <v>4136</v>
      </c>
      <c r="G1509">
        <v>199</v>
      </c>
      <c r="H1509">
        <v>88.578000000000003</v>
      </c>
      <c r="N1509">
        <v>88.578000000000003</v>
      </c>
      <c r="O1509" s="1">
        <v>45107</v>
      </c>
      <c r="P1509">
        <f>IF(ISBLANK(ReconciliationData[[#This Row],[Invoice_ID]]),1,0)</f>
        <v>0</v>
      </c>
      <c r="Q1509">
        <f>IF(AND(NOT(ISBLANK(ReconciliationData[[#This Row],[Billed_Units]])),ReconciliationData[[#This Row],[ordered_units]]&lt;&gt;ReconciliationData[[#This Row],[Billed_Units]]),1,0)</f>
        <v>0</v>
      </c>
      <c r="R15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09">
        <f>IF(AND(NOT(ISBLANK(ReconciliationData[[#This Row],[Contract_Price]])),ReconciliationData[[#This Row],[Billed_Price]]&lt;&gt;ReconciliationData[[#This Row],[Contract_Price]]),1,0)</f>
        <v>0</v>
      </c>
      <c r="T1509">
        <f>IF(AND(NOT(ISBLANK(ReconciliationData[[#This Row],[End_Date]])),ReconciliationData[[#This Row],[Order_Date]]&gt;ReconciliationData[[#This Row],[End_Date]]),1,0)</f>
        <v>0</v>
      </c>
      <c r="U1509">
        <f>IF(AND(NOT(ISBLANK(ReconciliationData[[#This Row],[last_return_date]])),ReconciliationData[[#This Row],[last_return_date]]&gt;ReconciliationData[[#This Row],[Order_Date]]+60),1,0)</f>
        <v>0</v>
      </c>
      <c r="V1509">
        <f>IF(ReconciliationData[[#This Row],[total_returned_units]]&gt;ReconciliationData[[#This Row],[ordered_units]],1,0)</f>
        <v>0</v>
      </c>
      <c r="W15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09">
        <f>ReconciliationData[[#This Row],[Billed_Units]]*ReconciliationData[[#This Row],[Billed_Price]]</f>
        <v>17627.022000000001</v>
      </c>
      <c r="Y1509">
        <f>ReconciliationData[[#This Row],[ordered_units]]*ReconciliationData[[#This Row],[List_Price]]</f>
        <v>17627.022000000001</v>
      </c>
      <c r="Z1509">
        <f>ReconciliationData[[#This Row],[billed_revenue]]-ReconciliationData[[#This Row],[expected_revenue]]</f>
        <v>0</v>
      </c>
      <c r="AA15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09" t="str">
        <f>IF(ReconciliationData[[#This Row],[severity_score]]=0,"LOW",
 IF(ReconciliationData[[#This Row],[severity_score]]&lt;=5,"MEDIUM","HIGH"))</f>
        <v>LOW</v>
      </c>
      <c r="AC1509" t="str">
        <f>TEXT(ReconciliationData[[#This Row],[Order_Date]],"YYYY-MM")</f>
        <v>2024-08</v>
      </c>
    </row>
    <row r="1510" spans="1:29">
      <c r="A1510" t="s">
        <v>4137</v>
      </c>
      <c r="B1510" s="1">
        <v>44986</v>
      </c>
      <c r="C1510" t="s">
        <v>1475</v>
      </c>
      <c r="D1510" t="s">
        <v>2187</v>
      </c>
      <c r="E1510">
        <v>90</v>
      </c>
      <c r="F1510" t="s">
        <v>4138</v>
      </c>
      <c r="G1510">
        <v>90</v>
      </c>
      <c r="H1510">
        <v>230.52</v>
      </c>
      <c r="I1510">
        <v>8</v>
      </c>
      <c r="J1510" s="1">
        <v>45251</v>
      </c>
      <c r="N1510">
        <v>230.52</v>
      </c>
      <c r="O1510" s="1">
        <v>44711</v>
      </c>
      <c r="P1510">
        <f>IF(ISBLANK(ReconciliationData[[#This Row],[Invoice_ID]]),1,0)</f>
        <v>0</v>
      </c>
      <c r="Q1510">
        <f>IF(AND(NOT(ISBLANK(ReconciliationData[[#This Row],[Billed_Units]])),ReconciliationData[[#This Row],[ordered_units]]&lt;&gt;ReconciliationData[[#This Row],[Billed_Units]]),1,0)</f>
        <v>0</v>
      </c>
      <c r="R15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10">
        <f>IF(AND(NOT(ISBLANK(ReconciliationData[[#This Row],[Contract_Price]])),ReconciliationData[[#This Row],[Billed_Price]]&lt;&gt;ReconciliationData[[#This Row],[Contract_Price]]),1,0)</f>
        <v>0</v>
      </c>
      <c r="T1510">
        <f>IF(AND(NOT(ISBLANK(ReconciliationData[[#This Row],[End_Date]])),ReconciliationData[[#This Row],[Order_Date]]&gt;ReconciliationData[[#This Row],[End_Date]]),1,0)</f>
        <v>0</v>
      </c>
      <c r="U1510">
        <f>IF(AND(NOT(ISBLANK(ReconciliationData[[#This Row],[last_return_date]])),ReconciliationData[[#This Row],[last_return_date]]&gt;ReconciliationData[[#This Row],[Order_Date]]+60),1,0)</f>
        <v>1</v>
      </c>
      <c r="V1510">
        <f>IF(ReconciliationData[[#This Row],[total_returned_units]]&gt;ReconciliationData[[#This Row],[ordered_units]],1,0)</f>
        <v>0</v>
      </c>
      <c r="W15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10">
        <f>ReconciliationData[[#This Row],[Billed_Units]]*ReconciliationData[[#This Row],[Billed_Price]]</f>
        <v>20746.8</v>
      </c>
      <c r="Y1510">
        <f>ReconciliationData[[#This Row],[ordered_units]]*ReconciliationData[[#This Row],[List_Price]]</f>
        <v>20746.8</v>
      </c>
      <c r="Z1510">
        <f>ReconciliationData[[#This Row],[billed_revenue]]-ReconciliationData[[#This Row],[expected_revenue]]</f>
        <v>0</v>
      </c>
      <c r="AA15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510" t="str">
        <f>IF(ReconciliationData[[#This Row],[severity_score]]=0,"LOW",
 IF(ReconciliationData[[#This Row],[severity_score]]&lt;=5,"MEDIUM","HIGH"))</f>
        <v>MEDIUM</v>
      </c>
      <c r="AC1510" t="str">
        <f>TEXT(ReconciliationData[[#This Row],[Order_Date]],"YYYY-MM")</f>
        <v>2023-03</v>
      </c>
    </row>
    <row r="1511" spans="1:29">
      <c r="A1511" t="s">
        <v>4139</v>
      </c>
      <c r="B1511" s="1">
        <v>45433</v>
      </c>
      <c r="C1511" t="s">
        <v>996</v>
      </c>
      <c r="D1511" t="s">
        <v>1171</v>
      </c>
      <c r="E1511">
        <v>94</v>
      </c>
      <c r="F1511" t="s">
        <v>4140</v>
      </c>
      <c r="G1511">
        <v>94</v>
      </c>
      <c r="H1511">
        <v>435.57279999999997</v>
      </c>
      <c r="N1511">
        <v>435.57279999999997</v>
      </c>
      <c r="O1511" s="1">
        <v>45159</v>
      </c>
      <c r="P1511">
        <f>IF(ISBLANK(ReconciliationData[[#This Row],[Invoice_ID]]),1,0)</f>
        <v>0</v>
      </c>
      <c r="Q1511">
        <f>IF(AND(NOT(ISBLANK(ReconciliationData[[#This Row],[Billed_Units]])),ReconciliationData[[#This Row],[ordered_units]]&lt;&gt;ReconciliationData[[#This Row],[Billed_Units]]),1,0)</f>
        <v>0</v>
      </c>
      <c r="R15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11">
        <f>IF(AND(NOT(ISBLANK(ReconciliationData[[#This Row],[Contract_Price]])),ReconciliationData[[#This Row],[Billed_Price]]&lt;&gt;ReconciliationData[[#This Row],[Contract_Price]]),1,0)</f>
        <v>0</v>
      </c>
      <c r="T1511">
        <f>IF(AND(NOT(ISBLANK(ReconciliationData[[#This Row],[End_Date]])),ReconciliationData[[#This Row],[Order_Date]]&gt;ReconciliationData[[#This Row],[End_Date]]),1,0)</f>
        <v>0</v>
      </c>
      <c r="U1511">
        <f>IF(AND(NOT(ISBLANK(ReconciliationData[[#This Row],[last_return_date]])),ReconciliationData[[#This Row],[last_return_date]]&gt;ReconciliationData[[#This Row],[Order_Date]]+60),1,0)</f>
        <v>0</v>
      </c>
      <c r="V1511">
        <f>IF(ReconciliationData[[#This Row],[total_returned_units]]&gt;ReconciliationData[[#This Row],[ordered_units]],1,0)</f>
        <v>0</v>
      </c>
      <c r="W15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11">
        <f>ReconciliationData[[#This Row],[Billed_Units]]*ReconciliationData[[#This Row],[Billed_Price]]</f>
        <v>40943.843199999996</v>
      </c>
      <c r="Y1511">
        <f>ReconciliationData[[#This Row],[ordered_units]]*ReconciliationData[[#This Row],[List_Price]]</f>
        <v>40943.843199999996</v>
      </c>
      <c r="Z1511">
        <f>ReconciliationData[[#This Row],[billed_revenue]]-ReconciliationData[[#This Row],[expected_revenue]]</f>
        <v>0</v>
      </c>
      <c r="AA15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11" t="str">
        <f>IF(ReconciliationData[[#This Row],[severity_score]]=0,"LOW",
 IF(ReconciliationData[[#This Row],[severity_score]]&lt;=5,"MEDIUM","HIGH"))</f>
        <v>LOW</v>
      </c>
      <c r="AC1511" t="str">
        <f>TEXT(ReconciliationData[[#This Row],[Order_Date]],"YYYY-MM")</f>
        <v>2024-05</v>
      </c>
    </row>
    <row r="1512" spans="1:29">
      <c r="A1512" t="s">
        <v>4141</v>
      </c>
      <c r="B1512" s="1">
        <v>45262</v>
      </c>
      <c r="C1512" t="s">
        <v>2336</v>
      </c>
      <c r="D1512" t="s">
        <v>873</v>
      </c>
      <c r="E1512">
        <v>76</v>
      </c>
      <c r="F1512" t="s">
        <v>4142</v>
      </c>
      <c r="G1512">
        <v>76</v>
      </c>
      <c r="H1512">
        <v>956.41030000000001</v>
      </c>
      <c r="N1512">
        <v>956.41030000000001</v>
      </c>
      <c r="O1512" s="1">
        <v>45168</v>
      </c>
      <c r="P1512">
        <f>IF(ISBLANK(ReconciliationData[[#This Row],[Invoice_ID]]),1,0)</f>
        <v>0</v>
      </c>
      <c r="Q1512">
        <f>IF(AND(NOT(ISBLANK(ReconciliationData[[#This Row],[Billed_Units]])),ReconciliationData[[#This Row],[ordered_units]]&lt;&gt;ReconciliationData[[#This Row],[Billed_Units]]),1,0)</f>
        <v>0</v>
      </c>
      <c r="R15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12">
        <f>IF(AND(NOT(ISBLANK(ReconciliationData[[#This Row],[Contract_Price]])),ReconciliationData[[#This Row],[Billed_Price]]&lt;&gt;ReconciliationData[[#This Row],[Contract_Price]]),1,0)</f>
        <v>0</v>
      </c>
      <c r="T1512">
        <f>IF(AND(NOT(ISBLANK(ReconciliationData[[#This Row],[End_Date]])),ReconciliationData[[#This Row],[Order_Date]]&gt;ReconciliationData[[#This Row],[End_Date]]),1,0)</f>
        <v>0</v>
      </c>
      <c r="U1512">
        <f>IF(AND(NOT(ISBLANK(ReconciliationData[[#This Row],[last_return_date]])),ReconciliationData[[#This Row],[last_return_date]]&gt;ReconciliationData[[#This Row],[Order_Date]]+60),1,0)</f>
        <v>0</v>
      </c>
      <c r="V1512">
        <f>IF(ReconciliationData[[#This Row],[total_returned_units]]&gt;ReconciliationData[[#This Row],[ordered_units]],1,0)</f>
        <v>0</v>
      </c>
      <c r="W15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12">
        <f>ReconciliationData[[#This Row],[Billed_Units]]*ReconciliationData[[#This Row],[Billed_Price]]</f>
        <v>72687.182799999995</v>
      </c>
      <c r="Y1512">
        <f>ReconciliationData[[#This Row],[ordered_units]]*ReconciliationData[[#This Row],[List_Price]]</f>
        <v>72687.182799999995</v>
      </c>
      <c r="Z1512">
        <f>ReconciliationData[[#This Row],[billed_revenue]]-ReconciliationData[[#This Row],[expected_revenue]]</f>
        <v>0</v>
      </c>
      <c r="AA15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12" t="str">
        <f>IF(ReconciliationData[[#This Row],[severity_score]]=0,"LOW",
 IF(ReconciliationData[[#This Row],[severity_score]]&lt;=5,"MEDIUM","HIGH"))</f>
        <v>LOW</v>
      </c>
      <c r="AC1512" t="str">
        <f>TEXT(ReconciliationData[[#This Row],[Order_Date]],"YYYY-MM")</f>
        <v>2023-12</v>
      </c>
    </row>
    <row r="1513" spans="1:29">
      <c r="A1513" t="s">
        <v>4143</v>
      </c>
      <c r="B1513" s="1">
        <v>45125</v>
      </c>
      <c r="C1513" t="s">
        <v>1685</v>
      </c>
      <c r="D1513" t="s">
        <v>1285</v>
      </c>
      <c r="E1513">
        <v>45</v>
      </c>
      <c r="F1513" t="s">
        <v>4144</v>
      </c>
      <c r="G1513">
        <v>45</v>
      </c>
      <c r="H1513">
        <v>399.4169</v>
      </c>
      <c r="N1513">
        <v>399.4169</v>
      </c>
      <c r="O1513" s="1">
        <v>45020</v>
      </c>
      <c r="P1513">
        <f>IF(ISBLANK(ReconciliationData[[#This Row],[Invoice_ID]]),1,0)</f>
        <v>0</v>
      </c>
      <c r="Q1513">
        <f>IF(AND(NOT(ISBLANK(ReconciliationData[[#This Row],[Billed_Units]])),ReconciliationData[[#This Row],[ordered_units]]&lt;&gt;ReconciliationData[[#This Row],[Billed_Units]]),1,0)</f>
        <v>0</v>
      </c>
      <c r="R15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13">
        <f>IF(AND(NOT(ISBLANK(ReconciliationData[[#This Row],[Contract_Price]])),ReconciliationData[[#This Row],[Billed_Price]]&lt;&gt;ReconciliationData[[#This Row],[Contract_Price]]),1,0)</f>
        <v>0</v>
      </c>
      <c r="T1513">
        <f>IF(AND(NOT(ISBLANK(ReconciliationData[[#This Row],[End_Date]])),ReconciliationData[[#This Row],[Order_Date]]&gt;ReconciliationData[[#This Row],[End_Date]]),1,0)</f>
        <v>0</v>
      </c>
      <c r="U1513">
        <f>IF(AND(NOT(ISBLANK(ReconciliationData[[#This Row],[last_return_date]])),ReconciliationData[[#This Row],[last_return_date]]&gt;ReconciliationData[[#This Row],[Order_Date]]+60),1,0)</f>
        <v>0</v>
      </c>
      <c r="V1513">
        <f>IF(ReconciliationData[[#This Row],[total_returned_units]]&gt;ReconciliationData[[#This Row],[ordered_units]],1,0)</f>
        <v>0</v>
      </c>
      <c r="W15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13">
        <f>ReconciliationData[[#This Row],[Billed_Units]]*ReconciliationData[[#This Row],[Billed_Price]]</f>
        <v>17973.7605</v>
      </c>
      <c r="Y1513">
        <f>ReconciliationData[[#This Row],[ordered_units]]*ReconciliationData[[#This Row],[List_Price]]</f>
        <v>17973.7605</v>
      </c>
      <c r="Z1513">
        <f>ReconciliationData[[#This Row],[billed_revenue]]-ReconciliationData[[#This Row],[expected_revenue]]</f>
        <v>0</v>
      </c>
      <c r="AA15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13" t="str">
        <f>IF(ReconciliationData[[#This Row],[severity_score]]=0,"LOW",
 IF(ReconciliationData[[#This Row],[severity_score]]&lt;=5,"MEDIUM","HIGH"))</f>
        <v>LOW</v>
      </c>
      <c r="AC1513" t="str">
        <f>TEXT(ReconciliationData[[#This Row],[Order_Date]],"YYYY-MM")</f>
        <v>2023-07</v>
      </c>
    </row>
    <row r="1514" spans="1:29">
      <c r="A1514" t="s">
        <v>4145</v>
      </c>
      <c r="B1514" s="1">
        <v>45242</v>
      </c>
      <c r="C1514" t="s">
        <v>1731</v>
      </c>
      <c r="D1514" t="s">
        <v>3409</v>
      </c>
      <c r="E1514">
        <v>185</v>
      </c>
      <c r="F1514" t="s">
        <v>4146</v>
      </c>
      <c r="G1514">
        <v>185</v>
      </c>
      <c r="H1514">
        <v>104.9652</v>
      </c>
      <c r="N1514">
        <v>104.9652</v>
      </c>
      <c r="O1514" s="1">
        <v>45066</v>
      </c>
      <c r="P1514">
        <f>IF(ISBLANK(ReconciliationData[[#This Row],[Invoice_ID]]),1,0)</f>
        <v>0</v>
      </c>
      <c r="Q1514">
        <f>IF(AND(NOT(ISBLANK(ReconciliationData[[#This Row],[Billed_Units]])),ReconciliationData[[#This Row],[ordered_units]]&lt;&gt;ReconciliationData[[#This Row],[Billed_Units]]),1,0)</f>
        <v>0</v>
      </c>
      <c r="R15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14">
        <f>IF(AND(NOT(ISBLANK(ReconciliationData[[#This Row],[Contract_Price]])),ReconciliationData[[#This Row],[Billed_Price]]&lt;&gt;ReconciliationData[[#This Row],[Contract_Price]]),1,0)</f>
        <v>0</v>
      </c>
      <c r="T1514">
        <f>IF(AND(NOT(ISBLANK(ReconciliationData[[#This Row],[End_Date]])),ReconciliationData[[#This Row],[Order_Date]]&gt;ReconciliationData[[#This Row],[End_Date]]),1,0)</f>
        <v>0</v>
      </c>
      <c r="U1514">
        <f>IF(AND(NOT(ISBLANK(ReconciliationData[[#This Row],[last_return_date]])),ReconciliationData[[#This Row],[last_return_date]]&gt;ReconciliationData[[#This Row],[Order_Date]]+60),1,0)</f>
        <v>0</v>
      </c>
      <c r="V1514">
        <f>IF(ReconciliationData[[#This Row],[total_returned_units]]&gt;ReconciliationData[[#This Row],[ordered_units]],1,0)</f>
        <v>0</v>
      </c>
      <c r="W15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14">
        <f>ReconciliationData[[#This Row],[Billed_Units]]*ReconciliationData[[#This Row],[Billed_Price]]</f>
        <v>19418.561999999998</v>
      </c>
      <c r="Y1514">
        <f>ReconciliationData[[#This Row],[ordered_units]]*ReconciliationData[[#This Row],[List_Price]]</f>
        <v>19418.561999999998</v>
      </c>
      <c r="Z1514">
        <f>ReconciliationData[[#This Row],[billed_revenue]]-ReconciliationData[[#This Row],[expected_revenue]]</f>
        <v>0</v>
      </c>
      <c r="AA15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14" t="str">
        <f>IF(ReconciliationData[[#This Row],[severity_score]]=0,"LOW",
 IF(ReconciliationData[[#This Row],[severity_score]]&lt;=5,"MEDIUM","HIGH"))</f>
        <v>LOW</v>
      </c>
      <c r="AC1514" t="str">
        <f>TEXT(ReconciliationData[[#This Row],[Order_Date]],"YYYY-MM")</f>
        <v>2023-11</v>
      </c>
    </row>
    <row r="1515" spans="1:29">
      <c r="A1515" t="s">
        <v>4147</v>
      </c>
      <c r="B1515" s="1">
        <v>45120</v>
      </c>
      <c r="C1515" t="s">
        <v>687</v>
      </c>
      <c r="D1515" t="s">
        <v>912</v>
      </c>
      <c r="E1515">
        <v>91</v>
      </c>
      <c r="F1515" t="s">
        <v>4148</v>
      </c>
      <c r="G1515">
        <v>91</v>
      </c>
      <c r="H1515">
        <v>376.38049999999998</v>
      </c>
      <c r="N1515">
        <v>376.38049999999998</v>
      </c>
      <c r="O1515" s="1">
        <v>44984</v>
      </c>
      <c r="P1515">
        <f>IF(ISBLANK(ReconciliationData[[#This Row],[Invoice_ID]]),1,0)</f>
        <v>0</v>
      </c>
      <c r="Q1515">
        <f>IF(AND(NOT(ISBLANK(ReconciliationData[[#This Row],[Billed_Units]])),ReconciliationData[[#This Row],[ordered_units]]&lt;&gt;ReconciliationData[[#This Row],[Billed_Units]]),1,0)</f>
        <v>0</v>
      </c>
      <c r="R15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15">
        <f>IF(AND(NOT(ISBLANK(ReconciliationData[[#This Row],[Contract_Price]])),ReconciliationData[[#This Row],[Billed_Price]]&lt;&gt;ReconciliationData[[#This Row],[Contract_Price]]),1,0)</f>
        <v>0</v>
      </c>
      <c r="T1515">
        <f>IF(AND(NOT(ISBLANK(ReconciliationData[[#This Row],[End_Date]])),ReconciliationData[[#This Row],[Order_Date]]&gt;ReconciliationData[[#This Row],[End_Date]]),1,0)</f>
        <v>0</v>
      </c>
      <c r="U1515">
        <f>IF(AND(NOT(ISBLANK(ReconciliationData[[#This Row],[last_return_date]])),ReconciliationData[[#This Row],[last_return_date]]&gt;ReconciliationData[[#This Row],[Order_Date]]+60),1,0)</f>
        <v>0</v>
      </c>
      <c r="V1515">
        <f>IF(ReconciliationData[[#This Row],[total_returned_units]]&gt;ReconciliationData[[#This Row],[ordered_units]],1,0)</f>
        <v>0</v>
      </c>
      <c r="W15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15">
        <f>ReconciliationData[[#This Row],[Billed_Units]]*ReconciliationData[[#This Row],[Billed_Price]]</f>
        <v>34250.625500000002</v>
      </c>
      <c r="Y1515">
        <f>ReconciliationData[[#This Row],[ordered_units]]*ReconciliationData[[#This Row],[List_Price]]</f>
        <v>34250.625500000002</v>
      </c>
      <c r="Z1515">
        <f>ReconciliationData[[#This Row],[billed_revenue]]-ReconciliationData[[#This Row],[expected_revenue]]</f>
        <v>0</v>
      </c>
      <c r="AA15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15" t="str">
        <f>IF(ReconciliationData[[#This Row],[severity_score]]=0,"LOW",
 IF(ReconciliationData[[#This Row],[severity_score]]&lt;=5,"MEDIUM","HIGH"))</f>
        <v>LOW</v>
      </c>
      <c r="AC1515" t="str">
        <f>TEXT(ReconciliationData[[#This Row],[Order_Date]],"YYYY-MM")</f>
        <v>2023-07</v>
      </c>
    </row>
    <row r="1516" spans="1:29">
      <c r="A1516" t="s">
        <v>4149</v>
      </c>
      <c r="B1516" s="1">
        <v>45554</v>
      </c>
      <c r="C1516" t="s">
        <v>1768</v>
      </c>
      <c r="D1516" t="s">
        <v>1333</v>
      </c>
      <c r="E1516">
        <v>26</v>
      </c>
      <c r="F1516" t="s">
        <v>4150</v>
      </c>
      <c r="G1516">
        <v>26</v>
      </c>
      <c r="H1516">
        <v>419.62068108319448</v>
      </c>
      <c r="N1516">
        <v>418.93040000000002</v>
      </c>
      <c r="O1516" s="1">
        <v>45214</v>
      </c>
      <c r="P1516">
        <f>IF(ISBLANK(ReconciliationData[[#This Row],[Invoice_ID]]),1,0)</f>
        <v>0</v>
      </c>
      <c r="Q1516">
        <f>IF(AND(NOT(ISBLANK(ReconciliationData[[#This Row],[Billed_Units]])),ReconciliationData[[#This Row],[ordered_units]]&lt;&gt;ReconciliationData[[#This Row],[Billed_Units]]),1,0)</f>
        <v>0</v>
      </c>
      <c r="R151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516">
        <f>IF(AND(NOT(ISBLANK(ReconciliationData[[#This Row],[Contract_Price]])),ReconciliationData[[#This Row],[Billed_Price]]&lt;&gt;ReconciliationData[[#This Row],[Contract_Price]]),1,0)</f>
        <v>0</v>
      </c>
      <c r="T1516">
        <f>IF(AND(NOT(ISBLANK(ReconciliationData[[#This Row],[End_Date]])),ReconciliationData[[#This Row],[Order_Date]]&gt;ReconciliationData[[#This Row],[End_Date]]),1,0)</f>
        <v>0</v>
      </c>
      <c r="U1516">
        <f>IF(AND(NOT(ISBLANK(ReconciliationData[[#This Row],[last_return_date]])),ReconciliationData[[#This Row],[last_return_date]]&gt;ReconciliationData[[#This Row],[Order_Date]]+60),1,0)</f>
        <v>0</v>
      </c>
      <c r="V1516">
        <f>IF(ReconciliationData[[#This Row],[total_returned_units]]&gt;ReconciliationData[[#This Row],[ordered_units]],1,0)</f>
        <v>0</v>
      </c>
      <c r="W15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16">
        <f>ReconciliationData[[#This Row],[Billed_Units]]*ReconciliationData[[#This Row],[Billed_Price]]</f>
        <v>10910.137708163056</v>
      </c>
      <c r="Y1516">
        <f>ReconciliationData[[#This Row],[ordered_units]]*ReconciliationData[[#This Row],[List_Price]]</f>
        <v>10892.190400000001</v>
      </c>
      <c r="Z1516">
        <f>ReconciliationData[[#This Row],[billed_revenue]]-ReconciliationData[[#This Row],[expected_revenue]]</f>
        <v>17.947308163054913</v>
      </c>
      <c r="AA15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516" t="str">
        <f>IF(ReconciliationData[[#This Row],[severity_score]]=0,"LOW",
 IF(ReconciliationData[[#This Row],[severity_score]]&lt;=5,"MEDIUM","HIGH"))</f>
        <v>MEDIUM</v>
      </c>
      <c r="AC1516" t="str">
        <f>TEXT(ReconciliationData[[#This Row],[Order_Date]],"YYYY-MM")</f>
        <v>2024-09</v>
      </c>
    </row>
    <row r="1517" spans="1:29">
      <c r="A1517" t="s">
        <v>4151</v>
      </c>
      <c r="B1517" s="1">
        <v>44973</v>
      </c>
      <c r="C1517" t="s">
        <v>1588</v>
      </c>
      <c r="D1517" t="s">
        <v>529</v>
      </c>
      <c r="E1517">
        <v>36</v>
      </c>
      <c r="F1517" t="s">
        <v>4152</v>
      </c>
      <c r="G1517">
        <v>36</v>
      </c>
      <c r="H1517">
        <v>554.83000000000004</v>
      </c>
      <c r="N1517">
        <v>554.83000000000004</v>
      </c>
      <c r="O1517" s="1">
        <v>44749</v>
      </c>
      <c r="P1517">
        <f>IF(ISBLANK(ReconciliationData[[#This Row],[Invoice_ID]]),1,0)</f>
        <v>0</v>
      </c>
      <c r="Q1517">
        <f>IF(AND(NOT(ISBLANK(ReconciliationData[[#This Row],[Billed_Units]])),ReconciliationData[[#This Row],[ordered_units]]&lt;&gt;ReconciliationData[[#This Row],[Billed_Units]]),1,0)</f>
        <v>0</v>
      </c>
      <c r="R15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17">
        <f>IF(AND(NOT(ISBLANK(ReconciliationData[[#This Row],[Contract_Price]])),ReconciliationData[[#This Row],[Billed_Price]]&lt;&gt;ReconciliationData[[#This Row],[Contract_Price]]),1,0)</f>
        <v>0</v>
      </c>
      <c r="T1517">
        <f>IF(AND(NOT(ISBLANK(ReconciliationData[[#This Row],[End_Date]])),ReconciliationData[[#This Row],[Order_Date]]&gt;ReconciliationData[[#This Row],[End_Date]]),1,0)</f>
        <v>0</v>
      </c>
      <c r="U1517">
        <f>IF(AND(NOT(ISBLANK(ReconciliationData[[#This Row],[last_return_date]])),ReconciliationData[[#This Row],[last_return_date]]&gt;ReconciliationData[[#This Row],[Order_Date]]+60),1,0)</f>
        <v>0</v>
      </c>
      <c r="V1517">
        <f>IF(ReconciliationData[[#This Row],[total_returned_units]]&gt;ReconciliationData[[#This Row],[ordered_units]],1,0)</f>
        <v>0</v>
      </c>
      <c r="W15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17">
        <f>ReconciliationData[[#This Row],[Billed_Units]]*ReconciliationData[[#This Row],[Billed_Price]]</f>
        <v>19973.88</v>
      </c>
      <c r="Y1517">
        <f>ReconciliationData[[#This Row],[ordered_units]]*ReconciliationData[[#This Row],[List_Price]]</f>
        <v>19973.88</v>
      </c>
      <c r="Z1517">
        <f>ReconciliationData[[#This Row],[billed_revenue]]-ReconciliationData[[#This Row],[expected_revenue]]</f>
        <v>0</v>
      </c>
      <c r="AA15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17" t="str">
        <f>IF(ReconciliationData[[#This Row],[severity_score]]=0,"LOW",
 IF(ReconciliationData[[#This Row],[severity_score]]&lt;=5,"MEDIUM","HIGH"))</f>
        <v>LOW</v>
      </c>
      <c r="AC1517" t="str">
        <f>TEXT(ReconciliationData[[#This Row],[Order_Date]],"YYYY-MM")</f>
        <v>2023-02</v>
      </c>
    </row>
    <row r="1518" spans="1:29">
      <c r="A1518" t="s">
        <v>4153</v>
      </c>
      <c r="B1518" s="1">
        <v>44991</v>
      </c>
      <c r="C1518" t="s">
        <v>352</v>
      </c>
      <c r="D1518" t="s">
        <v>2331</v>
      </c>
      <c r="E1518">
        <v>168</v>
      </c>
      <c r="F1518" t="s">
        <v>4154</v>
      </c>
      <c r="G1518">
        <v>168</v>
      </c>
      <c r="H1518">
        <v>1012.3984</v>
      </c>
      <c r="N1518">
        <v>1012.3984</v>
      </c>
      <c r="O1518" s="1">
        <v>44798</v>
      </c>
      <c r="P1518">
        <f>IF(ISBLANK(ReconciliationData[[#This Row],[Invoice_ID]]),1,0)</f>
        <v>0</v>
      </c>
      <c r="Q1518">
        <f>IF(AND(NOT(ISBLANK(ReconciliationData[[#This Row],[Billed_Units]])),ReconciliationData[[#This Row],[ordered_units]]&lt;&gt;ReconciliationData[[#This Row],[Billed_Units]]),1,0)</f>
        <v>0</v>
      </c>
      <c r="R15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18">
        <f>IF(AND(NOT(ISBLANK(ReconciliationData[[#This Row],[Contract_Price]])),ReconciliationData[[#This Row],[Billed_Price]]&lt;&gt;ReconciliationData[[#This Row],[Contract_Price]]),1,0)</f>
        <v>0</v>
      </c>
      <c r="T1518">
        <f>IF(AND(NOT(ISBLANK(ReconciliationData[[#This Row],[End_Date]])),ReconciliationData[[#This Row],[Order_Date]]&gt;ReconciliationData[[#This Row],[End_Date]]),1,0)</f>
        <v>0</v>
      </c>
      <c r="U1518">
        <f>IF(AND(NOT(ISBLANK(ReconciliationData[[#This Row],[last_return_date]])),ReconciliationData[[#This Row],[last_return_date]]&gt;ReconciliationData[[#This Row],[Order_Date]]+60),1,0)</f>
        <v>0</v>
      </c>
      <c r="V1518">
        <f>IF(ReconciliationData[[#This Row],[total_returned_units]]&gt;ReconciliationData[[#This Row],[ordered_units]],1,0)</f>
        <v>0</v>
      </c>
      <c r="W15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18">
        <f>ReconciliationData[[#This Row],[Billed_Units]]*ReconciliationData[[#This Row],[Billed_Price]]</f>
        <v>170082.93119999999</v>
      </c>
      <c r="Y1518">
        <f>ReconciliationData[[#This Row],[ordered_units]]*ReconciliationData[[#This Row],[List_Price]]</f>
        <v>170082.93119999999</v>
      </c>
      <c r="Z1518">
        <f>ReconciliationData[[#This Row],[billed_revenue]]-ReconciliationData[[#This Row],[expected_revenue]]</f>
        <v>0</v>
      </c>
      <c r="AA15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18" t="str">
        <f>IF(ReconciliationData[[#This Row],[severity_score]]=0,"LOW",
 IF(ReconciliationData[[#This Row],[severity_score]]&lt;=5,"MEDIUM","HIGH"))</f>
        <v>LOW</v>
      </c>
      <c r="AC1518" t="str">
        <f>TEXT(ReconciliationData[[#This Row],[Order_Date]],"YYYY-MM")</f>
        <v>2023-03</v>
      </c>
    </row>
    <row r="1519" spans="1:29">
      <c r="A1519" t="s">
        <v>4155</v>
      </c>
      <c r="B1519" s="1">
        <v>45360</v>
      </c>
      <c r="C1519" t="s">
        <v>3039</v>
      </c>
      <c r="D1519" t="s">
        <v>2050</v>
      </c>
      <c r="E1519">
        <v>11</v>
      </c>
      <c r="F1519" t="s">
        <v>4156</v>
      </c>
      <c r="G1519">
        <v>15</v>
      </c>
      <c r="H1519">
        <v>994.85640000000001</v>
      </c>
      <c r="I1519">
        <v>14</v>
      </c>
      <c r="J1519" s="1">
        <v>45489</v>
      </c>
      <c r="N1519">
        <v>994.85640000000001</v>
      </c>
      <c r="O1519" s="1">
        <v>45149</v>
      </c>
      <c r="P1519">
        <f>IF(ISBLANK(ReconciliationData[[#This Row],[Invoice_ID]]),1,0)</f>
        <v>0</v>
      </c>
      <c r="Q1519">
        <f>IF(AND(NOT(ISBLANK(ReconciliationData[[#This Row],[Billed_Units]])),ReconciliationData[[#This Row],[ordered_units]]&lt;&gt;ReconciliationData[[#This Row],[Billed_Units]]),1,0)</f>
        <v>1</v>
      </c>
      <c r="R15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19">
        <f>IF(AND(NOT(ISBLANK(ReconciliationData[[#This Row],[Contract_Price]])),ReconciliationData[[#This Row],[Billed_Price]]&lt;&gt;ReconciliationData[[#This Row],[Contract_Price]]),1,0)</f>
        <v>0</v>
      </c>
      <c r="T1519">
        <f>IF(AND(NOT(ISBLANK(ReconciliationData[[#This Row],[End_Date]])),ReconciliationData[[#This Row],[Order_Date]]&gt;ReconciliationData[[#This Row],[End_Date]]),1,0)</f>
        <v>0</v>
      </c>
      <c r="U1519">
        <f>IF(AND(NOT(ISBLANK(ReconciliationData[[#This Row],[last_return_date]])),ReconciliationData[[#This Row],[last_return_date]]&gt;ReconciliationData[[#This Row],[Order_Date]]+60),1,0)</f>
        <v>1</v>
      </c>
      <c r="V1519">
        <f>IF(ReconciliationData[[#This Row],[total_returned_units]]&gt;ReconciliationData[[#This Row],[ordered_units]],1,0)</f>
        <v>1</v>
      </c>
      <c r="W15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19">
        <f>ReconciliationData[[#This Row],[Billed_Units]]*ReconciliationData[[#This Row],[Billed_Price]]</f>
        <v>14922.846</v>
      </c>
      <c r="Y1519">
        <f>ReconciliationData[[#This Row],[ordered_units]]*ReconciliationData[[#This Row],[List_Price]]</f>
        <v>10943.420400000001</v>
      </c>
      <c r="Z1519">
        <f>ReconciliationData[[#This Row],[billed_revenue]]-ReconciliationData[[#This Row],[expected_revenue]]</f>
        <v>3979.4255999999987</v>
      </c>
      <c r="AA15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13</v>
      </c>
      <c r="AB1519" t="str">
        <f>IF(ReconciliationData[[#This Row],[severity_score]]=0,"LOW",
 IF(ReconciliationData[[#This Row],[severity_score]]&lt;=5,"MEDIUM","HIGH"))</f>
        <v>HIGH</v>
      </c>
      <c r="AC1519" t="str">
        <f>TEXT(ReconciliationData[[#This Row],[Order_Date]],"YYYY-MM")</f>
        <v>2024-03</v>
      </c>
    </row>
    <row r="1520" spans="1:29">
      <c r="A1520" t="s">
        <v>4157</v>
      </c>
      <c r="B1520" s="1">
        <v>45557</v>
      </c>
      <c r="C1520" t="s">
        <v>4158</v>
      </c>
      <c r="D1520" t="s">
        <v>333</v>
      </c>
      <c r="E1520">
        <v>81</v>
      </c>
      <c r="F1520" t="s">
        <v>4159</v>
      </c>
      <c r="G1520">
        <v>81</v>
      </c>
      <c r="H1520">
        <v>1144.1684</v>
      </c>
      <c r="N1520">
        <v>1144.1684</v>
      </c>
      <c r="O1520" s="1">
        <v>44955</v>
      </c>
      <c r="P1520">
        <f>IF(ISBLANK(ReconciliationData[[#This Row],[Invoice_ID]]),1,0)</f>
        <v>0</v>
      </c>
      <c r="Q1520">
        <f>IF(AND(NOT(ISBLANK(ReconciliationData[[#This Row],[Billed_Units]])),ReconciliationData[[#This Row],[ordered_units]]&lt;&gt;ReconciliationData[[#This Row],[Billed_Units]]),1,0)</f>
        <v>0</v>
      </c>
      <c r="R15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0">
        <f>IF(AND(NOT(ISBLANK(ReconciliationData[[#This Row],[Contract_Price]])),ReconciliationData[[#This Row],[Billed_Price]]&lt;&gt;ReconciliationData[[#This Row],[Contract_Price]]),1,0)</f>
        <v>0</v>
      </c>
      <c r="T1520">
        <f>IF(AND(NOT(ISBLANK(ReconciliationData[[#This Row],[End_Date]])),ReconciliationData[[#This Row],[Order_Date]]&gt;ReconciliationData[[#This Row],[End_Date]]),1,0)</f>
        <v>0</v>
      </c>
      <c r="U1520">
        <f>IF(AND(NOT(ISBLANK(ReconciliationData[[#This Row],[last_return_date]])),ReconciliationData[[#This Row],[last_return_date]]&gt;ReconciliationData[[#This Row],[Order_Date]]+60),1,0)</f>
        <v>0</v>
      </c>
      <c r="V1520">
        <f>IF(ReconciliationData[[#This Row],[total_returned_units]]&gt;ReconciliationData[[#This Row],[ordered_units]],1,0)</f>
        <v>0</v>
      </c>
      <c r="W15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20">
        <f>ReconciliationData[[#This Row],[Billed_Units]]*ReconciliationData[[#This Row],[Billed_Price]]</f>
        <v>92677.640400000004</v>
      </c>
      <c r="Y1520">
        <f>ReconciliationData[[#This Row],[ordered_units]]*ReconciliationData[[#This Row],[List_Price]]</f>
        <v>92677.640400000004</v>
      </c>
      <c r="Z1520">
        <f>ReconciliationData[[#This Row],[billed_revenue]]-ReconciliationData[[#This Row],[expected_revenue]]</f>
        <v>0</v>
      </c>
      <c r="AA15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20" t="str">
        <f>IF(ReconciliationData[[#This Row],[severity_score]]=0,"LOW",
 IF(ReconciliationData[[#This Row],[severity_score]]&lt;=5,"MEDIUM","HIGH"))</f>
        <v>LOW</v>
      </c>
      <c r="AC1520" t="str">
        <f>TEXT(ReconciliationData[[#This Row],[Order_Date]],"YYYY-MM")</f>
        <v>2024-09</v>
      </c>
    </row>
    <row r="1521" spans="1:29">
      <c r="A1521" t="s">
        <v>4160</v>
      </c>
      <c r="B1521" s="1">
        <v>45229</v>
      </c>
      <c r="C1521" t="s">
        <v>1815</v>
      </c>
      <c r="D1521" t="s">
        <v>1583</v>
      </c>
      <c r="E1521">
        <v>191</v>
      </c>
      <c r="F1521" t="s">
        <v>4161</v>
      </c>
      <c r="G1521">
        <v>191</v>
      </c>
      <c r="H1521">
        <v>1182.1740000000002</v>
      </c>
      <c r="I1521">
        <v>5</v>
      </c>
      <c r="J1521" s="1">
        <v>45382</v>
      </c>
      <c r="N1521">
        <v>1182.1740000000002</v>
      </c>
      <c r="O1521" s="1">
        <v>45130</v>
      </c>
      <c r="P1521">
        <f>IF(ISBLANK(ReconciliationData[[#This Row],[Invoice_ID]]),1,0)</f>
        <v>0</v>
      </c>
      <c r="Q1521">
        <f>IF(AND(NOT(ISBLANK(ReconciliationData[[#This Row],[Billed_Units]])),ReconciliationData[[#This Row],[ordered_units]]&lt;&gt;ReconciliationData[[#This Row],[Billed_Units]]),1,0)</f>
        <v>0</v>
      </c>
      <c r="R15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1">
        <f>IF(AND(NOT(ISBLANK(ReconciliationData[[#This Row],[Contract_Price]])),ReconciliationData[[#This Row],[Billed_Price]]&lt;&gt;ReconciliationData[[#This Row],[Contract_Price]]),1,0)</f>
        <v>0</v>
      </c>
      <c r="T1521">
        <f>IF(AND(NOT(ISBLANK(ReconciliationData[[#This Row],[End_Date]])),ReconciliationData[[#This Row],[Order_Date]]&gt;ReconciliationData[[#This Row],[End_Date]]),1,0)</f>
        <v>0</v>
      </c>
      <c r="U1521">
        <f>IF(AND(NOT(ISBLANK(ReconciliationData[[#This Row],[last_return_date]])),ReconciliationData[[#This Row],[last_return_date]]&gt;ReconciliationData[[#This Row],[Order_Date]]+60),1,0)</f>
        <v>1</v>
      </c>
      <c r="V1521">
        <f>IF(ReconciliationData[[#This Row],[total_returned_units]]&gt;ReconciliationData[[#This Row],[ordered_units]],1,0)</f>
        <v>0</v>
      </c>
      <c r="W15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21">
        <f>ReconciliationData[[#This Row],[Billed_Units]]*ReconciliationData[[#This Row],[Billed_Price]]</f>
        <v>225795.23400000003</v>
      </c>
      <c r="Y1521">
        <f>ReconciliationData[[#This Row],[ordered_units]]*ReconciliationData[[#This Row],[List_Price]]</f>
        <v>225795.23400000003</v>
      </c>
      <c r="Z1521">
        <f>ReconciliationData[[#This Row],[billed_revenue]]-ReconciliationData[[#This Row],[expected_revenue]]</f>
        <v>0</v>
      </c>
      <c r="AA15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521" t="str">
        <f>IF(ReconciliationData[[#This Row],[severity_score]]=0,"LOW",
 IF(ReconciliationData[[#This Row],[severity_score]]&lt;=5,"MEDIUM","HIGH"))</f>
        <v>MEDIUM</v>
      </c>
      <c r="AC1521" t="str">
        <f>TEXT(ReconciliationData[[#This Row],[Order_Date]],"YYYY-MM")</f>
        <v>2023-10</v>
      </c>
    </row>
    <row r="1522" spans="1:29">
      <c r="A1522" t="s">
        <v>4162</v>
      </c>
      <c r="B1522" s="1">
        <v>45351</v>
      </c>
      <c r="C1522" t="s">
        <v>1108</v>
      </c>
      <c r="D1522" t="s">
        <v>283</v>
      </c>
      <c r="E1522">
        <v>31</v>
      </c>
      <c r="F1522" t="s">
        <v>4163</v>
      </c>
      <c r="G1522">
        <v>31</v>
      </c>
      <c r="H1522">
        <v>415.70589999999999</v>
      </c>
      <c r="N1522">
        <v>415.70589999999999</v>
      </c>
      <c r="O1522" s="1">
        <v>44989</v>
      </c>
      <c r="P1522">
        <f>IF(ISBLANK(ReconciliationData[[#This Row],[Invoice_ID]]),1,0)</f>
        <v>0</v>
      </c>
      <c r="Q1522">
        <f>IF(AND(NOT(ISBLANK(ReconciliationData[[#This Row],[Billed_Units]])),ReconciliationData[[#This Row],[ordered_units]]&lt;&gt;ReconciliationData[[#This Row],[Billed_Units]]),1,0)</f>
        <v>0</v>
      </c>
      <c r="R15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2">
        <f>IF(AND(NOT(ISBLANK(ReconciliationData[[#This Row],[Contract_Price]])),ReconciliationData[[#This Row],[Billed_Price]]&lt;&gt;ReconciliationData[[#This Row],[Contract_Price]]),1,0)</f>
        <v>0</v>
      </c>
      <c r="T1522">
        <f>IF(AND(NOT(ISBLANK(ReconciliationData[[#This Row],[End_Date]])),ReconciliationData[[#This Row],[Order_Date]]&gt;ReconciliationData[[#This Row],[End_Date]]),1,0)</f>
        <v>0</v>
      </c>
      <c r="U1522">
        <f>IF(AND(NOT(ISBLANK(ReconciliationData[[#This Row],[last_return_date]])),ReconciliationData[[#This Row],[last_return_date]]&gt;ReconciliationData[[#This Row],[Order_Date]]+60),1,0)</f>
        <v>0</v>
      </c>
      <c r="V1522">
        <f>IF(ReconciliationData[[#This Row],[total_returned_units]]&gt;ReconciliationData[[#This Row],[ordered_units]],1,0)</f>
        <v>0</v>
      </c>
      <c r="W15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22">
        <f>ReconciliationData[[#This Row],[Billed_Units]]*ReconciliationData[[#This Row],[Billed_Price]]</f>
        <v>12886.882899999999</v>
      </c>
      <c r="Y1522">
        <f>ReconciliationData[[#This Row],[ordered_units]]*ReconciliationData[[#This Row],[List_Price]]</f>
        <v>12886.882899999999</v>
      </c>
      <c r="Z1522">
        <f>ReconciliationData[[#This Row],[billed_revenue]]-ReconciliationData[[#This Row],[expected_revenue]]</f>
        <v>0</v>
      </c>
      <c r="AA15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22" t="str">
        <f>IF(ReconciliationData[[#This Row],[severity_score]]=0,"LOW",
 IF(ReconciliationData[[#This Row],[severity_score]]&lt;=5,"MEDIUM","HIGH"))</f>
        <v>LOW</v>
      </c>
      <c r="AC1522" t="str">
        <f>TEXT(ReconciliationData[[#This Row],[Order_Date]],"YYYY-MM")</f>
        <v>2024-02</v>
      </c>
    </row>
    <row r="1523" spans="1:29">
      <c r="A1523" t="s">
        <v>4164</v>
      </c>
      <c r="B1523" s="1">
        <v>45198</v>
      </c>
      <c r="C1523" t="s">
        <v>2503</v>
      </c>
      <c r="D1523" t="s">
        <v>2471</v>
      </c>
      <c r="E1523">
        <v>174</v>
      </c>
      <c r="F1523" t="s">
        <v>4165</v>
      </c>
      <c r="G1523">
        <v>174</v>
      </c>
      <c r="H1523">
        <v>1066.4874</v>
      </c>
      <c r="N1523">
        <v>1066.4874</v>
      </c>
      <c r="O1523" s="1">
        <v>45077</v>
      </c>
      <c r="P1523">
        <f>IF(ISBLANK(ReconciliationData[[#This Row],[Invoice_ID]]),1,0)</f>
        <v>0</v>
      </c>
      <c r="Q1523">
        <f>IF(AND(NOT(ISBLANK(ReconciliationData[[#This Row],[Billed_Units]])),ReconciliationData[[#This Row],[ordered_units]]&lt;&gt;ReconciliationData[[#This Row],[Billed_Units]]),1,0)</f>
        <v>0</v>
      </c>
      <c r="R15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3">
        <f>IF(AND(NOT(ISBLANK(ReconciliationData[[#This Row],[Contract_Price]])),ReconciliationData[[#This Row],[Billed_Price]]&lt;&gt;ReconciliationData[[#This Row],[Contract_Price]]),1,0)</f>
        <v>0</v>
      </c>
      <c r="T1523">
        <f>IF(AND(NOT(ISBLANK(ReconciliationData[[#This Row],[End_Date]])),ReconciliationData[[#This Row],[Order_Date]]&gt;ReconciliationData[[#This Row],[End_Date]]),1,0)</f>
        <v>0</v>
      </c>
      <c r="U1523">
        <f>IF(AND(NOT(ISBLANK(ReconciliationData[[#This Row],[last_return_date]])),ReconciliationData[[#This Row],[last_return_date]]&gt;ReconciliationData[[#This Row],[Order_Date]]+60),1,0)</f>
        <v>0</v>
      </c>
      <c r="V1523">
        <f>IF(ReconciliationData[[#This Row],[total_returned_units]]&gt;ReconciliationData[[#This Row],[ordered_units]],1,0)</f>
        <v>0</v>
      </c>
      <c r="W15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23">
        <f>ReconciliationData[[#This Row],[Billed_Units]]*ReconciliationData[[#This Row],[Billed_Price]]</f>
        <v>185568.8076</v>
      </c>
      <c r="Y1523">
        <f>ReconciliationData[[#This Row],[ordered_units]]*ReconciliationData[[#This Row],[List_Price]]</f>
        <v>185568.8076</v>
      </c>
      <c r="Z1523">
        <f>ReconciliationData[[#This Row],[billed_revenue]]-ReconciliationData[[#This Row],[expected_revenue]]</f>
        <v>0</v>
      </c>
      <c r="AA15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23" t="str">
        <f>IF(ReconciliationData[[#This Row],[severity_score]]=0,"LOW",
 IF(ReconciliationData[[#This Row],[severity_score]]&lt;=5,"MEDIUM","HIGH"))</f>
        <v>LOW</v>
      </c>
      <c r="AC1523" t="str">
        <f>TEXT(ReconciliationData[[#This Row],[Order_Date]],"YYYY-MM")</f>
        <v>2023-09</v>
      </c>
    </row>
    <row r="1524" spans="1:29">
      <c r="A1524" t="s">
        <v>4166</v>
      </c>
      <c r="B1524" s="1">
        <v>45111</v>
      </c>
      <c r="C1524" t="s">
        <v>4167</v>
      </c>
      <c r="D1524" t="s">
        <v>393</v>
      </c>
      <c r="E1524">
        <v>74</v>
      </c>
      <c r="F1524" t="s">
        <v>4168</v>
      </c>
      <c r="G1524">
        <v>74</v>
      </c>
      <c r="H1524">
        <v>1080.0740000000001</v>
      </c>
      <c r="N1524">
        <v>1080.0740000000001</v>
      </c>
      <c r="O1524" s="1">
        <v>45058</v>
      </c>
      <c r="P1524">
        <f>IF(ISBLANK(ReconciliationData[[#This Row],[Invoice_ID]]),1,0)</f>
        <v>0</v>
      </c>
      <c r="Q1524">
        <f>IF(AND(NOT(ISBLANK(ReconciliationData[[#This Row],[Billed_Units]])),ReconciliationData[[#This Row],[ordered_units]]&lt;&gt;ReconciliationData[[#This Row],[Billed_Units]]),1,0)</f>
        <v>0</v>
      </c>
      <c r="R15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4">
        <f>IF(AND(NOT(ISBLANK(ReconciliationData[[#This Row],[Contract_Price]])),ReconciliationData[[#This Row],[Billed_Price]]&lt;&gt;ReconciliationData[[#This Row],[Contract_Price]]),1,0)</f>
        <v>0</v>
      </c>
      <c r="T1524">
        <f>IF(AND(NOT(ISBLANK(ReconciliationData[[#This Row],[End_Date]])),ReconciliationData[[#This Row],[Order_Date]]&gt;ReconciliationData[[#This Row],[End_Date]]),1,0)</f>
        <v>0</v>
      </c>
      <c r="U1524">
        <f>IF(AND(NOT(ISBLANK(ReconciliationData[[#This Row],[last_return_date]])),ReconciliationData[[#This Row],[last_return_date]]&gt;ReconciliationData[[#This Row],[Order_Date]]+60),1,0)</f>
        <v>0</v>
      </c>
      <c r="V1524">
        <f>IF(ReconciliationData[[#This Row],[total_returned_units]]&gt;ReconciliationData[[#This Row],[ordered_units]],1,0)</f>
        <v>0</v>
      </c>
      <c r="W15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24">
        <f>ReconciliationData[[#This Row],[Billed_Units]]*ReconciliationData[[#This Row],[Billed_Price]]</f>
        <v>79925.47600000001</v>
      </c>
      <c r="Y1524">
        <f>ReconciliationData[[#This Row],[ordered_units]]*ReconciliationData[[#This Row],[List_Price]]</f>
        <v>79925.47600000001</v>
      </c>
      <c r="Z1524">
        <f>ReconciliationData[[#This Row],[billed_revenue]]-ReconciliationData[[#This Row],[expected_revenue]]</f>
        <v>0</v>
      </c>
      <c r="AA15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24" t="str">
        <f>IF(ReconciliationData[[#This Row],[severity_score]]=0,"LOW",
 IF(ReconciliationData[[#This Row],[severity_score]]&lt;=5,"MEDIUM","HIGH"))</f>
        <v>LOW</v>
      </c>
      <c r="AC1524" t="str">
        <f>TEXT(ReconciliationData[[#This Row],[Order_Date]],"YYYY-MM")</f>
        <v>2023-07</v>
      </c>
    </row>
    <row r="1525" spans="1:29">
      <c r="A1525" t="s">
        <v>4169</v>
      </c>
      <c r="B1525" s="1">
        <v>45285</v>
      </c>
      <c r="C1525" t="s">
        <v>2775</v>
      </c>
      <c r="D1525" t="s">
        <v>374</v>
      </c>
      <c r="E1525">
        <v>180</v>
      </c>
      <c r="F1525" t="s">
        <v>4170</v>
      </c>
      <c r="G1525">
        <v>180</v>
      </c>
      <c r="H1525">
        <v>517.39100000000008</v>
      </c>
      <c r="N1525">
        <v>517.39100000000008</v>
      </c>
      <c r="O1525" s="1">
        <v>45045</v>
      </c>
      <c r="P1525">
        <f>IF(ISBLANK(ReconciliationData[[#This Row],[Invoice_ID]]),1,0)</f>
        <v>0</v>
      </c>
      <c r="Q1525">
        <f>IF(AND(NOT(ISBLANK(ReconciliationData[[#This Row],[Billed_Units]])),ReconciliationData[[#This Row],[ordered_units]]&lt;&gt;ReconciliationData[[#This Row],[Billed_Units]]),1,0)</f>
        <v>0</v>
      </c>
      <c r="R15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5">
        <f>IF(AND(NOT(ISBLANK(ReconciliationData[[#This Row],[Contract_Price]])),ReconciliationData[[#This Row],[Billed_Price]]&lt;&gt;ReconciliationData[[#This Row],[Contract_Price]]),1,0)</f>
        <v>0</v>
      </c>
      <c r="T1525">
        <f>IF(AND(NOT(ISBLANK(ReconciliationData[[#This Row],[End_Date]])),ReconciliationData[[#This Row],[Order_Date]]&gt;ReconciliationData[[#This Row],[End_Date]]),1,0)</f>
        <v>0</v>
      </c>
      <c r="U1525">
        <f>IF(AND(NOT(ISBLANK(ReconciliationData[[#This Row],[last_return_date]])),ReconciliationData[[#This Row],[last_return_date]]&gt;ReconciliationData[[#This Row],[Order_Date]]+60),1,0)</f>
        <v>0</v>
      </c>
      <c r="V1525">
        <f>IF(ReconciliationData[[#This Row],[total_returned_units]]&gt;ReconciliationData[[#This Row],[ordered_units]],1,0)</f>
        <v>0</v>
      </c>
      <c r="W15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25">
        <f>ReconciliationData[[#This Row],[Billed_Units]]*ReconciliationData[[#This Row],[Billed_Price]]</f>
        <v>93130.380000000019</v>
      </c>
      <c r="Y1525">
        <f>ReconciliationData[[#This Row],[ordered_units]]*ReconciliationData[[#This Row],[List_Price]]</f>
        <v>93130.380000000019</v>
      </c>
      <c r="Z1525">
        <f>ReconciliationData[[#This Row],[billed_revenue]]-ReconciliationData[[#This Row],[expected_revenue]]</f>
        <v>0</v>
      </c>
      <c r="AA15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25" t="str">
        <f>IF(ReconciliationData[[#This Row],[severity_score]]=0,"LOW",
 IF(ReconciliationData[[#This Row],[severity_score]]&lt;=5,"MEDIUM","HIGH"))</f>
        <v>LOW</v>
      </c>
      <c r="AC1525" t="str">
        <f>TEXT(ReconciliationData[[#This Row],[Order_Date]],"YYYY-MM")</f>
        <v>2023-12</v>
      </c>
    </row>
    <row r="1526" spans="1:29">
      <c r="A1526" t="s">
        <v>4171</v>
      </c>
      <c r="B1526" s="1">
        <v>45596</v>
      </c>
      <c r="C1526" t="s">
        <v>1040</v>
      </c>
      <c r="D1526" t="s">
        <v>1245</v>
      </c>
      <c r="E1526">
        <v>147</v>
      </c>
      <c r="F1526" t="s">
        <v>4172</v>
      </c>
      <c r="G1526">
        <v>147</v>
      </c>
      <c r="H1526">
        <v>247.48920000000001</v>
      </c>
      <c r="N1526">
        <v>247.48920000000001</v>
      </c>
      <c r="O1526" s="1">
        <v>45088</v>
      </c>
      <c r="P1526">
        <f>IF(ISBLANK(ReconciliationData[[#This Row],[Invoice_ID]]),1,0)</f>
        <v>0</v>
      </c>
      <c r="Q1526">
        <f>IF(AND(NOT(ISBLANK(ReconciliationData[[#This Row],[Billed_Units]])),ReconciliationData[[#This Row],[ordered_units]]&lt;&gt;ReconciliationData[[#This Row],[Billed_Units]]),1,0)</f>
        <v>0</v>
      </c>
      <c r="R15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6">
        <f>IF(AND(NOT(ISBLANK(ReconciliationData[[#This Row],[Contract_Price]])),ReconciliationData[[#This Row],[Billed_Price]]&lt;&gt;ReconciliationData[[#This Row],[Contract_Price]]),1,0)</f>
        <v>0</v>
      </c>
      <c r="T1526">
        <f>IF(AND(NOT(ISBLANK(ReconciliationData[[#This Row],[End_Date]])),ReconciliationData[[#This Row],[Order_Date]]&gt;ReconciliationData[[#This Row],[End_Date]]),1,0)</f>
        <v>0</v>
      </c>
      <c r="U1526">
        <f>IF(AND(NOT(ISBLANK(ReconciliationData[[#This Row],[last_return_date]])),ReconciliationData[[#This Row],[last_return_date]]&gt;ReconciliationData[[#This Row],[Order_Date]]+60),1,0)</f>
        <v>0</v>
      </c>
      <c r="V1526">
        <f>IF(ReconciliationData[[#This Row],[total_returned_units]]&gt;ReconciliationData[[#This Row],[ordered_units]],1,0)</f>
        <v>0</v>
      </c>
      <c r="W15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26">
        <f>ReconciliationData[[#This Row],[Billed_Units]]*ReconciliationData[[#This Row],[Billed_Price]]</f>
        <v>36380.912400000001</v>
      </c>
      <c r="Y1526">
        <f>ReconciliationData[[#This Row],[ordered_units]]*ReconciliationData[[#This Row],[List_Price]]</f>
        <v>36380.912400000001</v>
      </c>
      <c r="Z1526">
        <f>ReconciliationData[[#This Row],[billed_revenue]]-ReconciliationData[[#This Row],[expected_revenue]]</f>
        <v>0</v>
      </c>
      <c r="AA15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26" t="str">
        <f>IF(ReconciliationData[[#This Row],[severity_score]]=0,"LOW",
 IF(ReconciliationData[[#This Row],[severity_score]]&lt;=5,"MEDIUM","HIGH"))</f>
        <v>LOW</v>
      </c>
      <c r="AC1526" t="str">
        <f>TEXT(ReconciliationData[[#This Row],[Order_Date]],"YYYY-MM")</f>
        <v>2024-10</v>
      </c>
    </row>
    <row r="1527" spans="1:29">
      <c r="A1527" t="s">
        <v>4173</v>
      </c>
      <c r="B1527" s="1">
        <v>45403</v>
      </c>
      <c r="C1527" t="s">
        <v>1120</v>
      </c>
      <c r="D1527" t="s">
        <v>1754</v>
      </c>
      <c r="E1527">
        <v>110</v>
      </c>
      <c r="F1527" t="s">
        <v>4174</v>
      </c>
      <c r="G1527">
        <v>110</v>
      </c>
      <c r="H1527">
        <v>1072.2954</v>
      </c>
      <c r="N1527">
        <v>1072.2954</v>
      </c>
      <c r="O1527" s="1">
        <v>45120</v>
      </c>
      <c r="P1527">
        <f>IF(ISBLANK(ReconciliationData[[#This Row],[Invoice_ID]]),1,0)</f>
        <v>0</v>
      </c>
      <c r="Q1527">
        <f>IF(AND(NOT(ISBLANK(ReconciliationData[[#This Row],[Billed_Units]])),ReconciliationData[[#This Row],[ordered_units]]&lt;&gt;ReconciliationData[[#This Row],[Billed_Units]]),1,0)</f>
        <v>0</v>
      </c>
      <c r="R15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7">
        <f>IF(AND(NOT(ISBLANK(ReconciliationData[[#This Row],[Contract_Price]])),ReconciliationData[[#This Row],[Billed_Price]]&lt;&gt;ReconciliationData[[#This Row],[Contract_Price]]),1,0)</f>
        <v>0</v>
      </c>
      <c r="T1527">
        <f>IF(AND(NOT(ISBLANK(ReconciliationData[[#This Row],[End_Date]])),ReconciliationData[[#This Row],[Order_Date]]&gt;ReconciliationData[[#This Row],[End_Date]]),1,0)</f>
        <v>0</v>
      </c>
      <c r="U1527">
        <f>IF(AND(NOT(ISBLANK(ReconciliationData[[#This Row],[last_return_date]])),ReconciliationData[[#This Row],[last_return_date]]&gt;ReconciliationData[[#This Row],[Order_Date]]+60),1,0)</f>
        <v>0</v>
      </c>
      <c r="V1527">
        <f>IF(ReconciliationData[[#This Row],[total_returned_units]]&gt;ReconciliationData[[#This Row],[ordered_units]],1,0)</f>
        <v>0</v>
      </c>
      <c r="W15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27">
        <f>ReconciliationData[[#This Row],[Billed_Units]]*ReconciliationData[[#This Row],[Billed_Price]]</f>
        <v>117952.49399999999</v>
      </c>
      <c r="Y1527">
        <f>ReconciliationData[[#This Row],[ordered_units]]*ReconciliationData[[#This Row],[List_Price]]</f>
        <v>117952.49399999999</v>
      </c>
      <c r="Z1527">
        <f>ReconciliationData[[#This Row],[billed_revenue]]-ReconciliationData[[#This Row],[expected_revenue]]</f>
        <v>0</v>
      </c>
      <c r="AA15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27" t="str">
        <f>IF(ReconciliationData[[#This Row],[severity_score]]=0,"LOW",
 IF(ReconciliationData[[#This Row],[severity_score]]&lt;=5,"MEDIUM","HIGH"))</f>
        <v>LOW</v>
      </c>
      <c r="AC1527" t="str">
        <f>TEXT(ReconciliationData[[#This Row],[Order_Date]],"YYYY-MM")</f>
        <v>2024-04</v>
      </c>
    </row>
    <row r="1528" spans="1:29">
      <c r="A1528" t="s">
        <v>4175</v>
      </c>
      <c r="B1528" s="1">
        <v>45503</v>
      </c>
      <c r="C1528" t="s">
        <v>1720</v>
      </c>
      <c r="D1528" t="s">
        <v>863</v>
      </c>
      <c r="E1528">
        <v>184</v>
      </c>
      <c r="F1528" t="s">
        <v>4176</v>
      </c>
      <c r="G1528">
        <v>184</v>
      </c>
      <c r="H1528">
        <v>815.08680000000004</v>
      </c>
      <c r="N1528">
        <v>815.08680000000004</v>
      </c>
      <c r="O1528" s="1">
        <v>45062</v>
      </c>
      <c r="P1528">
        <f>IF(ISBLANK(ReconciliationData[[#This Row],[Invoice_ID]]),1,0)</f>
        <v>0</v>
      </c>
      <c r="Q1528">
        <f>IF(AND(NOT(ISBLANK(ReconciliationData[[#This Row],[Billed_Units]])),ReconciliationData[[#This Row],[ordered_units]]&lt;&gt;ReconciliationData[[#This Row],[Billed_Units]]),1,0)</f>
        <v>0</v>
      </c>
      <c r="R15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8">
        <f>IF(AND(NOT(ISBLANK(ReconciliationData[[#This Row],[Contract_Price]])),ReconciliationData[[#This Row],[Billed_Price]]&lt;&gt;ReconciliationData[[#This Row],[Contract_Price]]),1,0)</f>
        <v>0</v>
      </c>
      <c r="T1528">
        <f>IF(AND(NOT(ISBLANK(ReconciliationData[[#This Row],[End_Date]])),ReconciliationData[[#This Row],[Order_Date]]&gt;ReconciliationData[[#This Row],[End_Date]]),1,0)</f>
        <v>0</v>
      </c>
      <c r="U1528">
        <f>IF(AND(NOT(ISBLANK(ReconciliationData[[#This Row],[last_return_date]])),ReconciliationData[[#This Row],[last_return_date]]&gt;ReconciliationData[[#This Row],[Order_Date]]+60),1,0)</f>
        <v>0</v>
      </c>
      <c r="V1528">
        <f>IF(ReconciliationData[[#This Row],[total_returned_units]]&gt;ReconciliationData[[#This Row],[ordered_units]],1,0)</f>
        <v>0</v>
      </c>
      <c r="W15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28">
        <f>ReconciliationData[[#This Row],[Billed_Units]]*ReconciliationData[[#This Row],[Billed_Price]]</f>
        <v>149975.9712</v>
      </c>
      <c r="Y1528">
        <f>ReconciliationData[[#This Row],[ordered_units]]*ReconciliationData[[#This Row],[List_Price]]</f>
        <v>149975.9712</v>
      </c>
      <c r="Z1528">
        <f>ReconciliationData[[#This Row],[billed_revenue]]-ReconciliationData[[#This Row],[expected_revenue]]</f>
        <v>0</v>
      </c>
      <c r="AA15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28" t="str">
        <f>IF(ReconciliationData[[#This Row],[severity_score]]=0,"LOW",
 IF(ReconciliationData[[#This Row],[severity_score]]&lt;=5,"MEDIUM","HIGH"))</f>
        <v>LOW</v>
      </c>
      <c r="AC1528" t="str">
        <f>TEXT(ReconciliationData[[#This Row],[Order_Date]],"YYYY-MM")</f>
        <v>2024-07</v>
      </c>
    </row>
    <row r="1529" spans="1:29">
      <c r="A1529" t="s">
        <v>4177</v>
      </c>
      <c r="B1529" s="1">
        <v>45174</v>
      </c>
      <c r="C1529" t="s">
        <v>623</v>
      </c>
      <c r="D1529" t="s">
        <v>1616</v>
      </c>
      <c r="E1529">
        <v>108</v>
      </c>
      <c r="F1529" t="s">
        <v>4178</v>
      </c>
      <c r="G1529">
        <v>108</v>
      </c>
      <c r="H1529">
        <v>1137.9636</v>
      </c>
      <c r="I1529">
        <v>2</v>
      </c>
      <c r="J1529" s="1">
        <v>45010</v>
      </c>
      <c r="N1529">
        <v>1137.9636</v>
      </c>
      <c r="O1529" s="1">
        <v>45007</v>
      </c>
      <c r="P1529">
        <f>IF(ISBLANK(ReconciliationData[[#This Row],[Invoice_ID]]),1,0)</f>
        <v>0</v>
      </c>
      <c r="Q1529">
        <f>IF(AND(NOT(ISBLANK(ReconciliationData[[#This Row],[Billed_Units]])),ReconciliationData[[#This Row],[ordered_units]]&lt;&gt;ReconciliationData[[#This Row],[Billed_Units]]),1,0)</f>
        <v>0</v>
      </c>
      <c r="R15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29">
        <f>IF(AND(NOT(ISBLANK(ReconciliationData[[#This Row],[Contract_Price]])),ReconciliationData[[#This Row],[Billed_Price]]&lt;&gt;ReconciliationData[[#This Row],[Contract_Price]]),1,0)</f>
        <v>0</v>
      </c>
      <c r="T1529">
        <f>IF(AND(NOT(ISBLANK(ReconciliationData[[#This Row],[End_Date]])),ReconciliationData[[#This Row],[Order_Date]]&gt;ReconciliationData[[#This Row],[End_Date]]),1,0)</f>
        <v>0</v>
      </c>
      <c r="U1529">
        <f>IF(AND(NOT(ISBLANK(ReconciliationData[[#This Row],[last_return_date]])),ReconciliationData[[#This Row],[last_return_date]]&gt;ReconciliationData[[#This Row],[Order_Date]]+60),1,0)</f>
        <v>0</v>
      </c>
      <c r="V1529">
        <f>IF(ReconciliationData[[#This Row],[total_returned_units]]&gt;ReconciliationData[[#This Row],[ordered_units]],1,0)</f>
        <v>0</v>
      </c>
      <c r="W15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29">
        <f>ReconciliationData[[#This Row],[Billed_Units]]*ReconciliationData[[#This Row],[Billed_Price]]</f>
        <v>122900.06880000001</v>
      </c>
      <c r="Y1529">
        <f>ReconciliationData[[#This Row],[ordered_units]]*ReconciliationData[[#This Row],[List_Price]]</f>
        <v>122900.06880000001</v>
      </c>
      <c r="Z1529">
        <f>ReconciliationData[[#This Row],[billed_revenue]]-ReconciliationData[[#This Row],[expected_revenue]]</f>
        <v>0</v>
      </c>
      <c r="AA15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29" t="str">
        <f>IF(ReconciliationData[[#This Row],[severity_score]]=0,"LOW",
 IF(ReconciliationData[[#This Row],[severity_score]]&lt;=5,"MEDIUM","HIGH"))</f>
        <v>LOW</v>
      </c>
      <c r="AC1529" t="str">
        <f>TEXT(ReconciliationData[[#This Row],[Order_Date]],"YYYY-MM")</f>
        <v>2023-09</v>
      </c>
    </row>
    <row r="1530" spans="1:29">
      <c r="A1530" t="s">
        <v>4179</v>
      </c>
      <c r="B1530" s="1">
        <v>45116</v>
      </c>
      <c r="C1530" t="s">
        <v>2359</v>
      </c>
      <c r="D1530" t="s">
        <v>345</v>
      </c>
      <c r="E1530">
        <v>169</v>
      </c>
      <c r="F1530" t="s">
        <v>4180</v>
      </c>
      <c r="G1530">
        <v>169</v>
      </c>
      <c r="H1530">
        <v>574.3415</v>
      </c>
      <c r="N1530">
        <v>574.3415</v>
      </c>
      <c r="O1530" s="1">
        <v>44806</v>
      </c>
      <c r="P1530">
        <f>IF(ISBLANK(ReconciliationData[[#This Row],[Invoice_ID]]),1,0)</f>
        <v>0</v>
      </c>
      <c r="Q1530">
        <f>IF(AND(NOT(ISBLANK(ReconciliationData[[#This Row],[Billed_Units]])),ReconciliationData[[#This Row],[ordered_units]]&lt;&gt;ReconciliationData[[#This Row],[Billed_Units]]),1,0)</f>
        <v>0</v>
      </c>
      <c r="R15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0">
        <f>IF(AND(NOT(ISBLANK(ReconciliationData[[#This Row],[Contract_Price]])),ReconciliationData[[#This Row],[Billed_Price]]&lt;&gt;ReconciliationData[[#This Row],[Contract_Price]]),1,0)</f>
        <v>0</v>
      </c>
      <c r="T1530">
        <f>IF(AND(NOT(ISBLANK(ReconciliationData[[#This Row],[End_Date]])),ReconciliationData[[#This Row],[Order_Date]]&gt;ReconciliationData[[#This Row],[End_Date]]),1,0)</f>
        <v>0</v>
      </c>
      <c r="U1530">
        <f>IF(AND(NOT(ISBLANK(ReconciliationData[[#This Row],[last_return_date]])),ReconciliationData[[#This Row],[last_return_date]]&gt;ReconciliationData[[#This Row],[Order_Date]]+60),1,0)</f>
        <v>0</v>
      </c>
      <c r="V1530">
        <f>IF(ReconciliationData[[#This Row],[total_returned_units]]&gt;ReconciliationData[[#This Row],[ordered_units]],1,0)</f>
        <v>0</v>
      </c>
      <c r="W15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30">
        <f>ReconciliationData[[#This Row],[Billed_Units]]*ReconciliationData[[#This Row],[Billed_Price]]</f>
        <v>97063.713499999998</v>
      </c>
      <c r="Y1530">
        <f>ReconciliationData[[#This Row],[ordered_units]]*ReconciliationData[[#This Row],[List_Price]]</f>
        <v>97063.713499999998</v>
      </c>
      <c r="Z1530">
        <f>ReconciliationData[[#This Row],[billed_revenue]]-ReconciliationData[[#This Row],[expected_revenue]]</f>
        <v>0</v>
      </c>
      <c r="AA15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30" t="str">
        <f>IF(ReconciliationData[[#This Row],[severity_score]]=0,"LOW",
 IF(ReconciliationData[[#This Row],[severity_score]]&lt;=5,"MEDIUM","HIGH"))</f>
        <v>LOW</v>
      </c>
      <c r="AC1530" t="str">
        <f>TEXT(ReconciliationData[[#This Row],[Order_Date]],"YYYY-MM")</f>
        <v>2023-07</v>
      </c>
    </row>
    <row r="1531" spans="1:29">
      <c r="A1531" t="s">
        <v>4181</v>
      </c>
      <c r="B1531" s="1">
        <v>45376</v>
      </c>
      <c r="C1531" t="s">
        <v>774</v>
      </c>
      <c r="D1531" t="s">
        <v>1654</v>
      </c>
      <c r="E1531">
        <v>195</v>
      </c>
      <c r="F1531" t="s">
        <v>4182</v>
      </c>
      <c r="G1531">
        <v>195</v>
      </c>
      <c r="H1531">
        <v>1197.9306999999999</v>
      </c>
      <c r="N1531">
        <v>1197.9306999999999</v>
      </c>
      <c r="O1531" s="1">
        <v>45089</v>
      </c>
      <c r="P1531">
        <f>IF(ISBLANK(ReconciliationData[[#This Row],[Invoice_ID]]),1,0)</f>
        <v>0</v>
      </c>
      <c r="Q1531">
        <f>IF(AND(NOT(ISBLANK(ReconciliationData[[#This Row],[Billed_Units]])),ReconciliationData[[#This Row],[ordered_units]]&lt;&gt;ReconciliationData[[#This Row],[Billed_Units]]),1,0)</f>
        <v>0</v>
      </c>
      <c r="R15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1">
        <f>IF(AND(NOT(ISBLANK(ReconciliationData[[#This Row],[Contract_Price]])),ReconciliationData[[#This Row],[Billed_Price]]&lt;&gt;ReconciliationData[[#This Row],[Contract_Price]]),1,0)</f>
        <v>0</v>
      </c>
      <c r="T1531">
        <f>IF(AND(NOT(ISBLANK(ReconciliationData[[#This Row],[End_Date]])),ReconciliationData[[#This Row],[Order_Date]]&gt;ReconciliationData[[#This Row],[End_Date]]),1,0)</f>
        <v>0</v>
      </c>
      <c r="U1531">
        <f>IF(AND(NOT(ISBLANK(ReconciliationData[[#This Row],[last_return_date]])),ReconciliationData[[#This Row],[last_return_date]]&gt;ReconciliationData[[#This Row],[Order_Date]]+60),1,0)</f>
        <v>0</v>
      </c>
      <c r="V1531">
        <f>IF(ReconciliationData[[#This Row],[total_returned_units]]&gt;ReconciliationData[[#This Row],[ordered_units]],1,0)</f>
        <v>0</v>
      </c>
      <c r="W15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31">
        <f>ReconciliationData[[#This Row],[Billed_Units]]*ReconciliationData[[#This Row],[Billed_Price]]</f>
        <v>233596.48649999997</v>
      </c>
      <c r="Y1531">
        <f>ReconciliationData[[#This Row],[ordered_units]]*ReconciliationData[[#This Row],[List_Price]]</f>
        <v>233596.48649999997</v>
      </c>
      <c r="Z1531">
        <f>ReconciliationData[[#This Row],[billed_revenue]]-ReconciliationData[[#This Row],[expected_revenue]]</f>
        <v>0</v>
      </c>
      <c r="AA15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31" t="str">
        <f>IF(ReconciliationData[[#This Row],[severity_score]]=0,"LOW",
 IF(ReconciliationData[[#This Row],[severity_score]]&lt;=5,"MEDIUM","HIGH"))</f>
        <v>LOW</v>
      </c>
      <c r="AC1531" t="str">
        <f>TEXT(ReconciliationData[[#This Row],[Order_Date]],"YYYY-MM")</f>
        <v>2024-03</v>
      </c>
    </row>
    <row r="1532" spans="1:29">
      <c r="A1532" t="s">
        <v>4183</v>
      </c>
      <c r="B1532" s="1">
        <v>45100</v>
      </c>
      <c r="C1532" t="s">
        <v>1381</v>
      </c>
      <c r="D1532" t="s">
        <v>430</v>
      </c>
      <c r="E1532">
        <v>148</v>
      </c>
      <c r="F1532" t="s">
        <v>4184</v>
      </c>
      <c r="G1532">
        <v>148</v>
      </c>
      <c r="H1532">
        <v>904.00099999999998</v>
      </c>
      <c r="N1532">
        <v>904.00099999999998</v>
      </c>
      <c r="O1532" s="1">
        <v>44831</v>
      </c>
      <c r="P1532">
        <f>IF(ISBLANK(ReconciliationData[[#This Row],[Invoice_ID]]),1,0)</f>
        <v>0</v>
      </c>
      <c r="Q1532">
        <f>IF(AND(NOT(ISBLANK(ReconciliationData[[#This Row],[Billed_Units]])),ReconciliationData[[#This Row],[ordered_units]]&lt;&gt;ReconciliationData[[#This Row],[Billed_Units]]),1,0)</f>
        <v>0</v>
      </c>
      <c r="R15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2">
        <f>IF(AND(NOT(ISBLANK(ReconciliationData[[#This Row],[Contract_Price]])),ReconciliationData[[#This Row],[Billed_Price]]&lt;&gt;ReconciliationData[[#This Row],[Contract_Price]]),1,0)</f>
        <v>0</v>
      </c>
      <c r="T1532">
        <f>IF(AND(NOT(ISBLANK(ReconciliationData[[#This Row],[End_Date]])),ReconciliationData[[#This Row],[Order_Date]]&gt;ReconciliationData[[#This Row],[End_Date]]),1,0)</f>
        <v>0</v>
      </c>
      <c r="U1532">
        <f>IF(AND(NOT(ISBLANK(ReconciliationData[[#This Row],[last_return_date]])),ReconciliationData[[#This Row],[last_return_date]]&gt;ReconciliationData[[#This Row],[Order_Date]]+60),1,0)</f>
        <v>0</v>
      </c>
      <c r="V1532">
        <f>IF(ReconciliationData[[#This Row],[total_returned_units]]&gt;ReconciliationData[[#This Row],[ordered_units]],1,0)</f>
        <v>0</v>
      </c>
      <c r="W15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32">
        <f>ReconciliationData[[#This Row],[Billed_Units]]*ReconciliationData[[#This Row],[Billed_Price]]</f>
        <v>133792.14799999999</v>
      </c>
      <c r="Y1532">
        <f>ReconciliationData[[#This Row],[ordered_units]]*ReconciliationData[[#This Row],[List_Price]]</f>
        <v>133792.14799999999</v>
      </c>
      <c r="Z1532">
        <f>ReconciliationData[[#This Row],[billed_revenue]]-ReconciliationData[[#This Row],[expected_revenue]]</f>
        <v>0</v>
      </c>
      <c r="AA15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32" t="str">
        <f>IF(ReconciliationData[[#This Row],[severity_score]]=0,"LOW",
 IF(ReconciliationData[[#This Row],[severity_score]]&lt;=5,"MEDIUM","HIGH"))</f>
        <v>LOW</v>
      </c>
      <c r="AC1532" t="str">
        <f>TEXT(ReconciliationData[[#This Row],[Order_Date]],"YYYY-MM")</f>
        <v>2023-06</v>
      </c>
    </row>
    <row r="1533" spans="1:29">
      <c r="A1533" t="s">
        <v>4185</v>
      </c>
      <c r="B1533" s="1">
        <v>45652</v>
      </c>
      <c r="C1533" t="s">
        <v>1208</v>
      </c>
      <c r="D1533" t="s">
        <v>983</v>
      </c>
      <c r="E1533">
        <v>192</v>
      </c>
      <c r="F1533" t="s">
        <v>4186</v>
      </c>
      <c r="G1533">
        <v>192</v>
      </c>
      <c r="H1533">
        <v>226.1644</v>
      </c>
      <c r="N1533">
        <v>226.1644</v>
      </c>
      <c r="O1533" s="1">
        <v>45139</v>
      </c>
      <c r="P1533">
        <f>IF(ISBLANK(ReconciliationData[[#This Row],[Invoice_ID]]),1,0)</f>
        <v>0</v>
      </c>
      <c r="Q1533">
        <f>IF(AND(NOT(ISBLANK(ReconciliationData[[#This Row],[Billed_Units]])),ReconciliationData[[#This Row],[ordered_units]]&lt;&gt;ReconciliationData[[#This Row],[Billed_Units]]),1,0)</f>
        <v>0</v>
      </c>
      <c r="R15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3">
        <f>IF(AND(NOT(ISBLANK(ReconciliationData[[#This Row],[Contract_Price]])),ReconciliationData[[#This Row],[Billed_Price]]&lt;&gt;ReconciliationData[[#This Row],[Contract_Price]]),1,0)</f>
        <v>0</v>
      </c>
      <c r="T1533">
        <f>IF(AND(NOT(ISBLANK(ReconciliationData[[#This Row],[End_Date]])),ReconciliationData[[#This Row],[Order_Date]]&gt;ReconciliationData[[#This Row],[End_Date]]),1,0)</f>
        <v>0</v>
      </c>
      <c r="U1533">
        <f>IF(AND(NOT(ISBLANK(ReconciliationData[[#This Row],[last_return_date]])),ReconciliationData[[#This Row],[last_return_date]]&gt;ReconciliationData[[#This Row],[Order_Date]]+60),1,0)</f>
        <v>0</v>
      </c>
      <c r="V1533">
        <f>IF(ReconciliationData[[#This Row],[total_returned_units]]&gt;ReconciliationData[[#This Row],[ordered_units]],1,0)</f>
        <v>0</v>
      </c>
      <c r="W15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33">
        <f>ReconciliationData[[#This Row],[Billed_Units]]*ReconciliationData[[#This Row],[Billed_Price]]</f>
        <v>43423.5648</v>
      </c>
      <c r="Y1533">
        <f>ReconciliationData[[#This Row],[ordered_units]]*ReconciliationData[[#This Row],[List_Price]]</f>
        <v>43423.5648</v>
      </c>
      <c r="Z1533">
        <f>ReconciliationData[[#This Row],[billed_revenue]]-ReconciliationData[[#This Row],[expected_revenue]]</f>
        <v>0</v>
      </c>
      <c r="AA15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33" t="str">
        <f>IF(ReconciliationData[[#This Row],[severity_score]]=0,"LOW",
 IF(ReconciliationData[[#This Row],[severity_score]]&lt;=5,"MEDIUM","HIGH"))</f>
        <v>LOW</v>
      </c>
      <c r="AC1533" t="str">
        <f>TEXT(ReconciliationData[[#This Row],[Order_Date]],"YYYY-MM")</f>
        <v>2024-12</v>
      </c>
    </row>
    <row r="1534" spans="1:29">
      <c r="A1534" t="s">
        <v>4187</v>
      </c>
      <c r="B1534" s="1">
        <v>45042</v>
      </c>
      <c r="C1534" t="s">
        <v>1452</v>
      </c>
      <c r="D1534" t="s">
        <v>825</v>
      </c>
      <c r="E1534">
        <v>111</v>
      </c>
      <c r="F1534" t="s">
        <v>4188</v>
      </c>
      <c r="G1534">
        <v>111</v>
      </c>
      <c r="H1534">
        <v>752.48910000000001</v>
      </c>
      <c r="N1534">
        <v>752.48910000000001</v>
      </c>
      <c r="O1534" s="1">
        <v>44953</v>
      </c>
      <c r="P1534">
        <f>IF(ISBLANK(ReconciliationData[[#This Row],[Invoice_ID]]),1,0)</f>
        <v>0</v>
      </c>
      <c r="Q1534">
        <f>IF(AND(NOT(ISBLANK(ReconciliationData[[#This Row],[Billed_Units]])),ReconciliationData[[#This Row],[ordered_units]]&lt;&gt;ReconciliationData[[#This Row],[Billed_Units]]),1,0)</f>
        <v>0</v>
      </c>
      <c r="R15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4">
        <f>IF(AND(NOT(ISBLANK(ReconciliationData[[#This Row],[Contract_Price]])),ReconciliationData[[#This Row],[Billed_Price]]&lt;&gt;ReconciliationData[[#This Row],[Contract_Price]]),1,0)</f>
        <v>0</v>
      </c>
      <c r="T1534">
        <f>IF(AND(NOT(ISBLANK(ReconciliationData[[#This Row],[End_Date]])),ReconciliationData[[#This Row],[Order_Date]]&gt;ReconciliationData[[#This Row],[End_Date]]),1,0)</f>
        <v>0</v>
      </c>
      <c r="U1534">
        <f>IF(AND(NOT(ISBLANK(ReconciliationData[[#This Row],[last_return_date]])),ReconciliationData[[#This Row],[last_return_date]]&gt;ReconciliationData[[#This Row],[Order_Date]]+60),1,0)</f>
        <v>0</v>
      </c>
      <c r="V1534">
        <f>IF(ReconciliationData[[#This Row],[total_returned_units]]&gt;ReconciliationData[[#This Row],[ordered_units]],1,0)</f>
        <v>0</v>
      </c>
      <c r="W15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34">
        <f>ReconciliationData[[#This Row],[Billed_Units]]*ReconciliationData[[#This Row],[Billed_Price]]</f>
        <v>83526.290099999998</v>
      </c>
      <c r="Y1534">
        <f>ReconciliationData[[#This Row],[ordered_units]]*ReconciliationData[[#This Row],[List_Price]]</f>
        <v>83526.290099999998</v>
      </c>
      <c r="Z1534">
        <f>ReconciliationData[[#This Row],[billed_revenue]]-ReconciliationData[[#This Row],[expected_revenue]]</f>
        <v>0</v>
      </c>
      <c r="AA15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34" t="str">
        <f>IF(ReconciliationData[[#This Row],[severity_score]]=0,"LOW",
 IF(ReconciliationData[[#This Row],[severity_score]]&lt;=5,"MEDIUM","HIGH"))</f>
        <v>LOW</v>
      </c>
      <c r="AC1534" t="str">
        <f>TEXT(ReconciliationData[[#This Row],[Order_Date]],"YYYY-MM")</f>
        <v>2023-04</v>
      </c>
    </row>
    <row r="1535" spans="1:29">
      <c r="A1535" t="s">
        <v>4189</v>
      </c>
      <c r="B1535" s="1">
        <v>45434</v>
      </c>
      <c r="C1535" t="s">
        <v>3542</v>
      </c>
      <c r="D1535" t="s">
        <v>1309</v>
      </c>
      <c r="E1535">
        <v>163</v>
      </c>
      <c r="F1535" t="s">
        <v>4190</v>
      </c>
      <c r="G1535">
        <v>163</v>
      </c>
      <c r="H1535">
        <v>906.88919999999996</v>
      </c>
      <c r="N1535">
        <v>906.88919999999996</v>
      </c>
      <c r="O1535" s="1">
        <v>44991</v>
      </c>
      <c r="P1535">
        <f>IF(ISBLANK(ReconciliationData[[#This Row],[Invoice_ID]]),1,0)</f>
        <v>0</v>
      </c>
      <c r="Q1535">
        <f>IF(AND(NOT(ISBLANK(ReconciliationData[[#This Row],[Billed_Units]])),ReconciliationData[[#This Row],[ordered_units]]&lt;&gt;ReconciliationData[[#This Row],[Billed_Units]]),1,0)</f>
        <v>0</v>
      </c>
      <c r="R15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5">
        <f>IF(AND(NOT(ISBLANK(ReconciliationData[[#This Row],[Contract_Price]])),ReconciliationData[[#This Row],[Billed_Price]]&lt;&gt;ReconciliationData[[#This Row],[Contract_Price]]),1,0)</f>
        <v>0</v>
      </c>
      <c r="T1535">
        <f>IF(AND(NOT(ISBLANK(ReconciliationData[[#This Row],[End_Date]])),ReconciliationData[[#This Row],[Order_Date]]&gt;ReconciliationData[[#This Row],[End_Date]]),1,0)</f>
        <v>0</v>
      </c>
      <c r="U1535">
        <f>IF(AND(NOT(ISBLANK(ReconciliationData[[#This Row],[last_return_date]])),ReconciliationData[[#This Row],[last_return_date]]&gt;ReconciliationData[[#This Row],[Order_Date]]+60),1,0)</f>
        <v>0</v>
      </c>
      <c r="V1535">
        <f>IF(ReconciliationData[[#This Row],[total_returned_units]]&gt;ReconciliationData[[#This Row],[ordered_units]],1,0)</f>
        <v>0</v>
      </c>
      <c r="W15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35">
        <f>ReconciliationData[[#This Row],[Billed_Units]]*ReconciliationData[[#This Row],[Billed_Price]]</f>
        <v>147822.93959999998</v>
      </c>
      <c r="Y1535">
        <f>ReconciliationData[[#This Row],[ordered_units]]*ReconciliationData[[#This Row],[List_Price]]</f>
        <v>147822.93959999998</v>
      </c>
      <c r="Z1535">
        <f>ReconciliationData[[#This Row],[billed_revenue]]-ReconciliationData[[#This Row],[expected_revenue]]</f>
        <v>0</v>
      </c>
      <c r="AA15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35" t="str">
        <f>IF(ReconciliationData[[#This Row],[severity_score]]=0,"LOW",
 IF(ReconciliationData[[#This Row],[severity_score]]&lt;=5,"MEDIUM","HIGH"))</f>
        <v>LOW</v>
      </c>
      <c r="AC1535" t="str">
        <f>TEXT(ReconciliationData[[#This Row],[Order_Date]],"YYYY-MM")</f>
        <v>2024-05</v>
      </c>
    </row>
    <row r="1536" spans="1:29">
      <c r="A1536" t="s">
        <v>4191</v>
      </c>
      <c r="B1536" s="1">
        <v>45467</v>
      </c>
      <c r="C1536" t="s">
        <v>4192</v>
      </c>
      <c r="D1536" t="s">
        <v>170</v>
      </c>
      <c r="E1536">
        <v>47</v>
      </c>
      <c r="F1536" t="s">
        <v>4193</v>
      </c>
      <c r="G1536">
        <v>47</v>
      </c>
      <c r="H1536">
        <v>397.40159999999997</v>
      </c>
      <c r="N1536">
        <v>397.40159999999997</v>
      </c>
      <c r="O1536" s="1">
        <v>45021</v>
      </c>
      <c r="P1536">
        <f>IF(ISBLANK(ReconciliationData[[#This Row],[Invoice_ID]]),1,0)</f>
        <v>0</v>
      </c>
      <c r="Q1536">
        <f>IF(AND(NOT(ISBLANK(ReconciliationData[[#This Row],[Billed_Units]])),ReconciliationData[[#This Row],[ordered_units]]&lt;&gt;ReconciliationData[[#This Row],[Billed_Units]]),1,0)</f>
        <v>0</v>
      </c>
      <c r="R15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6">
        <f>IF(AND(NOT(ISBLANK(ReconciliationData[[#This Row],[Contract_Price]])),ReconciliationData[[#This Row],[Billed_Price]]&lt;&gt;ReconciliationData[[#This Row],[Contract_Price]]),1,0)</f>
        <v>0</v>
      </c>
      <c r="T1536">
        <f>IF(AND(NOT(ISBLANK(ReconciliationData[[#This Row],[End_Date]])),ReconciliationData[[#This Row],[Order_Date]]&gt;ReconciliationData[[#This Row],[End_Date]]),1,0)</f>
        <v>0</v>
      </c>
      <c r="U1536">
        <f>IF(AND(NOT(ISBLANK(ReconciliationData[[#This Row],[last_return_date]])),ReconciliationData[[#This Row],[last_return_date]]&gt;ReconciliationData[[#This Row],[Order_Date]]+60),1,0)</f>
        <v>0</v>
      </c>
      <c r="V1536">
        <f>IF(ReconciliationData[[#This Row],[total_returned_units]]&gt;ReconciliationData[[#This Row],[ordered_units]],1,0)</f>
        <v>0</v>
      </c>
      <c r="W15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36">
        <f>ReconciliationData[[#This Row],[Billed_Units]]*ReconciliationData[[#This Row],[Billed_Price]]</f>
        <v>18677.875199999999</v>
      </c>
      <c r="Y1536">
        <f>ReconciliationData[[#This Row],[ordered_units]]*ReconciliationData[[#This Row],[List_Price]]</f>
        <v>18677.875199999999</v>
      </c>
      <c r="Z1536">
        <f>ReconciliationData[[#This Row],[billed_revenue]]-ReconciliationData[[#This Row],[expected_revenue]]</f>
        <v>0</v>
      </c>
      <c r="AA15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36" t="str">
        <f>IF(ReconciliationData[[#This Row],[severity_score]]=0,"LOW",
 IF(ReconciliationData[[#This Row],[severity_score]]&lt;=5,"MEDIUM","HIGH"))</f>
        <v>LOW</v>
      </c>
      <c r="AC1536" t="str">
        <f>TEXT(ReconciliationData[[#This Row],[Order_Date]],"YYYY-MM")</f>
        <v>2024-06</v>
      </c>
    </row>
    <row r="1537" spans="1:29">
      <c r="A1537" t="s">
        <v>4194</v>
      </c>
      <c r="B1537" s="1">
        <v>45011</v>
      </c>
      <c r="C1537" t="s">
        <v>4195</v>
      </c>
      <c r="D1537" t="s">
        <v>2370</v>
      </c>
      <c r="E1537">
        <v>4</v>
      </c>
      <c r="F1537" t="s">
        <v>4196</v>
      </c>
      <c r="G1537">
        <v>4</v>
      </c>
      <c r="H1537">
        <v>1224.4680000000001</v>
      </c>
      <c r="N1537">
        <v>1224.4680000000001</v>
      </c>
      <c r="O1537" s="1">
        <v>44805</v>
      </c>
      <c r="P1537">
        <f>IF(ISBLANK(ReconciliationData[[#This Row],[Invoice_ID]]),1,0)</f>
        <v>0</v>
      </c>
      <c r="Q1537">
        <f>IF(AND(NOT(ISBLANK(ReconciliationData[[#This Row],[Billed_Units]])),ReconciliationData[[#This Row],[ordered_units]]&lt;&gt;ReconciliationData[[#This Row],[Billed_Units]]),1,0)</f>
        <v>0</v>
      </c>
      <c r="R15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7">
        <f>IF(AND(NOT(ISBLANK(ReconciliationData[[#This Row],[Contract_Price]])),ReconciliationData[[#This Row],[Billed_Price]]&lt;&gt;ReconciliationData[[#This Row],[Contract_Price]]),1,0)</f>
        <v>0</v>
      </c>
      <c r="T1537">
        <f>IF(AND(NOT(ISBLANK(ReconciliationData[[#This Row],[End_Date]])),ReconciliationData[[#This Row],[Order_Date]]&gt;ReconciliationData[[#This Row],[End_Date]]),1,0)</f>
        <v>0</v>
      </c>
      <c r="U1537">
        <f>IF(AND(NOT(ISBLANK(ReconciliationData[[#This Row],[last_return_date]])),ReconciliationData[[#This Row],[last_return_date]]&gt;ReconciliationData[[#This Row],[Order_Date]]+60),1,0)</f>
        <v>0</v>
      </c>
      <c r="V1537">
        <f>IF(ReconciliationData[[#This Row],[total_returned_units]]&gt;ReconciliationData[[#This Row],[ordered_units]],1,0)</f>
        <v>0</v>
      </c>
      <c r="W15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37">
        <f>ReconciliationData[[#This Row],[Billed_Units]]*ReconciliationData[[#This Row],[Billed_Price]]</f>
        <v>4897.8720000000003</v>
      </c>
      <c r="Y1537">
        <f>ReconciliationData[[#This Row],[ordered_units]]*ReconciliationData[[#This Row],[List_Price]]</f>
        <v>4897.8720000000003</v>
      </c>
      <c r="Z1537">
        <f>ReconciliationData[[#This Row],[billed_revenue]]-ReconciliationData[[#This Row],[expected_revenue]]</f>
        <v>0</v>
      </c>
      <c r="AA15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37" t="str">
        <f>IF(ReconciliationData[[#This Row],[severity_score]]=0,"LOW",
 IF(ReconciliationData[[#This Row],[severity_score]]&lt;=5,"MEDIUM","HIGH"))</f>
        <v>LOW</v>
      </c>
      <c r="AC1537" t="str">
        <f>TEXT(ReconciliationData[[#This Row],[Order_Date]],"YYYY-MM")</f>
        <v>2023-03</v>
      </c>
    </row>
    <row r="1538" spans="1:29">
      <c r="A1538" t="s">
        <v>4197</v>
      </c>
      <c r="B1538" s="1">
        <v>45518</v>
      </c>
      <c r="C1538" t="s">
        <v>4198</v>
      </c>
      <c r="D1538" t="s">
        <v>798</v>
      </c>
      <c r="E1538">
        <v>179</v>
      </c>
      <c r="F1538" t="s">
        <v>4199</v>
      </c>
      <c r="G1538">
        <v>179</v>
      </c>
      <c r="H1538">
        <v>153.01650000000001</v>
      </c>
      <c r="I1538">
        <v>11</v>
      </c>
      <c r="J1538" s="1">
        <v>45673</v>
      </c>
      <c r="N1538">
        <v>153.01650000000001</v>
      </c>
      <c r="O1538" s="1">
        <v>45064</v>
      </c>
      <c r="P1538">
        <f>IF(ISBLANK(ReconciliationData[[#This Row],[Invoice_ID]]),1,0)</f>
        <v>0</v>
      </c>
      <c r="Q1538">
        <f>IF(AND(NOT(ISBLANK(ReconciliationData[[#This Row],[Billed_Units]])),ReconciliationData[[#This Row],[ordered_units]]&lt;&gt;ReconciliationData[[#This Row],[Billed_Units]]),1,0)</f>
        <v>0</v>
      </c>
      <c r="R15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8">
        <f>IF(AND(NOT(ISBLANK(ReconciliationData[[#This Row],[Contract_Price]])),ReconciliationData[[#This Row],[Billed_Price]]&lt;&gt;ReconciliationData[[#This Row],[Contract_Price]]),1,0)</f>
        <v>0</v>
      </c>
      <c r="T1538">
        <f>IF(AND(NOT(ISBLANK(ReconciliationData[[#This Row],[End_Date]])),ReconciliationData[[#This Row],[Order_Date]]&gt;ReconciliationData[[#This Row],[End_Date]]),1,0)</f>
        <v>0</v>
      </c>
      <c r="U1538">
        <f>IF(AND(NOT(ISBLANK(ReconciliationData[[#This Row],[last_return_date]])),ReconciliationData[[#This Row],[last_return_date]]&gt;ReconciliationData[[#This Row],[Order_Date]]+60),1,0)</f>
        <v>1</v>
      </c>
      <c r="V1538">
        <f>IF(ReconciliationData[[#This Row],[total_returned_units]]&gt;ReconciliationData[[#This Row],[ordered_units]],1,0)</f>
        <v>0</v>
      </c>
      <c r="W15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38">
        <f>ReconciliationData[[#This Row],[Billed_Units]]*ReconciliationData[[#This Row],[Billed_Price]]</f>
        <v>27389.9535</v>
      </c>
      <c r="Y1538">
        <f>ReconciliationData[[#This Row],[ordered_units]]*ReconciliationData[[#This Row],[List_Price]]</f>
        <v>27389.9535</v>
      </c>
      <c r="Z1538">
        <f>ReconciliationData[[#This Row],[billed_revenue]]-ReconciliationData[[#This Row],[expected_revenue]]</f>
        <v>0</v>
      </c>
      <c r="AA15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538" t="str">
        <f>IF(ReconciliationData[[#This Row],[severity_score]]=0,"LOW",
 IF(ReconciliationData[[#This Row],[severity_score]]&lt;=5,"MEDIUM","HIGH"))</f>
        <v>MEDIUM</v>
      </c>
      <c r="AC1538" t="str">
        <f>TEXT(ReconciliationData[[#This Row],[Order_Date]],"YYYY-MM")</f>
        <v>2024-08</v>
      </c>
    </row>
    <row r="1539" spans="1:29">
      <c r="A1539" t="s">
        <v>4200</v>
      </c>
      <c r="B1539" s="1">
        <v>45635</v>
      </c>
      <c r="C1539" t="s">
        <v>3664</v>
      </c>
      <c r="D1539" t="s">
        <v>1555</v>
      </c>
      <c r="E1539">
        <v>145</v>
      </c>
      <c r="F1539" t="s">
        <v>4201</v>
      </c>
      <c r="G1539">
        <v>145</v>
      </c>
      <c r="H1539">
        <v>850.16200000000003</v>
      </c>
      <c r="I1539">
        <v>11</v>
      </c>
      <c r="J1539" s="1">
        <v>45049</v>
      </c>
      <c r="N1539">
        <v>850.16200000000003</v>
      </c>
      <c r="O1539" s="1">
        <v>45099</v>
      </c>
      <c r="P1539">
        <f>IF(ISBLANK(ReconciliationData[[#This Row],[Invoice_ID]]),1,0)</f>
        <v>0</v>
      </c>
      <c r="Q1539">
        <f>IF(AND(NOT(ISBLANK(ReconciliationData[[#This Row],[Billed_Units]])),ReconciliationData[[#This Row],[ordered_units]]&lt;&gt;ReconciliationData[[#This Row],[Billed_Units]]),1,0)</f>
        <v>0</v>
      </c>
      <c r="R15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39">
        <f>IF(AND(NOT(ISBLANK(ReconciliationData[[#This Row],[Contract_Price]])),ReconciliationData[[#This Row],[Billed_Price]]&lt;&gt;ReconciliationData[[#This Row],[Contract_Price]]),1,0)</f>
        <v>0</v>
      </c>
      <c r="T1539">
        <f>IF(AND(NOT(ISBLANK(ReconciliationData[[#This Row],[End_Date]])),ReconciliationData[[#This Row],[Order_Date]]&gt;ReconciliationData[[#This Row],[End_Date]]),1,0)</f>
        <v>0</v>
      </c>
      <c r="U1539">
        <f>IF(AND(NOT(ISBLANK(ReconciliationData[[#This Row],[last_return_date]])),ReconciliationData[[#This Row],[last_return_date]]&gt;ReconciliationData[[#This Row],[Order_Date]]+60),1,0)</f>
        <v>0</v>
      </c>
      <c r="V1539">
        <f>IF(ReconciliationData[[#This Row],[total_returned_units]]&gt;ReconciliationData[[#This Row],[ordered_units]],1,0)</f>
        <v>0</v>
      </c>
      <c r="W15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39">
        <f>ReconciliationData[[#This Row],[Billed_Units]]*ReconciliationData[[#This Row],[Billed_Price]]</f>
        <v>123273.49</v>
      </c>
      <c r="Y1539">
        <f>ReconciliationData[[#This Row],[ordered_units]]*ReconciliationData[[#This Row],[List_Price]]</f>
        <v>123273.49</v>
      </c>
      <c r="Z1539">
        <f>ReconciliationData[[#This Row],[billed_revenue]]-ReconciliationData[[#This Row],[expected_revenue]]</f>
        <v>0</v>
      </c>
      <c r="AA15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39" t="str">
        <f>IF(ReconciliationData[[#This Row],[severity_score]]=0,"LOW",
 IF(ReconciliationData[[#This Row],[severity_score]]&lt;=5,"MEDIUM","HIGH"))</f>
        <v>LOW</v>
      </c>
      <c r="AC1539" t="str">
        <f>TEXT(ReconciliationData[[#This Row],[Order_Date]],"YYYY-MM")</f>
        <v>2024-12</v>
      </c>
    </row>
    <row r="1540" spans="1:29">
      <c r="A1540" t="s">
        <v>4202</v>
      </c>
      <c r="B1540" s="1">
        <v>45095</v>
      </c>
      <c r="C1540" t="s">
        <v>4203</v>
      </c>
      <c r="D1540" t="s">
        <v>1754</v>
      </c>
      <c r="E1540">
        <v>95</v>
      </c>
      <c r="F1540" t="s">
        <v>4204</v>
      </c>
      <c r="G1540">
        <v>95</v>
      </c>
      <c r="H1540">
        <v>1114.3462</v>
      </c>
      <c r="N1540">
        <v>1114.3462</v>
      </c>
      <c r="O1540" s="1">
        <v>45015</v>
      </c>
      <c r="P1540">
        <f>IF(ISBLANK(ReconciliationData[[#This Row],[Invoice_ID]]),1,0)</f>
        <v>0</v>
      </c>
      <c r="Q1540">
        <f>IF(AND(NOT(ISBLANK(ReconciliationData[[#This Row],[Billed_Units]])),ReconciliationData[[#This Row],[ordered_units]]&lt;&gt;ReconciliationData[[#This Row],[Billed_Units]]),1,0)</f>
        <v>0</v>
      </c>
      <c r="R15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0">
        <f>IF(AND(NOT(ISBLANK(ReconciliationData[[#This Row],[Contract_Price]])),ReconciliationData[[#This Row],[Billed_Price]]&lt;&gt;ReconciliationData[[#This Row],[Contract_Price]]),1,0)</f>
        <v>0</v>
      </c>
      <c r="T1540">
        <f>IF(AND(NOT(ISBLANK(ReconciliationData[[#This Row],[End_Date]])),ReconciliationData[[#This Row],[Order_Date]]&gt;ReconciliationData[[#This Row],[End_Date]]),1,0)</f>
        <v>0</v>
      </c>
      <c r="U1540">
        <f>IF(AND(NOT(ISBLANK(ReconciliationData[[#This Row],[last_return_date]])),ReconciliationData[[#This Row],[last_return_date]]&gt;ReconciliationData[[#This Row],[Order_Date]]+60),1,0)</f>
        <v>0</v>
      </c>
      <c r="V1540">
        <f>IF(ReconciliationData[[#This Row],[total_returned_units]]&gt;ReconciliationData[[#This Row],[ordered_units]],1,0)</f>
        <v>0</v>
      </c>
      <c r="W15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40">
        <f>ReconciliationData[[#This Row],[Billed_Units]]*ReconciliationData[[#This Row],[Billed_Price]]</f>
        <v>105862.889</v>
      </c>
      <c r="Y1540">
        <f>ReconciliationData[[#This Row],[ordered_units]]*ReconciliationData[[#This Row],[List_Price]]</f>
        <v>105862.889</v>
      </c>
      <c r="Z1540">
        <f>ReconciliationData[[#This Row],[billed_revenue]]-ReconciliationData[[#This Row],[expected_revenue]]</f>
        <v>0</v>
      </c>
      <c r="AA15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40" t="str">
        <f>IF(ReconciliationData[[#This Row],[severity_score]]=0,"LOW",
 IF(ReconciliationData[[#This Row],[severity_score]]&lt;=5,"MEDIUM","HIGH"))</f>
        <v>LOW</v>
      </c>
      <c r="AC1540" t="str">
        <f>TEXT(ReconciliationData[[#This Row],[Order_Date]],"YYYY-MM")</f>
        <v>2023-06</v>
      </c>
    </row>
    <row r="1541" spans="1:29">
      <c r="A1541" t="s">
        <v>4205</v>
      </c>
      <c r="B1541" s="1">
        <v>45179</v>
      </c>
      <c r="C1541" t="s">
        <v>3728</v>
      </c>
      <c r="D1541" t="s">
        <v>138</v>
      </c>
      <c r="E1541">
        <v>165</v>
      </c>
      <c r="F1541" t="s">
        <v>4206</v>
      </c>
      <c r="G1541">
        <v>165</v>
      </c>
      <c r="H1541">
        <v>444.22</v>
      </c>
      <c r="N1541">
        <v>444.22</v>
      </c>
      <c r="O1541" s="1">
        <v>45074</v>
      </c>
      <c r="P1541">
        <f>IF(ISBLANK(ReconciliationData[[#This Row],[Invoice_ID]]),1,0)</f>
        <v>0</v>
      </c>
      <c r="Q1541">
        <f>IF(AND(NOT(ISBLANK(ReconciliationData[[#This Row],[Billed_Units]])),ReconciliationData[[#This Row],[ordered_units]]&lt;&gt;ReconciliationData[[#This Row],[Billed_Units]]),1,0)</f>
        <v>0</v>
      </c>
      <c r="R15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1">
        <f>IF(AND(NOT(ISBLANK(ReconciliationData[[#This Row],[Contract_Price]])),ReconciliationData[[#This Row],[Billed_Price]]&lt;&gt;ReconciliationData[[#This Row],[Contract_Price]]),1,0)</f>
        <v>0</v>
      </c>
      <c r="T1541">
        <f>IF(AND(NOT(ISBLANK(ReconciliationData[[#This Row],[End_Date]])),ReconciliationData[[#This Row],[Order_Date]]&gt;ReconciliationData[[#This Row],[End_Date]]),1,0)</f>
        <v>0</v>
      </c>
      <c r="U1541">
        <f>IF(AND(NOT(ISBLANK(ReconciliationData[[#This Row],[last_return_date]])),ReconciliationData[[#This Row],[last_return_date]]&gt;ReconciliationData[[#This Row],[Order_Date]]+60),1,0)</f>
        <v>0</v>
      </c>
      <c r="V1541">
        <f>IF(ReconciliationData[[#This Row],[total_returned_units]]&gt;ReconciliationData[[#This Row],[ordered_units]],1,0)</f>
        <v>0</v>
      </c>
      <c r="W15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41">
        <f>ReconciliationData[[#This Row],[Billed_Units]]*ReconciliationData[[#This Row],[Billed_Price]]</f>
        <v>73296.3</v>
      </c>
      <c r="Y1541">
        <f>ReconciliationData[[#This Row],[ordered_units]]*ReconciliationData[[#This Row],[List_Price]]</f>
        <v>73296.3</v>
      </c>
      <c r="Z1541">
        <f>ReconciliationData[[#This Row],[billed_revenue]]-ReconciliationData[[#This Row],[expected_revenue]]</f>
        <v>0</v>
      </c>
      <c r="AA15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41" t="str">
        <f>IF(ReconciliationData[[#This Row],[severity_score]]=0,"LOW",
 IF(ReconciliationData[[#This Row],[severity_score]]&lt;=5,"MEDIUM","HIGH"))</f>
        <v>LOW</v>
      </c>
      <c r="AC1541" t="str">
        <f>TEXT(ReconciliationData[[#This Row],[Order_Date]],"YYYY-MM")</f>
        <v>2023-09</v>
      </c>
    </row>
    <row r="1542" spans="1:29">
      <c r="A1542" t="s">
        <v>4207</v>
      </c>
      <c r="B1542" s="1">
        <v>45642</v>
      </c>
      <c r="C1542" t="s">
        <v>440</v>
      </c>
      <c r="D1542" t="s">
        <v>381</v>
      </c>
      <c r="E1542">
        <v>180</v>
      </c>
      <c r="F1542" t="s">
        <v>4208</v>
      </c>
      <c r="G1542">
        <v>180</v>
      </c>
      <c r="H1542">
        <v>942.54840000000013</v>
      </c>
      <c r="N1542">
        <v>942.54840000000013</v>
      </c>
      <c r="O1542" s="1">
        <v>45086</v>
      </c>
      <c r="P1542">
        <f>IF(ISBLANK(ReconciliationData[[#This Row],[Invoice_ID]]),1,0)</f>
        <v>0</v>
      </c>
      <c r="Q1542">
        <f>IF(AND(NOT(ISBLANK(ReconciliationData[[#This Row],[Billed_Units]])),ReconciliationData[[#This Row],[ordered_units]]&lt;&gt;ReconciliationData[[#This Row],[Billed_Units]]),1,0)</f>
        <v>0</v>
      </c>
      <c r="R15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2">
        <f>IF(AND(NOT(ISBLANK(ReconciliationData[[#This Row],[Contract_Price]])),ReconciliationData[[#This Row],[Billed_Price]]&lt;&gt;ReconciliationData[[#This Row],[Contract_Price]]),1,0)</f>
        <v>0</v>
      </c>
      <c r="T1542">
        <f>IF(AND(NOT(ISBLANK(ReconciliationData[[#This Row],[End_Date]])),ReconciliationData[[#This Row],[Order_Date]]&gt;ReconciliationData[[#This Row],[End_Date]]),1,0)</f>
        <v>0</v>
      </c>
      <c r="U1542">
        <f>IF(AND(NOT(ISBLANK(ReconciliationData[[#This Row],[last_return_date]])),ReconciliationData[[#This Row],[last_return_date]]&gt;ReconciliationData[[#This Row],[Order_Date]]+60),1,0)</f>
        <v>0</v>
      </c>
      <c r="V1542">
        <f>IF(ReconciliationData[[#This Row],[total_returned_units]]&gt;ReconciliationData[[#This Row],[ordered_units]],1,0)</f>
        <v>0</v>
      </c>
      <c r="W15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42">
        <f>ReconciliationData[[#This Row],[Billed_Units]]*ReconciliationData[[#This Row],[Billed_Price]]</f>
        <v>169658.71200000003</v>
      </c>
      <c r="Y1542">
        <f>ReconciliationData[[#This Row],[ordered_units]]*ReconciliationData[[#This Row],[List_Price]]</f>
        <v>169658.71200000003</v>
      </c>
      <c r="Z1542">
        <f>ReconciliationData[[#This Row],[billed_revenue]]-ReconciliationData[[#This Row],[expected_revenue]]</f>
        <v>0</v>
      </c>
      <c r="AA15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42" t="str">
        <f>IF(ReconciliationData[[#This Row],[severity_score]]=0,"LOW",
 IF(ReconciliationData[[#This Row],[severity_score]]&lt;=5,"MEDIUM","HIGH"))</f>
        <v>LOW</v>
      </c>
      <c r="AC1542" t="str">
        <f>TEXT(ReconciliationData[[#This Row],[Order_Date]],"YYYY-MM")</f>
        <v>2024-12</v>
      </c>
    </row>
    <row r="1543" spans="1:29">
      <c r="A1543" t="s">
        <v>4209</v>
      </c>
      <c r="B1543" s="1">
        <v>45130</v>
      </c>
      <c r="C1543" t="s">
        <v>1753</v>
      </c>
      <c r="D1543" t="s">
        <v>1754</v>
      </c>
      <c r="E1543">
        <v>82</v>
      </c>
      <c r="F1543" t="s">
        <v>4210</v>
      </c>
      <c r="G1543">
        <v>82</v>
      </c>
      <c r="H1543">
        <v>1072.2954</v>
      </c>
      <c r="N1543">
        <v>1072.2954</v>
      </c>
      <c r="O1543" s="1">
        <v>45120</v>
      </c>
      <c r="P1543">
        <f>IF(ISBLANK(ReconciliationData[[#This Row],[Invoice_ID]]),1,0)</f>
        <v>0</v>
      </c>
      <c r="Q1543">
        <f>IF(AND(NOT(ISBLANK(ReconciliationData[[#This Row],[Billed_Units]])),ReconciliationData[[#This Row],[ordered_units]]&lt;&gt;ReconciliationData[[#This Row],[Billed_Units]]),1,0)</f>
        <v>0</v>
      </c>
      <c r="R15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3">
        <f>IF(AND(NOT(ISBLANK(ReconciliationData[[#This Row],[Contract_Price]])),ReconciliationData[[#This Row],[Billed_Price]]&lt;&gt;ReconciliationData[[#This Row],[Contract_Price]]),1,0)</f>
        <v>0</v>
      </c>
      <c r="T1543">
        <f>IF(AND(NOT(ISBLANK(ReconciliationData[[#This Row],[End_Date]])),ReconciliationData[[#This Row],[Order_Date]]&gt;ReconciliationData[[#This Row],[End_Date]]),1,0)</f>
        <v>0</v>
      </c>
      <c r="U1543">
        <f>IF(AND(NOT(ISBLANK(ReconciliationData[[#This Row],[last_return_date]])),ReconciliationData[[#This Row],[last_return_date]]&gt;ReconciliationData[[#This Row],[Order_Date]]+60),1,0)</f>
        <v>0</v>
      </c>
      <c r="V1543">
        <f>IF(ReconciliationData[[#This Row],[total_returned_units]]&gt;ReconciliationData[[#This Row],[ordered_units]],1,0)</f>
        <v>0</v>
      </c>
      <c r="W15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43">
        <f>ReconciliationData[[#This Row],[Billed_Units]]*ReconciliationData[[#This Row],[Billed_Price]]</f>
        <v>87928.222800000003</v>
      </c>
      <c r="Y1543">
        <f>ReconciliationData[[#This Row],[ordered_units]]*ReconciliationData[[#This Row],[List_Price]]</f>
        <v>87928.222800000003</v>
      </c>
      <c r="Z1543">
        <f>ReconciliationData[[#This Row],[billed_revenue]]-ReconciliationData[[#This Row],[expected_revenue]]</f>
        <v>0</v>
      </c>
      <c r="AA15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43" t="str">
        <f>IF(ReconciliationData[[#This Row],[severity_score]]=0,"LOW",
 IF(ReconciliationData[[#This Row],[severity_score]]&lt;=5,"MEDIUM","HIGH"))</f>
        <v>LOW</v>
      </c>
      <c r="AC1543" t="str">
        <f>TEXT(ReconciliationData[[#This Row],[Order_Date]],"YYYY-MM")</f>
        <v>2023-07</v>
      </c>
    </row>
    <row r="1544" spans="1:29">
      <c r="A1544" t="s">
        <v>4211</v>
      </c>
      <c r="B1544" s="1">
        <v>45508</v>
      </c>
      <c r="C1544" t="s">
        <v>4212</v>
      </c>
      <c r="D1544" t="s">
        <v>1533</v>
      </c>
      <c r="E1544">
        <v>140</v>
      </c>
      <c r="F1544" t="s">
        <v>4213</v>
      </c>
      <c r="G1544">
        <v>144</v>
      </c>
      <c r="H1544">
        <v>952.36940000000004</v>
      </c>
      <c r="N1544">
        <v>952.36940000000004</v>
      </c>
      <c r="O1544" s="1">
        <v>45169</v>
      </c>
      <c r="P1544">
        <f>IF(ISBLANK(ReconciliationData[[#This Row],[Invoice_ID]]),1,0)</f>
        <v>0</v>
      </c>
      <c r="Q1544">
        <f>IF(AND(NOT(ISBLANK(ReconciliationData[[#This Row],[Billed_Units]])),ReconciliationData[[#This Row],[ordered_units]]&lt;&gt;ReconciliationData[[#This Row],[Billed_Units]]),1,0)</f>
        <v>1</v>
      </c>
      <c r="R15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4">
        <f>IF(AND(NOT(ISBLANK(ReconciliationData[[#This Row],[Contract_Price]])),ReconciliationData[[#This Row],[Billed_Price]]&lt;&gt;ReconciliationData[[#This Row],[Contract_Price]]),1,0)</f>
        <v>0</v>
      </c>
      <c r="T1544">
        <f>IF(AND(NOT(ISBLANK(ReconciliationData[[#This Row],[End_Date]])),ReconciliationData[[#This Row],[Order_Date]]&gt;ReconciliationData[[#This Row],[End_Date]]),1,0)</f>
        <v>0</v>
      </c>
      <c r="U1544">
        <f>IF(AND(NOT(ISBLANK(ReconciliationData[[#This Row],[last_return_date]])),ReconciliationData[[#This Row],[last_return_date]]&gt;ReconciliationData[[#This Row],[Order_Date]]+60),1,0)</f>
        <v>0</v>
      </c>
      <c r="V1544">
        <f>IF(ReconciliationData[[#This Row],[total_returned_units]]&gt;ReconciliationData[[#This Row],[ordered_units]],1,0)</f>
        <v>0</v>
      </c>
      <c r="W15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44">
        <f>ReconciliationData[[#This Row],[Billed_Units]]*ReconciliationData[[#This Row],[Billed_Price]]</f>
        <v>137141.1936</v>
      </c>
      <c r="Y1544">
        <f>ReconciliationData[[#This Row],[ordered_units]]*ReconciliationData[[#This Row],[List_Price]]</f>
        <v>133331.71600000001</v>
      </c>
      <c r="Z1544">
        <f>ReconciliationData[[#This Row],[billed_revenue]]-ReconciliationData[[#This Row],[expected_revenue]]</f>
        <v>3809.4775999999838</v>
      </c>
      <c r="AA15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544" t="str">
        <f>IF(ReconciliationData[[#This Row],[severity_score]]=0,"LOW",
 IF(ReconciliationData[[#This Row],[severity_score]]&lt;=5,"MEDIUM","HIGH"))</f>
        <v>HIGH</v>
      </c>
      <c r="AC1544" t="str">
        <f>TEXT(ReconciliationData[[#This Row],[Order_Date]],"YYYY-MM")</f>
        <v>2024-08</v>
      </c>
    </row>
    <row r="1545" spans="1:29">
      <c r="A1545" t="s">
        <v>4214</v>
      </c>
      <c r="B1545" s="1">
        <v>45274</v>
      </c>
      <c r="C1545" t="s">
        <v>986</v>
      </c>
      <c r="D1545" t="s">
        <v>2097</v>
      </c>
      <c r="E1545">
        <v>185</v>
      </c>
      <c r="F1545" t="s">
        <v>4215</v>
      </c>
      <c r="G1545">
        <v>185</v>
      </c>
      <c r="H1545">
        <v>599.90620000000001</v>
      </c>
      <c r="N1545">
        <v>599.90620000000001</v>
      </c>
      <c r="O1545" s="1">
        <v>45060</v>
      </c>
      <c r="P1545">
        <f>IF(ISBLANK(ReconciliationData[[#This Row],[Invoice_ID]]),1,0)</f>
        <v>0</v>
      </c>
      <c r="Q1545">
        <f>IF(AND(NOT(ISBLANK(ReconciliationData[[#This Row],[Billed_Units]])),ReconciliationData[[#This Row],[ordered_units]]&lt;&gt;ReconciliationData[[#This Row],[Billed_Units]]),1,0)</f>
        <v>0</v>
      </c>
      <c r="R15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5">
        <f>IF(AND(NOT(ISBLANK(ReconciliationData[[#This Row],[Contract_Price]])),ReconciliationData[[#This Row],[Billed_Price]]&lt;&gt;ReconciliationData[[#This Row],[Contract_Price]]),1,0)</f>
        <v>0</v>
      </c>
      <c r="T1545">
        <f>IF(AND(NOT(ISBLANK(ReconciliationData[[#This Row],[End_Date]])),ReconciliationData[[#This Row],[Order_Date]]&gt;ReconciliationData[[#This Row],[End_Date]]),1,0)</f>
        <v>0</v>
      </c>
      <c r="U1545">
        <f>IF(AND(NOT(ISBLANK(ReconciliationData[[#This Row],[last_return_date]])),ReconciliationData[[#This Row],[last_return_date]]&gt;ReconciliationData[[#This Row],[Order_Date]]+60),1,0)</f>
        <v>0</v>
      </c>
      <c r="V1545">
        <f>IF(ReconciliationData[[#This Row],[total_returned_units]]&gt;ReconciliationData[[#This Row],[ordered_units]],1,0)</f>
        <v>0</v>
      </c>
      <c r="W15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45">
        <f>ReconciliationData[[#This Row],[Billed_Units]]*ReconciliationData[[#This Row],[Billed_Price]]</f>
        <v>110982.647</v>
      </c>
      <c r="Y1545">
        <f>ReconciliationData[[#This Row],[ordered_units]]*ReconciliationData[[#This Row],[List_Price]]</f>
        <v>110982.647</v>
      </c>
      <c r="Z1545">
        <f>ReconciliationData[[#This Row],[billed_revenue]]-ReconciliationData[[#This Row],[expected_revenue]]</f>
        <v>0</v>
      </c>
      <c r="AA15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45" t="str">
        <f>IF(ReconciliationData[[#This Row],[severity_score]]=0,"LOW",
 IF(ReconciliationData[[#This Row],[severity_score]]&lt;=5,"MEDIUM","HIGH"))</f>
        <v>LOW</v>
      </c>
      <c r="AC1545" t="str">
        <f>TEXT(ReconciliationData[[#This Row],[Order_Date]],"YYYY-MM")</f>
        <v>2023-12</v>
      </c>
    </row>
    <row r="1546" spans="1:29">
      <c r="A1546" t="s">
        <v>4216</v>
      </c>
      <c r="B1546" s="1">
        <v>45165</v>
      </c>
      <c r="C1546" t="s">
        <v>1615</v>
      </c>
      <c r="D1546" t="s">
        <v>3954</v>
      </c>
      <c r="E1546">
        <v>30</v>
      </c>
      <c r="F1546" t="s">
        <v>4217</v>
      </c>
      <c r="G1546">
        <v>30</v>
      </c>
      <c r="H1546">
        <v>269.95269999999999</v>
      </c>
      <c r="I1546">
        <v>14</v>
      </c>
      <c r="J1546" s="1">
        <v>45654</v>
      </c>
      <c r="N1546">
        <v>269.95269999999999</v>
      </c>
      <c r="O1546" s="1">
        <v>44781</v>
      </c>
      <c r="P1546">
        <f>IF(ISBLANK(ReconciliationData[[#This Row],[Invoice_ID]]),1,0)</f>
        <v>0</v>
      </c>
      <c r="Q1546">
        <f>IF(AND(NOT(ISBLANK(ReconciliationData[[#This Row],[Billed_Units]])),ReconciliationData[[#This Row],[ordered_units]]&lt;&gt;ReconciliationData[[#This Row],[Billed_Units]]),1,0)</f>
        <v>0</v>
      </c>
      <c r="R15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6">
        <f>IF(AND(NOT(ISBLANK(ReconciliationData[[#This Row],[Contract_Price]])),ReconciliationData[[#This Row],[Billed_Price]]&lt;&gt;ReconciliationData[[#This Row],[Contract_Price]]),1,0)</f>
        <v>0</v>
      </c>
      <c r="T1546">
        <f>IF(AND(NOT(ISBLANK(ReconciliationData[[#This Row],[End_Date]])),ReconciliationData[[#This Row],[Order_Date]]&gt;ReconciliationData[[#This Row],[End_Date]]),1,0)</f>
        <v>0</v>
      </c>
      <c r="U1546">
        <f>IF(AND(NOT(ISBLANK(ReconciliationData[[#This Row],[last_return_date]])),ReconciliationData[[#This Row],[last_return_date]]&gt;ReconciliationData[[#This Row],[Order_Date]]+60),1,0)</f>
        <v>1</v>
      </c>
      <c r="V1546">
        <f>IF(ReconciliationData[[#This Row],[total_returned_units]]&gt;ReconciliationData[[#This Row],[ordered_units]],1,0)</f>
        <v>0</v>
      </c>
      <c r="W15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46">
        <f>ReconciliationData[[#This Row],[Billed_Units]]*ReconciliationData[[#This Row],[Billed_Price]]</f>
        <v>8098.5810000000001</v>
      </c>
      <c r="Y1546">
        <f>ReconciliationData[[#This Row],[ordered_units]]*ReconciliationData[[#This Row],[List_Price]]</f>
        <v>8098.5810000000001</v>
      </c>
      <c r="Z1546">
        <f>ReconciliationData[[#This Row],[billed_revenue]]-ReconciliationData[[#This Row],[expected_revenue]]</f>
        <v>0</v>
      </c>
      <c r="AA15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546" t="str">
        <f>IF(ReconciliationData[[#This Row],[severity_score]]=0,"LOW",
 IF(ReconciliationData[[#This Row],[severity_score]]&lt;=5,"MEDIUM","HIGH"))</f>
        <v>MEDIUM</v>
      </c>
      <c r="AC1546" t="str">
        <f>TEXT(ReconciliationData[[#This Row],[Order_Date]],"YYYY-MM")</f>
        <v>2023-08</v>
      </c>
    </row>
    <row r="1547" spans="1:29">
      <c r="A1547" t="s">
        <v>4218</v>
      </c>
      <c r="B1547" s="1">
        <v>45331</v>
      </c>
      <c r="C1547" t="s">
        <v>2356</v>
      </c>
      <c r="D1547" t="s">
        <v>1333</v>
      </c>
      <c r="E1547">
        <v>2</v>
      </c>
      <c r="F1547" t="s">
        <v>4219</v>
      </c>
      <c r="G1547">
        <v>2</v>
      </c>
      <c r="H1547">
        <v>418.93040000000002</v>
      </c>
      <c r="N1547">
        <v>418.93040000000002</v>
      </c>
      <c r="O1547" s="1">
        <v>45214</v>
      </c>
      <c r="P1547">
        <f>IF(ISBLANK(ReconciliationData[[#This Row],[Invoice_ID]]),1,0)</f>
        <v>0</v>
      </c>
      <c r="Q1547">
        <f>IF(AND(NOT(ISBLANK(ReconciliationData[[#This Row],[Billed_Units]])),ReconciliationData[[#This Row],[ordered_units]]&lt;&gt;ReconciliationData[[#This Row],[Billed_Units]]),1,0)</f>
        <v>0</v>
      </c>
      <c r="R15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7">
        <f>IF(AND(NOT(ISBLANK(ReconciliationData[[#This Row],[Contract_Price]])),ReconciliationData[[#This Row],[Billed_Price]]&lt;&gt;ReconciliationData[[#This Row],[Contract_Price]]),1,0)</f>
        <v>0</v>
      </c>
      <c r="T1547">
        <f>IF(AND(NOT(ISBLANK(ReconciliationData[[#This Row],[End_Date]])),ReconciliationData[[#This Row],[Order_Date]]&gt;ReconciliationData[[#This Row],[End_Date]]),1,0)</f>
        <v>0</v>
      </c>
      <c r="U1547">
        <f>IF(AND(NOT(ISBLANK(ReconciliationData[[#This Row],[last_return_date]])),ReconciliationData[[#This Row],[last_return_date]]&gt;ReconciliationData[[#This Row],[Order_Date]]+60),1,0)</f>
        <v>0</v>
      </c>
      <c r="V1547">
        <f>IF(ReconciliationData[[#This Row],[total_returned_units]]&gt;ReconciliationData[[#This Row],[ordered_units]],1,0)</f>
        <v>0</v>
      </c>
      <c r="W15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47">
        <f>ReconciliationData[[#This Row],[Billed_Units]]*ReconciliationData[[#This Row],[Billed_Price]]</f>
        <v>837.86080000000004</v>
      </c>
      <c r="Y1547">
        <f>ReconciliationData[[#This Row],[ordered_units]]*ReconciliationData[[#This Row],[List_Price]]</f>
        <v>837.86080000000004</v>
      </c>
      <c r="Z1547">
        <f>ReconciliationData[[#This Row],[billed_revenue]]-ReconciliationData[[#This Row],[expected_revenue]]</f>
        <v>0</v>
      </c>
      <c r="AA15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47" t="str">
        <f>IF(ReconciliationData[[#This Row],[severity_score]]=0,"LOW",
 IF(ReconciliationData[[#This Row],[severity_score]]&lt;=5,"MEDIUM","HIGH"))</f>
        <v>LOW</v>
      </c>
      <c r="AC1547" t="str">
        <f>TEXT(ReconciliationData[[#This Row],[Order_Date]],"YYYY-MM")</f>
        <v>2024-02</v>
      </c>
    </row>
    <row r="1548" spans="1:29">
      <c r="A1548" t="s">
        <v>4220</v>
      </c>
      <c r="B1548" s="1">
        <v>45656</v>
      </c>
      <c r="C1548" t="s">
        <v>3388</v>
      </c>
      <c r="D1548" t="s">
        <v>969</v>
      </c>
      <c r="E1548">
        <v>65</v>
      </c>
      <c r="F1548" t="s">
        <v>4221</v>
      </c>
      <c r="G1548">
        <v>65</v>
      </c>
      <c r="H1548">
        <v>991.99</v>
      </c>
      <c r="N1548">
        <v>991.99</v>
      </c>
      <c r="O1548" s="1">
        <v>44976</v>
      </c>
      <c r="P1548">
        <f>IF(ISBLANK(ReconciliationData[[#This Row],[Invoice_ID]]),1,0)</f>
        <v>0</v>
      </c>
      <c r="Q1548">
        <f>IF(AND(NOT(ISBLANK(ReconciliationData[[#This Row],[Billed_Units]])),ReconciliationData[[#This Row],[ordered_units]]&lt;&gt;ReconciliationData[[#This Row],[Billed_Units]]),1,0)</f>
        <v>0</v>
      </c>
      <c r="R15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8">
        <f>IF(AND(NOT(ISBLANK(ReconciliationData[[#This Row],[Contract_Price]])),ReconciliationData[[#This Row],[Billed_Price]]&lt;&gt;ReconciliationData[[#This Row],[Contract_Price]]),1,0)</f>
        <v>0</v>
      </c>
      <c r="T1548">
        <f>IF(AND(NOT(ISBLANK(ReconciliationData[[#This Row],[End_Date]])),ReconciliationData[[#This Row],[Order_Date]]&gt;ReconciliationData[[#This Row],[End_Date]]),1,0)</f>
        <v>0</v>
      </c>
      <c r="U1548">
        <f>IF(AND(NOT(ISBLANK(ReconciliationData[[#This Row],[last_return_date]])),ReconciliationData[[#This Row],[last_return_date]]&gt;ReconciliationData[[#This Row],[Order_Date]]+60),1,0)</f>
        <v>0</v>
      </c>
      <c r="V1548">
        <f>IF(ReconciliationData[[#This Row],[total_returned_units]]&gt;ReconciliationData[[#This Row],[ordered_units]],1,0)</f>
        <v>0</v>
      </c>
      <c r="W15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48">
        <f>ReconciliationData[[#This Row],[Billed_Units]]*ReconciliationData[[#This Row],[Billed_Price]]</f>
        <v>64479.35</v>
      </c>
      <c r="Y1548">
        <f>ReconciliationData[[#This Row],[ordered_units]]*ReconciliationData[[#This Row],[List_Price]]</f>
        <v>64479.35</v>
      </c>
      <c r="Z1548">
        <f>ReconciliationData[[#This Row],[billed_revenue]]-ReconciliationData[[#This Row],[expected_revenue]]</f>
        <v>0</v>
      </c>
      <c r="AA15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48" t="str">
        <f>IF(ReconciliationData[[#This Row],[severity_score]]=0,"LOW",
 IF(ReconciliationData[[#This Row],[severity_score]]&lt;=5,"MEDIUM","HIGH"))</f>
        <v>LOW</v>
      </c>
      <c r="AC1548" t="str">
        <f>TEXT(ReconciliationData[[#This Row],[Order_Date]],"YYYY-MM")</f>
        <v>2024-12</v>
      </c>
    </row>
    <row r="1549" spans="1:29">
      <c r="A1549" t="s">
        <v>4222</v>
      </c>
      <c r="B1549" s="1">
        <v>45259</v>
      </c>
      <c r="C1549" t="s">
        <v>1120</v>
      </c>
      <c r="D1549" t="s">
        <v>235</v>
      </c>
      <c r="E1549">
        <v>3</v>
      </c>
      <c r="F1549" t="s">
        <v>4223</v>
      </c>
      <c r="G1549">
        <v>3</v>
      </c>
      <c r="H1549">
        <v>426.10500000000002</v>
      </c>
      <c r="N1549">
        <v>426.10500000000002</v>
      </c>
      <c r="O1549" s="1">
        <v>45215</v>
      </c>
      <c r="P1549">
        <f>IF(ISBLANK(ReconciliationData[[#This Row],[Invoice_ID]]),1,0)</f>
        <v>0</v>
      </c>
      <c r="Q1549">
        <f>IF(AND(NOT(ISBLANK(ReconciliationData[[#This Row],[Billed_Units]])),ReconciliationData[[#This Row],[ordered_units]]&lt;&gt;ReconciliationData[[#This Row],[Billed_Units]]),1,0)</f>
        <v>0</v>
      </c>
      <c r="R15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49">
        <f>IF(AND(NOT(ISBLANK(ReconciliationData[[#This Row],[Contract_Price]])),ReconciliationData[[#This Row],[Billed_Price]]&lt;&gt;ReconciliationData[[#This Row],[Contract_Price]]),1,0)</f>
        <v>0</v>
      </c>
      <c r="T1549">
        <f>IF(AND(NOT(ISBLANK(ReconciliationData[[#This Row],[End_Date]])),ReconciliationData[[#This Row],[Order_Date]]&gt;ReconciliationData[[#This Row],[End_Date]]),1,0)</f>
        <v>0</v>
      </c>
      <c r="U1549">
        <f>IF(AND(NOT(ISBLANK(ReconciliationData[[#This Row],[last_return_date]])),ReconciliationData[[#This Row],[last_return_date]]&gt;ReconciliationData[[#This Row],[Order_Date]]+60),1,0)</f>
        <v>0</v>
      </c>
      <c r="V1549">
        <f>IF(ReconciliationData[[#This Row],[total_returned_units]]&gt;ReconciliationData[[#This Row],[ordered_units]],1,0)</f>
        <v>0</v>
      </c>
      <c r="W15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49">
        <f>ReconciliationData[[#This Row],[Billed_Units]]*ReconciliationData[[#This Row],[Billed_Price]]</f>
        <v>1278.3150000000001</v>
      </c>
      <c r="Y1549">
        <f>ReconciliationData[[#This Row],[ordered_units]]*ReconciliationData[[#This Row],[List_Price]]</f>
        <v>1278.3150000000001</v>
      </c>
      <c r="Z1549">
        <f>ReconciliationData[[#This Row],[billed_revenue]]-ReconciliationData[[#This Row],[expected_revenue]]</f>
        <v>0</v>
      </c>
      <c r="AA15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49" t="str">
        <f>IF(ReconciliationData[[#This Row],[severity_score]]=0,"LOW",
 IF(ReconciliationData[[#This Row],[severity_score]]&lt;=5,"MEDIUM","HIGH"))</f>
        <v>LOW</v>
      </c>
      <c r="AC1549" t="str">
        <f>TEXT(ReconciliationData[[#This Row],[Order_Date]],"YYYY-MM")</f>
        <v>2023-11</v>
      </c>
    </row>
    <row r="1550" spans="1:29">
      <c r="A1550" t="s">
        <v>4224</v>
      </c>
      <c r="B1550" s="1">
        <v>45460</v>
      </c>
      <c r="C1550" t="s">
        <v>2708</v>
      </c>
      <c r="D1550" t="s">
        <v>3530</v>
      </c>
      <c r="E1550">
        <v>156</v>
      </c>
      <c r="F1550" t="s">
        <v>4225</v>
      </c>
      <c r="G1550">
        <v>156</v>
      </c>
      <c r="H1550">
        <v>143.86799999999999</v>
      </c>
      <c r="N1550">
        <v>143.86799999999999</v>
      </c>
      <c r="O1550" s="1">
        <v>45036</v>
      </c>
      <c r="P1550">
        <f>IF(ISBLANK(ReconciliationData[[#This Row],[Invoice_ID]]),1,0)</f>
        <v>0</v>
      </c>
      <c r="Q1550">
        <f>IF(AND(NOT(ISBLANK(ReconciliationData[[#This Row],[Billed_Units]])),ReconciliationData[[#This Row],[ordered_units]]&lt;&gt;ReconciliationData[[#This Row],[Billed_Units]]),1,0)</f>
        <v>0</v>
      </c>
      <c r="R15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0">
        <f>IF(AND(NOT(ISBLANK(ReconciliationData[[#This Row],[Contract_Price]])),ReconciliationData[[#This Row],[Billed_Price]]&lt;&gt;ReconciliationData[[#This Row],[Contract_Price]]),1,0)</f>
        <v>0</v>
      </c>
      <c r="T1550">
        <f>IF(AND(NOT(ISBLANK(ReconciliationData[[#This Row],[End_Date]])),ReconciliationData[[#This Row],[Order_Date]]&gt;ReconciliationData[[#This Row],[End_Date]]),1,0)</f>
        <v>0</v>
      </c>
      <c r="U1550">
        <f>IF(AND(NOT(ISBLANK(ReconciliationData[[#This Row],[last_return_date]])),ReconciliationData[[#This Row],[last_return_date]]&gt;ReconciliationData[[#This Row],[Order_Date]]+60),1,0)</f>
        <v>0</v>
      </c>
      <c r="V1550">
        <f>IF(ReconciliationData[[#This Row],[total_returned_units]]&gt;ReconciliationData[[#This Row],[ordered_units]],1,0)</f>
        <v>0</v>
      </c>
      <c r="W15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0">
        <f>ReconciliationData[[#This Row],[Billed_Units]]*ReconciliationData[[#This Row],[Billed_Price]]</f>
        <v>22443.407999999999</v>
      </c>
      <c r="Y1550">
        <f>ReconciliationData[[#This Row],[ordered_units]]*ReconciliationData[[#This Row],[List_Price]]</f>
        <v>22443.407999999999</v>
      </c>
      <c r="Z1550">
        <f>ReconciliationData[[#This Row],[billed_revenue]]-ReconciliationData[[#This Row],[expected_revenue]]</f>
        <v>0</v>
      </c>
      <c r="AA15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0" t="str">
        <f>IF(ReconciliationData[[#This Row],[severity_score]]=0,"LOW",
 IF(ReconciliationData[[#This Row],[severity_score]]&lt;=5,"MEDIUM","HIGH"))</f>
        <v>LOW</v>
      </c>
      <c r="AC1550" t="str">
        <f>TEXT(ReconciliationData[[#This Row],[Order_Date]],"YYYY-MM")</f>
        <v>2024-06</v>
      </c>
    </row>
    <row r="1551" spans="1:29">
      <c r="A1551" t="s">
        <v>4226</v>
      </c>
      <c r="B1551" s="1">
        <v>45042</v>
      </c>
      <c r="C1551" t="s">
        <v>756</v>
      </c>
      <c r="D1551" t="s">
        <v>768</v>
      </c>
      <c r="E1551">
        <v>145</v>
      </c>
      <c r="F1551" t="s">
        <v>4227</v>
      </c>
      <c r="G1551">
        <v>145</v>
      </c>
      <c r="H1551">
        <v>410.02</v>
      </c>
      <c r="N1551">
        <v>410.02</v>
      </c>
      <c r="O1551" s="1">
        <v>45017</v>
      </c>
      <c r="P1551">
        <f>IF(ISBLANK(ReconciliationData[[#This Row],[Invoice_ID]]),1,0)</f>
        <v>0</v>
      </c>
      <c r="Q1551">
        <f>IF(AND(NOT(ISBLANK(ReconciliationData[[#This Row],[Billed_Units]])),ReconciliationData[[#This Row],[ordered_units]]&lt;&gt;ReconciliationData[[#This Row],[Billed_Units]]),1,0)</f>
        <v>0</v>
      </c>
      <c r="R15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1">
        <f>IF(AND(NOT(ISBLANK(ReconciliationData[[#This Row],[Contract_Price]])),ReconciliationData[[#This Row],[Billed_Price]]&lt;&gt;ReconciliationData[[#This Row],[Contract_Price]]),1,0)</f>
        <v>0</v>
      </c>
      <c r="T1551">
        <f>IF(AND(NOT(ISBLANK(ReconciliationData[[#This Row],[End_Date]])),ReconciliationData[[#This Row],[Order_Date]]&gt;ReconciliationData[[#This Row],[End_Date]]),1,0)</f>
        <v>0</v>
      </c>
      <c r="U1551">
        <f>IF(AND(NOT(ISBLANK(ReconciliationData[[#This Row],[last_return_date]])),ReconciliationData[[#This Row],[last_return_date]]&gt;ReconciliationData[[#This Row],[Order_Date]]+60),1,0)</f>
        <v>0</v>
      </c>
      <c r="V1551">
        <f>IF(ReconciliationData[[#This Row],[total_returned_units]]&gt;ReconciliationData[[#This Row],[ordered_units]],1,0)</f>
        <v>0</v>
      </c>
      <c r="W15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1">
        <f>ReconciliationData[[#This Row],[Billed_Units]]*ReconciliationData[[#This Row],[Billed_Price]]</f>
        <v>59452.899999999994</v>
      </c>
      <c r="Y1551">
        <f>ReconciliationData[[#This Row],[ordered_units]]*ReconciliationData[[#This Row],[List_Price]]</f>
        <v>59452.899999999994</v>
      </c>
      <c r="Z1551">
        <f>ReconciliationData[[#This Row],[billed_revenue]]-ReconciliationData[[#This Row],[expected_revenue]]</f>
        <v>0</v>
      </c>
      <c r="AA15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1" t="str">
        <f>IF(ReconciliationData[[#This Row],[severity_score]]=0,"LOW",
 IF(ReconciliationData[[#This Row],[severity_score]]&lt;=5,"MEDIUM","HIGH"))</f>
        <v>LOW</v>
      </c>
      <c r="AC1551" t="str">
        <f>TEXT(ReconciliationData[[#This Row],[Order_Date]],"YYYY-MM")</f>
        <v>2023-04</v>
      </c>
    </row>
    <row r="1552" spans="1:29">
      <c r="A1552" t="s">
        <v>4228</v>
      </c>
      <c r="B1552" s="1">
        <v>45443</v>
      </c>
      <c r="C1552" t="s">
        <v>986</v>
      </c>
      <c r="D1552" t="s">
        <v>487</v>
      </c>
      <c r="E1552">
        <v>63</v>
      </c>
      <c r="F1552" t="s">
        <v>4229</v>
      </c>
      <c r="G1552">
        <v>63</v>
      </c>
      <c r="H1552">
        <v>280.03500000000003</v>
      </c>
      <c r="N1552">
        <v>280.03500000000003</v>
      </c>
      <c r="O1552" s="1">
        <v>45146</v>
      </c>
      <c r="P1552">
        <f>IF(ISBLANK(ReconciliationData[[#This Row],[Invoice_ID]]),1,0)</f>
        <v>0</v>
      </c>
      <c r="Q1552">
        <f>IF(AND(NOT(ISBLANK(ReconciliationData[[#This Row],[Billed_Units]])),ReconciliationData[[#This Row],[ordered_units]]&lt;&gt;ReconciliationData[[#This Row],[Billed_Units]]),1,0)</f>
        <v>0</v>
      </c>
      <c r="R15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2">
        <f>IF(AND(NOT(ISBLANK(ReconciliationData[[#This Row],[Contract_Price]])),ReconciliationData[[#This Row],[Billed_Price]]&lt;&gt;ReconciliationData[[#This Row],[Contract_Price]]),1,0)</f>
        <v>0</v>
      </c>
      <c r="T1552">
        <f>IF(AND(NOT(ISBLANK(ReconciliationData[[#This Row],[End_Date]])),ReconciliationData[[#This Row],[Order_Date]]&gt;ReconciliationData[[#This Row],[End_Date]]),1,0)</f>
        <v>0</v>
      </c>
      <c r="U1552">
        <f>IF(AND(NOT(ISBLANK(ReconciliationData[[#This Row],[last_return_date]])),ReconciliationData[[#This Row],[last_return_date]]&gt;ReconciliationData[[#This Row],[Order_Date]]+60),1,0)</f>
        <v>0</v>
      </c>
      <c r="V1552">
        <f>IF(ReconciliationData[[#This Row],[total_returned_units]]&gt;ReconciliationData[[#This Row],[ordered_units]],1,0)</f>
        <v>0</v>
      </c>
      <c r="W15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2">
        <f>ReconciliationData[[#This Row],[Billed_Units]]*ReconciliationData[[#This Row],[Billed_Price]]</f>
        <v>17642.205000000002</v>
      </c>
      <c r="Y1552">
        <f>ReconciliationData[[#This Row],[ordered_units]]*ReconciliationData[[#This Row],[List_Price]]</f>
        <v>17642.205000000002</v>
      </c>
      <c r="Z1552">
        <f>ReconciliationData[[#This Row],[billed_revenue]]-ReconciliationData[[#This Row],[expected_revenue]]</f>
        <v>0</v>
      </c>
      <c r="AA15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2" t="str">
        <f>IF(ReconciliationData[[#This Row],[severity_score]]=0,"LOW",
 IF(ReconciliationData[[#This Row],[severity_score]]&lt;=5,"MEDIUM","HIGH"))</f>
        <v>LOW</v>
      </c>
      <c r="AC1552" t="str">
        <f>TEXT(ReconciliationData[[#This Row],[Order_Date]],"YYYY-MM")</f>
        <v>2024-05</v>
      </c>
    </row>
    <row r="1553" spans="1:29">
      <c r="A1553" t="s">
        <v>4230</v>
      </c>
      <c r="B1553" s="1">
        <v>45535</v>
      </c>
      <c r="C1553" t="s">
        <v>4231</v>
      </c>
      <c r="D1553" t="s">
        <v>1449</v>
      </c>
      <c r="E1553">
        <v>127</v>
      </c>
      <c r="F1553" t="s">
        <v>4232</v>
      </c>
      <c r="G1553">
        <v>127</v>
      </c>
      <c r="H1553">
        <v>960.85850000000005</v>
      </c>
      <c r="N1553">
        <v>960.85850000000005</v>
      </c>
      <c r="O1553" s="1">
        <v>45049</v>
      </c>
      <c r="P1553">
        <f>IF(ISBLANK(ReconciliationData[[#This Row],[Invoice_ID]]),1,0)</f>
        <v>0</v>
      </c>
      <c r="Q1553">
        <f>IF(AND(NOT(ISBLANK(ReconciliationData[[#This Row],[Billed_Units]])),ReconciliationData[[#This Row],[ordered_units]]&lt;&gt;ReconciliationData[[#This Row],[Billed_Units]]),1,0)</f>
        <v>0</v>
      </c>
      <c r="R15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3">
        <f>IF(AND(NOT(ISBLANK(ReconciliationData[[#This Row],[Contract_Price]])),ReconciliationData[[#This Row],[Billed_Price]]&lt;&gt;ReconciliationData[[#This Row],[Contract_Price]]),1,0)</f>
        <v>0</v>
      </c>
      <c r="T1553">
        <f>IF(AND(NOT(ISBLANK(ReconciliationData[[#This Row],[End_Date]])),ReconciliationData[[#This Row],[Order_Date]]&gt;ReconciliationData[[#This Row],[End_Date]]),1,0)</f>
        <v>0</v>
      </c>
      <c r="U1553">
        <f>IF(AND(NOT(ISBLANK(ReconciliationData[[#This Row],[last_return_date]])),ReconciliationData[[#This Row],[last_return_date]]&gt;ReconciliationData[[#This Row],[Order_Date]]+60),1,0)</f>
        <v>0</v>
      </c>
      <c r="V1553">
        <f>IF(ReconciliationData[[#This Row],[total_returned_units]]&gt;ReconciliationData[[#This Row],[ordered_units]],1,0)</f>
        <v>0</v>
      </c>
      <c r="W15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3">
        <f>ReconciliationData[[#This Row],[Billed_Units]]*ReconciliationData[[#This Row],[Billed_Price]]</f>
        <v>122029.0295</v>
      </c>
      <c r="Y1553">
        <f>ReconciliationData[[#This Row],[ordered_units]]*ReconciliationData[[#This Row],[List_Price]]</f>
        <v>122029.0295</v>
      </c>
      <c r="Z1553">
        <f>ReconciliationData[[#This Row],[billed_revenue]]-ReconciliationData[[#This Row],[expected_revenue]]</f>
        <v>0</v>
      </c>
      <c r="AA15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3" t="str">
        <f>IF(ReconciliationData[[#This Row],[severity_score]]=0,"LOW",
 IF(ReconciliationData[[#This Row],[severity_score]]&lt;=5,"MEDIUM","HIGH"))</f>
        <v>LOW</v>
      </c>
      <c r="AC1553" t="str">
        <f>TEXT(ReconciliationData[[#This Row],[Order_Date]],"YYYY-MM")</f>
        <v>2024-08</v>
      </c>
    </row>
    <row r="1554" spans="1:29">
      <c r="A1554" t="s">
        <v>4233</v>
      </c>
      <c r="B1554" s="1">
        <v>45605</v>
      </c>
      <c r="C1554" t="s">
        <v>3314</v>
      </c>
      <c r="D1554" t="s">
        <v>3297</v>
      </c>
      <c r="E1554">
        <v>187</v>
      </c>
      <c r="F1554" t="s">
        <v>4234</v>
      </c>
      <c r="G1554">
        <v>187</v>
      </c>
      <c r="H1554">
        <v>933.43190000000004</v>
      </c>
      <c r="N1554">
        <v>933.43190000000004</v>
      </c>
      <c r="O1554" s="1">
        <v>45011</v>
      </c>
      <c r="P1554">
        <f>IF(ISBLANK(ReconciliationData[[#This Row],[Invoice_ID]]),1,0)</f>
        <v>0</v>
      </c>
      <c r="Q1554">
        <f>IF(AND(NOT(ISBLANK(ReconciliationData[[#This Row],[Billed_Units]])),ReconciliationData[[#This Row],[ordered_units]]&lt;&gt;ReconciliationData[[#This Row],[Billed_Units]]),1,0)</f>
        <v>0</v>
      </c>
      <c r="R15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4">
        <f>IF(AND(NOT(ISBLANK(ReconciliationData[[#This Row],[Contract_Price]])),ReconciliationData[[#This Row],[Billed_Price]]&lt;&gt;ReconciliationData[[#This Row],[Contract_Price]]),1,0)</f>
        <v>0</v>
      </c>
      <c r="T1554">
        <f>IF(AND(NOT(ISBLANK(ReconciliationData[[#This Row],[End_Date]])),ReconciliationData[[#This Row],[Order_Date]]&gt;ReconciliationData[[#This Row],[End_Date]]),1,0)</f>
        <v>0</v>
      </c>
      <c r="U1554">
        <f>IF(AND(NOT(ISBLANK(ReconciliationData[[#This Row],[last_return_date]])),ReconciliationData[[#This Row],[last_return_date]]&gt;ReconciliationData[[#This Row],[Order_Date]]+60),1,0)</f>
        <v>0</v>
      </c>
      <c r="V1554">
        <f>IF(ReconciliationData[[#This Row],[total_returned_units]]&gt;ReconciliationData[[#This Row],[ordered_units]],1,0)</f>
        <v>0</v>
      </c>
      <c r="W15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4">
        <f>ReconciliationData[[#This Row],[Billed_Units]]*ReconciliationData[[#This Row],[Billed_Price]]</f>
        <v>174551.7653</v>
      </c>
      <c r="Y1554">
        <f>ReconciliationData[[#This Row],[ordered_units]]*ReconciliationData[[#This Row],[List_Price]]</f>
        <v>174551.7653</v>
      </c>
      <c r="Z1554">
        <f>ReconciliationData[[#This Row],[billed_revenue]]-ReconciliationData[[#This Row],[expected_revenue]]</f>
        <v>0</v>
      </c>
      <c r="AA15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4" t="str">
        <f>IF(ReconciliationData[[#This Row],[severity_score]]=0,"LOW",
 IF(ReconciliationData[[#This Row],[severity_score]]&lt;=5,"MEDIUM","HIGH"))</f>
        <v>LOW</v>
      </c>
      <c r="AC1554" t="str">
        <f>TEXT(ReconciliationData[[#This Row],[Order_Date]],"YYYY-MM")</f>
        <v>2024-11</v>
      </c>
    </row>
    <row r="1555" spans="1:29">
      <c r="A1555" t="s">
        <v>4235</v>
      </c>
      <c r="B1555" s="1">
        <v>44984</v>
      </c>
      <c r="C1555" t="s">
        <v>1223</v>
      </c>
      <c r="D1555" t="s">
        <v>2023</v>
      </c>
      <c r="E1555">
        <v>112</v>
      </c>
      <c r="F1555" t="s">
        <v>4236</v>
      </c>
      <c r="G1555">
        <v>112</v>
      </c>
      <c r="H1555">
        <v>486.65440000000001</v>
      </c>
      <c r="N1555">
        <v>486.65440000000001</v>
      </c>
      <c r="O1555" s="1">
        <v>44763</v>
      </c>
      <c r="P1555">
        <f>IF(ISBLANK(ReconciliationData[[#This Row],[Invoice_ID]]),1,0)</f>
        <v>0</v>
      </c>
      <c r="Q1555">
        <f>IF(AND(NOT(ISBLANK(ReconciliationData[[#This Row],[Billed_Units]])),ReconciliationData[[#This Row],[ordered_units]]&lt;&gt;ReconciliationData[[#This Row],[Billed_Units]]),1,0)</f>
        <v>0</v>
      </c>
      <c r="R15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5">
        <f>IF(AND(NOT(ISBLANK(ReconciliationData[[#This Row],[Contract_Price]])),ReconciliationData[[#This Row],[Billed_Price]]&lt;&gt;ReconciliationData[[#This Row],[Contract_Price]]),1,0)</f>
        <v>0</v>
      </c>
      <c r="T1555">
        <f>IF(AND(NOT(ISBLANK(ReconciliationData[[#This Row],[End_Date]])),ReconciliationData[[#This Row],[Order_Date]]&gt;ReconciliationData[[#This Row],[End_Date]]),1,0)</f>
        <v>0</v>
      </c>
      <c r="U1555">
        <f>IF(AND(NOT(ISBLANK(ReconciliationData[[#This Row],[last_return_date]])),ReconciliationData[[#This Row],[last_return_date]]&gt;ReconciliationData[[#This Row],[Order_Date]]+60),1,0)</f>
        <v>0</v>
      </c>
      <c r="V1555">
        <f>IF(ReconciliationData[[#This Row],[total_returned_units]]&gt;ReconciliationData[[#This Row],[ordered_units]],1,0)</f>
        <v>0</v>
      </c>
      <c r="W15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5">
        <f>ReconciliationData[[#This Row],[Billed_Units]]*ReconciliationData[[#This Row],[Billed_Price]]</f>
        <v>54505.292800000003</v>
      </c>
      <c r="Y1555">
        <f>ReconciliationData[[#This Row],[ordered_units]]*ReconciliationData[[#This Row],[List_Price]]</f>
        <v>54505.292800000003</v>
      </c>
      <c r="Z1555">
        <f>ReconciliationData[[#This Row],[billed_revenue]]-ReconciliationData[[#This Row],[expected_revenue]]</f>
        <v>0</v>
      </c>
      <c r="AA15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5" t="str">
        <f>IF(ReconciliationData[[#This Row],[severity_score]]=0,"LOW",
 IF(ReconciliationData[[#This Row],[severity_score]]&lt;=5,"MEDIUM","HIGH"))</f>
        <v>LOW</v>
      </c>
      <c r="AC1555" t="str">
        <f>TEXT(ReconciliationData[[#This Row],[Order_Date]],"YYYY-MM")</f>
        <v>2023-02</v>
      </c>
    </row>
    <row r="1556" spans="1:29">
      <c r="A1556" t="s">
        <v>4237</v>
      </c>
      <c r="B1556" s="1">
        <v>45189</v>
      </c>
      <c r="C1556" t="s">
        <v>3243</v>
      </c>
      <c r="D1556" t="s">
        <v>1315</v>
      </c>
      <c r="E1556">
        <v>155</v>
      </c>
      <c r="F1556" t="s">
        <v>4238</v>
      </c>
      <c r="G1556">
        <v>155</v>
      </c>
      <c r="H1556">
        <v>334.24649999999997</v>
      </c>
      <c r="N1556">
        <v>334.24649999999997</v>
      </c>
      <c r="O1556" s="1">
        <v>45125</v>
      </c>
      <c r="P1556">
        <f>IF(ISBLANK(ReconciliationData[[#This Row],[Invoice_ID]]),1,0)</f>
        <v>0</v>
      </c>
      <c r="Q1556">
        <f>IF(AND(NOT(ISBLANK(ReconciliationData[[#This Row],[Billed_Units]])),ReconciliationData[[#This Row],[ordered_units]]&lt;&gt;ReconciliationData[[#This Row],[Billed_Units]]),1,0)</f>
        <v>0</v>
      </c>
      <c r="R15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6">
        <f>IF(AND(NOT(ISBLANK(ReconciliationData[[#This Row],[Contract_Price]])),ReconciliationData[[#This Row],[Billed_Price]]&lt;&gt;ReconciliationData[[#This Row],[Contract_Price]]),1,0)</f>
        <v>0</v>
      </c>
      <c r="T1556">
        <f>IF(AND(NOT(ISBLANK(ReconciliationData[[#This Row],[End_Date]])),ReconciliationData[[#This Row],[Order_Date]]&gt;ReconciliationData[[#This Row],[End_Date]]),1,0)</f>
        <v>0</v>
      </c>
      <c r="U1556">
        <f>IF(AND(NOT(ISBLANK(ReconciliationData[[#This Row],[last_return_date]])),ReconciliationData[[#This Row],[last_return_date]]&gt;ReconciliationData[[#This Row],[Order_Date]]+60),1,0)</f>
        <v>0</v>
      </c>
      <c r="V1556">
        <f>IF(ReconciliationData[[#This Row],[total_returned_units]]&gt;ReconciliationData[[#This Row],[ordered_units]],1,0)</f>
        <v>0</v>
      </c>
      <c r="W15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6">
        <f>ReconciliationData[[#This Row],[Billed_Units]]*ReconciliationData[[#This Row],[Billed_Price]]</f>
        <v>51808.207499999997</v>
      </c>
      <c r="Y1556">
        <f>ReconciliationData[[#This Row],[ordered_units]]*ReconciliationData[[#This Row],[List_Price]]</f>
        <v>51808.207499999997</v>
      </c>
      <c r="Z1556">
        <f>ReconciliationData[[#This Row],[billed_revenue]]-ReconciliationData[[#This Row],[expected_revenue]]</f>
        <v>0</v>
      </c>
      <c r="AA15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6" t="str">
        <f>IF(ReconciliationData[[#This Row],[severity_score]]=0,"LOW",
 IF(ReconciliationData[[#This Row],[severity_score]]&lt;=5,"MEDIUM","HIGH"))</f>
        <v>LOW</v>
      </c>
      <c r="AC1556" t="str">
        <f>TEXT(ReconciliationData[[#This Row],[Order_Date]],"YYYY-MM")</f>
        <v>2023-09</v>
      </c>
    </row>
    <row r="1557" spans="1:29">
      <c r="A1557" t="s">
        <v>4239</v>
      </c>
      <c r="B1557" s="1">
        <v>45282</v>
      </c>
      <c r="C1557" t="s">
        <v>1220</v>
      </c>
      <c r="D1557" t="s">
        <v>325</v>
      </c>
      <c r="E1557">
        <v>101</v>
      </c>
      <c r="F1557" t="s">
        <v>4240</v>
      </c>
      <c r="G1557">
        <v>101</v>
      </c>
      <c r="H1557">
        <v>509.36320000000001</v>
      </c>
      <c r="N1557">
        <v>509.36320000000001</v>
      </c>
      <c r="O1557" s="1">
        <v>45171</v>
      </c>
      <c r="P1557">
        <f>IF(ISBLANK(ReconciliationData[[#This Row],[Invoice_ID]]),1,0)</f>
        <v>0</v>
      </c>
      <c r="Q1557">
        <f>IF(AND(NOT(ISBLANK(ReconciliationData[[#This Row],[Billed_Units]])),ReconciliationData[[#This Row],[ordered_units]]&lt;&gt;ReconciliationData[[#This Row],[Billed_Units]]),1,0)</f>
        <v>0</v>
      </c>
      <c r="R15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7">
        <f>IF(AND(NOT(ISBLANK(ReconciliationData[[#This Row],[Contract_Price]])),ReconciliationData[[#This Row],[Billed_Price]]&lt;&gt;ReconciliationData[[#This Row],[Contract_Price]]),1,0)</f>
        <v>0</v>
      </c>
      <c r="T1557">
        <f>IF(AND(NOT(ISBLANK(ReconciliationData[[#This Row],[End_Date]])),ReconciliationData[[#This Row],[Order_Date]]&gt;ReconciliationData[[#This Row],[End_Date]]),1,0)</f>
        <v>0</v>
      </c>
      <c r="U1557">
        <f>IF(AND(NOT(ISBLANK(ReconciliationData[[#This Row],[last_return_date]])),ReconciliationData[[#This Row],[last_return_date]]&gt;ReconciliationData[[#This Row],[Order_Date]]+60),1,0)</f>
        <v>0</v>
      </c>
      <c r="V1557">
        <f>IF(ReconciliationData[[#This Row],[total_returned_units]]&gt;ReconciliationData[[#This Row],[ordered_units]],1,0)</f>
        <v>0</v>
      </c>
      <c r="W15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7">
        <f>ReconciliationData[[#This Row],[Billed_Units]]*ReconciliationData[[#This Row],[Billed_Price]]</f>
        <v>51445.683199999999</v>
      </c>
      <c r="Y1557">
        <f>ReconciliationData[[#This Row],[ordered_units]]*ReconciliationData[[#This Row],[List_Price]]</f>
        <v>51445.683199999999</v>
      </c>
      <c r="Z1557">
        <f>ReconciliationData[[#This Row],[billed_revenue]]-ReconciliationData[[#This Row],[expected_revenue]]</f>
        <v>0</v>
      </c>
      <c r="AA15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7" t="str">
        <f>IF(ReconciliationData[[#This Row],[severity_score]]=0,"LOW",
 IF(ReconciliationData[[#This Row],[severity_score]]&lt;=5,"MEDIUM","HIGH"))</f>
        <v>LOW</v>
      </c>
      <c r="AC1557" t="str">
        <f>TEXT(ReconciliationData[[#This Row],[Order_Date]],"YYYY-MM")</f>
        <v>2023-12</v>
      </c>
    </row>
    <row r="1558" spans="1:29">
      <c r="A1558" t="s">
        <v>4241</v>
      </c>
      <c r="B1558" s="1">
        <v>44943</v>
      </c>
      <c r="C1558" t="s">
        <v>968</v>
      </c>
      <c r="D1558" t="s">
        <v>1542</v>
      </c>
      <c r="E1558">
        <v>46</v>
      </c>
      <c r="F1558" t="s">
        <v>4242</v>
      </c>
      <c r="G1558">
        <v>46</v>
      </c>
      <c r="H1558">
        <v>394.17</v>
      </c>
      <c r="N1558">
        <v>394.17</v>
      </c>
      <c r="O1558" s="1">
        <v>44762</v>
      </c>
      <c r="P1558">
        <f>IF(ISBLANK(ReconciliationData[[#This Row],[Invoice_ID]]),1,0)</f>
        <v>0</v>
      </c>
      <c r="Q1558">
        <f>IF(AND(NOT(ISBLANK(ReconciliationData[[#This Row],[Billed_Units]])),ReconciliationData[[#This Row],[ordered_units]]&lt;&gt;ReconciliationData[[#This Row],[Billed_Units]]),1,0)</f>
        <v>0</v>
      </c>
      <c r="R15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8">
        <f>IF(AND(NOT(ISBLANK(ReconciliationData[[#This Row],[Contract_Price]])),ReconciliationData[[#This Row],[Billed_Price]]&lt;&gt;ReconciliationData[[#This Row],[Contract_Price]]),1,0)</f>
        <v>0</v>
      </c>
      <c r="T1558">
        <f>IF(AND(NOT(ISBLANK(ReconciliationData[[#This Row],[End_Date]])),ReconciliationData[[#This Row],[Order_Date]]&gt;ReconciliationData[[#This Row],[End_Date]]),1,0)</f>
        <v>0</v>
      </c>
      <c r="U1558">
        <f>IF(AND(NOT(ISBLANK(ReconciliationData[[#This Row],[last_return_date]])),ReconciliationData[[#This Row],[last_return_date]]&gt;ReconciliationData[[#This Row],[Order_Date]]+60),1,0)</f>
        <v>0</v>
      </c>
      <c r="V1558">
        <f>IF(ReconciliationData[[#This Row],[total_returned_units]]&gt;ReconciliationData[[#This Row],[ordered_units]],1,0)</f>
        <v>0</v>
      </c>
      <c r="W15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8">
        <f>ReconciliationData[[#This Row],[Billed_Units]]*ReconciliationData[[#This Row],[Billed_Price]]</f>
        <v>18131.82</v>
      </c>
      <c r="Y1558">
        <f>ReconciliationData[[#This Row],[ordered_units]]*ReconciliationData[[#This Row],[List_Price]]</f>
        <v>18131.82</v>
      </c>
      <c r="Z1558">
        <f>ReconciliationData[[#This Row],[billed_revenue]]-ReconciliationData[[#This Row],[expected_revenue]]</f>
        <v>0</v>
      </c>
      <c r="AA15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8" t="str">
        <f>IF(ReconciliationData[[#This Row],[severity_score]]=0,"LOW",
 IF(ReconciliationData[[#This Row],[severity_score]]&lt;=5,"MEDIUM","HIGH"))</f>
        <v>LOW</v>
      </c>
      <c r="AC1558" t="str">
        <f>TEXT(ReconciliationData[[#This Row],[Order_Date]],"YYYY-MM")</f>
        <v>2023-01</v>
      </c>
    </row>
    <row r="1559" spans="1:29">
      <c r="A1559" t="s">
        <v>4243</v>
      </c>
      <c r="B1559" s="1">
        <v>45421</v>
      </c>
      <c r="C1559" t="s">
        <v>2028</v>
      </c>
      <c r="D1559" t="s">
        <v>453</v>
      </c>
      <c r="E1559">
        <v>5</v>
      </c>
      <c r="F1559" t="s">
        <v>4244</v>
      </c>
      <c r="G1559">
        <v>5</v>
      </c>
      <c r="H1559">
        <v>1184.9544000000001</v>
      </c>
      <c r="N1559">
        <v>1184.9544000000001</v>
      </c>
      <c r="O1559" s="1">
        <v>45171</v>
      </c>
      <c r="P1559">
        <f>IF(ISBLANK(ReconciliationData[[#This Row],[Invoice_ID]]),1,0)</f>
        <v>0</v>
      </c>
      <c r="Q1559">
        <f>IF(AND(NOT(ISBLANK(ReconciliationData[[#This Row],[Billed_Units]])),ReconciliationData[[#This Row],[ordered_units]]&lt;&gt;ReconciliationData[[#This Row],[Billed_Units]]),1,0)</f>
        <v>0</v>
      </c>
      <c r="R15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59">
        <f>IF(AND(NOT(ISBLANK(ReconciliationData[[#This Row],[Contract_Price]])),ReconciliationData[[#This Row],[Billed_Price]]&lt;&gt;ReconciliationData[[#This Row],[Contract_Price]]),1,0)</f>
        <v>0</v>
      </c>
      <c r="T1559">
        <f>IF(AND(NOT(ISBLANK(ReconciliationData[[#This Row],[End_Date]])),ReconciliationData[[#This Row],[Order_Date]]&gt;ReconciliationData[[#This Row],[End_Date]]),1,0)</f>
        <v>0</v>
      </c>
      <c r="U1559">
        <f>IF(AND(NOT(ISBLANK(ReconciliationData[[#This Row],[last_return_date]])),ReconciliationData[[#This Row],[last_return_date]]&gt;ReconciliationData[[#This Row],[Order_Date]]+60),1,0)</f>
        <v>0</v>
      </c>
      <c r="V1559">
        <f>IF(ReconciliationData[[#This Row],[total_returned_units]]&gt;ReconciliationData[[#This Row],[ordered_units]],1,0)</f>
        <v>0</v>
      </c>
      <c r="W15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59">
        <f>ReconciliationData[[#This Row],[Billed_Units]]*ReconciliationData[[#This Row],[Billed_Price]]</f>
        <v>5924.7720000000008</v>
      </c>
      <c r="Y1559">
        <f>ReconciliationData[[#This Row],[ordered_units]]*ReconciliationData[[#This Row],[List_Price]]</f>
        <v>5924.7720000000008</v>
      </c>
      <c r="Z1559">
        <f>ReconciliationData[[#This Row],[billed_revenue]]-ReconciliationData[[#This Row],[expected_revenue]]</f>
        <v>0</v>
      </c>
      <c r="AA15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59" t="str">
        <f>IF(ReconciliationData[[#This Row],[severity_score]]=0,"LOW",
 IF(ReconciliationData[[#This Row],[severity_score]]&lt;=5,"MEDIUM","HIGH"))</f>
        <v>LOW</v>
      </c>
      <c r="AC1559" t="str">
        <f>TEXT(ReconciliationData[[#This Row],[Order_Date]],"YYYY-MM")</f>
        <v>2024-05</v>
      </c>
    </row>
    <row r="1560" spans="1:29">
      <c r="A1560" t="s">
        <v>4245</v>
      </c>
      <c r="B1560" s="1">
        <v>44961</v>
      </c>
      <c r="C1560" t="s">
        <v>2668</v>
      </c>
      <c r="D1560" t="s">
        <v>445</v>
      </c>
      <c r="E1560">
        <v>154</v>
      </c>
      <c r="F1560" t="s">
        <v>4246</v>
      </c>
      <c r="G1560">
        <v>154</v>
      </c>
      <c r="H1560">
        <v>754.02560000000005</v>
      </c>
      <c r="N1560">
        <v>754.02560000000005</v>
      </c>
      <c r="O1560" s="1">
        <v>44949</v>
      </c>
      <c r="P1560">
        <f>IF(ISBLANK(ReconciliationData[[#This Row],[Invoice_ID]]),1,0)</f>
        <v>0</v>
      </c>
      <c r="Q1560">
        <f>IF(AND(NOT(ISBLANK(ReconciliationData[[#This Row],[Billed_Units]])),ReconciliationData[[#This Row],[ordered_units]]&lt;&gt;ReconciliationData[[#This Row],[Billed_Units]]),1,0)</f>
        <v>0</v>
      </c>
      <c r="R15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0">
        <f>IF(AND(NOT(ISBLANK(ReconciliationData[[#This Row],[Contract_Price]])),ReconciliationData[[#This Row],[Billed_Price]]&lt;&gt;ReconciliationData[[#This Row],[Contract_Price]]),1,0)</f>
        <v>0</v>
      </c>
      <c r="T1560">
        <f>IF(AND(NOT(ISBLANK(ReconciliationData[[#This Row],[End_Date]])),ReconciliationData[[#This Row],[Order_Date]]&gt;ReconciliationData[[#This Row],[End_Date]]),1,0)</f>
        <v>0</v>
      </c>
      <c r="U1560">
        <f>IF(AND(NOT(ISBLANK(ReconciliationData[[#This Row],[last_return_date]])),ReconciliationData[[#This Row],[last_return_date]]&gt;ReconciliationData[[#This Row],[Order_Date]]+60),1,0)</f>
        <v>0</v>
      </c>
      <c r="V1560">
        <f>IF(ReconciliationData[[#This Row],[total_returned_units]]&gt;ReconciliationData[[#This Row],[ordered_units]],1,0)</f>
        <v>0</v>
      </c>
      <c r="W15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60">
        <f>ReconciliationData[[#This Row],[Billed_Units]]*ReconciliationData[[#This Row],[Billed_Price]]</f>
        <v>116119.94240000001</v>
      </c>
      <c r="Y1560">
        <f>ReconciliationData[[#This Row],[ordered_units]]*ReconciliationData[[#This Row],[List_Price]]</f>
        <v>116119.94240000001</v>
      </c>
      <c r="Z1560">
        <f>ReconciliationData[[#This Row],[billed_revenue]]-ReconciliationData[[#This Row],[expected_revenue]]</f>
        <v>0</v>
      </c>
      <c r="AA15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60" t="str">
        <f>IF(ReconciliationData[[#This Row],[severity_score]]=0,"LOW",
 IF(ReconciliationData[[#This Row],[severity_score]]&lt;=5,"MEDIUM","HIGH"))</f>
        <v>LOW</v>
      </c>
      <c r="AC1560" t="str">
        <f>TEXT(ReconciliationData[[#This Row],[Order_Date]],"YYYY-MM")</f>
        <v>2023-02</v>
      </c>
    </row>
    <row r="1561" spans="1:29">
      <c r="A1561" t="s">
        <v>4247</v>
      </c>
      <c r="B1561" s="1">
        <v>45061</v>
      </c>
      <c r="C1561" t="s">
        <v>3575</v>
      </c>
      <c r="D1561" t="s">
        <v>512</v>
      </c>
      <c r="E1561">
        <v>27</v>
      </c>
      <c r="F1561" t="s">
        <v>4248</v>
      </c>
      <c r="G1561">
        <v>33</v>
      </c>
      <c r="H1561">
        <v>209.48449999999997</v>
      </c>
      <c r="N1561">
        <v>209.48449999999997</v>
      </c>
      <c r="O1561" s="1">
        <v>44956</v>
      </c>
      <c r="P1561">
        <f>IF(ISBLANK(ReconciliationData[[#This Row],[Invoice_ID]]),1,0)</f>
        <v>0</v>
      </c>
      <c r="Q1561">
        <f>IF(AND(NOT(ISBLANK(ReconciliationData[[#This Row],[Billed_Units]])),ReconciliationData[[#This Row],[ordered_units]]&lt;&gt;ReconciliationData[[#This Row],[Billed_Units]]),1,0)</f>
        <v>1</v>
      </c>
      <c r="R15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1">
        <f>IF(AND(NOT(ISBLANK(ReconciliationData[[#This Row],[Contract_Price]])),ReconciliationData[[#This Row],[Billed_Price]]&lt;&gt;ReconciliationData[[#This Row],[Contract_Price]]),1,0)</f>
        <v>0</v>
      </c>
      <c r="T1561">
        <f>IF(AND(NOT(ISBLANK(ReconciliationData[[#This Row],[End_Date]])),ReconciliationData[[#This Row],[Order_Date]]&gt;ReconciliationData[[#This Row],[End_Date]]),1,0)</f>
        <v>0</v>
      </c>
      <c r="U1561">
        <f>IF(AND(NOT(ISBLANK(ReconciliationData[[#This Row],[last_return_date]])),ReconciliationData[[#This Row],[last_return_date]]&gt;ReconciliationData[[#This Row],[Order_Date]]+60),1,0)</f>
        <v>0</v>
      </c>
      <c r="V1561">
        <f>IF(ReconciliationData[[#This Row],[total_returned_units]]&gt;ReconciliationData[[#This Row],[ordered_units]],1,0)</f>
        <v>0</v>
      </c>
      <c r="W15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61">
        <f>ReconciliationData[[#This Row],[Billed_Units]]*ReconciliationData[[#This Row],[Billed_Price]]</f>
        <v>6912.9884999999986</v>
      </c>
      <c r="Y1561">
        <f>ReconciliationData[[#This Row],[ordered_units]]*ReconciliationData[[#This Row],[List_Price]]</f>
        <v>5656.0814999999993</v>
      </c>
      <c r="Z1561">
        <f>ReconciliationData[[#This Row],[billed_revenue]]-ReconciliationData[[#This Row],[expected_revenue]]</f>
        <v>1256.9069999999992</v>
      </c>
      <c r="AA15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561" t="str">
        <f>IF(ReconciliationData[[#This Row],[severity_score]]=0,"LOW",
 IF(ReconciliationData[[#This Row],[severity_score]]&lt;=5,"MEDIUM","HIGH"))</f>
        <v>HIGH</v>
      </c>
      <c r="AC1561" t="str">
        <f>TEXT(ReconciliationData[[#This Row],[Order_Date]],"YYYY-MM")</f>
        <v>2023-05</v>
      </c>
    </row>
    <row r="1562" spans="1:29">
      <c r="A1562" t="s">
        <v>4249</v>
      </c>
      <c r="B1562" s="1">
        <v>44932</v>
      </c>
      <c r="C1562" t="s">
        <v>2349</v>
      </c>
      <c r="D1562" t="s">
        <v>1878</v>
      </c>
      <c r="E1562">
        <v>113</v>
      </c>
      <c r="F1562" t="s">
        <v>4250</v>
      </c>
      <c r="G1562">
        <v>113</v>
      </c>
      <c r="H1562">
        <v>752.34559999999999</v>
      </c>
      <c r="N1562">
        <v>752.34559999999999</v>
      </c>
      <c r="O1562" s="1">
        <v>44900</v>
      </c>
      <c r="P1562">
        <f>IF(ISBLANK(ReconciliationData[[#This Row],[Invoice_ID]]),1,0)</f>
        <v>0</v>
      </c>
      <c r="Q1562">
        <f>IF(AND(NOT(ISBLANK(ReconciliationData[[#This Row],[Billed_Units]])),ReconciliationData[[#This Row],[ordered_units]]&lt;&gt;ReconciliationData[[#This Row],[Billed_Units]]),1,0)</f>
        <v>0</v>
      </c>
      <c r="R15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2">
        <f>IF(AND(NOT(ISBLANK(ReconciliationData[[#This Row],[Contract_Price]])),ReconciliationData[[#This Row],[Billed_Price]]&lt;&gt;ReconciliationData[[#This Row],[Contract_Price]]),1,0)</f>
        <v>0</v>
      </c>
      <c r="T1562">
        <f>IF(AND(NOT(ISBLANK(ReconciliationData[[#This Row],[End_Date]])),ReconciliationData[[#This Row],[Order_Date]]&gt;ReconciliationData[[#This Row],[End_Date]]),1,0)</f>
        <v>0</v>
      </c>
      <c r="U1562">
        <f>IF(AND(NOT(ISBLANK(ReconciliationData[[#This Row],[last_return_date]])),ReconciliationData[[#This Row],[last_return_date]]&gt;ReconciliationData[[#This Row],[Order_Date]]+60),1,0)</f>
        <v>0</v>
      </c>
      <c r="V1562">
        <f>IF(ReconciliationData[[#This Row],[total_returned_units]]&gt;ReconciliationData[[#This Row],[ordered_units]],1,0)</f>
        <v>0</v>
      </c>
      <c r="W15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62">
        <f>ReconciliationData[[#This Row],[Billed_Units]]*ReconciliationData[[#This Row],[Billed_Price]]</f>
        <v>85015.052800000005</v>
      </c>
      <c r="Y1562">
        <f>ReconciliationData[[#This Row],[ordered_units]]*ReconciliationData[[#This Row],[List_Price]]</f>
        <v>85015.052800000005</v>
      </c>
      <c r="Z1562">
        <f>ReconciliationData[[#This Row],[billed_revenue]]-ReconciliationData[[#This Row],[expected_revenue]]</f>
        <v>0</v>
      </c>
      <c r="AA15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62" t="str">
        <f>IF(ReconciliationData[[#This Row],[severity_score]]=0,"LOW",
 IF(ReconciliationData[[#This Row],[severity_score]]&lt;=5,"MEDIUM","HIGH"))</f>
        <v>LOW</v>
      </c>
      <c r="AC1562" t="str">
        <f>TEXT(ReconciliationData[[#This Row],[Order_Date]],"YYYY-MM")</f>
        <v>2023-01</v>
      </c>
    </row>
    <row r="1563" spans="1:29">
      <c r="A1563" t="s">
        <v>4251</v>
      </c>
      <c r="B1563" s="1">
        <v>45335</v>
      </c>
      <c r="C1563" t="s">
        <v>3949</v>
      </c>
      <c r="D1563" t="s">
        <v>3409</v>
      </c>
      <c r="E1563">
        <v>63</v>
      </c>
      <c r="F1563" t="s">
        <v>4252</v>
      </c>
      <c r="G1563">
        <v>63</v>
      </c>
      <c r="H1563">
        <v>104.9652</v>
      </c>
      <c r="N1563">
        <v>104.9652</v>
      </c>
      <c r="O1563" s="1">
        <v>45066</v>
      </c>
      <c r="P1563">
        <f>IF(ISBLANK(ReconciliationData[[#This Row],[Invoice_ID]]),1,0)</f>
        <v>0</v>
      </c>
      <c r="Q1563">
        <f>IF(AND(NOT(ISBLANK(ReconciliationData[[#This Row],[Billed_Units]])),ReconciliationData[[#This Row],[ordered_units]]&lt;&gt;ReconciliationData[[#This Row],[Billed_Units]]),1,0)</f>
        <v>0</v>
      </c>
      <c r="R15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3">
        <f>IF(AND(NOT(ISBLANK(ReconciliationData[[#This Row],[Contract_Price]])),ReconciliationData[[#This Row],[Billed_Price]]&lt;&gt;ReconciliationData[[#This Row],[Contract_Price]]),1,0)</f>
        <v>0</v>
      </c>
      <c r="T1563">
        <f>IF(AND(NOT(ISBLANK(ReconciliationData[[#This Row],[End_Date]])),ReconciliationData[[#This Row],[Order_Date]]&gt;ReconciliationData[[#This Row],[End_Date]]),1,0)</f>
        <v>0</v>
      </c>
      <c r="U1563">
        <f>IF(AND(NOT(ISBLANK(ReconciliationData[[#This Row],[last_return_date]])),ReconciliationData[[#This Row],[last_return_date]]&gt;ReconciliationData[[#This Row],[Order_Date]]+60),1,0)</f>
        <v>0</v>
      </c>
      <c r="V1563">
        <f>IF(ReconciliationData[[#This Row],[total_returned_units]]&gt;ReconciliationData[[#This Row],[ordered_units]],1,0)</f>
        <v>0</v>
      </c>
      <c r="W15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63">
        <f>ReconciliationData[[#This Row],[Billed_Units]]*ReconciliationData[[#This Row],[Billed_Price]]</f>
        <v>6612.8076000000001</v>
      </c>
      <c r="Y1563">
        <f>ReconciliationData[[#This Row],[ordered_units]]*ReconciliationData[[#This Row],[List_Price]]</f>
        <v>6612.8076000000001</v>
      </c>
      <c r="Z1563">
        <f>ReconciliationData[[#This Row],[billed_revenue]]-ReconciliationData[[#This Row],[expected_revenue]]</f>
        <v>0</v>
      </c>
      <c r="AA15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63" t="str">
        <f>IF(ReconciliationData[[#This Row],[severity_score]]=0,"LOW",
 IF(ReconciliationData[[#This Row],[severity_score]]&lt;=5,"MEDIUM","HIGH"))</f>
        <v>LOW</v>
      </c>
      <c r="AC1563" t="str">
        <f>TEXT(ReconciliationData[[#This Row],[Order_Date]],"YYYY-MM")</f>
        <v>2024-02</v>
      </c>
    </row>
    <row r="1564" spans="1:29">
      <c r="A1564" t="s">
        <v>4253</v>
      </c>
      <c r="B1564" s="1">
        <v>45319</v>
      </c>
      <c r="C1564" t="s">
        <v>1728</v>
      </c>
      <c r="D1564" t="s">
        <v>2353</v>
      </c>
      <c r="E1564">
        <v>140</v>
      </c>
      <c r="F1564" t="s">
        <v>4254</v>
      </c>
      <c r="G1564">
        <v>140</v>
      </c>
      <c r="H1564">
        <v>358.33919999999995</v>
      </c>
      <c r="N1564">
        <v>358.33919999999995</v>
      </c>
      <c r="O1564" s="1">
        <v>45108</v>
      </c>
      <c r="P1564">
        <f>IF(ISBLANK(ReconciliationData[[#This Row],[Invoice_ID]]),1,0)</f>
        <v>0</v>
      </c>
      <c r="Q1564">
        <f>IF(AND(NOT(ISBLANK(ReconciliationData[[#This Row],[Billed_Units]])),ReconciliationData[[#This Row],[ordered_units]]&lt;&gt;ReconciliationData[[#This Row],[Billed_Units]]),1,0)</f>
        <v>0</v>
      </c>
      <c r="R15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4">
        <f>IF(AND(NOT(ISBLANK(ReconciliationData[[#This Row],[Contract_Price]])),ReconciliationData[[#This Row],[Billed_Price]]&lt;&gt;ReconciliationData[[#This Row],[Contract_Price]]),1,0)</f>
        <v>0</v>
      </c>
      <c r="T1564">
        <f>IF(AND(NOT(ISBLANK(ReconciliationData[[#This Row],[End_Date]])),ReconciliationData[[#This Row],[Order_Date]]&gt;ReconciliationData[[#This Row],[End_Date]]),1,0)</f>
        <v>0</v>
      </c>
      <c r="U1564">
        <f>IF(AND(NOT(ISBLANK(ReconciliationData[[#This Row],[last_return_date]])),ReconciliationData[[#This Row],[last_return_date]]&gt;ReconciliationData[[#This Row],[Order_Date]]+60),1,0)</f>
        <v>0</v>
      </c>
      <c r="V1564">
        <f>IF(ReconciliationData[[#This Row],[total_returned_units]]&gt;ReconciliationData[[#This Row],[ordered_units]],1,0)</f>
        <v>0</v>
      </c>
      <c r="W15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64">
        <f>ReconciliationData[[#This Row],[Billed_Units]]*ReconciliationData[[#This Row],[Billed_Price]]</f>
        <v>50167.48799999999</v>
      </c>
      <c r="Y1564">
        <f>ReconciliationData[[#This Row],[ordered_units]]*ReconciliationData[[#This Row],[List_Price]]</f>
        <v>50167.48799999999</v>
      </c>
      <c r="Z1564">
        <f>ReconciliationData[[#This Row],[billed_revenue]]-ReconciliationData[[#This Row],[expected_revenue]]</f>
        <v>0</v>
      </c>
      <c r="AA15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64" t="str">
        <f>IF(ReconciliationData[[#This Row],[severity_score]]=0,"LOW",
 IF(ReconciliationData[[#This Row],[severity_score]]&lt;=5,"MEDIUM","HIGH"))</f>
        <v>LOW</v>
      </c>
      <c r="AC1564" t="str">
        <f>TEXT(ReconciliationData[[#This Row],[Order_Date]],"YYYY-MM")</f>
        <v>2024-01</v>
      </c>
    </row>
    <row r="1565" spans="1:29">
      <c r="A1565" t="s">
        <v>4255</v>
      </c>
      <c r="B1565" s="1">
        <v>45196</v>
      </c>
      <c r="C1565" t="s">
        <v>4256</v>
      </c>
      <c r="D1565" t="s">
        <v>937</v>
      </c>
      <c r="E1565">
        <v>159</v>
      </c>
      <c r="F1565" t="s">
        <v>4257</v>
      </c>
      <c r="G1565">
        <v>159</v>
      </c>
      <c r="H1565">
        <v>431.81990000000002</v>
      </c>
      <c r="N1565">
        <v>431.81990000000002</v>
      </c>
      <c r="O1565" s="1">
        <v>44807</v>
      </c>
      <c r="P1565">
        <f>IF(ISBLANK(ReconciliationData[[#This Row],[Invoice_ID]]),1,0)</f>
        <v>0</v>
      </c>
      <c r="Q1565">
        <f>IF(AND(NOT(ISBLANK(ReconciliationData[[#This Row],[Billed_Units]])),ReconciliationData[[#This Row],[ordered_units]]&lt;&gt;ReconciliationData[[#This Row],[Billed_Units]]),1,0)</f>
        <v>0</v>
      </c>
      <c r="R15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5">
        <f>IF(AND(NOT(ISBLANK(ReconciliationData[[#This Row],[Contract_Price]])),ReconciliationData[[#This Row],[Billed_Price]]&lt;&gt;ReconciliationData[[#This Row],[Contract_Price]]),1,0)</f>
        <v>0</v>
      </c>
      <c r="T1565">
        <f>IF(AND(NOT(ISBLANK(ReconciliationData[[#This Row],[End_Date]])),ReconciliationData[[#This Row],[Order_Date]]&gt;ReconciliationData[[#This Row],[End_Date]]),1,0)</f>
        <v>0</v>
      </c>
      <c r="U1565">
        <f>IF(AND(NOT(ISBLANK(ReconciliationData[[#This Row],[last_return_date]])),ReconciliationData[[#This Row],[last_return_date]]&gt;ReconciliationData[[#This Row],[Order_Date]]+60),1,0)</f>
        <v>0</v>
      </c>
      <c r="V1565">
        <f>IF(ReconciliationData[[#This Row],[total_returned_units]]&gt;ReconciliationData[[#This Row],[ordered_units]],1,0)</f>
        <v>0</v>
      </c>
      <c r="W15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65">
        <f>ReconciliationData[[#This Row],[Billed_Units]]*ReconciliationData[[#This Row],[Billed_Price]]</f>
        <v>68659.364100000006</v>
      </c>
      <c r="Y1565">
        <f>ReconciliationData[[#This Row],[ordered_units]]*ReconciliationData[[#This Row],[List_Price]]</f>
        <v>68659.364100000006</v>
      </c>
      <c r="Z1565">
        <f>ReconciliationData[[#This Row],[billed_revenue]]-ReconciliationData[[#This Row],[expected_revenue]]</f>
        <v>0</v>
      </c>
      <c r="AA15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65" t="str">
        <f>IF(ReconciliationData[[#This Row],[severity_score]]=0,"LOW",
 IF(ReconciliationData[[#This Row],[severity_score]]&lt;=5,"MEDIUM","HIGH"))</f>
        <v>LOW</v>
      </c>
      <c r="AC1565" t="str">
        <f>TEXT(ReconciliationData[[#This Row],[Order_Date]],"YYYY-MM")</f>
        <v>2023-09</v>
      </c>
    </row>
    <row r="1566" spans="1:29">
      <c r="A1566" t="s">
        <v>4258</v>
      </c>
      <c r="B1566" s="1">
        <v>45463</v>
      </c>
      <c r="C1566" t="s">
        <v>855</v>
      </c>
      <c r="D1566" t="s">
        <v>768</v>
      </c>
      <c r="E1566">
        <v>94</v>
      </c>
      <c r="F1566" t="s">
        <v>4259</v>
      </c>
      <c r="G1566">
        <v>94</v>
      </c>
      <c r="H1566">
        <v>410.02</v>
      </c>
      <c r="N1566">
        <v>410.02</v>
      </c>
      <c r="O1566" s="1">
        <v>45017</v>
      </c>
      <c r="P1566">
        <f>IF(ISBLANK(ReconciliationData[[#This Row],[Invoice_ID]]),1,0)</f>
        <v>0</v>
      </c>
      <c r="Q1566">
        <f>IF(AND(NOT(ISBLANK(ReconciliationData[[#This Row],[Billed_Units]])),ReconciliationData[[#This Row],[ordered_units]]&lt;&gt;ReconciliationData[[#This Row],[Billed_Units]]),1,0)</f>
        <v>0</v>
      </c>
      <c r="R15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6">
        <f>IF(AND(NOT(ISBLANK(ReconciliationData[[#This Row],[Contract_Price]])),ReconciliationData[[#This Row],[Billed_Price]]&lt;&gt;ReconciliationData[[#This Row],[Contract_Price]]),1,0)</f>
        <v>0</v>
      </c>
      <c r="T1566">
        <f>IF(AND(NOT(ISBLANK(ReconciliationData[[#This Row],[End_Date]])),ReconciliationData[[#This Row],[Order_Date]]&gt;ReconciliationData[[#This Row],[End_Date]]),1,0)</f>
        <v>0</v>
      </c>
      <c r="U1566">
        <f>IF(AND(NOT(ISBLANK(ReconciliationData[[#This Row],[last_return_date]])),ReconciliationData[[#This Row],[last_return_date]]&gt;ReconciliationData[[#This Row],[Order_Date]]+60),1,0)</f>
        <v>0</v>
      </c>
      <c r="V1566">
        <f>IF(ReconciliationData[[#This Row],[total_returned_units]]&gt;ReconciliationData[[#This Row],[ordered_units]],1,0)</f>
        <v>0</v>
      </c>
      <c r="W15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66">
        <f>ReconciliationData[[#This Row],[Billed_Units]]*ReconciliationData[[#This Row],[Billed_Price]]</f>
        <v>38541.879999999997</v>
      </c>
      <c r="Y1566">
        <f>ReconciliationData[[#This Row],[ordered_units]]*ReconciliationData[[#This Row],[List_Price]]</f>
        <v>38541.879999999997</v>
      </c>
      <c r="Z1566">
        <f>ReconciliationData[[#This Row],[billed_revenue]]-ReconciliationData[[#This Row],[expected_revenue]]</f>
        <v>0</v>
      </c>
      <c r="AA15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66" t="str">
        <f>IF(ReconciliationData[[#This Row],[severity_score]]=0,"LOW",
 IF(ReconciliationData[[#This Row],[severity_score]]&lt;=5,"MEDIUM","HIGH"))</f>
        <v>LOW</v>
      </c>
      <c r="AC1566" t="str">
        <f>TEXT(ReconciliationData[[#This Row],[Order_Date]],"YYYY-MM")</f>
        <v>2024-06</v>
      </c>
    </row>
    <row r="1567" spans="1:29">
      <c r="A1567" t="s">
        <v>4260</v>
      </c>
      <c r="B1567" s="1">
        <v>45043</v>
      </c>
      <c r="C1567" t="s">
        <v>1006</v>
      </c>
      <c r="D1567" t="s">
        <v>635</v>
      </c>
      <c r="E1567">
        <v>78</v>
      </c>
      <c r="F1567" t="s">
        <v>4261</v>
      </c>
      <c r="G1567">
        <v>78</v>
      </c>
      <c r="H1567">
        <v>951.54780000000005</v>
      </c>
      <c r="N1567">
        <v>951.54780000000005</v>
      </c>
      <c r="O1567" s="1">
        <v>44964</v>
      </c>
      <c r="P1567">
        <f>IF(ISBLANK(ReconciliationData[[#This Row],[Invoice_ID]]),1,0)</f>
        <v>0</v>
      </c>
      <c r="Q1567">
        <f>IF(AND(NOT(ISBLANK(ReconciliationData[[#This Row],[Billed_Units]])),ReconciliationData[[#This Row],[ordered_units]]&lt;&gt;ReconciliationData[[#This Row],[Billed_Units]]),1,0)</f>
        <v>0</v>
      </c>
      <c r="R15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7">
        <f>IF(AND(NOT(ISBLANK(ReconciliationData[[#This Row],[Contract_Price]])),ReconciliationData[[#This Row],[Billed_Price]]&lt;&gt;ReconciliationData[[#This Row],[Contract_Price]]),1,0)</f>
        <v>0</v>
      </c>
      <c r="T1567">
        <f>IF(AND(NOT(ISBLANK(ReconciliationData[[#This Row],[End_Date]])),ReconciliationData[[#This Row],[Order_Date]]&gt;ReconciliationData[[#This Row],[End_Date]]),1,0)</f>
        <v>0</v>
      </c>
      <c r="U1567">
        <f>IF(AND(NOT(ISBLANK(ReconciliationData[[#This Row],[last_return_date]])),ReconciliationData[[#This Row],[last_return_date]]&gt;ReconciliationData[[#This Row],[Order_Date]]+60),1,0)</f>
        <v>0</v>
      </c>
      <c r="V1567">
        <f>IF(ReconciliationData[[#This Row],[total_returned_units]]&gt;ReconciliationData[[#This Row],[ordered_units]],1,0)</f>
        <v>0</v>
      </c>
      <c r="W15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67">
        <f>ReconciliationData[[#This Row],[Billed_Units]]*ReconciliationData[[#This Row],[Billed_Price]]</f>
        <v>74220.728400000007</v>
      </c>
      <c r="Y1567">
        <f>ReconciliationData[[#This Row],[ordered_units]]*ReconciliationData[[#This Row],[List_Price]]</f>
        <v>74220.728400000007</v>
      </c>
      <c r="Z1567">
        <f>ReconciliationData[[#This Row],[billed_revenue]]-ReconciliationData[[#This Row],[expected_revenue]]</f>
        <v>0</v>
      </c>
      <c r="AA15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67" t="str">
        <f>IF(ReconciliationData[[#This Row],[severity_score]]=0,"LOW",
 IF(ReconciliationData[[#This Row],[severity_score]]&lt;=5,"MEDIUM","HIGH"))</f>
        <v>LOW</v>
      </c>
      <c r="AC1567" t="str">
        <f>TEXT(ReconciliationData[[#This Row],[Order_Date]],"YYYY-MM")</f>
        <v>2023-04</v>
      </c>
    </row>
    <row r="1568" spans="1:29">
      <c r="A1568" t="s">
        <v>4262</v>
      </c>
      <c r="B1568" s="1">
        <v>45556</v>
      </c>
      <c r="C1568" t="s">
        <v>1558</v>
      </c>
      <c r="D1568" t="s">
        <v>916</v>
      </c>
      <c r="E1568">
        <v>129</v>
      </c>
      <c r="F1568" t="s">
        <v>4263</v>
      </c>
      <c r="G1568">
        <v>129</v>
      </c>
      <c r="H1568">
        <v>1158.2643</v>
      </c>
      <c r="N1568">
        <v>1158.2643</v>
      </c>
      <c r="O1568" s="1">
        <v>45119</v>
      </c>
      <c r="P1568">
        <f>IF(ISBLANK(ReconciliationData[[#This Row],[Invoice_ID]]),1,0)</f>
        <v>0</v>
      </c>
      <c r="Q1568">
        <f>IF(AND(NOT(ISBLANK(ReconciliationData[[#This Row],[Billed_Units]])),ReconciliationData[[#This Row],[ordered_units]]&lt;&gt;ReconciliationData[[#This Row],[Billed_Units]]),1,0)</f>
        <v>0</v>
      </c>
      <c r="R15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8">
        <f>IF(AND(NOT(ISBLANK(ReconciliationData[[#This Row],[Contract_Price]])),ReconciliationData[[#This Row],[Billed_Price]]&lt;&gt;ReconciliationData[[#This Row],[Contract_Price]]),1,0)</f>
        <v>0</v>
      </c>
      <c r="T1568">
        <f>IF(AND(NOT(ISBLANK(ReconciliationData[[#This Row],[End_Date]])),ReconciliationData[[#This Row],[Order_Date]]&gt;ReconciliationData[[#This Row],[End_Date]]),1,0)</f>
        <v>0</v>
      </c>
      <c r="U1568">
        <f>IF(AND(NOT(ISBLANK(ReconciliationData[[#This Row],[last_return_date]])),ReconciliationData[[#This Row],[last_return_date]]&gt;ReconciliationData[[#This Row],[Order_Date]]+60),1,0)</f>
        <v>0</v>
      </c>
      <c r="V1568">
        <f>IF(ReconciliationData[[#This Row],[total_returned_units]]&gt;ReconciliationData[[#This Row],[ordered_units]],1,0)</f>
        <v>0</v>
      </c>
      <c r="W15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68">
        <f>ReconciliationData[[#This Row],[Billed_Units]]*ReconciliationData[[#This Row],[Billed_Price]]</f>
        <v>149416.09470000002</v>
      </c>
      <c r="Y1568">
        <f>ReconciliationData[[#This Row],[ordered_units]]*ReconciliationData[[#This Row],[List_Price]]</f>
        <v>149416.09470000002</v>
      </c>
      <c r="Z1568">
        <f>ReconciliationData[[#This Row],[billed_revenue]]-ReconciliationData[[#This Row],[expected_revenue]]</f>
        <v>0</v>
      </c>
      <c r="AA15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68" t="str">
        <f>IF(ReconciliationData[[#This Row],[severity_score]]=0,"LOW",
 IF(ReconciliationData[[#This Row],[severity_score]]&lt;=5,"MEDIUM","HIGH"))</f>
        <v>LOW</v>
      </c>
      <c r="AC1568" t="str">
        <f>TEXT(ReconciliationData[[#This Row],[Order_Date]],"YYYY-MM")</f>
        <v>2024-09</v>
      </c>
    </row>
    <row r="1569" spans="1:29">
      <c r="A1569" t="s">
        <v>4264</v>
      </c>
      <c r="B1569" s="1">
        <v>45381</v>
      </c>
      <c r="C1569" t="s">
        <v>4265</v>
      </c>
      <c r="D1569" t="s">
        <v>231</v>
      </c>
      <c r="E1569">
        <v>44</v>
      </c>
      <c r="F1569" t="s">
        <v>4266</v>
      </c>
      <c r="G1569">
        <v>44</v>
      </c>
      <c r="H1569">
        <v>77.398200000000003</v>
      </c>
      <c r="N1569">
        <v>77.398200000000003</v>
      </c>
      <c r="O1569" s="1">
        <v>45032</v>
      </c>
      <c r="P1569">
        <f>IF(ISBLANK(ReconciliationData[[#This Row],[Invoice_ID]]),1,0)</f>
        <v>0</v>
      </c>
      <c r="Q1569">
        <f>IF(AND(NOT(ISBLANK(ReconciliationData[[#This Row],[Billed_Units]])),ReconciliationData[[#This Row],[ordered_units]]&lt;&gt;ReconciliationData[[#This Row],[Billed_Units]]),1,0)</f>
        <v>0</v>
      </c>
      <c r="R15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69">
        <f>IF(AND(NOT(ISBLANK(ReconciliationData[[#This Row],[Contract_Price]])),ReconciliationData[[#This Row],[Billed_Price]]&lt;&gt;ReconciliationData[[#This Row],[Contract_Price]]),1,0)</f>
        <v>0</v>
      </c>
      <c r="T1569">
        <f>IF(AND(NOT(ISBLANK(ReconciliationData[[#This Row],[End_Date]])),ReconciliationData[[#This Row],[Order_Date]]&gt;ReconciliationData[[#This Row],[End_Date]]),1,0)</f>
        <v>0</v>
      </c>
      <c r="U1569">
        <f>IF(AND(NOT(ISBLANK(ReconciliationData[[#This Row],[last_return_date]])),ReconciliationData[[#This Row],[last_return_date]]&gt;ReconciliationData[[#This Row],[Order_Date]]+60),1,0)</f>
        <v>0</v>
      </c>
      <c r="V1569">
        <f>IF(ReconciliationData[[#This Row],[total_returned_units]]&gt;ReconciliationData[[#This Row],[ordered_units]],1,0)</f>
        <v>0</v>
      </c>
      <c r="W15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69">
        <f>ReconciliationData[[#This Row],[Billed_Units]]*ReconciliationData[[#This Row],[Billed_Price]]</f>
        <v>3405.5208000000002</v>
      </c>
      <c r="Y1569">
        <f>ReconciliationData[[#This Row],[ordered_units]]*ReconciliationData[[#This Row],[List_Price]]</f>
        <v>3405.5208000000002</v>
      </c>
      <c r="Z1569">
        <f>ReconciliationData[[#This Row],[billed_revenue]]-ReconciliationData[[#This Row],[expected_revenue]]</f>
        <v>0</v>
      </c>
      <c r="AA15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69" t="str">
        <f>IF(ReconciliationData[[#This Row],[severity_score]]=0,"LOW",
 IF(ReconciliationData[[#This Row],[severity_score]]&lt;=5,"MEDIUM","HIGH"))</f>
        <v>LOW</v>
      </c>
      <c r="AC1569" t="str">
        <f>TEXT(ReconciliationData[[#This Row],[Order_Date]],"YYYY-MM")</f>
        <v>2024-03</v>
      </c>
    </row>
    <row r="1570" spans="1:29">
      <c r="A1570" t="s">
        <v>4267</v>
      </c>
      <c r="B1570" s="1">
        <v>45601</v>
      </c>
      <c r="C1570" t="s">
        <v>3225</v>
      </c>
      <c r="D1570" t="s">
        <v>983</v>
      </c>
      <c r="E1570">
        <v>166</v>
      </c>
      <c r="F1570" t="s">
        <v>4268</v>
      </c>
      <c r="G1570">
        <v>166</v>
      </c>
      <c r="H1570">
        <v>226.1644</v>
      </c>
      <c r="N1570">
        <v>226.1644</v>
      </c>
      <c r="O1570" s="1">
        <v>45139</v>
      </c>
      <c r="P1570">
        <f>IF(ISBLANK(ReconciliationData[[#This Row],[Invoice_ID]]),1,0)</f>
        <v>0</v>
      </c>
      <c r="Q1570">
        <f>IF(AND(NOT(ISBLANK(ReconciliationData[[#This Row],[Billed_Units]])),ReconciliationData[[#This Row],[ordered_units]]&lt;&gt;ReconciliationData[[#This Row],[Billed_Units]]),1,0)</f>
        <v>0</v>
      </c>
      <c r="R15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0">
        <f>IF(AND(NOT(ISBLANK(ReconciliationData[[#This Row],[Contract_Price]])),ReconciliationData[[#This Row],[Billed_Price]]&lt;&gt;ReconciliationData[[#This Row],[Contract_Price]]),1,0)</f>
        <v>0</v>
      </c>
      <c r="T1570">
        <f>IF(AND(NOT(ISBLANK(ReconciliationData[[#This Row],[End_Date]])),ReconciliationData[[#This Row],[Order_Date]]&gt;ReconciliationData[[#This Row],[End_Date]]),1,0)</f>
        <v>0</v>
      </c>
      <c r="U1570">
        <f>IF(AND(NOT(ISBLANK(ReconciliationData[[#This Row],[last_return_date]])),ReconciliationData[[#This Row],[last_return_date]]&gt;ReconciliationData[[#This Row],[Order_Date]]+60),1,0)</f>
        <v>0</v>
      </c>
      <c r="V1570">
        <f>IF(ReconciliationData[[#This Row],[total_returned_units]]&gt;ReconciliationData[[#This Row],[ordered_units]],1,0)</f>
        <v>0</v>
      </c>
      <c r="W15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70">
        <f>ReconciliationData[[#This Row],[Billed_Units]]*ReconciliationData[[#This Row],[Billed_Price]]</f>
        <v>37543.290399999998</v>
      </c>
      <c r="Y1570">
        <f>ReconciliationData[[#This Row],[ordered_units]]*ReconciliationData[[#This Row],[List_Price]]</f>
        <v>37543.290399999998</v>
      </c>
      <c r="Z1570">
        <f>ReconciliationData[[#This Row],[billed_revenue]]-ReconciliationData[[#This Row],[expected_revenue]]</f>
        <v>0</v>
      </c>
      <c r="AA15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70" t="str">
        <f>IF(ReconciliationData[[#This Row],[severity_score]]=0,"LOW",
 IF(ReconciliationData[[#This Row],[severity_score]]&lt;=5,"MEDIUM","HIGH"))</f>
        <v>LOW</v>
      </c>
      <c r="AC1570" t="str">
        <f>TEXT(ReconciliationData[[#This Row],[Order_Date]],"YYYY-MM")</f>
        <v>2024-11</v>
      </c>
    </row>
    <row r="1571" spans="1:29">
      <c r="A1571" t="s">
        <v>4269</v>
      </c>
      <c r="B1571" s="1">
        <v>45135</v>
      </c>
      <c r="C1571" t="s">
        <v>2100</v>
      </c>
      <c r="D1571" t="s">
        <v>610</v>
      </c>
      <c r="E1571">
        <v>189</v>
      </c>
      <c r="F1571" t="s">
        <v>4270</v>
      </c>
      <c r="G1571">
        <v>189</v>
      </c>
      <c r="H1571">
        <v>457.65019999999998</v>
      </c>
      <c r="K1571">
        <v>429.63</v>
      </c>
      <c r="L1571" s="1">
        <v>44967</v>
      </c>
      <c r="M1571" s="1">
        <v>45324</v>
      </c>
      <c r="N1571">
        <v>457.65019999999998</v>
      </c>
      <c r="O1571" s="1">
        <v>44950</v>
      </c>
      <c r="P1571">
        <f>IF(ISBLANK(ReconciliationData[[#This Row],[Invoice_ID]]),1,0)</f>
        <v>0</v>
      </c>
      <c r="Q1571">
        <f>IF(AND(NOT(ISBLANK(ReconciliationData[[#This Row],[Billed_Units]])),ReconciliationData[[#This Row],[ordered_units]]&lt;&gt;ReconciliationData[[#This Row],[Billed_Units]]),1,0)</f>
        <v>0</v>
      </c>
      <c r="R15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1">
        <f>IF(AND(NOT(ISBLANK(ReconciliationData[[#This Row],[Contract_Price]])),ReconciliationData[[#This Row],[Billed_Price]]&lt;&gt;ReconciliationData[[#This Row],[Contract_Price]]),1,0)</f>
        <v>1</v>
      </c>
      <c r="T1571">
        <f>IF(AND(NOT(ISBLANK(ReconciliationData[[#This Row],[End_Date]])),ReconciliationData[[#This Row],[Order_Date]]&gt;ReconciliationData[[#This Row],[End_Date]]),1,0)</f>
        <v>0</v>
      </c>
      <c r="U1571">
        <f>IF(AND(NOT(ISBLANK(ReconciliationData[[#This Row],[last_return_date]])),ReconciliationData[[#This Row],[last_return_date]]&gt;ReconciliationData[[#This Row],[Order_Date]]+60),1,0)</f>
        <v>0</v>
      </c>
      <c r="V1571">
        <f>IF(ReconciliationData[[#This Row],[total_returned_units]]&gt;ReconciliationData[[#This Row],[ordered_units]],1,0)</f>
        <v>0</v>
      </c>
      <c r="W15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71">
        <f>ReconciliationData[[#This Row],[Billed_Units]]*ReconciliationData[[#This Row],[Billed_Price]]</f>
        <v>86495.887799999997</v>
      </c>
      <c r="Y1571">
        <f>ReconciliationData[[#This Row],[ordered_units]]*ReconciliationData[[#This Row],[List_Price]]</f>
        <v>86495.887799999997</v>
      </c>
      <c r="Z1571">
        <f>ReconciliationData[[#This Row],[billed_revenue]]-ReconciliationData[[#This Row],[expected_revenue]]</f>
        <v>0</v>
      </c>
      <c r="AA15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571" t="str">
        <f>IF(ReconciliationData[[#This Row],[severity_score]]=0,"LOW",
 IF(ReconciliationData[[#This Row],[severity_score]]&lt;=5,"MEDIUM","HIGH"))</f>
        <v>MEDIUM</v>
      </c>
      <c r="AC1571" t="str">
        <f>TEXT(ReconciliationData[[#This Row],[Order_Date]],"YYYY-MM")</f>
        <v>2023-07</v>
      </c>
    </row>
    <row r="1572" spans="1:29">
      <c r="A1572" t="s">
        <v>4271</v>
      </c>
      <c r="B1572" s="1">
        <v>45381</v>
      </c>
      <c r="C1572" t="s">
        <v>2598</v>
      </c>
      <c r="D1572" t="s">
        <v>259</v>
      </c>
      <c r="E1572">
        <v>20</v>
      </c>
      <c r="F1572" t="s">
        <v>4272</v>
      </c>
      <c r="G1572">
        <v>20</v>
      </c>
      <c r="H1572">
        <v>360.68479999999994</v>
      </c>
      <c r="N1572">
        <v>360.68479999999994</v>
      </c>
      <c r="O1572" s="1">
        <v>45072</v>
      </c>
      <c r="P1572">
        <f>IF(ISBLANK(ReconciliationData[[#This Row],[Invoice_ID]]),1,0)</f>
        <v>0</v>
      </c>
      <c r="Q1572">
        <f>IF(AND(NOT(ISBLANK(ReconciliationData[[#This Row],[Billed_Units]])),ReconciliationData[[#This Row],[ordered_units]]&lt;&gt;ReconciliationData[[#This Row],[Billed_Units]]),1,0)</f>
        <v>0</v>
      </c>
      <c r="R15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2">
        <f>IF(AND(NOT(ISBLANK(ReconciliationData[[#This Row],[Contract_Price]])),ReconciliationData[[#This Row],[Billed_Price]]&lt;&gt;ReconciliationData[[#This Row],[Contract_Price]]),1,0)</f>
        <v>0</v>
      </c>
      <c r="T1572">
        <f>IF(AND(NOT(ISBLANK(ReconciliationData[[#This Row],[End_Date]])),ReconciliationData[[#This Row],[Order_Date]]&gt;ReconciliationData[[#This Row],[End_Date]]),1,0)</f>
        <v>0</v>
      </c>
      <c r="U1572">
        <f>IF(AND(NOT(ISBLANK(ReconciliationData[[#This Row],[last_return_date]])),ReconciliationData[[#This Row],[last_return_date]]&gt;ReconciliationData[[#This Row],[Order_Date]]+60),1,0)</f>
        <v>0</v>
      </c>
      <c r="V1572">
        <f>IF(ReconciliationData[[#This Row],[total_returned_units]]&gt;ReconciliationData[[#This Row],[ordered_units]],1,0)</f>
        <v>0</v>
      </c>
      <c r="W15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72">
        <f>ReconciliationData[[#This Row],[Billed_Units]]*ReconciliationData[[#This Row],[Billed_Price]]</f>
        <v>7213.695999999999</v>
      </c>
      <c r="Y1572">
        <f>ReconciliationData[[#This Row],[ordered_units]]*ReconciliationData[[#This Row],[List_Price]]</f>
        <v>7213.695999999999</v>
      </c>
      <c r="Z1572">
        <f>ReconciliationData[[#This Row],[billed_revenue]]-ReconciliationData[[#This Row],[expected_revenue]]</f>
        <v>0</v>
      </c>
      <c r="AA15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72" t="str">
        <f>IF(ReconciliationData[[#This Row],[severity_score]]=0,"LOW",
 IF(ReconciliationData[[#This Row],[severity_score]]&lt;=5,"MEDIUM","HIGH"))</f>
        <v>LOW</v>
      </c>
      <c r="AC1572" t="str">
        <f>TEXT(ReconciliationData[[#This Row],[Order_Date]],"YYYY-MM")</f>
        <v>2024-03</v>
      </c>
    </row>
    <row r="1573" spans="1:29">
      <c r="A1573" t="s">
        <v>4273</v>
      </c>
      <c r="B1573" s="1">
        <v>45400</v>
      </c>
      <c r="C1573" t="s">
        <v>365</v>
      </c>
      <c r="D1573" t="s">
        <v>504</v>
      </c>
      <c r="E1573">
        <v>8</v>
      </c>
      <c r="F1573" t="s">
        <v>4274</v>
      </c>
      <c r="G1573">
        <v>8</v>
      </c>
      <c r="H1573">
        <v>245.8853</v>
      </c>
      <c r="N1573">
        <v>245.8853</v>
      </c>
      <c r="O1573" s="1">
        <v>45025</v>
      </c>
      <c r="P1573">
        <f>IF(ISBLANK(ReconciliationData[[#This Row],[Invoice_ID]]),1,0)</f>
        <v>0</v>
      </c>
      <c r="Q1573">
        <f>IF(AND(NOT(ISBLANK(ReconciliationData[[#This Row],[Billed_Units]])),ReconciliationData[[#This Row],[ordered_units]]&lt;&gt;ReconciliationData[[#This Row],[Billed_Units]]),1,0)</f>
        <v>0</v>
      </c>
      <c r="R15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3">
        <f>IF(AND(NOT(ISBLANK(ReconciliationData[[#This Row],[Contract_Price]])),ReconciliationData[[#This Row],[Billed_Price]]&lt;&gt;ReconciliationData[[#This Row],[Contract_Price]]),1,0)</f>
        <v>0</v>
      </c>
      <c r="T1573">
        <f>IF(AND(NOT(ISBLANK(ReconciliationData[[#This Row],[End_Date]])),ReconciliationData[[#This Row],[Order_Date]]&gt;ReconciliationData[[#This Row],[End_Date]]),1,0)</f>
        <v>0</v>
      </c>
      <c r="U1573">
        <f>IF(AND(NOT(ISBLANK(ReconciliationData[[#This Row],[last_return_date]])),ReconciliationData[[#This Row],[last_return_date]]&gt;ReconciliationData[[#This Row],[Order_Date]]+60),1,0)</f>
        <v>0</v>
      </c>
      <c r="V1573">
        <f>IF(ReconciliationData[[#This Row],[total_returned_units]]&gt;ReconciliationData[[#This Row],[ordered_units]],1,0)</f>
        <v>0</v>
      </c>
      <c r="W15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73">
        <f>ReconciliationData[[#This Row],[Billed_Units]]*ReconciliationData[[#This Row],[Billed_Price]]</f>
        <v>1967.0824</v>
      </c>
      <c r="Y1573">
        <f>ReconciliationData[[#This Row],[ordered_units]]*ReconciliationData[[#This Row],[List_Price]]</f>
        <v>1967.0824</v>
      </c>
      <c r="Z1573">
        <f>ReconciliationData[[#This Row],[billed_revenue]]-ReconciliationData[[#This Row],[expected_revenue]]</f>
        <v>0</v>
      </c>
      <c r="AA15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73" t="str">
        <f>IF(ReconciliationData[[#This Row],[severity_score]]=0,"LOW",
 IF(ReconciliationData[[#This Row],[severity_score]]&lt;=5,"MEDIUM","HIGH"))</f>
        <v>LOW</v>
      </c>
      <c r="AC1573" t="str">
        <f>TEXT(ReconciliationData[[#This Row],[Order_Date]],"YYYY-MM")</f>
        <v>2024-04</v>
      </c>
    </row>
    <row r="1574" spans="1:29">
      <c r="A1574" t="s">
        <v>4275</v>
      </c>
      <c r="B1574" s="1">
        <v>45614</v>
      </c>
      <c r="C1574" t="s">
        <v>3589</v>
      </c>
      <c r="D1574" t="s">
        <v>453</v>
      </c>
      <c r="E1574">
        <v>36</v>
      </c>
      <c r="F1574" t="s">
        <v>4276</v>
      </c>
      <c r="G1574">
        <v>36</v>
      </c>
      <c r="H1574">
        <v>1184.9544000000001</v>
      </c>
      <c r="N1574">
        <v>1184.9544000000001</v>
      </c>
      <c r="O1574" s="1">
        <v>45171</v>
      </c>
      <c r="P1574">
        <f>IF(ISBLANK(ReconciliationData[[#This Row],[Invoice_ID]]),1,0)</f>
        <v>0</v>
      </c>
      <c r="Q1574">
        <f>IF(AND(NOT(ISBLANK(ReconciliationData[[#This Row],[Billed_Units]])),ReconciliationData[[#This Row],[ordered_units]]&lt;&gt;ReconciliationData[[#This Row],[Billed_Units]]),1,0)</f>
        <v>0</v>
      </c>
      <c r="R15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4">
        <f>IF(AND(NOT(ISBLANK(ReconciliationData[[#This Row],[Contract_Price]])),ReconciliationData[[#This Row],[Billed_Price]]&lt;&gt;ReconciliationData[[#This Row],[Contract_Price]]),1,0)</f>
        <v>0</v>
      </c>
      <c r="T1574">
        <f>IF(AND(NOT(ISBLANK(ReconciliationData[[#This Row],[End_Date]])),ReconciliationData[[#This Row],[Order_Date]]&gt;ReconciliationData[[#This Row],[End_Date]]),1,0)</f>
        <v>0</v>
      </c>
      <c r="U1574">
        <f>IF(AND(NOT(ISBLANK(ReconciliationData[[#This Row],[last_return_date]])),ReconciliationData[[#This Row],[last_return_date]]&gt;ReconciliationData[[#This Row],[Order_Date]]+60),1,0)</f>
        <v>0</v>
      </c>
      <c r="V1574">
        <f>IF(ReconciliationData[[#This Row],[total_returned_units]]&gt;ReconciliationData[[#This Row],[ordered_units]],1,0)</f>
        <v>0</v>
      </c>
      <c r="W15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74">
        <f>ReconciliationData[[#This Row],[Billed_Units]]*ReconciliationData[[#This Row],[Billed_Price]]</f>
        <v>42658.358400000005</v>
      </c>
      <c r="Y1574">
        <f>ReconciliationData[[#This Row],[ordered_units]]*ReconciliationData[[#This Row],[List_Price]]</f>
        <v>42658.358400000005</v>
      </c>
      <c r="Z1574">
        <f>ReconciliationData[[#This Row],[billed_revenue]]-ReconciliationData[[#This Row],[expected_revenue]]</f>
        <v>0</v>
      </c>
      <c r="AA15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74" t="str">
        <f>IF(ReconciliationData[[#This Row],[severity_score]]=0,"LOW",
 IF(ReconciliationData[[#This Row],[severity_score]]&lt;=5,"MEDIUM","HIGH"))</f>
        <v>LOW</v>
      </c>
      <c r="AC1574" t="str">
        <f>TEXT(ReconciliationData[[#This Row],[Order_Date]],"YYYY-MM")</f>
        <v>2024-11</v>
      </c>
    </row>
    <row r="1575" spans="1:29">
      <c r="A1575" t="s">
        <v>4277</v>
      </c>
      <c r="B1575" s="1">
        <v>45651</v>
      </c>
      <c r="C1575" t="s">
        <v>444</v>
      </c>
      <c r="D1575" t="s">
        <v>2035</v>
      </c>
      <c r="E1575">
        <v>157</v>
      </c>
      <c r="F1575" t="s">
        <v>4278</v>
      </c>
      <c r="G1575">
        <v>157</v>
      </c>
      <c r="H1575">
        <v>1160.71</v>
      </c>
      <c r="N1575">
        <v>1160.71</v>
      </c>
      <c r="O1575" s="1">
        <v>44964</v>
      </c>
      <c r="P1575">
        <f>IF(ISBLANK(ReconciliationData[[#This Row],[Invoice_ID]]),1,0)</f>
        <v>0</v>
      </c>
      <c r="Q1575">
        <f>IF(AND(NOT(ISBLANK(ReconciliationData[[#This Row],[Billed_Units]])),ReconciliationData[[#This Row],[ordered_units]]&lt;&gt;ReconciliationData[[#This Row],[Billed_Units]]),1,0)</f>
        <v>0</v>
      </c>
      <c r="R15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5">
        <f>IF(AND(NOT(ISBLANK(ReconciliationData[[#This Row],[Contract_Price]])),ReconciliationData[[#This Row],[Billed_Price]]&lt;&gt;ReconciliationData[[#This Row],[Contract_Price]]),1,0)</f>
        <v>0</v>
      </c>
      <c r="T1575">
        <f>IF(AND(NOT(ISBLANK(ReconciliationData[[#This Row],[End_Date]])),ReconciliationData[[#This Row],[Order_Date]]&gt;ReconciliationData[[#This Row],[End_Date]]),1,0)</f>
        <v>0</v>
      </c>
      <c r="U1575">
        <f>IF(AND(NOT(ISBLANK(ReconciliationData[[#This Row],[last_return_date]])),ReconciliationData[[#This Row],[last_return_date]]&gt;ReconciliationData[[#This Row],[Order_Date]]+60),1,0)</f>
        <v>0</v>
      </c>
      <c r="V1575">
        <f>IF(ReconciliationData[[#This Row],[total_returned_units]]&gt;ReconciliationData[[#This Row],[ordered_units]],1,0)</f>
        <v>0</v>
      </c>
      <c r="W15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75">
        <f>ReconciliationData[[#This Row],[Billed_Units]]*ReconciliationData[[#This Row],[Billed_Price]]</f>
        <v>182231.47</v>
      </c>
      <c r="Y1575">
        <f>ReconciliationData[[#This Row],[ordered_units]]*ReconciliationData[[#This Row],[List_Price]]</f>
        <v>182231.47</v>
      </c>
      <c r="Z1575">
        <f>ReconciliationData[[#This Row],[billed_revenue]]-ReconciliationData[[#This Row],[expected_revenue]]</f>
        <v>0</v>
      </c>
      <c r="AA15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75" t="str">
        <f>IF(ReconciliationData[[#This Row],[severity_score]]=0,"LOW",
 IF(ReconciliationData[[#This Row],[severity_score]]&lt;=5,"MEDIUM","HIGH"))</f>
        <v>LOW</v>
      </c>
      <c r="AC1575" t="str">
        <f>TEXT(ReconciliationData[[#This Row],[Order_Date]],"YYYY-MM")</f>
        <v>2024-12</v>
      </c>
    </row>
    <row r="1576" spans="1:29">
      <c r="A1576" t="s">
        <v>4279</v>
      </c>
      <c r="B1576" s="1">
        <v>44969</v>
      </c>
      <c r="C1576" t="s">
        <v>2123</v>
      </c>
      <c r="D1576" t="s">
        <v>146</v>
      </c>
      <c r="E1576">
        <v>29</v>
      </c>
      <c r="F1576" t="s">
        <v>4280</v>
      </c>
      <c r="G1576">
        <v>29</v>
      </c>
      <c r="H1576">
        <v>817.07989999999995</v>
      </c>
      <c r="N1576">
        <v>817.07989999999995</v>
      </c>
      <c r="O1576" s="1">
        <v>44951</v>
      </c>
      <c r="P1576">
        <f>IF(ISBLANK(ReconciliationData[[#This Row],[Invoice_ID]]),1,0)</f>
        <v>0</v>
      </c>
      <c r="Q1576">
        <f>IF(AND(NOT(ISBLANK(ReconciliationData[[#This Row],[Billed_Units]])),ReconciliationData[[#This Row],[ordered_units]]&lt;&gt;ReconciliationData[[#This Row],[Billed_Units]]),1,0)</f>
        <v>0</v>
      </c>
      <c r="R15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6">
        <f>IF(AND(NOT(ISBLANK(ReconciliationData[[#This Row],[Contract_Price]])),ReconciliationData[[#This Row],[Billed_Price]]&lt;&gt;ReconciliationData[[#This Row],[Contract_Price]]),1,0)</f>
        <v>0</v>
      </c>
      <c r="T1576">
        <f>IF(AND(NOT(ISBLANK(ReconciliationData[[#This Row],[End_Date]])),ReconciliationData[[#This Row],[Order_Date]]&gt;ReconciliationData[[#This Row],[End_Date]]),1,0)</f>
        <v>0</v>
      </c>
      <c r="U1576">
        <f>IF(AND(NOT(ISBLANK(ReconciliationData[[#This Row],[last_return_date]])),ReconciliationData[[#This Row],[last_return_date]]&gt;ReconciliationData[[#This Row],[Order_Date]]+60),1,0)</f>
        <v>0</v>
      </c>
      <c r="V1576">
        <f>IF(ReconciliationData[[#This Row],[total_returned_units]]&gt;ReconciliationData[[#This Row],[ordered_units]],1,0)</f>
        <v>0</v>
      </c>
      <c r="W15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76">
        <f>ReconciliationData[[#This Row],[Billed_Units]]*ReconciliationData[[#This Row],[Billed_Price]]</f>
        <v>23695.3171</v>
      </c>
      <c r="Y1576">
        <f>ReconciliationData[[#This Row],[ordered_units]]*ReconciliationData[[#This Row],[List_Price]]</f>
        <v>23695.3171</v>
      </c>
      <c r="Z1576">
        <f>ReconciliationData[[#This Row],[billed_revenue]]-ReconciliationData[[#This Row],[expected_revenue]]</f>
        <v>0</v>
      </c>
      <c r="AA15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76" t="str">
        <f>IF(ReconciliationData[[#This Row],[severity_score]]=0,"LOW",
 IF(ReconciliationData[[#This Row],[severity_score]]&lt;=5,"MEDIUM","HIGH"))</f>
        <v>LOW</v>
      </c>
      <c r="AC1576" t="str">
        <f>TEXT(ReconciliationData[[#This Row],[Order_Date]],"YYYY-MM")</f>
        <v>2023-02</v>
      </c>
    </row>
    <row r="1577" spans="1:29">
      <c r="A1577" t="s">
        <v>4281</v>
      </c>
      <c r="B1577" s="1">
        <v>45103</v>
      </c>
      <c r="C1577" t="s">
        <v>4282</v>
      </c>
      <c r="D1577" t="s">
        <v>624</v>
      </c>
      <c r="E1577">
        <v>47</v>
      </c>
      <c r="F1577" t="s">
        <v>4283</v>
      </c>
      <c r="G1577">
        <v>47</v>
      </c>
      <c r="H1577">
        <v>147.17669999999998</v>
      </c>
      <c r="N1577">
        <v>147.17669999999998</v>
      </c>
      <c r="O1577" s="1">
        <v>45039</v>
      </c>
      <c r="P1577">
        <f>IF(ISBLANK(ReconciliationData[[#This Row],[Invoice_ID]]),1,0)</f>
        <v>0</v>
      </c>
      <c r="Q1577">
        <f>IF(AND(NOT(ISBLANK(ReconciliationData[[#This Row],[Billed_Units]])),ReconciliationData[[#This Row],[ordered_units]]&lt;&gt;ReconciliationData[[#This Row],[Billed_Units]]),1,0)</f>
        <v>0</v>
      </c>
      <c r="R15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7">
        <f>IF(AND(NOT(ISBLANK(ReconciliationData[[#This Row],[Contract_Price]])),ReconciliationData[[#This Row],[Billed_Price]]&lt;&gt;ReconciliationData[[#This Row],[Contract_Price]]),1,0)</f>
        <v>0</v>
      </c>
      <c r="T1577">
        <f>IF(AND(NOT(ISBLANK(ReconciliationData[[#This Row],[End_Date]])),ReconciliationData[[#This Row],[Order_Date]]&gt;ReconciliationData[[#This Row],[End_Date]]),1,0)</f>
        <v>0</v>
      </c>
      <c r="U1577">
        <f>IF(AND(NOT(ISBLANK(ReconciliationData[[#This Row],[last_return_date]])),ReconciliationData[[#This Row],[last_return_date]]&gt;ReconciliationData[[#This Row],[Order_Date]]+60),1,0)</f>
        <v>0</v>
      </c>
      <c r="V1577">
        <f>IF(ReconciliationData[[#This Row],[total_returned_units]]&gt;ReconciliationData[[#This Row],[ordered_units]],1,0)</f>
        <v>0</v>
      </c>
      <c r="W15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77">
        <f>ReconciliationData[[#This Row],[Billed_Units]]*ReconciliationData[[#This Row],[Billed_Price]]</f>
        <v>6917.3048999999992</v>
      </c>
      <c r="Y1577">
        <f>ReconciliationData[[#This Row],[ordered_units]]*ReconciliationData[[#This Row],[List_Price]]</f>
        <v>6917.3048999999992</v>
      </c>
      <c r="Z1577">
        <f>ReconciliationData[[#This Row],[billed_revenue]]-ReconciliationData[[#This Row],[expected_revenue]]</f>
        <v>0</v>
      </c>
      <c r="AA15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77" t="str">
        <f>IF(ReconciliationData[[#This Row],[severity_score]]=0,"LOW",
 IF(ReconciliationData[[#This Row],[severity_score]]&lt;=5,"MEDIUM","HIGH"))</f>
        <v>LOW</v>
      </c>
      <c r="AC1577" t="str">
        <f>TEXT(ReconciliationData[[#This Row],[Order_Date]],"YYYY-MM")</f>
        <v>2023-06</v>
      </c>
    </row>
    <row r="1578" spans="1:29">
      <c r="A1578" t="s">
        <v>4284</v>
      </c>
      <c r="B1578" s="1">
        <v>45411</v>
      </c>
      <c r="C1578" t="s">
        <v>2681</v>
      </c>
      <c r="D1578" t="s">
        <v>2321</v>
      </c>
      <c r="E1578">
        <v>149</v>
      </c>
      <c r="F1578" t="s">
        <v>4285</v>
      </c>
      <c r="G1578">
        <v>149</v>
      </c>
      <c r="H1578">
        <v>153.69479999999999</v>
      </c>
      <c r="N1578">
        <v>153.69479999999999</v>
      </c>
      <c r="O1578" s="1">
        <v>44960</v>
      </c>
      <c r="P1578">
        <f>IF(ISBLANK(ReconciliationData[[#This Row],[Invoice_ID]]),1,0)</f>
        <v>0</v>
      </c>
      <c r="Q1578">
        <f>IF(AND(NOT(ISBLANK(ReconciliationData[[#This Row],[Billed_Units]])),ReconciliationData[[#This Row],[ordered_units]]&lt;&gt;ReconciliationData[[#This Row],[Billed_Units]]),1,0)</f>
        <v>0</v>
      </c>
      <c r="R15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8">
        <f>IF(AND(NOT(ISBLANK(ReconciliationData[[#This Row],[Contract_Price]])),ReconciliationData[[#This Row],[Billed_Price]]&lt;&gt;ReconciliationData[[#This Row],[Contract_Price]]),1,0)</f>
        <v>0</v>
      </c>
      <c r="T1578">
        <f>IF(AND(NOT(ISBLANK(ReconciliationData[[#This Row],[End_Date]])),ReconciliationData[[#This Row],[Order_Date]]&gt;ReconciliationData[[#This Row],[End_Date]]),1,0)</f>
        <v>0</v>
      </c>
      <c r="U1578">
        <f>IF(AND(NOT(ISBLANK(ReconciliationData[[#This Row],[last_return_date]])),ReconciliationData[[#This Row],[last_return_date]]&gt;ReconciliationData[[#This Row],[Order_Date]]+60),1,0)</f>
        <v>0</v>
      </c>
      <c r="V1578">
        <f>IF(ReconciliationData[[#This Row],[total_returned_units]]&gt;ReconciliationData[[#This Row],[ordered_units]],1,0)</f>
        <v>0</v>
      </c>
      <c r="W15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78">
        <f>ReconciliationData[[#This Row],[Billed_Units]]*ReconciliationData[[#This Row],[Billed_Price]]</f>
        <v>22900.525199999996</v>
      </c>
      <c r="Y1578">
        <f>ReconciliationData[[#This Row],[ordered_units]]*ReconciliationData[[#This Row],[List_Price]]</f>
        <v>22900.525199999996</v>
      </c>
      <c r="Z1578">
        <f>ReconciliationData[[#This Row],[billed_revenue]]-ReconciliationData[[#This Row],[expected_revenue]]</f>
        <v>0</v>
      </c>
      <c r="AA15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78" t="str">
        <f>IF(ReconciliationData[[#This Row],[severity_score]]=0,"LOW",
 IF(ReconciliationData[[#This Row],[severity_score]]&lt;=5,"MEDIUM","HIGH"))</f>
        <v>LOW</v>
      </c>
      <c r="AC1578" t="str">
        <f>TEXT(ReconciliationData[[#This Row],[Order_Date]],"YYYY-MM")</f>
        <v>2024-04</v>
      </c>
    </row>
    <row r="1579" spans="1:29">
      <c r="A1579" t="s">
        <v>4286</v>
      </c>
      <c r="B1579" s="1">
        <v>45255</v>
      </c>
      <c r="C1579" t="s">
        <v>2067</v>
      </c>
      <c r="D1579" t="s">
        <v>525</v>
      </c>
      <c r="E1579">
        <v>112</v>
      </c>
      <c r="F1579" t="s">
        <v>4287</v>
      </c>
      <c r="G1579">
        <v>112</v>
      </c>
      <c r="H1579">
        <v>249.1748</v>
      </c>
      <c r="N1579">
        <v>249.1748</v>
      </c>
      <c r="O1579" s="1">
        <v>45141</v>
      </c>
      <c r="P1579">
        <f>IF(ISBLANK(ReconciliationData[[#This Row],[Invoice_ID]]),1,0)</f>
        <v>0</v>
      </c>
      <c r="Q1579">
        <f>IF(AND(NOT(ISBLANK(ReconciliationData[[#This Row],[Billed_Units]])),ReconciliationData[[#This Row],[ordered_units]]&lt;&gt;ReconciliationData[[#This Row],[Billed_Units]]),1,0)</f>
        <v>0</v>
      </c>
      <c r="R15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79">
        <f>IF(AND(NOT(ISBLANK(ReconciliationData[[#This Row],[Contract_Price]])),ReconciliationData[[#This Row],[Billed_Price]]&lt;&gt;ReconciliationData[[#This Row],[Contract_Price]]),1,0)</f>
        <v>0</v>
      </c>
      <c r="T1579">
        <f>IF(AND(NOT(ISBLANK(ReconciliationData[[#This Row],[End_Date]])),ReconciliationData[[#This Row],[Order_Date]]&gt;ReconciliationData[[#This Row],[End_Date]]),1,0)</f>
        <v>0</v>
      </c>
      <c r="U1579">
        <f>IF(AND(NOT(ISBLANK(ReconciliationData[[#This Row],[last_return_date]])),ReconciliationData[[#This Row],[last_return_date]]&gt;ReconciliationData[[#This Row],[Order_Date]]+60),1,0)</f>
        <v>0</v>
      </c>
      <c r="V1579">
        <f>IF(ReconciliationData[[#This Row],[total_returned_units]]&gt;ReconciliationData[[#This Row],[ordered_units]],1,0)</f>
        <v>0</v>
      </c>
      <c r="W15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79">
        <f>ReconciliationData[[#This Row],[Billed_Units]]*ReconciliationData[[#This Row],[Billed_Price]]</f>
        <v>27907.577600000001</v>
      </c>
      <c r="Y1579">
        <f>ReconciliationData[[#This Row],[ordered_units]]*ReconciliationData[[#This Row],[List_Price]]</f>
        <v>27907.577600000001</v>
      </c>
      <c r="Z1579">
        <f>ReconciliationData[[#This Row],[billed_revenue]]-ReconciliationData[[#This Row],[expected_revenue]]</f>
        <v>0</v>
      </c>
      <c r="AA15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79" t="str">
        <f>IF(ReconciliationData[[#This Row],[severity_score]]=0,"LOW",
 IF(ReconciliationData[[#This Row],[severity_score]]&lt;=5,"MEDIUM","HIGH"))</f>
        <v>LOW</v>
      </c>
      <c r="AC1579" t="str">
        <f>TEXT(ReconciliationData[[#This Row],[Order_Date]],"YYYY-MM")</f>
        <v>2023-11</v>
      </c>
    </row>
    <row r="1580" spans="1:29">
      <c r="A1580" t="s">
        <v>4288</v>
      </c>
      <c r="B1580" s="1">
        <v>45482</v>
      </c>
      <c r="C1580" t="s">
        <v>4265</v>
      </c>
      <c r="D1580" t="s">
        <v>138</v>
      </c>
      <c r="E1580">
        <v>27</v>
      </c>
      <c r="F1580" t="s">
        <v>4289</v>
      </c>
      <c r="G1580">
        <v>27</v>
      </c>
      <c r="H1580">
        <v>444.22</v>
      </c>
      <c r="N1580">
        <v>444.22</v>
      </c>
      <c r="O1580" s="1">
        <v>45074</v>
      </c>
      <c r="P1580">
        <f>IF(ISBLANK(ReconciliationData[[#This Row],[Invoice_ID]]),1,0)</f>
        <v>0</v>
      </c>
      <c r="Q1580">
        <f>IF(AND(NOT(ISBLANK(ReconciliationData[[#This Row],[Billed_Units]])),ReconciliationData[[#This Row],[ordered_units]]&lt;&gt;ReconciliationData[[#This Row],[Billed_Units]]),1,0)</f>
        <v>0</v>
      </c>
      <c r="R15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80">
        <f>IF(AND(NOT(ISBLANK(ReconciliationData[[#This Row],[Contract_Price]])),ReconciliationData[[#This Row],[Billed_Price]]&lt;&gt;ReconciliationData[[#This Row],[Contract_Price]]),1,0)</f>
        <v>0</v>
      </c>
      <c r="T1580">
        <f>IF(AND(NOT(ISBLANK(ReconciliationData[[#This Row],[End_Date]])),ReconciliationData[[#This Row],[Order_Date]]&gt;ReconciliationData[[#This Row],[End_Date]]),1,0)</f>
        <v>0</v>
      </c>
      <c r="U1580">
        <f>IF(AND(NOT(ISBLANK(ReconciliationData[[#This Row],[last_return_date]])),ReconciliationData[[#This Row],[last_return_date]]&gt;ReconciliationData[[#This Row],[Order_Date]]+60),1,0)</f>
        <v>0</v>
      </c>
      <c r="V1580">
        <f>IF(ReconciliationData[[#This Row],[total_returned_units]]&gt;ReconciliationData[[#This Row],[ordered_units]],1,0)</f>
        <v>0</v>
      </c>
      <c r="W15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80">
        <f>ReconciliationData[[#This Row],[Billed_Units]]*ReconciliationData[[#This Row],[Billed_Price]]</f>
        <v>11993.94</v>
      </c>
      <c r="Y1580">
        <f>ReconciliationData[[#This Row],[ordered_units]]*ReconciliationData[[#This Row],[List_Price]]</f>
        <v>11993.94</v>
      </c>
      <c r="Z1580">
        <f>ReconciliationData[[#This Row],[billed_revenue]]-ReconciliationData[[#This Row],[expected_revenue]]</f>
        <v>0</v>
      </c>
      <c r="AA15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80" t="str">
        <f>IF(ReconciliationData[[#This Row],[severity_score]]=0,"LOW",
 IF(ReconciliationData[[#This Row],[severity_score]]&lt;=5,"MEDIUM","HIGH"))</f>
        <v>LOW</v>
      </c>
      <c r="AC1580" t="str">
        <f>TEXT(ReconciliationData[[#This Row],[Order_Date]],"YYYY-MM")</f>
        <v>2024-07</v>
      </c>
    </row>
    <row r="1581" spans="1:29">
      <c r="A1581" t="s">
        <v>4290</v>
      </c>
      <c r="B1581" s="1">
        <v>45210</v>
      </c>
      <c r="C1581" t="s">
        <v>1199</v>
      </c>
      <c r="D1581" t="s">
        <v>722</v>
      </c>
      <c r="E1581">
        <v>80</v>
      </c>
      <c r="F1581" t="s">
        <v>4291</v>
      </c>
      <c r="G1581">
        <v>80</v>
      </c>
      <c r="H1581">
        <v>343.34190000000001</v>
      </c>
      <c r="N1581">
        <v>343.34190000000001</v>
      </c>
      <c r="O1581" s="1">
        <v>45126</v>
      </c>
      <c r="P1581">
        <f>IF(ISBLANK(ReconciliationData[[#This Row],[Invoice_ID]]),1,0)</f>
        <v>0</v>
      </c>
      <c r="Q1581">
        <f>IF(AND(NOT(ISBLANK(ReconciliationData[[#This Row],[Billed_Units]])),ReconciliationData[[#This Row],[ordered_units]]&lt;&gt;ReconciliationData[[#This Row],[Billed_Units]]),1,0)</f>
        <v>0</v>
      </c>
      <c r="R15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81">
        <f>IF(AND(NOT(ISBLANK(ReconciliationData[[#This Row],[Contract_Price]])),ReconciliationData[[#This Row],[Billed_Price]]&lt;&gt;ReconciliationData[[#This Row],[Contract_Price]]),1,0)</f>
        <v>0</v>
      </c>
      <c r="T1581">
        <f>IF(AND(NOT(ISBLANK(ReconciliationData[[#This Row],[End_Date]])),ReconciliationData[[#This Row],[Order_Date]]&gt;ReconciliationData[[#This Row],[End_Date]]),1,0)</f>
        <v>0</v>
      </c>
      <c r="U1581">
        <f>IF(AND(NOT(ISBLANK(ReconciliationData[[#This Row],[last_return_date]])),ReconciliationData[[#This Row],[last_return_date]]&gt;ReconciliationData[[#This Row],[Order_Date]]+60),1,0)</f>
        <v>0</v>
      </c>
      <c r="V1581">
        <f>IF(ReconciliationData[[#This Row],[total_returned_units]]&gt;ReconciliationData[[#This Row],[ordered_units]],1,0)</f>
        <v>0</v>
      </c>
      <c r="W15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81">
        <f>ReconciliationData[[#This Row],[Billed_Units]]*ReconciliationData[[#This Row],[Billed_Price]]</f>
        <v>27467.351999999999</v>
      </c>
      <c r="Y1581">
        <f>ReconciliationData[[#This Row],[ordered_units]]*ReconciliationData[[#This Row],[List_Price]]</f>
        <v>27467.351999999999</v>
      </c>
      <c r="Z1581">
        <f>ReconciliationData[[#This Row],[billed_revenue]]-ReconciliationData[[#This Row],[expected_revenue]]</f>
        <v>0</v>
      </c>
      <c r="AA15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81" t="str">
        <f>IF(ReconciliationData[[#This Row],[severity_score]]=0,"LOW",
 IF(ReconciliationData[[#This Row],[severity_score]]&lt;=5,"MEDIUM","HIGH"))</f>
        <v>LOW</v>
      </c>
      <c r="AC1581" t="str">
        <f>TEXT(ReconciliationData[[#This Row],[Order_Date]],"YYYY-MM")</f>
        <v>2023-10</v>
      </c>
    </row>
    <row r="1582" spans="1:29">
      <c r="A1582" t="s">
        <v>4292</v>
      </c>
      <c r="B1582" s="1">
        <v>45088</v>
      </c>
      <c r="C1582" t="s">
        <v>1634</v>
      </c>
      <c r="D1582" t="s">
        <v>775</v>
      </c>
      <c r="E1582">
        <v>94</v>
      </c>
      <c r="F1582" t="s">
        <v>4293</v>
      </c>
      <c r="G1582">
        <v>94</v>
      </c>
      <c r="H1582">
        <v>1231.8180000000002</v>
      </c>
      <c r="N1582">
        <v>1231.8180000000002</v>
      </c>
      <c r="O1582" s="1">
        <v>45048</v>
      </c>
      <c r="P1582">
        <f>IF(ISBLANK(ReconciliationData[[#This Row],[Invoice_ID]]),1,0)</f>
        <v>0</v>
      </c>
      <c r="Q1582">
        <f>IF(AND(NOT(ISBLANK(ReconciliationData[[#This Row],[Billed_Units]])),ReconciliationData[[#This Row],[ordered_units]]&lt;&gt;ReconciliationData[[#This Row],[Billed_Units]]),1,0)</f>
        <v>0</v>
      </c>
      <c r="R15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82">
        <f>IF(AND(NOT(ISBLANK(ReconciliationData[[#This Row],[Contract_Price]])),ReconciliationData[[#This Row],[Billed_Price]]&lt;&gt;ReconciliationData[[#This Row],[Contract_Price]]),1,0)</f>
        <v>0</v>
      </c>
      <c r="T1582">
        <f>IF(AND(NOT(ISBLANK(ReconciliationData[[#This Row],[End_Date]])),ReconciliationData[[#This Row],[Order_Date]]&gt;ReconciliationData[[#This Row],[End_Date]]),1,0)</f>
        <v>0</v>
      </c>
      <c r="U1582">
        <f>IF(AND(NOT(ISBLANK(ReconciliationData[[#This Row],[last_return_date]])),ReconciliationData[[#This Row],[last_return_date]]&gt;ReconciliationData[[#This Row],[Order_Date]]+60),1,0)</f>
        <v>0</v>
      </c>
      <c r="V1582">
        <f>IF(ReconciliationData[[#This Row],[total_returned_units]]&gt;ReconciliationData[[#This Row],[ordered_units]],1,0)</f>
        <v>0</v>
      </c>
      <c r="W15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82">
        <f>ReconciliationData[[#This Row],[Billed_Units]]*ReconciliationData[[#This Row],[Billed_Price]]</f>
        <v>115790.89200000002</v>
      </c>
      <c r="Y1582">
        <f>ReconciliationData[[#This Row],[ordered_units]]*ReconciliationData[[#This Row],[List_Price]]</f>
        <v>115790.89200000002</v>
      </c>
      <c r="Z1582">
        <f>ReconciliationData[[#This Row],[billed_revenue]]-ReconciliationData[[#This Row],[expected_revenue]]</f>
        <v>0</v>
      </c>
      <c r="AA15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82" t="str">
        <f>IF(ReconciliationData[[#This Row],[severity_score]]=0,"LOW",
 IF(ReconciliationData[[#This Row],[severity_score]]&lt;=5,"MEDIUM","HIGH"))</f>
        <v>LOW</v>
      </c>
      <c r="AC1582" t="str">
        <f>TEXT(ReconciliationData[[#This Row],[Order_Date]],"YYYY-MM")</f>
        <v>2023-06</v>
      </c>
    </row>
    <row r="1583" spans="1:29">
      <c r="A1583" t="s">
        <v>4294</v>
      </c>
      <c r="B1583" s="1">
        <v>45653</v>
      </c>
      <c r="C1583" t="s">
        <v>859</v>
      </c>
      <c r="D1583" t="s">
        <v>849</v>
      </c>
      <c r="E1583">
        <v>116</v>
      </c>
      <c r="F1583" t="s">
        <v>4295</v>
      </c>
      <c r="G1583">
        <v>116</v>
      </c>
      <c r="H1583">
        <v>428.46220000000005</v>
      </c>
      <c r="N1583">
        <v>428.46220000000005</v>
      </c>
      <c r="O1583" s="1">
        <v>45102</v>
      </c>
      <c r="P1583">
        <f>IF(ISBLANK(ReconciliationData[[#This Row],[Invoice_ID]]),1,0)</f>
        <v>0</v>
      </c>
      <c r="Q1583">
        <f>IF(AND(NOT(ISBLANK(ReconciliationData[[#This Row],[Billed_Units]])),ReconciliationData[[#This Row],[ordered_units]]&lt;&gt;ReconciliationData[[#This Row],[Billed_Units]]),1,0)</f>
        <v>0</v>
      </c>
      <c r="R15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83">
        <f>IF(AND(NOT(ISBLANK(ReconciliationData[[#This Row],[Contract_Price]])),ReconciliationData[[#This Row],[Billed_Price]]&lt;&gt;ReconciliationData[[#This Row],[Contract_Price]]),1,0)</f>
        <v>0</v>
      </c>
      <c r="T1583">
        <f>IF(AND(NOT(ISBLANK(ReconciliationData[[#This Row],[End_Date]])),ReconciliationData[[#This Row],[Order_Date]]&gt;ReconciliationData[[#This Row],[End_Date]]),1,0)</f>
        <v>0</v>
      </c>
      <c r="U1583">
        <f>IF(AND(NOT(ISBLANK(ReconciliationData[[#This Row],[last_return_date]])),ReconciliationData[[#This Row],[last_return_date]]&gt;ReconciliationData[[#This Row],[Order_Date]]+60),1,0)</f>
        <v>0</v>
      </c>
      <c r="V1583">
        <f>IF(ReconciliationData[[#This Row],[total_returned_units]]&gt;ReconciliationData[[#This Row],[ordered_units]],1,0)</f>
        <v>0</v>
      </c>
      <c r="W15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83">
        <f>ReconciliationData[[#This Row],[Billed_Units]]*ReconciliationData[[#This Row],[Billed_Price]]</f>
        <v>49701.615200000007</v>
      </c>
      <c r="Y1583">
        <f>ReconciliationData[[#This Row],[ordered_units]]*ReconciliationData[[#This Row],[List_Price]]</f>
        <v>49701.615200000007</v>
      </c>
      <c r="Z1583">
        <f>ReconciliationData[[#This Row],[billed_revenue]]-ReconciliationData[[#This Row],[expected_revenue]]</f>
        <v>0</v>
      </c>
      <c r="AA15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83" t="str">
        <f>IF(ReconciliationData[[#This Row],[severity_score]]=0,"LOW",
 IF(ReconciliationData[[#This Row],[severity_score]]&lt;=5,"MEDIUM","HIGH"))</f>
        <v>LOW</v>
      </c>
      <c r="AC1583" t="str">
        <f>TEXT(ReconciliationData[[#This Row],[Order_Date]],"YYYY-MM")</f>
        <v>2024-12</v>
      </c>
    </row>
    <row r="1584" spans="1:29">
      <c r="A1584" t="s">
        <v>4296</v>
      </c>
      <c r="B1584" s="1">
        <v>45495</v>
      </c>
      <c r="C1584" t="s">
        <v>4297</v>
      </c>
      <c r="D1584" t="s">
        <v>1273</v>
      </c>
      <c r="E1584">
        <v>100</v>
      </c>
      <c r="F1584" t="s">
        <v>4298</v>
      </c>
      <c r="G1584">
        <v>108</v>
      </c>
      <c r="H1584">
        <v>1031.3214729464837</v>
      </c>
      <c r="N1584">
        <v>1030.7952</v>
      </c>
      <c r="O1584" s="1">
        <v>45154</v>
      </c>
      <c r="P1584">
        <f>IF(ISBLANK(ReconciliationData[[#This Row],[Invoice_ID]]),1,0)</f>
        <v>0</v>
      </c>
      <c r="Q1584">
        <f>IF(AND(NOT(ISBLANK(ReconciliationData[[#This Row],[Billed_Units]])),ReconciliationData[[#This Row],[ordered_units]]&lt;&gt;ReconciliationData[[#This Row],[Billed_Units]]),1,0)</f>
        <v>1</v>
      </c>
      <c r="R158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584">
        <f>IF(AND(NOT(ISBLANK(ReconciliationData[[#This Row],[Contract_Price]])),ReconciliationData[[#This Row],[Billed_Price]]&lt;&gt;ReconciliationData[[#This Row],[Contract_Price]]),1,0)</f>
        <v>0</v>
      </c>
      <c r="T1584">
        <f>IF(AND(NOT(ISBLANK(ReconciliationData[[#This Row],[End_Date]])),ReconciliationData[[#This Row],[Order_Date]]&gt;ReconciliationData[[#This Row],[End_Date]]),1,0)</f>
        <v>0</v>
      </c>
      <c r="U1584">
        <f>IF(AND(NOT(ISBLANK(ReconciliationData[[#This Row],[last_return_date]])),ReconciliationData[[#This Row],[last_return_date]]&gt;ReconciliationData[[#This Row],[Order_Date]]+60),1,0)</f>
        <v>0</v>
      </c>
      <c r="V1584">
        <f>IF(ReconciliationData[[#This Row],[total_returned_units]]&gt;ReconciliationData[[#This Row],[ordered_units]],1,0)</f>
        <v>0</v>
      </c>
      <c r="W15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84">
        <f>ReconciliationData[[#This Row],[Billed_Units]]*ReconciliationData[[#This Row],[Billed_Price]]</f>
        <v>111382.71907822024</v>
      </c>
      <c r="Y1584">
        <f>ReconciliationData[[#This Row],[ordered_units]]*ReconciliationData[[#This Row],[List_Price]]</f>
        <v>103079.52</v>
      </c>
      <c r="Z1584">
        <f>ReconciliationData[[#This Row],[billed_revenue]]-ReconciliationData[[#This Row],[expected_revenue]]</f>
        <v>8303.1990782202338</v>
      </c>
      <c r="AA15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12</v>
      </c>
      <c r="AB1584" t="str">
        <f>IF(ReconciliationData[[#This Row],[severity_score]]=0,"LOW",
 IF(ReconciliationData[[#This Row],[severity_score]]&lt;=5,"MEDIUM","HIGH"))</f>
        <v>HIGH</v>
      </c>
      <c r="AC1584" t="str">
        <f>TEXT(ReconciliationData[[#This Row],[Order_Date]],"YYYY-MM")</f>
        <v>2024-07</v>
      </c>
    </row>
    <row r="1585" spans="1:29">
      <c r="A1585" t="s">
        <v>4299</v>
      </c>
      <c r="B1585" s="1">
        <v>45316</v>
      </c>
      <c r="C1585" t="s">
        <v>4300</v>
      </c>
      <c r="D1585" t="s">
        <v>522</v>
      </c>
      <c r="E1585">
        <v>183</v>
      </c>
      <c r="F1585" t="s">
        <v>4301</v>
      </c>
      <c r="G1585">
        <v>183</v>
      </c>
      <c r="H1585">
        <v>826.46400000000006</v>
      </c>
      <c r="N1585">
        <v>826.46400000000006</v>
      </c>
      <c r="O1585" s="1">
        <v>45128</v>
      </c>
      <c r="P1585">
        <f>IF(ISBLANK(ReconciliationData[[#This Row],[Invoice_ID]]),1,0)</f>
        <v>0</v>
      </c>
      <c r="Q1585">
        <f>IF(AND(NOT(ISBLANK(ReconciliationData[[#This Row],[Billed_Units]])),ReconciliationData[[#This Row],[ordered_units]]&lt;&gt;ReconciliationData[[#This Row],[Billed_Units]]),1,0)</f>
        <v>0</v>
      </c>
      <c r="R15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85">
        <f>IF(AND(NOT(ISBLANK(ReconciliationData[[#This Row],[Contract_Price]])),ReconciliationData[[#This Row],[Billed_Price]]&lt;&gt;ReconciliationData[[#This Row],[Contract_Price]]),1,0)</f>
        <v>0</v>
      </c>
      <c r="T1585">
        <f>IF(AND(NOT(ISBLANK(ReconciliationData[[#This Row],[End_Date]])),ReconciliationData[[#This Row],[Order_Date]]&gt;ReconciliationData[[#This Row],[End_Date]]),1,0)</f>
        <v>0</v>
      </c>
      <c r="U1585">
        <f>IF(AND(NOT(ISBLANK(ReconciliationData[[#This Row],[last_return_date]])),ReconciliationData[[#This Row],[last_return_date]]&gt;ReconciliationData[[#This Row],[Order_Date]]+60),1,0)</f>
        <v>0</v>
      </c>
      <c r="V1585">
        <f>IF(ReconciliationData[[#This Row],[total_returned_units]]&gt;ReconciliationData[[#This Row],[ordered_units]],1,0)</f>
        <v>0</v>
      </c>
      <c r="W15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85">
        <f>ReconciliationData[[#This Row],[Billed_Units]]*ReconciliationData[[#This Row],[Billed_Price]]</f>
        <v>151242.91200000001</v>
      </c>
      <c r="Y1585">
        <f>ReconciliationData[[#This Row],[ordered_units]]*ReconciliationData[[#This Row],[List_Price]]</f>
        <v>151242.91200000001</v>
      </c>
      <c r="Z1585">
        <f>ReconciliationData[[#This Row],[billed_revenue]]-ReconciliationData[[#This Row],[expected_revenue]]</f>
        <v>0</v>
      </c>
      <c r="AA15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85" t="str">
        <f>IF(ReconciliationData[[#This Row],[severity_score]]=0,"LOW",
 IF(ReconciliationData[[#This Row],[severity_score]]&lt;=5,"MEDIUM","HIGH"))</f>
        <v>LOW</v>
      </c>
      <c r="AC1585" t="str">
        <f>TEXT(ReconciliationData[[#This Row],[Order_Date]],"YYYY-MM")</f>
        <v>2024-01</v>
      </c>
    </row>
    <row r="1586" spans="1:29">
      <c r="A1586" t="s">
        <v>4302</v>
      </c>
      <c r="B1586" s="1">
        <v>45114</v>
      </c>
      <c r="C1586" t="s">
        <v>3979</v>
      </c>
      <c r="D1586" t="s">
        <v>239</v>
      </c>
      <c r="E1586">
        <v>122</v>
      </c>
      <c r="F1586" t="s">
        <v>4303</v>
      </c>
      <c r="G1586">
        <v>122</v>
      </c>
      <c r="H1586">
        <v>1218.568</v>
      </c>
      <c r="N1586">
        <v>1218.568</v>
      </c>
      <c r="O1586" s="1">
        <v>45061</v>
      </c>
      <c r="P1586">
        <f>IF(ISBLANK(ReconciliationData[[#This Row],[Invoice_ID]]),1,0)</f>
        <v>0</v>
      </c>
      <c r="Q1586">
        <f>IF(AND(NOT(ISBLANK(ReconciliationData[[#This Row],[Billed_Units]])),ReconciliationData[[#This Row],[ordered_units]]&lt;&gt;ReconciliationData[[#This Row],[Billed_Units]]),1,0)</f>
        <v>0</v>
      </c>
      <c r="R15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86">
        <f>IF(AND(NOT(ISBLANK(ReconciliationData[[#This Row],[Contract_Price]])),ReconciliationData[[#This Row],[Billed_Price]]&lt;&gt;ReconciliationData[[#This Row],[Contract_Price]]),1,0)</f>
        <v>0</v>
      </c>
      <c r="T1586">
        <f>IF(AND(NOT(ISBLANK(ReconciliationData[[#This Row],[End_Date]])),ReconciliationData[[#This Row],[Order_Date]]&gt;ReconciliationData[[#This Row],[End_Date]]),1,0)</f>
        <v>0</v>
      </c>
      <c r="U1586">
        <f>IF(AND(NOT(ISBLANK(ReconciliationData[[#This Row],[last_return_date]])),ReconciliationData[[#This Row],[last_return_date]]&gt;ReconciliationData[[#This Row],[Order_Date]]+60),1,0)</f>
        <v>0</v>
      </c>
      <c r="V1586">
        <f>IF(ReconciliationData[[#This Row],[total_returned_units]]&gt;ReconciliationData[[#This Row],[ordered_units]],1,0)</f>
        <v>0</v>
      </c>
      <c r="W15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86">
        <f>ReconciliationData[[#This Row],[Billed_Units]]*ReconciliationData[[#This Row],[Billed_Price]]</f>
        <v>148665.296</v>
      </c>
      <c r="Y1586">
        <f>ReconciliationData[[#This Row],[ordered_units]]*ReconciliationData[[#This Row],[List_Price]]</f>
        <v>148665.296</v>
      </c>
      <c r="Z1586">
        <f>ReconciliationData[[#This Row],[billed_revenue]]-ReconciliationData[[#This Row],[expected_revenue]]</f>
        <v>0</v>
      </c>
      <c r="AA15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86" t="str">
        <f>IF(ReconciliationData[[#This Row],[severity_score]]=0,"LOW",
 IF(ReconciliationData[[#This Row],[severity_score]]&lt;=5,"MEDIUM","HIGH"))</f>
        <v>LOW</v>
      </c>
      <c r="AC1586" t="str">
        <f>TEXT(ReconciliationData[[#This Row],[Order_Date]],"YYYY-MM")</f>
        <v>2023-07</v>
      </c>
    </row>
    <row r="1587" spans="1:29">
      <c r="A1587" t="s">
        <v>4304</v>
      </c>
      <c r="B1587" s="1">
        <v>45309</v>
      </c>
      <c r="C1587" t="s">
        <v>965</v>
      </c>
      <c r="D1587" t="s">
        <v>1994</v>
      </c>
      <c r="E1587">
        <v>51</v>
      </c>
      <c r="F1587" t="s">
        <v>4305</v>
      </c>
      <c r="G1587">
        <v>51</v>
      </c>
      <c r="H1587">
        <v>296.90946098133321</v>
      </c>
      <c r="N1587">
        <v>296.17460000000005</v>
      </c>
      <c r="O1587" s="1">
        <v>45194</v>
      </c>
      <c r="P1587">
        <f>IF(ISBLANK(ReconciliationData[[#This Row],[Invoice_ID]]),1,0)</f>
        <v>0</v>
      </c>
      <c r="Q1587">
        <f>IF(AND(NOT(ISBLANK(ReconciliationData[[#This Row],[Billed_Units]])),ReconciliationData[[#This Row],[ordered_units]]&lt;&gt;ReconciliationData[[#This Row],[Billed_Units]]),1,0)</f>
        <v>0</v>
      </c>
      <c r="R158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587">
        <f>IF(AND(NOT(ISBLANK(ReconciliationData[[#This Row],[Contract_Price]])),ReconciliationData[[#This Row],[Billed_Price]]&lt;&gt;ReconciliationData[[#This Row],[Contract_Price]]),1,0)</f>
        <v>0</v>
      </c>
      <c r="T1587">
        <f>IF(AND(NOT(ISBLANK(ReconciliationData[[#This Row],[End_Date]])),ReconciliationData[[#This Row],[Order_Date]]&gt;ReconciliationData[[#This Row],[End_Date]]),1,0)</f>
        <v>0</v>
      </c>
      <c r="U1587">
        <f>IF(AND(NOT(ISBLANK(ReconciliationData[[#This Row],[last_return_date]])),ReconciliationData[[#This Row],[last_return_date]]&gt;ReconciliationData[[#This Row],[Order_Date]]+60),1,0)</f>
        <v>0</v>
      </c>
      <c r="V1587">
        <f>IF(ReconciliationData[[#This Row],[total_returned_units]]&gt;ReconciliationData[[#This Row],[ordered_units]],1,0)</f>
        <v>0</v>
      </c>
      <c r="W15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587">
        <f>ReconciliationData[[#This Row],[Billed_Units]]*ReconciliationData[[#This Row],[Billed_Price]]</f>
        <v>15142.382510047993</v>
      </c>
      <c r="Y1587">
        <f>ReconciliationData[[#This Row],[ordered_units]]*ReconciliationData[[#This Row],[List_Price]]</f>
        <v>15104.904600000003</v>
      </c>
      <c r="Z1587">
        <f>ReconciliationData[[#This Row],[billed_revenue]]-ReconciliationData[[#This Row],[expected_revenue]]</f>
        <v>37.477910047990008</v>
      </c>
      <c r="AA15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587" t="str">
        <f>IF(ReconciliationData[[#This Row],[severity_score]]=0,"LOW",
 IF(ReconciliationData[[#This Row],[severity_score]]&lt;=5,"MEDIUM","HIGH"))</f>
        <v>MEDIUM</v>
      </c>
      <c r="AC1587" t="str">
        <f>TEXT(ReconciliationData[[#This Row],[Order_Date]],"YYYY-MM")</f>
        <v>2024-01</v>
      </c>
    </row>
    <row r="1588" spans="1:29">
      <c r="A1588" t="s">
        <v>4306</v>
      </c>
      <c r="B1588" s="1">
        <v>45029</v>
      </c>
      <c r="C1588" t="s">
        <v>654</v>
      </c>
      <c r="D1588" t="s">
        <v>1717</v>
      </c>
      <c r="E1588">
        <v>174</v>
      </c>
      <c r="F1588" t="s">
        <v>4307</v>
      </c>
      <c r="G1588">
        <v>174</v>
      </c>
      <c r="H1588">
        <v>1066.4928</v>
      </c>
      <c r="N1588">
        <v>1066.4928</v>
      </c>
      <c r="O1588" s="1">
        <v>44993</v>
      </c>
      <c r="P1588">
        <f>IF(ISBLANK(ReconciliationData[[#This Row],[Invoice_ID]]),1,0)</f>
        <v>0</v>
      </c>
      <c r="Q1588">
        <f>IF(AND(NOT(ISBLANK(ReconciliationData[[#This Row],[Billed_Units]])),ReconciliationData[[#This Row],[ordered_units]]&lt;&gt;ReconciliationData[[#This Row],[Billed_Units]]),1,0)</f>
        <v>0</v>
      </c>
      <c r="R15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88">
        <f>IF(AND(NOT(ISBLANK(ReconciliationData[[#This Row],[Contract_Price]])),ReconciliationData[[#This Row],[Billed_Price]]&lt;&gt;ReconciliationData[[#This Row],[Contract_Price]]),1,0)</f>
        <v>0</v>
      </c>
      <c r="T1588">
        <f>IF(AND(NOT(ISBLANK(ReconciliationData[[#This Row],[End_Date]])),ReconciliationData[[#This Row],[Order_Date]]&gt;ReconciliationData[[#This Row],[End_Date]]),1,0)</f>
        <v>0</v>
      </c>
      <c r="U1588">
        <f>IF(AND(NOT(ISBLANK(ReconciliationData[[#This Row],[last_return_date]])),ReconciliationData[[#This Row],[last_return_date]]&gt;ReconciliationData[[#This Row],[Order_Date]]+60),1,0)</f>
        <v>0</v>
      </c>
      <c r="V1588">
        <f>IF(ReconciliationData[[#This Row],[total_returned_units]]&gt;ReconciliationData[[#This Row],[ordered_units]],1,0)</f>
        <v>0</v>
      </c>
      <c r="W15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88">
        <f>ReconciliationData[[#This Row],[Billed_Units]]*ReconciliationData[[#This Row],[Billed_Price]]</f>
        <v>185569.74719999998</v>
      </c>
      <c r="Y1588">
        <f>ReconciliationData[[#This Row],[ordered_units]]*ReconciliationData[[#This Row],[List_Price]]</f>
        <v>185569.74719999998</v>
      </c>
      <c r="Z1588">
        <f>ReconciliationData[[#This Row],[billed_revenue]]-ReconciliationData[[#This Row],[expected_revenue]]</f>
        <v>0</v>
      </c>
      <c r="AA15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88" t="str">
        <f>IF(ReconciliationData[[#This Row],[severity_score]]=0,"LOW",
 IF(ReconciliationData[[#This Row],[severity_score]]&lt;=5,"MEDIUM","HIGH"))</f>
        <v>LOW</v>
      </c>
      <c r="AC1588" t="str">
        <f>TEXT(ReconciliationData[[#This Row],[Order_Date]],"YYYY-MM")</f>
        <v>2023-04</v>
      </c>
    </row>
    <row r="1589" spans="1:29">
      <c r="A1589" t="s">
        <v>4308</v>
      </c>
      <c r="B1589" s="1">
        <v>45207</v>
      </c>
      <c r="C1589" t="s">
        <v>2595</v>
      </c>
      <c r="D1589" t="s">
        <v>916</v>
      </c>
      <c r="E1589">
        <v>112</v>
      </c>
      <c r="F1589" t="s">
        <v>4309</v>
      </c>
      <c r="G1589">
        <v>112</v>
      </c>
      <c r="H1589">
        <v>1158.2643</v>
      </c>
      <c r="N1589">
        <v>1158.2643</v>
      </c>
      <c r="O1589" s="1">
        <v>45119</v>
      </c>
      <c r="P1589">
        <f>IF(ISBLANK(ReconciliationData[[#This Row],[Invoice_ID]]),1,0)</f>
        <v>0</v>
      </c>
      <c r="Q1589">
        <f>IF(AND(NOT(ISBLANK(ReconciliationData[[#This Row],[Billed_Units]])),ReconciliationData[[#This Row],[ordered_units]]&lt;&gt;ReconciliationData[[#This Row],[Billed_Units]]),1,0)</f>
        <v>0</v>
      </c>
      <c r="R15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89">
        <f>IF(AND(NOT(ISBLANK(ReconciliationData[[#This Row],[Contract_Price]])),ReconciliationData[[#This Row],[Billed_Price]]&lt;&gt;ReconciliationData[[#This Row],[Contract_Price]]),1,0)</f>
        <v>0</v>
      </c>
      <c r="T1589">
        <f>IF(AND(NOT(ISBLANK(ReconciliationData[[#This Row],[End_Date]])),ReconciliationData[[#This Row],[Order_Date]]&gt;ReconciliationData[[#This Row],[End_Date]]),1,0)</f>
        <v>0</v>
      </c>
      <c r="U1589">
        <f>IF(AND(NOT(ISBLANK(ReconciliationData[[#This Row],[last_return_date]])),ReconciliationData[[#This Row],[last_return_date]]&gt;ReconciliationData[[#This Row],[Order_Date]]+60),1,0)</f>
        <v>0</v>
      </c>
      <c r="V1589">
        <f>IF(ReconciliationData[[#This Row],[total_returned_units]]&gt;ReconciliationData[[#This Row],[ordered_units]],1,0)</f>
        <v>0</v>
      </c>
      <c r="W15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89">
        <f>ReconciliationData[[#This Row],[Billed_Units]]*ReconciliationData[[#This Row],[Billed_Price]]</f>
        <v>129725.60160000001</v>
      </c>
      <c r="Y1589">
        <f>ReconciliationData[[#This Row],[ordered_units]]*ReconciliationData[[#This Row],[List_Price]]</f>
        <v>129725.60160000001</v>
      </c>
      <c r="Z1589">
        <f>ReconciliationData[[#This Row],[billed_revenue]]-ReconciliationData[[#This Row],[expected_revenue]]</f>
        <v>0</v>
      </c>
      <c r="AA15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89" t="str">
        <f>IF(ReconciliationData[[#This Row],[severity_score]]=0,"LOW",
 IF(ReconciliationData[[#This Row],[severity_score]]&lt;=5,"MEDIUM","HIGH"))</f>
        <v>LOW</v>
      </c>
      <c r="AC1589" t="str">
        <f>TEXT(ReconciliationData[[#This Row],[Order_Date]],"YYYY-MM")</f>
        <v>2023-10</v>
      </c>
    </row>
    <row r="1590" spans="1:29">
      <c r="A1590" t="s">
        <v>4310</v>
      </c>
      <c r="B1590" s="1">
        <v>45611</v>
      </c>
      <c r="C1590" t="s">
        <v>2197</v>
      </c>
      <c r="D1590" t="s">
        <v>684</v>
      </c>
      <c r="E1590">
        <v>67</v>
      </c>
      <c r="F1590" t="s">
        <v>4311</v>
      </c>
      <c r="G1590">
        <v>67</v>
      </c>
      <c r="H1590">
        <v>75.620999999999995</v>
      </c>
      <c r="N1590">
        <v>75.620999999999995</v>
      </c>
      <c r="O1590" s="1">
        <v>45108</v>
      </c>
      <c r="P1590">
        <f>IF(ISBLANK(ReconciliationData[[#This Row],[Invoice_ID]]),1,0)</f>
        <v>0</v>
      </c>
      <c r="Q1590">
        <f>IF(AND(NOT(ISBLANK(ReconciliationData[[#This Row],[Billed_Units]])),ReconciliationData[[#This Row],[ordered_units]]&lt;&gt;ReconciliationData[[#This Row],[Billed_Units]]),1,0)</f>
        <v>0</v>
      </c>
      <c r="R15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90">
        <f>IF(AND(NOT(ISBLANK(ReconciliationData[[#This Row],[Contract_Price]])),ReconciliationData[[#This Row],[Billed_Price]]&lt;&gt;ReconciliationData[[#This Row],[Contract_Price]]),1,0)</f>
        <v>0</v>
      </c>
      <c r="T1590">
        <f>IF(AND(NOT(ISBLANK(ReconciliationData[[#This Row],[End_Date]])),ReconciliationData[[#This Row],[Order_Date]]&gt;ReconciliationData[[#This Row],[End_Date]]),1,0)</f>
        <v>0</v>
      </c>
      <c r="U1590">
        <f>IF(AND(NOT(ISBLANK(ReconciliationData[[#This Row],[last_return_date]])),ReconciliationData[[#This Row],[last_return_date]]&gt;ReconciliationData[[#This Row],[Order_Date]]+60),1,0)</f>
        <v>0</v>
      </c>
      <c r="V1590">
        <f>IF(ReconciliationData[[#This Row],[total_returned_units]]&gt;ReconciliationData[[#This Row],[ordered_units]],1,0)</f>
        <v>0</v>
      </c>
      <c r="W15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90">
        <f>ReconciliationData[[#This Row],[Billed_Units]]*ReconciliationData[[#This Row],[Billed_Price]]</f>
        <v>5066.607</v>
      </c>
      <c r="Y1590">
        <f>ReconciliationData[[#This Row],[ordered_units]]*ReconciliationData[[#This Row],[List_Price]]</f>
        <v>5066.607</v>
      </c>
      <c r="Z1590">
        <f>ReconciliationData[[#This Row],[billed_revenue]]-ReconciliationData[[#This Row],[expected_revenue]]</f>
        <v>0</v>
      </c>
      <c r="AA15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90" t="str">
        <f>IF(ReconciliationData[[#This Row],[severity_score]]=0,"LOW",
 IF(ReconciliationData[[#This Row],[severity_score]]&lt;=5,"MEDIUM","HIGH"))</f>
        <v>LOW</v>
      </c>
      <c r="AC1590" t="str">
        <f>TEXT(ReconciliationData[[#This Row],[Order_Date]],"YYYY-MM")</f>
        <v>2024-11</v>
      </c>
    </row>
    <row r="1591" spans="1:29">
      <c r="A1591" t="s">
        <v>4312</v>
      </c>
      <c r="B1591" s="1">
        <v>45026</v>
      </c>
      <c r="C1591" t="s">
        <v>3051</v>
      </c>
      <c r="D1591" t="s">
        <v>600</v>
      </c>
      <c r="E1591">
        <v>94</v>
      </c>
      <c r="F1591" t="s">
        <v>4313</v>
      </c>
      <c r="G1591">
        <v>94</v>
      </c>
      <c r="H1591">
        <v>52.185000000000002</v>
      </c>
      <c r="N1591">
        <v>52.185000000000002</v>
      </c>
      <c r="O1591" s="1">
        <v>44998</v>
      </c>
      <c r="P1591">
        <f>IF(ISBLANK(ReconciliationData[[#This Row],[Invoice_ID]]),1,0)</f>
        <v>0</v>
      </c>
      <c r="Q1591">
        <f>IF(AND(NOT(ISBLANK(ReconciliationData[[#This Row],[Billed_Units]])),ReconciliationData[[#This Row],[ordered_units]]&lt;&gt;ReconciliationData[[#This Row],[Billed_Units]]),1,0)</f>
        <v>0</v>
      </c>
      <c r="R15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91">
        <f>IF(AND(NOT(ISBLANK(ReconciliationData[[#This Row],[Contract_Price]])),ReconciliationData[[#This Row],[Billed_Price]]&lt;&gt;ReconciliationData[[#This Row],[Contract_Price]]),1,0)</f>
        <v>0</v>
      </c>
      <c r="T1591">
        <f>IF(AND(NOT(ISBLANK(ReconciliationData[[#This Row],[End_Date]])),ReconciliationData[[#This Row],[Order_Date]]&gt;ReconciliationData[[#This Row],[End_Date]]),1,0)</f>
        <v>0</v>
      </c>
      <c r="U1591">
        <f>IF(AND(NOT(ISBLANK(ReconciliationData[[#This Row],[last_return_date]])),ReconciliationData[[#This Row],[last_return_date]]&gt;ReconciliationData[[#This Row],[Order_Date]]+60),1,0)</f>
        <v>0</v>
      </c>
      <c r="V1591">
        <f>IF(ReconciliationData[[#This Row],[total_returned_units]]&gt;ReconciliationData[[#This Row],[ordered_units]],1,0)</f>
        <v>0</v>
      </c>
      <c r="W15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91">
        <f>ReconciliationData[[#This Row],[Billed_Units]]*ReconciliationData[[#This Row],[Billed_Price]]</f>
        <v>4905.3900000000003</v>
      </c>
      <c r="Y1591">
        <f>ReconciliationData[[#This Row],[ordered_units]]*ReconciliationData[[#This Row],[List_Price]]</f>
        <v>4905.3900000000003</v>
      </c>
      <c r="Z1591">
        <f>ReconciliationData[[#This Row],[billed_revenue]]-ReconciliationData[[#This Row],[expected_revenue]]</f>
        <v>0</v>
      </c>
      <c r="AA15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91" t="str">
        <f>IF(ReconciliationData[[#This Row],[severity_score]]=0,"LOW",
 IF(ReconciliationData[[#This Row],[severity_score]]&lt;=5,"MEDIUM","HIGH"))</f>
        <v>LOW</v>
      </c>
      <c r="AC1591" t="str">
        <f>TEXT(ReconciliationData[[#This Row],[Order_Date]],"YYYY-MM")</f>
        <v>2023-04</v>
      </c>
    </row>
    <row r="1592" spans="1:29">
      <c r="A1592" t="s">
        <v>4314</v>
      </c>
      <c r="B1592" s="1">
        <v>45524</v>
      </c>
      <c r="C1592" t="s">
        <v>646</v>
      </c>
      <c r="D1592" t="s">
        <v>313</v>
      </c>
      <c r="E1592">
        <v>127</v>
      </c>
      <c r="F1592" t="s">
        <v>4315</v>
      </c>
      <c r="G1592">
        <v>127</v>
      </c>
      <c r="H1592">
        <v>1190.6054999999999</v>
      </c>
      <c r="N1592">
        <v>1190.6054999999999</v>
      </c>
      <c r="O1592" s="1">
        <v>44984</v>
      </c>
      <c r="P1592">
        <f>IF(ISBLANK(ReconciliationData[[#This Row],[Invoice_ID]]),1,0)</f>
        <v>0</v>
      </c>
      <c r="Q1592">
        <f>IF(AND(NOT(ISBLANK(ReconciliationData[[#This Row],[Billed_Units]])),ReconciliationData[[#This Row],[ordered_units]]&lt;&gt;ReconciliationData[[#This Row],[Billed_Units]]),1,0)</f>
        <v>0</v>
      </c>
      <c r="R15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92">
        <f>IF(AND(NOT(ISBLANK(ReconciliationData[[#This Row],[Contract_Price]])),ReconciliationData[[#This Row],[Billed_Price]]&lt;&gt;ReconciliationData[[#This Row],[Contract_Price]]),1,0)</f>
        <v>0</v>
      </c>
      <c r="T1592">
        <f>IF(AND(NOT(ISBLANK(ReconciliationData[[#This Row],[End_Date]])),ReconciliationData[[#This Row],[Order_Date]]&gt;ReconciliationData[[#This Row],[End_Date]]),1,0)</f>
        <v>0</v>
      </c>
      <c r="U1592">
        <f>IF(AND(NOT(ISBLANK(ReconciliationData[[#This Row],[last_return_date]])),ReconciliationData[[#This Row],[last_return_date]]&gt;ReconciliationData[[#This Row],[Order_Date]]+60),1,0)</f>
        <v>0</v>
      </c>
      <c r="V1592">
        <f>IF(ReconciliationData[[#This Row],[total_returned_units]]&gt;ReconciliationData[[#This Row],[ordered_units]],1,0)</f>
        <v>0</v>
      </c>
      <c r="W15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92">
        <f>ReconciliationData[[#This Row],[Billed_Units]]*ReconciliationData[[#This Row],[Billed_Price]]</f>
        <v>151206.89849999998</v>
      </c>
      <c r="Y1592">
        <f>ReconciliationData[[#This Row],[ordered_units]]*ReconciliationData[[#This Row],[List_Price]]</f>
        <v>151206.89849999998</v>
      </c>
      <c r="Z1592">
        <f>ReconciliationData[[#This Row],[billed_revenue]]-ReconciliationData[[#This Row],[expected_revenue]]</f>
        <v>0</v>
      </c>
      <c r="AA15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92" t="str">
        <f>IF(ReconciliationData[[#This Row],[severity_score]]=0,"LOW",
 IF(ReconciliationData[[#This Row],[severity_score]]&lt;=5,"MEDIUM","HIGH"))</f>
        <v>LOW</v>
      </c>
      <c r="AC1592" t="str">
        <f>TEXT(ReconciliationData[[#This Row],[Order_Date]],"YYYY-MM")</f>
        <v>2024-08</v>
      </c>
    </row>
    <row r="1593" spans="1:29">
      <c r="A1593" t="s">
        <v>4316</v>
      </c>
      <c r="B1593" s="1">
        <v>45341</v>
      </c>
      <c r="C1593" t="s">
        <v>4317</v>
      </c>
      <c r="D1593" t="s">
        <v>1549</v>
      </c>
      <c r="E1593">
        <v>199</v>
      </c>
      <c r="F1593" t="s">
        <v>4318</v>
      </c>
      <c r="G1593">
        <v>199</v>
      </c>
      <c r="H1593">
        <v>234.87090000000001</v>
      </c>
      <c r="N1593">
        <v>234.87090000000001</v>
      </c>
      <c r="O1593" s="1">
        <v>45150</v>
      </c>
      <c r="P1593">
        <f>IF(ISBLANK(ReconciliationData[[#This Row],[Invoice_ID]]),1,0)</f>
        <v>0</v>
      </c>
      <c r="Q1593">
        <f>IF(AND(NOT(ISBLANK(ReconciliationData[[#This Row],[Billed_Units]])),ReconciliationData[[#This Row],[ordered_units]]&lt;&gt;ReconciliationData[[#This Row],[Billed_Units]]),1,0)</f>
        <v>0</v>
      </c>
      <c r="R15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93">
        <f>IF(AND(NOT(ISBLANK(ReconciliationData[[#This Row],[Contract_Price]])),ReconciliationData[[#This Row],[Billed_Price]]&lt;&gt;ReconciliationData[[#This Row],[Contract_Price]]),1,0)</f>
        <v>0</v>
      </c>
      <c r="T1593">
        <f>IF(AND(NOT(ISBLANK(ReconciliationData[[#This Row],[End_Date]])),ReconciliationData[[#This Row],[Order_Date]]&gt;ReconciliationData[[#This Row],[End_Date]]),1,0)</f>
        <v>0</v>
      </c>
      <c r="U1593">
        <f>IF(AND(NOT(ISBLANK(ReconciliationData[[#This Row],[last_return_date]])),ReconciliationData[[#This Row],[last_return_date]]&gt;ReconciliationData[[#This Row],[Order_Date]]+60),1,0)</f>
        <v>0</v>
      </c>
      <c r="V1593">
        <f>IF(ReconciliationData[[#This Row],[total_returned_units]]&gt;ReconciliationData[[#This Row],[ordered_units]],1,0)</f>
        <v>0</v>
      </c>
      <c r="W15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93">
        <f>ReconciliationData[[#This Row],[Billed_Units]]*ReconciliationData[[#This Row],[Billed_Price]]</f>
        <v>46739.309099999999</v>
      </c>
      <c r="Y1593">
        <f>ReconciliationData[[#This Row],[ordered_units]]*ReconciliationData[[#This Row],[List_Price]]</f>
        <v>46739.309099999999</v>
      </c>
      <c r="Z1593">
        <f>ReconciliationData[[#This Row],[billed_revenue]]-ReconciliationData[[#This Row],[expected_revenue]]</f>
        <v>0</v>
      </c>
      <c r="AA15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93" t="str">
        <f>IF(ReconciliationData[[#This Row],[severity_score]]=0,"LOW",
 IF(ReconciliationData[[#This Row],[severity_score]]&lt;=5,"MEDIUM","HIGH"))</f>
        <v>LOW</v>
      </c>
      <c r="AC1593" t="str">
        <f>TEXT(ReconciliationData[[#This Row],[Order_Date]],"YYYY-MM")</f>
        <v>2024-02</v>
      </c>
    </row>
    <row r="1594" spans="1:29">
      <c r="A1594" t="s">
        <v>4319</v>
      </c>
      <c r="B1594" s="1">
        <v>45311</v>
      </c>
      <c r="C1594" t="s">
        <v>1936</v>
      </c>
      <c r="D1594" t="s">
        <v>251</v>
      </c>
      <c r="E1594">
        <v>61</v>
      </c>
      <c r="F1594" t="s">
        <v>4320</v>
      </c>
      <c r="G1594">
        <v>61</v>
      </c>
      <c r="H1594">
        <v>957.65700000000015</v>
      </c>
      <c r="N1594">
        <v>957.65700000000015</v>
      </c>
      <c r="O1594" s="1">
        <v>45057</v>
      </c>
      <c r="P1594">
        <f>IF(ISBLANK(ReconciliationData[[#This Row],[Invoice_ID]]),1,0)</f>
        <v>0</v>
      </c>
      <c r="Q1594">
        <f>IF(AND(NOT(ISBLANK(ReconciliationData[[#This Row],[Billed_Units]])),ReconciliationData[[#This Row],[ordered_units]]&lt;&gt;ReconciliationData[[#This Row],[Billed_Units]]),1,0)</f>
        <v>0</v>
      </c>
      <c r="R15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94">
        <f>IF(AND(NOT(ISBLANK(ReconciliationData[[#This Row],[Contract_Price]])),ReconciliationData[[#This Row],[Billed_Price]]&lt;&gt;ReconciliationData[[#This Row],[Contract_Price]]),1,0)</f>
        <v>0</v>
      </c>
      <c r="T1594">
        <f>IF(AND(NOT(ISBLANK(ReconciliationData[[#This Row],[End_Date]])),ReconciliationData[[#This Row],[Order_Date]]&gt;ReconciliationData[[#This Row],[End_Date]]),1,0)</f>
        <v>0</v>
      </c>
      <c r="U1594">
        <f>IF(AND(NOT(ISBLANK(ReconciliationData[[#This Row],[last_return_date]])),ReconciliationData[[#This Row],[last_return_date]]&gt;ReconciliationData[[#This Row],[Order_Date]]+60),1,0)</f>
        <v>0</v>
      </c>
      <c r="V1594">
        <f>IF(ReconciliationData[[#This Row],[total_returned_units]]&gt;ReconciliationData[[#This Row],[ordered_units]],1,0)</f>
        <v>0</v>
      </c>
      <c r="W15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94">
        <f>ReconciliationData[[#This Row],[Billed_Units]]*ReconciliationData[[#This Row],[Billed_Price]]</f>
        <v>58417.077000000012</v>
      </c>
      <c r="Y1594">
        <f>ReconciliationData[[#This Row],[ordered_units]]*ReconciliationData[[#This Row],[List_Price]]</f>
        <v>58417.077000000012</v>
      </c>
      <c r="Z1594">
        <f>ReconciliationData[[#This Row],[billed_revenue]]-ReconciliationData[[#This Row],[expected_revenue]]</f>
        <v>0</v>
      </c>
      <c r="AA15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94" t="str">
        <f>IF(ReconciliationData[[#This Row],[severity_score]]=0,"LOW",
 IF(ReconciliationData[[#This Row],[severity_score]]&lt;=5,"MEDIUM","HIGH"))</f>
        <v>LOW</v>
      </c>
      <c r="AC1594" t="str">
        <f>TEXT(ReconciliationData[[#This Row],[Order_Date]],"YYYY-MM")</f>
        <v>2024-01</v>
      </c>
    </row>
    <row r="1595" spans="1:29">
      <c r="A1595" t="s">
        <v>4321</v>
      </c>
      <c r="B1595" s="1">
        <v>45408</v>
      </c>
      <c r="C1595" t="s">
        <v>1975</v>
      </c>
      <c r="D1595" t="s">
        <v>958</v>
      </c>
      <c r="E1595">
        <v>187</v>
      </c>
      <c r="F1595" t="s">
        <v>4322</v>
      </c>
      <c r="G1595">
        <v>187</v>
      </c>
      <c r="H1595">
        <v>147.87150000000003</v>
      </c>
      <c r="N1595">
        <v>147.87150000000003</v>
      </c>
      <c r="O1595" s="1">
        <v>44972</v>
      </c>
      <c r="P1595">
        <f>IF(ISBLANK(ReconciliationData[[#This Row],[Invoice_ID]]),1,0)</f>
        <v>0</v>
      </c>
      <c r="Q1595">
        <f>IF(AND(NOT(ISBLANK(ReconciliationData[[#This Row],[Billed_Units]])),ReconciliationData[[#This Row],[ordered_units]]&lt;&gt;ReconciliationData[[#This Row],[Billed_Units]]),1,0)</f>
        <v>0</v>
      </c>
      <c r="R15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95">
        <f>IF(AND(NOT(ISBLANK(ReconciliationData[[#This Row],[Contract_Price]])),ReconciliationData[[#This Row],[Billed_Price]]&lt;&gt;ReconciliationData[[#This Row],[Contract_Price]]),1,0)</f>
        <v>0</v>
      </c>
      <c r="T1595">
        <f>IF(AND(NOT(ISBLANK(ReconciliationData[[#This Row],[End_Date]])),ReconciliationData[[#This Row],[Order_Date]]&gt;ReconciliationData[[#This Row],[End_Date]]),1,0)</f>
        <v>0</v>
      </c>
      <c r="U1595">
        <f>IF(AND(NOT(ISBLANK(ReconciliationData[[#This Row],[last_return_date]])),ReconciliationData[[#This Row],[last_return_date]]&gt;ReconciliationData[[#This Row],[Order_Date]]+60),1,0)</f>
        <v>0</v>
      </c>
      <c r="V1595">
        <f>IF(ReconciliationData[[#This Row],[total_returned_units]]&gt;ReconciliationData[[#This Row],[ordered_units]],1,0)</f>
        <v>0</v>
      </c>
      <c r="W15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95">
        <f>ReconciliationData[[#This Row],[Billed_Units]]*ReconciliationData[[#This Row],[Billed_Price]]</f>
        <v>27651.970500000003</v>
      </c>
      <c r="Y1595">
        <f>ReconciliationData[[#This Row],[ordered_units]]*ReconciliationData[[#This Row],[List_Price]]</f>
        <v>27651.970500000003</v>
      </c>
      <c r="Z1595">
        <f>ReconciliationData[[#This Row],[billed_revenue]]-ReconciliationData[[#This Row],[expected_revenue]]</f>
        <v>0</v>
      </c>
      <c r="AA15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95" t="str">
        <f>IF(ReconciliationData[[#This Row],[severity_score]]=0,"LOW",
 IF(ReconciliationData[[#This Row],[severity_score]]&lt;=5,"MEDIUM","HIGH"))</f>
        <v>LOW</v>
      </c>
      <c r="AC1595" t="str">
        <f>TEXT(ReconciliationData[[#This Row],[Order_Date]],"YYYY-MM")</f>
        <v>2024-04</v>
      </c>
    </row>
    <row r="1596" spans="1:29">
      <c r="A1596" t="s">
        <v>4323</v>
      </c>
      <c r="B1596" s="1">
        <v>45116</v>
      </c>
      <c r="C1596" t="s">
        <v>1598</v>
      </c>
      <c r="D1596" t="s">
        <v>146</v>
      </c>
      <c r="E1596">
        <v>37</v>
      </c>
      <c r="F1596" t="s">
        <v>4324</v>
      </c>
      <c r="G1596">
        <v>37</v>
      </c>
      <c r="H1596">
        <v>849.43949999999995</v>
      </c>
      <c r="N1596">
        <v>849.43949999999995</v>
      </c>
      <c r="O1596" s="1">
        <v>45114</v>
      </c>
      <c r="P1596">
        <f>IF(ISBLANK(ReconciliationData[[#This Row],[Invoice_ID]]),1,0)</f>
        <v>0</v>
      </c>
      <c r="Q1596">
        <f>IF(AND(NOT(ISBLANK(ReconciliationData[[#This Row],[Billed_Units]])),ReconciliationData[[#This Row],[ordered_units]]&lt;&gt;ReconciliationData[[#This Row],[Billed_Units]]),1,0)</f>
        <v>0</v>
      </c>
      <c r="R15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96">
        <f>IF(AND(NOT(ISBLANK(ReconciliationData[[#This Row],[Contract_Price]])),ReconciliationData[[#This Row],[Billed_Price]]&lt;&gt;ReconciliationData[[#This Row],[Contract_Price]]),1,0)</f>
        <v>0</v>
      </c>
      <c r="T1596">
        <f>IF(AND(NOT(ISBLANK(ReconciliationData[[#This Row],[End_Date]])),ReconciliationData[[#This Row],[Order_Date]]&gt;ReconciliationData[[#This Row],[End_Date]]),1,0)</f>
        <v>0</v>
      </c>
      <c r="U1596">
        <f>IF(AND(NOT(ISBLANK(ReconciliationData[[#This Row],[last_return_date]])),ReconciliationData[[#This Row],[last_return_date]]&gt;ReconciliationData[[#This Row],[Order_Date]]+60),1,0)</f>
        <v>0</v>
      </c>
      <c r="V1596">
        <f>IF(ReconciliationData[[#This Row],[total_returned_units]]&gt;ReconciliationData[[#This Row],[ordered_units]],1,0)</f>
        <v>0</v>
      </c>
      <c r="W15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96">
        <f>ReconciliationData[[#This Row],[Billed_Units]]*ReconciliationData[[#This Row],[Billed_Price]]</f>
        <v>31429.261499999997</v>
      </c>
      <c r="Y1596">
        <f>ReconciliationData[[#This Row],[ordered_units]]*ReconciliationData[[#This Row],[List_Price]]</f>
        <v>31429.261499999997</v>
      </c>
      <c r="Z1596">
        <f>ReconciliationData[[#This Row],[billed_revenue]]-ReconciliationData[[#This Row],[expected_revenue]]</f>
        <v>0</v>
      </c>
      <c r="AA15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96" t="str">
        <f>IF(ReconciliationData[[#This Row],[severity_score]]=0,"LOW",
 IF(ReconciliationData[[#This Row],[severity_score]]&lt;=5,"MEDIUM","HIGH"))</f>
        <v>LOW</v>
      </c>
      <c r="AC1596" t="str">
        <f>TEXT(ReconciliationData[[#This Row],[Order_Date]],"YYYY-MM")</f>
        <v>2023-07</v>
      </c>
    </row>
    <row r="1597" spans="1:29">
      <c r="A1597" t="s">
        <v>4325</v>
      </c>
      <c r="B1597" s="1">
        <v>45131</v>
      </c>
      <c r="C1597" t="s">
        <v>3993</v>
      </c>
      <c r="D1597" t="s">
        <v>487</v>
      </c>
      <c r="E1597">
        <v>133</v>
      </c>
      <c r="F1597" t="s">
        <v>4326</v>
      </c>
      <c r="G1597">
        <v>133</v>
      </c>
      <c r="H1597">
        <v>285.36900000000003</v>
      </c>
      <c r="N1597">
        <v>285.36900000000003</v>
      </c>
      <c r="O1597" s="1">
        <v>44932</v>
      </c>
      <c r="P1597">
        <f>IF(ISBLANK(ReconciliationData[[#This Row],[Invoice_ID]]),1,0)</f>
        <v>0</v>
      </c>
      <c r="Q1597">
        <f>IF(AND(NOT(ISBLANK(ReconciliationData[[#This Row],[Billed_Units]])),ReconciliationData[[#This Row],[ordered_units]]&lt;&gt;ReconciliationData[[#This Row],[Billed_Units]]),1,0)</f>
        <v>0</v>
      </c>
      <c r="R15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97">
        <f>IF(AND(NOT(ISBLANK(ReconciliationData[[#This Row],[Contract_Price]])),ReconciliationData[[#This Row],[Billed_Price]]&lt;&gt;ReconciliationData[[#This Row],[Contract_Price]]),1,0)</f>
        <v>0</v>
      </c>
      <c r="T1597">
        <f>IF(AND(NOT(ISBLANK(ReconciliationData[[#This Row],[End_Date]])),ReconciliationData[[#This Row],[Order_Date]]&gt;ReconciliationData[[#This Row],[End_Date]]),1,0)</f>
        <v>0</v>
      </c>
      <c r="U1597">
        <f>IF(AND(NOT(ISBLANK(ReconciliationData[[#This Row],[last_return_date]])),ReconciliationData[[#This Row],[last_return_date]]&gt;ReconciliationData[[#This Row],[Order_Date]]+60),1,0)</f>
        <v>0</v>
      </c>
      <c r="V1597">
        <f>IF(ReconciliationData[[#This Row],[total_returned_units]]&gt;ReconciliationData[[#This Row],[ordered_units]],1,0)</f>
        <v>0</v>
      </c>
      <c r="W15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97">
        <f>ReconciliationData[[#This Row],[Billed_Units]]*ReconciliationData[[#This Row],[Billed_Price]]</f>
        <v>37954.077000000005</v>
      </c>
      <c r="Y1597">
        <f>ReconciliationData[[#This Row],[ordered_units]]*ReconciliationData[[#This Row],[List_Price]]</f>
        <v>37954.077000000005</v>
      </c>
      <c r="Z1597">
        <f>ReconciliationData[[#This Row],[billed_revenue]]-ReconciliationData[[#This Row],[expected_revenue]]</f>
        <v>0</v>
      </c>
      <c r="AA15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97" t="str">
        <f>IF(ReconciliationData[[#This Row],[severity_score]]=0,"LOW",
 IF(ReconciliationData[[#This Row],[severity_score]]&lt;=5,"MEDIUM","HIGH"))</f>
        <v>LOW</v>
      </c>
      <c r="AC1597" t="str">
        <f>TEXT(ReconciliationData[[#This Row],[Order_Date]],"YYYY-MM")</f>
        <v>2023-07</v>
      </c>
    </row>
    <row r="1598" spans="1:29">
      <c r="A1598" t="s">
        <v>4327</v>
      </c>
      <c r="B1598" s="1">
        <v>45310</v>
      </c>
      <c r="C1598" t="s">
        <v>1944</v>
      </c>
      <c r="D1598" t="s">
        <v>1171</v>
      </c>
      <c r="E1598">
        <v>66</v>
      </c>
      <c r="F1598" t="s">
        <v>4328</v>
      </c>
      <c r="G1598">
        <v>66</v>
      </c>
      <c r="H1598">
        <v>435.57279999999997</v>
      </c>
      <c r="N1598">
        <v>435.57279999999997</v>
      </c>
      <c r="O1598" s="1">
        <v>45159</v>
      </c>
      <c r="P1598">
        <f>IF(ISBLANK(ReconciliationData[[#This Row],[Invoice_ID]]),1,0)</f>
        <v>0</v>
      </c>
      <c r="Q1598">
        <f>IF(AND(NOT(ISBLANK(ReconciliationData[[#This Row],[Billed_Units]])),ReconciliationData[[#This Row],[ordered_units]]&lt;&gt;ReconciliationData[[#This Row],[Billed_Units]]),1,0)</f>
        <v>0</v>
      </c>
      <c r="R15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98">
        <f>IF(AND(NOT(ISBLANK(ReconciliationData[[#This Row],[Contract_Price]])),ReconciliationData[[#This Row],[Billed_Price]]&lt;&gt;ReconciliationData[[#This Row],[Contract_Price]]),1,0)</f>
        <v>0</v>
      </c>
      <c r="T1598">
        <f>IF(AND(NOT(ISBLANK(ReconciliationData[[#This Row],[End_Date]])),ReconciliationData[[#This Row],[Order_Date]]&gt;ReconciliationData[[#This Row],[End_Date]]),1,0)</f>
        <v>0</v>
      </c>
      <c r="U1598">
        <f>IF(AND(NOT(ISBLANK(ReconciliationData[[#This Row],[last_return_date]])),ReconciliationData[[#This Row],[last_return_date]]&gt;ReconciliationData[[#This Row],[Order_Date]]+60),1,0)</f>
        <v>0</v>
      </c>
      <c r="V1598">
        <f>IF(ReconciliationData[[#This Row],[total_returned_units]]&gt;ReconciliationData[[#This Row],[ordered_units]],1,0)</f>
        <v>0</v>
      </c>
      <c r="W15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98">
        <f>ReconciliationData[[#This Row],[Billed_Units]]*ReconciliationData[[#This Row],[Billed_Price]]</f>
        <v>28747.804799999998</v>
      </c>
      <c r="Y1598">
        <f>ReconciliationData[[#This Row],[ordered_units]]*ReconciliationData[[#This Row],[List_Price]]</f>
        <v>28747.804799999998</v>
      </c>
      <c r="Z1598">
        <f>ReconciliationData[[#This Row],[billed_revenue]]-ReconciliationData[[#This Row],[expected_revenue]]</f>
        <v>0</v>
      </c>
      <c r="AA15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98" t="str">
        <f>IF(ReconciliationData[[#This Row],[severity_score]]=0,"LOW",
 IF(ReconciliationData[[#This Row],[severity_score]]&lt;=5,"MEDIUM","HIGH"))</f>
        <v>LOW</v>
      </c>
      <c r="AC1598" t="str">
        <f>TEXT(ReconciliationData[[#This Row],[Order_Date]],"YYYY-MM")</f>
        <v>2024-01</v>
      </c>
    </row>
    <row r="1599" spans="1:29">
      <c r="A1599" t="s">
        <v>4329</v>
      </c>
      <c r="B1599" s="1">
        <v>45491</v>
      </c>
      <c r="C1599" t="s">
        <v>1705</v>
      </c>
      <c r="D1599" t="s">
        <v>1146</v>
      </c>
      <c r="E1599">
        <v>182</v>
      </c>
      <c r="F1599" t="s">
        <v>4330</v>
      </c>
      <c r="G1599">
        <v>182</v>
      </c>
      <c r="H1599">
        <v>427.43</v>
      </c>
      <c r="N1599">
        <v>427.43</v>
      </c>
      <c r="O1599" s="1">
        <v>45054</v>
      </c>
      <c r="P1599">
        <f>IF(ISBLANK(ReconciliationData[[#This Row],[Invoice_ID]]),1,0)</f>
        <v>0</v>
      </c>
      <c r="Q1599">
        <f>IF(AND(NOT(ISBLANK(ReconciliationData[[#This Row],[Billed_Units]])),ReconciliationData[[#This Row],[ordered_units]]&lt;&gt;ReconciliationData[[#This Row],[Billed_Units]]),1,0)</f>
        <v>0</v>
      </c>
      <c r="R15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599">
        <f>IF(AND(NOT(ISBLANK(ReconciliationData[[#This Row],[Contract_Price]])),ReconciliationData[[#This Row],[Billed_Price]]&lt;&gt;ReconciliationData[[#This Row],[Contract_Price]]),1,0)</f>
        <v>0</v>
      </c>
      <c r="T1599">
        <f>IF(AND(NOT(ISBLANK(ReconciliationData[[#This Row],[End_Date]])),ReconciliationData[[#This Row],[Order_Date]]&gt;ReconciliationData[[#This Row],[End_Date]]),1,0)</f>
        <v>0</v>
      </c>
      <c r="U1599">
        <f>IF(AND(NOT(ISBLANK(ReconciliationData[[#This Row],[last_return_date]])),ReconciliationData[[#This Row],[last_return_date]]&gt;ReconciliationData[[#This Row],[Order_Date]]+60),1,0)</f>
        <v>0</v>
      </c>
      <c r="V1599">
        <f>IF(ReconciliationData[[#This Row],[total_returned_units]]&gt;ReconciliationData[[#This Row],[ordered_units]],1,0)</f>
        <v>0</v>
      </c>
      <c r="W15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599">
        <f>ReconciliationData[[#This Row],[Billed_Units]]*ReconciliationData[[#This Row],[Billed_Price]]</f>
        <v>77792.259999999995</v>
      </c>
      <c r="Y1599">
        <f>ReconciliationData[[#This Row],[ordered_units]]*ReconciliationData[[#This Row],[List_Price]]</f>
        <v>77792.259999999995</v>
      </c>
      <c r="Z1599">
        <f>ReconciliationData[[#This Row],[billed_revenue]]-ReconciliationData[[#This Row],[expected_revenue]]</f>
        <v>0</v>
      </c>
      <c r="AA15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599" t="str">
        <f>IF(ReconciliationData[[#This Row],[severity_score]]=0,"LOW",
 IF(ReconciliationData[[#This Row],[severity_score]]&lt;=5,"MEDIUM","HIGH"))</f>
        <v>LOW</v>
      </c>
      <c r="AC1599" t="str">
        <f>TEXT(ReconciliationData[[#This Row],[Order_Date]],"YYYY-MM")</f>
        <v>2024-07</v>
      </c>
    </row>
    <row r="1600" spans="1:29">
      <c r="A1600" t="s">
        <v>4331</v>
      </c>
      <c r="B1600" s="1">
        <v>44984</v>
      </c>
      <c r="C1600" t="s">
        <v>627</v>
      </c>
      <c r="D1600" t="s">
        <v>317</v>
      </c>
      <c r="E1600">
        <v>117</v>
      </c>
      <c r="F1600" t="s">
        <v>4332</v>
      </c>
      <c r="G1600">
        <v>117</v>
      </c>
      <c r="H1600">
        <v>1015.6622</v>
      </c>
      <c r="N1600">
        <v>1015.6622</v>
      </c>
      <c r="O1600" s="1">
        <v>44797</v>
      </c>
      <c r="P1600">
        <f>IF(ISBLANK(ReconciliationData[[#This Row],[Invoice_ID]]),1,0)</f>
        <v>0</v>
      </c>
      <c r="Q1600">
        <f>IF(AND(NOT(ISBLANK(ReconciliationData[[#This Row],[Billed_Units]])),ReconciliationData[[#This Row],[ordered_units]]&lt;&gt;ReconciliationData[[#This Row],[Billed_Units]]),1,0)</f>
        <v>0</v>
      </c>
      <c r="R16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0">
        <f>IF(AND(NOT(ISBLANK(ReconciliationData[[#This Row],[Contract_Price]])),ReconciliationData[[#This Row],[Billed_Price]]&lt;&gt;ReconciliationData[[#This Row],[Contract_Price]]),1,0)</f>
        <v>0</v>
      </c>
      <c r="T1600">
        <f>IF(AND(NOT(ISBLANK(ReconciliationData[[#This Row],[End_Date]])),ReconciliationData[[#This Row],[Order_Date]]&gt;ReconciliationData[[#This Row],[End_Date]]),1,0)</f>
        <v>0</v>
      </c>
      <c r="U1600">
        <f>IF(AND(NOT(ISBLANK(ReconciliationData[[#This Row],[last_return_date]])),ReconciliationData[[#This Row],[last_return_date]]&gt;ReconciliationData[[#This Row],[Order_Date]]+60),1,0)</f>
        <v>0</v>
      </c>
      <c r="V1600">
        <f>IF(ReconciliationData[[#This Row],[total_returned_units]]&gt;ReconciliationData[[#This Row],[ordered_units]],1,0)</f>
        <v>0</v>
      </c>
      <c r="W16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00">
        <f>ReconciliationData[[#This Row],[Billed_Units]]*ReconciliationData[[#This Row],[Billed_Price]]</f>
        <v>118832.4774</v>
      </c>
      <c r="Y1600">
        <f>ReconciliationData[[#This Row],[ordered_units]]*ReconciliationData[[#This Row],[List_Price]]</f>
        <v>118832.4774</v>
      </c>
      <c r="Z1600">
        <f>ReconciliationData[[#This Row],[billed_revenue]]-ReconciliationData[[#This Row],[expected_revenue]]</f>
        <v>0</v>
      </c>
      <c r="AA16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00" t="str">
        <f>IF(ReconciliationData[[#This Row],[severity_score]]=0,"LOW",
 IF(ReconciliationData[[#This Row],[severity_score]]&lt;=5,"MEDIUM","HIGH"))</f>
        <v>LOW</v>
      </c>
      <c r="AC1600" t="str">
        <f>TEXT(ReconciliationData[[#This Row],[Order_Date]],"YYYY-MM")</f>
        <v>2023-02</v>
      </c>
    </row>
    <row r="1601" spans="1:29">
      <c r="A1601" t="s">
        <v>4333</v>
      </c>
      <c r="B1601" s="1">
        <v>45338</v>
      </c>
      <c r="C1601" t="s">
        <v>4334</v>
      </c>
      <c r="D1601" t="s">
        <v>255</v>
      </c>
      <c r="E1601">
        <v>40</v>
      </c>
      <c r="F1601" t="s">
        <v>4335</v>
      </c>
      <c r="G1601">
        <v>40</v>
      </c>
      <c r="H1601">
        <v>1103.0465999999999</v>
      </c>
      <c r="N1601">
        <v>1103.0465999999999</v>
      </c>
      <c r="O1601" s="1">
        <v>45214</v>
      </c>
      <c r="P1601">
        <f>IF(ISBLANK(ReconciliationData[[#This Row],[Invoice_ID]]),1,0)</f>
        <v>0</v>
      </c>
      <c r="Q1601">
        <f>IF(AND(NOT(ISBLANK(ReconciliationData[[#This Row],[Billed_Units]])),ReconciliationData[[#This Row],[ordered_units]]&lt;&gt;ReconciliationData[[#This Row],[Billed_Units]]),1,0)</f>
        <v>0</v>
      </c>
      <c r="R16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1">
        <f>IF(AND(NOT(ISBLANK(ReconciliationData[[#This Row],[Contract_Price]])),ReconciliationData[[#This Row],[Billed_Price]]&lt;&gt;ReconciliationData[[#This Row],[Contract_Price]]),1,0)</f>
        <v>0</v>
      </c>
      <c r="T1601">
        <f>IF(AND(NOT(ISBLANK(ReconciliationData[[#This Row],[End_Date]])),ReconciliationData[[#This Row],[Order_Date]]&gt;ReconciliationData[[#This Row],[End_Date]]),1,0)</f>
        <v>0</v>
      </c>
      <c r="U1601">
        <f>IF(AND(NOT(ISBLANK(ReconciliationData[[#This Row],[last_return_date]])),ReconciliationData[[#This Row],[last_return_date]]&gt;ReconciliationData[[#This Row],[Order_Date]]+60),1,0)</f>
        <v>0</v>
      </c>
      <c r="V1601">
        <f>IF(ReconciliationData[[#This Row],[total_returned_units]]&gt;ReconciliationData[[#This Row],[ordered_units]],1,0)</f>
        <v>0</v>
      </c>
      <c r="W16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01">
        <f>ReconciliationData[[#This Row],[Billed_Units]]*ReconciliationData[[#This Row],[Billed_Price]]</f>
        <v>44121.863999999994</v>
      </c>
      <c r="Y1601">
        <f>ReconciliationData[[#This Row],[ordered_units]]*ReconciliationData[[#This Row],[List_Price]]</f>
        <v>44121.863999999994</v>
      </c>
      <c r="Z1601">
        <f>ReconciliationData[[#This Row],[billed_revenue]]-ReconciliationData[[#This Row],[expected_revenue]]</f>
        <v>0</v>
      </c>
      <c r="AA16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01" t="str">
        <f>IF(ReconciliationData[[#This Row],[severity_score]]=0,"LOW",
 IF(ReconciliationData[[#This Row],[severity_score]]&lt;=5,"MEDIUM","HIGH"))</f>
        <v>LOW</v>
      </c>
      <c r="AC1601" t="str">
        <f>TEXT(ReconciliationData[[#This Row],[Order_Date]],"YYYY-MM")</f>
        <v>2024-02</v>
      </c>
    </row>
    <row r="1602" spans="1:29">
      <c r="A1602" t="s">
        <v>4336</v>
      </c>
      <c r="B1602" s="1">
        <v>45515</v>
      </c>
      <c r="C1602" t="s">
        <v>4337</v>
      </c>
      <c r="D1602" t="s">
        <v>684</v>
      </c>
      <c r="E1602">
        <v>153</v>
      </c>
      <c r="F1602" t="s">
        <v>4338</v>
      </c>
      <c r="G1602">
        <v>153</v>
      </c>
      <c r="H1602">
        <v>75.620999999999995</v>
      </c>
      <c r="N1602">
        <v>75.620999999999995</v>
      </c>
      <c r="O1602" s="1">
        <v>45108</v>
      </c>
      <c r="P1602">
        <f>IF(ISBLANK(ReconciliationData[[#This Row],[Invoice_ID]]),1,0)</f>
        <v>0</v>
      </c>
      <c r="Q1602">
        <f>IF(AND(NOT(ISBLANK(ReconciliationData[[#This Row],[Billed_Units]])),ReconciliationData[[#This Row],[ordered_units]]&lt;&gt;ReconciliationData[[#This Row],[Billed_Units]]),1,0)</f>
        <v>0</v>
      </c>
      <c r="R16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2">
        <f>IF(AND(NOT(ISBLANK(ReconciliationData[[#This Row],[Contract_Price]])),ReconciliationData[[#This Row],[Billed_Price]]&lt;&gt;ReconciliationData[[#This Row],[Contract_Price]]),1,0)</f>
        <v>0</v>
      </c>
      <c r="T1602">
        <f>IF(AND(NOT(ISBLANK(ReconciliationData[[#This Row],[End_Date]])),ReconciliationData[[#This Row],[Order_Date]]&gt;ReconciliationData[[#This Row],[End_Date]]),1,0)</f>
        <v>0</v>
      </c>
      <c r="U1602">
        <f>IF(AND(NOT(ISBLANK(ReconciliationData[[#This Row],[last_return_date]])),ReconciliationData[[#This Row],[last_return_date]]&gt;ReconciliationData[[#This Row],[Order_Date]]+60),1,0)</f>
        <v>0</v>
      </c>
      <c r="V1602">
        <f>IF(ReconciliationData[[#This Row],[total_returned_units]]&gt;ReconciliationData[[#This Row],[ordered_units]],1,0)</f>
        <v>0</v>
      </c>
      <c r="W16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02">
        <f>ReconciliationData[[#This Row],[Billed_Units]]*ReconciliationData[[#This Row],[Billed_Price]]</f>
        <v>11570.012999999999</v>
      </c>
      <c r="Y1602">
        <f>ReconciliationData[[#This Row],[ordered_units]]*ReconciliationData[[#This Row],[List_Price]]</f>
        <v>11570.012999999999</v>
      </c>
      <c r="Z1602">
        <f>ReconciliationData[[#This Row],[billed_revenue]]-ReconciliationData[[#This Row],[expected_revenue]]</f>
        <v>0</v>
      </c>
      <c r="AA16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02" t="str">
        <f>IF(ReconciliationData[[#This Row],[severity_score]]=0,"LOW",
 IF(ReconciliationData[[#This Row],[severity_score]]&lt;=5,"MEDIUM","HIGH"))</f>
        <v>LOW</v>
      </c>
      <c r="AC1602" t="str">
        <f>TEXT(ReconciliationData[[#This Row],[Order_Date]],"YYYY-MM")</f>
        <v>2024-08</v>
      </c>
    </row>
    <row r="1603" spans="1:29">
      <c r="A1603" t="s">
        <v>4339</v>
      </c>
      <c r="B1603" s="1">
        <v>45590</v>
      </c>
      <c r="C1603" t="s">
        <v>2000</v>
      </c>
      <c r="D1603" t="s">
        <v>206</v>
      </c>
      <c r="E1603">
        <v>7</v>
      </c>
      <c r="F1603" t="s">
        <v>4340</v>
      </c>
      <c r="G1603">
        <v>7</v>
      </c>
      <c r="H1603">
        <v>337.47280000000001</v>
      </c>
      <c r="N1603">
        <v>337.47280000000001</v>
      </c>
      <c r="O1603" s="1">
        <v>45171</v>
      </c>
      <c r="P1603">
        <f>IF(ISBLANK(ReconciliationData[[#This Row],[Invoice_ID]]),1,0)</f>
        <v>0</v>
      </c>
      <c r="Q1603">
        <f>IF(AND(NOT(ISBLANK(ReconciliationData[[#This Row],[Billed_Units]])),ReconciliationData[[#This Row],[ordered_units]]&lt;&gt;ReconciliationData[[#This Row],[Billed_Units]]),1,0)</f>
        <v>0</v>
      </c>
      <c r="R16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3">
        <f>IF(AND(NOT(ISBLANK(ReconciliationData[[#This Row],[Contract_Price]])),ReconciliationData[[#This Row],[Billed_Price]]&lt;&gt;ReconciliationData[[#This Row],[Contract_Price]]),1,0)</f>
        <v>0</v>
      </c>
      <c r="T1603">
        <f>IF(AND(NOT(ISBLANK(ReconciliationData[[#This Row],[End_Date]])),ReconciliationData[[#This Row],[Order_Date]]&gt;ReconciliationData[[#This Row],[End_Date]]),1,0)</f>
        <v>0</v>
      </c>
      <c r="U1603">
        <f>IF(AND(NOT(ISBLANK(ReconciliationData[[#This Row],[last_return_date]])),ReconciliationData[[#This Row],[last_return_date]]&gt;ReconciliationData[[#This Row],[Order_Date]]+60),1,0)</f>
        <v>0</v>
      </c>
      <c r="V1603">
        <f>IF(ReconciliationData[[#This Row],[total_returned_units]]&gt;ReconciliationData[[#This Row],[ordered_units]],1,0)</f>
        <v>0</v>
      </c>
      <c r="W16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03">
        <f>ReconciliationData[[#This Row],[Billed_Units]]*ReconciliationData[[#This Row],[Billed_Price]]</f>
        <v>2362.3096</v>
      </c>
      <c r="Y1603">
        <f>ReconciliationData[[#This Row],[ordered_units]]*ReconciliationData[[#This Row],[List_Price]]</f>
        <v>2362.3096</v>
      </c>
      <c r="Z1603">
        <f>ReconciliationData[[#This Row],[billed_revenue]]-ReconciliationData[[#This Row],[expected_revenue]]</f>
        <v>0</v>
      </c>
      <c r="AA16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03" t="str">
        <f>IF(ReconciliationData[[#This Row],[severity_score]]=0,"LOW",
 IF(ReconciliationData[[#This Row],[severity_score]]&lt;=5,"MEDIUM","HIGH"))</f>
        <v>LOW</v>
      </c>
      <c r="AC1603" t="str">
        <f>TEXT(ReconciliationData[[#This Row],[Order_Date]],"YYYY-MM")</f>
        <v>2024-10</v>
      </c>
    </row>
    <row r="1604" spans="1:29">
      <c r="A1604" t="s">
        <v>4341</v>
      </c>
      <c r="B1604" s="1">
        <v>45553</v>
      </c>
      <c r="C1604" t="s">
        <v>2460</v>
      </c>
      <c r="D1604" t="s">
        <v>863</v>
      </c>
      <c r="E1604">
        <v>141</v>
      </c>
      <c r="F1604" t="s">
        <v>4342</v>
      </c>
      <c r="G1604">
        <v>141</v>
      </c>
      <c r="H1604">
        <v>815.08680000000004</v>
      </c>
      <c r="N1604">
        <v>815.08680000000004</v>
      </c>
      <c r="O1604" s="1">
        <v>45062</v>
      </c>
      <c r="P1604">
        <f>IF(ISBLANK(ReconciliationData[[#This Row],[Invoice_ID]]),1,0)</f>
        <v>0</v>
      </c>
      <c r="Q1604">
        <f>IF(AND(NOT(ISBLANK(ReconciliationData[[#This Row],[Billed_Units]])),ReconciliationData[[#This Row],[ordered_units]]&lt;&gt;ReconciliationData[[#This Row],[Billed_Units]]),1,0)</f>
        <v>0</v>
      </c>
      <c r="R16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4">
        <f>IF(AND(NOT(ISBLANK(ReconciliationData[[#This Row],[Contract_Price]])),ReconciliationData[[#This Row],[Billed_Price]]&lt;&gt;ReconciliationData[[#This Row],[Contract_Price]]),1,0)</f>
        <v>0</v>
      </c>
      <c r="T1604">
        <f>IF(AND(NOT(ISBLANK(ReconciliationData[[#This Row],[End_Date]])),ReconciliationData[[#This Row],[Order_Date]]&gt;ReconciliationData[[#This Row],[End_Date]]),1,0)</f>
        <v>0</v>
      </c>
      <c r="U1604">
        <f>IF(AND(NOT(ISBLANK(ReconciliationData[[#This Row],[last_return_date]])),ReconciliationData[[#This Row],[last_return_date]]&gt;ReconciliationData[[#This Row],[Order_Date]]+60),1,0)</f>
        <v>0</v>
      </c>
      <c r="V1604">
        <f>IF(ReconciliationData[[#This Row],[total_returned_units]]&gt;ReconciliationData[[#This Row],[ordered_units]],1,0)</f>
        <v>0</v>
      </c>
      <c r="W16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04">
        <f>ReconciliationData[[#This Row],[Billed_Units]]*ReconciliationData[[#This Row],[Billed_Price]]</f>
        <v>114927.23880000001</v>
      </c>
      <c r="Y1604">
        <f>ReconciliationData[[#This Row],[ordered_units]]*ReconciliationData[[#This Row],[List_Price]]</f>
        <v>114927.23880000001</v>
      </c>
      <c r="Z1604">
        <f>ReconciliationData[[#This Row],[billed_revenue]]-ReconciliationData[[#This Row],[expected_revenue]]</f>
        <v>0</v>
      </c>
      <c r="AA16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04" t="str">
        <f>IF(ReconciliationData[[#This Row],[severity_score]]=0,"LOW",
 IF(ReconciliationData[[#This Row],[severity_score]]&lt;=5,"MEDIUM","HIGH"))</f>
        <v>LOW</v>
      </c>
      <c r="AC1604" t="str">
        <f>TEXT(ReconciliationData[[#This Row],[Order_Date]],"YYYY-MM")</f>
        <v>2024-09</v>
      </c>
    </row>
    <row r="1605" spans="1:29">
      <c r="A1605" t="s">
        <v>4343</v>
      </c>
      <c r="B1605" s="1">
        <v>45107</v>
      </c>
      <c r="C1605" t="s">
        <v>2349</v>
      </c>
      <c r="D1605" t="s">
        <v>651</v>
      </c>
      <c r="E1605">
        <v>124</v>
      </c>
      <c r="F1605" t="s">
        <v>4344</v>
      </c>
      <c r="G1605">
        <v>124</v>
      </c>
      <c r="H1605">
        <v>199.8895</v>
      </c>
      <c r="N1605">
        <v>199.8895</v>
      </c>
      <c r="O1605" s="1">
        <v>44807</v>
      </c>
      <c r="P1605">
        <f>IF(ISBLANK(ReconciliationData[[#This Row],[Invoice_ID]]),1,0)</f>
        <v>0</v>
      </c>
      <c r="Q1605">
        <f>IF(AND(NOT(ISBLANK(ReconciliationData[[#This Row],[Billed_Units]])),ReconciliationData[[#This Row],[ordered_units]]&lt;&gt;ReconciliationData[[#This Row],[Billed_Units]]),1,0)</f>
        <v>0</v>
      </c>
      <c r="R16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5">
        <f>IF(AND(NOT(ISBLANK(ReconciliationData[[#This Row],[Contract_Price]])),ReconciliationData[[#This Row],[Billed_Price]]&lt;&gt;ReconciliationData[[#This Row],[Contract_Price]]),1,0)</f>
        <v>0</v>
      </c>
      <c r="T1605">
        <f>IF(AND(NOT(ISBLANK(ReconciliationData[[#This Row],[End_Date]])),ReconciliationData[[#This Row],[Order_Date]]&gt;ReconciliationData[[#This Row],[End_Date]]),1,0)</f>
        <v>0</v>
      </c>
      <c r="U1605">
        <f>IF(AND(NOT(ISBLANK(ReconciliationData[[#This Row],[last_return_date]])),ReconciliationData[[#This Row],[last_return_date]]&gt;ReconciliationData[[#This Row],[Order_Date]]+60),1,0)</f>
        <v>0</v>
      </c>
      <c r="V1605">
        <f>IF(ReconciliationData[[#This Row],[total_returned_units]]&gt;ReconciliationData[[#This Row],[ordered_units]],1,0)</f>
        <v>0</v>
      </c>
      <c r="W16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05">
        <f>ReconciliationData[[#This Row],[Billed_Units]]*ReconciliationData[[#This Row],[Billed_Price]]</f>
        <v>24786.297999999999</v>
      </c>
      <c r="Y1605">
        <f>ReconciliationData[[#This Row],[ordered_units]]*ReconciliationData[[#This Row],[List_Price]]</f>
        <v>24786.297999999999</v>
      </c>
      <c r="Z1605">
        <f>ReconciliationData[[#This Row],[billed_revenue]]-ReconciliationData[[#This Row],[expected_revenue]]</f>
        <v>0</v>
      </c>
      <c r="AA16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05" t="str">
        <f>IF(ReconciliationData[[#This Row],[severity_score]]=0,"LOW",
 IF(ReconciliationData[[#This Row],[severity_score]]&lt;=5,"MEDIUM","HIGH"))</f>
        <v>LOW</v>
      </c>
      <c r="AC1605" t="str">
        <f>TEXT(ReconciliationData[[#This Row],[Order_Date]],"YYYY-MM")</f>
        <v>2023-06</v>
      </c>
    </row>
    <row r="1606" spans="1:29">
      <c r="A1606" t="s">
        <v>4345</v>
      </c>
      <c r="B1606" s="1">
        <v>45474</v>
      </c>
      <c r="C1606" t="s">
        <v>1925</v>
      </c>
      <c r="D1606" t="s">
        <v>263</v>
      </c>
      <c r="E1606">
        <v>95</v>
      </c>
      <c r="F1606" t="s">
        <v>4346</v>
      </c>
      <c r="G1606">
        <v>95</v>
      </c>
      <c r="H1606">
        <v>1147.3289</v>
      </c>
      <c r="N1606">
        <v>1147.3289</v>
      </c>
      <c r="O1606" s="1">
        <v>44945</v>
      </c>
      <c r="P1606">
        <f>IF(ISBLANK(ReconciliationData[[#This Row],[Invoice_ID]]),1,0)</f>
        <v>0</v>
      </c>
      <c r="Q1606">
        <f>IF(AND(NOT(ISBLANK(ReconciliationData[[#This Row],[Billed_Units]])),ReconciliationData[[#This Row],[ordered_units]]&lt;&gt;ReconciliationData[[#This Row],[Billed_Units]]),1,0)</f>
        <v>0</v>
      </c>
      <c r="R16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6">
        <f>IF(AND(NOT(ISBLANK(ReconciliationData[[#This Row],[Contract_Price]])),ReconciliationData[[#This Row],[Billed_Price]]&lt;&gt;ReconciliationData[[#This Row],[Contract_Price]]),1,0)</f>
        <v>0</v>
      </c>
      <c r="T1606">
        <f>IF(AND(NOT(ISBLANK(ReconciliationData[[#This Row],[End_Date]])),ReconciliationData[[#This Row],[Order_Date]]&gt;ReconciliationData[[#This Row],[End_Date]]),1,0)</f>
        <v>0</v>
      </c>
      <c r="U1606">
        <f>IF(AND(NOT(ISBLANK(ReconciliationData[[#This Row],[last_return_date]])),ReconciliationData[[#This Row],[last_return_date]]&gt;ReconciliationData[[#This Row],[Order_Date]]+60),1,0)</f>
        <v>0</v>
      </c>
      <c r="V1606">
        <f>IF(ReconciliationData[[#This Row],[total_returned_units]]&gt;ReconciliationData[[#This Row],[ordered_units]],1,0)</f>
        <v>0</v>
      </c>
      <c r="W16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06">
        <f>ReconciliationData[[#This Row],[Billed_Units]]*ReconciliationData[[#This Row],[Billed_Price]]</f>
        <v>108996.2455</v>
      </c>
      <c r="Y1606">
        <f>ReconciliationData[[#This Row],[ordered_units]]*ReconciliationData[[#This Row],[List_Price]]</f>
        <v>108996.2455</v>
      </c>
      <c r="Z1606">
        <f>ReconciliationData[[#This Row],[billed_revenue]]-ReconciliationData[[#This Row],[expected_revenue]]</f>
        <v>0</v>
      </c>
      <c r="AA16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06" t="str">
        <f>IF(ReconciliationData[[#This Row],[severity_score]]=0,"LOW",
 IF(ReconciliationData[[#This Row],[severity_score]]&lt;=5,"MEDIUM","HIGH"))</f>
        <v>LOW</v>
      </c>
      <c r="AC1606" t="str">
        <f>TEXT(ReconciliationData[[#This Row],[Order_Date]],"YYYY-MM")</f>
        <v>2024-07</v>
      </c>
    </row>
    <row r="1607" spans="1:29">
      <c r="A1607" t="s">
        <v>4347</v>
      </c>
      <c r="B1607" s="1">
        <v>45240</v>
      </c>
      <c r="C1607" t="s">
        <v>2871</v>
      </c>
      <c r="D1607" t="s">
        <v>1933</v>
      </c>
      <c r="E1607">
        <v>165</v>
      </c>
      <c r="F1607" t="s">
        <v>4348</v>
      </c>
      <c r="G1607">
        <v>165</v>
      </c>
      <c r="H1607">
        <v>571.49840000000006</v>
      </c>
      <c r="N1607">
        <v>571.49840000000006</v>
      </c>
      <c r="O1607" s="1">
        <v>45071</v>
      </c>
      <c r="P1607">
        <f>IF(ISBLANK(ReconciliationData[[#This Row],[Invoice_ID]]),1,0)</f>
        <v>0</v>
      </c>
      <c r="Q1607">
        <f>IF(AND(NOT(ISBLANK(ReconciliationData[[#This Row],[Billed_Units]])),ReconciliationData[[#This Row],[ordered_units]]&lt;&gt;ReconciliationData[[#This Row],[Billed_Units]]),1,0)</f>
        <v>0</v>
      </c>
      <c r="R16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7">
        <f>IF(AND(NOT(ISBLANK(ReconciliationData[[#This Row],[Contract_Price]])),ReconciliationData[[#This Row],[Billed_Price]]&lt;&gt;ReconciliationData[[#This Row],[Contract_Price]]),1,0)</f>
        <v>0</v>
      </c>
      <c r="T1607">
        <f>IF(AND(NOT(ISBLANK(ReconciliationData[[#This Row],[End_Date]])),ReconciliationData[[#This Row],[Order_Date]]&gt;ReconciliationData[[#This Row],[End_Date]]),1,0)</f>
        <v>0</v>
      </c>
      <c r="U1607">
        <f>IF(AND(NOT(ISBLANK(ReconciliationData[[#This Row],[last_return_date]])),ReconciliationData[[#This Row],[last_return_date]]&gt;ReconciliationData[[#This Row],[Order_Date]]+60),1,0)</f>
        <v>0</v>
      </c>
      <c r="V1607">
        <f>IF(ReconciliationData[[#This Row],[total_returned_units]]&gt;ReconciliationData[[#This Row],[ordered_units]],1,0)</f>
        <v>0</v>
      </c>
      <c r="W16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07">
        <f>ReconciliationData[[#This Row],[Billed_Units]]*ReconciliationData[[#This Row],[Billed_Price]]</f>
        <v>94297.236000000004</v>
      </c>
      <c r="Y1607">
        <f>ReconciliationData[[#This Row],[ordered_units]]*ReconciliationData[[#This Row],[List_Price]]</f>
        <v>94297.236000000004</v>
      </c>
      <c r="Z1607">
        <f>ReconciliationData[[#This Row],[billed_revenue]]-ReconciliationData[[#This Row],[expected_revenue]]</f>
        <v>0</v>
      </c>
      <c r="AA16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07" t="str">
        <f>IF(ReconciliationData[[#This Row],[severity_score]]=0,"LOW",
 IF(ReconciliationData[[#This Row],[severity_score]]&lt;=5,"MEDIUM","HIGH"))</f>
        <v>LOW</v>
      </c>
      <c r="AC1607" t="str">
        <f>TEXT(ReconciliationData[[#This Row],[Order_Date]],"YYYY-MM")</f>
        <v>2023-11</v>
      </c>
    </row>
    <row r="1608" spans="1:29">
      <c r="A1608" t="s">
        <v>4349</v>
      </c>
      <c r="B1608" s="1">
        <v>45332</v>
      </c>
      <c r="C1608" t="s">
        <v>2830</v>
      </c>
      <c r="D1608" t="s">
        <v>841</v>
      </c>
      <c r="E1608">
        <v>25</v>
      </c>
      <c r="F1608" t="s">
        <v>4350</v>
      </c>
      <c r="G1608">
        <v>25</v>
      </c>
      <c r="H1608">
        <v>185.5224</v>
      </c>
      <c r="I1608">
        <v>15</v>
      </c>
      <c r="J1608" s="1">
        <v>45571</v>
      </c>
      <c r="N1608">
        <v>185.5224</v>
      </c>
      <c r="O1608" s="1">
        <v>45063</v>
      </c>
      <c r="P1608">
        <f>IF(ISBLANK(ReconciliationData[[#This Row],[Invoice_ID]]),1,0)</f>
        <v>0</v>
      </c>
      <c r="Q1608">
        <f>IF(AND(NOT(ISBLANK(ReconciliationData[[#This Row],[Billed_Units]])),ReconciliationData[[#This Row],[ordered_units]]&lt;&gt;ReconciliationData[[#This Row],[Billed_Units]]),1,0)</f>
        <v>0</v>
      </c>
      <c r="R16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8">
        <f>IF(AND(NOT(ISBLANK(ReconciliationData[[#This Row],[Contract_Price]])),ReconciliationData[[#This Row],[Billed_Price]]&lt;&gt;ReconciliationData[[#This Row],[Contract_Price]]),1,0)</f>
        <v>0</v>
      </c>
      <c r="T1608">
        <f>IF(AND(NOT(ISBLANK(ReconciliationData[[#This Row],[End_Date]])),ReconciliationData[[#This Row],[Order_Date]]&gt;ReconciliationData[[#This Row],[End_Date]]),1,0)</f>
        <v>0</v>
      </c>
      <c r="U1608">
        <f>IF(AND(NOT(ISBLANK(ReconciliationData[[#This Row],[last_return_date]])),ReconciliationData[[#This Row],[last_return_date]]&gt;ReconciliationData[[#This Row],[Order_Date]]+60),1,0)</f>
        <v>1</v>
      </c>
      <c r="V1608">
        <f>IF(ReconciliationData[[#This Row],[total_returned_units]]&gt;ReconciliationData[[#This Row],[ordered_units]],1,0)</f>
        <v>0</v>
      </c>
      <c r="W16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08">
        <f>ReconciliationData[[#This Row],[Billed_Units]]*ReconciliationData[[#This Row],[Billed_Price]]</f>
        <v>4638.0600000000004</v>
      </c>
      <c r="Y1608">
        <f>ReconciliationData[[#This Row],[ordered_units]]*ReconciliationData[[#This Row],[List_Price]]</f>
        <v>4638.0600000000004</v>
      </c>
      <c r="Z1608">
        <f>ReconciliationData[[#This Row],[billed_revenue]]-ReconciliationData[[#This Row],[expected_revenue]]</f>
        <v>0</v>
      </c>
      <c r="AA16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608" t="str">
        <f>IF(ReconciliationData[[#This Row],[severity_score]]=0,"LOW",
 IF(ReconciliationData[[#This Row],[severity_score]]&lt;=5,"MEDIUM","HIGH"))</f>
        <v>MEDIUM</v>
      </c>
      <c r="AC1608" t="str">
        <f>TEXT(ReconciliationData[[#This Row],[Order_Date]],"YYYY-MM")</f>
        <v>2024-02</v>
      </c>
    </row>
    <row r="1609" spans="1:29">
      <c r="A1609" t="s">
        <v>4351</v>
      </c>
      <c r="B1609" s="1">
        <v>45048</v>
      </c>
      <c r="C1609" t="s">
        <v>1953</v>
      </c>
      <c r="D1609" t="s">
        <v>2421</v>
      </c>
      <c r="E1609">
        <v>20</v>
      </c>
      <c r="F1609" t="s">
        <v>4352</v>
      </c>
      <c r="G1609">
        <v>20</v>
      </c>
      <c r="H1609">
        <v>596.07000000000005</v>
      </c>
      <c r="I1609">
        <v>7</v>
      </c>
      <c r="J1609" s="1">
        <v>45320</v>
      </c>
      <c r="N1609">
        <v>596.07000000000005</v>
      </c>
      <c r="O1609" s="1">
        <v>44984</v>
      </c>
      <c r="P1609">
        <f>IF(ISBLANK(ReconciliationData[[#This Row],[Invoice_ID]]),1,0)</f>
        <v>0</v>
      </c>
      <c r="Q1609">
        <f>IF(AND(NOT(ISBLANK(ReconciliationData[[#This Row],[Billed_Units]])),ReconciliationData[[#This Row],[ordered_units]]&lt;&gt;ReconciliationData[[#This Row],[Billed_Units]]),1,0)</f>
        <v>0</v>
      </c>
      <c r="R16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09">
        <f>IF(AND(NOT(ISBLANK(ReconciliationData[[#This Row],[Contract_Price]])),ReconciliationData[[#This Row],[Billed_Price]]&lt;&gt;ReconciliationData[[#This Row],[Contract_Price]]),1,0)</f>
        <v>0</v>
      </c>
      <c r="T1609">
        <f>IF(AND(NOT(ISBLANK(ReconciliationData[[#This Row],[End_Date]])),ReconciliationData[[#This Row],[Order_Date]]&gt;ReconciliationData[[#This Row],[End_Date]]),1,0)</f>
        <v>0</v>
      </c>
      <c r="U1609">
        <f>IF(AND(NOT(ISBLANK(ReconciliationData[[#This Row],[last_return_date]])),ReconciliationData[[#This Row],[last_return_date]]&gt;ReconciliationData[[#This Row],[Order_Date]]+60),1,0)</f>
        <v>1</v>
      </c>
      <c r="V1609">
        <f>IF(ReconciliationData[[#This Row],[total_returned_units]]&gt;ReconciliationData[[#This Row],[ordered_units]],1,0)</f>
        <v>0</v>
      </c>
      <c r="W16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09">
        <f>ReconciliationData[[#This Row],[Billed_Units]]*ReconciliationData[[#This Row],[Billed_Price]]</f>
        <v>11921.400000000001</v>
      </c>
      <c r="Y1609">
        <f>ReconciliationData[[#This Row],[ordered_units]]*ReconciliationData[[#This Row],[List_Price]]</f>
        <v>11921.400000000001</v>
      </c>
      <c r="Z1609">
        <f>ReconciliationData[[#This Row],[billed_revenue]]-ReconciliationData[[#This Row],[expected_revenue]]</f>
        <v>0</v>
      </c>
      <c r="AA16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609" t="str">
        <f>IF(ReconciliationData[[#This Row],[severity_score]]=0,"LOW",
 IF(ReconciliationData[[#This Row],[severity_score]]&lt;=5,"MEDIUM","HIGH"))</f>
        <v>MEDIUM</v>
      </c>
      <c r="AC1609" t="str">
        <f>TEXT(ReconciliationData[[#This Row],[Order_Date]],"YYYY-MM")</f>
        <v>2023-05</v>
      </c>
    </row>
    <row r="1610" spans="1:29">
      <c r="A1610" t="s">
        <v>4353</v>
      </c>
      <c r="B1610" s="1">
        <v>45548</v>
      </c>
      <c r="C1610" t="s">
        <v>1591</v>
      </c>
      <c r="D1610" t="s">
        <v>937</v>
      </c>
      <c r="E1610">
        <v>75</v>
      </c>
      <c r="F1610" t="s">
        <v>4354</v>
      </c>
      <c r="G1610">
        <v>75</v>
      </c>
      <c r="H1610">
        <v>419.71280000000002</v>
      </c>
      <c r="I1610">
        <v>19</v>
      </c>
      <c r="J1610" s="1">
        <v>45482</v>
      </c>
      <c r="N1610">
        <v>419.71280000000002</v>
      </c>
      <c r="O1610" s="1">
        <v>45214</v>
      </c>
      <c r="P1610">
        <f>IF(ISBLANK(ReconciliationData[[#This Row],[Invoice_ID]]),1,0)</f>
        <v>0</v>
      </c>
      <c r="Q1610">
        <f>IF(AND(NOT(ISBLANK(ReconciliationData[[#This Row],[Billed_Units]])),ReconciliationData[[#This Row],[ordered_units]]&lt;&gt;ReconciliationData[[#This Row],[Billed_Units]]),1,0)</f>
        <v>0</v>
      </c>
      <c r="R16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0">
        <f>IF(AND(NOT(ISBLANK(ReconciliationData[[#This Row],[Contract_Price]])),ReconciliationData[[#This Row],[Billed_Price]]&lt;&gt;ReconciliationData[[#This Row],[Contract_Price]]),1,0)</f>
        <v>0</v>
      </c>
      <c r="T1610">
        <f>IF(AND(NOT(ISBLANK(ReconciliationData[[#This Row],[End_Date]])),ReconciliationData[[#This Row],[Order_Date]]&gt;ReconciliationData[[#This Row],[End_Date]]),1,0)</f>
        <v>0</v>
      </c>
      <c r="U1610">
        <f>IF(AND(NOT(ISBLANK(ReconciliationData[[#This Row],[last_return_date]])),ReconciliationData[[#This Row],[last_return_date]]&gt;ReconciliationData[[#This Row],[Order_Date]]+60),1,0)</f>
        <v>0</v>
      </c>
      <c r="V1610">
        <f>IF(ReconciliationData[[#This Row],[total_returned_units]]&gt;ReconciliationData[[#This Row],[ordered_units]],1,0)</f>
        <v>0</v>
      </c>
      <c r="W16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10">
        <f>ReconciliationData[[#This Row],[Billed_Units]]*ReconciliationData[[#This Row],[Billed_Price]]</f>
        <v>31478.460000000003</v>
      </c>
      <c r="Y1610">
        <f>ReconciliationData[[#This Row],[ordered_units]]*ReconciliationData[[#This Row],[List_Price]]</f>
        <v>31478.460000000003</v>
      </c>
      <c r="Z1610">
        <f>ReconciliationData[[#This Row],[billed_revenue]]-ReconciliationData[[#This Row],[expected_revenue]]</f>
        <v>0</v>
      </c>
      <c r="AA16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10" t="str">
        <f>IF(ReconciliationData[[#This Row],[severity_score]]=0,"LOW",
 IF(ReconciliationData[[#This Row],[severity_score]]&lt;=5,"MEDIUM","HIGH"))</f>
        <v>LOW</v>
      </c>
      <c r="AC1610" t="str">
        <f>TEXT(ReconciliationData[[#This Row],[Order_Date]],"YYYY-MM")</f>
        <v>2024-09</v>
      </c>
    </row>
    <row r="1611" spans="1:29">
      <c r="A1611" t="s">
        <v>4355</v>
      </c>
      <c r="B1611" s="1">
        <v>45000</v>
      </c>
      <c r="C1611" t="s">
        <v>2343</v>
      </c>
      <c r="D1611" t="s">
        <v>212</v>
      </c>
      <c r="E1611">
        <v>149</v>
      </c>
      <c r="F1611" t="s">
        <v>4356</v>
      </c>
      <c r="G1611">
        <v>149</v>
      </c>
      <c r="H1611">
        <v>769.91809999999998</v>
      </c>
      <c r="N1611">
        <v>769.91809999999998</v>
      </c>
      <c r="O1611" s="1">
        <v>44925</v>
      </c>
      <c r="P1611">
        <f>IF(ISBLANK(ReconciliationData[[#This Row],[Invoice_ID]]),1,0)</f>
        <v>0</v>
      </c>
      <c r="Q1611">
        <f>IF(AND(NOT(ISBLANK(ReconciliationData[[#This Row],[Billed_Units]])),ReconciliationData[[#This Row],[ordered_units]]&lt;&gt;ReconciliationData[[#This Row],[Billed_Units]]),1,0)</f>
        <v>0</v>
      </c>
      <c r="R16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1">
        <f>IF(AND(NOT(ISBLANK(ReconciliationData[[#This Row],[Contract_Price]])),ReconciliationData[[#This Row],[Billed_Price]]&lt;&gt;ReconciliationData[[#This Row],[Contract_Price]]),1,0)</f>
        <v>0</v>
      </c>
      <c r="T1611">
        <f>IF(AND(NOT(ISBLANK(ReconciliationData[[#This Row],[End_Date]])),ReconciliationData[[#This Row],[Order_Date]]&gt;ReconciliationData[[#This Row],[End_Date]]),1,0)</f>
        <v>0</v>
      </c>
      <c r="U1611">
        <f>IF(AND(NOT(ISBLANK(ReconciliationData[[#This Row],[last_return_date]])),ReconciliationData[[#This Row],[last_return_date]]&gt;ReconciliationData[[#This Row],[Order_Date]]+60),1,0)</f>
        <v>0</v>
      </c>
      <c r="V1611">
        <f>IF(ReconciliationData[[#This Row],[total_returned_units]]&gt;ReconciliationData[[#This Row],[ordered_units]],1,0)</f>
        <v>0</v>
      </c>
      <c r="W16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11">
        <f>ReconciliationData[[#This Row],[Billed_Units]]*ReconciliationData[[#This Row],[Billed_Price]]</f>
        <v>114717.7969</v>
      </c>
      <c r="Y1611">
        <f>ReconciliationData[[#This Row],[ordered_units]]*ReconciliationData[[#This Row],[List_Price]]</f>
        <v>114717.7969</v>
      </c>
      <c r="Z1611">
        <f>ReconciliationData[[#This Row],[billed_revenue]]-ReconciliationData[[#This Row],[expected_revenue]]</f>
        <v>0</v>
      </c>
      <c r="AA16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11" t="str">
        <f>IF(ReconciliationData[[#This Row],[severity_score]]=0,"LOW",
 IF(ReconciliationData[[#This Row],[severity_score]]&lt;=5,"MEDIUM","HIGH"))</f>
        <v>LOW</v>
      </c>
      <c r="AC1611" t="str">
        <f>TEXT(ReconciliationData[[#This Row],[Order_Date]],"YYYY-MM")</f>
        <v>2023-03</v>
      </c>
    </row>
    <row r="1612" spans="1:29">
      <c r="A1612" t="s">
        <v>4357</v>
      </c>
      <c r="B1612" s="1">
        <v>45495</v>
      </c>
      <c r="C1612" t="s">
        <v>859</v>
      </c>
      <c r="D1612" t="s">
        <v>1424</v>
      </c>
      <c r="E1612">
        <v>25</v>
      </c>
      <c r="F1612" t="s">
        <v>4358</v>
      </c>
      <c r="G1612">
        <v>25</v>
      </c>
      <c r="H1612">
        <v>174.32480000000001</v>
      </c>
      <c r="N1612">
        <v>174.32480000000001</v>
      </c>
      <c r="O1612" s="1">
        <v>45142</v>
      </c>
      <c r="P1612">
        <f>IF(ISBLANK(ReconciliationData[[#This Row],[Invoice_ID]]),1,0)</f>
        <v>0</v>
      </c>
      <c r="Q1612">
        <f>IF(AND(NOT(ISBLANK(ReconciliationData[[#This Row],[Billed_Units]])),ReconciliationData[[#This Row],[ordered_units]]&lt;&gt;ReconciliationData[[#This Row],[Billed_Units]]),1,0)</f>
        <v>0</v>
      </c>
      <c r="R16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2">
        <f>IF(AND(NOT(ISBLANK(ReconciliationData[[#This Row],[Contract_Price]])),ReconciliationData[[#This Row],[Billed_Price]]&lt;&gt;ReconciliationData[[#This Row],[Contract_Price]]),1,0)</f>
        <v>0</v>
      </c>
      <c r="T1612">
        <f>IF(AND(NOT(ISBLANK(ReconciliationData[[#This Row],[End_Date]])),ReconciliationData[[#This Row],[Order_Date]]&gt;ReconciliationData[[#This Row],[End_Date]]),1,0)</f>
        <v>0</v>
      </c>
      <c r="U1612">
        <f>IF(AND(NOT(ISBLANK(ReconciliationData[[#This Row],[last_return_date]])),ReconciliationData[[#This Row],[last_return_date]]&gt;ReconciliationData[[#This Row],[Order_Date]]+60),1,0)</f>
        <v>0</v>
      </c>
      <c r="V1612">
        <f>IF(ReconciliationData[[#This Row],[total_returned_units]]&gt;ReconciliationData[[#This Row],[ordered_units]],1,0)</f>
        <v>0</v>
      </c>
      <c r="W16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12">
        <f>ReconciliationData[[#This Row],[Billed_Units]]*ReconciliationData[[#This Row],[Billed_Price]]</f>
        <v>4358.12</v>
      </c>
      <c r="Y1612">
        <f>ReconciliationData[[#This Row],[ordered_units]]*ReconciliationData[[#This Row],[List_Price]]</f>
        <v>4358.12</v>
      </c>
      <c r="Z1612">
        <f>ReconciliationData[[#This Row],[billed_revenue]]-ReconciliationData[[#This Row],[expected_revenue]]</f>
        <v>0</v>
      </c>
      <c r="AA16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12" t="str">
        <f>IF(ReconciliationData[[#This Row],[severity_score]]=0,"LOW",
 IF(ReconciliationData[[#This Row],[severity_score]]&lt;=5,"MEDIUM","HIGH"))</f>
        <v>LOW</v>
      </c>
      <c r="AC1612" t="str">
        <f>TEXT(ReconciliationData[[#This Row],[Order_Date]],"YYYY-MM")</f>
        <v>2024-07</v>
      </c>
    </row>
    <row r="1613" spans="1:29">
      <c r="A1613" t="s">
        <v>4359</v>
      </c>
      <c r="B1613" s="1">
        <v>45399</v>
      </c>
      <c r="C1613" t="s">
        <v>4360</v>
      </c>
      <c r="D1613" t="s">
        <v>2682</v>
      </c>
      <c r="E1613">
        <v>174</v>
      </c>
      <c r="F1613" t="s">
        <v>4361</v>
      </c>
      <c r="G1613">
        <v>174</v>
      </c>
      <c r="H1613">
        <v>1032.7408</v>
      </c>
      <c r="N1613">
        <v>1032.7408</v>
      </c>
      <c r="O1613" s="1">
        <v>45077</v>
      </c>
      <c r="P1613">
        <f>IF(ISBLANK(ReconciliationData[[#This Row],[Invoice_ID]]),1,0)</f>
        <v>0</v>
      </c>
      <c r="Q1613">
        <f>IF(AND(NOT(ISBLANK(ReconciliationData[[#This Row],[Billed_Units]])),ReconciliationData[[#This Row],[ordered_units]]&lt;&gt;ReconciliationData[[#This Row],[Billed_Units]]),1,0)</f>
        <v>0</v>
      </c>
      <c r="R16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3">
        <f>IF(AND(NOT(ISBLANK(ReconciliationData[[#This Row],[Contract_Price]])),ReconciliationData[[#This Row],[Billed_Price]]&lt;&gt;ReconciliationData[[#This Row],[Contract_Price]]),1,0)</f>
        <v>0</v>
      </c>
      <c r="T1613">
        <f>IF(AND(NOT(ISBLANK(ReconciliationData[[#This Row],[End_Date]])),ReconciliationData[[#This Row],[Order_Date]]&gt;ReconciliationData[[#This Row],[End_Date]]),1,0)</f>
        <v>0</v>
      </c>
      <c r="U1613">
        <f>IF(AND(NOT(ISBLANK(ReconciliationData[[#This Row],[last_return_date]])),ReconciliationData[[#This Row],[last_return_date]]&gt;ReconciliationData[[#This Row],[Order_Date]]+60),1,0)</f>
        <v>0</v>
      </c>
      <c r="V1613">
        <f>IF(ReconciliationData[[#This Row],[total_returned_units]]&gt;ReconciliationData[[#This Row],[ordered_units]],1,0)</f>
        <v>0</v>
      </c>
      <c r="W16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13">
        <f>ReconciliationData[[#This Row],[Billed_Units]]*ReconciliationData[[#This Row],[Billed_Price]]</f>
        <v>179696.89920000001</v>
      </c>
      <c r="Y1613">
        <f>ReconciliationData[[#This Row],[ordered_units]]*ReconciliationData[[#This Row],[List_Price]]</f>
        <v>179696.89920000001</v>
      </c>
      <c r="Z1613">
        <f>ReconciliationData[[#This Row],[billed_revenue]]-ReconciliationData[[#This Row],[expected_revenue]]</f>
        <v>0</v>
      </c>
      <c r="AA16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13" t="str">
        <f>IF(ReconciliationData[[#This Row],[severity_score]]=0,"LOW",
 IF(ReconciliationData[[#This Row],[severity_score]]&lt;=5,"MEDIUM","HIGH"))</f>
        <v>LOW</v>
      </c>
      <c r="AC1613" t="str">
        <f>TEXT(ReconciliationData[[#This Row],[Order_Date]],"YYYY-MM")</f>
        <v>2024-04</v>
      </c>
    </row>
    <row r="1614" spans="1:29">
      <c r="A1614" t="s">
        <v>4362</v>
      </c>
      <c r="B1614" s="1">
        <v>45040</v>
      </c>
      <c r="C1614" t="s">
        <v>3436</v>
      </c>
      <c r="D1614" t="s">
        <v>154</v>
      </c>
      <c r="E1614">
        <v>148</v>
      </c>
      <c r="F1614" t="s">
        <v>4363</v>
      </c>
      <c r="G1614">
        <v>148</v>
      </c>
      <c r="H1614">
        <v>1058.3499999999999</v>
      </c>
      <c r="N1614">
        <v>1058.3499999999999</v>
      </c>
      <c r="O1614" s="1">
        <v>44734</v>
      </c>
      <c r="P1614">
        <f>IF(ISBLANK(ReconciliationData[[#This Row],[Invoice_ID]]),1,0)</f>
        <v>0</v>
      </c>
      <c r="Q1614">
        <f>IF(AND(NOT(ISBLANK(ReconciliationData[[#This Row],[Billed_Units]])),ReconciliationData[[#This Row],[ordered_units]]&lt;&gt;ReconciliationData[[#This Row],[Billed_Units]]),1,0)</f>
        <v>0</v>
      </c>
      <c r="R16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4">
        <f>IF(AND(NOT(ISBLANK(ReconciliationData[[#This Row],[Contract_Price]])),ReconciliationData[[#This Row],[Billed_Price]]&lt;&gt;ReconciliationData[[#This Row],[Contract_Price]]),1,0)</f>
        <v>0</v>
      </c>
      <c r="T1614">
        <f>IF(AND(NOT(ISBLANK(ReconciliationData[[#This Row],[End_Date]])),ReconciliationData[[#This Row],[Order_Date]]&gt;ReconciliationData[[#This Row],[End_Date]]),1,0)</f>
        <v>0</v>
      </c>
      <c r="U1614">
        <f>IF(AND(NOT(ISBLANK(ReconciliationData[[#This Row],[last_return_date]])),ReconciliationData[[#This Row],[last_return_date]]&gt;ReconciliationData[[#This Row],[Order_Date]]+60),1,0)</f>
        <v>0</v>
      </c>
      <c r="V1614">
        <f>IF(ReconciliationData[[#This Row],[total_returned_units]]&gt;ReconciliationData[[#This Row],[ordered_units]],1,0)</f>
        <v>0</v>
      </c>
      <c r="W16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14">
        <f>ReconciliationData[[#This Row],[Billed_Units]]*ReconciliationData[[#This Row],[Billed_Price]]</f>
        <v>156635.79999999999</v>
      </c>
      <c r="Y1614">
        <f>ReconciliationData[[#This Row],[ordered_units]]*ReconciliationData[[#This Row],[List_Price]]</f>
        <v>156635.79999999999</v>
      </c>
      <c r="Z1614">
        <f>ReconciliationData[[#This Row],[billed_revenue]]-ReconciliationData[[#This Row],[expected_revenue]]</f>
        <v>0</v>
      </c>
      <c r="AA16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14" t="str">
        <f>IF(ReconciliationData[[#This Row],[severity_score]]=0,"LOW",
 IF(ReconciliationData[[#This Row],[severity_score]]&lt;=5,"MEDIUM","HIGH"))</f>
        <v>LOW</v>
      </c>
      <c r="AC1614" t="str">
        <f>TEXT(ReconciliationData[[#This Row],[Order_Date]],"YYYY-MM")</f>
        <v>2023-04</v>
      </c>
    </row>
    <row r="1615" spans="1:29">
      <c r="A1615" t="s">
        <v>4364</v>
      </c>
      <c r="B1615" s="1">
        <v>45170</v>
      </c>
      <c r="C1615" t="s">
        <v>2242</v>
      </c>
      <c r="D1615" t="s">
        <v>1030</v>
      </c>
      <c r="E1615">
        <v>116</v>
      </c>
      <c r="F1615" t="s">
        <v>4365</v>
      </c>
      <c r="G1615">
        <v>116</v>
      </c>
      <c r="H1615">
        <v>370.82850000000002</v>
      </c>
      <c r="N1615">
        <v>370.82850000000002</v>
      </c>
      <c r="O1615" s="1">
        <v>44986</v>
      </c>
      <c r="P1615">
        <f>IF(ISBLANK(ReconciliationData[[#This Row],[Invoice_ID]]),1,0)</f>
        <v>0</v>
      </c>
      <c r="Q1615">
        <f>IF(AND(NOT(ISBLANK(ReconciliationData[[#This Row],[Billed_Units]])),ReconciliationData[[#This Row],[ordered_units]]&lt;&gt;ReconciliationData[[#This Row],[Billed_Units]]),1,0)</f>
        <v>0</v>
      </c>
      <c r="R16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5">
        <f>IF(AND(NOT(ISBLANK(ReconciliationData[[#This Row],[Contract_Price]])),ReconciliationData[[#This Row],[Billed_Price]]&lt;&gt;ReconciliationData[[#This Row],[Contract_Price]]),1,0)</f>
        <v>0</v>
      </c>
      <c r="T1615">
        <f>IF(AND(NOT(ISBLANK(ReconciliationData[[#This Row],[End_Date]])),ReconciliationData[[#This Row],[Order_Date]]&gt;ReconciliationData[[#This Row],[End_Date]]),1,0)</f>
        <v>0</v>
      </c>
      <c r="U1615">
        <f>IF(AND(NOT(ISBLANK(ReconciliationData[[#This Row],[last_return_date]])),ReconciliationData[[#This Row],[last_return_date]]&gt;ReconciliationData[[#This Row],[Order_Date]]+60),1,0)</f>
        <v>0</v>
      </c>
      <c r="V1615">
        <f>IF(ReconciliationData[[#This Row],[total_returned_units]]&gt;ReconciliationData[[#This Row],[ordered_units]],1,0)</f>
        <v>0</v>
      </c>
      <c r="W16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15">
        <f>ReconciliationData[[#This Row],[Billed_Units]]*ReconciliationData[[#This Row],[Billed_Price]]</f>
        <v>43016.106</v>
      </c>
      <c r="Y1615">
        <f>ReconciliationData[[#This Row],[ordered_units]]*ReconciliationData[[#This Row],[List_Price]]</f>
        <v>43016.106</v>
      </c>
      <c r="Z1615">
        <f>ReconciliationData[[#This Row],[billed_revenue]]-ReconciliationData[[#This Row],[expected_revenue]]</f>
        <v>0</v>
      </c>
      <c r="AA16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15" t="str">
        <f>IF(ReconciliationData[[#This Row],[severity_score]]=0,"LOW",
 IF(ReconciliationData[[#This Row],[severity_score]]&lt;=5,"MEDIUM","HIGH"))</f>
        <v>LOW</v>
      </c>
      <c r="AC1615" t="str">
        <f>TEXT(ReconciliationData[[#This Row],[Order_Date]],"YYYY-MM")</f>
        <v>2023-09</v>
      </c>
    </row>
    <row r="1616" spans="1:29">
      <c r="A1616" t="s">
        <v>4366</v>
      </c>
      <c r="B1616" s="1">
        <v>45103</v>
      </c>
      <c r="C1616" t="s">
        <v>4195</v>
      </c>
      <c r="D1616" t="s">
        <v>154</v>
      </c>
      <c r="E1616">
        <v>106</v>
      </c>
      <c r="F1616" t="s">
        <v>4367</v>
      </c>
      <c r="G1616">
        <v>106</v>
      </c>
      <c r="H1616">
        <v>1037.183</v>
      </c>
      <c r="I1616">
        <v>5</v>
      </c>
      <c r="J1616" s="1">
        <v>45307</v>
      </c>
      <c r="N1616">
        <v>1037.183</v>
      </c>
      <c r="O1616" s="1">
        <v>45054</v>
      </c>
      <c r="P1616">
        <f>IF(ISBLANK(ReconciliationData[[#This Row],[Invoice_ID]]),1,0)</f>
        <v>0</v>
      </c>
      <c r="Q1616">
        <f>IF(AND(NOT(ISBLANK(ReconciliationData[[#This Row],[Billed_Units]])),ReconciliationData[[#This Row],[ordered_units]]&lt;&gt;ReconciliationData[[#This Row],[Billed_Units]]),1,0)</f>
        <v>0</v>
      </c>
      <c r="R16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6">
        <f>IF(AND(NOT(ISBLANK(ReconciliationData[[#This Row],[Contract_Price]])),ReconciliationData[[#This Row],[Billed_Price]]&lt;&gt;ReconciliationData[[#This Row],[Contract_Price]]),1,0)</f>
        <v>0</v>
      </c>
      <c r="T1616">
        <f>IF(AND(NOT(ISBLANK(ReconciliationData[[#This Row],[End_Date]])),ReconciliationData[[#This Row],[Order_Date]]&gt;ReconciliationData[[#This Row],[End_Date]]),1,0)</f>
        <v>0</v>
      </c>
      <c r="U1616">
        <f>IF(AND(NOT(ISBLANK(ReconciliationData[[#This Row],[last_return_date]])),ReconciliationData[[#This Row],[last_return_date]]&gt;ReconciliationData[[#This Row],[Order_Date]]+60),1,0)</f>
        <v>1</v>
      </c>
      <c r="V1616">
        <f>IF(ReconciliationData[[#This Row],[total_returned_units]]&gt;ReconciliationData[[#This Row],[ordered_units]],1,0)</f>
        <v>0</v>
      </c>
      <c r="W16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16">
        <f>ReconciliationData[[#This Row],[Billed_Units]]*ReconciliationData[[#This Row],[Billed_Price]]</f>
        <v>109941.398</v>
      </c>
      <c r="Y1616">
        <f>ReconciliationData[[#This Row],[ordered_units]]*ReconciliationData[[#This Row],[List_Price]]</f>
        <v>109941.398</v>
      </c>
      <c r="Z1616">
        <f>ReconciliationData[[#This Row],[billed_revenue]]-ReconciliationData[[#This Row],[expected_revenue]]</f>
        <v>0</v>
      </c>
      <c r="AA16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616" t="str">
        <f>IF(ReconciliationData[[#This Row],[severity_score]]=0,"LOW",
 IF(ReconciliationData[[#This Row],[severity_score]]&lt;=5,"MEDIUM","HIGH"))</f>
        <v>MEDIUM</v>
      </c>
      <c r="AC1616" t="str">
        <f>TEXT(ReconciliationData[[#This Row],[Order_Date]],"YYYY-MM")</f>
        <v>2023-06</v>
      </c>
    </row>
    <row r="1617" spans="1:29">
      <c r="A1617" t="s">
        <v>4368</v>
      </c>
      <c r="B1617" s="1">
        <v>45433</v>
      </c>
      <c r="C1617" t="s">
        <v>1378</v>
      </c>
      <c r="D1617" t="s">
        <v>2045</v>
      </c>
      <c r="E1617">
        <v>49</v>
      </c>
      <c r="F1617" t="s">
        <v>4369</v>
      </c>
      <c r="G1617">
        <v>49</v>
      </c>
      <c r="H1617">
        <v>990.72749999999996</v>
      </c>
      <c r="I1617">
        <v>5</v>
      </c>
      <c r="J1617" s="1">
        <v>45007</v>
      </c>
      <c r="N1617">
        <v>990.72749999999996</v>
      </c>
      <c r="O1617" s="1">
        <v>45068</v>
      </c>
      <c r="P1617">
        <f>IF(ISBLANK(ReconciliationData[[#This Row],[Invoice_ID]]),1,0)</f>
        <v>0</v>
      </c>
      <c r="Q1617">
        <f>IF(AND(NOT(ISBLANK(ReconciliationData[[#This Row],[Billed_Units]])),ReconciliationData[[#This Row],[ordered_units]]&lt;&gt;ReconciliationData[[#This Row],[Billed_Units]]),1,0)</f>
        <v>0</v>
      </c>
      <c r="R16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7">
        <f>IF(AND(NOT(ISBLANK(ReconciliationData[[#This Row],[Contract_Price]])),ReconciliationData[[#This Row],[Billed_Price]]&lt;&gt;ReconciliationData[[#This Row],[Contract_Price]]),1,0)</f>
        <v>0</v>
      </c>
      <c r="T1617">
        <f>IF(AND(NOT(ISBLANK(ReconciliationData[[#This Row],[End_Date]])),ReconciliationData[[#This Row],[Order_Date]]&gt;ReconciliationData[[#This Row],[End_Date]]),1,0)</f>
        <v>0</v>
      </c>
      <c r="U1617">
        <f>IF(AND(NOT(ISBLANK(ReconciliationData[[#This Row],[last_return_date]])),ReconciliationData[[#This Row],[last_return_date]]&gt;ReconciliationData[[#This Row],[Order_Date]]+60),1,0)</f>
        <v>0</v>
      </c>
      <c r="V1617">
        <f>IF(ReconciliationData[[#This Row],[total_returned_units]]&gt;ReconciliationData[[#This Row],[ordered_units]],1,0)</f>
        <v>0</v>
      </c>
      <c r="W16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17">
        <f>ReconciliationData[[#This Row],[Billed_Units]]*ReconciliationData[[#This Row],[Billed_Price]]</f>
        <v>48545.647499999999</v>
      </c>
      <c r="Y1617">
        <f>ReconciliationData[[#This Row],[ordered_units]]*ReconciliationData[[#This Row],[List_Price]]</f>
        <v>48545.647499999999</v>
      </c>
      <c r="Z1617">
        <f>ReconciliationData[[#This Row],[billed_revenue]]-ReconciliationData[[#This Row],[expected_revenue]]</f>
        <v>0</v>
      </c>
      <c r="AA16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17" t="str">
        <f>IF(ReconciliationData[[#This Row],[severity_score]]=0,"LOW",
 IF(ReconciliationData[[#This Row],[severity_score]]&lt;=5,"MEDIUM","HIGH"))</f>
        <v>LOW</v>
      </c>
      <c r="AC1617" t="str">
        <f>TEXT(ReconciliationData[[#This Row],[Order_Date]],"YYYY-MM")</f>
        <v>2024-05</v>
      </c>
    </row>
    <row r="1618" spans="1:29">
      <c r="A1618" t="s">
        <v>4370</v>
      </c>
      <c r="B1618" s="1">
        <v>44988</v>
      </c>
      <c r="C1618" t="s">
        <v>3171</v>
      </c>
      <c r="D1618" t="s">
        <v>1179</v>
      </c>
      <c r="E1618">
        <v>70</v>
      </c>
      <c r="F1618" t="s">
        <v>4371</v>
      </c>
      <c r="G1618">
        <v>70</v>
      </c>
      <c r="H1618">
        <v>953.97479999999996</v>
      </c>
      <c r="N1618">
        <v>953.97479999999996</v>
      </c>
      <c r="O1618" s="1">
        <v>44926</v>
      </c>
      <c r="P1618">
        <f>IF(ISBLANK(ReconciliationData[[#This Row],[Invoice_ID]]),1,0)</f>
        <v>0</v>
      </c>
      <c r="Q1618">
        <f>IF(AND(NOT(ISBLANK(ReconciliationData[[#This Row],[Billed_Units]])),ReconciliationData[[#This Row],[ordered_units]]&lt;&gt;ReconciliationData[[#This Row],[Billed_Units]]),1,0)</f>
        <v>0</v>
      </c>
      <c r="R16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8">
        <f>IF(AND(NOT(ISBLANK(ReconciliationData[[#This Row],[Contract_Price]])),ReconciliationData[[#This Row],[Billed_Price]]&lt;&gt;ReconciliationData[[#This Row],[Contract_Price]]),1,0)</f>
        <v>0</v>
      </c>
      <c r="T1618">
        <f>IF(AND(NOT(ISBLANK(ReconciliationData[[#This Row],[End_Date]])),ReconciliationData[[#This Row],[Order_Date]]&gt;ReconciliationData[[#This Row],[End_Date]]),1,0)</f>
        <v>0</v>
      </c>
      <c r="U1618">
        <f>IF(AND(NOT(ISBLANK(ReconciliationData[[#This Row],[last_return_date]])),ReconciliationData[[#This Row],[last_return_date]]&gt;ReconciliationData[[#This Row],[Order_Date]]+60),1,0)</f>
        <v>0</v>
      </c>
      <c r="V1618">
        <f>IF(ReconciliationData[[#This Row],[total_returned_units]]&gt;ReconciliationData[[#This Row],[ordered_units]],1,0)</f>
        <v>0</v>
      </c>
      <c r="W16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18">
        <f>ReconciliationData[[#This Row],[Billed_Units]]*ReconciliationData[[#This Row],[Billed_Price]]</f>
        <v>66778.236000000004</v>
      </c>
      <c r="Y1618">
        <f>ReconciliationData[[#This Row],[ordered_units]]*ReconciliationData[[#This Row],[List_Price]]</f>
        <v>66778.236000000004</v>
      </c>
      <c r="Z1618">
        <f>ReconciliationData[[#This Row],[billed_revenue]]-ReconciliationData[[#This Row],[expected_revenue]]</f>
        <v>0</v>
      </c>
      <c r="AA16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18" t="str">
        <f>IF(ReconciliationData[[#This Row],[severity_score]]=0,"LOW",
 IF(ReconciliationData[[#This Row],[severity_score]]&lt;=5,"MEDIUM","HIGH"))</f>
        <v>LOW</v>
      </c>
      <c r="AC1618" t="str">
        <f>TEXT(ReconciliationData[[#This Row],[Order_Date]],"YYYY-MM")</f>
        <v>2023-03</v>
      </c>
    </row>
    <row r="1619" spans="1:29">
      <c r="A1619" t="s">
        <v>4372</v>
      </c>
      <c r="B1619" s="1">
        <v>45029</v>
      </c>
      <c r="C1619" t="s">
        <v>3171</v>
      </c>
      <c r="D1619" t="s">
        <v>711</v>
      </c>
      <c r="E1619">
        <v>161</v>
      </c>
      <c r="F1619" t="s">
        <v>4373</v>
      </c>
      <c r="G1619">
        <v>161</v>
      </c>
      <c r="H1619">
        <v>405.98</v>
      </c>
      <c r="N1619">
        <v>405.98</v>
      </c>
      <c r="O1619" s="1">
        <v>44970</v>
      </c>
      <c r="P1619">
        <f>IF(ISBLANK(ReconciliationData[[#This Row],[Invoice_ID]]),1,0)</f>
        <v>0</v>
      </c>
      <c r="Q1619">
        <f>IF(AND(NOT(ISBLANK(ReconciliationData[[#This Row],[Billed_Units]])),ReconciliationData[[#This Row],[ordered_units]]&lt;&gt;ReconciliationData[[#This Row],[Billed_Units]]),1,0)</f>
        <v>0</v>
      </c>
      <c r="R16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19">
        <f>IF(AND(NOT(ISBLANK(ReconciliationData[[#This Row],[Contract_Price]])),ReconciliationData[[#This Row],[Billed_Price]]&lt;&gt;ReconciliationData[[#This Row],[Contract_Price]]),1,0)</f>
        <v>0</v>
      </c>
      <c r="T1619">
        <f>IF(AND(NOT(ISBLANK(ReconciliationData[[#This Row],[End_Date]])),ReconciliationData[[#This Row],[Order_Date]]&gt;ReconciliationData[[#This Row],[End_Date]]),1,0)</f>
        <v>0</v>
      </c>
      <c r="U1619">
        <f>IF(AND(NOT(ISBLANK(ReconciliationData[[#This Row],[last_return_date]])),ReconciliationData[[#This Row],[last_return_date]]&gt;ReconciliationData[[#This Row],[Order_Date]]+60),1,0)</f>
        <v>0</v>
      </c>
      <c r="V1619">
        <f>IF(ReconciliationData[[#This Row],[total_returned_units]]&gt;ReconciliationData[[#This Row],[ordered_units]],1,0)</f>
        <v>0</v>
      </c>
      <c r="W16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19">
        <f>ReconciliationData[[#This Row],[Billed_Units]]*ReconciliationData[[#This Row],[Billed_Price]]</f>
        <v>65362.780000000006</v>
      </c>
      <c r="Y1619">
        <f>ReconciliationData[[#This Row],[ordered_units]]*ReconciliationData[[#This Row],[List_Price]]</f>
        <v>65362.780000000006</v>
      </c>
      <c r="Z1619">
        <f>ReconciliationData[[#This Row],[billed_revenue]]-ReconciliationData[[#This Row],[expected_revenue]]</f>
        <v>0</v>
      </c>
      <c r="AA16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19" t="str">
        <f>IF(ReconciliationData[[#This Row],[severity_score]]=0,"LOW",
 IF(ReconciliationData[[#This Row],[severity_score]]&lt;=5,"MEDIUM","HIGH"))</f>
        <v>LOW</v>
      </c>
      <c r="AC1619" t="str">
        <f>TEXT(ReconciliationData[[#This Row],[Order_Date]],"YYYY-MM")</f>
        <v>2023-04</v>
      </c>
    </row>
    <row r="1620" spans="1:29">
      <c r="A1620" t="s">
        <v>4374</v>
      </c>
      <c r="B1620" s="1">
        <v>45237</v>
      </c>
      <c r="C1620" t="s">
        <v>2575</v>
      </c>
      <c r="D1620" t="s">
        <v>1671</v>
      </c>
      <c r="E1620">
        <v>133</v>
      </c>
      <c r="F1620" t="s">
        <v>4375</v>
      </c>
      <c r="G1620">
        <v>133</v>
      </c>
      <c r="H1620">
        <v>488.43360000000007</v>
      </c>
      <c r="N1620">
        <v>488.43360000000007</v>
      </c>
      <c r="O1620" s="1">
        <v>45107</v>
      </c>
      <c r="P1620">
        <f>IF(ISBLANK(ReconciliationData[[#This Row],[Invoice_ID]]),1,0)</f>
        <v>0</v>
      </c>
      <c r="Q1620">
        <f>IF(AND(NOT(ISBLANK(ReconciliationData[[#This Row],[Billed_Units]])),ReconciliationData[[#This Row],[ordered_units]]&lt;&gt;ReconciliationData[[#This Row],[Billed_Units]]),1,0)</f>
        <v>0</v>
      </c>
      <c r="R16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20">
        <f>IF(AND(NOT(ISBLANK(ReconciliationData[[#This Row],[Contract_Price]])),ReconciliationData[[#This Row],[Billed_Price]]&lt;&gt;ReconciliationData[[#This Row],[Contract_Price]]),1,0)</f>
        <v>0</v>
      </c>
      <c r="T1620">
        <f>IF(AND(NOT(ISBLANK(ReconciliationData[[#This Row],[End_Date]])),ReconciliationData[[#This Row],[Order_Date]]&gt;ReconciliationData[[#This Row],[End_Date]]),1,0)</f>
        <v>0</v>
      </c>
      <c r="U1620">
        <f>IF(AND(NOT(ISBLANK(ReconciliationData[[#This Row],[last_return_date]])),ReconciliationData[[#This Row],[last_return_date]]&gt;ReconciliationData[[#This Row],[Order_Date]]+60),1,0)</f>
        <v>0</v>
      </c>
      <c r="V1620">
        <f>IF(ReconciliationData[[#This Row],[total_returned_units]]&gt;ReconciliationData[[#This Row],[ordered_units]],1,0)</f>
        <v>0</v>
      </c>
      <c r="W16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20">
        <f>ReconciliationData[[#This Row],[Billed_Units]]*ReconciliationData[[#This Row],[Billed_Price]]</f>
        <v>64961.668800000007</v>
      </c>
      <c r="Y1620">
        <f>ReconciliationData[[#This Row],[ordered_units]]*ReconciliationData[[#This Row],[List_Price]]</f>
        <v>64961.668800000007</v>
      </c>
      <c r="Z1620">
        <f>ReconciliationData[[#This Row],[billed_revenue]]-ReconciliationData[[#This Row],[expected_revenue]]</f>
        <v>0</v>
      </c>
      <c r="AA16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20" t="str">
        <f>IF(ReconciliationData[[#This Row],[severity_score]]=0,"LOW",
 IF(ReconciliationData[[#This Row],[severity_score]]&lt;=5,"MEDIUM","HIGH"))</f>
        <v>LOW</v>
      </c>
      <c r="AC1620" t="str">
        <f>TEXT(ReconciliationData[[#This Row],[Order_Date]],"YYYY-MM")</f>
        <v>2023-11</v>
      </c>
    </row>
    <row r="1621" spans="1:29">
      <c r="A1621" t="s">
        <v>4376</v>
      </c>
      <c r="B1621" s="1">
        <v>45583</v>
      </c>
      <c r="C1621" t="s">
        <v>1423</v>
      </c>
      <c r="D1621" t="s">
        <v>182</v>
      </c>
      <c r="E1621">
        <v>61</v>
      </c>
      <c r="F1621" t="s">
        <v>4377</v>
      </c>
      <c r="G1621">
        <v>61</v>
      </c>
      <c r="H1621">
        <v>689.58720000000005</v>
      </c>
      <c r="N1621">
        <v>689.58720000000005</v>
      </c>
      <c r="O1621" s="1">
        <v>45224</v>
      </c>
      <c r="P1621">
        <f>IF(ISBLANK(ReconciliationData[[#This Row],[Invoice_ID]]),1,0)</f>
        <v>0</v>
      </c>
      <c r="Q1621">
        <f>IF(AND(NOT(ISBLANK(ReconciliationData[[#This Row],[Billed_Units]])),ReconciliationData[[#This Row],[ordered_units]]&lt;&gt;ReconciliationData[[#This Row],[Billed_Units]]),1,0)</f>
        <v>0</v>
      </c>
      <c r="R16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21">
        <f>IF(AND(NOT(ISBLANK(ReconciliationData[[#This Row],[Contract_Price]])),ReconciliationData[[#This Row],[Billed_Price]]&lt;&gt;ReconciliationData[[#This Row],[Contract_Price]]),1,0)</f>
        <v>0</v>
      </c>
      <c r="T1621">
        <f>IF(AND(NOT(ISBLANK(ReconciliationData[[#This Row],[End_Date]])),ReconciliationData[[#This Row],[Order_Date]]&gt;ReconciliationData[[#This Row],[End_Date]]),1,0)</f>
        <v>0</v>
      </c>
      <c r="U1621">
        <f>IF(AND(NOT(ISBLANK(ReconciliationData[[#This Row],[last_return_date]])),ReconciliationData[[#This Row],[last_return_date]]&gt;ReconciliationData[[#This Row],[Order_Date]]+60),1,0)</f>
        <v>0</v>
      </c>
      <c r="V1621">
        <f>IF(ReconciliationData[[#This Row],[total_returned_units]]&gt;ReconciliationData[[#This Row],[ordered_units]],1,0)</f>
        <v>0</v>
      </c>
      <c r="W16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21">
        <f>ReconciliationData[[#This Row],[Billed_Units]]*ReconciliationData[[#This Row],[Billed_Price]]</f>
        <v>42064.819200000005</v>
      </c>
      <c r="Y1621">
        <f>ReconciliationData[[#This Row],[ordered_units]]*ReconciliationData[[#This Row],[List_Price]]</f>
        <v>42064.819200000005</v>
      </c>
      <c r="Z1621">
        <f>ReconciliationData[[#This Row],[billed_revenue]]-ReconciliationData[[#This Row],[expected_revenue]]</f>
        <v>0</v>
      </c>
      <c r="AA16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21" t="str">
        <f>IF(ReconciliationData[[#This Row],[severity_score]]=0,"LOW",
 IF(ReconciliationData[[#This Row],[severity_score]]&lt;=5,"MEDIUM","HIGH"))</f>
        <v>LOW</v>
      </c>
      <c r="AC1621" t="str">
        <f>TEXT(ReconciliationData[[#This Row],[Order_Date]],"YYYY-MM")</f>
        <v>2024-10</v>
      </c>
    </row>
    <row r="1622" spans="1:29">
      <c r="A1622" t="s">
        <v>4378</v>
      </c>
      <c r="B1622" s="1">
        <v>45447</v>
      </c>
      <c r="C1622" t="s">
        <v>4015</v>
      </c>
      <c r="D1622" t="s">
        <v>867</v>
      </c>
      <c r="E1622">
        <v>192</v>
      </c>
      <c r="F1622" t="s">
        <v>4379</v>
      </c>
      <c r="G1622">
        <v>192</v>
      </c>
      <c r="H1622">
        <v>1146.7456000000002</v>
      </c>
      <c r="N1622">
        <v>1146.7456000000002</v>
      </c>
      <c r="O1622" s="1">
        <v>45148</v>
      </c>
      <c r="P1622">
        <f>IF(ISBLANK(ReconciliationData[[#This Row],[Invoice_ID]]),1,0)</f>
        <v>0</v>
      </c>
      <c r="Q1622">
        <f>IF(AND(NOT(ISBLANK(ReconciliationData[[#This Row],[Billed_Units]])),ReconciliationData[[#This Row],[ordered_units]]&lt;&gt;ReconciliationData[[#This Row],[Billed_Units]]),1,0)</f>
        <v>0</v>
      </c>
      <c r="R16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22">
        <f>IF(AND(NOT(ISBLANK(ReconciliationData[[#This Row],[Contract_Price]])),ReconciliationData[[#This Row],[Billed_Price]]&lt;&gt;ReconciliationData[[#This Row],[Contract_Price]]),1,0)</f>
        <v>0</v>
      </c>
      <c r="T1622">
        <f>IF(AND(NOT(ISBLANK(ReconciliationData[[#This Row],[End_Date]])),ReconciliationData[[#This Row],[Order_Date]]&gt;ReconciliationData[[#This Row],[End_Date]]),1,0)</f>
        <v>0</v>
      </c>
      <c r="U1622">
        <f>IF(AND(NOT(ISBLANK(ReconciliationData[[#This Row],[last_return_date]])),ReconciliationData[[#This Row],[last_return_date]]&gt;ReconciliationData[[#This Row],[Order_Date]]+60),1,0)</f>
        <v>0</v>
      </c>
      <c r="V1622">
        <f>IF(ReconciliationData[[#This Row],[total_returned_units]]&gt;ReconciliationData[[#This Row],[ordered_units]],1,0)</f>
        <v>0</v>
      </c>
      <c r="W16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22">
        <f>ReconciliationData[[#This Row],[Billed_Units]]*ReconciliationData[[#This Row],[Billed_Price]]</f>
        <v>220175.15520000004</v>
      </c>
      <c r="Y1622">
        <f>ReconciliationData[[#This Row],[ordered_units]]*ReconciliationData[[#This Row],[List_Price]]</f>
        <v>220175.15520000004</v>
      </c>
      <c r="Z1622">
        <f>ReconciliationData[[#This Row],[billed_revenue]]-ReconciliationData[[#This Row],[expected_revenue]]</f>
        <v>0</v>
      </c>
      <c r="AA16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22" t="str">
        <f>IF(ReconciliationData[[#This Row],[severity_score]]=0,"LOW",
 IF(ReconciliationData[[#This Row],[severity_score]]&lt;=5,"MEDIUM","HIGH"))</f>
        <v>LOW</v>
      </c>
      <c r="AC1622" t="str">
        <f>TEXT(ReconciliationData[[#This Row],[Order_Date]],"YYYY-MM")</f>
        <v>2024-06</v>
      </c>
    </row>
    <row r="1623" spans="1:29">
      <c r="A1623" t="s">
        <v>4380</v>
      </c>
      <c r="B1623" s="1">
        <v>44985</v>
      </c>
      <c r="C1623" t="s">
        <v>4381</v>
      </c>
      <c r="D1623" t="s">
        <v>1003</v>
      </c>
      <c r="E1623">
        <v>161</v>
      </c>
      <c r="F1623" t="s">
        <v>4382</v>
      </c>
      <c r="G1623">
        <v>161</v>
      </c>
      <c r="H1623">
        <v>770.64570000000003</v>
      </c>
      <c r="N1623">
        <v>770.64570000000003</v>
      </c>
      <c r="O1623" s="1">
        <v>44941</v>
      </c>
      <c r="P1623">
        <f>IF(ISBLANK(ReconciliationData[[#This Row],[Invoice_ID]]),1,0)</f>
        <v>0</v>
      </c>
      <c r="Q1623">
        <f>IF(AND(NOT(ISBLANK(ReconciliationData[[#This Row],[Billed_Units]])),ReconciliationData[[#This Row],[ordered_units]]&lt;&gt;ReconciliationData[[#This Row],[Billed_Units]]),1,0)</f>
        <v>0</v>
      </c>
      <c r="R16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23">
        <f>IF(AND(NOT(ISBLANK(ReconciliationData[[#This Row],[Contract_Price]])),ReconciliationData[[#This Row],[Billed_Price]]&lt;&gt;ReconciliationData[[#This Row],[Contract_Price]]),1,0)</f>
        <v>0</v>
      </c>
      <c r="T1623">
        <f>IF(AND(NOT(ISBLANK(ReconciliationData[[#This Row],[End_Date]])),ReconciliationData[[#This Row],[Order_Date]]&gt;ReconciliationData[[#This Row],[End_Date]]),1,0)</f>
        <v>0</v>
      </c>
      <c r="U1623">
        <f>IF(AND(NOT(ISBLANK(ReconciliationData[[#This Row],[last_return_date]])),ReconciliationData[[#This Row],[last_return_date]]&gt;ReconciliationData[[#This Row],[Order_Date]]+60),1,0)</f>
        <v>0</v>
      </c>
      <c r="V1623">
        <f>IF(ReconciliationData[[#This Row],[total_returned_units]]&gt;ReconciliationData[[#This Row],[ordered_units]],1,0)</f>
        <v>0</v>
      </c>
      <c r="W16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23">
        <f>ReconciliationData[[#This Row],[Billed_Units]]*ReconciliationData[[#This Row],[Billed_Price]]</f>
        <v>124073.9577</v>
      </c>
      <c r="Y1623">
        <f>ReconciliationData[[#This Row],[ordered_units]]*ReconciliationData[[#This Row],[List_Price]]</f>
        <v>124073.9577</v>
      </c>
      <c r="Z1623">
        <f>ReconciliationData[[#This Row],[billed_revenue]]-ReconciliationData[[#This Row],[expected_revenue]]</f>
        <v>0</v>
      </c>
      <c r="AA16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23" t="str">
        <f>IF(ReconciliationData[[#This Row],[severity_score]]=0,"LOW",
 IF(ReconciliationData[[#This Row],[severity_score]]&lt;=5,"MEDIUM","HIGH"))</f>
        <v>LOW</v>
      </c>
      <c r="AC1623" t="str">
        <f>TEXT(ReconciliationData[[#This Row],[Order_Date]],"YYYY-MM")</f>
        <v>2023-02</v>
      </c>
    </row>
    <row r="1624" spans="1:29">
      <c r="A1624" t="s">
        <v>4383</v>
      </c>
      <c r="B1624" s="1">
        <v>45611</v>
      </c>
      <c r="C1624" t="s">
        <v>907</v>
      </c>
      <c r="D1624" t="s">
        <v>3770</v>
      </c>
      <c r="E1624">
        <v>173</v>
      </c>
      <c r="F1624" t="s">
        <v>4384</v>
      </c>
      <c r="G1624">
        <v>173</v>
      </c>
      <c r="H1624">
        <v>724.16120000000001</v>
      </c>
      <c r="N1624">
        <v>724.16120000000001</v>
      </c>
      <c r="O1624" s="1">
        <v>45044</v>
      </c>
      <c r="P1624">
        <f>IF(ISBLANK(ReconciliationData[[#This Row],[Invoice_ID]]),1,0)</f>
        <v>0</v>
      </c>
      <c r="Q1624">
        <f>IF(AND(NOT(ISBLANK(ReconciliationData[[#This Row],[Billed_Units]])),ReconciliationData[[#This Row],[ordered_units]]&lt;&gt;ReconciliationData[[#This Row],[Billed_Units]]),1,0)</f>
        <v>0</v>
      </c>
      <c r="R16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24">
        <f>IF(AND(NOT(ISBLANK(ReconciliationData[[#This Row],[Contract_Price]])),ReconciliationData[[#This Row],[Billed_Price]]&lt;&gt;ReconciliationData[[#This Row],[Contract_Price]]),1,0)</f>
        <v>0</v>
      </c>
      <c r="T1624">
        <f>IF(AND(NOT(ISBLANK(ReconciliationData[[#This Row],[End_Date]])),ReconciliationData[[#This Row],[Order_Date]]&gt;ReconciliationData[[#This Row],[End_Date]]),1,0)</f>
        <v>0</v>
      </c>
      <c r="U1624">
        <f>IF(AND(NOT(ISBLANK(ReconciliationData[[#This Row],[last_return_date]])),ReconciliationData[[#This Row],[last_return_date]]&gt;ReconciliationData[[#This Row],[Order_Date]]+60),1,0)</f>
        <v>0</v>
      </c>
      <c r="V1624">
        <f>IF(ReconciliationData[[#This Row],[total_returned_units]]&gt;ReconciliationData[[#This Row],[ordered_units]],1,0)</f>
        <v>0</v>
      </c>
      <c r="W16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24">
        <f>ReconciliationData[[#This Row],[Billed_Units]]*ReconciliationData[[#This Row],[Billed_Price]]</f>
        <v>125279.8876</v>
      </c>
      <c r="Y1624">
        <f>ReconciliationData[[#This Row],[ordered_units]]*ReconciliationData[[#This Row],[List_Price]]</f>
        <v>125279.8876</v>
      </c>
      <c r="Z1624">
        <f>ReconciliationData[[#This Row],[billed_revenue]]-ReconciliationData[[#This Row],[expected_revenue]]</f>
        <v>0</v>
      </c>
      <c r="AA16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24" t="str">
        <f>IF(ReconciliationData[[#This Row],[severity_score]]=0,"LOW",
 IF(ReconciliationData[[#This Row],[severity_score]]&lt;=5,"MEDIUM","HIGH"))</f>
        <v>LOW</v>
      </c>
      <c r="AC1624" t="str">
        <f>TEXT(ReconciliationData[[#This Row],[Order_Date]],"YYYY-MM")</f>
        <v>2024-11</v>
      </c>
    </row>
    <row r="1625" spans="1:29">
      <c r="A1625" t="s">
        <v>4385</v>
      </c>
      <c r="B1625" s="1">
        <v>45195</v>
      </c>
      <c r="C1625" t="s">
        <v>2864</v>
      </c>
      <c r="D1625" t="s">
        <v>154</v>
      </c>
      <c r="E1625">
        <v>5</v>
      </c>
      <c r="F1625" t="s">
        <v>4386</v>
      </c>
      <c r="G1625">
        <v>5</v>
      </c>
      <c r="H1625">
        <v>1058.3499999999999</v>
      </c>
      <c r="N1625">
        <v>1058.3499999999999</v>
      </c>
      <c r="O1625" s="1">
        <v>45136</v>
      </c>
      <c r="P1625">
        <f>IF(ISBLANK(ReconciliationData[[#This Row],[Invoice_ID]]),1,0)</f>
        <v>0</v>
      </c>
      <c r="Q1625">
        <f>IF(AND(NOT(ISBLANK(ReconciliationData[[#This Row],[Billed_Units]])),ReconciliationData[[#This Row],[ordered_units]]&lt;&gt;ReconciliationData[[#This Row],[Billed_Units]]),1,0)</f>
        <v>0</v>
      </c>
      <c r="R16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25">
        <f>IF(AND(NOT(ISBLANK(ReconciliationData[[#This Row],[Contract_Price]])),ReconciliationData[[#This Row],[Billed_Price]]&lt;&gt;ReconciliationData[[#This Row],[Contract_Price]]),1,0)</f>
        <v>0</v>
      </c>
      <c r="T1625">
        <f>IF(AND(NOT(ISBLANK(ReconciliationData[[#This Row],[End_Date]])),ReconciliationData[[#This Row],[Order_Date]]&gt;ReconciliationData[[#This Row],[End_Date]]),1,0)</f>
        <v>0</v>
      </c>
      <c r="U1625">
        <f>IF(AND(NOT(ISBLANK(ReconciliationData[[#This Row],[last_return_date]])),ReconciliationData[[#This Row],[last_return_date]]&gt;ReconciliationData[[#This Row],[Order_Date]]+60),1,0)</f>
        <v>0</v>
      </c>
      <c r="V1625">
        <f>IF(ReconciliationData[[#This Row],[total_returned_units]]&gt;ReconciliationData[[#This Row],[ordered_units]],1,0)</f>
        <v>0</v>
      </c>
      <c r="W16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25">
        <f>ReconciliationData[[#This Row],[Billed_Units]]*ReconciliationData[[#This Row],[Billed_Price]]</f>
        <v>5291.75</v>
      </c>
      <c r="Y1625">
        <f>ReconciliationData[[#This Row],[ordered_units]]*ReconciliationData[[#This Row],[List_Price]]</f>
        <v>5291.75</v>
      </c>
      <c r="Z1625">
        <f>ReconciliationData[[#This Row],[billed_revenue]]-ReconciliationData[[#This Row],[expected_revenue]]</f>
        <v>0</v>
      </c>
      <c r="AA16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25" t="str">
        <f>IF(ReconciliationData[[#This Row],[severity_score]]=0,"LOW",
 IF(ReconciliationData[[#This Row],[severity_score]]&lt;=5,"MEDIUM","HIGH"))</f>
        <v>LOW</v>
      </c>
      <c r="AC1625" t="str">
        <f>TEXT(ReconciliationData[[#This Row],[Order_Date]],"YYYY-MM")</f>
        <v>2023-09</v>
      </c>
    </row>
    <row r="1626" spans="1:29">
      <c r="A1626" t="s">
        <v>4387</v>
      </c>
      <c r="B1626" s="1">
        <v>45322</v>
      </c>
      <c r="C1626" t="s">
        <v>4231</v>
      </c>
      <c r="D1626" t="s">
        <v>2444</v>
      </c>
      <c r="E1626">
        <v>118</v>
      </c>
      <c r="F1626" t="s">
        <v>4388</v>
      </c>
      <c r="G1626">
        <v>118</v>
      </c>
      <c r="H1626">
        <v>797.23339999999996</v>
      </c>
      <c r="I1626">
        <v>11</v>
      </c>
      <c r="J1626" s="1">
        <v>45204</v>
      </c>
      <c r="N1626">
        <v>797.23339999999996</v>
      </c>
      <c r="O1626" s="1">
        <v>45085</v>
      </c>
      <c r="P1626">
        <f>IF(ISBLANK(ReconciliationData[[#This Row],[Invoice_ID]]),1,0)</f>
        <v>0</v>
      </c>
      <c r="Q1626">
        <f>IF(AND(NOT(ISBLANK(ReconciliationData[[#This Row],[Billed_Units]])),ReconciliationData[[#This Row],[ordered_units]]&lt;&gt;ReconciliationData[[#This Row],[Billed_Units]]),1,0)</f>
        <v>0</v>
      </c>
      <c r="R16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26">
        <f>IF(AND(NOT(ISBLANK(ReconciliationData[[#This Row],[Contract_Price]])),ReconciliationData[[#This Row],[Billed_Price]]&lt;&gt;ReconciliationData[[#This Row],[Contract_Price]]),1,0)</f>
        <v>0</v>
      </c>
      <c r="T1626">
        <f>IF(AND(NOT(ISBLANK(ReconciliationData[[#This Row],[End_Date]])),ReconciliationData[[#This Row],[Order_Date]]&gt;ReconciliationData[[#This Row],[End_Date]]),1,0)</f>
        <v>0</v>
      </c>
      <c r="U1626">
        <f>IF(AND(NOT(ISBLANK(ReconciliationData[[#This Row],[last_return_date]])),ReconciliationData[[#This Row],[last_return_date]]&gt;ReconciliationData[[#This Row],[Order_Date]]+60),1,0)</f>
        <v>0</v>
      </c>
      <c r="V1626">
        <f>IF(ReconciliationData[[#This Row],[total_returned_units]]&gt;ReconciliationData[[#This Row],[ordered_units]],1,0)</f>
        <v>0</v>
      </c>
      <c r="W16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26">
        <f>ReconciliationData[[#This Row],[Billed_Units]]*ReconciliationData[[#This Row],[Billed_Price]]</f>
        <v>94073.541199999992</v>
      </c>
      <c r="Y1626">
        <f>ReconciliationData[[#This Row],[ordered_units]]*ReconciliationData[[#This Row],[List_Price]]</f>
        <v>94073.541199999992</v>
      </c>
      <c r="Z1626">
        <f>ReconciliationData[[#This Row],[billed_revenue]]-ReconciliationData[[#This Row],[expected_revenue]]</f>
        <v>0</v>
      </c>
      <c r="AA16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26" t="str">
        <f>IF(ReconciliationData[[#This Row],[severity_score]]=0,"LOW",
 IF(ReconciliationData[[#This Row],[severity_score]]&lt;=5,"MEDIUM","HIGH"))</f>
        <v>LOW</v>
      </c>
      <c r="AC1626" t="str">
        <f>TEXT(ReconciliationData[[#This Row],[Order_Date]],"YYYY-MM")</f>
        <v>2024-01</v>
      </c>
    </row>
    <row r="1627" spans="1:29">
      <c r="A1627" t="s">
        <v>4389</v>
      </c>
      <c r="B1627" s="1">
        <v>45288</v>
      </c>
      <c r="C1627" t="s">
        <v>794</v>
      </c>
      <c r="D1627" t="s">
        <v>1294</v>
      </c>
      <c r="E1627">
        <v>131</v>
      </c>
      <c r="F1627" t="s">
        <v>4390</v>
      </c>
      <c r="G1627">
        <v>131</v>
      </c>
      <c r="H1627">
        <v>825.40440000000001</v>
      </c>
      <c r="I1627">
        <v>3</v>
      </c>
      <c r="J1627" s="1">
        <v>44974</v>
      </c>
      <c r="N1627">
        <v>825.40440000000001</v>
      </c>
      <c r="O1627" s="1">
        <v>45105</v>
      </c>
      <c r="P1627">
        <f>IF(ISBLANK(ReconciliationData[[#This Row],[Invoice_ID]]),1,0)</f>
        <v>0</v>
      </c>
      <c r="Q1627">
        <f>IF(AND(NOT(ISBLANK(ReconciliationData[[#This Row],[Billed_Units]])),ReconciliationData[[#This Row],[ordered_units]]&lt;&gt;ReconciliationData[[#This Row],[Billed_Units]]),1,0)</f>
        <v>0</v>
      </c>
      <c r="R16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27">
        <f>IF(AND(NOT(ISBLANK(ReconciliationData[[#This Row],[Contract_Price]])),ReconciliationData[[#This Row],[Billed_Price]]&lt;&gt;ReconciliationData[[#This Row],[Contract_Price]]),1,0)</f>
        <v>0</v>
      </c>
      <c r="T1627">
        <f>IF(AND(NOT(ISBLANK(ReconciliationData[[#This Row],[End_Date]])),ReconciliationData[[#This Row],[Order_Date]]&gt;ReconciliationData[[#This Row],[End_Date]]),1,0)</f>
        <v>0</v>
      </c>
      <c r="U1627">
        <f>IF(AND(NOT(ISBLANK(ReconciliationData[[#This Row],[last_return_date]])),ReconciliationData[[#This Row],[last_return_date]]&gt;ReconciliationData[[#This Row],[Order_Date]]+60),1,0)</f>
        <v>0</v>
      </c>
      <c r="V1627">
        <f>IF(ReconciliationData[[#This Row],[total_returned_units]]&gt;ReconciliationData[[#This Row],[ordered_units]],1,0)</f>
        <v>0</v>
      </c>
      <c r="W16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27">
        <f>ReconciliationData[[#This Row],[Billed_Units]]*ReconciliationData[[#This Row],[Billed_Price]]</f>
        <v>108127.9764</v>
      </c>
      <c r="Y1627">
        <f>ReconciliationData[[#This Row],[ordered_units]]*ReconciliationData[[#This Row],[List_Price]]</f>
        <v>108127.9764</v>
      </c>
      <c r="Z1627">
        <f>ReconciliationData[[#This Row],[billed_revenue]]-ReconciliationData[[#This Row],[expected_revenue]]</f>
        <v>0</v>
      </c>
      <c r="AA16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27" t="str">
        <f>IF(ReconciliationData[[#This Row],[severity_score]]=0,"LOW",
 IF(ReconciliationData[[#This Row],[severity_score]]&lt;=5,"MEDIUM","HIGH"))</f>
        <v>LOW</v>
      </c>
      <c r="AC1627" t="str">
        <f>TEXT(ReconciliationData[[#This Row],[Order_Date]],"YYYY-MM")</f>
        <v>2023-12</v>
      </c>
    </row>
    <row r="1628" spans="1:29">
      <c r="A1628" t="s">
        <v>4391</v>
      </c>
      <c r="B1628" s="1">
        <v>45501</v>
      </c>
      <c r="C1628" t="s">
        <v>4392</v>
      </c>
      <c r="D1628" t="s">
        <v>711</v>
      </c>
      <c r="E1628">
        <v>24</v>
      </c>
      <c r="F1628" t="s">
        <v>4393</v>
      </c>
      <c r="G1628">
        <v>24</v>
      </c>
      <c r="H1628">
        <v>405.98</v>
      </c>
      <c r="I1628">
        <v>9</v>
      </c>
      <c r="J1628" s="1">
        <v>45070</v>
      </c>
      <c r="N1628">
        <v>405.98</v>
      </c>
      <c r="O1628" s="1">
        <v>45152</v>
      </c>
      <c r="P1628">
        <f>IF(ISBLANK(ReconciliationData[[#This Row],[Invoice_ID]]),1,0)</f>
        <v>0</v>
      </c>
      <c r="Q1628">
        <f>IF(AND(NOT(ISBLANK(ReconciliationData[[#This Row],[Billed_Units]])),ReconciliationData[[#This Row],[ordered_units]]&lt;&gt;ReconciliationData[[#This Row],[Billed_Units]]),1,0)</f>
        <v>0</v>
      </c>
      <c r="R16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28">
        <f>IF(AND(NOT(ISBLANK(ReconciliationData[[#This Row],[Contract_Price]])),ReconciliationData[[#This Row],[Billed_Price]]&lt;&gt;ReconciliationData[[#This Row],[Contract_Price]]),1,0)</f>
        <v>0</v>
      </c>
      <c r="T1628">
        <f>IF(AND(NOT(ISBLANK(ReconciliationData[[#This Row],[End_Date]])),ReconciliationData[[#This Row],[Order_Date]]&gt;ReconciliationData[[#This Row],[End_Date]]),1,0)</f>
        <v>0</v>
      </c>
      <c r="U1628">
        <f>IF(AND(NOT(ISBLANK(ReconciliationData[[#This Row],[last_return_date]])),ReconciliationData[[#This Row],[last_return_date]]&gt;ReconciliationData[[#This Row],[Order_Date]]+60),1,0)</f>
        <v>0</v>
      </c>
      <c r="V1628">
        <f>IF(ReconciliationData[[#This Row],[total_returned_units]]&gt;ReconciliationData[[#This Row],[ordered_units]],1,0)</f>
        <v>0</v>
      </c>
      <c r="W16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28">
        <f>ReconciliationData[[#This Row],[Billed_Units]]*ReconciliationData[[#This Row],[Billed_Price]]</f>
        <v>9743.52</v>
      </c>
      <c r="Y1628">
        <f>ReconciliationData[[#This Row],[ordered_units]]*ReconciliationData[[#This Row],[List_Price]]</f>
        <v>9743.52</v>
      </c>
      <c r="Z1628">
        <f>ReconciliationData[[#This Row],[billed_revenue]]-ReconciliationData[[#This Row],[expected_revenue]]</f>
        <v>0</v>
      </c>
      <c r="AA16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28" t="str">
        <f>IF(ReconciliationData[[#This Row],[severity_score]]=0,"LOW",
 IF(ReconciliationData[[#This Row],[severity_score]]&lt;=5,"MEDIUM","HIGH"))</f>
        <v>LOW</v>
      </c>
      <c r="AC1628" t="str">
        <f>TEXT(ReconciliationData[[#This Row],[Order_Date]],"YYYY-MM")</f>
        <v>2024-07</v>
      </c>
    </row>
    <row r="1629" spans="1:29">
      <c r="A1629" t="s">
        <v>4394</v>
      </c>
      <c r="B1629" s="1">
        <v>45427</v>
      </c>
      <c r="C1629" t="s">
        <v>3203</v>
      </c>
      <c r="D1629" t="s">
        <v>2187</v>
      </c>
      <c r="E1629">
        <v>131</v>
      </c>
      <c r="F1629" t="s">
        <v>4395</v>
      </c>
      <c r="G1629">
        <v>131</v>
      </c>
      <c r="H1629">
        <v>224.95167111671211</v>
      </c>
      <c r="N1629">
        <v>223.6044</v>
      </c>
      <c r="O1629" s="1">
        <v>45091</v>
      </c>
      <c r="P1629">
        <f>IF(ISBLANK(ReconciliationData[[#This Row],[Invoice_ID]]),1,0)</f>
        <v>0</v>
      </c>
      <c r="Q1629">
        <f>IF(AND(NOT(ISBLANK(ReconciliationData[[#This Row],[Billed_Units]])),ReconciliationData[[#This Row],[ordered_units]]&lt;&gt;ReconciliationData[[#This Row],[Billed_Units]]),1,0)</f>
        <v>0</v>
      </c>
      <c r="R162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629">
        <f>IF(AND(NOT(ISBLANK(ReconciliationData[[#This Row],[Contract_Price]])),ReconciliationData[[#This Row],[Billed_Price]]&lt;&gt;ReconciliationData[[#This Row],[Contract_Price]]),1,0)</f>
        <v>0</v>
      </c>
      <c r="T1629">
        <f>IF(AND(NOT(ISBLANK(ReconciliationData[[#This Row],[End_Date]])),ReconciliationData[[#This Row],[Order_Date]]&gt;ReconciliationData[[#This Row],[End_Date]]),1,0)</f>
        <v>0</v>
      </c>
      <c r="U1629">
        <f>IF(AND(NOT(ISBLANK(ReconciliationData[[#This Row],[last_return_date]])),ReconciliationData[[#This Row],[last_return_date]]&gt;ReconciliationData[[#This Row],[Order_Date]]+60),1,0)</f>
        <v>0</v>
      </c>
      <c r="V1629">
        <f>IF(ReconciliationData[[#This Row],[total_returned_units]]&gt;ReconciliationData[[#This Row],[ordered_units]],1,0)</f>
        <v>0</v>
      </c>
      <c r="W16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29">
        <f>ReconciliationData[[#This Row],[Billed_Units]]*ReconciliationData[[#This Row],[Billed_Price]]</f>
        <v>29468.668916289287</v>
      </c>
      <c r="Y1629">
        <f>ReconciliationData[[#This Row],[ordered_units]]*ReconciliationData[[#This Row],[List_Price]]</f>
        <v>29292.1764</v>
      </c>
      <c r="Z1629">
        <f>ReconciliationData[[#This Row],[billed_revenue]]-ReconciliationData[[#This Row],[expected_revenue]]</f>
        <v>176.49251628928687</v>
      </c>
      <c r="AA16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629" t="str">
        <f>IF(ReconciliationData[[#This Row],[severity_score]]=0,"LOW",
 IF(ReconciliationData[[#This Row],[severity_score]]&lt;=5,"MEDIUM","HIGH"))</f>
        <v>MEDIUM</v>
      </c>
      <c r="AC1629" t="str">
        <f>TEXT(ReconciliationData[[#This Row],[Order_Date]],"YYYY-MM")</f>
        <v>2024-05</v>
      </c>
    </row>
    <row r="1630" spans="1:29">
      <c r="A1630" t="s">
        <v>4396</v>
      </c>
      <c r="B1630" s="1">
        <v>45624</v>
      </c>
      <c r="C1630" t="s">
        <v>177</v>
      </c>
      <c r="D1630" t="s">
        <v>596</v>
      </c>
      <c r="E1630">
        <v>186</v>
      </c>
      <c r="F1630" t="s">
        <v>4397</v>
      </c>
      <c r="G1630">
        <v>186</v>
      </c>
      <c r="H1630">
        <v>652.1472</v>
      </c>
      <c r="N1630">
        <v>652.1472</v>
      </c>
      <c r="O1630" s="1">
        <v>44959</v>
      </c>
      <c r="P1630">
        <f>IF(ISBLANK(ReconciliationData[[#This Row],[Invoice_ID]]),1,0)</f>
        <v>0</v>
      </c>
      <c r="Q1630">
        <f>IF(AND(NOT(ISBLANK(ReconciliationData[[#This Row],[Billed_Units]])),ReconciliationData[[#This Row],[ordered_units]]&lt;&gt;ReconciliationData[[#This Row],[Billed_Units]]),1,0)</f>
        <v>0</v>
      </c>
      <c r="R16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0">
        <f>IF(AND(NOT(ISBLANK(ReconciliationData[[#This Row],[Contract_Price]])),ReconciliationData[[#This Row],[Billed_Price]]&lt;&gt;ReconciliationData[[#This Row],[Contract_Price]]),1,0)</f>
        <v>0</v>
      </c>
      <c r="T1630">
        <f>IF(AND(NOT(ISBLANK(ReconciliationData[[#This Row],[End_Date]])),ReconciliationData[[#This Row],[Order_Date]]&gt;ReconciliationData[[#This Row],[End_Date]]),1,0)</f>
        <v>0</v>
      </c>
      <c r="U1630">
        <f>IF(AND(NOT(ISBLANK(ReconciliationData[[#This Row],[last_return_date]])),ReconciliationData[[#This Row],[last_return_date]]&gt;ReconciliationData[[#This Row],[Order_Date]]+60),1,0)</f>
        <v>0</v>
      </c>
      <c r="V1630">
        <f>IF(ReconciliationData[[#This Row],[total_returned_units]]&gt;ReconciliationData[[#This Row],[ordered_units]],1,0)</f>
        <v>0</v>
      </c>
      <c r="W16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30">
        <f>ReconciliationData[[#This Row],[Billed_Units]]*ReconciliationData[[#This Row],[Billed_Price]]</f>
        <v>121299.3792</v>
      </c>
      <c r="Y1630">
        <f>ReconciliationData[[#This Row],[ordered_units]]*ReconciliationData[[#This Row],[List_Price]]</f>
        <v>121299.3792</v>
      </c>
      <c r="Z1630">
        <f>ReconciliationData[[#This Row],[billed_revenue]]-ReconciliationData[[#This Row],[expected_revenue]]</f>
        <v>0</v>
      </c>
      <c r="AA16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30" t="str">
        <f>IF(ReconciliationData[[#This Row],[severity_score]]=0,"LOW",
 IF(ReconciliationData[[#This Row],[severity_score]]&lt;=5,"MEDIUM","HIGH"))</f>
        <v>LOW</v>
      </c>
      <c r="AC1630" t="str">
        <f>TEXT(ReconciliationData[[#This Row],[Order_Date]],"YYYY-MM")</f>
        <v>2024-11</v>
      </c>
    </row>
    <row r="1631" spans="1:29">
      <c r="A1631" t="s">
        <v>4398</v>
      </c>
      <c r="B1631" s="1">
        <v>45145</v>
      </c>
      <c r="C1631" t="s">
        <v>3664</v>
      </c>
      <c r="D1631" t="s">
        <v>569</v>
      </c>
      <c r="E1631">
        <v>121</v>
      </c>
      <c r="F1631" t="s">
        <v>4399</v>
      </c>
      <c r="G1631">
        <v>116</v>
      </c>
      <c r="H1631">
        <v>1231.9933000000001</v>
      </c>
      <c r="N1631">
        <v>1231.9933000000001</v>
      </c>
      <c r="O1631" s="1">
        <v>44934</v>
      </c>
      <c r="P1631">
        <f>IF(ISBLANK(ReconciliationData[[#This Row],[Invoice_ID]]),1,0)</f>
        <v>0</v>
      </c>
      <c r="Q1631">
        <f>IF(AND(NOT(ISBLANK(ReconciliationData[[#This Row],[Billed_Units]])),ReconciliationData[[#This Row],[ordered_units]]&lt;&gt;ReconciliationData[[#This Row],[Billed_Units]]),1,0)</f>
        <v>1</v>
      </c>
      <c r="R16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1">
        <f>IF(AND(NOT(ISBLANK(ReconciliationData[[#This Row],[Contract_Price]])),ReconciliationData[[#This Row],[Billed_Price]]&lt;&gt;ReconciliationData[[#This Row],[Contract_Price]]),1,0)</f>
        <v>0</v>
      </c>
      <c r="T1631">
        <f>IF(AND(NOT(ISBLANK(ReconciliationData[[#This Row],[End_Date]])),ReconciliationData[[#This Row],[Order_Date]]&gt;ReconciliationData[[#This Row],[End_Date]]),1,0)</f>
        <v>0</v>
      </c>
      <c r="U1631">
        <f>IF(AND(NOT(ISBLANK(ReconciliationData[[#This Row],[last_return_date]])),ReconciliationData[[#This Row],[last_return_date]]&gt;ReconciliationData[[#This Row],[Order_Date]]+60),1,0)</f>
        <v>0</v>
      </c>
      <c r="V1631">
        <f>IF(ReconciliationData[[#This Row],[total_returned_units]]&gt;ReconciliationData[[#This Row],[ordered_units]],1,0)</f>
        <v>0</v>
      </c>
      <c r="W16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31">
        <f>ReconciliationData[[#This Row],[Billed_Units]]*ReconciliationData[[#This Row],[Billed_Price]]</f>
        <v>142911.22280000002</v>
      </c>
      <c r="Y1631">
        <f>ReconciliationData[[#This Row],[ordered_units]]*ReconciliationData[[#This Row],[List_Price]]</f>
        <v>149071.1893</v>
      </c>
      <c r="Z1631">
        <f>ReconciliationData[[#This Row],[billed_revenue]]-ReconciliationData[[#This Row],[expected_revenue]]</f>
        <v>-6159.9664999999804</v>
      </c>
      <c r="AA16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631" t="str">
        <f>IF(ReconciliationData[[#This Row],[severity_score]]=0,"LOW",
 IF(ReconciliationData[[#This Row],[severity_score]]&lt;=5,"MEDIUM","HIGH"))</f>
        <v>HIGH</v>
      </c>
      <c r="AC1631" t="str">
        <f>TEXT(ReconciliationData[[#This Row],[Order_Date]],"YYYY-MM")</f>
        <v>2023-08</v>
      </c>
    </row>
    <row r="1632" spans="1:29">
      <c r="A1632" t="s">
        <v>4400</v>
      </c>
      <c r="B1632" s="1">
        <v>45381</v>
      </c>
      <c r="C1632" t="s">
        <v>2814</v>
      </c>
      <c r="D1632" t="s">
        <v>3036</v>
      </c>
      <c r="E1632">
        <v>181</v>
      </c>
      <c r="F1632" t="s">
        <v>4401</v>
      </c>
      <c r="G1632">
        <v>181</v>
      </c>
      <c r="H1632">
        <v>907.24260000000004</v>
      </c>
      <c r="I1632">
        <v>13</v>
      </c>
      <c r="J1632" s="1">
        <v>45247</v>
      </c>
      <c r="N1632">
        <v>907.24260000000004</v>
      </c>
      <c r="O1632" s="1">
        <v>45222</v>
      </c>
      <c r="P1632">
        <f>IF(ISBLANK(ReconciliationData[[#This Row],[Invoice_ID]]),1,0)</f>
        <v>0</v>
      </c>
      <c r="Q1632">
        <f>IF(AND(NOT(ISBLANK(ReconciliationData[[#This Row],[Billed_Units]])),ReconciliationData[[#This Row],[ordered_units]]&lt;&gt;ReconciliationData[[#This Row],[Billed_Units]]),1,0)</f>
        <v>0</v>
      </c>
      <c r="R16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2">
        <f>IF(AND(NOT(ISBLANK(ReconciliationData[[#This Row],[Contract_Price]])),ReconciliationData[[#This Row],[Billed_Price]]&lt;&gt;ReconciliationData[[#This Row],[Contract_Price]]),1,0)</f>
        <v>0</v>
      </c>
      <c r="T1632">
        <f>IF(AND(NOT(ISBLANK(ReconciliationData[[#This Row],[End_Date]])),ReconciliationData[[#This Row],[Order_Date]]&gt;ReconciliationData[[#This Row],[End_Date]]),1,0)</f>
        <v>0</v>
      </c>
      <c r="U1632">
        <f>IF(AND(NOT(ISBLANK(ReconciliationData[[#This Row],[last_return_date]])),ReconciliationData[[#This Row],[last_return_date]]&gt;ReconciliationData[[#This Row],[Order_Date]]+60),1,0)</f>
        <v>0</v>
      </c>
      <c r="V1632">
        <f>IF(ReconciliationData[[#This Row],[total_returned_units]]&gt;ReconciliationData[[#This Row],[ordered_units]],1,0)</f>
        <v>0</v>
      </c>
      <c r="W16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32">
        <f>ReconciliationData[[#This Row],[Billed_Units]]*ReconciliationData[[#This Row],[Billed_Price]]</f>
        <v>164210.9106</v>
      </c>
      <c r="Y1632">
        <f>ReconciliationData[[#This Row],[ordered_units]]*ReconciliationData[[#This Row],[List_Price]]</f>
        <v>164210.9106</v>
      </c>
      <c r="Z1632">
        <f>ReconciliationData[[#This Row],[billed_revenue]]-ReconciliationData[[#This Row],[expected_revenue]]</f>
        <v>0</v>
      </c>
      <c r="AA16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32" t="str">
        <f>IF(ReconciliationData[[#This Row],[severity_score]]=0,"LOW",
 IF(ReconciliationData[[#This Row],[severity_score]]&lt;=5,"MEDIUM","HIGH"))</f>
        <v>LOW</v>
      </c>
      <c r="AC1632" t="str">
        <f>TEXT(ReconciliationData[[#This Row],[Order_Date]],"YYYY-MM")</f>
        <v>2024-03</v>
      </c>
    </row>
    <row r="1633" spans="1:29">
      <c r="A1633" t="s">
        <v>4402</v>
      </c>
      <c r="B1633" s="1">
        <v>45040</v>
      </c>
      <c r="C1633" t="s">
        <v>1458</v>
      </c>
      <c r="D1633" t="s">
        <v>174</v>
      </c>
      <c r="E1633">
        <v>151</v>
      </c>
      <c r="F1633" t="s">
        <v>4403</v>
      </c>
      <c r="G1633">
        <v>151</v>
      </c>
      <c r="H1633">
        <v>461.69279999999998</v>
      </c>
      <c r="N1633">
        <v>461.69279999999998</v>
      </c>
      <c r="O1633" s="1">
        <v>45031</v>
      </c>
      <c r="P1633">
        <f>IF(ISBLANK(ReconciliationData[[#This Row],[Invoice_ID]]),1,0)</f>
        <v>0</v>
      </c>
      <c r="Q1633">
        <f>IF(AND(NOT(ISBLANK(ReconciliationData[[#This Row],[Billed_Units]])),ReconciliationData[[#This Row],[ordered_units]]&lt;&gt;ReconciliationData[[#This Row],[Billed_Units]]),1,0)</f>
        <v>0</v>
      </c>
      <c r="R16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3">
        <f>IF(AND(NOT(ISBLANK(ReconciliationData[[#This Row],[Contract_Price]])),ReconciliationData[[#This Row],[Billed_Price]]&lt;&gt;ReconciliationData[[#This Row],[Contract_Price]]),1,0)</f>
        <v>0</v>
      </c>
      <c r="T1633">
        <f>IF(AND(NOT(ISBLANK(ReconciliationData[[#This Row],[End_Date]])),ReconciliationData[[#This Row],[Order_Date]]&gt;ReconciliationData[[#This Row],[End_Date]]),1,0)</f>
        <v>0</v>
      </c>
      <c r="U1633">
        <f>IF(AND(NOT(ISBLANK(ReconciliationData[[#This Row],[last_return_date]])),ReconciliationData[[#This Row],[last_return_date]]&gt;ReconciliationData[[#This Row],[Order_Date]]+60),1,0)</f>
        <v>0</v>
      </c>
      <c r="V1633">
        <f>IF(ReconciliationData[[#This Row],[total_returned_units]]&gt;ReconciliationData[[#This Row],[ordered_units]],1,0)</f>
        <v>0</v>
      </c>
      <c r="W16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33">
        <f>ReconciliationData[[#This Row],[Billed_Units]]*ReconciliationData[[#This Row],[Billed_Price]]</f>
        <v>69715.612800000003</v>
      </c>
      <c r="Y1633">
        <f>ReconciliationData[[#This Row],[ordered_units]]*ReconciliationData[[#This Row],[List_Price]]</f>
        <v>69715.612800000003</v>
      </c>
      <c r="Z1633">
        <f>ReconciliationData[[#This Row],[billed_revenue]]-ReconciliationData[[#This Row],[expected_revenue]]</f>
        <v>0</v>
      </c>
      <c r="AA16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33" t="str">
        <f>IF(ReconciliationData[[#This Row],[severity_score]]=0,"LOW",
 IF(ReconciliationData[[#This Row],[severity_score]]&lt;=5,"MEDIUM","HIGH"))</f>
        <v>LOW</v>
      </c>
      <c r="AC1633" t="str">
        <f>TEXT(ReconciliationData[[#This Row],[Order_Date]],"YYYY-MM")</f>
        <v>2023-04</v>
      </c>
    </row>
    <row r="1634" spans="1:29">
      <c r="A1634" t="s">
        <v>4404</v>
      </c>
      <c r="B1634" s="1">
        <v>45614</v>
      </c>
      <c r="C1634" t="s">
        <v>4015</v>
      </c>
      <c r="D1634" t="s">
        <v>707</v>
      </c>
      <c r="E1634">
        <v>183</v>
      </c>
      <c r="F1634" t="s">
        <v>4405</v>
      </c>
      <c r="G1634">
        <v>183</v>
      </c>
      <c r="H1634">
        <v>381.97550000000001</v>
      </c>
      <c r="N1634">
        <v>381.97550000000001</v>
      </c>
      <c r="O1634" s="1">
        <v>45065</v>
      </c>
      <c r="P1634">
        <f>IF(ISBLANK(ReconciliationData[[#This Row],[Invoice_ID]]),1,0)</f>
        <v>0</v>
      </c>
      <c r="Q1634">
        <f>IF(AND(NOT(ISBLANK(ReconciliationData[[#This Row],[Billed_Units]])),ReconciliationData[[#This Row],[ordered_units]]&lt;&gt;ReconciliationData[[#This Row],[Billed_Units]]),1,0)</f>
        <v>0</v>
      </c>
      <c r="R16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4">
        <f>IF(AND(NOT(ISBLANK(ReconciliationData[[#This Row],[Contract_Price]])),ReconciliationData[[#This Row],[Billed_Price]]&lt;&gt;ReconciliationData[[#This Row],[Contract_Price]]),1,0)</f>
        <v>0</v>
      </c>
      <c r="T1634">
        <f>IF(AND(NOT(ISBLANK(ReconciliationData[[#This Row],[End_Date]])),ReconciliationData[[#This Row],[Order_Date]]&gt;ReconciliationData[[#This Row],[End_Date]]),1,0)</f>
        <v>0</v>
      </c>
      <c r="U1634">
        <f>IF(AND(NOT(ISBLANK(ReconciliationData[[#This Row],[last_return_date]])),ReconciliationData[[#This Row],[last_return_date]]&gt;ReconciliationData[[#This Row],[Order_Date]]+60),1,0)</f>
        <v>0</v>
      </c>
      <c r="V1634">
        <f>IF(ReconciliationData[[#This Row],[total_returned_units]]&gt;ReconciliationData[[#This Row],[ordered_units]],1,0)</f>
        <v>0</v>
      </c>
      <c r="W16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34">
        <f>ReconciliationData[[#This Row],[Billed_Units]]*ReconciliationData[[#This Row],[Billed_Price]]</f>
        <v>69901.516499999998</v>
      </c>
      <c r="Y1634">
        <f>ReconciliationData[[#This Row],[ordered_units]]*ReconciliationData[[#This Row],[List_Price]]</f>
        <v>69901.516499999998</v>
      </c>
      <c r="Z1634">
        <f>ReconciliationData[[#This Row],[billed_revenue]]-ReconciliationData[[#This Row],[expected_revenue]]</f>
        <v>0</v>
      </c>
      <c r="AA16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34" t="str">
        <f>IF(ReconciliationData[[#This Row],[severity_score]]=0,"LOW",
 IF(ReconciliationData[[#This Row],[severity_score]]&lt;=5,"MEDIUM","HIGH"))</f>
        <v>LOW</v>
      </c>
      <c r="AC1634" t="str">
        <f>TEXT(ReconciliationData[[#This Row],[Order_Date]],"YYYY-MM")</f>
        <v>2024-11</v>
      </c>
    </row>
    <row r="1635" spans="1:29">
      <c r="A1635" t="s">
        <v>4406</v>
      </c>
      <c r="B1635" s="1">
        <v>45043</v>
      </c>
      <c r="C1635" t="s">
        <v>4407</v>
      </c>
      <c r="D1635" t="s">
        <v>1209</v>
      </c>
      <c r="E1635">
        <v>39</v>
      </c>
      <c r="F1635" t="s">
        <v>4408</v>
      </c>
      <c r="G1635">
        <v>39</v>
      </c>
      <c r="H1635">
        <v>75.847200000000001</v>
      </c>
      <c r="N1635">
        <v>75.847200000000001</v>
      </c>
      <c r="O1635" s="1">
        <v>44991</v>
      </c>
      <c r="P1635">
        <f>IF(ISBLANK(ReconciliationData[[#This Row],[Invoice_ID]]),1,0)</f>
        <v>0</v>
      </c>
      <c r="Q1635">
        <f>IF(AND(NOT(ISBLANK(ReconciliationData[[#This Row],[Billed_Units]])),ReconciliationData[[#This Row],[ordered_units]]&lt;&gt;ReconciliationData[[#This Row],[Billed_Units]]),1,0)</f>
        <v>0</v>
      </c>
      <c r="R16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5">
        <f>IF(AND(NOT(ISBLANK(ReconciliationData[[#This Row],[Contract_Price]])),ReconciliationData[[#This Row],[Billed_Price]]&lt;&gt;ReconciliationData[[#This Row],[Contract_Price]]),1,0)</f>
        <v>0</v>
      </c>
      <c r="T1635">
        <f>IF(AND(NOT(ISBLANK(ReconciliationData[[#This Row],[End_Date]])),ReconciliationData[[#This Row],[Order_Date]]&gt;ReconciliationData[[#This Row],[End_Date]]),1,0)</f>
        <v>0</v>
      </c>
      <c r="U1635">
        <f>IF(AND(NOT(ISBLANK(ReconciliationData[[#This Row],[last_return_date]])),ReconciliationData[[#This Row],[last_return_date]]&gt;ReconciliationData[[#This Row],[Order_Date]]+60),1,0)</f>
        <v>0</v>
      </c>
      <c r="V1635">
        <f>IF(ReconciliationData[[#This Row],[total_returned_units]]&gt;ReconciliationData[[#This Row],[ordered_units]],1,0)</f>
        <v>0</v>
      </c>
      <c r="W16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35">
        <f>ReconciliationData[[#This Row],[Billed_Units]]*ReconciliationData[[#This Row],[Billed_Price]]</f>
        <v>2958.0408000000002</v>
      </c>
      <c r="Y1635">
        <f>ReconciliationData[[#This Row],[ordered_units]]*ReconciliationData[[#This Row],[List_Price]]</f>
        <v>2958.0408000000002</v>
      </c>
      <c r="Z1635">
        <f>ReconciliationData[[#This Row],[billed_revenue]]-ReconciliationData[[#This Row],[expected_revenue]]</f>
        <v>0</v>
      </c>
      <c r="AA16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35" t="str">
        <f>IF(ReconciliationData[[#This Row],[severity_score]]=0,"LOW",
 IF(ReconciliationData[[#This Row],[severity_score]]&lt;=5,"MEDIUM","HIGH"))</f>
        <v>LOW</v>
      </c>
      <c r="AC1635" t="str">
        <f>TEXT(ReconciliationData[[#This Row],[Order_Date]],"YYYY-MM")</f>
        <v>2023-04</v>
      </c>
    </row>
    <row r="1636" spans="1:29">
      <c r="A1636" t="s">
        <v>4409</v>
      </c>
      <c r="B1636" s="1">
        <v>45163</v>
      </c>
      <c r="C1636" t="s">
        <v>2302</v>
      </c>
      <c r="D1636" t="s">
        <v>537</v>
      </c>
      <c r="E1636">
        <v>23</v>
      </c>
      <c r="F1636" t="s">
        <v>4410</v>
      </c>
      <c r="G1636">
        <v>32</v>
      </c>
      <c r="H1636">
        <v>432.839</v>
      </c>
      <c r="N1636">
        <v>432.839</v>
      </c>
      <c r="O1636" s="1">
        <v>45048</v>
      </c>
      <c r="P1636">
        <f>IF(ISBLANK(ReconciliationData[[#This Row],[Invoice_ID]]),1,0)</f>
        <v>0</v>
      </c>
      <c r="Q1636">
        <f>IF(AND(NOT(ISBLANK(ReconciliationData[[#This Row],[Billed_Units]])),ReconciliationData[[#This Row],[ordered_units]]&lt;&gt;ReconciliationData[[#This Row],[Billed_Units]]),1,0)</f>
        <v>1</v>
      </c>
      <c r="R16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6">
        <f>IF(AND(NOT(ISBLANK(ReconciliationData[[#This Row],[Contract_Price]])),ReconciliationData[[#This Row],[Billed_Price]]&lt;&gt;ReconciliationData[[#This Row],[Contract_Price]]),1,0)</f>
        <v>0</v>
      </c>
      <c r="T1636">
        <f>IF(AND(NOT(ISBLANK(ReconciliationData[[#This Row],[End_Date]])),ReconciliationData[[#This Row],[Order_Date]]&gt;ReconciliationData[[#This Row],[End_Date]]),1,0)</f>
        <v>0</v>
      </c>
      <c r="U1636">
        <f>IF(AND(NOT(ISBLANK(ReconciliationData[[#This Row],[last_return_date]])),ReconciliationData[[#This Row],[last_return_date]]&gt;ReconciliationData[[#This Row],[Order_Date]]+60),1,0)</f>
        <v>0</v>
      </c>
      <c r="V1636">
        <f>IF(ReconciliationData[[#This Row],[total_returned_units]]&gt;ReconciliationData[[#This Row],[ordered_units]],1,0)</f>
        <v>0</v>
      </c>
      <c r="W16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36">
        <f>ReconciliationData[[#This Row],[Billed_Units]]*ReconciliationData[[#This Row],[Billed_Price]]</f>
        <v>13850.848</v>
      </c>
      <c r="Y1636">
        <f>ReconciliationData[[#This Row],[ordered_units]]*ReconciliationData[[#This Row],[List_Price]]</f>
        <v>9955.2970000000005</v>
      </c>
      <c r="Z1636">
        <f>ReconciliationData[[#This Row],[billed_revenue]]-ReconciliationData[[#This Row],[expected_revenue]]</f>
        <v>3895.5509999999995</v>
      </c>
      <c r="AA16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636" t="str">
        <f>IF(ReconciliationData[[#This Row],[severity_score]]=0,"LOW",
 IF(ReconciliationData[[#This Row],[severity_score]]&lt;=5,"MEDIUM","HIGH"))</f>
        <v>HIGH</v>
      </c>
      <c r="AC1636" t="str">
        <f>TEXT(ReconciliationData[[#This Row],[Order_Date]],"YYYY-MM")</f>
        <v>2023-08</v>
      </c>
    </row>
    <row r="1637" spans="1:29">
      <c r="A1637" t="s">
        <v>4411</v>
      </c>
      <c r="B1637" s="1">
        <v>45371</v>
      </c>
      <c r="C1637" t="s">
        <v>687</v>
      </c>
      <c r="D1637" t="s">
        <v>194</v>
      </c>
      <c r="E1637">
        <v>82</v>
      </c>
      <c r="F1637" t="s">
        <v>4412</v>
      </c>
      <c r="G1637">
        <v>82</v>
      </c>
      <c r="H1637">
        <v>1039.0536</v>
      </c>
      <c r="N1637">
        <v>1039.0536</v>
      </c>
      <c r="O1637" s="1">
        <v>45054</v>
      </c>
      <c r="P1637">
        <f>IF(ISBLANK(ReconciliationData[[#This Row],[Invoice_ID]]),1,0)</f>
        <v>0</v>
      </c>
      <c r="Q1637">
        <f>IF(AND(NOT(ISBLANK(ReconciliationData[[#This Row],[Billed_Units]])),ReconciliationData[[#This Row],[ordered_units]]&lt;&gt;ReconciliationData[[#This Row],[Billed_Units]]),1,0)</f>
        <v>0</v>
      </c>
      <c r="R16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7">
        <f>IF(AND(NOT(ISBLANK(ReconciliationData[[#This Row],[Contract_Price]])),ReconciliationData[[#This Row],[Billed_Price]]&lt;&gt;ReconciliationData[[#This Row],[Contract_Price]]),1,0)</f>
        <v>0</v>
      </c>
      <c r="T1637">
        <f>IF(AND(NOT(ISBLANK(ReconciliationData[[#This Row],[End_Date]])),ReconciliationData[[#This Row],[Order_Date]]&gt;ReconciliationData[[#This Row],[End_Date]]),1,0)</f>
        <v>0</v>
      </c>
      <c r="U1637">
        <f>IF(AND(NOT(ISBLANK(ReconciliationData[[#This Row],[last_return_date]])),ReconciliationData[[#This Row],[last_return_date]]&gt;ReconciliationData[[#This Row],[Order_Date]]+60),1,0)</f>
        <v>0</v>
      </c>
      <c r="V1637">
        <f>IF(ReconciliationData[[#This Row],[total_returned_units]]&gt;ReconciliationData[[#This Row],[ordered_units]],1,0)</f>
        <v>0</v>
      </c>
      <c r="W16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37">
        <f>ReconciliationData[[#This Row],[Billed_Units]]*ReconciliationData[[#This Row],[Billed_Price]]</f>
        <v>85202.395199999999</v>
      </c>
      <c r="Y1637">
        <f>ReconciliationData[[#This Row],[ordered_units]]*ReconciliationData[[#This Row],[List_Price]]</f>
        <v>85202.395199999999</v>
      </c>
      <c r="Z1637">
        <f>ReconciliationData[[#This Row],[billed_revenue]]-ReconciliationData[[#This Row],[expected_revenue]]</f>
        <v>0</v>
      </c>
      <c r="AA16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37" t="str">
        <f>IF(ReconciliationData[[#This Row],[severity_score]]=0,"LOW",
 IF(ReconciliationData[[#This Row],[severity_score]]&lt;=5,"MEDIUM","HIGH"))</f>
        <v>LOW</v>
      </c>
      <c r="AC1637" t="str">
        <f>TEXT(ReconciliationData[[#This Row],[Order_Date]],"YYYY-MM")</f>
        <v>2024-03</v>
      </c>
    </row>
    <row r="1638" spans="1:29">
      <c r="A1638" t="s">
        <v>4413</v>
      </c>
      <c r="B1638" s="1">
        <v>45613</v>
      </c>
      <c r="C1638" t="s">
        <v>933</v>
      </c>
      <c r="D1638" t="s">
        <v>1126</v>
      </c>
      <c r="E1638">
        <v>12</v>
      </c>
      <c r="F1638" t="s">
        <v>4414</v>
      </c>
      <c r="G1638">
        <v>12</v>
      </c>
      <c r="H1638">
        <v>926.52549999999997</v>
      </c>
      <c r="N1638">
        <v>926.52549999999997</v>
      </c>
      <c r="O1638" s="1">
        <v>45183</v>
      </c>
      <c r="P1638">
        <f>IF(ISBLANK(ReconciliationData[[#This Row],[Invoice_ID]]),1,0)</f>
        <v>0</v>
      </c>
      <c r="Q1638">
        <f>IF(AND(NOT(ISBLANK(ReconciliationData[[#This Row],[Billed_Units]])),ReconciliationData[[#This Row],[ordered_units]]&lt;&gt;ReconciliationData[[#This Row],[Billed_Units]]),1,0)</f>
        <v>0</v>
      </c>
      <c r="R16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8">
        <f>IF(AND(NOT(ISBLANK(ReconciliationData[[#This Row],[Contract_Price]])),ReconciliationData[[#This Row],[Billed_Price]]&lt;&gt;ReconciliationData[[#This Row],[Contract_Price]]),1,0)</f>
        <v>0</v>
      </c>
      <c r="T1638">
        <f>IF(AND(NOT(ISBLANK(ReconciliationData[[#This Row],[End_Date]])),ReconciliationData[[#This Row],[Order_Date]]&gt;ReconciliationData[[#This Row],[End_Date]]),1,0)</f>
        <v>0</v>
      </c>
      <c r="U1638">
        <f>IF(AND(NOT(ISBLANK(ReconciliationData[[#This Row],[last_return_date]])),ReconciliationData[[#This Row],[last_return_date]]&gt;ReconciliationData[[#This Row],[Order_Date]]+60),1,0)</f>
        <v>0</v>
      </c>
      <c r="V1638">
        <f>IF(ReconciliationData[[#This Row],[total_returned_units]]&gt;ReconciliationData[[#This Row],[ordered_units]],1,0)</f>
        <v>0</v>
      </c>
      <c r="W16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38">
        <f>ReconciliationData[[#This Row],[Billed_Units]]*ReconciliationData[[#This Row],[Billed_Price]]</f>
        <v>11118.306</v>
      </c>
      <c r="Y1638">
        <f>ReconciliationData[[#This Row],[ordered_units]]*ReconciliationData[[#This Row],[List_Price]]</f>
        <v>11118.306</v>
      </c>
      <c r="Z1638">
        <f>ReconciliationData[[#This Row],[billed_revenue]]-ReconciliationData[[#This Row],[expected_revenue]]</f>
        <v>0</v>
      </c>
      <c r="AA16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38" t="str">
        <f>IF(ReconciliationData[[#This Row],[severity_score]]=0,"LOW",
 IF(ReconciliationData[[#This Row],[severity_score]]&lt;=5,"MEDIUM","HIGH"))</f>
        <v>LOW</v>
      </c>
      <c r="AC1638" t="str">
        <f>TEXT(ReconciliationData[[#This Row],[Order_Date]],"YYYY-MM")</f>
        <v>2024-11</v>
      </c>
    </row>
    <row r="1639" spans="1:29">
      <c r="A1639" t="s">
        <v>4415</v>
      </c>
      <c r="B1639" s="1">
        <v>45205</v>
      </c>
      <c r="C1639" t="s">
        <v>4300</v>
      </c>
      <c r="D1639" t="s">
        <v>651</v>
      </c>
      <c r="E1639">
        <v>122</v>
      </c>
      <c r="F1639" t="s">
        <v>4416</v>
      </c>
      <c r="G1639">
        <v>122</v>
      </c>
      <c r="H1639">
        <v>214.6182</v>
      </c>
      <c r="N1639">
        <v>214.6182</v>
      </c>
      <c r="O1639" s="1">
        <v>45116</v>
      </c>
      <c r="P1639">
        <f>IF(ISBLANK(ReconciliationData[[#This Row],[Invoice_ID]]),1,0)</f>
        <v>0</v>
      </c>
      <c r="Q1639">
        <f>IF(AND(NOT(ISBLANK(ReconciliationData[[#This Row],[Billed_Units]])),ReconciliationData[[#This Row],[ordered_units]]&lt;&gt;ReconciliationData[[#This Row],[Billed_Units]]),1,0)</f>
        <v>0</v>
      </c>
      <c r="R16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39">
        <f>IF(AND(NOT(ISBLANK(ReconciliationData[[#This Row],[Contract_Price]])),ReconciliationData[[#This Row],[Billed_Price]]&lt;&gt;ReconciliationData[[#This Row],[Contract_Price]]),1,0)</f>
        <v>0</v>
      </c>
      <c r="T1639">
        <f>IF(AND(NOT(ISBLANK(ReconciliationData[[#This Row],[End_Date]])),ReconciliationData[[#This Row],[Order_Date]]&gt;ReconciliationData[[#This Row],[End_Date]]),1,0)</f>
        <v>0</v>
      </c>
      <c r="U1639">
        <f>IF(AND(NOT(ISBLANK(ReconciliationData[[#This Row],[last_return_date]])),ReconciliationData[[#This Row],[last_return_date]]&gt;ReconciliationData[[#This Row],[Order_Date]]+60),1,0)</f>
        <v>0</v>
      </c>
      <c r="V1639">
        <f>IF(ReconciliationData[[#This Row],[total_returned_units]]&gt;ReconciliationData[[#This Row],[ordered_units]],1,0)</f>
        <v>0</v>
      </c>
      <c r="W16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39">
        <f>ReconciliationData[[#This Row],[Billed_Units]]*ReconciliationData[[#This Row],[Billed_Price]]</f>
        <v>26183.420399999999</v>
      </c>
      <c r="Y1639">
        <f>ReconciliationData[[#This Row],[ordered_units]]*ReconciliationData[[#This Row],[List_Price]]</f>
        <v>26183.420399999999</v>
      </c>
      <c r="Z1639">
        <f>ReconciliationData[[#This Row],[billed_revenue]]-ReconciliationData[[#This Row],[expected_revenue]]</f>
        <v>0</v>
      </c>
      <c r="AA16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39" t="str">
        <f>IF(ReconciliationData[[#This Row],[severity_score]]=0,"LOW",
 IF(ReconciliationData[[#This Row],[severity_score]]&lt;=5,"MEDIUM","HIGH"))</f>
        <v>LOW</v>
      </c>
      <c r="AC1639" t="str">
        <f>TEXT(ReconciliationData[[#This Row],[Order_Date]],"YYYY-MM")</f>
        <v>2023-10</v>
      </c>
    </row>
    <row r="1640" spans="1:29">
      <c r="A1640" t="s">
        <v>4417</v>
      </c>
      <c r="B1640" s="1">
        <v>45274</v>
      </c>
      <c r="C1640" t="s">
        <v>3084</v>
      </c>
      <c r="D1640" t="s">
        <v>624</v>
      </c>
      <c r="E1640">
        <v>47</v>
      </c>
      <c r="F1640" t="s">
        <v>4418</v>
      </c>
      <c r="G1640">
        <v>47</v>
      </c>
      <c r="H1640">
        <v>147.17669999999998</v>
      </c>
      <c r="N1640">
        <v>147.17669999999998</v>
      </c>
      <c r="O1640" s="1">
        <v>45039</v>
      </c>
      <c r="P1640">
        <f>IF(ISBLANK(ReconciliationData[[#This Row],[Invoice_ID]]),1,0)</f>
        <v>0</v>
      </c>
      <c r="Q1640">
        <f>IF(AND(NOT(ISBLANK(ReconciliationData[[#This Row],[Billed_Units]])),ReconciliationData[[#This Row],[ordered_units]]&lt;&gt;ReconciliationData[[#This Row],[Billed_Units]]),1,0)</f>
        <v>0</v>
      </c>
      <c r="R16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0">
        <f>IF(AND(NOT(ISBLANK(ReconciliationData[[#This Row],[Contract_Price]])),ReconciliationData[[#This Row],[Billed_Price]]&lt;&gt;ReconciliationData[[#This Row],[Contract_Price]]),1,0)</f>
        <v>0</v>
      </c>
      <c r="T1640">
        <f>IF(AND(NOT(ISBLANK(ReconciliationData[[#This Row],[End_Date]])),ReconciliationData[[#This Row],[Order_Date]]&gt;ReconciliationData[[#This Row],[End_Date]]),1,0)</f>
        <v>0</v>
      </c>
      <c r="U1640">
        <f>IF(AND(NOT(ISBLANK(ReconciliationData[[#This Row],[last_return_date]])),ReconciliationData[[#This Row],[last_return_date]]&gt;ReconciliationData[[#This Row],[Order_Date]]+60),1,0)</f>
        <v>0</v>
      </c>
      <c r="V1640">
        <f>IF(ReconciliationData[[#This Row],[total_returned_units]]&gt;ReconciliationData[[#This Row],[ordered_units]],1,0)</f>
        <v>0</v>
      </c>
      <c r="W16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0">
        <f>ReconciliationData[[#This Row],[Billed_Units]]*ReconciliationData[[#This Row],[Billed_Price]]</f>
        <v>6917.3048999999992</v>
      </c>
      <c r="Y1640">
        <f>ReconciliationData[[#This Row],[ordered_units]]*ReconciliationData[[#This Row],[List_Price]]</f>
        <v>6917.3048999999992</v>
      </c>
      <c r="Z1640">
        <f>ReconciliationData[[#This Row],[billed_revenue]]-ReconciliationData[[#This Row],[expected_revenue]]</f>
        <v>0</v>
      </c>
      <c r="AA16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0" t="str">
        <f>IF(ReconciliationData[[#This Row],[severity_score]]=0,"LOW",
 IF(ReconciliationData[[#This Row],[severity_score]]&lt;=5,"MEDIUM","HIGH"))</f>
        <v>LOW</v>
      </c>
      <c r="AC1640" t="str">
        <f>TEXT(ReconciliationData[[#This Row],[Order_Date]],"YYYY-MM")</f>
        <v>2023-12</v>
      </c>
    </row>
    <row r="1641" spans="1:29">
      <c r="A1641" t="s">
        <v>4419</v>
      </c>
      <c r="B1641" s="1">
        <v>45073</v>
      </c>
      <c r="C1641" t="s">
        <v>693</v>
      </c>
      <c r="D1641" t="s">
        <v>235</v>
      </c>
      <c r="E1641">
        <v>87</v>
      </c>
      <c r="F1641" t="s">
        <v>4420</v>
      </c>
      <c r="G1641">
        <v>87</v>
      </c>
      <c r="H1641">
        <v>421.92750000000001</v>
      </c>
      <c r="N1641">
        <v>421.92750000000001</v>
      </c>
      <c r="O1641" s="1">
        <v>44969</v>
      </c>
      <c r="P1641">
        <f>IF(ISBLANK(ReconciliationData[[#This Row],[Invoice_ID]]),1,0)</f>
        <v>0</v>
      </c>
      <c r="Q1641">
        <f>IF(AND(NOT(ISBLANK(ReconciliationData[[#This Row],[Billed_Units]])),ReconciliationData[[#This Row],[ordered_units]]&lt;&gt;ReconciliationData[[#This Row],[Billed_Units]]),1,0)</f>
        <v>0</v>
      </c>
      <c r="R16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1">
        <f>IF(AND(NOT(ISBLANK(ReconciliationData[[#This Row],[Contract_Price]])),ReconciliationData[[#This Row],[Billed_Price]]&lt;&gt;ReconciliationData[[#This Row],[Contract_Price]]),1,0)</f>
        <v>0</v>
      </c>
      <c r="T1641">
        <f>IF(AND(NOT(ISBLANK(ReconciliationData[[#This Row],[End_Date]])),ReconciliationData[[#This Row],[Order_Date]]&gt;ReconciliationData[[#This Row],[End_Date]]),1,0)</f>
        <v>0</v>
      </c>
      <c r="U1641">
        <f>IF(AND(NOT(ISBLANK(ReconciliationData[[#This Row],[last_return_date]])),ReconciliationData[[#This Row],[last_return_date]]&gt;ReconciliationData[[#This Row],[Order_Date]]+60),1,0)</f>
        <v>0</v>
      </c>
      <c r="V1641">
        <f>IF(ReconciliationData[[#This Row],[total_returned_units]]&gt;ReconciliationData[[#This Row],[ordered_units]],1,0)</f>
        <v>0</v>
      </c>
      <c r="W16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1">
        <f>ReconciliationData[[#This Row],[Billed_Units]]*ReconciliationData[[#This Row],[Billed_Price]]</f>
        <v>36707.692499999997</v>
      </c>
      <c r="Y1641">
        <f>ReconciliationData[[#This Row],[ordered_units]]*ReconciliationData[[#This Row],[List_Price]]</f>
        <v>36707.692499999997</v>
      </c>
      <c r="Z1641">
        <f>ReconciliationData[[#This Row],[billed_revenue]]-ReconciliationData[[#This Row],[expected_revenue]]</f>
        <v>0</v>
      </c>
      <c r="AA16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1" t="str">
        <f>IF(ReconciliationData[[#This Row],[severity_score]]=0,"LOW",
 IF(ReconciliationData[[#This Row],[severity_score]]&lt;=5,"MEDIUM","HIGH"))</f>
        <v>LOW</v>
      </c>
      <c r="AC1641" t="str">
        <f>TEXT(ReconciliationData[[#This Row],[Order_Date]],"YYYY-MM")</f>
        <v>2023-05</v>
      </c>
    </row>
    <row r="1642" spans="1:29">
      <c r="A1642" t="s">
        <v>4421</v>
      </c>
      <c r="B1642" s="1">
        <v>45654</v>
      </c>
      <c r="C1642" t="s">
        <v>2611</v>
      </c>
      <c r="D1642" t="s">
        <v>1487</v>
      </c>
      <c r="E1642">
        <v>87</v>
      </c>
      <c r="F1642" t="s">
        <v>4422</v>
      </c>
      <c r="G1642">
        <v>87</v>
      </c>
      <c r="H1642">
        <v>273.24680000000001</v>
      </c>
      <c r="N1642">
        <v>273.24680000000001</v>
      </c>
      <c r="O1642" s="1">
        <v>45103</v>
      </c>
      <c r="P1642">
        <f>IF(ISBLANK(ReconciliationData[[#This Row],[Invoice_ID]]),1,0)</f>
        <v>0</v>
      </c>
      <c r="Q1642">
        <f>IF(AND(NOT(ISBLANK(ReconciliationData[[#This Row],[Billed_Units]])),ReconciliationData[[#This Row],[ordered_units]]&lt;&gt;ReconciliationData[[#This Row],[Billed_Units]]),1,0)</f>
        <v>0</v>
      </c>
      <c r="R16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2">
        <f>IF(AND(NOT(ISBLANK(ReconciliationData[[#This Row],[Contract_Price]])),ReconciliationData[[#This Row],[Billed_Price]]&lt;&gt;ReconciliationData[[#This Row],[Contract_Price]]),1,0)</f>
        <v>0</v>
      </c>
      <c r="T1642">
        <f>IF(AND(NOT(ISBLANK(ReconciliationData[[#This Row],[End_Date]])),ReconciliationData[[#This Row],[Order_Date]]&gt;ReconciliationData[[#This Row],[End_Date]]),1,0)</f>
        <v>0</v>
      </c>
      <c r="U1642">
        <f>IF(AND(NOT(ISBLANK(ReconciliationData[[#This Row],[last_return_date]])),ReconciliationData[[#This Row],[last_return_date]]&gt;ReconciliationData[[#This Row],[Order_Date]]+60),1,0)</f>
        <v>0</v>
      </c>
      <c r="V1642">
        <f>IF(ReconciliationData[[#This Row],[total_returned_units]]&gt;ReconciliationData[[#This Row],[ordered_units]],1,0)</f>
        <v>0</v>
      </c>
      <c r="W16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2">
        <f>ReconciliationData[[#This Row],[Billed_Units]]*ReconciliationData[[#This Row],[Billed_Price]]</f>
        <v>23772.471600000001</v>
      </c>
      <c r="Y1642">
        <f>ReconciliationData[[#This Row],[ordered_units]]*ReconciliationData[[#This Row],[List_Price]]</f>
        <v>23772.471600000001</v>
      </c>
      <c r="Z1642">
        <f>ReconciliationData[[#This Row],[billed_revenue]]-ReconciliationData[[#This Row],[expected_revenue]]</f>
        <v>0</v>
      </c>
      <c r="AA16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2" t="str">
        <f>IF(ReconciliationData[[#This Row],[severity_score]]=0,"LOW",
 IF(ReconciliationData[[#This Row],[severity_score]]&lt;=5,"MEDIUM","HIGH"))</f>
        <v>LOW</v>
      </c>
      <c r="AC1642" t="str">
        <f>TEXT(ReconciliationData[[#This Row],[Order_Date]],"YYYY-MM")</f>
        <v>2024-12</v>
      </c>
    </row>
    <row r="1643" spans="1:29">
      <c r="A1643" t="s">
        <v>4423</v>
      </c>
      <c r="B1643" s="1">
        <v>45333</v>
      </c>
      <c r="C1643" t="s">
        <v>4015</v>
      </c>
      <c r="D1643" t="s">
        <v>2064</v>
      </c>
      <c r="E1643">
        <v>97</v>
      </c>
      <c r="F1643" t="s">
        <v>4424</v>
      </c>
      <c r="G1643">
        <v>97</v>
      </c>
      <c r="H1643">
        <v>251.7122</v>
      </c>
      <c r="N1643">
        <v>251.7122</v>
      </c>
      <c r="O1643" s="1">
        <v>45088</v>
      </c>
      <c r="P1643">
        <f>IF(ISBLANK(ReconciliationData[[#This Row],[Invoice_ID]]),1,0)</f>
        <v>0</v>
      </c>
      <c r="Q1643">
        <f>IF(AND(NOT(ISBLANK(ReconciliationData[[#This Row],[Billed_Units]])),ReconciliationData[[#This Row],[ordered_units]]&lt;&gt;ReconciliationData[[#This Row],[Billed_Units]]),1,0)</f>
        <v>0</v>
      </c>
      <c r="R16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3">
        <f>IF(AND(NOT(ISBLANK(ReconciliationData[[#This Row],[Contract_Price]])),ReconciliationData[[#This Row],[Billed_Price]]&lt;&gt;ReconciliationData[[#This Row],[Contract_Price]]),1,0)</f>
        <v>0</v>
      </c>
      <c r="T1643">
        <f>IF(AND(NOT(ISBLANK(ReconciliationData[[#This Row],[End_Date]])),ReconciliationData[[#This Row],[Order_Date]]&gt;ReconciliationData[[#This Row],[End_Date]]),1,0)</f>
        <v>0</v>
      </c>
      <c r="U1643">
        <f>IF(AND(NOT(ISBLANK(ReconciliationData[[#This Row],[last_return_date]])),ReconciliationData[[#This Row],[last_return_date]]&gt;ReconciliationData[[#This Row],[Order_Date]]+60),1,0)</f>
        <v>0</v>
      </c>
      <c r="V1643">
        <f>IF(ReconciliationData[[#This Row],[total_returned_units]]&gt;ReconciliationData[[#This Row],[ordered_units]],1,0)</f>
        <v>0</v>
      </c>
      <c r="W16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3">
        <f>ReconciliationData[[#This Row],[Billed_Units]]*ReconciliationData[[#This Row],[Billed_Price]]</f>
        <v>24416.0834</v>
      </c>
      <c r="Y1643">
        <f>ReconciliationData[[#This Row],[ordered_units]]*ReconciliationData[[#This Row],[List_Price]]</f>
        <v>24416.0834</v>
      </c>
      <c r="Z1643">
        <f>ReconciliationData[[#This Row],[billed_revenue]]-ReconciliationData[[#This Row],[expected_revenue]]</f>
        <v>0</v>
      </c>
      <c r="AA16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3" t="str">
        <f>IF(ReconciliationData[[#This Row],[severity_score]]=0,"LOW",
 IF(ReconciliationData[[#This Row],[severity_score]]&lt;=5,"MEDIUM","HIGH"))</f>
        <v>LOW</v>
      </c>
      <c r="AC1643" t="str">
        <f>TEXT(ReconciliationData[[#This Row],[Order_Date]],"YYYY-MM")</f>
        <v>2024-02</v>
      </c>
    </row>
    <row r="1644" spans="1:29">
      <c r="A1644" t="s">
        <v>4425</v>
      </c>
      <c r="B1644" s="1">
        <v>45261</v>
      </c>
      <c r="C1644" t="s">
        <v>1256</v>
      </c>
      <c r="D1644" t="s">
        <v>2605</v>
      </c>
      <c r="E1644">
        <v>128</v>
      </c>
      <c r="F1644" t="s">
        <v>4426</v>
      </c>
      <c r="G1644">
        <v>128</v>
      </c>
      <c r="H1644">
        <v>696.93029999999999</v>
      </c>
      <c r="N1644">
        <v>696.93029999999999</v>
      </c>
      <c r="O1644" s="1">
        <v>45150</v>
      </c>
      <c r="P1644">
        <f>IF(ISBLANK(ReconciliationData[[#This Row],[Invoice_ID]]),1,0)</f>
        <v>0</v>
      </c>
      <c r="Q1644">
        <f>IF(AND(NOT(ISBLANK(ReconciliationData[[#This Row],[Billed_Units]])),ReconciliationData[[#This Row],[ordered_units]]&lt;&gt;ReconciliationData[[#This Row],[Billed_Units]]),1,0)</f>
        <v>0</v>
      </c>
      <c r="R16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4">
        <f>IF(AND(NOT(ISBLANK(ReconciliationData[[#This Row],[Contract_Price]])),ReconciliationData[[#This Row],[Billed_Price]]&lt;&gt;ReconciliationData[[#This Row],[Contract_Price]]),1,0)</f>
        <v>0</v>
      </c>
      <c r="T1644">
        <f>IF(AND(NOT(ISBLANK(ReconciliationData[[#This Row],[End_Date]])),ReconciliationData[[#This Row],[Order_Date]]&gt;ReconciliationData[[#This Row],[End_Date]]),1,0)</f>
        <v>0</v>
      </c>
      <c r="U1644">
        <f>IF(AND(NOT(ISBLANK(ReconciliationData[[#This Row],[last_return_date]])),ReconciliationData[[#This Row],[last_return_date]]&gt;ReconciliationData[[#This Row],[Order_Date]]+60),1,0)</f>
        <v>0</v>
      </c>
      <c r="V1644">
        <f>IF(ReconciliationData[[#This Row],[total_returned_units]]&gt;ReconciliationData[[#This Row],[ordered_units]],1,0)</f>
        <v>0</v>
      </c>
      <c r="W16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4">
        <f>ReconciliationData[[#This Row],[Billed_Units]]*ReconciliationData[[#This Row],[Billed_Price]]</f>
        <v>89207.078399999999</v>
      </c>
      <c r="Y1644">
        <f>ReconciliationData[[#This Row],[ordered_units]]*ReconciliationData[[#This Row],[List_Price]]</f>
        <v>89207.078399999999</v>
      </c>
      <c r="Z1644">
        <f>ReconciliationData[[#This Row],[billed_revenue]]-ReconciliationData[[#This Row],[expected_revenue]]</f>
        <v>0</v>
      </c>
      <c r="AA16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4" t="str">
        <f>IF(ReconciliationData[[#This Row],[severity_score]]=0,"LOW",
 IF(ReconciliationData[[#This Row],[severity_score]]&lt;=5,"MEDIUM","HIGH"))</f>
        <v>LOW</v>
      </c>
      <c r="AC1644" t="str">
        <f>TEXT(ReconciliationData[[#This Row],[Order_Date]],"YYYY-MM")</f>
        <v>2023-12</v>
      </c>
    </row>
    <row r="1645" spans="1:29">
      <c r="A1645" t="s">
        <v>4427</v>
      </c>
      <c r="B1645" s="1">
        <v>45398</v>
      </c>
      <c r="C1645" t="s">
        <v>2451</v>
      </c>
      <c r="D1645" t="s">
        <v>2101</v>
      </c>
      <c r="E1645">
        <v>134</v>
      </c>
      <c r="F1645" t="s">
        <v>4428</v>
      </c>
      <c r="G1645">
        <v>134</v>
      </c>
      <c r="H1645">
        <v>230.7345</v>
      </c>
      <c r="N1645">
        <v>230.7345</v>
      </c>
      <c r="O1645" s="1">
        <v>45142</v>
      </c>
      <c r="P1645">
        <f>IF(ISBLANK(ReconciliationData[[#This Row],[Invoice_ID]]),1,0)</f>
        <v>0</v>
      </c>
      <c r="Q1645">
        <f>IF(AND(NOT(ISBLANK(ReconciliationData[[#This Row],[Billed_Units]])),ReconciliationData[[#This Row],[ordered_units]]&lt;&gt;ReconciliationData[[#This Row],[Billed_Units]]),1,0)</f>
        <v>0</v>
      </c>
      <c r="R16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5">
        <f>IF(AND(NOT(ISBLANK(ReconciliationData[[#This Row],[Contract_Price]])),ReconciliationData[[#This Row],[Billed_Price]]&lt;&gt;ReconciliationData[[#This Row],[Contract_Price]]),1,0)</f>
        <v>0</v>
      </c>
      <c r="T1645">
        <f>IF(AND(NOT(ISBLANK(ReconciliationData[[#This Row],[End_Date]])),ReconciliationData[[#This Row],[Order_Date]]&gt;ReconciliationData[[#This Row],[End_Date]]),1,0)</f>
        <v>0</v>
      </c>
      <c r="U1645">
        <f>IF(AND(NOT(ISBLANK(ReconciliationData[[#This Row],[last_return_date]])),ReconciliationData[[#This Row],[last_return_date]]&gt;ReconciliationData[[#This Row],[Order_Date]]+60),1,0)</f>
        <v>0</v>
      </c>
      <c r="V1645">
        <f>IF(ReconciliationData[[#This Row],[total_returned_units]]&gt;ReconciliationData[[#This Row],[ordered_units]],1,0)</f>
        <v>0</v>
      </c>
      <c r="W16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5">
        <f>ReconciliationData[[#This Row],[Billed_Units]]*ReconciliationData[[#This Row],[Billed_Price]]</f>
        <v>30918.422999999999</v>
      </c>
      <c r="Y1645">
        <f>ReconciliationData[[#This Row],[ordered_units]]*ReconciliationData[[#This Row],[List_Price]]</f>
        <v>30918.422999999999</v>
      </c>
      <c r="Z1645">
        <f>ReconciliationData[[#This Row],[billed_revenue]]-ReconciliationData[[#This Row],[expected_revenue]]</f>
        <v>0</v>
      </c>
      <c r="AA16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5" t="str">
        <f>IF(ReconciliationData[[#This Row],[severity_score]]=0,"LOW",
 IF(ReconciliationData[[#This Row],[severity_score]]&lt;=5,"MEDIUM","HIGH"))</f>
        <v>LOW</v>
      </c>
      <c r="AC1645" t="str">
        <f>TEXT(ReconciliationData[[#This Row],[Order_Date]],"YYYY-MM")</f>
        <v>2024-04</v>
      </c>
    </row>
    <row r="1646" spans="1:29">
      <c r="A1646" t="s">
        <v>4429</v>
      </c>
      <c r="B1646" s="1">
        <v>45133</v>
      </c>
      <c r="C1646" t="s">
        <v>1158</v>
      </c>
      <c r="D1646" t="s">
        <v>275</v>
      </c>
      <c r="E1646">
        <v>115</v>
      </c>
      <c r="F1646" t="s">
        <v>4430</v>
      </c>
      <c r="G1646">
        <v>115</v>
      </c>
      <c r="H1646">
        <v>397.19560000000001</v>
      </c>
      <c r="N1646">
        <v>397.19560000000001</v>
      </c>
      <c r="O1646" s="1">
        <v>44932</v>
      </c>
      <c r="P1646">
        <f>IF(ISBLANK(ReconciliationData[[#This Row],[Invoice_ID]]),1,0)</f>
        <v>0</v>
      </c>
      <c r="Q1646">
        <f>IF(AND(NOT(ISBLANK(ReconciliationData[[#This Row],[Billed_Units]])),ReconciliationData[[#This Row],[ordered_units]]&lt;&gt;ReconciliationData[[#This Row],[Billed_Units]]),1,0)</f>
        <v>0</v>
      </c>
      <c r="R16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6">
        <f>IF(AND(NOT(ISBLANK(ReconciliationData[[#This Row],[Contract_Price]])),ReconciliationData[[#This Row],[Billed_Price]]&lt;&gt;ReconciliationData[[#This Row],[Contract_Price]]),1,0)</f>
        <v>0</v>
      </c>
      <c r="T1646">
        <f>IF(AND(NOT(ISBLANK(ReconciliationData[[#This Row],[End_Date]])),ReconciliationData[[#This Row],[Order_Date]]&gt;ReconciliationData[[#This Row],[End_Date]]),1,0)</f>
        <v>0</v>
      </c>
      <c r="U1646">
        <f>IF(AND(NOT(ISBLANK(ReconciliationData[[#This Row],[last_return_date]])),ReconciliationData[[#This Row],[last_return_date]]&gt;ReconciliationData[[#This Row],[Order_Date]]+60),1,0)</f>
        <v>0</v>
      </c>
      <c r="V1646">
        <f>IF(ReconciliationData[[#This Row],[total_returned_units]]&gt;ReconciliationData[[#This Row],[ordered_units]],1,0)</f>
        <v>0</v>
      </c>
      <c r="W16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6">
        <f>ReconciliationData[[#This Row],[Billed_Units]]*ReconciliationData[[#This Row],[Billed_Price]]</f>
        <v>45677.493999999999</v>
      </c>
      <c r="Y1646">
        <f>ReconciliationData[[#This Row],[ordered_units]]*ReconciliationData[[#This Row],[List_Price]]</f>
        <v>45677.493999999999</v>
      </c>
      <c r="Z1646">
        <f>ReconciliationData[[#This Row],[billed_revenue]]-ReconciliationData[[#This Row],[expected_revenue]]</f>
        <v>0</v>
      </c>
      <c r="AA16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6" t="str">
        <f>IF(ReconciliationData[[#This Row],[severity_score]]=0,"LOW",
 IF(ReconciliationData[[#This Row],[severity_score]]&lt;=5,"MEDIUM","HIGH"))</f>
        <v>LOW</v>
      </c>
      <c r="AC1646" t="str">
        <f>TEXT(ReconciliationData[[#This Row],[Order_Date]],"YYYY-MM")</f>
        <v>2023-07</v>
      </c>
    </row>
    <row r="1647" spans="1:29">
      <c r="A1647" t="s">
        <v>4431</v>
      </c>
      <c r="B1647" s="1">
        <v>45462</v>
      </c>
      <c r="C1647" t="s">
        <v>1241</v>
      </c>
      <c r="D1647" t="s">
        <v>694</v>
      </c>
      <c r="E1647">
        <v>181</v>
      </c>
      <c r="F1647" t="s">
        <v>4432</v>
      </c>
      <c r="G1647">
        <v>181</v>
      </c>
      <c r="H1647">
        <v>618.375</v>
      </c>
      <c r="N1647">
        <v>618.375</v>
      </c>
      <c r="O1647" s="1">
        <v>45124</v>
      </c>
      <c r="P1647">
        <f>IF(ISBLANK(ReconciliationData[[#This Row],[Invoice_ID]]),1,0)</f>
        <v>0</v>
      </c>
      <c r="Q1647">
        <f>IF(AND(NOT(ISBLANK(ReconciliationData[[#This Row],[Billed_Units]])),ReconciliationData[[#This Row],[ordered_units]]&lt;&gt;ReconciliationData[[#This Row],[Billed_Units]]),1,0)</f>
        <v>0</v>
      </c>
      <c r="R16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7">
        <f>IF(AND(NOT(ISBLANK(ReconciliationData[[#This Row],[Contract_Price]])),ReconciliationData[[#This Row],[Billed_Price]]&lt;&gt;ReconciliationData[[#This Row],[Contract_Price]]),1,0)</f>
        <v>0</v>
      </c>
      <c r="T1647">
        <f>IF(AND(NOT(ISBLANK(ReconciliationData[[#This Row],[End_Date]])),ReconciliationData[[#This Row],[Order_Date]]&gt;ReconciliationData[[#This Row],[End_Date]]),1,0)</f>
        <v>0</v>
      </c>
      <c r="U1647">
        <f>IF(AND(NOT(ISBLANK(ReconciliationData[[#This Row],[last_return_date]])),ReconciliationData[[#This Row],[last_return_date]]&gt;ReconciliationData[[#This Row],[Order_Date]]+60),1,0)</f>
        <v>0</v>
      </c>
      <c r="V1647">
        <f>IF(ReconciliationData[[#This Row],[total_returned_units]]&gt;ReconciliationData[[#This Row],[ordered_units]],1,0)</f>
        <v>0</v>
      </c>
      <c r="W16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7">
        <f>ReconciliationData[[#This Row],[Billed_Units]]*ReconciliationData[[#This Row],[Billed_Price]]</f>
        <v>111925.875</v>
      </c>
      <c r="Y1647">
        <f>ReconciliationData[[#This Row],[ordered_units]]*ReconciliationData[[#This Row],[List_Price]]</f>
        <v>111925.875</v>
      </c>
      <c r="Z1647">
        <f>ReconciliationData[[#This Row],[billed_revenue]]-ReconciliationData[[#This Row],[expected_revenue]]</f>
        <v>0</v>
      </c>
      <c r="AA16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7" t="str">
        <f>IF(ReconciliationData[[#This Row],[severity_score]]=0,"LOW",
 IF(ReconciliationData[[#This Row],[severity_score]]&lt;=5,"MEDIUM","HIGH"))</f>
        <v>LOW</v>
      </c>
      <c r="AC1647" t="str">
        <f>TEXT(ReconciliationData[[#This Row],[Order_Date]],"YYYY-MM")</f>
        <v>2024-06</v>
      </c>
    </row>
    <row r="1648" spans="1:29">
      <c r="A1648" t="s">
        <v>4433</v>
      </c>
      <c r="B1648" s="1">
        <v>45300</v>
      </c>
      <c r="C1648" t="s">
        <v>1152</v>
      </c>
      <c r="D1648" t="s">
        <v>287</v>
      </c>
      <c r="E1648">
        <v>10</v>
      </c>
      <c r="F1648" t="s">
        <v>4434</v>
      </c>
      <c r="G1648">
        <v>10</v>
      </c>
      <c r="H1648">
        <v>637.18399999999997</v>
      </c>
      <c r="N1648">
        <v>637.18399999999997</v>
      </c>
      <c r="O1648" s="1">
        <v>45175</v>
      </c>
      <c r="P1648">
        <f>IF(ISBLANK(ReconciliationData[[#This Row],[Invoice_ID]]),1,0)</f>
        <v>0</v>
      </c>
      <c r="Q1648">
        <f>IF(AND(NOT(ISBLANK(ReconciliationData[[#This Row],[Billed_Units]])),ReconciliationData[[#This Row],[ordered_units]]&lt;&gt;ReconciliationData[[#This Row],[Billed_Units]]),1,0)</f>
        <v>0</v>
      </c>
      <c r="R16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8">
        <f>IF(AND(NOT(ISBLANK(ReconciliationData[[#This Row],[Contract_Price]])),ReconciliationData[[#This Row],[Billed_Price]]&lt;&gt;ReconciliationData[[#This Row],[Contract_Price]]),1,0)</f>
        <v>0</v>
      </c>
      <c r="T1648">
        <f>IF(AND(NOT(ISBLANK(ReconciliationData[[#This Row],[End_Date]])),ReconciliationData[[#This Row],[Order_Date]]&gt;ReconciliationData[[#This Row],[End_Date]]),1,0)</f>
        <v>0</v>
      </c>
      <c r="U1648">
        <f>IF(AND(NOT(ISBLANK(ReconciliationData[[#This Row],[last_return_date]])),ReconciliationData[[#This Row],[last_return_date]]&gt;ReconciliationData[[#This Row],[Order_Date]]+60),1,0)</f>
        <v>0</v>
      </c>
      <c r="V1648">
        <f>IF(ReconciliationData[[#This Row],[total_returned_units]]&gt;ReconciliationData[[#This Row],[ordered_units]],1,0)</f>
        <v>0</v>
      </c>
      <c r="W16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8">
        <f>ReconciliationData[[#This Row],[Billed_Units]]*ReconciliationData[[#This Row],[Billed_Price]]</f>
        <v>6371.84</v>
      </c>
      <c r="Y1648">
        <f>ReconciliationData[[#This Row],[ordered_units]]*ReconciliationData[[#This Row],[List_Price]]</f>
        <v>6371.84</v>
      </c>
      <c r="Z1648">
        <f>ReconciliationData[[#This Row],[billed_revenue]]-ReconciliationData[[#This Row],[expected_revenue]]</f>
        <v>0</v>
      </c>
      <c r="AA16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8" t="str">
        <f>IF(ReconciliationData[[#This Row],[severity_score]]=0,"LOW",
 IF(ReconciliationData[[#This Row],[severity_score]]&lt;=5,"MEDIUM","HIGH"))</f>
        <v>LOW</v>
      </c>
      <c r="AC1648" t="str">
        <f>TEXT(ReconciliationData[[#This Row],[Order_Date]],"YYYY-MM")</f>
        <v>2024-01</v>
      </c>
    </row>
    <row r="1649" spans="1:29">
      <c r="A1649" t="s">
        <v>4435</v>
      </c>
      <c r="B1649" s="1">
        <v>45251</v>
      </c>
      <c r="C1649" t="s">
        <v>4436</v>
      </c>
      <c r="D1649" t="s">
        <v>1094</v>
      </c>
      <c r="E1649">
        <v>144</v>
      </c>
      <c r="F1649" t="s">
        <v>4437</v>
      </c>
      <c r="G1649">
        <v>144</v>
      </c>
      <c r="H1649">
        <v>977.22280000000001</v>
      </c>
      <c r="N1649">
        <v>977.22280000000001</v>
      </c>
      <c r="O1649" s="1">
        <v>44984</v>
      </c>
      <c r="P1649">
        <f>IF(ISBLANK(ReconciliationData[[#This Row],[Invoice_ID]]),1,0)</f>
        <v>0</v>
      </c>
      <c r="Q1649">
        <f>IF(AND(NOT(ISBLANK(ReconciliationData[[#This Row],[Billed_Units]])),ReconciliationData[[#This Row],[ordered_units]]&lt;&gt;ReconciliationData[[#This Row],[Billed_Units]]),1,0)</f>
        <v>0</v>
      </c>
      <c r="R16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49">
        <f>IF(AND(NOT(ISBLANK(ReconciliationData[[#This Row],[Contract_Price]])),ReconciliationData[[#This Row],[Billed_Price]]&lt;&gt;ReconciliationData[[#This Row],[Contract_Price]]),1,0)</f>
        <v>0</v>
      </c>
      <c r="T1649">
        <f>IF(AND(NOT(ISBLANK(ReconciliationData[[#This Row],[End_Date]])),ReconciliationData[[#This Row],[Order_Date]]&gt;ReconciliationData[[#This Row],[End_Date]]),1,0)</f>
        <v>0</v>
      </c>
      <c r="U1649">
        <f>IF(AND(NOT(ISBLANK(ReconciliationData[[#This Row],[last_return_date]])),ReconciliationData[[#This Row],[last_return_date]]&gt;ReconciliationData[[#This Row],[Order_Date]]+60),1,0)</f>
        <v>0</v>
      </c>
      <c r="V1649">
        <f>IF(ReconciliationData[[#This Row],[total_returned_units]]&gt;ReconciliationData[[#This Row],[ordered_units]],1,0)</f>
        <v>0</v>
      </c>
      <c r="W16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49">
        <f>ReconciliationData[[#This Row],[Billed_Units]]*ReconciliationData[[#This Row],[Billed_Price]]</f>
        <v>140720.08319999999</v>
      </c>
      <c r="Y1649">
        <f>ReconciliationData[[#This Row],[ordered_units]]*ReconciliationData[[#This Row],[List_Price]]</f>
        <v>140720.08319999999</v>
      </c>
      <c r="Z1649">
        <f>ReconciliationData[[#This Row],[billed_revenue]]-ReconciliationData[[#This Row],[expected_revenue]]</f>
        <v>0</v>
      </c>
      <c r="AA16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49" t="str">
        <f>IF(ReconciliationData[[#This Row],[severity_score]]=0,"LOW",
 IF(ReconciliationData[[#This Row],[severity_score]]&lt;=5,"MEDIUM","HIGH"))</f>
        <v>LOW</v>
      </c>
      <c r="AC1649" t="str">
        <f>TEXT(ReconciliationData[[#This Row],[Order_Date]],"YYYY-MM")</f>
        <v>2023-11</v>
      </c>
    </row>
    <row r="1650" spans="1:29">
      <c r="A1650" t="s">
        <v>4438</v>
      </c>
      <c r="B1650" s="1">
        <v>45318</v>
      </c>
      <c r="C1650" t="s">
        <v>2768</v>
      </c>
      <c r="D1650" t="s">
        <v>1495</v>
      </c>
      <c r="E1650">
        <v>102</v>
      </c>
      <c r="F1650" t="s">
        <v>4439</v>
      </c>
      <c r="G1650">
        <v>102</v>
      </c>
      <c r="H1650">
        <v>377.08350000000002</v>
      </c>
      <c r="N1650">
        <v>377.08350000000002</v>
      </c>
      <c r="O1650" s="1">
        <v>45064</v>
      </c>
      <c r="P1650">
        <f>IF(ISBLANK(ReconciliationData[[#This Row],[Invoice_ID]]),1,0)</f>
        <v>0</v>
      </c>
      <c r="Q1650">
        <f>IF(AND(NOT(ISBLANK(ReconciliationData[[#This Row],[Billed_Units]])),ReconciliationData[[#This Row],[ordered_units]]&lt;&gt;ReconciliationData[[#This Row],[Billed_Units]]),1,0)</f>
        <v>0</v>
      </c>
      <c r="R16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0">
        <f>IF(AND(NOT(ISBLANK(ReconciliationData[[#This Row],[Contract_Price]])),ReconciliationData[[#This Row],[Billed_Price]]&lt;&gt;ReconciliationData[[#This Row],[Contract_Price]]),1,0)</f>
        <v>0</v>
      </c>
      <c r="T1650">
        <f>IF(AND(NOT(ISBLANK(ReconciliationData[[#This Row],[End_Date]])),ReconciliationData[[#This Row],[Order_Date]]&gt;ReconciliationData[[#This Row],[End_Date]]),1,0)</f>
        <v>0</v>
      </c>
      <c r="U1650">
        <f>IF(AND(NOT(ISBLANK(ReconciliationData[[#This Row],[last_return_date]])),ReconciliationData[[#This Row],[last_return_date]]&gt;ReconciliationData[[#This Row],[Order_Date]]+60),1,0)</f>
        <v>0</v>
      </c>
      <c r="V1650">
        <f>IF(ReconciliationData[[#This Row],[total_returned_units]]&gt;ReconciliationData[[#This Row],[ordered_units]],1,0)</f>
        <v>0</v>
      </c>
      <c r="W16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50">
        <f>ReconciliationData[[#This Row],[Billed_Units]]*ReconciliationData[[#This Row],[Billed_Price]]</f>
        <v>38462.517</v>
      </c>
      <c r="Y1650">
        <f>ReconciliationData[[#This Row],[ordered_units]]*ReconciliationData[[#This Row],[List_Price]]</f>
        <v>38462.517</v>
      </c>
      <c r="Z1650">
        <f>ReconciliationData[[#This Row],[billed_revenue]]-ReconciliationData[[#This Row],[expected_revenue]]</f>
        <v>0</v>
      </c>
      <c r="AA16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50" t="str">
        <f>IF(ReconciliationData[[#This Row],[severity_score]]=0,"LOW",
 IF(ReconciliationData[[#This Row],[severity_score]]&lt;=5,"MEDIUM","HIGH"))</f>
        <v>LOW</v>
      </c>
      <c r="AC1650" t="str">
        <f>TEXT(ReconciliationData[[#This Row],[Order_Date]],"YYYY-MM")</f>
        <v>2024-01</v>
      </c>
    </row>
    <row r="1651" spans="1:29">
      <c r="A1651" t="s">
        <v>4440</v>
      </c>
      <c r="B1651" s="1">
        <v>45374</v>
      </c>
      <c r="C1651" t="s">
        <v>2518</v>
      </c>
      <c r="D1651" t="s">
        <v>150</v>
      </c>
      <c r="E1651">
        <v>7</v>
      </c>
      <c r="F1651" t="s">
        <v>4441</v>
      </c>
      <c r="G1651">
        <v>7</v>
      </c>
      <c r="H1651">
        <v>353.52719999999999</v>
      </c>
      <c r="N1651">
        <v>353.52719999999999</v>
      </c>
      <c r="O1651" s="1">
        <v>45182</v>
      </c>
      <c r="P1651">
        <f>IF(ISBLANK(ReconciliationData[[#This Row],[Invoice_ID]]),1,0)</f>
        <v>0</v>
      </c>
      <c r="Q1651">
        <f>IF(AND(NOT(ISBLANK(ReconciliationData[[#This Row],[Billed_Units]])),ReconciliationData[[#This Row],[ordered_units]]&lt;&gt;ReconciliationData[[#This Row],[Billed_Units]]),1,0)</f>
        <v>0</v>
      </c>
      <c r="R16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1">
        <f>IF(AND(NOT(ISBLANK(ReconciliationData[[#This Row],[Contract_Price]])),ReconciliationData[[#This Row],[Billed_Price]]&lt;&gt;ReconciliationData[[#This Row],[Contract_Price]]),1,0)</f>
        <v>0</v>
      </c>
      <c r="T1651">
        <f>IF(AND(NOT(ISBLANK(ReconciliationData[[#This Row],[End_Date]])),ReconciliationData[[#This Row],[Order_Date]]&gt;ReconciliationData[[#This Row],[End_Date]]),1,0)</f>
        <v>0</v>
      </c>
      <c r="U1651">
        <f>IF(AND(NOT(ISBLANK(ReconciliationData[[#This Row],[last_return_date]])),ReconciliationData[[#This Row],[last_return_date]]&gt;ReconciliationData[[#This Row],[Order_Date]]+60),1,0)</f>
        <v>0</v>
      </c>
      <c r="V1651">
        <f>IF(ReconciliationData[[#This Row],[total_returned_units]]&gt;ReconciliationData[[#This Row],[ordered_units]],1,0)</f>
        <v>0</v>
      </c>
      <c r="W16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51">
        <f>ReconciliationData[[#This Row],[Billed_Units]]*ReconciliationData[[#This Row],[Billed_Price]]</f>
        <v>2474.6904</v>
      </c>
      <c r="Y1651">
        <f>ReconciliationData[[#This Row],[ordered_units]]*ReconciliationData[[#This Row],[List_Price]]</f>
        <v>2474.6904</v>
      </c>
      <c r="Z1651">
        <f>ReconciliationData[[#This Row],[billed_revenue]]-ReconciliationData[[#This Row],[expected_revenue]]</f>
        <v>0</v>
      </c>
      <c r="AA16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51" t="str">
        <f>IF(ReconciliationData[[#This Row],[severity_score]]=0,"LOW",
 IF(ReconciliationData[[#This Row],[severity_score]]&lt;=5,"MEDIUM","HIGH"))</f>
        <v>LOW</v>
      </c>
      <c r="AC1651" t="str">
        <f>TEXT(ReconciliationData[[#This Row],[Order_Date]],"YYYY-MM")</f>
        <v>2024-03</v>
      </c>
    </row>
    <row r="1652" spans="1:29">
      <c r="A1652" t="s">
        <v>4442</v>
      </c>
      <c r="B1652" s="1">
        <v>45653</v>
      </c>
      <c r="C1652" t="s">
        <v>1056</v>
      </c>
      <c r="D1652" t="s">
        <v>707</v>
      </c>
      <c r="E1652">
        <v>9</v>
      </c>
      <c r="F1652" t="s">
        <v>4443</v>
      </c>
      <c r="G1652">
        <v>9</v>
      </c>
      <c r="H1652">
        <v>381.97550000000001</v>
      </c>
      <c r="N1652">
        <v>381.97550000000001</v>
      </c>
      <c r="O1652" s="1">
        <v>45065</v>
      </c>
      <c r="P1652">
        <f>IF(ISBLANK(ReconciliationData[[#This Row],[Invoice_ID]]),1,0)</f>
        <v>0</v>
      </c>
      <c r="Q1652">
        <f>IF(AND(NOT(ISBLANK(ReconciliationData[[#This Row],[Billed_Units]])),ReconciliationData[[#This Row],[ordered_units]]&lt;&gt;ReconciliationData[[#This Row],[Billed_Units]]),1,0)</f>
        <v>0</v>
      </c>
      <c r="R16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2">
        <f>IF(AND(NOT(ISBLANK(ReconciliationData[[#This Row],[Contract_Price]])),ReconciliationData[[#This Row],[Billed_Price]]&lt;&gt;ReconciliationData[[#This Row],[Contract_Price]]),1,0)</f>
        <v>0</v>
      </c>
      <c r="T1652">
        <f>IF(AND(NOT(ISBLANK(ReconciliationData[[#This Row],[End_Date]])),ReconciliationData[[#This Row],[Order_Date]]&gt;ReconciliationData[[#This Row],[End_Date]]),1,0)</f>
        <v>0</v>
      </c>
      <c r="U1652">
        <f>IF(AND(NOT(ISBLANK(ReconciliationData[[#This Row],[last_return_date]])),ReconciliationData[[#This Row],[last_return_date]]&gt;ReconciliationData[[#This Row],[Order_Date]]+60),1,0)</f>
        <v>0</v>
      </c>
      <c r="V1652">
        <f>IF(ReconciliationData[[#This Row],[total_returned_units]]&gt;ReconciliationData[[#This Row],[ordered_units]],1,0)</f>
        <v>0</v>
      </c>
      <c r="W16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52">
        <f>ReconciliationData[[#This Row],[Billed_Units]]*ReconciliationData[[#This Row],[Billed_Price]]</f>
        <v>3437.7795000000001</v>
      </c>
      <c r="Y1652">
        <f>ReconciliationData[[#This Row],[ordered_units]]*ReconciliationData[[#This Row],[List_Price]]</f>
        <v>3437.7795000000001</v>
      </c>
      <c r="Z1652">
        <f>ReconciliationData[[#This Row],[billed_revenue]]-ReconciliationData[[#This Row],[expected_revenue]]</f>
        <v>0</v>
      </c>
      <c r="AA16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52" t="str">
        <f>IF(ReconciliationData[[#This Row],[severity_score]]=0,"LOW",
 IF(ReconciliationData[[#This Row],[severity_score]]&lt;=5,"MEDIUM","HIGH"))</f>
        <v>LOW</v>
      </c>
      <c r="AC1652" t="str">
        <f>TEXT(ReconciliationData[[#This Row],[Order_Date]],"YYYY-MM")</f>
        <v>2024-12</v>
      </c>
    </row>
    <row r="1653" spans="1:29">
      <c r="A1653" t="s">
        <v>4444</v>
      </c>
      <c r="B1653" s="1">
        <v>45158</v>
      </c>
      <c r="C1653" t="s">
        <v>2028</v>
      </c>
      <c r="D1653" t="s">
        <v>321</v>
      </c>
      <c r="E1653">
        <v>124</v>
      </c>
      <c r="F1653" t="s">
        <v>4445</v>
      </c>
      <c r="G1653">
        <v>124</v>
      </c>
      <c r="H1653">
        <v>169.22900000000001</v>
      </c>
      <c r="N1653">
        <v>169.22900000000001</v>
      </c>
      <c r="O1653" s="1">
        <v>45039</v>
      </c>
      <c r="P1653">
        <f>IF(ISBLANK(ReconciliationData[[#This Row],[Invoice_ID]]),1,0)</f>
        <v>0</v>
      </c>
      <c r="Q1653">
        <f>IF(AND(NOT(ISBLANK(ReconciliationData[[#This Row],[Billed_Units]])),ReconciliationData[[#This Row],[ordered_units]]&lt;&gt;ReconciliationData[[#This Row],[Billed_Units]]),1,0)</f>
        <v>0</v>
      </c>
      <c r="R16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3">
        <f>IF(AND(NOT(ISBLANK(ReconciliationData[[#This Row],[Contract_Price]])),ReconciliationData[[#This Row],[Billed_Price]]&lt;&gt;ReconciliationData[[#This Row],[Contract_Price]]),1,0)</f>
        <v>0</v>
      </c>
      <c r="T1653">
        <f>IF(AND(NOT(ISBLANK(ReconciliationData[[#This Row],[End_Date]])),ReconciliationData[[#This Row],[Order_Date]]&gt;ReconciliationData[[#This Row],[End_Date]]),1,0)</f>
        <v>0</v>
      </c>
      <c r="U1653">
        <f>IF(AND(NOT(ISBLANK(ReconciliationData[[#This Row],[last_return_date]])),ReconciliationData[[#This Row],[last_return_date]]&gt;ReconciliationData[[#This Row],[Order_Date]]+60),1,0)</f>
        <v>0</v>
      </c>
      <c r="V1653">
        <f>IF(ReconciliationData[[#This Row],[total_returned_units]]&gt;ReconciliationData[[#This Row],[ordered_units]],1,0)</f>
        <v>0</v>
      </c>
      <c r="W16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53">
        <f>ReconciliationData[[#This Row],[Billed_Units]]*ReconciliationData[[#This Row],[Billed_Price]]</f>
        <v>20984.396000000001</v>
      </c>
      <c r="Y1653">
        <f>ReconciliationData[[#This Row],[ordered_units]]*ReconciliationData[[#This Row],[List_Price]]</f>
        <v>20984.396000000001</v>
      </c>
      <c r="Z1653">
        <f>ReconciliationData[[#This Row],[billed_revenue]]-ReconciliationData[[#This Row],[expected_revenue]]</f>
        <v>0</v>
      </c>
      <c r="AA16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53" t="str">
        <f>IF(ReconciliationData[[#This Row],[severity_score]]=0,"LOW",
 IF(ReconciliationData[[#This Row],[severity_score]]&lt;=5,"MEDIUM","HIGH"))</f>
        <v>LOW</v>
      </c>
      <c r="AC1653" t="str">
        <f>TEXT(ReconciliationData[[#This Row],[Order_Date]],"YYYY-MM")</f>
        <v>2023-08</v>
      </c>
    </row>
    <row r="1654" spans="1:29">
      <c r="A1654" t="s">
        <v>4446</v>
      </c>
      <c r="B1654" s="1">
        <v>44939</v>
      </c>
      <c r="C1654" t="s">
        <v>3700</v>
      </c>
      <c r="D1654" t="s">
        <v>821</v>
      </c>
      <c r="E1654">
        <v>139</v>
      </c>
      <c r="F1654" t="s">
        <v>4447</v>
      </c>
      <c r="G1654">
        <v>139</v>
      </c>
      <c r="H1654">
        <v>778.26</v>
      </c>
      <c r="I1654">
        <v>10</v>
      </c>
      <c r="J1654" s="1">
        <v>45531</v>
      </c>
      <c r="N1654">
        <v>778.26</v>
      </c>
      <c r="O1654" s="1">
        <v>44772</v>
      </c>
      <c r="P1654">
        <f>IF(ISBLANK(ReconciliationData[[#This Row],[Invoice_ID]]),1,0)</f>
        <v>0</v>
      </c>
      <c r="Q1654">
        <f>IF(AND(NOT(ISBLANK(ReconciliationData[[#This Row],[Billed_Units]])),ReconciliationData[[#This Row],[ordered_units]]&lt;&gt;ReconciliationData[[#This Row],[Billed_Units]]),1,0)</f>
        <v>0</v>
      </c>
      <c r="R16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4">
        <f>IF(AND(NOT(ISBLANK(ReconciliationData[[#This Row],[Contract_Price]])),ReconciliationData[[#This Row],[Billed_Price]]&lt;&gt;ReconciliationData[[#This Row],[Contract_Price]]),1,0)</f>
        <v>0</v>
      </c>
      <c r="T1654">
        <f>IF(AND(NOT(ISBLANK(ReconciliationData[[#This Row],[End_Date]])),ReconciliationData[[#This Row],[Order_Date]]&gt;ReconciliationData[[#This Row],[End_Date]]),1,0)</f>
        <v>0</v>
      </c>
      <c r="U1654">
        <f>IF(AND(NOT(ISBLANK(ReconciliationData[[#This Row],[last_return_date]])),ReconciliationData[[#This Row],[last_return_date]]&gt;ReconciliationData[[#This Row],[Order_Date]]+60),1,0)</f>
        <v>1</v>
      </c>
      <c r="V1654">
        <f>IF(ReconciliationData[[#This Row],[total_returned_units]]&gt;ReconciliationData[[#This Row],[ordered_units]],1,0)</f>
        <v>0</v>
      </c>
      <c r="W16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54">
        <f>ReconciliationData[[#This Row],[Billed_Units]]*ReconciliationData[[#This Row],[Billed_Price]]</f>
        <v>108178.14</v>
      </c>
      <c r="Y1654">
        <f>ReconciliationData[[#This Row],[ordered_units]]*ReconciliationData[[#This Row],[List_Price]]</f>
        <v>108178.14</v>
      </c>
      <c r="Z1654">
        <f>ReconciliationData[[#This Row],[billed_revenue]]-ReconciliationData[[#This Row],[expected_revenue]]</f>
        <v>0</v>
      </c>
      <c r="AA16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654" t="str">
        <f>IF(ReconciliationData[[#This Row],[severity_score]]=0,"LOW",
 IF(ReconciliationData[[#This Row],[severity_score]]&lt;=5,"MEDIUM","HIGH"))</f>
        <v>MEDIUM</v>
      </c>
      <c r="AC1654" t="str">
        <f>TEXT(ReconciliationData[[#This Row],[Order_Date]],"YYYY-MM")</f>
        <v>2023-01</v>
      </c>
    </row>
    <row r="1655" spans="1:29">
      <c r="A1655" t="s">
        <v>4448</v>
      </c>
      <c r="B1655" s="1">
        <v>45239</v>
      </c>
      <c r="C1655" t="s">
        <v>1975</v>
      </c>
      <c r="D1655" t="s">
        <v>1396</v>
      </c>
      <c r="E1655">
        <v>136</v>
      </c>
      <c r="F1655" t="s">
        <v>4449</v>
      </c>
      <c r="G1655">
        <v>136</v>
      </c>
      <c r="H1655">
        <v>880.66300000000001</v>
      </c>
      <c r="N1655">
        <v>880.66300000000001</v>
      </c>
      <c r="O1655" s="1">
        <v>44966</v>
      </c>
      <c r="P1655">
        <f>IF(ISBLANK(ReconciliationData[[#This Row],[Invoice_ID]]),1,0)</f>
        <v>0</v>
      </c>
      <c r="Q1655">
        <f>IF(AND(NOT(ISBLANK(ReconciliationData[[#This Row],[Billed_Units]])),ReconciliationData[[#This Row],[ordered_units]]&lt;&gt;ReconciliationData[[#This Row],[Billed_Units]]),1,0)</f>
        <v>0</v>
      </c>
      <c r="R16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5">
        <f>IF(AND(NOT(ISBLANK(ReconciliationData[[#This Row],[Contract_Price]])),ReconciliationData[[#This Row],[Billed_Price]]&lt;&gt;ReconciliationData[[#This Row],[Contract_Price]]),1,0)</f>
        <v>0</v>
      </c>
      <c r="T1655">
        <f>IF(AND(NOT(ISBLANK(ReconciliationData[[#This Row],[End_Date]])),ReconciliationData[[#This Row],[Order_Date]]&gt;ReconciliationData[[#This Row],[End_Date]]),1,0)</f>
        <v>0</v>
      </c>
      <c r="U1655">
        <f>IF(AND(NOT(ISBLANK(ReconciliationData[[#This Row],[last_return_date]])),ReconciliationData[[#This Row],[last_return_date]]&gt;ReconciliationData[[#This Row],[Order_Date]]+60),1,0)</f>
        <v>0</v>
      </c>
      <c r="V1655">
        <f>IF(ReconciliationData[[#This Row],[total_returned_units]]&gt;ReconciliationData[[#This Row],[ordered_units]],1,0)</f>
        <v>0</v>
      </c>
      <c r="W16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55">
        <f>ReconciliationData[[#This Row],[Billed_Units]]*ReconciliationData[[#This Row],[Billed_Price]]</f>
        <v>119770.16800000001</v>
      </c>
      <c r="Y1655">
        <f>ReconciliationData[[#This Row],[ordered_units]]*ReconciliationData[[#This Row],[List_Price]]</f>
        <v>119770.16800000001</v>
      </c>
      <c r="Z1655">
        <f>ReconciliationData[[#This Row],[billed_revenue]]-ReconciliationData[[#This Row],[expected_revenue]]</f>
        <v>0</v>
      </c>
      <c r="AA16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55" t="str">
        <f>IF(ReconciliationData[[#This Row],[severity_score]]=0,"LOW",
 IF(ReconciliationData[[#This Row],[severity_score]]&lt;=5,"MEDIUM","HIGH"))</f>
        <v>LOW</v>
      </c>
      <c r="AC1655" t="str">
        <f>TEXT(ReconciliationData[[#This Row],[Order_Date]],"YYYY-MM")</f>
        <v>2023-11</v>
      </c>
    </row>
    <row r="1656" spans="1:29">
      <c r="A1656" t="s">
        <v>4450</v>
      </c>
      <c r="B1656" s="1">
        <v>45243</v>
      </c>
      <c r="C1656" t="s">
        <v>3081</v>
      </c>
      <c r="D1656" t="s">
        <v>1298</v>
      </c>
      <c r="E1656">
        <v>165</v>
      </c>
      <c r="F1656" t="s">
        <v>4451</v>
      </c>
      <c r="G1656">
        <v>165</v>
      </c>
      <c r="H1656">
        <v>1099.82</v>
      </c>
      <c r="N1656">
        <v>1099.82</v>
      </c>
      <c r="O1656" s="1">
        <v>44962</v>
      </c>
      <c r="P1656">
        <f>IF(ISBLANK(ReconciliationData[[#This Row],[Invoice_ID]]),1,0)</f>
        <v>0</v>
      </c>
      <c r="Q1656">
        <f>IF(AND(NOT(ISBLANK(ReconciliationData[[#This Row],[Billed_Units]])),ReconciliationData[[#This Row],[ordered_units]]&lt;&gt;ReconciliationData[[#This Row],[Billed_Units]]),1,0)</f>
        <v>0</v>
      </c>
      <c r="R16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6">
        <f>IF(AND(NOT(ISBLANK(ReconciliationData[[#This Row],[Contract_Price]])),ReconciliationData[[#This Row],[Billed_Price]]&lt;&gt;ReconciliationData[[#This Row],[Contract_Price]]),1,0)</f>
        <v>0</v>
      </c>
      <c r="T1656">
        <f>IF(AND(NOT(ISBLANK(ReconciliationData[[#This Row],[End_Date]])),ReconciliationData[[#This Row],[Order_Date]]&gt;ReconciliationData[[#This Row],[End_Date]]),1,0)</f>
        <v>0</v>
      </c>
      <c r="U1656">
        <f>IF(AND(NOT(ISBLANK(ReconciliationData[[#This Row],[last_return_date]])),ReconciliationData[[#This Row],[last_return_date]]&gt;ReconciliationData[[#This Row],[Order_Date]]+60),1,0)</f>
        <v>0</v>
      </c>
      <c r="V1656">
        <f>IF(ReconciliationData[[#This Row],[total_returned_units]]&gt;ReconciliationData[[#This Row],[ordered_units]],1,0)</f>
        <v>0</v>
      </c>
      <c r="W16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56">
        <f>ReconciliationData[[#This Row],[Billed_Units]]*ReconciliationData[[#This Row],[Billed_Price]]</f>
        <v>181470.3</v>
      </c>
      <c r="Y1656">
        <f>ReconciliationData[[#This Row],[ordered_units]]*ReconciliationData[[#This Row],[List_Price]]</f>
        <v>181470.3</v>
      </c>
      <c r="Z1656">
        <f>ReconciliationData[[#This Row],[billed_revenue]]-ReconciliationData[[#This Row],[expected_revenue]]</f>
        <v>0</v>
      </c>
      <c r="AA16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56" t="str">
        <f>IF(ReconciliationData[[#This Row],[severity_score]]=0,"LOW",
 IF(ReconciliationData[[#This Row],[severity_score]]&lt;=5,"MEDIUM","HIGH"))</f>
        <v>LOW</v>
      </c>
      <c r="AC1656" t="str">
        <f>TEXT(ReconciliationData[[#This Row],[Order_Date]],"YYYY-MM")</f>
        <v>2023-11</v>
      </c>
    </row>
    <row r="1657" spans="1:29">
      <c r="A1657" t="s">
        <v>4452</v>
      </c>
      <c r="B1657" s="1">
        <v>45569</v>
      </c>
      <c r="C1657" t="s">
        <v>4453</v>
      </c>
      <c r="D1657" t="s">
        <v>247</v>
      </c>
      <c r="E1657">
        <v>188</v>
      </c>
      <c r="F1657" t="s">
        <v>4454</v>
      </c>
      <c r="G1657">
        <v>188</v>
      </c>
      <c r="H1657">
        <v>715.86900000000003</v>
      </c>
      <c r="I1657">
        <v>7</v>
      </c>
      <c r="J1657" s="1">
        <v>45352</v>
      </c>
      <c r="N1657">
        <v>715.86900000000003</v>
      </c>
      <c r="O1657" s="1">
        <v>45140</v>
      </c>
      <c r="P1657">
        <f>IF(ISBLANK(ReconciliationData[[#This Row],[Invoice_ID]]),1,0)</f>
        <v>0</v>
      </c>
      <c r="Q1657">
        <f>IF(AND(NOT(ISBLANK(ReconciliationData[[#This Row],[Billed_Units]])),ReconciliationData[[#This Row],[ordered_units]]&lt;&gt;ReconciliationData[[#This Row],[Billed_Units]]),1,0)</f>
        <v>0</v>
      </c>
      <c r="R16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7">
        <f>IF(AND(NOT(ISBLANK(ReconciliationData[[#This Row],[Contract_Price]])),ReconciliationData[[#This Row],[Billed_Price]]&lt;&gt;ReconciliationData[[#This Row],[Contract_Price]]),1,0)</f>
        <v>0</v>
      </c>
      <c r="T1657">
        <f>IF(AND(NOT(ISBLANK(ReconciliationData[[#This Row],[End_Date]])),ReconciliationData[[#This Row],[Order_Date]]&gt;ReconciliationData[[#This Row],[End_Date]]),1,0)</f>
        <v>0</v>
      </c>
      <c r="U1657">
        <f>IF(AND(NOT(ISBLANK(ReconciliationData[[#This Row],[last_return_date]])),ReconciliationData[[#This Row],[last_return_date]]&gt;ReconciliationData[[#This Row],[Order_Date]]+60),1,0)</f>
        <v>0</v>
      </c>
      <c r="V1657">
        <f>IF(ReconciliationData[[#This Row],[total_returned_units]]&gt;ReconciliationData[[#This Row],[ordered_units]],1,0)</f>
        <v>0</v>
      </c>
      <c r="W16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57">
        <f>ReconciliationData[[#This Row],[Billed_Units]]*ReconciliationData[[#This Row],[Billed_Price]]</f>
        <v>134583.372</v>
      </c>
      <c r="Y1657">
        <f>ReconciliationData[[#This Row],[ordered_units]]*ReconciliationData[[#This Row],[List_Price]]</f>
        <v>134583.372</v>
      </c>
      <c r="Z1657">
        <f>ReconciliationData[[#This Row],[billed_revenue]]-ReconciliationData[[#This Row],[expected_revenue]]</f>
        <v>0</v>
      </c>
      <c r="AA16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57" t="str">
        <f>IF(ReconciliationData[[#This Row],[severity_score]]=0,"LOW",
 IF(ReconciliationData[[#This Row],[severity_score]]&lt;=5,"MEDIUM","HIGH"))</f>
        <v>LOW</v>
      </c>
      <c r="AC1657" t="str">
        <f>TEXT(ReconciliationData[[#This Row],[Order_Date]],"YYYY-MM")</f>
        <v>2024-10</v>
      </c>
    </row>
    <row r="1658" spans="1:29">
      <c r="A1658" t="s">
        <v>4455</v>
      </c>
      <c r="B1658" s="1">
        <v>44989</v>
      </c>
      <c r="C1658" t="s">
        <v>3838</v>
      </c>
      <c r="D1658" t="s">
        <v>867</v>
      </c>
      <c r="E1658">
        <v>64</v>
      </c>
      <c r="F1658" t="s">
        <v>4456</v>
      </c>
      <c r="G1658">
        <v>64</v>
      </c>
      <c r="H1658">
        <v>1146.7456000000002</v>
      </c>
      <c r="N1658">
        <v>1146.7456000000002</v>
      </c>
      <c r="O1658" s="1">
        <v>44884</v>
      </c>
      <c r="P1658">
        <f>IF(ISBLANK(ReconciliationData[[#This Row],[Invoice_ID]]),1,0)</f>
        <v>0</v>
      </c>
      <c r="Q1658">
        <f>IF(AND(NOT(ISBLANK(ReconciliationData[[#This Row],[Billed_Units]])),ReconciliationData[[#This Row],[ordered_units]]&lt;&gt;ReconciliationData[[#This Row],[Billed_Units]]),1,0)</f>
        <v>0</v>
      </c>
      <c r="R16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8">
        <f>IF(AND(NOT(ISBLANK(ReconciliationData[[#This Row],[Contract_Price]])),ReconciliationData[[#This Row],[Billed_Price]]&lt;&gt;ReconciliationData[[#This Row],[Contract_Price]]),1,0)</f>
        <v>0</v>
      </c>
      <c r="T1658">
        <f>IF(AND(NOT(ISBLANK(ReconciliationData[[#This Row],[End_Date]])),ReconciliationData[[#This Row],[Order_Date]]&gt;ReconciliationData[[#This Row],[End_Date]]),1,0)</f>
        <v>0</v>
      </c>
      <c r="U1658">
        <f>IF(AND(NOT(ISBLANK(ReconciliationData[[#This Row],[last_return_date]])),ReconciliationData[[#This Row],[last_return_date]]&gt;ReconciliationData[[#This Row],[Order_Date]]+60),1,0)</f>
        <v>0</v>
      </c>
      <c r="V1658">
        <f>IF(ReconciliationData[[#This Row],[total_returned_units]]&gt;ReconciliationData[[#This Row],[ordered_units]],1,0)</f>
        <v>0</v>
      </c>
      <c r="W16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58">
        <f>ReconciliationData[[#This Row],[Billed_Units]]*ReconciliationData[[#This Row],[Billed_Price]]</f>
        <v>73391.718400000012</v>
      </c>
      <c r="Y1658">
        <f>ReconciliationData[[#This Row],[ordered_units]]*ReconciliationData[[#This Row],[List_Price]]</f>
        <v>73391.718400000012</v>
      </c>
      <c r="Z1658">
        <f>ReconciliationData[[#This Row],[billed_revenue]]-ReconciliationData[[#This Row],[expected_revenue]]</f>
        <v>0</v>
      </c>
      <c r="AA16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58" t="str">
        <f>IF(ReconciliationData[[#This Row],[severity_score]]=0,"LOW",
 IF(ReconciliationData[[#This Row],[severity_score]]&lt;=5,"MEDIUM","HIGH"))</f>
        <v>LOW</v>
      </c>
      <c r="AC1658" t="str">
        <f>TEXT(ReconciliationData[[#This Row],[Order_Date]],"YYYY-MM")</f>
        <v>2023-03</v>
      </c>
    </row>
    <row r="1659" spans="1:29">
      <c r="A1659" t="s">
        <v>4457</v>
      </c>
      <c r="B1659" s="1">
        <v>45274</v>
      </c>
      <c r="C1659" t="s">
        <v>1330</v>
      </c>
      <c r="D1659" t="s">
        <v>243</v>
      </c>
      <c r="E1659">
        <v>173</v>
      </c>
      <c r="F1659" t="s">
        <v>4458</v>
      </c>
      <c r="G1659">
        <v>173</v>
      </c>
      <c r="H1659">
        <v>129.17519999999999</v>
      </c>
      <c r="N1659">
        <v>129.17519999999999</v>
      </c>
      <c r="O1659" s="1">
        <v>45184</v>
      </c>
      <c r="P1659">
        <f>IF(ISBLANK(ReconciliationData[[#This Row],[Invoice_ID]]),1,0)</f>
        <v>0</v>
      </c>
      <c r="Q1659">
        <f>IF(AND(NOT(ISBLANK(ReconciliationData[[#This Row],[Billed_Units]])),ReconciliationData[[#This Row],[ordered_units]]&lt;&gt;ReconciliationData[[#This Row],[Billed_Units]]),1,0)</f>
        <v>0</v>
      </c>
      <c r="R16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59">
        <f>IF(AND(NOT(ISBLANK(ReconciliationData[[#This Row],[Contract_Price]])),ReconciliationData[[#This Row],[Billed_Price]]&lt;&gt;ReconciliationData[[#This Row],[Contract_Price]]),1,0)</f>
        <v>0</v>
      </c>
      <c r="T1659">
        <f>IF(AND(NOT(ISBLANK(ReconciliationData[[#This Row],[End_Date]])),ReconciliationData[[#This Row],[Order_Date]]&gt;ReconciliationData[[#This Row],[End_Date]]),1,0)</f>
        <v>0</v>
      </c>
      <c r="U1659">
        <f>IF(AND(NOT(ISBLANK(ReconciliationData[[#This Row],[last_return_date]])),ReconciliationData[[#This Row],[last_return_date]]&gt;ReconciliationData[[#This Row],[Order_Date]]+60),1,0)</f>
        <v>0</v>
      </c>
      <c r="V1659">
        <f>IF(ReconciliationData[[#This Row],[total_returned_units]]&gt;ReconciliationData[[#This Row],[ordered_units]],1,0)</f>
        <v>0</v>
      </c>
      <c r="W16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59">
        <f>ReconciliationData[[#This Row],[Billed_Units]]*ReconciliationData[[#This Row],[Billed_Price]]</f>
        <v>22347.309599999997</v>
      </c>
      <c r="Y1659">
        <f>ReconciliationData[[#This Row],[ordered_units]]*ReconciliationData[[#This Row],[List_Price]]</f>
        <v>22347.309599999997</v>
      </c>
      <c r="Z1659">
        <f>ReconciliationData[[#This Row],[billed_revenue]]-ReconciliationData[[#This Row],[expected_revenue]]</f>
        <v>0</v>
      </c>
      <c r="AA16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59" t="str">
        <f>IF(ReconciliationData[[#This Row],[severity_score]]=0,"LOW",
 IF(ReconciliationData[[#This Row],[severity_score]]&lt;=5,"MEDIUM","HIGH"))</f>
        <v>LOW</v>
      </c>
      <c r="AC1659" t="str">
        <f>TEXT(ReconciliationData[[#This Row],[Order_Date]],"YYYY-MM")</f>
        <v>2023-12</v>
      </c>
    </row>
    <row r="1660" spans="1:29">
      <c r="A1660" t="s">
        <v>4459</v>
      </c>
      <c r="B1660" s="1">
        <v>45188</v>
      </c>
      <c r="C1660" t="s">
        <v>1705</v>
      </c>
      <c r="D1660" t="s">
        <v>1491</v>
      </c>
      <c r="E1660">
        <v>22</v>
      </c>
      <c r="F1660" t="s">
        <v>4460</v>
      </c>
      <c r="G1660">
        <v>22</v>
      </c>
      <c r="H1660">
        <v>919.86659999999995</v>
      </c>
      <c r="N1660">
        <v>919.86659999999995</v>
      </c>
      <c r="O1660" s="1">
        <v>45108</v>
      </c>
      <c r="P1660">
        <f>IF(ISBLANK(ReconciliationData[[#This Row],[Invoice_ID]]),1,0)</f>
        <v>0</v>
      </c>
      <c r="Q1660">
        <f>IF(AND(NOT(ISBLANK(ReconciliationData[[#This Row],[Billed_Units]])),ReconciliationData[[#This Row],[ordered_units]]&lt;&gt;ReconciliationData[[#This Row],[Billed_Units]]),1,0)</f>
        <v>0</v>
      </c>
      <c r="R16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60">
        <f>IF(AND(NOT(ISBLANK(ReconciliationData[[#This Row],[Contract_Price]])),ReconciliationData[[#This Row],[Billed_Price]]&lt;&gt;ReconciliationData[[#This Row],[Contract_Price]]),1,0)</f>
        <v>0</v>
      </c>
      <c r="T1660">
        <f>IF(AND(NOT(ISBLANK(ReconciliationData[[#This Row],[End_Date]])),ReconciliationData[[#This Row],[Order_Date]]&gt;ReconciliationData[[#This Row],[End_Date]]),1,0)</f>
        <v>0</v>
      </c>
      <c r="U1660">
        <f>IF(AND(NOT(ISBLANK(ReconciliationData[[#This Row],[last_return_date]])),ReconciliationData[[#This Row],[last_return_date]]&gt;ReconciliationData[[#This Row],[Order_Date]]+60),1,0)</f>
        <v>0</v>
      </c>
      <c r="V1660">
        <f>IF(ReconciliationData[[#This Row],[total_returned_units]]&gt;ReconciliationData[[#This Row],[ordered_units]],1,0)</f>
        <v>0</v>
      </c>
      <c r="W16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60">
        <f>ReconciliationData[[#This Row],[Billed_Units]]*ReconciliationData[[#This Row],[Billed_Price]]</f>
        <v>20237.065199999997</v>
      </c>
      <c r="Y1660">
        <f>ReconciliationData[[#This Row],[ordered_units]]*ReconciliationData[[#This Row],[List_Price]]</f>
        <v>20237.065199999997</v>
      </c>
      <c r="Z1660">
        <f>ReconciliationData[[#This Row],[billed_revenue]]-ReconciliationData[[#This Row],[expected_revenue]]</f>
        <v>0</v>
      </c>
      <c r="AA16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60" t="str">
        <f>IF(ReconciliationData[[#This Row],[severity_score]]=0,"LOW",
 IF(ReconciliationData[[#This Row],[severity_score]]&lt;=5,"MEDIUM","HIGH"))</f>
        <v>LOW</v>
      </c>
      <c r="AC1660" t="str">
        <f>TEXT(ReconciliationData[[#This Row],[Order_Date]],"YYYY-MM")</f>
        <v>2023-09</v>
      </c>
    </row>
    <row r="1661" spans="1:29">
      <c r="A1661" t="s">
        <v>4461</v>
      </c>
      <c r="B1661" s="1">
        <v>45196</v>
      </c>
      <c r="C1661" t="s">
        <v>3073</v>
      </c>
      <c r="D1661" t="s">
        <v>1654</v>
      </c>
      <c r="E1661">
        <v>43</v>
      </c>
      <c r="F1661" t="s">
        <v>4462</v>
      </c>
      <c r="G1661">
        <v>43</v>
      </c>
      <c r="H1661">
        <v>1197.9306999999999</v>
      </c>
      <c r="N1661">
        <v>1197.9306999999999</v>
      </c>
      <c r="O1661" s="1">
        <v>45089</v>
      </c>
      <c r="P1661">
        <f>IF(ISBLANK(ReconciliationData[[#This Row],[Invoice_ID]]),1,0)</f>
        <v>0</v>
      </c>
      <c r="Q1661">
        <f>IF(AND(NOT(ISBLANK(ReconciliationData[[#This Row],[Billed_Units]])),ReconciliationData[[#This Row],[ordered_units]]&lt;&gt;ReconciliationData[[#This Row],[Billed_Units]]),1,0)</f>
        <v>0</v>
      </c>
      <c r="R16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61">
        <f>IF(AND(NOT(ISBLANK(ReconciliationData[[#This Row],[Contract_Price]])),ReconciliationData[[#This Row],[Billed_Price]]&lt;&gt;ReconciliationData[[#This Row],[Contract_Price]]),1,0)</f>
        <v>0</v>
      </c>
      <c r="T1661">
        <f>IF(AND(NOT(ISBLANK(ReconciliationData[[#This Row],[End_Date]])),ReconciliationData[[#This Row],[Order_Date]]&gt;ReconciliationData[[#This Row],[End_Date]]),1,0)</f>
        <v>0</v>
      </c>
      <c r="U1661">
        <f>IF(AND(NOT(ISBLANK(ReconciliationData[[#This Row],[last_return_date]])),ReconciliationData[[#This Row],[last_return_date]]&gt;ReconciliationData[[#This Row],[Order_Date]]+60),1,0)</f>
        <v>0</v>
      </c>
      <c r="V1661">
        <f>IF(ReconciliationData[[#This Row],[total_returned_units]]&gt;ReconciliationData[[#This Row],[ordered_units]],1,0)</f>
        <v>0</v>
      </c>
      <c r="W16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61">
        <f>ReconciliationData[[#This Row],[Billed_Units]]*ReconciliationData[[#This Row],[Billed_Price]]</f>
        <v>51511.020099999994</v>
      </c>
      <c r="Y1661">
        <f>ReconciliationData[[#This Row],[ordered_units]]*ReconciliationData[[#This Row],[List_Price]]</f>
        <v>51511.020099999994</v>
      </c>
      <c r="Z1661">
        <f>ReconciliationData[[#This Row],[billed_revenue]]-ReconciliationData[[#This Row],[expected_revenue]]</f>
        <v>0</v>
      </c>
      <c r="AA16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61" t="str">
        <f>IF(ReconciliationData[[#This Row],[severity_score]]=0,"LOW",
 IF(ReconciliationData[[#This Row],[severity_score]]&lt;=5,"MEDIUM","HIGH"))</f>
        <v>LOW</v>
      </c>
      <c r="AC1661" t="str">
        <f>TEXT(ReconciliationData[[#This Row],[Order_Date]],"YYYY-MM")</f>
        <v>2023-09</v>
      </c>
    </row>
    <row r="1662" spans="1:29">
      <c r="A1662" t="s">
        <v>4463</v>
      </c>
      <c r="B1662" s="1">
        <v>45416</v>
      </c>
      <c r="C1662" t="s">
        <v>706</v>
      </c>
      <c r="D1662" t="s">
        <v>430</v>
      </c>
      <c r="E1662">
        <v>194</v>
      </c>
      <c r="F1662" t="s">
        <v>4464</v>
      </c>
      <c r="G1662">
        <v>194</v>
      </c>
      <c r="H1662">
        <v>876.91119523826444</v>
      </c>
      <c r="N1662">
        <v>876.32749999999999</v>
      </c>
      <c r="O1662" s="1">
        <v>45106</v>
      </c>
      <c r="P1662">
        <f>IF(ISBLANK(ReconciliationData[[#This Row],[Invoice_ID]]),1,0)</f>
        <v>0</v>
      </c>
      <c r="Q1662">
        <f>IF(AND(NOT(ISBLANK(ReconciliationData[[#This Row],[Billed_Units]])),ReconciliationData[[#This Row],[ordered_units]]&lt;&gt;ReconciliationData[[#This Row],[Billed_Units]]),1,0)</f>
        <v>0</v>
      </c>
      <c r="R166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662">
        <f>IF(AND(NOT(ISBLANK(ReconciliationData[[#This Row],[Contract_Price]])),ReconciliationData[[#This Row],[Billed_Price]]&lt;&gt;ReconciliationData[[#This Row],[Contract_Price]]),1,0)</f>
        <v>0</v>
      </c>
      <c r="T1662">
        <f>IF(AND(NOT(ISBLANK(ReconciliationData[[#This Row],[End_Date]])),ReconciliationData[[#This Row],[Order_Date]]&gt;ReconciliationData[[#This Row],[End_Date]]),1,0)</f>
        <v>0</v>
      </c>
      <c r="U1662">
        <f>IF(AND(NOT(ISBLANK(ReconciliationData[[#This Row],[last_return_date]])),ReconciliationData[[#This Row],[last_return_date]]&gt;ReconciliationData[[#This Row],[Order_Date]]+60),1,0)</f>
        <v>0</v>
      </c>
      <c r="V1662">
        <f>IF(ReconciliationData[[#This Row],[total_returned_units]]&gt;ReconciliationData[[#This Row],[ordered_units]],1,0)</f>
        <v>0</v>
      </c>
      <c r="W16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62">
        <f>ReconciliationData[[#This Row],[Billed_Units]]*ReconciliationData[[#This Row],[Billed_Price]]</f>
        <v>170120.7718762233</v>
      </c>
      <c r="Y1662">
        <f>ReconciliationData[[#This Row],[ordered_units]]*ReconciliationData[[#This Row],[List_Price]]</f>
        <v>170007.535</v>
      </c>
      <c r="Z1662">
        <f>ReconciliationData[[#This Row],[billed_revenue]]-ReconciliationData[[#This Row],[expected_revenue]]</f>
        <v>113.23687622329453</v>
      </c>
      <c r="AA16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662" t="str">
        <f>IF(ReconciliationData[[#This Row],[severity_score]]=0,"LOW",
 IF(ReconciliationData[[#This Row],[severity_score]]&lt;=5,"MEDIUM","HIGH"))</f>
        <v>MEDIUM</v>
      </c>
      <c r="AC1662" t="str">
        <f>TEXT(ReconciliationData[[#This Row],[Order_Date]],"YYYY-MM")</f>
        <v>2024-05</v>
      </c>
    </row>
    <row r="1663" spans="1:29">
      <c r="A1663" t="s">
        <v>4465</v>
      </c>
      <c r="B1663" s="1">
        <v>45038</v>
      </c>
      <c r="C1663" t="s">
        <v>532</v>
      </c>
      <c r="D1663" t="s">
        <v>1794</v>
      </c>
      <c r="E1663">
        <v>23</v>
      </c>
      <c r="F1663" t="s">
        <v>4466</v>
      </c>
      <c r="G1663">
        <v>23</v>
      </c>
      <c r="H1663">
        <v>471.65280000000001</v>
      </c>
      <c r="N1663">
        <v>471.65280000000001</v>
      </c>
      <c r="O1663" s="1">
        <v>44929</v>
      </c>
      <c r="P1663">
        <f>IF(ISBLANK(ReconciliationData[[#This Row],[Invoice_ID]]),1,0)</f>
        <v>0</v>
      </c>
      <c r="Q1663">
        <f>IF(AND(NOT(ISBLANK(ReconciliationData[[#This Row],[Billed_Units]])),ReconciliationData[[#This Row],[ordered_units]]&lt;&gt;ReconciliationData[[#This Row],[Billed_Units]]),1,0)</f>
        <v>0</v>
      </c>
      <c r="R16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63">
        <f>IF(AND(NOT(ISBLANK(ReconciliationData[[#This Row],[Contract_Price]])),ReconciliationData[[#This Row],[Billed_Price]]&lt;&gt;ReconciliationData[[#This Row],[Contract_Price]]),1,0)</f>
        <v>0</v>
      </c>
      <c r="T1663">
        <f>IF(AND(NOT(ISBLANK(ReconciliationData[[#This Row],[End_Date]])),ReconciliationData[[#This Row],[Order_Date]]&gt;ReconciliationData[[#This Row],[End_Date]]),1,0)</f>
        <v>0</v>
      </c>
      <c r="U1663">
        <f>IF(AND(NOT(ISBLANK(ReconciliationData[[#This Row],[last_return_date]])),ReconciliationData[[#This Row],[last_return_date]]&gt;ReconciliationData[[#This Row],[Order_Date]]+60),1,0)</f>
        <v>0</v>
      </c>
      <c r="V1663">
        <f>IF(ReconciliationData[[#This Row],[total_returned_units]]&gt;ReconciliationData[[#This Row],[ordered_units]],1,0)</f>
        <v>0</v>
      </c>
      <c r="W16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63">
        <f>ReconciliationData[[#This Row],[Billed_Units]]*ReconciliationData[[#This Row],[Billed_Price]]</f>
        <v>10848.0144</v>
      </c>
      <c r="Y1663">
        <f>ReconciliationData[[#This Row],[ordered_units]]*ReconciliationData[[#This Row],[List_Price]]</f>
        <v>10848.0144</v>
      </c>
      <c r="Z1663">
        <f>ReconciliationData[[#This Row],[billed_revenue]]-ReconciliationData[[#This Row],[expected_revenue]]</f>
        <v>0</v>
      </c>
      <c r="AA16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63" t="str">
        <f>IF(ReconciliationData[[#This Row],[severity_score]]=0,"LOW",
 IF(ReconciliationData[[#This Row],[severity_score]]&lt;=5,"MEDIUM","HIGH"))</f>
        <v>LOW</v>
      </c>
      <c r="AC1663" t="str">
        <f>TEXT(ReconciliationData[[#This Row],[Order_Date]],"YYYY-MM")</f>
        <v>2023-04</v>
      </c>
    </row>
    <row r="1664" spans="1:29">
      <c r="A1664" t="s">
        <v>4467</v>
      </c>
      <c r="B1664" s="1">
        <v>45566</v>
      </c>
      <c r="C1664" t="s">
        <v>2595</v>
      </c>
      <c r="D1664" t="s">
        <v>178</v>
      </c>
      <c r="E1664">
        <v>96</v>
      </c>
      <c r="F1664" t="s">
        <v>4468</v>
      </c>
      <c r="G1664">
        <v>96</v>
      </c>
      <c r="H1664">
        <v>687.65840000000003</v>
      </c>
      <c r="N1664">
        <v>687.65840000000003</v>
      </c>
      <c r="O1664" s="1">
        <v>45139</v>
      </c>
      <c r="P1664">
        <f>IF(ISBLANK(ReconciliationData[[#This Row],[Invoice_ID]]),1,0)</f>
        <v>0</v>
      </c>
      <c r="Q1664">
        <f>IF(AND(NOT(ISBLANK(ReconciliationData[[#This Row],[Billed_Units]])),ReconciliationData[[#This Row],[ordered_units]]&lt;&gt;ReconciliationData[[#This Row],[Billed_Units]]),1,0)</f>
        <v>0</v>
      </c>
      <c r="R16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64">
        <f>IF(AND(NOT(ISBLANK(ReconciliationData[[#This Row],[Contract_Price]])),ReconciliationData[[#This Row],[Billed_Price]]&lt;&gt;ReconciliationData[[#This Row],[Contract_Price]]),1,0)</f>
        <v>0</v>
      </c>
      <c r="T1664">
        <f>IF(AND(NOT(ISBLANK(ReconciliationData[[#This Row],[End_Date]])),ReconciliationData[[#This Row],[Order_Date]]&gt;ReconciliationData[[#This Row],[End_Date]]),1,0)</f>
        <v>0</v>
      </c>
      <c r="U1664">
        <f>IF(AND(NOT(ISBLANK(ReconciliationData[[#This Row],[last_return_date]])),ReconciliationData[[#This Row],[last_return_date]]&gt;ReconciliationData[[#This Row],[Order_Date]]+60),1,0)</f>
        <v>0</v>
      </c>
      <c r="V1664">
        <f>IF(ReconciliationData[[#This Row],[total_returned_units]]&gt;ReconciliationData[[#This Row],[ordered_units]],1,0)</f>
        <v>0</v>
      </c>
      <c r="W16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64">
        <f>ReconciliationData[[#This Row],[Billed_Units]]*ReconciliationData[[#This Row],[Billed_Price]]</f>
        <v>66015.206399999995</v>
      </c>
      <c r="Y1664">
        <f>ReconciliationData[[#This Row],[ordered_units]]*ReconciliationData[[#This Row],[List_Price]]</f>
        <v>66015.206399999995</v>
      </c>
      <c r="Z1664">
        <f>ReconciliationData[[#This Row],[billed_revenue]]-ReconciliationData[[#This Row],[expected_revenue]]</f>
        <v>0</v>
      </c>
      <c r="AA16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64" t="str">
        <f>IF(ReconciliationData[[#This Row],[severity_score]]=0,"LOW",
 IF(ReconciliationData[[#This Row],[severity_score]]&lt;=5,"MEDIUM","HIGH"))</f>
        <v>LOW</v>
      </c>
      <c r="AC1664" t="str">
        <f>TEXT(ReconciliationData[[#This Row],[Order_Date]],"YYYY-MM")</f>
        <v>2024-10</v>
      </c>
    </row>
    <row r="1665" spans="1:29">
      <c r="A1665" t="s">
        <v>4469</v>
      </c>
      <c r="B1665" s="1">
        <v>45270</v>
      </c>
      <c r="C1665" t="s">
        <v>1158</v>
      </c>
      <c r="D1665" t="s">
        <v>1432</v>
      </c>
      <c r="E1665">
        <v>160</v>
      </c>
      <c r="F1665" t="s">
        <v>4470</v>
      </c>
      <c r="G1665">
        <v>160</v>
      </c>
      <c r="H1665">
        <v>828.36189999999999</v>
      </c>
      <c r="N1665">
        <v>828.36189999999999</v>
      </c>
      <c r="O1665" s="1">
        <v>45137</v>
      </c>
      <c r="P1665">
        <f>IF(ISBLANK(ReconciliationData[[#This Row],[Invoice_ID]]),1,0)</f>
        <v>0</v>
      </c>
      <c r="Q1665">
        <f>IF(AND(NOT(ISBLANK(ReconciliationData[[#This Row],[Billed_Units]])),ReconciliationData[[#This Row],[ordered_units]]&lt;&gt;ReconciliationData[[#This Row],[Billed_Units]]),1,0)</f>
        <v>0</v>
      </c>
      <c r="R16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65">
        <f>IF(AND(NOT(ISBLANK(ReconciliationData[[#This Row],[Contract_Price]])),ReconciliationData[[#This Row],[Billed_Price]]&lt;&gt;ReconciliationData[[#This Row],[Contract_Price]]),1,0)</f>
        <v>0</v>
      </c>
      <c r="T1665">
        <f>IF(AND(NOT(ISBLANK(ReconciliationData[[#This Row],[End_Date]])),ReconciliationData[[#This Row],[Order_Date]]&gt;ReconciliationData[[#This Row],[End_Date]]),1,0)</f>
        <v>0</v>
      </c>
      <c r="U1665">
        <f>IF(AND(NOT(ISBLANK(ReconciliationData[[#This Row],[last_return_date]])),ReconciliationData[[#This Row],[last_return_date]]&gt;ReconciliationData[[#This Row],[Order_Date]]+60),1,0)</f>
        <v>0</v>
      </c>
      <c r="V1665">
        <f>IF(ReconciliationData[[#This Row],[total_returned_units]]&gt;ReconciliationData[[#This Row],[ordered_units]],1,0)</f>
        <v>0</v>
      </c>
      <c r="W16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65">
        <f>ReconciliationData[[#This Row],[Billed_Units]]*ReconciliationData[[#This Row],[Billed_Price]]</f>
        <v>132537.90400000001</v>
      </c>
      <c r="Y1665">
        <f>ReconciliationData[[#This Row],[ordered_units]]*ReconciliationData[[#This Row],[List_Price]]</f>
        <v>132537.90400000001</v>
      </c>
      <c r="Z1665">
        <f>ReconciliationData[[#This Row],[billed_revenue]]-ReconciliationData[[#This Row],[expected_revenue]]</f>
        <v>0</v>
      </c>
      <c r="AA16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65" t="str">
        <f>IF(ReconciliationData[[#This Row],[severity_score]]=0,"LOW",
 IF(ReconciliationData[[#This Row],[severity_score]]&lt;=5,"MEDIUM","HIGH"))</f>
        <v>LOW</v>
      </c>
      <c r="AC1665" t="str">
        <f>TEXT(ReconciliationData[[#This Row],[Order_Date]],"YYYY-MM")</f>
        <v>2023-12</v>
      </c>
    </row>
    <row r="1666" spans="1:29">
      <c r="A1666" t="s">
        <v>4471</v>
      </c>
      <c r="B1666" s="1">
        <v>45242</v>
      </c>
      <c r="C1666" t="s">
        <v>1010</v>
      </c>
      <c r="D1666" t="s">
        <v>1238</v>
      </c>
      <c r="E1666">
        <v>191</v>
      </c>
      <c r="F1666" t="s">
        <v>4472</v>
      </c>
      <c r="G1666">
        <v>191</v>
      </c>
      <c r="H1666">
        <v>355.32000000000005</v>
      </c>
      <c r="N1666">
        <v>355.32000000000005</v>
      </c>
      <c r="O1666" s="1">
        <v>45058</v>
      </c>
      <c r="P1666">
        <f>IF(ISBLANK(ReconciliationData[[#This Row],[Invoice_ID]]),1,0)</f>
        <v>0</v>
      </c>
      <c r="Q1666">
        <f>IF(AND(NOT(ISBLANK(ReconciliationData[[#This Row],[Billed_Units]])),ReconciliationData[[#This Row],[ordered_units]]&lt;&gt;ReconciliationData[[#This Row],[Billed_Units]]),1,0)</f>
        <v>0</v>
      </c>
      <c r="R16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66">
        <f>IF(AND(NOT(ISBLANK(ReconciliationData[[#This Row],[Contract_Price]])),ReconciliationData[[#This Row],[Billed_Price]]&lt;&gt;ReconciliationData[[#This Row],[Contract_Price]]),1,0)</f>
        <v>0</v>
      </c>
      <c r="T1666">
        <f>IF(AND(NOT(ISBLANK(ReconciliationData[[#This Row],[End_Date]])),ReconciliationData[[#This Row],[Order_Date]]&gt;ReconciliationData[[#This Row],[End_Date]]),1,0)</f>
        <v>0</v>
      </c>
      <c r="U1666">
        <f>IF(AND(NOT(ISBLANK(ReconciliationData[[#This Row],[last_return_date]])),ReconciliationData[[#This Row],[last_return_date]]&gt;ReconciliationData[[#This Row],[Order_Date]]+60),1,0)</f>
        <v>0</v>
      </c>
      <c r="V1666">
        <f>IF(ReconciliationData[[#This Row],[total_returned_units]]&gt;ReconciliationData[[#This Row],[ordered_units]],1,0)</f>
        <v>0</v>
      </c>
      <c r="W16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66">
        <f>ReconciliationData[[#This Row],[Billed_Units]]*ReconciliationData[[#This Row],[Billed_Price]]</f>
        <v>67866.12000000001</v>
      </c>
      <c r="Y1666">
        <f>ReconciliationData[[#This Row],[ordered_units]]*ReconciliationData[[#This Row],[List_Price]]</f>
        <v>67866.12000000001</v>
      </c>
      <c r="Z1666">
        <f>ReconciliationData[[#This Row],[billed_revenue]]-ReconciliationData[[#This Row],[expected_revenue]]</f>
        <v>0</v>
      </c>
      <c r="AA16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66" t="str">
        <f>IF(ReconciliationData[[#This Row],[severity_score]]=0,"LOW",
 IF(ReconciliationData[[#This Row],[severity_score]]&lt;=5,"MEDIUM","HIGH"))</f>
        <v>LOW</v>
      </c>
      <c r="AC1666" t="str">
        <f>TEXT(ReconciliationData[[#This Row],[Order_Date]],"YYYY-MM")</f>
        <v>2023-11</v>
      </c>
    </row>
    <row r="1667" spans="1:29">
      <c r="A1667" t="s">
        <v>4473</v>
      </c>
      <c r="B1667" s="1">
        <v>45586</v>
      </c>
      <c r="C1667" t="s">
        <v>2242</v>
      </c>
      <c r="D1667" t="s">
        <v>2360</v>
      </c>
      <c r="E1667">
        <v>9</v>
      </c>
      <c r="F1667" t="s">
        <v>4474</v>
      </c>
      <c r="G1667">
        <v>9</v>
      </c>
      <c r="H1667">
        <v>852.46560000000011</v>
      </c>
      <c r="N1667">
        <v>852.46560000000011</v>
      </c>
      <c r="O1667" s="1">
        <v>44996</v>
      </c>
      <c r="P1667">
        <f>IF(ISBLANK(ReconciliationData[[#This Row],[Invoice_ID]]),1,0)</f>
        <v>0</v>
      </c>
      <c r="Q1667">
        <f>IF(AND(NOT(ISBLANK(ReconciliationData[[#This Row],[Billed_Units]])),ReconciliationData[[#This Row],[ordered_units]]&lt;&gt;ReconciliationData[[#This Row],[Billed_Units]]),1,0)</f>
        <v>0</v>
      </c>
      <c r="R16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67">
        <f>IF(AND(NOT(ISBLANK(ReconciliationData[[#This Row],[Contract_Price]])),ReconciliationData[[#This Row],[Billed_Price]]&lt;&gt;ReconciliationData[[#This Row],[Contract_Price]]),1,0)</f>
        <v>0</v>
      </c>
      <c r="T1667">
        <f>IF(AND(NOT(ISBLANK(ReconciliationData[[#This Row],[End_Date]])),ReconciliationData[[#This Row],[Order_Date]]&gt;ReconciliationData[[#This Row],[End_Date]]),1,0)</f>
        <v>0</v>
      </c>
      <c r="U1667">
        <f>IF(AND(NOT(ISBLANK(ReconciliationData[[#This Row],[last_return_date]])),ReconciliationData[[#This Row],[last_return_date]]&gt;ReconciliationData[[#This Row],[Order_Date]]+60),1,0)</f>
        <v>0</v>
      </c>
      <c r="V1667">
        <f>IF(ReconciliationData[[#This Row],[total_returned_units]]&gt;ReconciliationData[[#This Row],[ordered_units]],1,0)</f>
        <v>0</v>
      </c>
      <c r="W16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67">
        <f>ReconciliationData[[#This Row],[Billed_Units]]*ReconciliationData[[#This Row],[Billed_Price]]</f>
        <v>7672.1904000000013</v>
      </c>
      <c r="Y1667">
        <f>ReconciliationData[[#This Row],[ordered_units]]*ReconciliationData[[#This Row],[List_Price]]</f>
        <v>7672.1904000000013</v>
      </c>
      <c r="Z1667">
        <f>ReconciliationData[[#This Row],[billed_revenue]]-ReconciliationData[[#This Row],[expected_revenue]]</f>
        <v>0</v>
      </c>
      <c r="AA16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67" t="str">
        <f>IF(ReconciliationData[[#This Row],[severity_score]]=0,"LOW",
 IF(ReconciliationData[[#This Row],[severity_score]]&lt;=5,"MEDIUM","HIGH"))</f>
        <v>LOW</v>
      </c>
      <c r="AC1667" t="str">
        <f>TEXT(ReconciliationData[[#This Row],[Order_Date]],"YYYY-MM")</f>
        <v>2024-10</v>
      </c>
    </row>
    <row r="1668" spans="1:29">
      <c r="A1668" t="s">
        <v>4475</v>
      </c>
      <c r="B1668" s="1">
        <v>44953</v>
      </c>
      <c r="C1668" t="s">
        <v>954</v>
      </c>
      <c r="D1668" t="s">
        <v>1555</v>
      </c>
      <c r="E1668">
        <v>183</v>
      </c>
      <c r="F1668" t="s">
        <v>4476</v>
      </c>
      <c r="G1668">
        <v>183</v>
      </c>
      <c r="H1668">
        <v>825.4</v>
      </c>
      <c r="N1668">
        <v>825.4</v>
      </c>
      <c r="O1668" s="1">
        <v>44712</v>
      </c>
      <c r="P1668">
        <f>IF(ISBLANK(ReconciliationData[[#This Row],[Invoice_ID]]),1,0)</f>
        <v>0</v>
      </c>
      <c r="Q1668">
        <f>IF(AND(NOT(ISBLANK(ReconciliationData[[#This Row],[Billed_Units]])),ReconciliationData[[#This Row],[ordered_units]]&lt;&gt;ReconciliationData[[#This Row],[Billed_Units]]),1,0)</f>
        <v>0</v>
      </c>
      <c r="R16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68">
        <f>IF(AND(NOT(ISBLANK(ReconciliationData[[#This Row],[Contract_Price]])),ReconciliationData[[#This Row],[Billed_Price]]&lt;&gt;ReconciliationData[[#This Row],[Contract_Price]]),1,0)</f>
        <v>0</v>
      </c>
      <c r="T1668">
        <f>IF(AND(NOT(ISBLANK(ReconciliationData[[#This Row],[End_Date]])),ReconciliationData[[#This Row],[Order_Date]]&gt;ReconciliationData[[#This Row],[End_Date]]),1,0)</f>
        <v>0</v>
      </c>
      <c r="U1668">
        <f>IF(AND(NOT(ISBLANK(ReconciliationData[[#This Row],[last_return_date]])),ReconciliationData[[#This Row],[last_return_date]]&gt;ReconciliationData[[#This Row],[Order_Date]]+60),1,0)</f>
        <v>0</v>
      </c>
      <c r="V1668">
        <f>IF(ReconciliationData[[#This Row],[total_returned_units]]&gt;ReconciliationData[[#This Row],[ordered_units]],1,0)</f>
        <v>0</v>
      </c>
      <c r="W16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68">
        <f>ReconciliationData[[#This Row],[Billed_Units]]*ReconciliationData[[#This Row],[Billed_Price]]</f>
        <v>151048.19999999998</v>
      </c>
      <c r="Y1668">
        <f>ReconciliationData[[#This Row],[ordered_units]]*ReconciliationData[[#This Row],[List_Price]]</f>
        <v>151048.19999999998</v>
      </c>
      <c r="Z1668">
        <f>ReconciliationData[[#This Row],[billed_revenue]]-ReconciliationData[[#This Row],[expected_revenue]]</f>
        <v>0</v>
      </c>
      <c r="AA16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68" t="str">
        <f>IF(ReconciliationData[[#This Row],[severity_score]]=0,"LOW",
 IF(ReconciliationData[[#This Row],[severity_score]]&lt;=5,"MEDIUM","HIGH"))</f>
        <v>LOW</v>
      </c>
      <c r="AC1668" t="str">
        <f>TEXT(ReconciliationData[[#This Row],[Order_Date]],"YYYY-MM")</f>
        <v>2023-01</v>
      </c>
    </row>
    <row r="1669" spans="1:29">
      <c r="A1669" t="s">
        <v>4477</v>
      </c>
      <c r="B1669" s="1">
        <v>45623</v>
      </c>
      <c r="C1669" t="s">
        <v>3140</v>
      </c>
      <c r="D1669" t="s">
        <v>747</v>
      </c>
      <c r="E1669">
        <v>187</v>
      </c>
      <c r="F1669" t="s">
        <v>4478</v>
      </c>
      <c r="G1669">
        <v>187</v>
      </c>
      <c r="H1669">
        <v>58.98</v>
      </c>
      <c r="N1669">
        <v>58.98</v>
      </c>
      <c r="O1669" s="1">
        <v>44934</v>
      </c>
      <c r="P1669">
        <f>IF(ISBLANK(ReconciliationData[[#This Row],[Invoice_ID]]),1,0)</f>
        <v>0</v>
      </c>
      <c r="Q1669">
        <f>IF(AND(NOT(ISBLANK(ReconciliationData[[#This Row],[Billed_Units]])),ReconciliationData[[#This Row],[ordered_units]]&lt;&gt;ReconciliationData[[#This Row],[Billed_Units]]),1,0)</f>
        <v>0</v>
      </c>
      <c r="R16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69">
        <f>IF(AND(NOT(ISBLANK(ReconciliationData[[#This Row],[Contract_Price]])),ReconciliationData[[#This Row],[Billed_Price]]&lt;&gt;ReconciliationData[[#This Row],[Contract_Price]]),1,0)</f>
        <v>0</v>
      </c>
      <c r="T1669">
        <f>IF(AND(NOT(ISBLANK(ReconciliationData[[#This Row],[End_Date]])),ReconciliationData[[#This Row],[Order_Date]]&gt;ReconciliationData[[#This Row],[End_Date]]),1,0)</f>
        <v>0</v>
      </c>
      <c r="U1669">
        <f>IF(AND(NOT(ISBLANK(ReconciliationData[[#This Row],[last_return_date]])),ReconciliationData[[#This Row],[last_return_date]]&gt;ReconciliationData[[#This Row],[Order_Date]]+60),1,0)</f>
        <v>0</v>
      </c>
      <c r="V1669">
        <f>IF(ReconciliationData[[#This Row],[total_returned_units]]&gt;ReconciliationData[[#This Row],[ordered_units]],1,0)</f>
        <v>0</v>
      </c>
      <c r="W16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69">
        <f>ReconciliationData[[#This Row],[Billed_Units]]*ReconciliationData[[#This Row],[Billed_Price]]</f>
        <v>11029.26</v>
      </c>
      <c r="Y1669">
        <f>ReconciliationData[[#This Row],[ordered_units]]*ReconciliationData[[#This Row],[List_Price]]</f>
        <v>11029.26</v>
      </c>
      <c r="Z1669">
        <f>ReconciliationData[[#This Row],[billed_revenue]]-ReconciliationData[[#This Row],[expected_revenue]]</f>
        <v>0</v>
      </c>
      <c r="AA16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69" t="str">
        <f>IF(ReconciliationData[[#This Row],[severity_score]]=0,"LOW",
 IF(ReconciliationData[[#This Row],[severity_score]]&lt;=5,"MEDIUM","HIGH"))</f>
        <v>LOW</v>
      </c>
      <c r="AC1669" t="str">
        <f>TEXT(ReconciliationData[[#This Row],[Order_Date]],"YYYY-MM")</f>
        <v>2024-11</v>
      </c>
    </row>
    <row r="1670" spans="1:29">
      <c r="A1670" t="s">
        <v>4479</v>
      </c>
      <c r="B1670" s="1">
        <v>45511</v>
      </c>
      <c r="C1670" t="s">
        <v>2796</v>
      </c>
      <c r="D1670" t="s">
        <v>944</v>
      </c>
      <c r="E1670">
        <v>30</v>
      </c>
      <c r="F1670" t="s">
        <v>4480</v>
      </c>
      <c r="G1670">
        <v>30</v>
      </c>
      <c r="H1670">
        <v>1006.8318</v>
      </c>
      <c r="I1670">
        <v>20</v>
      </c>
      <c r="J1670" s="1">
        <v>45288</v>
      </c>
      <c r="N1670">
        <v>1006.8318</v>
      </c>
      <c r="O1670" s="1">
        <v>45204</v>
      </c>
      <c r="P1670">
        <f>IF(ISBLANK(ReconciliationData[[#This Row],[Invoice_ID]]),1,0)</f>
        <v>0</v>
      </c>
      <c r="Q1670">
        <f>IF(AND(NOT(ISBLANK(ReconciliationData[[#This Row],[Billed_Units]])),ReconciliationData[[#This Row],[ordered_units]]&lt;&gt;ReconciliationData[[#This Row],[Billed_Units]]),1,0)</f>
        <v>0</v>
      </c>
      <c r="R16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0">
        <f>IF(AND(NOT(ISBLANK(ReconciliationData[[#This Row],[Contract_Price]])),ReconciliationData[[#This Row],[Billed_Price]]&lt;&gt;ReconciliationData[[#This Row],[Contract_Price]]),1,0)</f>
        <v>0</v>
      </c>
      <c r="T1670">
        <f>IF(AND(NOT(ISBLANK(ReconciliationData[[#This Row],[End_Date]])),ReconciliationData[[#This Row],[Order_Date]]&gt;ReconciliationData[[#This Row],[End_Date]]),1,0)</f>
        <v>0</v>
      </c>
      <c r="U1670">
        <f>IF(AND(NOT(ISBLANK(ReconciliationData[[#This Row],[last_return_date]])),ReconciliationData[[#This Row],[last_return_date]]&gt;ReconciliationData[[#This Row],[Order_Date]]+60),1,0)</f>
        <v>0</v>
      </c>
      <c r="V1670">
        <f>IF(ReconciliationData[[#This Row],[total_returned_units]]&gt;ReconciliationData[[#This Row],[ordered_units]],1,0)</f>
        <v>0</v>
      </c>
      <c r="W16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0">
        <f>ReconciliationData[[#This Row],[Billed_Units]]*ReconciliationData[[#This Row],[Billed_Price]]</f>
        <v>30204.954000000002</v>
      </c>
      <c r="Y1670">
        <f>ReconciliationData[[#This Row],[ordered_units]]*ReconciliationData[[#This Row],[List_Price]]</f>
        <v>30204.954000000002</v>
      </c>
      <c r="Z1670">
        <f>ReconciliationData[[#This Row],[billed_revenue]]-ReconciliationData[[#This Row],[expected_revenue]]</f>
        <v>0</v>
      </c>
      <c r="AA16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0" t="str">
        <f>IF(ReconciliationData[[#This Row],[severity_score]]=0,"LOW",
 IF(ReconciliationData[[#This Row],[severity_score]]&lt;=5,"MEDIUM","HIGH"))</f>
        <v>LOW</v>
      </c>
      <c r="AC1670" t="str">
        <f>TEXT(ReconciliationData[[#This Row],[Order_Date]],"YYYY-MM")</f>
        <v>2024-08</v>
      </c>
    </row>
    <row r="1671" spans="1:29">
      <c r="A1671" t="s">
        <v>4481</v>
      </c>
      <c r="B1671" s="1">
        <v>45104</v>
      </c>
      <c r="C1671" t="s">
        <v>1948</v>
      </c>
      <c r="D1671" t="s">
        <v>468</v>
      </c>
      <c r="E1671">
        <v>113</v>
      </c>
      <c r="F1671" t="s">
        <v>4482</v>
      </c>
      <c r="G1671">
        <v>113</v>
      </c>
      <c r="H1671">
        <v>387.91860000000003</v>
      </c>
      <c r="N1671">
        <v>387.91860000000003</v>
      </c>
      <c r="O1671" s="1">
        <v>45050</v>
      </c>
      <c r="P1671">
        <f>IF(ISBLANK(ReconciliationData[[#This Row],[Invoice_ID]]),1,0)</f>
        <v>0</v>
      </c>
      <c r="Q1671">
        <f>IF(AND(NOT(ISBLANK(ReconciliationData[[#This Row],[Billed_Units]])),ReconciliationData[[#This Row],[ordered_units]]&lt;&gt;ReconciliationData[[#This Row],[Billed_Units]]),1,0)</f>
        <v>0</v>
      </c>
      <c r="R16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1">
        <f>IF(AND(NOT(ISBLANK(ReconciliationData[[#This Row],[Contract_Price]])),ReconciliationData[[#This Row],[Billed_Price]]&lt;&gt;ReconciliationData[[#This Row],[Contract_Price]]),1,0)</f>
        <v>0</v>
      </c>
      <c r="T1671">
        <f>IF(AND(NOT(ISBLANK(ReconciliationData[[#This Row],[End_Date]])),ReconciliationData[[#This Row],[Order_Date]]&gt;ReconciliationData[[#This Row],[End_Date]]),1,0)</f>
        <v>0</v>
      </c>
      <c r="U1671">
        <f>IF(AND(NOT(ISBLANK(ReconciliationData[[#This Row],[last_return_date]])),ReconciliationData[[#This Row],[last_return_date]]&gt;ReconciliationData[[#This Row],[Order_Date]]+60),1,0)</f>
        <v>0</v>
      </c>
      <c r="V1671">
        <f>IF(ReconciliationData[[#This Row],[total_returned_units]]&gt;ReconciliationData[[#This Row],[ordered_units]],1,0)</f>
        <v>0</v>
      </c>
      <c r="W16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1">
        <f>ReconciliationData[[#This Row],[Billed_Units]]*ReconciliationData[[#This Row],[Billed_Price]]</f>
        <v>43834.801800000001</v>
      </c>
      <c r="Y1671">
        <f>ReconciliationData[[#This Row],[ordered_units]]*ReconciliationData[[#This Row],[List_Price]]</f>
        <v>43834.801800000001</v>
      </c>
      <c r="Z1671">
        <f>ReconciliationData[[#This Row],[billed_revenue]]-ReconciliationData[[#This Row],[expected_revenue]]</f>
        <v>0</v>
      </c>
      <c r="AA16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1" t="str">
        <f>IF(ReconciliationData[[#This Row],[severity_score]]=0,"LOW",
 IF(ReconciliationData[[#This Row],[severity_score]]&lt;=5,"MEDIUM","HIGH"))</f>
        <v>LOW</v>
      </c>
      <c r="AC1671" t="str">
        <f>TEXT(ReconciliationData[[#This Row],[Order_Date]],"YYYY-MM")</f>
        <v>2023-06</v>
      </c>
    </row>
    <row r="1672" spans="1:29">
      <c r="A1672" t="s">
        <v>4483</v>
      </c>
      <c r="B1672" s="1">
        <v>45644</v>
      </c>
      <c r="C1672" t="s">
        <v>1178</v>
      </c>
      <c r="D1672" t="s">
        <v>573</v>
      </c>
      <c r="E1672">
        <v>172</v>
      </c>
      <c r="F1672" t="s">
        <v>4484</v>
      </c>
      <c r="G1672">
        <v>172</v>
      </c>
      <c r="H1672">
        <v>1223.9694</v>
      </c>
      <c r="N1672">
        <v>1223.9694</v>
      </c>
      <c r="O1672" s="1">
        <v>45154</v>
      </c>
      <c r="P1672">
        <f>IF(ISBLANK(ReconciliationData[[#This Row],[Invoice_ID]]),1,0)</f>
        <v>0</v>
      </c>
      <c r="Q1672">
        <f>IF(AND(NOT(ISBLANK(ReconciliationData[[#This Row],[Billed_Units]])),ReconciliationData[[#This Row],[ordered_units]]&lt;&gt;ReconciliationData[[#This Row],[Billed_Units]]),1,0)</f>
        <v>0</v>
      </c>
      <c r="R16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2">
        <f>IF(AND(NOT(ISBLANK(ReconciliationData[[#This Row],[Contract_Price]])),ReconciliationData[[#This Row],[Billed_Price]]&lt;&gt;ReconciliationData[[#This Row],[Contract_Price]]),1,0)</f>
        <v>0</v>
      </c>
      <c r="T1672">
        <f>IF(AND(NOT(ISBLANK(ReconciliationData[[#This Row],[End_Date]])),ReconciliationData[[#This Row],[Order_Date]]&gt;ReconciliationData[[#This Row],[End_Date]]),1,0)</f>
        <v>0</v>
      </c>
      <c r="U1672">
        <f>IF(AND(NOT(ISBLANK(ReconciliationData[[#This Row],[last_return_date]])),ReconciliationData[[#This Row],[last_return_date]]&gt;ReconciliationData[[#This Row],[Order_Date]]+60),1,0)</f>
        <v>0</v>
      </c>
      <c r="V1672">
        <f>IF(ReconciliationData[[#This Row],[total_returned_units]]&gt;ReconciliationData[[#This Row],[ordered_units]],1,0)</f>
        <v>0</v>
      </c>
      <c r="W16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2">
        <f>ReconciliationData[[#This Row],[Billed_Units]]*ReconciliationData[[#This Row],[Billed_Price]]</f>
        <v>210522.73679999998</v>
      </c>
      <c r="Y1672">
        <f>ReconciliationData[[#This Row],[ordered_units]]*ReconciliationData[[#This Row],[List_Price]]</f>
        <v>210522.73679999998</v>
      </c>
      <c r="Z1672">
        <f>ReconciliationData[[#This Row],[billed_revenue]]-ReconciliationData[[#This Row],[expected_revenue]]</f>
        <v>0</v>
      </c>
      <c r="AA16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2" t="str">
        <f>IF(ReconciliationData[[#This Row],[severity_score]]=0,"LOW",
 IF(ReconciliationData[[#This Row],[severity_score]]&lt;=5,"MEDIUM","HIGH"))</f>
        <v>LOW</v>
      </c>
      <c r="AC1672" t="str">
        <f>TEXT(ReconciliationData[[#This Row],[Order_Date]],"YYYY-MM")</f>
        <v>2024-12</v>
      </c>
    </row>
    <row r="1673" spans="1:29">
      <c r="A1673" t="s">
        <v>4485</v>
      </c>
      <c r="B1673" s="1">
        <v>45063</v>
      </c>
      <c r="C1673" t="s">
        <v>1093</v>
      </c>
      <c r="D1673" t="s">
        <v>138</v>
      </c>
      <c r="E1673">
        <v>100</v>
      </c>
      <c r="F1673" t="s">
        <v>4486</v>
      </c>
      <c r="G1673">
        <v>100</v>
      </c>
      <c r="H1673">
        <v>466.43099999999998</v>
      </c>
      <c r="N1673">
        <v>466.43099999999998</v>
      </c>
      <c r="O1673" s="1">
        <v>44882</v>
      </c>
      <c r="P1673">
        <f>IF(ISBLANK(ReconciliationData[[#This Row],[Invoice_ID]]),1,0)</f>
        <v>0</v>
      </c>
      <c r="Q1673">
        <f>IF(AND(NOT(ISBLANK(ReconciliationData[[#This Row],[Billed_Units]])),ReconciliationData[[#This Row],[ordered_units]]&lt;&gt;ReconciliationData[[#This Row],[Billed_Units]]),1,0)</f>
        <v>0</v>
      </c>
      <c r="R16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3">
        <f>IF(AND(NOT(ISBLANK(ReconciliationData[[#This Row],[Contract_Price]])),ReconciliationData[[#This Row],[Billed_Price]]&lt;&gt;ReconciliationData[[#This Row],[Contract_Price]]),1,0)</f>
        <v>0</v>
      </c>
      <c r="T1673">
        <f>IF(AND(NOT(ISBLANK(ReconciliationData[[#This Row],[End_Date]])),ReconciliationData[[#This Row],[Order_Date]]&gt;ReconciliationData[[#This Row],[End_Date]]),1,0)</f>
        <v>0</v>
      </c>
      <c r="U1673">
        <f>IF(AND(NOT(ISBLANK(ReconciliationData[[#This Row],[last_return_date]])),ReconciliationData[[#This Row],[last_return_date]]&gt;ReconciliationData[[#This Row],[Order_Date]]+60),1,0)</f>
        <v>0</v>
      </c>
      <c r="V1673">
        <f>IF(ReconciliationData[[#This Row],[total_returned_units]]&gt;ReconciliationData[[#This Row],[ordered_units]],1,0)</f>
        <v>0</v>
      </c>
      <c r="W16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3">
        <f>ReconciliationData[[#This Row],[Billed_Units]]*ReconciliationData[[#This Row],[Billed_Price]]</f>
        <v>46643.1</v>
      </c>
      <c r="Y1673">
        <f>ReconciliationData[[#This Row],[ordered_units]]*ReconciliationData[[#This Row],[List_Price]]</f>
        <v>46643.1</v>
      </c>
      <c r="Z1673">
        <f>ReconciliationData[[#This Row],[billed_revenue]]-ReconciliationData[[#This Row],[expected_revenue]]</f>
        <v>0</v>
      </c>
      <c r="AA16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3" t="str">
        <f>IF(ReconciliationData[[#This Row],[severity_score]]=0,"LOW",
 IF(ReconciliationData[[#This Row],[severity_score]]&lt;=5,"MEDIUM","HIGH"))</f>
        <v>LOW</v>
      </c>
      <c r="AC1673" t="str">
        <f>TEXT(ReconciliationData[[#This Row],[Order_Date]],"YYYY-MM")</f>
        <v>2023-05</v>
      </c>
    </row>
    <row r="1674" spans="1:29">
      <c r="A1674" t="s">
        <v>4487</v>
      </c>
      <c r="B1674" s="1">
        <v>45118</v>
      </c>
      <c r="C1674" t="s">
        <v>238</v>
      </c>
      <c r="D1674" t="s">
        <v>944</v>
      </c>
      <c r="E1674">
        <v>49</v>
      </c>
      <c r="F1674" t="s">
        <v>4488</v>
      </c>
      <c r="G1674">
        <v>49</v>
      </c>
      <c r="H1674">
        <v>1016.7027</v>
      </c>
      <c r="N1674">
        <v>1016.7027</v>
      </c>
      <c r="O1674" s="1">
        <v>44955</v>
      </c>
      <c r="P1674">
        <f>IF(ISBLANK(ReconciliationData[[#This Row],[Invoice_ID]]),1,0)</f>
        <v>0</v>
      </c>
      <c r="Q1674">
        <f>IF(AND(NOT(ISBLANK(ReconciliationData[[#This Row],[Billed_Units]])),ReconciliationData[[#This Row],[ordered_units]]&lt;&gt;ReconciliationData[[#This Row],[Billed_Units]]),1,0)</f>
        <v>0</v>
      </c>
      <c r="R16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4">
        <f>IF(AND(NOT(ISBLANK(ReconciliationData[[#This Row],[Contract_Price]])),ReconciliationData[[#This Row],[Billed_Price]]&lt;&gt;ReconciliationData[[#This Row],[Contract_Price]]),1,0)</f>
        <v>0</v>
      </c>
      <c r="T1674">
        <f>IF(AND(NOT(ISBLANK(ReconciliationData[[#This Row],[End_Date]])),ReconciliationData[[#This Row],[Order_Date]]&gt;ReconciliationData[[#This Row],[End_Date]]),1,0)</f>
        <v>0</v>
      </c>
      <c r="U1674">
        <f>IF(AND(NOT(ISBLANK(ReconciliationData[[#This Row],[last_return_date]])),ReconciliationData[[#This Row],[last_return_date]]&gt;ReconciliationData[[#This Row],[Order_Date]]+60),1,0)</f>
        <v>0</v>
      </c>
      <c r="V1674">
        <f>IF(ReconciliationData[[#This Row],[total_returned_units]]&gt;ReconciliationData[[#This Row],[ordered_units]],1,0)</f>
        <v>0</v>
      </c>
      <c r="W16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4">
        <f>ReconciliationData[[#This Row],[Billed_Units]]*ReconciliationData[[#This Row],[Billed_Price]]</f>
        <v>49818.4323</v>
      </c>
      <c r="Y1674">
        <f>ReconciliationData[[#This Row],[ordered_units]]*ReconciliationData[[#This Row],[List_Price]]</f>
        <v>49818.4323</v>
      </c>
      <c r="Z1674">
        <f>ReconciliationData[[#This Row],[billed_revenue]]-ReconciliationData[[#This Row],[expected_revenue]]</f>
        <v>0</v>
      </c>
      <c r="AA16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4" t="str">
        <f>IF(ReconciliationData[[#This Row],[severity_score]]=0,"LOW",
 IF(ReconciliationData[[#This Row],[severity_score]]&lt;=5,"MEDIUM","HIGH"))</f>
        <v>LOW</v>
      </c>
      <c r="AC1674" t="str">
        <f>TEXT(ReconciliationData[[#This Row],[Order_Date]],"YYYY-MM")</f>
        <v>2023-07</v>
      </c>
    </row>
    <row r="1675" spans="1:29">
      <c r="A1675" t="s">
        <v>4489</v>
      </c>
      <c r="B1675" s="1">
        <v>45482</v>
      </c>
      <c r="C1675" t="s">
        <v>1640</v>
      </c>
      <c r="D1675" t="s">
        <v>658</v>
      </c>
      <c r="E1675">
        <v>152</v>
      </c>
      <c r="F1675" t="s">
        <v>4490</v>
      </c>
      <c r="G1675">
        <v>152</v>
      </c>
      <c r="H1675">
        <v>88.578000000000003</v>
      </c>
      <c r="N1675">
        <v>88.578000000000003</v>
      </c>
      <c r="O1675" s="1">
        <v>45107</v>
      </c>
      <c r="P1675">
        <f>IF(ISBLANK(ReconciliationData[[#This Row],[Invoice_ID]]),1,0)</f>
        <v>0</v>
      </c>
      <c r="Q1675">
        <f>IF(AND(NOT(ISBLANK(ReconciliationData[[#This Row],[Billed_Units]])),ReconciliationData[[#This Row],[ordered_units]]&lt;&gt;ReconciliationData[[#This Row],[Billed_Units]]),1,0)</f>
        <v>0</v>
      </c>
      <c r="R16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5">
        <f>IF(AND(NOT(ISBLANK(ReconciliationData[[#This Row],[Contract_Price]])),ReconciliationData[[#This Row],[Billed_Price]]&lt;&gt;ReconciliationData[[#This Row],[Contract_Price]]),1,0)</f>
        <v>0</v>
      </c>
      <c r="T1675">
        <f>IF(AND(NOT(ISBLANK(ReconciliationData[[#This Row],[End_Date]])),ReconciliationData[[#This Row],[Order_Date]]&gt;ReconciliationData[[#This Row],[End_Date]]),1,0)</f>
        <v>0</v>
      </c>
      <c r="U1675">
        <f>IF(AND(NOT(ISBLANK(ReconciliationData[[#This Row],[last_return_date]])),ReconciliationData[[#This Row],[last_return_date]]&gt;ReconciliationData[[#This Row],[Order_Date]]+60),1,0)</f>
        <v>0</v>
      </c>
      <c r="V1675">
        <f>IF(ReconciliationData[[#This Row],[total_returned_units]]&gt;ReconciliationData[[#This Row],[ordered_units]],1,0)</f>
        <v>0</v>
      </c>
      <c r="W16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5">
        <f>ReconciliationData[[#This Row],[Billed_Units]]*ReconciliationData[[#This Row],[Billed_Price]]</f>
        <v>13463.856</v>
      </c>
      <c r="Y1675">
        <f>ReconciliationData[[#This Row],[ordered_units]]*ReconciliationData[[#This Row],[List_Price]]</f>
        <v>13463.856</v>
      </c>
      <c r="Z1675">
        <f>ReconciliationData[[#This Row],[billed_revenue]]-ReconciliationData[[#This Row],[expected_revenue]]</f>
        <v>0</v>
      </c>
      <c r="AA16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5" t="str">
        <f>IF(ReconciliationData[[#This Row],[severity_score]]=0,"LOW",
 IF(ReconciliationData[[#This Row],[severity_score]]&lt;=5,"MEDIUM","HIGH"))</f>
        <v>LOW</v>
      </c>
      <c r="AC1675" t="str">
        <f>TEXT(ReconciliationData[[#This Row],[Order_Date]],"YYYY-MM")</f>
        <v>2024-07</v>
      </c>
    </row>
    <row r="1676" spans="1:29">
      <c r="A1676" t="s">
        <v>4491</v>
      </c>
      <c r="B1676" s="1">
        <v>45488</v>
      </c>
      <c r="C1676" t="s">
        <v>3496</v>
      </c>
      <c r="D1676" t="s">
        <v>674</v>
      </c>
      <c r="E1676">
        <v>165</v>
      </c>
      <c r="F1676" t="s">
        <v>4492</v>
      </c>
      <c r="G1676">
        <v>165</v>
      </c>
      <c r="H1676">
        <v>1061.7264</v>
      </c>
      <c r="N1676">
        <v>1061.7264</v>
      </c>
      <c r="O1676" s="1">
        <v>45180</v>
      </c>
      <c r="P1676">
        <f>IF(ISBLANK(ReconciliationData[[#This Row],[Invoice_ID]]),1,0)</f>
        <v>0</v>
      </c>
      <c r="Q1676">
        <f>IF(AND(NOT(ISBLANK(ReconciliationData[[#This Row],[Billed_Units]])),ReconciliationData[[#This Row],[ordered_units]]&lt;&gt;ReconciliationData[[#This Row],[Billed_Units]]),1,0)</f>
        <v>0</v>
      </c>
      <c r="R16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6">
        <f>IF(AND(NOT(ISBLANK(ReconciliationData[[#This Row],[Contract_Price]])),ReconciliationData[[#This Row],[Billed_Price]]&lt;&gt;ReconciliationData[[#This Row],[Contract_Price]]),1,0)</f>
        <v>0</v>
      </c>
      <c r="T1676">
        <f>IF(AND(NOT(ISBLANK(ReconciliationData[[#This Row],[End_Date]])),ReconciliationData[[#This Row],[Order_Date]]&gt;ReconciliationData[[#This Row],[End_Date]]),1,0)</f>
        <v>0</v>
      </c>
      <c r="U1676">
        <f>IF(AND(NOT(ISBLANK(ReconciliationData[[#This Row],[last_return_date]])),ReconciliationData[[#This Row],[last_return_date]]&gt;ReconciliationData[[#This Row],[Order_Date]]+60),1,0)</f>
        <v>0</v>
      </c>
      <c r="V1676">
        <f>IF(ReconciliationData[[#This Row],[total_returned_units]]&gt;ReconciliationData[[#This Row],[ordered_units]],1,0)</f>
        <v>0</v>
      </c>
      <c r="W16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6">
        <f>ReconciliationData[[#This Row],[Billed_Units]]*ReconciliationData[[#This Row],[Billed_Price]]</f>
        <v>175184.856</v>
      </c>
      <c r="Y1676">
        <f>ReconciliationData[[#This Row],[ordered_units]]*ReconciliationData[[#This Row],[List_Price]]</f>
        <v>175184.856</v>
      </c>
      <c r="Z1676">
        <f>ReconciliationData[[#This Row],[billed_revenue]]-ReconciliationData[[#This Row],[expected_revenue]]</f>
        <v>0</v>
      </c>
      <c r="AA16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6" t="str">
        <f>IF(ReconciliationData[[#This Row],[severity_score]]=0,"LOW",
 IF(ReconciliationData[[#This Row],[severity_score]]&lt;=5,"MEDIUM","HIGH"))</f>
        <v>LOW</v>
      </c>
      <c r="AC1676" t="str">
        <f>TEXT(ReconciliationData[[#This Row],[Order_Date]],"YYYY-MM")</f>
        <v>2024-07</v>
      </c>
    </row>
    <row r="1677" spans="1:29">
      <c r="A1677" t="s">
        <v>4493</v>
      </c>
      <c r="B1677" s="1">
        <v>45411</v>
      </c>
      <c r="C1677" t="s">
        <v>1033</v>
      </c>
      <c r="D1677" t="s">
        <v>306</v>
      </c>
      <c r="E1677">
        <v>4</v>
      </c>
      <c r="F1677" t="s">
        <v>4494</v>
      </c>
      <c r="G1677">
        <v>4</v>
      </c>
      <c r="H1677">
        <v>1211.7708</v>
      </c>
      <c r="N1677">
        <v>1211.7708</v>
      </c>
      <c r="O1677" s="1">
        <v>45193</v>
      </c>
      <c r="P1677">
        <f>IF(ISBLANK(ReconciliationData[[#This Row],[Invoice_ID]]),1,0)</f>
        <v>0</v>
      </c>
      <c r="Q1677">
        <f>IF(AND(NOT(ISBLANK(ReconciliationData[[#This Row],[Billed_Units]])),ReconciliationData[[#This Row],[ordered_units]]&lt;&gt;ReconciliationData[[#This Row],[Billed_Units]]),1,0)</f>
        <v>0</v>
      </c>
      <c r="R16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7">
        <f>IF(AND(NOT(ISBLANK(ReconciliationData[[#This Row],[Contract_Price]])),ReconciliationData[[#This Row],[Billed_Price]]&lt;&gt;ReconciliationData[[#This Row],[Contract_Price]]),1,0)</f>
        <v>0</v>
      </c>
      <c r="T1677">
        <f>IF(AND(NOT(ISBLANK(ReconciliationData[[#This Row],[End_Date]])),ReconciliationData[[#This Row],[Order_Date]]&gt;ReconciliationData[[#This Row],[End_Date]]),1,0)</f>
        <v>0</v>
      </c>
      <c r="U1677">
        <f>IF(AND(NOT(ISBLANK(ReconciliationData[[#This Row],[last_return_date]])),ReconciliationData[[#This Row],[last_return_date]]&gt;ReconciliationData[[#This Row],[Order_Date]]+60),1,0)</f>
        <v>0</v>
      </c>
      <c r="V1677">
        <f>IF(ReconciliationData[[#This Row],[total_returned_units]]&gt;ReconciliationData[[#This Row],[ordered_units]],1,0)</f>
        <v>0</v>
      </c>
      <c r="W16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7">
        <f>ReconciliationData[[#This Row],[Billed_Units]]*ReconciliationData[[#This Row],[Billed_Price]]</f>
        <v>4847.0832</v>
      </c>
      <c r="Y1677">
        <f>ReconciliationData[[#This Row],[ordered_units]]*ReconciliationData[[#This Row],[List_Price]]</f>
        <v>4847.0832</v>
      </c>
      <c r="Z1677">
        <f>ReconciliationData[[#This Row],[billed_revenue]]-ReconciliationData[[#This Row],[expected_revenue]]</f>
        <v>0</v>
      </c>
      <c r="AA16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7" t="str">
        <f>IF(ReconciliationData[[#This Row],[severity_score]]=0,"LOW",
 IF(ReconciliationData[[#This Row],[severity_score]]&lt;=5,"MEDIUM","HIGH"))</f>
        <v>LOW</v>
      </c>
      <c r="AC1677" t="str">
        <f>TEXT(ReconciliationData[[#This Row],[Order_Date]],"YYYY-MM")</f>
        <v>2024-04</v>
      </c>
    </row>
    <row r="1678" spans="1:29">
      <c r="A1678" t="s">
        <v>4495</v>
      </c>
      <c r="B1678" s="1">
        <v>45462</v>
      </c>
      <c r="C1678" t="s">
        <v>915</v>
      </c>
      <c r="D1678" t="s">
        <v>1812</v>
      </c>
      <c r="E1678">
        <v>149</v>
      </c>
      <c r="F1678" t="s">
        <v>4496</v>
      </c>
      <c r="G1678">
        <v>149</v>
      </c>
      <c r="H1678">
        <v>226.88399999999999</v>
      </c>
      <c r="N1678">
        <v>226.88399999999999</v>
      </c>
      <c r="O1678" s="1">
        <v>45086</v>
      </c>
      <c r="P1678">
        <f>IF(ISBLANK(ReconciliationData[[#This Row],[Invoice_ID]]),1,0)</f>
        <v>0</v>
      </c>
      <c r="Q1678">
        <f>IF(AND(NOT(ISBLANK(ReconciliationData[[#This Row],[Billed_Units]])),ReconciliationData[[#This Row],[ordered_units]]&lt;&gt;ReconciliationData[[#This Row],[Billed_Units]]),1,0)</f>
        <v>0</v>
      </c>
      <c r="R16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8">
        <f>IF(AND(NOT(ISBLANK(ReconciliationData[[#This Row],[Contract_Price]])),ReconciliationData[[#This Row],[Billed_Price]]&lt;&gt;ReconciliationData[[#This Row],[Contract_Price]]),1,0)</f>
        <v>0</v>
      </c>
      <c r="T1678">
        <f>IF(AND(NOT(ISBLANK(ReconciliationData[[#This Row],[End_Date]])),ReconciliationData[[#This Row],[Order_Date]]&gt;ReconciliationData[[#This Row],[End_Date]]),1,0)</f>
        <v>0</v>
      </c>
      <c r="U1678">
        <f>IF(AND(NOT(ISBLANK(ReconciliationData[[#This Row],[last_return_date]])),ReconciliationData[[#This Row],[last_return_date]]&gt;ReconciliationData[[#This Row],[Order_Date]]+60),1,0)</f>
        <v>0</v>
      </c>
      <c r="V1678">
        <f>IF(ReconciliationData[[#This Row],[total_returned_units]]&gt;ReconciliationData[[#This Row],[ordered_units]],1,0)</f>
        <v>0</v>
      </c>
      <c r="W16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8">
        <f>ReconciliationData[[#This Row],[Billed_Units]]*ReconciliationData[[#This Row],[Billed_Price]]</f>
        <v>33805.716</v>
      </c>
      <c r="Y1678">
        <f>ReconciliationData[[#This Row],[ordered_units]]*ReconciliationData[[#This Row],[List_Price]]</f>
        <v>33805.716</v>
      </c>
      <c r="Z1678">
        <f>ReconciliationData[[#This Row],[billed_revenue]]-ReconciliationData[[#This Row],[expected_revenue]]</f>
        <v>0</v>
      </c>
      <c r="AA16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8" t="str">
        <f>IF(ReconciliationData[[#This Row],[severity_score]]=0,"LOW",
 IF(ReconciliationData[[#This Row],[severity_score]]&lt;=5,"MEDIUM","HIGH"))</f>
        <v>LOW</v>
      </c>
      <c r="AC1678" t="str">
        <f>TEXT(ReconciliationData[[#This Row],[Order_Date]],"YYYY-MM")</f>
        <v>2024-06</v>
      </c>
    </row>
    <row r="1679" spans="1:29">
      <c r="A1679" t="s">
        <v>4497</v>
      </c>
      <c r="B1679" s="1">
        <v>45208</v>
      </c>
      <c r="C1679" t="s">
        <v>2165</v>
      </c>
      <c r="D1679" t="s">
        <v>247</v>
      </c>
      <c r="E1679">
        <v>38</v>
      </c>
      <c r="F1679" t="s">
        <v>4498</v>
      </c>
      <c r="G1679">
        <v>38</v>
      </c>
      <c r="H1679">
        <v>715.86900000000003</v>
      </c>
      <c r="N1679">
        <v>715.86900000000003</v>
      </c>
      <c r="O1679" s="1">
        <v>45140</v>
      </c>
      <c r="P1679">
        <f>IF(ISBLANK(ReconciliationData[[#This Row],[Invoice_ID]]),1,0)</f>
        <v>0</v>
      </c>
      <c r="Q1679">
        <f>IF(AND(NOT(ISBLANK(ReconciliationData[[#This Row],[Billed_Units]])),ReconciliationData[[#This Row],[ordered_units]]&lt;&gt;ReconciliationData[[#This Row],[Billed_Units]]),1,0)</f>
        <v>0</v>
      </c>
      <c r="R16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79">
        <f>IF(AND(NOT(ISBLANK(ReconciliationData[[#This Row],[Contract_Price]])),ReconciliationData[[#This Row],[Billed_Price]]&lt;&gt;ReconciliationData[[#This Row],[Contract_Price]]),1,0)</f>
        <v>0</v>
      </c>
      <c r="T1679">
        <f>IF(AND(NOT(ISBLANK(ReconciliationData[[#This Row],[End_Date]])),ReconciliationData[[#This Row],[Order_Date]]&gt;ReconciliationData[[#This Row],[End_Date]]),1,0)</f>
        <v>0</v>
      </c>
      <c r="U1679">
        <f>IF(AND(NOT(ISBLANK(ReconciliationData[[#This Row],[last_return_date]])),ReconciliationData[[#This Row],[last_return_date]]&gt;ReconciliationData[[#This Row],[Order_Date]]+60),1,0)</f>
        <v>0</v>
      </c>
      <c r="V1679">
        <f>IF(ReconciliationData[[#This Row],[total_returned_units]]&gt;ReconciliationData[[#This Row],[ordered_units]],1,0)</f>
        <v>0</v>
      </c>
      <c r="W16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79">
        <f>ReconciliationData[[#This Row],[Billed_Units]]*ReconciliationData[[#This Row],[Billed_Price]]</f>
        <v>27203.022000000001</v>
      </c>
      <c r="Y1679">
        <f>ReconciliationData[[#This Row],[ordered_units]]*ReconciliationData[[#This Row],[List_Price]]</f>
        <v>27203.022000000001</v>
      </c>
      <c r="Z1679">
        <f>ReconciliationData[[#This Row],[billed_revenue]]-ReconciliationData[[#This Row],[expected_revenue]]</f>
        <v>0</v>
      </c>
      <c r="AA16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79" t="str">
        <f>IF(ReconciliationData[[#This Row],[severity_score]]=0,"LOW",
 IF(ReconciliationData[[#This Row],[severity_score]]&lt;=5,"MEDIUM","HIGH"))</f>
        <v>LOW</v>
      </c>
      <c r="AC1679" t="str">
        <f>TEXT(ReconciliationData[[#This Row],[Order_Date]],"YYYY-MM")</f>
        <v>2023-10</v>
      </c>
    </row>
    <row r="1680" spans="1:29">
      <c r="A1680" t="s">
        <v>4499</v>
      </c>
      <c r="B1680" s="1">
        <v>44930</v>
      </c>
      <c r="C1680" t="s">
        <v>1135</v>
      </c>
      <c r="D1680" t="s">
        <v>381</v>
      </c>
      <c r="E1680">
        <v>152</v>
      </c>
      <c r="F1680" t="s">
        <v>4500</v>
      </c>
      <c r="G1680">
        <v>152</v>
      </c>
      <c r="H1680">
        <v>933.82110000000011</v>
      </c>
      <c r="N1680">
        <v>933.82110000000011</v>
      </c>
      <c r="O1680" s="1">
        <v>44855</v>
      </c>
      <c r="P1680">
        <f>IF(ISBLANK(ReconciliationData[[#This Row],[Invoice_ID]]),1,0)</f>
        <v>0</v>
      </c>
      <c r="Q1680">
        <f>IF(AND(NOT(ISBLANK(ReconciliationData[[#This Row],[Billed_Units]])),ReconciliationData[[#This Row],[ordered_units]]&lt;&gt;ReconciliationData[[#This Row],[Billed_Units]]),1,0)</f>
        <v>0</v>
      </c>
      <c r="R16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80">
        <f>IF(AND(NOT(ISBLANK(ReconciliationData[[#This Row],[Contract_Price]])),ReconciliationData[[#This Row],[Billed_Price]]&lt;&gt;ReconciliationData[[#This Row],[Contract_Price]]),1,0)</f>
        <v>0</v>
      </c>
      <c r="T1680">
        <f>IF(AND(NOT(ISBLANK(ReconciliationData[[#This Row],[End_Date]])),ReconciliationData[[#This Row],[Order_Date]]&gt;ReconciliationData[[#This Row],[End_Date]]),1,0)</f>
        <v>0</v>
      </c>
      <c r="U1680">
        <f>IF(AND(NOT(ISBLANK(ReconciliationData[[#This Row],[last_return_date]])),ReconciliationData[[#This Row],[last_return_date]]&gt;ReconciliationData[[#This Row],[Order_Date]]+60),1,0)</f>
        <v>0</v>
      </c>
      <c r="V1680">
        <f>IF(ReconciliationData[[#This Row],[total_returned_units]]&gt;ReconciliationData[[#This Row],[ordered_units]],1,0)</f>
        <v>0</v>
      </c>
      <c r="W16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80">
        <f>ReconciliationData[[#This Row],[Billed_Units]]*ReconciliationData[[#This Row],[Billed_Price]]</f>
        <v>141940.80720000001</v>
      </c>
      <c r="Y1680">
        <f>ReconciliationData[[#This Row],[ordered_units]]*ReconciliationData[[#This Row],[List_Price]]</f>
        <v>141940.80720000001</v>
      </c>
      <c r="Z1680">
        <f>ReconciliationData[[#This Row],[billed_revenue]]-ReconciliationData[[#This Row],[expected_revenue]]</f>
        <v>0</v>
      </c>
      <c r="AA16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80" t="str">
        <f>IF(ReconciliationData[[#This Row],[severity_score]]=0,"LOW",
 IF(ReconciliationData[[#This Row],[severity_score]]&lt;=5,"MEDIUM","HIGH"))</f>
        <v>LOW</v>
      </c>
      <c r="AC1680" t="str">
        <f>TEXT(ReconciliationData[[#This Row],[Order_Date]],"YYYY-MM")</f>
        <v>2023-01</v>
      </c>
    </row>
    <row r="1681" spans="1:29">
      <c r="A1681" t="s">
        <v>4501</v>
      </c>
      <c r="B1681" s="1">
        <v>45548</v>
      </c>
      <c r="C1681" t="s">
        <v>1987</v>
      </c>
      <c r="D1681" t="s">
        <v>412</v>
      </c>
      <c r="E1681">
        <v>22</v>
      </c>
      <c r="F1681" t="s">
        <v>4502</v>
      </c>
      <c r="G1681">
        <v>22</v>
      </c>
      <c r="H1681">
        <v>1160.5650000000001</v>
      </c>
      <c r="N1681">
        <v>1160.5650000000001</v>
      </c>
      <c r="O1681" s="1">
        <v>45055</v>
      </c>
      <c r="P1681">
        <f>IF(ISBLANK(ReconciliationData[[#This Row],[Invoice_ID]]),1,0)</f>
        <v>0</v>
      </c>
      <c r="Q1681">
        <f>IF(AND(NOT(ISBLANK(ReconciliationData[[#This Row],[Billed_Units]])),ReconciliationData[[#This Row],[ordered_units]]&lt;&gt;ReconciliationData[[#This Row],[Billed_Units]]),1,0)</f>
        <v>0</v>
      </c>
      <c r="R16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81">
        <f>IF(AND(NOT(ISBLANK(ReconciliationData[[#This Row],[Contract_Price]])),ReconciliationData[[#This Row],[Billed_Price]]&lt;&gt;ReconciliationData[[#This Row],[Contract_Price]]),1,0)</f>
        <v>0</v>
      </c>
      <c r="T1681">
        <f>IF(AND(NOT(ISBLANK(ReconciliationData[[#This Row],[End_Date]])),ReconciliationData[[#This Row],[Order_Date]]&gt;ReconciliationData[[#This Row],[End_Date]]),1,0)</f>
        <v>0</v>
      </c>
      <c r="U1681">
        <f>IF(AND(NOT(ISBLANK(ReconciliationData[[#This Row],[last_return_date]])),ReconciliationData[[#This Row],[last_return_date]]&gt;ReconciliationData[[#This Row],[Order_Date]]+60),1,0)</f>
        <v>0</v>
      </c>
      <c r="V1681">
        <f>IF(ReconciliationData[[#This Row],[total_returned_units]]&gt;ReconciliationData[[#This Row],[ordered_units]],1,0)</f>
        <v>0</v>
      </c>
      <c r="W16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81">
        <f>ReconciliationData[[#This Row],[Billed_Units]]*ReconciliationData[[#This Row],[Billed_Price]]</f>
        <v>25532.43</v>
      </c>
      <c r="Y1681">
        <f>ReconciliationData[[#This Row],[ordered_units]]*ReconciliationData[[#This Row],[List_Price]]</f>
        <v>25532.43</v>
      </c>
      <c r="Z1681">
        <f>ReconciliationData[[#This Row],[billed_revenue]]-ReconciliationData[[#This Row],[expected_revenue]]</f>
        <v>0</v>
      </c>
      <c r="AA16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81" t="str">
        <f>IF(ReconciliationData[[#This Row],[severity_score]]=0,"LOW",
 IF(ReconciliationData[[#This Row],[severity_score]]&lt;=5,"MEDIUM","HIGH"))</f>
        <v>LOW</v>
      </c>
      <c r="AC1681" t="str">
        <f>TEXT(ReconciliationData[[#This Row],[Order_Date]],"YYYY-MM")</f>
        <v>2024-09</v>
      </c>
    </row>
    <row r="1682" spans="1:29">
      <c r="A1682" t="s">
        <v>4503</v>
      </c>
      <c r="B1682" s="1">
        <v>45174</v>
      </c>
      <c r="C1682" t="s">
        <v>1104</v>
      </c>
      <c r="D1682" t="s">
        <v>1559</v>
      </c>
      <c r="E1682">
        <v>21</v>
      </c>
      <c r="F1682" t="s">
        <v>4504</v>
      </c>
      <c r="G1682">
        <v>21</v>
      </c>
      <c r="H1682">
        <v>1065.7722000000001</v>
      </c>
      <c r="N1682">
        <v>1065.7722000000001</v>
      </c>
      <c r="O1682" s="1">
        <v>44936</v>
      </c>
      <c r="P1682">
        <f>IF(ISBLANK(ReconciliationData[[#This Row],[Invoice_ID]]),1,0)</f>
        <v>0</v>
      </c>
      <c r="Q1682">
        <f>IF(AND(NOT(ISBLANK(ReconciliationData[[#This Row],[Billed_Units]])),ReconciliationData[[#This Row],[ordered_units]]&lt;&gt;ReconciliationData[[#This Row],[Billed_Units]]),1,0)</f>
        <v>0</v>
      </c>
      <c r="R16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82">
        <f>IF(AND(NOT(ISBLANK(ReconciliationData[[#This Row],[Contract_Price]])),ReconciliationData[[#This Row],[Billed_Price]]&lt;&gt;ReconciliationData[[#This Row],[Contract_Price]]),1,0)</f>
        <v>0</v>
      </c>
      <c r="T1682">
        <f>IF(AND(NOT(ISBLANK(ReconciliationData[[#This Row],[End_Date]])),ReconciliationData[[#This Row],[Order_Date]]&gt;ReconciliationData[[#This Row],[End_Date]]),1,0)</f>
        <v>0</v>
      </c>
      <c r="U1682">
        <f>IF(AND(NOT(ISBLANK(ReconciliationData[[#This Row],[last_return_date]])),ReconciliationData[[#This Row],[last_return_date]]&gt;ReconciliationData[[#This Row],[Order_Date]]+60),1,0)</f>
        <v>0</v>
      </c>
      <c r="V1682">
        <f>IF(ReconciliationData[[#This Row],[total_returned_units]]&gt;ReconciliationData[[#This Row],[ordered_units]],1,0)</f>
        <v>0</v>
      </c>
      <c r="W16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82">
        <f>ReconciliationData[[#This Row],[Billed_Units]]*ReconciliationData[[#This Row],[Billed_Price]]</f>
        <v>22381.216200000003</v>
      </c>
      <c r="Y1682">
        <f>ReconciliationData[[#This Row],[ordered_units]]*ReconciliationData[[#This Row],[List_Price]]</f>
        <v>22381.216200000003</v>
      </c>
      <c r="Z1682">
        <f>ReconciliationData[[#This Row],[billed_revenue]]-ReconciliationData[[#This Row],[expected_revenue]]</f>
        <v>0</v>
      </c>
      <c r="AA16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82" t="str">
        <f>IF(ReconciliationData[[#This Row],[severity_score]]=0,"LOW",
 IF(ReconciliationData[[#This Row],[severity_score]]&lt;=5,"MEDIUM","HIGH"))</f>
        <v>LOW</v>
      </c>
      <c r="AC1682" t="str">
        <f>TEXT(ReconciliationData[[#This Row],[Order_Date]],"YYYY-MM")</f>
        <v>2023-09</v>
      </c>
    </row>
    <row r="1683" spans="1:29">
      <c r="A1683" t="s">
        <v>4505</v>
      </c>
      <c r="B1683" s="1">
        <v>45260</v>
      </c>
      <c r="C1683" t="s">
        <v>1693</v>
      </c>
      <c r="D1683" t="s">
        <v>577</v>
      </c>
      <c r="E1683">
        <v>42</v>
      </c>
      <c r="F1683" t="s">
        <v>4506</v>
      </c>
      <c r="G1683">
        <v>42</v>
      </c>
      <c r="H1683">
        <v>1093.1199999999999</v>
      </c>
      <c r="N1683">
        <v>1093.1199999999999</v>
      </c>
      <c r="O1683" s="1">
        <v>45035</v>
      </c>
      <c r="P1683">
        <f>IF(ISBLANK(ReconciliationData[[#This Row],[Invoice_ID]]),1,0)</f>
        <v>0</v>
      </c>
      <c r="Q1683">
        <f>IF(AND(NOT(ISBLANK(ReconciliationData[[#This Row],[Billed_Units]])),ReconciliationData[[#This Row],[ordered_units]]&lt;&gt;ReconciliationData[[#This Row],[Billed_Units]]),1,0)</f>
        <v>0</v>
      </c>
      <c r="R16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83">
        <f>IF(AND(NOT(ISBLANK(ReconciliationData[[#This Row],[Contract_Price]])),ReconciliationData[[#This Row],[Billed_Price]]&lt;&gt;ReconciliationData[[#This Row],[Contract_Price]]),1,0)</f>
        <v>0</v>
      </c>
      <c r="T1683">
        <f>IF(AND(NOT(ISBLANK(ReconciliationData[[#This Row],[End_Date]])),ReconciliationData[[#This Row],[Order_Date]]&gt;ReconciliationData[[#This Row],[End_Date]]),1,0)</f>
        <v>0</v>
      </c>
      <c r="U1683">
        <f>IF(AND(NOT(ISBLANK(ReconciliationData[[#This Row],[last_return_date]])),ReconciliationData[[#This Row],[last_return_date]]&gt;ReconciliationData[[#This Row],[Order_Date]]+60),1,0)</f>
        <v>0</v>
      </c>
      <c r="V1683">
        <f>IF(ReconciliationData[[#This Row],[total_returned_units]]&gt;ReconciliationData[[#This Row],[ordered_units]],1,0)</f>
        <v>0</v>
      </c>
      <c r="W16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83">
        <f>ReconciliationData[[#This Row],[Billed_Units]]*ReconciliationData[[#This Row],[Billed_Price]]</f>
        <v>45911.039999999994</v>
      </c>
      <c r="Y1683">
        <f>ReconciliationData[[#This Row],[ordered_units]]*ReconciliationData[[#This Row],[List_Price]]</f>
        <v>45911.039999999994</v>
      </c>
      <c r="Z1683">
        <f>ReconciliationData[[#This Row],[billed_revenue]]-ReconciliationData[[#This Row],[expected_revenue]]</f>
        <v>0</v>
      </c>
      <c r="AA16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83" t="str">
        <f>IF(ReconciliationData[[#This Row],[severity_score]]=0,"LOW",
 IF(ReconciliationData[[#This Row],[severity_score]]&lt;=5,"MEDIUM","HIGH"))</f>
        <v>LOW</v>
      </c>
      <c r="AC1683" t="str">
        <f>TEXT(ReconciliationData[[#This Row],[Order_Date]],"YYYY-MM")</f>
        <v>2023-11</v>
      </c>
    </row>
    <row r="1684" spans="1:29">
      <c r="A1684" t="s">
        <v>4507</v>
      </c>
      <c r="B1684" s="1">
        <v>45008</v>
      </c>
      <c r="C1684" t="s">
        <v>1716</v>
      </c>
      <c r="D1684" t="s">
        <v>4508</v>
      </c>
      <c r="E1684">
        <v>40</v>
      </c>
      <c r="F1684" t="s">
        <v>4509</v>
      </c>
      <c r="G1684">
        <v>40</v>
      </c>
      <c r="H1684">
        <v>728.84</v>
      </c>
      <c r="N1684">
        <v>728.84</v>
      </c>
      <c r="O1684" s="1">
        <v>44626</v>
      </c>
      <c r="P1684">
        <f>IF(ISBLANK(ReconciliationData[[#This Row],[Invoice_ID]]),1,0)</f>
        <v>0</v>
      </c>
      <c r="Q1684">
        <f>IF(AND(NOT(ISBLANK(ReconciliationData[[#This Row],[Billed_Units]])),ReconciliationData[[#This Row],[ordered_units]]&lt;&gt;ReconciliationData[[#This Row],[Billed_Units]]),1,0)</f>
        <v>0</v>
      </c>
      <c r="R16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84">
        <f>IF(AND(NOT(ISBLANK(ReconciliationData[[#This Row],[Contract_Price]])),ReconciliationData[[#This Row],[Billed_Price]]&lt;&gt;ReconciliationData[[#This Row],[Contract_Price]]),1,0)</f>
        <v>0</v>
      </c>
      <c r="T1684">
        <f>IF(AND(NOT(ISBLANK(ReconciliationData[[#This Row],[End_Date]])),ReconciliationData[[#This Row],[Order_Date]]&gt;ReconciliationData[[#This Row],[End_Date]]),1,0)</f>
        <v>0</v>
      </c>
      <c r="U1684">
        <f>IF(AND(NOT(ISBLANK(ReconciliationData[[#This Row],[last_return_date]])),ReconciliationData[[#This Row],[last_return_date]]&gt;ReconciliationData[[#This Row],[Order_Date]]+60),1,0)</f>
        <v>0</v>
      </c>
      <c r="V1684">
        <f>IF(ReconciliationData[[#This Row],[total_returned_units]]&gt;ReconciliationData[[#This Row],[ordered_units]],1,0)</f>
        <v>0</v>
      </c>
      <c r="W16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84">
        <f>ReconciliationData[[#This Row],[Billed_Units]]*ReconciliationData[[#This Row],[Billed_Price]]</f>
        <v>29153.600000000002</v>
      </c>
      <c r="Y1684">
        <f>ReconciliationData[[#This Row],[ordered_units]]*ReconciliationData[[#This Row],[List_Price]]</f>
        <v>29153.600000000002</v>
      </c>
      <c r="Z1684">
        <f>ReconciliationData[[#This Row],[billed_revenue]]-ReconciliationData[[#This Row],[expected_revenue]]</f>
        <v>0</v>
      </c>
      <c r="AA16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84" t="str">
        <f>IF(ReconciliationData[[#This Row],[severity_score]]=0,"LOW",
 IF(ReconciliationData[[#This Row],[severity_score]]&lt;=5,"MEDIUM","HIGH"))</f>
        <v>LOW</v>
      </c>
      <c r="AC1684" t="str">
        <f>TEXT(ReconciliationData[[#This Row],[Order_Date]],"YYYY-MM")</f>
        <v>2023-03</v>
      </c>
    </row>
    <row r="1685" spans="1:29">
      <c r="A1685" t="s">
        <v>4510</v>
      </c>
      <c r="B1685" s="1">
        <v>44978</v>
      </c>
      <c r="C1685" t="s">
        <v>3562</v>
      </c>
      <c r="D1685" t="s">
        <v>1179</v>
      </c>
      <c r="E1685">
        <v>177</v>
      </c>
      <c r="F1685" t="s">
        <v>4511</v>
      </c>
      <c r="G1685">
        <v>177</v>
      </c>
      <c r="H1685">
        <v>953.97479999999996</v>
      </c>
      <c r="N1685">
        <v>953.97479999999996</v>
      </c>
      <c r="O1685" s="1">
        <v>44926</v>
      </c>
      <c r="P1685">
        <f>IF(ISBLANK(ReconciliationData[[#This Row],[Invoice_ID]]),1,0)</f>
        <v>0</v>
      </c>
      <c r="Q1685">
        <f>IF(AND(NOT(ISBLANK(ReconciliationData[[#This Row],[Billed_Units]])),ReconciliationData[[#This Row],[ordered_units]]&lt;&gt;ReconciliationData[[#This Row],[Billed_Units]]),1,0)</f>
        <v>0</v>
      </c>
      <c r="R16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85">
        <f>IF(AND(NOT(ISBLANK(ReconciliationData[[#This Row],[Contract_Price]])),ReconciliationData[[#This Row],[Billed_Price]]&lt;&gt;ReconciliationData[[#This Row],[Contract_Price]]),1,0)</f>
        <v>0</v>
      </c>
      <c r="T1685">
        <f>IF(AND(NOT(ISBLANK(ReconciliationData[[#This Row],[End_Date]])),ReconciliationData[[#This Row],[Order_Date]]&gt;ReconciliationData[[#This Row],[End_Date]]),1,0)</f>
        <v>0</v>
      </c>
      <c r="U1685">
        <f>IF(AND(NOT(ISBLANK(ReconciliationData[[#This Row],[last_return_date]])),ReconciliationData[[#This Row],[last_return_date]]&gt;ReconciliationData[[#This Row],[Order_Date]]+60),1,0)</f>
        <v>0</v>
      </c>
      <c r="V1685">
        <f>IF(ReconciliationData[[#This Row],[total_returned_units]]&gt;ReconciliationData[[#This Row],[ordered_units]],1,0)</f>
        <v>0</v>
      </c>
      <c r="W16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85">
        <f>ReconciliationData[[#This Row],[Billed_Units]]*ReconciliationData[[#This Row],[Billed_Price]]</f>
        <v>168853.53959999999</v>
      </c>
      <c r="Y1685">
        <f>ReconciliationData[[#This Row],[ordered_units]]*ReconciliationData[[#This Row],[List_Price]]</f>
        <v>168853.53959999999</v>
      </c>
      <c r="Z1685">
        <f>ReconciliationData[[#This Row],[billed_revenue]]-ReconciliationData[[#This Row],[expected_revenue]]</f>
        <v>0</v>
      </c>
      <c r="AA16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85" t="str">
        <f>IF(ReconciliationData[[#This Row],[severity_score]]=0,"LOW",
 IF(ReconciliationData[[#This Row],[severity_score]]&lt;=5,"MEDIUM","HIGH"))</f>
        <v>LOW</v>
      </c>
      <c r="AC1685" t="str">
        <f>TEXT(ReconciliationData[[#This Row],[Order_Date]],"YYYY-MM")</f>
        <v>2023-02</v>
      </c>
    </row>
    <row r="1686" spans="1:29">
      <c r="A1686" t="s">
        <v>4512</v>
      </c>
      <c r="B1686" s="1">
        <v>45544</v>
      </c>
      <c r="C1686" t="s">
        <v>4381</v>
      </c>
      <c r="D1686" t="s">
        <v>360</v>
      </c>
      <c r="E1686">
        <v>95</v>
      </c>
      <c r="F1686" t="s">
        <v>4513</v>
      </c>
      <c r="G1686">
        <v>95</v>
      </c>
      <c r="H1686">
        <v>465.21179999999998</v>
      </c>
      <c r="N1686">
        <v>465.21179999999998</v>
      </c>
      <c r="O1686" s="1">
        <v>45137</v>
      </c>
      <c r="P1686">
        <f>IF(ISBLANK(ReconciliationData[[#This Row],[Invoice_ID]]),1,0)</f>
        <v>0</v>
      </c>
      <c r="Q1686">
        <f>IF(AND(NOT(ISBLANK(ReconciliationData[[#This Row],[Billed_Units]])),ReconciliationData[[#This Row],[ordered_units]]&lt;&gt;ReconciliationData[[#This Row],[Billed_Units]]),1,0)</f>
        <v>0</v>
      </c>
      <c r="R16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86">
        <f>IF(AND(NOT(ISBLANK(ReconciliationData[[#This Row],[Contract_Price]])),ReconciliationData[[#This Row],[Billed_Price]]&lt;&gt;ReconciliationData[[#This Row],[Contract_Price]]),1,0)</f>
        <v>0</v>
      </c>
      <c r="T1686">
        <f>IF(AND(NOT(ISBLANK(ReconciliationData[[#This Row],[End_Date]])),ReconciliationData[[#This Row],[Order_Date]]&gt;ReconciliationData[[#This Row],[End_Date]]),1,0)</f>
        <v>0</v>
      </c>
      <c r="U1686">
        <f>IF(AND(NOT(ISBLANK(ReconciliationData[[#This Row],[last_return_date]])),ReconciliationData[[#This Row],[last_return_date]]&gt;ReconciliationData[[#This Row],[Order_Date]]+60),1,0)</f>
        <v>0</v>
      </c>
      <c r="V1686">
        <f>IF(ReconciliationData[[#This Row],[total_returned_units]]&gt;ReconciliationData[[#This Row],[ordered_units]],1,0)</f>
        <v>0</v>
      </c>
      <c r="W16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86">
        <f>ReconciliationData[[#This Row],[Billed_Units]]*ReconciliationData[[#This Row],[Billed_Price]]</f>
        <v>44195.120999999999</v>
      </c>
      <c r="Y1686">
        <f>ReconciliationData[[#This Row],[ordered_units]]*ReconciliationData[[#This Row],[List_Price]]</f>
        <v>44195.120999999999</v>
      </c>
      <c r="Z1686">
        <f>ReconciliationData[[#This Row],[billed_revenue]]-ReconciliationData[[#This Row],[expected_revenue]]</f>
        <v>0</v>
      </c>
      <c r="AA16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86" t="str">
        <f>IF(ReconciliationData[[#This Row],[severity_score]]=0,"LOW",
 IF(ReconciliationData[[#This Row],[severity_score]]&lt;=5,"MEDIUM","HIGH"))</f>
        <v>LOW</v>
      </c>
      <c r="AC1686" t="str">
        <f>TEXT(ReconciliationData[[#This Row],[Order_Date]],"YYYY-MM")</f>
        <v>2024-09</v>
      </c>
    </row>
    <row r="1687" spans="1:29">
      <c r="A1687" t="s">
        <v>4514</v>
      </c>
      <c r="B1687" s="1">
        <v>45177</v>
      </c>
      <c r="C1687" t="s">
        <v>855</v>
      </c>
      <c r="D1687" t="s">
        <v>3954</v>
      </c>
      <c r="E1687">
        <v>21</v>
      </c>
      <c r="F1687" t="s">
        <v>4515</v>
      </c>
      <c r="G1687">
        <v>21</v>
      </c>
      <c r="H1687">
        <v>269.95269999999999</v>
      </c>
      <c r="I1687">
        <v>4</v>
      </c>
      <c r="J1687" s="1">
        <v>45635</v>
      </c>
      <c r="N1687">
        <v>269.95269999999999</v>
      </c>
      <c r="O1687" s="1">
        <v>44781</v>
      </c>
      <c r="P1687">
        <f>IF(ISBLANK(ReconciliationData[[#This Row],[Invoice_ID]]),1,0)</f>
        <v>0</v>
      </c>
      <c r="Q1687">
        <f>IF(AND(NOT(ISBLANK(ReconciliationData[[#This Row],[Billed_Units]])),ReconciliationData[[#This Row],[ordered_units]]&lt;&gt;ReconciliationData[[#This Row],[Billed_Units]]),1,0)</f>
        <v>0</v>
      </c>
      <c r="R16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87">
        <f>IF(AND(NOT(ISBLANK(ReconciliationData[[#This Row],[Contract_Price]])),ReconciliationData[[#This Row],[Billed_Price]]&lt;&gt;ReconciliationData[[#This Row],[Contract_Price]]),1,0)</f>
        <v>0</v>
      </c>
      <c r="T1687">
        <f>IF(AND(NOT(ISBLANK(ReconciliationData[[#This Row],[End_Date]])),ReconciliationData[[#This Row],[Order_Date]]&gt;ReconciliationData[[#This Row],[End_Date]]),1,0)</f>
        <v>0</v>
      </c>
      <c r="U1687">
        <f>IF(AND(NOT(ISBLANK(ReconciliationData[[#This Row],[last_return_date]])),ReconciliationData[[#This Row],[last_return_date]]&gt;ReconciliationData[[#This Row],[Order_Date]]+60),1,0)</f>
        <v>1</v>
      </c>
      <c r="V1687">
        <f>IF(ReconciliationData[[#This Row],[total_returned_units]]&gt;ReconciliationData[[#This Row],[ordered_units]],1,0)</f>
        <v>0</v>
      </c>
      <c r="W16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87">
        <f>ReconciliationData[[#This Row],[Billed_Units]]*ReconciliationData[[#This Row],[Billed_Price]]</f>
        <v>5669.0066999999999</v>
      </c>
      <c r="Y1687">
        <f>ReconciliationData[[#This Row],[ordered_units]]*ReconciliationData[[#This Row],[List_Price]]</f>
        <v>5669.0066999999999</v>
      </c>
      <c r="Z1687">
        <f>ReconciliationData[[#This Row],[billed_revenue]]-ReconciliationData[[#This Row],[expected_revenue]]</f>
        <v>0</v>
      </c>
      <c r="AA16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687" t="str">
        <f>IF(ReconciliationData[[#This Row],[severity_score]]=0,"LOW",
 IF(ReconciliationData[[#This Row],[severity_score]]&lt;=5,"MEDIUM","HIGH"))</f>
        <v>MEDIUM</v>
      </c>
      <c r="AC1687" t="str">
        <f>TEXT(ReconciliationData[[#This Row],[Order_Date]],"YYYY-MM")</f>
        <v>2023-09</v>
      </c>
    </row>
    <row r="1688" spans="1:29">
      <c r="A1688" t="s">
        <v>4516</v>
      </c>
      <c r="B1688" s="1">
        <v>45027</v>
      </c>
      <c r="C1688" t="s">
        <v>2280</v>
      </c>
      <c r="D1688" t="s">
        <v>174</v>
      </c>
      <c r="E1688">
        <v>10</v>
      </c>
      <c r="F1688" t="s">
        <v>4517</v>
      </c>
      <c r="G1688">
        <v>10</v>
      </c>
      <c r="H1688">
        <v>457.28011284833457</v>
      </c>
      <c r="I1688">
        <v>5</v>
      </c>
      <c r="J1688" s="1">
        <v>45429</v>
      </c>
      <c r="N1688">
        <v>457.16640000000001</v>
      </c>
      <c r="O1688" s="1">
        <v>45008</v>
      </c>
      <c r="P1688">
        <f>IF(ISBLANK(ReconciliationData[[#This Row],[Invoice_ID]]),1,0)</f>
        <v>0</v>
      </c>
      <c r="Q1688">
        <f>IF(AND(NOT(ISBLANK(ReconciliationData[[#This Row],[Billed_Units]])),ReconciliationData[[#This Row],[ordered_units]]&lt;&gt;ReconciliationData[[#This Row],[Billed_Units]]),1,0)</f>
        <v>0</v>
      </c>
      <c r="R1688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688">
        <f>IF(AND(NOT(ISBLANK(ReconciliationData[[#This Row],[Contract_Price]])),ReconciliationData[[#This Row],[Billed_Price]]&lt;&gt;ReconciliationData[[#This Row],[Contract_Price]]),1,0)</f>
        <v>0</v>
      </c>
      <c r="T1688">
        <f>IF(AND(NOT(ISBLANK(ReconciliationData[[#This Row],[End_Date]])),ReconciliationData[[#This Row],[Order_Date]]&gt;ReconciliationData[[#This Row],[End_Date]]),1,0)</f>
        <v>0</v>
      </c>
      <c r="U1688">
        <f>IF(AND(NOT(ISBLANK(ReconciliationData[[#This Row],[last_return_date]])),ReconciliationData[[#This Row],[last_return_date]]&gt;ReconciliationData[[#This Row],[Order_Date]]+60),1,0)</f>
        <v>1</v>
      </c>
      <c r="V1688">
        <f>IF(ReconciliationData[[#This Row],[total_returned_units]]&gt;ReconciliationData[[#This Row],[ordered_units]],1,0)</f>
        <v>0</v>
      </c>
      <c r="W16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88">
        <f>ReconciliationData[[#This Row],[Billed_Units]]*ReconciliationData[[#This Row],[Billed_Price]]</f>
        <v>4572.8011284833456</v>
      </c>
      <c r="Y1688">
        <f>ReconciliationData[[#This Row],[ordered_units]]*ReconciliationData[[#This Row],[List_Price]]</f>
        <v>4571.6639999999998</v>
      </c>
      <c r="Z1688">
        <f>ReconciliationData[[#This Row],[billed_revenue]]-ReconciliationData[[#This Row],[expected_revenue]]</f>
        <v>1.1371284833458049</v>
      </c>
      <c r="AA16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6</v>
      </c>
      <c r="AB1688" t="str">
        <f>IF(ReconciliationData[[#This Row],[severity_score]]=0,"LOW",
 IF(ReconciliationData[[#This Row],[severity_score]]&lt;=5,"MEDIUM","HIGH"))</f>
        <v>HIGH</v>
      </c>
      <c r="AC1688" t="str">
        <f>TEXT(ReconciliationData[[#This Row],[Order_Date]],"YYYY-MM")</f>
        <v>2023-04</v>
      </c>
    </row>
    <row r="1689" spans="1:29">
      <c r="A1689" t="s">
        <v>4518</v>
      </c>
      <c r="B1689" s="1">
        <v>45342</v>
      </c>
      <c r="C1689" t="s">
        <v>1747</v>
      </c>
      <c r="D1689" t="s">
        <v>3954</v>
      </c>
      <c r="E1689">
        <v>182</v>
      </c>
      <c r="F1689" t="s">
        <v>4519</v>
      </c>
      <c r="G1689">
        <v>182</v>
      </c>
      <c r="H1689">
        <v>275.19450000000001</v>
      </c>
      <c r="N1689">
        <v>275.19450000000001</v>
      </c>
      <c r="O1689" s="1">
        <v>45218</v>
      </c>
      <c r="P1689">
        <f>IF(ISBLANK(ReconciliationData[[#This Row],[Invoice_ID]]),1,0)</f>
        <v>0</v>
      </c>
      <c r="Q1689">
        <f>IF(AND(NOT(ISBLANK(ReconciliationData[[#This Row],[Billed_Units]])),ReconciliationData[[#This Row],[ordered_units]]&lt;&gt;ReconciliationData[[#This Row],[Billed_Units]]),1,0)</f>
        <v>0</v>
      </c>
      <c r="R16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89">
        <f>IF(AND(NOT(ISBLANK(ReconciliationData[[#This Row],[Contract_Price]])),ReconciliationData[[#This Row],[Billed_Price]]&lt;&gt;ReconciliationData[[#This Row],[Contract_Price]]),1,0)</f>
        <v>0</v>
      </c>
      <c r="T1689">
        <f>IF(AND(NOT(ISBLANK(ReconciliationData[[#This Row],[End_Date]])),ReconciliationData[[#This Row],[Order_Date]]&gt;ReconciliationData[[#This Row],[End_Date]]),1,0)</f>
        <v>0</v>
      </c>
      <c r="U1689">
        <f>IF(AND(NOT(ISBLANK(ReconciliationData[[#This Row],[last_return_date]])),ReconciliationData[[#This Row],[last_return_date]]&gt;ReconciliationData[[#This Row],[Order_Date]]+60),1,0)</f>
        <v>0</v>
      </c>
      <c r="V1689">
        <f>IF(ReconciliationData[[#This Row],[total_returned_units]]&gt;ReconciliationData[[#This Row],[ordered_units]],1,0)</f>
        <v>0</v>
      </c>
      <c r="W16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89">
        <f>ReconciliationData[[#This Row],[Billed_Units]]*ReconciliationData[[#This Row],[Billed_Price]]</f>
        <v>50085.398999999998</v>
      </c>
      <c r="Y1689">
        <f>ReconciliationData[[#This Row],[ordered_units]]*ReconciliationData[[#This Row],[List_Price]]</f>
        <v>50085.398999999998</v>
      </c>
      <c r="Z1689">
        <f>ReconciliationData[[#This Row],[billed_revenue]]-ReconciliationData[[#This Row],[expected_revenue]]</f>
        <v>0</v>
      </c>
      <c r="AA16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89" t="str">
        <f>IF(ReconciliationData[[#This Row],[severity_score]]=0,"LOW",
 IF(ReconciliationData[[#This Row],[severity_score]]&lt;=5,"MEDIUM","HIGH"))</f>
        <v>LOW</v>
      </c>
      <c r="AC1689" t="str">
        <f>TEXT(ReconciliationData[[#This Row],[Order_Date]],"YYYY-MM")</f>
        <v>2024-02</v>
      </c>
    </row>
    <row r="1690" spans="1:29">
      <c r="A1690" t="s">
        <v>4520</v>
      </c>
      <c r="B1690" s="1">
        <v>44962</v>
      </c>
      <c r="C1690" t="s">
        <v>1220</v>
      </c>
      <c r="D1690" t="s">
        <v>1794</v>
      </c>
      <c r="E1690">
        <v>74</v>
      </c>
      <c r="F1690" t="s">
        <v>4521</v>
      </c>
      <c r="G1690">
        <v>74</v>
      </c>
      <c r="H1690">
        <v>471.65280000000001</v>
      </c>
      <c r="N1690">
        <v>471.65280000000001</v>
      </c>
      <c r="O1690" s="1">
        <v>44929</v>
      </c>
      <c r="P1690">
        <f>IF(ISBLANK(ReconciliationData[[#This Row],[Invoice_ID]]),1,0)</f>
        <v>0</v>
      </c>
      <c r="Q1690">
        <f>IF(AND(NOT(ISBLANK(ReconciliationData[[#This Row],[Billed_Units]])),ReconciliationData[[#This Row],[ordered_units]]&lt;&gt;ReconciliationData[[#This Row],[Billed_Units]]),1,0)</f>
        <v>0</v>
      </c>
      <c r="R16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0">
        <f>IF(AND(NOT(ISBLANK(ReconciliationData[[#This Row],[Contract_Price]])),ReconciliationData[[#This Row],[Billed_Price]]&lt;&gt;ReconciliationData[[#This Row],[Contract_Price]]),1,0)</f>
        <v>0</v>
      </c>
      <c r="T1690">
        <f>IF(AND(NOT(ISBLANK(ReconciliationData[[#This Row],[End_Date]])),ReconciliationData[[#This Row],[Order_Date]]&gt;ReconciliationData[[#This Row],[End_Date]]),1,0)</f>
        <v>0</v>
      </c>
      <c r="U1690">
        <f>IF(AND(NOT(ISBLANK(ReconciliationData[[#This Row],[last_return_date]])),ReconciliationData[[#This Row],[last_return_date]]&gt;ReconciliationData[[#This Row],[Order_Date]]+60),1,0)</f>
        <v>0</v>
      </c>
      <c r="V1690">
        <f>IF(ReconciliationData[[#This Row],[total_returned_units]]&gt;ReconciliationData[[#This Row],[ordered_units]],1,0)</f>
        <v>0</v>
      </c>
      <c r="W16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90">
        <f>ReconciliationData[[#This Row],[Billed_Units]]*ReconciliationData[[#This Row],[Billed_Price]]</f>
        <v>34902.307200000003</v>
      </c>
      <c r="Y1690">
        <f>ReconciliationData[[#This Row],[ordered_units]]*ReconciliationData[[#This Row],[List_Price]]</f>
        <v>34902.307200000003</v>
      </c>
      <c r="Z1690">
        <f>ReconciliationData[[#This Row],[billed_revenue]]-ReconciliationData[[#This Row],[expected_revenue]]</f>
        <v>0</v>
      </c>
      <c r="AA16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90" t="str">
        <f>IF(ReconciliationData[[#This Row],[severity_score]]=0,"LOW",
 IF(ReconciliationData[[#This Row],[severity_score]]&lt;=5,"MEDIUM","HIGH"))</f>
        <v>LOW</v>
      </c>
      <c r="AC1690" t="str">
        <f>TEXT(ReconciliationData[[#This Row],[Order_Date]],"YYYY-MM")</f>
        <v>2023-02</v>
      </c>
    </row>
    <row r="1691" spans="1:29">
      <c r="A1691" t="s">
        <v>4522</v>
      </c>
      <c r="B1691" s="1">
        <v>45597</v>
      </c>
      <c r="C1691" t="s">
        <v>1270</v>
      </c>
      <c r="D1691" t="s">
        <v>182</v>
      </c>
      <c r="E1691">
        <v>30</v>
      </c>
      <c r="F1691" t="s">
        <v>4523</v>
      </c>
      <c r="G1691">
        <v>30</v>
      </c>
      <c r="H1691">
        <v>689.58720000000005</v>
      </c>
      <c r="N1691">
        <v>689.58720000000005</v>
      </c>
      <c r="O1691" s="1">
        <v>45224</v>
      </c>
      <c r="P1691">
        <f>IF(ISBLANK(ReconciliationData[[#This Row],[Invoice_ID]]),1,0)</f>
        <v>0</v>
      </c>
      <c r="Q1691">
        <f>IF(AND(NOT(ISBLANK(ReconciliationData[[#This Row],[Billed_Units]])),ReconciliationData[[#This Row],[ordered_units]]&lt;&gt;ReconciliationData[[#This Row],[Billed_Units]]),1,0)</f>
        <v>0</v>
      </c>
      <c r="R16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1">
        <f>IF(AND(NOT(ISBLANK(ReconciliationData[[#This Row],[Contract_Price]])),ReconciliationData[[#This Row],[Billed_Price]]&lt;&gt;ReconciliationData[[#This Row],[Contract_Price]]),1,0)</f>
        <v>0</v>
      </c>
      <c r="T1691">
        <f>IF(AND(NOT(ISBLANK(ReconciliationData[[#This Row],[End_Date]])),ReconciliationData[[#This Row],[Order_Date]]&gt;ReconciliationData[[#This Row],[End_Date]]),1,0)</f>
        <v>0</v>
      </c>
      <c r="U1691">
        <f>IF(AND(NOT(ISBLANK(ReconciliationData[[#This Row],[last_return_date]])),ReconciliationData[[#This Row],[last_return_date]]&gt;ReconciliationData[[#This Row],[Order_Date]]+60),1,0)</f>
        <v>0</v>
      </c>
      <c r="V1691">
        <f>IF(ReconciliationData[[#This Row],[total_returned_units]]&gt;ReconciliationData[[#This Row],[ordered_units]],1,0)</f>
        <v>0</v>
      </c>
      <c r="W16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91">
        <f>ReconciliationData[[#This Row],[Billed_Units]]*ReconciliationData[[#This Row],[Billed_Price]]</f>
        <v>20687.616000000002</v>
      </c>
      <c r="Y1691">
        <f>ReconciliationData[[#This Row],[ordered_units]]*ReconciliationData[[#This Row],[List_Price]]</f>
        <v>20687.616000000002</v>
      </c>
      <c r="Z1691">
        <f>ReconciliationData[[#This Row],[billed_revenue]]-ReconciliationData[[#This Row],[expected_revenue]]</f>
        <v>0</v>
      </c>
      <c r="AA16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91" t="str">
        <f>IF(ReconciliationData[[#This Row],[severity_score]]=0,"LOW",
 IF(ReconciliationData[[#This Row],[severity_score]]&lt;=5,"MEDIUM","HIGH"))</f>
        <v>LOW</v>
      </c>
      <c r="AC1691" t="str">
        <f>TEXT(ReconciliationData[[#This Row],[Order_Date]],"YYYY-MM")</f>
        <v>2024-11</v>
      </c>
    </row>
    <row r="1692" spans="1:29">
      <c r="A1692" t="s">
        <v>4524</v>
      </c>
      <c r="B1692" s="1">
        <v>45207</v>
      </c>
      <c r="C1692" t="s">
        <v>1152</v>
      </c>
      <c r="D1692" t="s">
        <v>1294</v>
      </c>
      <c r="E1692">
        <v>183</v>
      </c>
      <c r="F1692" t="s">
        <v>4525</v>
      </c>
      <c r="G1692">
        <v>183</v>
      </c>
      <c r="H1692">
        <v>825.40440000000001</v>
      </c>
      <c r="N1692">
        <v>825.40440000000001</v>
      </c>
      <c r="O1692" s="1">
        <v>45105</v>
      </c>
      <c r="P1692">
        <f>IF(ISBLANK(ReconciliationData[[#This Row],[Invoice_ID]]),1,0)</f>
        <v>0</v>
      </c>
      <c r="Q1692">
        <f>IF(AND(NOT(ISBLANK(ReconciliationData[[#This Row],[Billed_Units]])),ReconciliationData[[#This Row],[ordered_units]]&lt;&gt;ReconciliationData[[#This Row],[Billed_Units]]),1,0)</f>
        <v>0</v>
      </c>
      <c r="R16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2">
        <f>IF(AND(NOT(ISBLANK(ReconciliationData[[#This Row],[Contract_Price]])),ReconciliationData[[#This Row],[Billed_Price]]&lt;&gt;ReconciliationData[[#This Row],[Contract_Price]]),1,0)</f>
        <v>0</v>
      </c>
      <c r="T1692">
        <f>IF(AND(NOT(ISBLANK(ReconciliationData[[#This Row],[End_Date]])),ReconciliationData[[#This Row],[Order_Date]]&gt;ReconciliationData[[#This Row],[End_Date]]),1,0)</f>
        <v>0</v>
      </c>
      <c r="U1692">
        <f>IF(AND(NOT(ISBLANK(ReconciliationData[[#This Row],[last_return_date]])),ReconciliationData[[#This Row],[last_return_date]]&gt;ReconciliationData[[#This Row],[Order_Date]]+60),1,0)</f>
        <v>0</v>
      </c>
      <c r="V1692">
        <f>IF(ReconciliationData[[#This Row],[total_returned_units]]&gt;ReconciliationData[[#This Row],[ordered_units]],1,0)</f>
        <v>0</v>
      </c>
      <c r="W16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92">
        <f>ReconciliationData[[#This Row],[Billed_Units]]*ReconciliationData[[#This Row],[Billed_Price]]</f>
        <v>151049.00520000001</v>
      </c>
      <c r="Y1692">
        <f>ReconciliationData[[#This Row],[ordered_units]]*ReconciliationData[[#This Row],[List_Price]]</f>
        <v>151049.00520000001</v>
      </c>
      <c r="Z1692">
        <f>ReconciliationData[[#This Row],[billed_revenue]]-ReconciliationData[[#This Row],[expected_revenue]]</f>
        <v>0</v>
      </c>
      <c r="AA16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92" t="str">
        <f>IF(ReconciliationData[[#This Row],[severity_score]]=0,"LOW",
 IF(ReconciliationData[[#This Row],[severity_score]]&lt;=5,"MEDIUM","HIGH"))</f>
        <v>LOW</v>
      </c>
      <c r="AC1692" t="str">
        <f>TEXT(ReconciliationData[[#This Row],[Order_Date]],"YYYY-MM")</f>
        <v>2023-10</v>
      </c>
    </row>
    <row r="1693" spans="1:29">
      <c r="A1693" t="s">
        <v>4526</v>
      </c>
      <c r="B1693" s="1">
        <v>45567</v>
      </c>
      <c r="C1693" t="s">
        <v>4124</v>
      </c>
      <c r="D1693" t="s">
        <v>182</v>
      </c>
      <c r="E1693">
        <v>64</v>
      </c>
      <c r="F1693" t="s">
        <v>4527</v>
      </c>
      <c r="G1693">
        <v>68</v>
      </c>
      <c r="H1693">
        <v>689.58720000000005</v>
      </c>
      <c r="N1693">
        <v>689.58720000000005</v>
      </c>
      <c r="O1693" s="1">
        <v>45224</v>
      </c>
      <c r="P1693">
        <f>IF(ISBLANK(ReconciliationData[[#This Row],[Invoice_ID]]),1,0)</f>
        <v>0</v>
      </c>
      <c r="Q1693">
        <f>IF(AND(NOT(ISBLANK(ReconciliationData[[#This Row],[Billed_Units]])),ReconciliationData[[#This Row],[ordered_units]]&lt;&gt;ReconciliationData[[#This Row],[Billed_Units]]),1,0)</f>
        <v>1</v>
      </c>
      <c r="R16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3">
        <f>IF(AND(NOT(ISBLANK(ReconciliationData[[#This Row],[Contract_Price]])),ReconciliationData[[#This Row],[Billed_Price]]&lt;&gt;ReconciliationData[[#This Row],[Contract_Price]]),1,0)</f>
        <v>0</v>
      </c>
      <c r="T1693">
        <f>IF(AND(NOT(ISBLANK(ReconciliationData[[#This Row],[End_Date]])),ReconciliationData[[#This Row],[Order_Date]]&gt;ReconciliationData[[#This Row],[End_Date]]),1,0)</f>
        <v>0</v>
      </c>
      <c r="U1693">
        <f>IF(AND(NOT(ISBLANK(ReconciliationData[[#This Row],[last_return_date]])),ReconciliationData[[#This Row],[last_return_date]]&gt;ReconciliationData[[#This Row],[Order_Date]]+60),1,0)</f>
        <v>0</v>
      </c>
      <c r="V1693">
        <f>IF(ReconciliationData[[#This Row],[total_returned_units]]&gt;ReconciliationData[[#This Row],[ordered_units]],1,0)</f>
        <v>0</v>
      </c>
      <c r="W16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93">
        <f>ReconciliationData[[#This Row],[Billed_Units]]*ReconciliationData[[#This Row],[Billed_Price]]</f>
        <v>46891.929600000003</v>
      </c>
      <c r="Y1693">
        <f>ReconciliationData[[#This Row],[ordered_units]]*ReconciliationData[[#This Row],[List_Price]]</f>
        <v>44133.580800000003</v>
      </c>
      <c r="Z1693">
        <f>ReconciliationData[[#This Row],[billed_revenue]]-ReconciliationData[[#This Row],[expected_revenue]]</f>
        <v>2758.3487999999998</v>
      </c>
      <c r="AA16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693" t="str">
        <f>IF(ReconciliationData[[#This Row],[severity_score]]=0,"LOW",
 IF(ReconciliationData[[#This Row],[severity_score]]&lt;=5,"MEDIUM","HIGH"))</f>
        <v>HIGH</v>
      </c>
      <c r="AC1693" t="str">
        <f>TEXT(ReconciliationData[[#This Row],[Order_Date]],"YYYY-MM")</f>
        <v>2024-10</v>
      </c>
    </row>
    <row r="1694" spans="1:29">
      <c r="A1694" t="s">
        <v>4528</v>
      </c>
      <c r="B1694" s="1">
        <v>45090</v>
      </c>
      <c r="C1694" t="s">
        <v>2751</v>
      </c>
      <c r="D1694" t="s">
        <v>973</v>
      </c>
      <c r="E1694">
        <v>19</v>
      </c>
      <c r="F1694" t="s">
        <v>4529</v>
      </c>
      <c r="G1694">
        <v>19</v>
      </c>
      <c r="H1694">
        <v>156.37459999999999</v>
      </c>
      <c r="N1694">
        <v>156.37459999999999</v>
      </c>
      <c r="O1694" s="1">
        <v>45090</v>
      </c>
      <c r="P1694">
        <f>IF(ISBLANK(ReconciliationData[[#This Row],[Invoice_ID]]),1,0)</f>
        <v>0</v>
      </c>
      <c r="Q1694">
        <f>IF(AND(NOT(ISBLANK(ReconciliationData[[#This Row],[Billed_Units]])),ReconciliationData[[#This Row],[ordered_units]]&lt;&gt;ReconciliationData[[#This Row],[Billed_Units]]),1,0)</f>
        <v>0</v>
      </c>
      <c r="R16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4">
        <f>IF(AND(NOT(ISBLANK(ReconciliationData[[#This Row],[Contract_Price]])),ReconciliationData[[#This Row],[Billed_Price]]&lt;&gt;ReconciliationData[[#This Row],[Contract_Price]]),1,0)</f>
        <v>0</v>
      </c>
      <c r="T1694">
        <f>IF(AND(NOT(ISBLANK(ReconciliationData[[#This Row],[End_Date]])),ReconciliationData[[#This Row],[Order_Date]]&gt;ReconciliationData[[#This Row],[End_Date]]),1,0)</f>
        <v>0</v>
      </c>
      <c r="U1694">
        <f>IF(AND(NOT(ISBLANK(ReconciliationData[[#This Row],[last_return_date]])),ReconciliationData[[#This Row],[last_return_date]]&gt;ReconciliationData[[#This Row],[Order_Date]]+60),1,0)</f>
        <v>0</v>
      </c>
      <c r="V1694">
        <f>IF(ReconciliationData[[#This Row],[total_returned_units]]&gt;ReconciliationData[[#This Row],[ordered_units]],1,0)</f>
        <v>0</v>
      </c>
      <c r="W16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94">
        <f>ReconciliationData[[#This Row],[Billed_Units]]*ReconciliationData[[#This Row],[Billed_Price]]</f>
        <v>2971.1173999999996</v>
      </c>
      <c r="Y1694">
        <f>ReconciliationData[[#This Row],[ordered_units]]*ReconciliationData[[#This Row],[List_Price]]</f>
        <v>2971.1173999999996</v>
      </c>
      <c r="Z1694">
        <f>ReconciliationData[[#This Row],[billed_revenue]]-ReconciliationData[[#This Row],[expected_revenue]]</f>
        <v>0</v>
      </c>
      <c r="AA16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94" t="str">
        <f>IF(ReconciliationData[[#This Row],[severity_score]]=0,"LOW",
 IF(ReconciliationData[[#This Row],[severity_score]]&lt;=5,"MEDIUM","HIGH"))</f>
        <v>LOW</v>
      </c>
      <c r="AC1694" t="str">
        <f>TEXT(ReconciliationData[[#This Row],[Order_Date]],"YYYY-MM")</f>
        <v>2023-06</v>
      </c>
    </row>
    <row r="1695" spans="1:29">
      <c r="A1695" t="s">
        <v>4530</v>
      </c>
      <c r="B1695" s="1">
        <v>45156</v>
      </c>
      <c r="C1695" t="s">
        <v>551</v>
      </c>
      <c r="D1695" t="s">
        <v>227</v>
      </c>
      <c r="E1695">
        <v>28</v>
      </c>
      <c r="F1695" t="s">
        <v>4531</v>
      </c>
      <c r="G1695">
        <v>28</v>
      </c>
      <c r="H1695">
        <v>626.68790000000001</v>
      </c>
      <c r="I1695">
        <v>17</v>
      </c>
      <c r="J1695" s="1">
        <v>45222</v>
      </c>
      <c r="N1695">
        <v>626.68790000000001</v>
      </c>
      <c r="O1695" s="1">
        <v>45103</v>
      </c>
      <c r="P1695">
        <f>IF(ISBLANK(ReconciliationData[[#This Row],[Invoice_ID]]),1,0)</f>
        <v>0</v>
      </c>
      <c r="Q1695">
        <f>IF(AND(NOT(ISBLANK(ReconciliationData[[#This Row],[Billed_Units]])),ReconciliationData[[#This Row],[ordered_units]]&lt;&gt;ReconciliationData[[#This Row],[Billed_Units]]),1,0)</f>
        <v>0</v>
      </c>
      <c r="R16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5">
        <f>IF(AND(NOT(ISBLANK(ReconciliationData[[#This Row],[Contract_Price]])),ReconciliationData[[#This Row],[Billed_Price]]&lt;&gt;ReconciliationData[[#This Row],[Contract_Price]]),1,0)</f>
        <v>0</v>
      </c>
      <c r="T1695">
        <f>IF(AND(NOT(ISBLANK(ReconciliationData[[#This Row],[End_Date]])),ReconciliationData[[#This Row],[Order_Date]]&gt;ReconciliationData[[#This Row],[End_Date]]),1,0)</f>
        <v>0</v>
      </c>
      <c r="U1695">
        <f>IF(AND(NOT(ISBLANK(ReconciliationData[[#This Row],[last_return_date]])),ReconciliationData[[#This Row],[last_return_date]]&gt;ReconciliationData[[#This Row],[Order_Date]]+60),1,0)</f>
        <v>1</v>
      </c>
      <c r="V1695">
        <f>IF(ReconciliationData[[#This Row],[total_returned_units]]&gt;ReconciliationData[[#This Row],[ordered_units]],1,0)</f>
        <v>0</v>
      </c>
      <c r="W16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695">
        <f>ReconciliationData[[#This Row],[Billed_Units]]*ReconciliationData[[#This Row],[Billed_Price]]</f>
        <v>17547.261200000001</v>
      </c>
      <c r="Y1695">
        <f>ReconciliationData[[#This Row],[ordered_units]]*ReconciliationData[[#This Row],[List_Price]]</f>
        <v>17547.261200000001</v>
      </c>
      <c r="Z1695">
        <f>ReconciliationData[[#This Row],[billed_revenue]]-ReconciliationData[[#This Row],[expected_revenue]]</f>
        <v>0</v>
      </c>
      <c r="AA16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695" t="str">
        <f>IF(ReconciliationData[[#This Row],[severity_score]]=0,"LOW",
 IF(ReconciliationData[[#This Row],[severity_score]]&lt;=5,"MEDIUM","HIGH"))</f>
        <v>MEDIUM</v>
      </c>
      <c r="AC1695" t="str">
        <f>TEXT(ReconciliationData[[#This Row],[Order_Date]],"YYYY-MM")</f>
        <v>2023-08</v>
      </c>
    </row>
    <row r="1696" spans="1:29">
      <c r="A1696" t="s">
        <v>4532</v>
      </c>
      <c r="B1696" s="1">
        <v>45344</v>
      </c>
      <c r="C1696" t="s">
        <v>1510</v>
      </c>
      <c r="D1696" t="s">
        <v>533</v>
      </c>
      <c r="E1696">
        <v>23</v>
      </c>
      <c r="F1696" t="s">
        <v>4533</v>
      </c>
      <c r="G1696">
        <v>23</v>
      </c>
      <c r="H1696">
        <v>833.73500000000001</v>
      </c>
      <c r="N1696">
        <v>833.73500000000001</v>
      </c>
      <c r="O1696" s="1">
        <v>45167</v>
      </c>
      <c r="P1696">
        <f>IF(ISBLANK(ReconciliationData[[#This Row],[Invoice_ID]]),1,0)</f>
        <v>0</v>
      </c>
      <c r="Q1696">
        <f>IF(AND(NOT(ISBLANK(ReconciliationData[[#This Row],[Billed_Units]])),ReconciliationData[[#This Row],[ordered_units]]&lt;&gt;ReconciliationData[[#This Row],[Billed_Units]]),1,0)</f>
        <v>0</v>
      </c>
      <c r="R16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6">
        <f>IF(AND(NOT(ISBLANK(ReconciliationData[[#This Row],[Contract_Price]])),ReconciliationData[[#This Row],[Billed_Price]]&lt;&gt;ReconciliationData[[#This Row],[Contract_Price]]),1,0)</f>
        <v>0</v>
      </c>
      <c r="T1696">
        <f>IF(AND(NOT(ISBLANK(ReconciliationData[[#This Row],[End_Date]])),ReconciliationData[[#This Row],[Order_Date]]&gt;ReconciliationData[[#This Row],[End_Date]]),1,0)</f>
        <v>0</v>
      </c>
      <c r="U1696">
        <f>IF(AND(NOT(ISBLANK(ReconciliationData[[#This Row],[last_return_date]])),ReconciliationData[[#This Row],[last_return_date]]&gt;ReconciliationData[[#This Row],[Order_Date]]+60),1,0)</f>
        <v>0</v>
      </c>
      <c r="V1696">
        <f>IF(ReconciliationData[[#This Row],[total_returned_units]]&gt;ReconciliationData[[#This Row],[ordered_units]],1,0)</f>
        <v>0</v>
      </c>
      <c r="W16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96">
        <f>ReconciliationData[[#This Row],[Billed_Units]]*ReconciliationData[[#This Row],[Billed_Price]]</f>
        <v>19175.904999999999</v>
      </c>
      <c r="Y1696">
        <f>ReconciliationData[[#This Row],[ordered_units]]*ReconciliationData[[#This Row],[List_Price]]</f>
        <v>19175.904999999999</v>
      </c>
      <c r="Z1696">
        <f>ReconciliationData[[#This Row],[billed_revenue]]-ReconciliationData[[#This Row],[expected_revenue]]</f>
        <v>0</v>
      </c>
      <c r="AA16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96" t="str">
        <f>IF(ReconciliationData[[#This Row],[severity_score]]=0,"LOW",
 IF(ReconciliationData[[#This Row],[severity_score]]&lt;=5,"MEDIUM","HIGH"))</f>
        <v>LOW</v>
      </c>
      <c r="AC1696" t="str">
        <f>TEXT(ReconciliationData[[#This Row],[Order_Date]],"YYYY-MM")</f>
        <v>2024-02</v>
      </c>
    </row>
    <row r="1697" spans="1:29">
      <c r="A1697" t="s">
        <v>4534</v>
      </c>
      <c r="B1697" s="1">
        <v>45337</v>
      </c>
      <c r="C1697" t="s">
        <v>400</v>
      </c>
      <c r="D1697" t="s">
        <v>789</v>
      </c>
      <c r="E1697">
        <v>197</v>
      </c>
      <c r="F1697" t="s">
        <v>4535</v>
      </c>
      <c r="G1697">
        <v>197</v>
      </c>
      <c r="H1697">
        <v>1026.4637</v>
      </c>
      <c r="N1697">
        <v>1026.4637</v>
      </c>
      <c r="O1697" s="1">
        <v>44967</v>
      </c>
      <c r="P1697">
        <f>IF(ISBLANK(ReconciliationData[[#This Row],[Invoice_ID]]),1,0)</f>
        <v>0</v>
      </c>
      <c r="Q1697">
        <f>IF(AND(NOT(ISBLANK(ReconciliationData[[#This Row],[Billed_Units]])),ReconciliationData[[#This Row],[ordered_units]]&lt;&gt;ReconciliationData[[#This Row],[Billed_Units]]),1,0)</f>
        <v>0</v>
      </c>
      <c r="R16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7">
        <f>IF(AND(NOT(ISBLANK(ReconciliationData[[#This Row],[Contract_Price]])),ReconciliationData[[#This Row],[Billed_Price]]&lt;&gt;ReconciliationData[[#This Row],[Contract_Price]]),1,0)</f>
        <v>0</v>
      </c>
      <c r="T1697">
        <f>IF(AND(NOT(ISBLANK(ReconciliationData[[#This Row],[End_Date]])),ReconciliationData[[#This Row],[Order_Date]]&gt;ReconciliationData[[#This Row],[End_Date]]),1,0)</f>
        <v>0</v>
      </c>
      <c r="U1697">
        <f>IF(AND(NOT(ISBLANK(ReconciliationData[[#This Row],[last_return_date]])),ReconciliationData[[#This Row],[last_return_date]]&gt;ReconciliationData[[#This Row],[Order_Date]]+60),1,0)</f>
        <v>0</v>
      </c>
      <c r="V1697">
        <f>IF(ReconciliationData[[#This Row],[total_returned_units]]&gt;ReconciliationData[[#This Row],[ordered_units]],1,0)</f>
        <v>0</v>
      </c>
      <c r="W16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97">
        <f>ReconciliationData[[#This Row],[Billed_Units]]*ReconciliationData[[#This Row],[Billed_Price]]</f>
        <v>202213.34890000001</v>
      </c>
      <c r="Y1697">
        <f>ReconciliationData[[#This Row],[ordered_units]]*ReconciliationData[[#This Row],[List_Price]]</f>
        <v>202213.34890000001</v>
      </c>
      <c r="Z1697">
        <f>ReconciliationData[[#This Row],[billed_revenue]]-ReconciliationData[[#This Row],[expected_revenue]]</f>
        <v>0</v>
      </c>
      <c r="AA16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97" t="str">
        <f>IF(ReconciliationData[[#This Row],[severity_score]]=0,"LOW",
 IF(ReconciliationData[[#This Row],[severity_score]]&lt;=5,"MEDIUM","HIGH"))</f>
        <v>LOW</v>
      </c>
      <c r="AC1697" t="str">
        <f>TEXT(ReconciliationData[[#This Row],[Order_Date]],"YYYY-MM")</f>
        <v>2024-02</v>
      </c>
    </row>
    <row r="1698" spans="1:29">
      <c r="A1698" t="s">
        <v>4536</v>
      </c>
      <c r="B1698" s="1">
        <v>45490</v>
      </c>
      <c r="C1698" t="s">
        <v>810</v>
      </c>
      <c r="D1698" t="s">
        <v>2283</v>
      </c>
      <c r="E1698">
        <v>87</v>
      </c>
      <c r="F1698" t="s">
        <v>4537</v>
      </c>
      <c r="G1698">
        <v>87</v>
      </c>
      <c r="H1698">
        <v>68.942999999999998</v>
      </c>
      <c r="N1698">
        <v>68.942999999999998</v>
      </c>
      <c r="O1698" s="1">
        <v>44998</v>
      </c>
      <c r="P1698">
        <f>IF(ISBLANK(ReconciliationData[[#This Row],[Invoice_ID]]),1,0)</f>
        <v>0</v>
      </c>
      <c r="Q1698">
        <f>IF(AND(NOT(ISBLANK(ReconciliationData[[#This Row],[Billed_Units]])),ReconciliationData[[#This Row],[ordered_units]]&lt;&gt;ReconciliationData[[#This Row],[Billed_Units]]),1,0)</f>
        <v>0</v>
      </c>
      <c r="R16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8">
        <f>IF(AND(NOT(ISBLANK(ReconciliationData[[#This Row],[Contract_Price]])),ReconciliationData[[#This Row],[Billed_Price]]&lt;&gt;ReconciliationData[[#This Row],[Contract_Price]]),1,0)</f>
        <v>0</v>
      </c>
      <c r="T1698">
        <f>IF(AND(NOT(ISBLANK(ReconciliationData[[#This Row],[End_Date]])),ReconciliationData[[#This Row],[Order_Date]]&gt;ReconciliationData[[#This Row],[End_Date]]),1,0)</f>
        <v>0</v>
      </c>
      <c r="U1698">
        <f>IF(AND(NOT(ISBLANK(ReconciliationData[[#This Row],[last_return_date]])),ReconciliationData[[#This Row],[last_return_date]]&gt;ReconciliationData[[#This Row],[Order_Date]]+60),1,0)</f>
        <v>0</v>
      </c>
      <c r="V1698">
        <f>IF(ReconciliationData[[#This Row],[total_returned_units]]&gt;ReconciliationData[[#This Row],[ordered_units]],1,0)</f>
        <v>0</v>
      </c>
      <c r="W16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98">
        <f>ReconciliationData[[#This Row],[Billed_Units]]*ReconciliationData[[#This Row],[Billed_Price]]</f>
        <v>5998.0410000000002</v>
      </c>
      <c r="Y1698">
        <f>ReconciliationData[[#This Row],[ordered_units]]*ReconciliationData[[#This Row],[List_Price]]</f>
        <v>5998.0410000000002</v>
      </c>
      <c r="Z1698">
        <f>ReconciliationData[[#This Row],[billed_revenue]]-ReconciliationData[[#This Row],[expected_revenue]]</f>
        <v>0</v>
      </c>
      <c r="AA16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98" t="str">
        <f>IF(ReconciliationData[[#This Row],[severity_score]]=0,"LOW",
 IF(ReconciliationData[[#This Row],[severity_score]]&lt;=5,"MEDIUM","HIGH"))</f>
        <v>LOW</v>
      </c>
      <c r="AC1698" t="str">
        <f>TEXT(ReconciliationData[[#This Row],[Order_Date]],"YYYY-MM")</f>
        <v>2024-07</v>
      </c>
    </row>
    <row r="1699" spans="1:29">
      <c r="A1699" t="s">
        <v>4538</v>
      </c>
      <c r="B1699" s="1">
        <v>45077</v>
      </c>
      <c r="C1699" t="s">
        <v>1168</v>
      </c>
      <c r="D1699" t="s">
        <v>381</v>
      </c>
      <c r="E1699">
        <v>101</v>
      </c>
      <c r="F1699" t="s">
        <v>4539</v>
      </c>
      <c r="G1699">
        <v>101</v>
      </c>
      <c r="H1699">
        <v>933.82110000000011</v>
      </c>
      <c r="N1699">
        <v>933.82110000000011</v>
      </c>
      <c r="O1699" s="1">
        <v>44855</v>
      </c>
      <c r="P1699">
        <f>IF(ISBLANK(ReconciliationData[[#This Row],[Invoice_ID]]),1,0)</f>
        <v>0</v>
      </c>
      <c r="Q1699">
        <f>IF(AND(NOT(ISBLANK(ReconciliationData[[#This Row],[Billed_Units]])),ReconciliationData[[#This Row],[ordered_units]]&lt;&gt;ReconciliationData[[#This Row],[Billed_Units]]),1,0)</f>
        <v>0</v>
      </c>
      <c r="R16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699">
        <f>IF(AND(NOT(ISBLANK(ReconciliationData[[#This Row],[Contract_Price]])),ReconciliationData[[#This Row],[Billed_Price]]&lt;&gt;ReconciliationData[[#This Row],[Contract_Price]]),1,0)</f>
        <v>0</v>
      </c>
      <c r="T1699">
        <f>IF(AND(NOT(ISBLANK(ReconciliationData[[#This Row],[End_Date]])),ReconciliationData[[#This Row],[Order_Date]]&gt;ReconciliationData[[#This Row],[End_Date]]),1,0)</f>
        <v>0</v>
      </c>
      <c r="U1699">
        <f>IF(AND(NOT(ISBLANK(ReconciliationData[[#This Row],[last_return_date]])),ReconciliationData[[#This Row],[last_return_date]]&gt;ReconciliationData[[#This Row],[Order_Date]]+60),1,0)</f>
        <v>0</v>
      </c>
      <c r="V1699">
        <f>IF(ReconciliationData[[#This Row],[total_returned_units]]&gt;ReconciliationData[[#This Row],[ordered_units]],1,0)</f>
        <v>0</v>
      </c>
      <c r="W16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699">
        <f>ReconciliationData[[#This Row],[Billed_Units]]*ReconciliationData[[#This Row],[Billed_Price]]</f>
        <v>94315.931100000016</v>
      </c>
      <c r="Y1699">
        <f>ReconciliationData[[#This Row],[ordered_units]]*ReconciliationData[[#This Row],[List_Price]]</f>
        <v>94315.931100000016</v>
      </c>
      <c r="Z1699">
        <f>ReconciliationData[[#This Row],[billed_revenue]]-ReconciliationData[[#This Row],[expected_revenue]]</f>
        <v>0</v>
      </c>
      <c r="AA16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699" t="str">
        <f>IF(ReconciliationData[[#This Row],[severity_score]]=0,"LOW",
 IF(ReconciliationData[[#This Row],[severity_score]]&lt;=5,"MEDIUM","HIGH"))</f>
        <v>LOW</v>
      </c>
      <c r="AC1699" t="str">
        <f>TEXT(ReconciliationData[[#This Row],[Order_Date]],"YYYY-MM")</f>
        <v>2023-05</v>
      </c>
    </row>
    <row r="1700" spans="1:29">
      <c r="A1700" t="s">
        <v>4540</v>
      </c>
      <c r="B1700" s="1">
        <v>45360</v>
      </c>
      <c r="C1700" t="s">
        <v>1348</v>
      </c>
      <c r="D1700" t="s">
        <v>1945</v>
      </c>
      <c r="E1700">
        <v>169</v>
      </c>
      <c r="F1700" t="s">
        <v>4541</v>
      </c>
      <c r="G1700">
        <v>169</v>
      </c>
      <c r="H1700">
        <v>1178.6880000000001</v>
      </c>
      <c r="N1700">
        <v>1178.6880000000001</v>
      </c>
      <c r="O1700" s="1">
        <v>44930</v>
      </c>
      <c r="P1700">
        <f>IF(ISBLANK(ReconciliationData[[#This Row],[Invoice_ID]]),1,0)</f>
        <v>0</v>
      </c>
      <c r="Q1700">
        <f>IF(AND(NOT(ISBLANK(ReconciliationData[[#This Row],[Billed_Units]])),ReconciliationData[[#This Row],[ordered_units]]&lt;&gt;ReconciliationData[[#This Row],[Billed_Units]]),1,0)</f>
        <v>0</v>
      </c>
      <c r="R17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0">
        <f>IF(AND(NOT(ISBLANK(ReconciliationData[[#This Row],[Contract_Price]])),ReconciliationData[[#This Row],[Billed_Price]]&lt;&gt;ReconciliationData[[#This Row],[Contract_Price]]),1,0)</f>
        <v>0</v>
      </c>
      <c r="T1700">
        <f>IF(AND(NOT(ISBLANK(ReconciliationData[[#This Row],[End_Date]])),ReconciliationData[[#This Row],[Order_Date]]&gt;ReconciliationData[[#This Row],[End_Date]]),1,0)</f>
        <v>0</v>
      </c>
      <c r="U1700">
        <f>IF(AND(NOT(ISBLANK(ReconciliationData[[#This Row],[last_return_date]])),ReconciliationData[[#This Row],[last_return_date]]&gt;ReconciliationData[[#This Row],[Order_Date]]+60),1,0)</f>
        <v>0</v>
      </c>
      <c r="V1700">
        <f>IF(ReconciliationData[[#This Row],[total_returned_units]]&gt;ReconciliationData[[#This Row],[ordered_units]],1,0)</f>
        <v>0</v>
      </c>
      <c r="W17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00">
        <f>ReconciliationData[[#This Row],[Billed_Units]]*ReconciliationData[[#This Row],[Billed_Price]]</f>
        <v>199198.27200000003</v>
      </c>
      <c r="Y1700">
        <f>ReconciliationData[[#This Row],[ordered_units]]*ReconciliationData[[#This Row],[List_Price]]</f>
        <v>199198.27200000003</v>
      </c>
      <c r="Z1700">
        <f>ReconciliationData[[#This Row],[billed_revenue]]-ReconciliationData[[#This Row],[expected_revenue]]</f>
        <v>0</v>
      </c>
      <c r="AA17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00" t="str">
        <f>IF(ReconciliationData[[#This Row],[severity_score]]=0,"LOW",
 IF(ReconciliationData[[#This Row],[severity_score]]&lt;=5,"MEDIUM","HIGH"))</f>
        <v>LOW</v>
      </c>
      <c r="AC1700" t="str">
        <f>TEXT(ReconciliationData[[#This Row],[Order_Date]],"YYYY-MM")</f>
        <v>2024-03</v>
      </c>
    </row>
    <row r="1701" spans="1:29">
      <c r="A1701" t="s">
        <v>4542</v>
      </c>
      <c r="B1701" s="1">
        <v>45542</v>
      </c>
      <c r="C1701" t="s">
        <v>3350</v>
      </c>
      <c r="D1701" t="s">
        <v>186</v>
      </c>
      <c r="E1701">
        <v>129</v>
      </c>
      <c r="F1701" t="s">
        <v>4543</v>
      </c>
      <c r="G1701">
        <v>129</v>
      </c>
      <c r="H1701">
        <v>248.24449999999999</v>
      </c>
      <c r="N1701">
        <v>248.24449999999999</v>
      </c>
      <c r="O1701" s="1">
        <v>44933</v>
      </c>
      <c r="P1701">
        <f>IF(ISBLANK(ReconciliationData[[#This Row],[Invoice_ID]]),1,0)</f>
        <v>0</v>
      </c>
      <c r="Q1701">
        <f>IF(AND(NOT(ISBLANK(ReconciliationData[[#This Row],[Billed_Units]])),ReconciliationData[[#This Row],[ordered_units]]&lt;&gt;ReconciliationData[[#This Row],[Billed_Units]]),1,0)</f>
        <v>0</v>
      </c>
      <c r="R17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1">
        <f>IF(AND(NOT(ISBLANK(ReconciliationData[[#This Row],[Contract_Price]])),ReconciliationData[[#This Row],[Billed_Price]]&lt;&gt;ReconciliationData[[#This Row],[Contract_Price]]),1,0)</f>
        <v>0</v>
      </c>
      <c r="T1701">
        <f>IF(AND(NOT(ISBLANK(ReconciliationData[[#This Row],[End_Date]])),ReconciliationData[[#This Row],[Order_Date]]&gt;ReconciliationData[[#This Row],[End_Date]]),1,0)</f>
        <v>0</v>
      </c>
      <c r="U1701">
        <f>IF(AND(NOT(ISBLANK(ReconciliationData[[#This Row],[last_return_date]])),ReconciliationData[[#This Row],[last_return_date]]&gt;ReconciliationData[[#This Row],[Order_Date]]+60),1,0)</f>
        <v>0</v>
      </c>
      <c r="V1701">
        <f>IF(ReconciliationData[[#This Row],[total_returned_units]]&gt;ReconciliationData[[#This Row],[ordered_units]],1,0)</f>
        <v>0</v>
      </c>
      <c r="W17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01">
        <f>ReconciliationData[[#This Row],[Billed_Units]]*ReconciliationData[[#This Row],[Billed_Price]]</f>
        <v>32023.540499999999</v>
      </c>
      <c r="Y1701">
        <f>ReconciliationData[[#This Row],[ordered_units]]*ReconciliationData[[#This Row],[List_Price]]</f>
        <v>32023.540499999999</v>
      </c>
      <c r="Z1701">
        <f>ReconciliationData[[#This Row],[billed_revenue]]-ReconciliationData[[#This Row],[expected_revenue]]</f>
        <v>0</v>
      </c>
      <c r="AA17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01" t="str">
        <f>IF(ReconciliationData[[#This Row],[severity_score]]=0,"LOW",
 IF(ReconciliationData[[#This Row],[severity_score]]&lt;=5,"MEDIUM","HIGH"))</f>
        <v>LOW</v>
      </c>
      <c r="AC1701" t="str">
        <f>TEXT(ReconciliationData[[#This Row],[Order_Date]],"YYYY-MM")</f>
        <v>2024-09</v>
      </c>
    </row>
    <row r="1702" spans="1:29">
      <c r="A1702" t="s">
        <v>4544</v>
      </c>
      <c r="B1702" s="1">
        <v>45403</v>
      </c>
      <c r="C1702" t="s">
        <v>1138</v>
      </c>
      <c r="D1702" t="s">
        <v>309</v>
      </c>
      <c r="E1702">
        <v>85</v>
      </c>
      <c r="F1702" t="s">
        <v>4545</v>
      </c>
      <c r="G1702">
        <v>85</v>
      </c>
      <c r="H1702">
        <v>946.74860000000001</v>
      </c>
      <c r="N1702">
        <v>946.74860000000001</v>
      </c>
      <c r="O1702" s="1">
        <v>45038</v>
      </c>
      <c r="P1702">
        <f>IF(ISBLANK(ReconciliationData[[#This Row],[Invoice_ID]]),1,0)</f>
        <v>0</v>
      </c>
      <c r="Q1702">
        <f>IF(AND(NOT(ISBLANK(ReconciliationData[[#This Row],[Billed_Units]])),ReconciliationData[[#This Row],[ordered_units]]&lt;&gt;ReconciliationData[[#This Row],[Billed_Units]]),1,0)</f>
        <v>0</v>
      </c>
      <c r="R17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2">
        <f>IF(AND(NOT(ISBLANK(ReconciliationData[[#This Row],[Contract_Price]])),ReconciliationData[[#This Row],[Billed_Price]]&lt;&gt;ReconciliationData[[#This Row],[Contract_Price]]),1,0)</f>
        <v>0</v>
      </c>
      <c r="T1702">
        <f>IF(AND(NOT(ISBLANK(ReconciliationData[[#This Row],[End_Date]])),ReconciliationData[[#This Row],[Order_Date]]&gt;ReconciliationData[[#This Row],[End_Date]]),1,0)</f>
        <v>0</v>
      </c>
      <c r="U1702">
        <f>IF(AND(NOT(ISBLANK(ReconciliationData[[#This Row],[last_return_date]])),ReconciliationData[[#This Row],[last_return_date]]&gt;ReconciliationData[[#This Row],[Order_Date]]+60),1,0)</f>
        <v>0</v>
      </c>
      <c r="V1702">
        <f>IF(ReconciliationData[[#This Row],[total_returned_units]]&gt;ReconciliationData[[#This Row],[ordered_units]],1,0)</f>
        <v>0</v>
      </c>
      <c r="W17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02">
        <f>ReconciliationData[[#This Row],[Billed_Units]]*ReconciliationData[[#This Row],[Billed_Price]]</f>
        <v>80473.630999999994</v>
      </c>
      <c r="Y1702">
        <f>ReconciliationData[[#This Row],[ordered_units]]*ReconciliationData[[#This Row],[List_Price]]</f>
        <v>80473.630999999994</v>
      </c>
      <c r="Z1702">
        <f>ReconciliationData[[#This Row],[billed_revenue]]-ReconciliationData[[#This Row],[expected_revenue]]</f>
        <v>0</v>
      </c>
      <c r="AA17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02" t="str">
        <f>IF(ReconciliationData[[#This Row],[severity_score]]=0,"LOW",
 IF(ReconciliationData[[#This Row],[severity_score]]&lt;=5,"MEDIUM","HIGH"))</f>
        <v>LOW</v>
      </c>
      <c r="AC1702" t="str">
        <f>TEXT(ReconciliationData[[#This Row],[Order_Date]],"YYYY-MM")</f>
        <v>2024-04</v>
      </c>
    </row>
    <row r="1703" spans="1:29">
      <c r="A1703" t="s">
        <v>4546</v>
      </c>
      <c r="B1703" s="1">
        <v>45039</v>
      </c>
      <c r="C1703" t="s">
        <v>1033</v>
      </c>
      <c r="D1703" t="s">
        <v>1094</v>
      </c>
      <c r="E1703">
        <v>115</v>
      </c>
      <c r="F1703" t="s">
        <v>4547</v>
      </c>
      <c r="G1703">
        <v>115</v>
      </c>
      <c r="H1703">
        <v>977.22280000000001</v>
      </c>
      <c r="N1703">
        <v>977.22280000000001</v>
      </c>
      <c r="O1703" s="1">
        <v>44984</v>
      </c>
      <c r="P1703">
        <f>IF(ISBLANK(ReconciliationData[[#This Row],[Invoice_ID]]),1,0)</f>
        <v>0</v>
      </c>
      <c r="Q1703">
        <f>IF(AND(NOT(ISBLANK(ReconciliationData[[#This Row],[Billed_Units]])),ReconciliationData[[#This Row],[ordered_units]]&lt;&gt;ReconciliationData[[#This Row],[Billed_Units]]),1,0)</f>
        <v>0</v>
      </c>
      <c r="R17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3">
        <f>IF(AND(NOT(ISBLANK(ReconciliationData[[#This Row],[Contract_Price]])),ReconciliationData[[#This Row],[Billed_Price]]&lt;&gt;ReconciliationData[[#This Row],[Contract_Price]]),1,0)</f>
        <v>0</v>
      </c>
      <c r="T1703">
        <f>IF(AND(NOT(ISBLANK(ReconciliationData[[#This Row],[End_Date]])),ReconciliationData[[#This Row],[Order_Date]]&gt;ReconciliationData[[#This Row],[End_Date]]),1,0)</f>
        <v>0</v>
      </c>
      <c r="U1703">
        <f>IF(AND(NOT(ISBLANK(ReconciliationData[[#This Row],[last_return_date]])),ReconciliationData[[#This Row],[last_return_date]]&gt;ReconciliationData[[#This Row],[Order_Date]]+60),1,0)</f>
        <v>0</v>
      </c>
      <c r="V1703">
        <f>IF(ReconciliationData[[#This Row],[total_returned_units]]&gt;ReconciliationData[[#This Row],[ordered_units]],1,0)</f>
        <v>0</v>
      </c>
      <c r="W17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03">
        <f>ReconciliationData[[#This Row],[Billed_Units]]*ReconciliationData[[#This Row],[Billed_Price]]</f>
        <v>112380.622</v>
      </c>
      <c r="Y1703">
        <f>ReconciliationData[[#This Row],[ordered_units]]*ReconciliationData[[#This Row],[List_Price]]</f>
        <v>112380.622</v>
      </c>
      <c r="Z1703">
        <f>ReconciliationData[[#This Row],[billed_revenue]]-ReconciliationData[[#This Row],[expected_revenue]]</f>
        <v>0</v>
      </c>
      <c r="AA17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03" t="str">
        <f>IF(ReconciliationData[[#This Row],[severity_score]]=0,"LOW",
 IF(ReconciliationData[[#This Row],[severity_score]]&lt;=5,"MEDIUM","HIGH"))</f>
        <v>LOW</v>
      </c>
      <c r="AC1703" t="str">
        <f>TEXT(ReconciliationData[[#This Row],[Order_Date]],"YYYY-MM")</f>
        <v>2023-04</v>
      </c>
    </row>
    <row r="1704" spans="1:29">
      <c r="A1704" t="s">
        <v>4548</v>
      </c>
      <c r="B1704" s="1">
        <v>45025</v>
      </c>
      <c r="C1704" t="s">
        <v>1006</v>
      </c>
      <c r="D1704" t="s">
        <v>1449</v>
      </c>
      <c r="E1704">
        <v>188</v>
      </c>
      <c r="F1704" t="s">
        <v>4549</v>
      </c>
      <c r="G1704">
        <v>188</v>
      </c>
      <c r="H1704">
        <v>1011.43</v>
      </c>
      <c r="I1704">
        <v>10</v>
      </c>
      <c r="J1704" s="1">
        <v>45435</v>
      </c>
      <c r="N1704">
        <v>1011.43</v>
      </c>
      <c r="O1704" s="1">
        <v>44724</v>
      </c>
      <c r="P1704">
        <f>IF(ISBLANK(ReconciliationData[[#This Row],[Invoice_ID]]),1,0)</f>
        <v>0</v>
      </c>
      <c r="Q1704">
        <f>IF(AND(NOT(ISBLANK(ReconciliationData[[#This Row],[Billed_Units]])),ReconciliationData[[#This Row],[ordered_units]]&lt;&gt;ReconciliationData[[#This Row],[Billed_Units]]),1,0)</f>
        <v>0</v>
      </c>
      <c r="R17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4">
        <f>IF(AND(NOT(ISBLANK(ReconciliationData[[#This Row],[Contract_Price]])),ReconciliationData[[#This Row],[Billed_Price]]&lt;&gt;ReconciliationData[[#This Row],[Contract_Price]]),1,0)</f>
        <v>0</v>
      </c>
      <c r="T1704">
        <f>IF(AND(NOT(ISBLANK(ReconciliationData[[#This Row],[End_Date]])),ReconciliationData[[#This Row],[Order_Date]]&gt;ReconciliationData[[#This Row],[End_Date]]),1,0)</f>
        <v>0</v>
      </c>
      <c r="U1704">
        <f>IF(AND(NOT(ISBLANK(ReconciliationData[[#This Row],[last_return_date]])),ReconciliationData[[#This Row],[last_return_date]]&gt;ReconciliationData[[#This Row],[Order_Date]]+60),1,0)</f>
        <v>1</v>
      </c>
      <c r="V1704">
        <f>IF(ReconciliationData[[#This Row],[total_returned_units]]&gt;ReconciliationData[[#This Row],[ordered_units]],1,0)</f>
        <v>0</v>
      </c>
      <c r="W17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704">
        <f>ReconciliationData[[#This Row],[Billed_Units]]*ReconciliationData[[#This Row],[Billed_Price]]</f>
        <v>190148.84</v>
      </c>
      <c r="Y1704">
        <f>ReconciliationData[[#This Row],[ordered_units]]*ReconciliationData[[#This Row],[List_Price]]</f>
        <v>190148.84</v>
      </c>
      <c r="Z1704">
        <f>ReconciliationData[[#This Row],[billed_revenue]]-ReconciliationData[[#This Row],[expected_revenue]]</f>
        <v>0</v>
      </c>
      <c r="AA17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704" t="str">
        <f>IF(ReconciliationData[[#This Row],[severity_score]]=0,"LOW",
 IF(ReconciliationData[[#This Row],[severity_score]]&lt;=5,"MEDIUM","HIGH"))</f>
        <v>MEDIUM</v>
      </c>
      <c r="AC1704" t="str">
        <f>TEXT(ReconciliationData[[#This Row],[Order_Date]],"YYYY-MM")</f>
        <v>2023-04</v>
      </c>
    </row>
    <row r="1705" spans="1:29">
      <c r="A1705" t="s">
        <v>4550</v>
      </c>
      <c r="B1705" s="1">
        <v>45059</v>
      </c>
      <c r="C1705" t="s">
        <v>613</v>
      </c>
      <c r="D1705" t="s">
        <v>146</v>
      </c>
      <c r="E1705">
        <v>142</v>
      </c>
      <c r="F1705" t="s">
        <v>4551</v>
      </c>
      <c r="G1705">
        <v>142</v>
      </c>
      <c r="H1705">
        <v>817.07989999999995</v>
      </c>
      <c r="I1705">
        <v>20</v>
      </c>
      <c r="J1705" s="1">
        <v>45541</v>
      </c>
      <c r="N1705">
        <v>817.07989999999995</v>
      </c>
      <c r="O1705" s="1">
        <v>44951</v>
      </c>
      <c r="P1705">
        <f>IF(ISBLANK(ReconciliationData[[#This Row],[Invoice_ID]]),1,0)</f>
        <v>0</v>
      </c>
      <c r="Q1705">
        <f>IF(AND(NOT(ISBLANK(ReconciliationData[[#This Row],[Billed_Units]])),ReconciliationData[[#This Row],[ordered_units]]&lt;&gt;ReconciliationData[[#This Row],[Billed_Units]]),1,0)</f>
        <v>0</v>
      </c>
      <c r="R17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5">
        <f>IF(AND(NOT(ISBLANK(ReconciliationData[[#This Row],[Contract_Price]])),ReconciliationData[[#This Row],[Billed_Price]]&lt;&gt;ReconciliationData[[#This Row],[Contract_Price]]),1,0)</f>
        <v>0</v>
      </c>
      <c r="T1705">
        <f>IF(AND(NOT(ISBLANK(ReconciliationData[[#This Row],[End_Date]])),ReconciliationData[[#This Row],[Order_Date]]&gt;ReconciliationData[[#This Row],[End_Date]]),1,0)</f>
        <v>0</v>
      </c>
      <c r="U1705">
        <f>IF(AND(NOT(ISBLANK(ReconciliationData[[#This Row],[last_return_date]])),ReconciliationData[[#This Row],[last_return_date]]&gt;ReconciliationData[[#This Row],[Order_Date]]+60),1,0)</f>
        <v>1</v>
      </c>
      <c r="V1705">
        <f>IF(ReconciliationData[[#This Row],[total_returned_units]]&gt;ReconciliationData[[#This Row],[ordered_units]],1,0)</f>
        <v>0</v>
      </c>
      <c r="W17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705">
        <f>ReconciliationData[[#This Row],[Billed_Units]]*ReconciliationData[[#This Row],[Billed_Price]]</f>
        <v>116025.3458</v>
      </c>
      <c r="Y1705">
        <f>ReconciliationData[[#This Row],[ordered_units]]*ReconciliationData[[#This Row],[List_Price]]</f>
        <v>116025.3458</v>
      </c>
      <c r="Z1705">
        <f>ReconciliationData[[#This Row],[billed_revenue]]-ReconciliationData[[#This Row],[expected_revenue]]</f>
        <v>0</v>
      </c>
      <c r="AA17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705" t="str">
        <f>IF(ReconciliationData[[#This Row],[severity_score]]=0,"LOW",
 IF(ReconciliationData[[#This Row],[severity_score]]&lt;=5,"MEDIUM","HIGH"))</f>
        <v>MEDIUM</v>
      </c>
      <c r="AC1705" t="str">
        <f>TEXT(ReconciliationData[[#This Row],[Order_Date]],"YYYY-MM")</f>
        <v>2023-05</v>
      </c>
    </row>
    <row r="1706" spans="1:29">
      <c r="A1706" t="s">
        <v>4552</v>
      </c>
      <c r="B1706" s="1">
        <v>45142</v>
      </c>
      <c r="C1706" t="s">
        <v>4407</v>
      </c>
      <c r="D1706" t="s">
        <v>138</v>
      </c>
      <c r="E1706">
        <v>97</v>
      </c>
      <c r="F1706" t="s">
        <v>4553</v>
      </c>
      <c r="G1706">
        <v>97</v>
      </c>
      <c r="H1706">
        <v>444.22</v>
      </c>
      <c r="N1706">
        <v>444.22</v>
      </c>
      <c r="O1706" s="1">
        <v>45074</v>
      </c>
      <c r="P1706">
        <f>IF(ISBLANK(ReconciliationData[[#This Row],[Invoice_ID]]),1,0)</f>
        <v>0</v>
      </c>
      <c r="Q1706">
        <f>IF(AND(NOT(ISBLANK(ReconciliationData[[#This Row],[Billed_Units]])),ReconciliationData[[#This Row],[ordered_units]]&lt;&gt;ReconciliationData[[#This Row],[Billed_Units]]),1,0)</f>
        <v>0</v>
      </c>
      <c r="R17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6">
        <f>IF(AND(NOT(ISBLANK(ReconciliationData[[#This Row],[Contract_Price]])),ReconciliationData[[#This Row],[Billed_Price]]&lt;&gt;ReconciliationData[[#This Row],[Contract_Price]]),1,0)</f>
        <v>0</v>
      </c>
      <c r="T1706">
        <f>IF(AND(NOT(ISBLANK(ReconciliationData[[#This Row],[End_Date]])),ReconciliationData[[#This Row],[Order_Date]]&gt;ReconciliationData[[#This Row],[End_Date]]),1,0)</f>
        <v>0</v>
      </c>
      <c r="U1706">
        <f>IF(AND(NOT(ISBLANK(ReconciliationData[[#This Row],[last_return_date]])),ReconciliationData[[#This Row],[last_return_date]]&gt;ReconciliationData[[#This Row],[Order_Date]]+60),1,0)</f>
        <v>0</v>
      </c>
      <c r="V1706">
        <f>IF(ReconciliationData[[#This Row],[total_returned_units]]&gt;ReconciliationData[[#This Row],[ordered_units]],1,0)</f>
        <v>0</v>
      </c>
      <c r="W17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06">
        <f>ReconciliationData[[#This Row],[Billed_Units]]*ReconciliationData[[#This Row],[Billed_Price]]</f>
        <v>43089.340000000004</v>
      </c>
      <c r="Y1706">
        <f>ReconciliationData[[#This Row],[ordered_units]]*ReconciliationData[[#This Row],[List_Price]]</f>
        <v>43089.340000000004</v>
      </c>
      <c r="Z1706">
        <f>ReconciliationData[[#This Row],[billed_revenue]]-ReconciliationData[[#This Row],[expected_revenue]]</f>
        <v>0</v>
      </c>
      <c r="AA17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06" t="str">
        <f>IF(ReconciliationData[[#This Row],[severity_score]]=0,"LOW",
 IF(ReconciliationData[[#This Row],[severity_score]]&lt;=5,"MEDIUM","HIGH"))</f>
        <v>LOW</v>
      </c>
      <c r="AC1706" t="str">
        <f>TEXT(ReconciliationData[[#This Row],[Order_Date]],"YYYY-MM")</f>
        <v>2023-08</v>
      </c>
    </row>
    <row r="1707" spans="1:29">
      <c r="A1707" t="s">
        <v>4554</v>
      </c>
      <c r="B1707" s="1">
        <v>45133</v>
      </c>
      <c r="C1707" t="s">
        <v>1801</v>
      </c>
      <c r="D1707" t="s">
        <v>1400</v>
      </c>
      <c r="E1707">
        <v>19</v>
      </c>
      <c r="F1707" t="s">
        <v>4555</v>
      </c>
      <c r="G1707">
        <v>19</v>
      </c>
      <c r="H1707">
        <v>512.04</v>
      </c>
      <c r="N1707">
        <v>512.04</v>
      </c>
      <c r="O1707" s="1">
        <v>44928</v>
      </c>
      <c r="P1707">
        <f>IF(ISBLANK(ReconciliationData[[#This Row],[Invoice_ID]]),1,0)</f>
        <v>0</v>
      </c>
      <c r="Q1707">
        <f>IF(AND(NOT(ISBLANK(ReconciliationData[[#This Row],[Billed_Units]])),ReconciliationData[[#This Row],[ordered_units]]&lt;&gt;ReconciliationData[[#This Row],[Billed_Units]]),1,0)</f>
        <v>0</v>
      </c>
      <c r="R17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7">
        <f>IF(AND(NOT(ISBLANK(ReconciliationData[[#This Row],[Contract_Price]])),ReconciliationData[[#This Row],[Billed_Price]]&lt;&gt;ReconciliationData[[#This Row],[Contract_Price]]),1,0)</f>
        <v>0</v>
      </c>
      <c r="T1707">
        <f>IF(AND(NOT(ISBLANK(ReconciliationData[[#This Row],[End_Date]])),ReconciliationData[[#This Row],[Order_Date]]&gt;ReconciliationData[[#This Row],[End_Date]]),1,0)</f>
        <v>0</v>
      </c>
      <c r="U1707">
        <f>IF(AND(NOT(ISBLANK(ReconciliationData[[#This Row],[last_return_date]])),ReconciliationData[[#This Row],[last_return_date]]&gt;ReconciliationData[[#This Row],[Order_Date]]+60),1,0)</f>
        <v>0</v>
      </c>
      <c r="V1707">
        <f>IF(ReconciliationData[[#This Row],[total_returned_units]]&gt;ReconciliationData[[#This Row],[ordered_units]],1,0)</f>
        <v>0</v>
      </c>
      <c r="W17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07">
        <f>ReconciliationData[[#This Row],[Billed_Units]]*ReconciliationData[[#This Row],[Billed_Price]]</f>
        <v>9728.7599999999984</v>
      </c>
      <c r="Y1707">
        <f>ReconciliationData[[#This Row],[ordered_units]]*ReconciliationData[[#This Row],[List_Price]]</f>
        <v>9728.7599999999984</v>
      </c>
      <c r="Z1707">
        <f>ReconciliationData[[#This Row],[billed_revenue]]-ReconciliationData[[#This Row],[expected_revenue]]</f>
        <v>0</v>
      </c>
      <c r="AA17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07" t="str">
        <f>IF(ReconciliationData[[#This Row],[severity_score]]=0,"LOW",
 IF(ReconciliationData[[#This Row],[severity_score]]&lt;=5,"MEDIUM","HIGH"))</f>
        <v>LOW</v>
      </c>
      <c r="AC1707" t="str">
        <f>TEXT(ReconciliationData[[#This Row],[Order_Date]],"YYYY-MM")</f>
        <v>2023-07</v>
      </c>
    </row>
    <row r="1708" spans="1:29">
      <c r="A1708" t="s">
        <v>4556</v>
      </c>
      <c r="B1708" s="1">
        <v>45028</v>
      </c>
      <c r="C1708" t="s">
        <v>3076</v>
      </c>
      <c r="D1708" t="s">
        <v>430</v>
      </c>
      <c r="E1708">
        <v>167</v>
      </c>
      <c r="F1708" t="s">
        <v>4557</v>
      </c>
      <c r="G1708">
        <v>169</v>
      </c>
      <c r="H1708">
        <v>904.00099999999998</v>
      </c>
      <c r="N1708">
        <v>904.00099999999998</v>
      </c>
      <c r="O1708" s="1">
        <v>44831</v>
      </c>
      <c r="P1708">
        <f>IF(ISBLANK(ReconciliationData[[#This Row],[Invoice_ID]]),1,0)</f>
        <v>0</v>
      </c>
      <c r="Q1708">
        <f>IF(AND(NOT(ISBLANK(ReconciliationData[[#This Row],[Billed_Units]])),ReconciliationData[[#This Row],[ordered_units]]&lt;&gt;ReconciliationData[[#This Row],[Billed_Units]]),1,0)</f>
        <v>1</v>
      </c>
      <c r="R17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8">
        <f>IF(AND(NOT(ISBLANK(ReconciliationData[[#This Row],[Contract_Price]])),ReconciliationData[[#This Row],[Billed_Price]]&lt;&gt;ReconciliationData[[#This Row],[Contract_Price]]),1,0)</f>
        <v>0</v>
      </c>
      <c r="T1708">
        <f>IF(AND(NOT(ISBLANK(ReconciliationData[[#This Row],[End_Date]])),ReconciliationData[[#This Row],[Order_Date]]&gt;ReconciliationData[[#This Row],[End_Date]]),1,0)</f>
        <v>0</v>
      </c>
      <c r="U1708">
        <f>IF(AND(NOT(ISBLANK(ReconciliationData[[#This Row],[last_return_date]])),ReconciliationData[[#This Row],[last_return_date]]&gt;ReconciliationData[[#This Row],[Order_Date]]+60),1,0)</f>
        <v>0</v>
      </c>
      <c r="V1708">
        <f>IF(ReconciliationData[[#This Row],[total_returned_units]]&gt;ReconciliationData[[#This Row],[ordered_units]],1,0)</f>
        <v>0</v>
      </c>
      <c r="W17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708">
        <f>ReconciliationData[[#This Row],[Billed_Units]]*ReconciliationData[[#This Row],[Billed_Price]]</f>
        <v>152776.16899999999</v>
      </c>
      <c r="Y1708">
        <f>ReconciliationData[[#This Row],[ordered_units]]*ReconciliationData[[#This Row],[List_Price]]</f>
        <v>150968.16699999999</v>
      </c>
      <c r="Z1708">
        <f>ReconciliationData[[#This Row],[billed_revenue]]-ReconciliationData[[#This Row],[expected_revenue]]</f>
        <v>1808.0020000000077</v>
      </c>
      <c r="AA17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708" t="str">
        <f>IF(ReconciliationData[[#This Row],[severity_score]]=0,"LOW",
 IF(ReconciliationData[[#This Row],[severity_score]]&lt;=5,"MEDIUM","HIGH"))</f>
        <v>HIGH</v>
      </c>
      <c r="AC1708" t="str">
        <f>TEXT(ReconciliationData[[#This Row],[Order_Date]],"YYYY-MM")</f>
        <v>2023-04</v>
      </c>
    </row>
    <row r="1709" spans="1:29">
      <c r="A1709" t="s">
        <v>4558</v>
      </c>
      <c r="B1709" s="1">
        <v>45286</v>
      </c>
      <c r="C1709" t="s">
        <v>2663</v>
      </c>
      <c r="D1709" t="s">
        <v>610</v>
      </c>
      <c r="E1709">
        <v>55</v>
      </c>
      <c r="F1709" t="s">
        <v>4559</v>
      </c>
      <c r="G1709">
        <v>55</v>
      </c>
      <c r="H1709">
        <v>457.65019999999998</v>
      </c>
      <c r="I1709">
        <v>3</v>
      </c>
      <c r="J1709" s="1">
        <v>45055</v>
      </c>
      <c r="N1709">
        <v>457.65019999999998</v>
      </c>
      <c r="O1709" s="1">
        <v>44950</v>
      </c>
      <c r="P1709">
        <f>IF(ISBLANK(ReconciliationData[[#This Row],[Invoice_ID]]),1,0)</f>
        <v>0</v>
      </c>
      <c r="Q1709">
        <f>IF(AND(NOT(ISBLANK(ReconciliationData[[#This Row],[Billed_Units]])),ReconciliationData[[#This Row],[ordered_units]]&lt;&gt;ReconciliationData[[#This Row],[Billed_Units]]),1,0)</f>
        <v>0</v>
      </c>
      <c r="R17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09">
        <f>IF(AND(NOT(ISBLANK(ReconciliationData[[#This Row],[Contract_Price]])),ReconciliationData[[#This Row],[Billed_Price]]&lt;&gt;ReconciliationData[[#This Row],[Contract_Price]]),1,0)</f>
        <v>0</v>
      </c>
      <c r="T1709">
        <f>IF(AND(NOT(ISBLANK(ReconciliationData[[#This Row],[End_Date]])),ReconciliationData[[#This Row],[Order_Date]]&gt;ReconciliationData[[#This Row],[End_Date]]),1,0)</f>
        <v>0</v>
      </c>
      <c r="U1709">
        <f>IF(AND(NOT(ISBLANK(ReconciliationData[[#This Row],[last_return_date]])),ReconciliationData[[#This Row],[last_return_date]]&gt;ReconciliationData[[#This Row],[Order_Date]]+60),1,0)</f>
        <v>0</v>
      </c>
      <c r="V1709">
        <f>IF(ReconciliationData[[#This Row],[total_returned_units]]&gt;ReconciliationData[[#This Row],[ordered_units]],1,0)</f>
        <v>0</v>
      </c>
      <c r="W17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09">
        <f>ReconciliationData[[#This Row],[Billed_Units]]*ReconciliationData[[#This Row],[Billed_Price]]</f>
        <v>25170.760999999999</v>
      </c>
      <c r="Y1709">
        <f>ReconciliationData[[#This Row],[ordered_units]]*ReconciliationData[[#This Row],[List_Price]]</f>
        <v>25170.760999999999</v>
      </c>
      <c r="Z1709">
        <f>ReconciliationData[[#This Row],[billed_revenue]]-ReconciliationData[[#This Row],[expected_revenue]]</f>
        <v>0</v>
      </c>
      <c r="AA17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09" t="str">
        <f>IF(ReconciliationData[[#This Row],[severity_score]]=0,"LOW",
 IF(ReconciliationData[[#This Row],[severity_score]]&lt;=5,"MEDIUM","HIGH"))</f>
        <v>LOW</v>
      </c>
      <c r="AC1709" t="str">
        <f>TEXT(ReconciliationData[[#This Row],[Order_Date]],"YYYY-MM")</f>
        <v>2023-12</v>
      </c>
    </row>
    <row r="1710" spans="1:29">
      <c r="A1710" t="s">
        <v>4560</v>
      </c>
      <c r="B1710" s="1">
        <v>44998</v>
      </c>
      <c r="C1710" t="s">
        <v>1060</v>
      </c>
      <c r="D1710" t="s">
        <v>1142</v>
      </c>
      <c r="E1710">
        <v>152</v>
      </c>
      <c r="F1710" t="s">
        <v>4561</v>
      </c>
      <c r="G1710">
        <v>152</v>
      </c>
      <c r="H1710">
        <v>624.37260000000003</v>
      </c>
      <c r="N1710">
        <v>624.37260000000003</v>
      </c>
      <c r="O1710" s="1">
        <v>44932</v>
      </c>
      <c r="P1710">
        <f>IF(ISBLANK(ReconciliationData[[#This Row],[Invoice_ID]]),1,0)</f>
        <v>0</v>
      </c>
      <c r="Q1710">
        <f>IF(AND(NOT(ISBLANK(ReconciliationData[[#This Row],[Billed_Units]])),ReconciliationData[[#This Row],[ordered_units]]&lt;&gt;ReconciliationData[[#This Row],[Billed_Units]]),1,0)</f>
        <v>0</v>
      </c>
      <c r="R17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10">
        <f>IF(AND(NOT(ISBLANK(ReconciliationData[[#This Row],[Contract_Price]])),ReconciliationData[[#This Row],[Billed_Price]]&lt;&gt;ReconciliationData[[#This Row],[Contract_Price]]),1,0)</f>
        <v>0</v>
      </c>
      <c r="T1710">
        <f>IF(AND(NOT(ISBLANK(ReconciliationData[[#This Row],[End_Date]])),ReconciliationData[[#This Row],[Order_Date]]&gt;ReconciliationData[[#This Row],[End_Date]]),1,0)</f>
        <v>0</v>
      </c>
      <c r="U1710">
        <f>IF(AND(NOT(ISBLANK(ReconciliationData[[#This Row],[last_return_date]])),ReconciliationData[[#This Row],[last_return_date]]&gt;ReconciliationData[[#This Row],[Order_Date]]+60),1,0)</f>
        <v>0</v>
      </c>
      <c r="V1710">
        <f>IF(ReconciliationData[[#This Row],[total_returned_units]]&gt;ReconciliationData[[#This Row],[ordered_units]],1,0)</f>
        <v>0</v>
      </c>
      <c r="W17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10">
        <f>ReconciliationData[[#This Row],[Billed_Units]]*ReconciliationData[[#This Row],[Billed_Price]]</f>
        <v>94904.635200000004</v>
      </c>
      <c r="Y1710">
        <f>ReconciliationData[[#This Row],[ordered_units]]*ReconciliationData[[#This Row],[List_Price]]</f>
        <v>94904.635200000004</v>
      </c>
      <c r="Z1710">
        <f>ReconciliationData[[#This Row],[billed_revenue]]-ReconciliationData[[#This Row],[expected_revenue]]</f>
        <v>0</v>
      </c>
      <c r="AA17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10" t="str">
        <f>IF(ReconciliationData[[#This Row],[severity_score]]=0,"LOW",
 IF(ReconciliationData[[#This Row],[severity_score]]&lt;=5,"MEDIUM","HIGH"))</f>
        <v>LOW</v>
      </c>
      <c r="AC1710" t="str">
        <f>TEXT(ReconciliationData[[#This Row],[Order_Date]],"YYYY-MM")</f>
        <v>2023-03</v>
      </c>
    </row>
    <row r="1711" spans="1:29">
      <c r="A1711" t="s">
        <v>4562</v>
      </c>
      <c r="B1711" s="1">
        <v>45020</v>
      </c>
      <c r="C1711" t="s">
        <v>3646</v>
      </c>
      <c r="D1711" t="s">
        <v>1878</v>
      </c>
      <c r="E1711">
        <v>111</v>
      </c>
      <c r="F1711" t="s">
        <v>4563</v>
      </c>
      <c r="G1711">
        <v>111</v>
      </c>
      <c r="H1711">
        <v>752.34559999999999</v>
      </c>
      <c r="N1711">
        <v>752.34559999999999</v>
      </c>
      <c r="O1711" s="1">
        <v>44900</v>
      </c>
      <c r="P1711">
        <f>IF(ISBLANK(ReconciliationData[[#This Row],[Invoice_ID]]),1,0)</f>
        <v>0</v>
      </c>
      <c r="Q1711">
        <f>IF(AND(NOT(ISBLANK(ReconciliationData[[#This Row],[Billed_Units]])),ReconciliationData[[#This Row],[ordered_units]]&lt;&gt;ReconciliationData[[#This Row],[Billed_Units]]),1,0)</f>
        <v>0</v>
      </c>
      <c r="R17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11">
        <f>IF(AND(NOT(ISBLANK(ReconciliationData[[#This Row],[Contract_Price]])),ReconciliationData[[#This Row],[Billed_Price]]&lt;&gt;ReconciliationData[[#This Row],[Contract_Price]]),1,0)</f>
        <v>0</v>
      </c>
      <c r="T1711">
        <f>IF(AND(NOT(ISBLANK(ReconciliationData[[#This Row],[End_Date]])),ReconciliationData[[#This Row],[Order_Date]]&gt;ReconciliationData[[#This Row],[End_Date]]),1,0)</f>
        <v>0</v>
      </c>
      <c r="U1711">
        <f>IF(AND(NOT(ISBLANK(ReconciliationData[[#This Row],[last_return_date]])),ReconciliationData[[#This Row],[last_return_date]]&gt;ReconciliationData[[#This Row],[Order_Date]]+60),1,0)</f>
        <v>0</v>
      </c>
      <c r="V1711">
        <f>IF(ReconciliationData[[#This Row],[total_returned_units]]&gt;ReconciliationData[[#This Row],[ordered_units]],1,0)</f>
        <v>0</v>
      </c>
      <c r="W17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11">
        <f>ReconciliationData[[#This Row],[Billed_Units]]*ReconciliationData[[#This Row],[Billed_Price]]</f>
        <v>83510.361600000004</v>
      </c>
      <c r="Y1711">
        <f>ReconciliationData[[#This Row],[ordered_units]]*ReconciliationData[[#This Row],[List_Price]]</f>
        <v>83510.361600000004</v>
      </c>
      <c r="Z1711">
        <f>ReconciliationData[[#This Row],[billed_revenue]]-ReconciliationData[[#This Row],[expected_revenue]]</f>
        <v>0</v>
      </c>
      <c r="AA17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11" t="str">
        <f>IF(ReconciliationData[[#This Row],[severity_score]]=0,"LOW",
 IF(ReconciliationData[[#This Row],[severity_score]]&lt;=5,"MEDIUM","HIGH"))</f>
        <v>LOW</v>
      </c>
      <c r="AC1711" t="str">
        <f>TEXT(ReconciliationData[[#This Row],[Order_Date]],"YYYY-MM")</f>
        <v>2023-04</v>
      </c>
    </row>
    <row r="1712" spans="1:29">
      <c r="A1712" t="s">
        <v>4564</v>
      </c>
      <c r="B1712" s="1">
        <v>45023</v>
      </c>
      <c r="C1712" t="s">
        <v>1552</v>
      </c>
      <c r="D1712" t="s">
        <v>747</v>
      </c>
      <c r="E1712">
        <v>76</v>
      </c>
      <c r="F1712" t="s">
        <v>4565</v>
      </c>
      <c r="G1712">
        <v>76</v>
      </c>
      <c r="H1712">
        <v>58.98</v>
      </c>
      <c r="N1712">
        <v>58.98</v>
      </c>
      <c r="O1712" s="1">
        <v>44934</v>
      </c>
      <c r="P1712">
        <f>IF(ISBLANK(ReconciliationData[[#This Row],[Invoice_ID]]),1,0)</f>
        <v>0</v>
      </c>
      <c r="Q1712">
        <f>IF(AND(NOT(ISBLANK(ReconciliationData[[#This Row],[Billed_Units]])),ReconciliationData[[#This Row],[ordered_units]]&lt;&gt;ReconciliationData[[#This Row],[Billed_Units]]),1,0)</f>
        <v>0</v>
      </c>
      <c r="R17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12">
        <f>IF(AND(NOT(ISBLANK(ReconciliationData[[#This Row],[Contract_Price]])),ReconciliationData[[#This Row],[Billed_Price]]&lt;&gt;ReconciliationData[[#This Row],[Contract_Price]]),1,0)</f>
        <v>0</v>
      </c>
      <c r="T1712">
        <f>IF(AND(NOT(ISBLANK(ReconciliationData[[#This Row],[End_Date]])),ReconciliationData[[#This Row],[Order_Date]]&gt;ReconciliationData[[#This Row],[End_Date]]),1,0)</f>
        <v>0</v>
      </c>
      <c r="U1712">
        <f>IF(AND(NOT(ISBLANK(ReconciliationData[[#This Row],[last_return_date]])),ReconciliationData[[#This Row],[last_return_date]]&gt;ReconciliationData[[#This Row],[Order_Date]]+60),1,0)</f>
        <v>0</v>
      </c>
      <c r="V1712">
        <f>IF(ReconciliationData[[#This Row],[total_returned_units]]&gt;ReconciliationData[[#This Row],[ordered_units]],1,0)</f>
        <v>0</v>
      </c>
      <c r="W17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12">
        <f>ReconciliationData[[#This Row],[Billed_Units]]*ReconciliationData[[#This Row],[Billed_Price]]</f>
        <v>4482.4799999999996</v>
      </c>
      <c r="Y1712">
        <f>ReconciliationData[[#This Row],[ordered_units]]*ReconciliationData[[#This Row],[List_Price]]</f>
        <v>4482.4799999999996</v>
      </c>
      <c r="Z1712">
        <f>ReconciliationData[[#This Row],[billed_revenue]]-ReconciliationData[[#This Row],[expected_revenue]]</f>
        <v>0</v>
      </c>
      <c r="AA17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12" t="str">
        <f>IF(ReconciliationData[[#This Row],[severity_score]]=0,"LOW",
 IF(ReconciliationData[[#This Row],[severity_score]]&lt;=5,"MEDIUM","HIGH"))</f>
        <v>LOW</v>
      </c>
      <c r="AC1712" t="str">
        <f>TEXT(ReconciliationData[[#This Row],[Order_Date]],"YYYY-MM")</f>
        <v>2023-04</v>
      </c>
    </row>
    <row r="1713" spans="1:29">
      <c r="A1713" t="s">
        <v>4566</v>
      </c>
      <c r="B1713" s="1">
        <v>45443</v>
      </c>
      <c r="C1713" t="s">
        <v>1348</v>
      </c>
      <c r="D1713" t="s">
        <v>1071</v>
      </c>
      <c r="E1713">
        <v>29</v>
      </c>
      <c r="F1713" t="s">
        <v>4567</v>
      </c>
      <c r="G1713">
        <v>29</v>
      </c>
      <c r="H1713">
        <v>335.39150000000001</v>
      </c>
      <c r="N1713">
        <v>335.39150000000001</v>
      </c>
      <c r="O1713" s="1">
        <v>45151</v>
      </c>
      <c r="P1713">
        <f>IF(ISBLANK(ReconciliationData[[#This Row],[Invoice_ID]]),1,0)</f>
        <v>0</v>
      </c>
      <c r="Q1713">
        <f>IF(AND(NOT(ISBLANK(ReconciliationData[[#This Row],[Billed_Units]])),ReconciliationData[[#This Row],[ordered_units]]&lt;&gt;ReconciliationData[[#This Row],[Billed_Units]]),1,0)</f>
        <v>0</v>
      </c>
      <c r="R17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13">
        <f>IF(AND(NOT(ISBLANK(ReconciliationData[[#This Row],[Contract_Price]])),ReconciliationData[[#This Row],[Billed_Price]]&lt;&gt;ReconciliationData[[#This Row],[Contract_Price]]),1,0)</f>
        <v>0</v>
      </c>
      <c r="T1713">
        <f>IF(AND(NOT(ISBLANK(ReconciliationData[[#This Row],[End_Date]])),ReconciliationData[[#This Row],[Order_Date]]&gt;ReconciliationData[[#This Row],[End_Date]]),1,0)</f>
        <v>0</v>
      </c>
      <c r="U1713">
        <f>IF(AND(NOT(ISBLANK(ReconciliationData[[#This Row],[last_return_date]])),ReconciliationData[[#This Row],[last_return_date]]&gt;ReconciliationData[[#This Row],[Order_Date]]+60),1,0)</f>
        <v>0</v>
      </c>
      <c r="V1713">
        <f>IF(ReconciliationData[[#This Row],[total_returned_units]]&gt;ReconciliationData[[#This Row],[ordered_units]],1,0)</f>
        <v>0</v>
      </c>
      <c r="W17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13">
        <f>ReconciliationData[[#This Row],[Billed_Units]]*ReconciliationData[[#This Row],[Billed_Price]]</f>
        <v>9726.3535000000011</v>
      </c>
      <c r="Y1713">
        <f>ReconciliationData[[#This Row],[ordered_units]]*ReconciliationData[[#This Row],[List_Price]]</f>
        <v>9726.3535000000011</v>
      </c>
      <c r="Z1713">
        <f>ReconciliationData[[#This Row],[billed_revenue]]-ReconciliationData[[#This Row],[expected_revenue]]</f>
        <v>0</v>
      </c>
      <c r="AA17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13" t="str">
        <f>IF(ReconciliationData[[#This Row],[severity_score]]=0,"LOW",
 IF(ReconciliationData[[#This Row],[severity_score]]&lt;=5,"MEDIUM","HIGH"))</f>
        <v>LOW</v>
      </c>
      <c r="AC1713" t="str">
        <f>TEXT(ReconciliationData[[#This Row],[Order_Date]],"YYYY-MM")</f>
        <v>2024-05</v>
      </c>
    </row>
    <row r="1714" spans="1:29">
      <c r="A1714" t="s">
        <v>4568</v>
      </c>
      <c r="B1714" s="1">
        <v>45655</v>
      </c>
      <c r="C1714" t="s">
        <v>4124</v>
      </c>
      <c r="D1714" t="s">
        <v>1449</v>
      </c>
      <c r="E1714">
        <v>51</v>
      </c>
      <c r="F1714" t="s">
        <v>4569</v>
      </c>
      <c r="G1714">
        <v>51</v>
      </c>
      <c r="H1714">
        <v>960.85850000000005</v>
      </c>
      <c r="N1714">
        <v>960.85850000000005</v>
      </c>
      <c r="O1714" s="1">
        <v>45049</v>
      </c>
      <c r="P1714">
        <f>IF(ISBLANK(ReconciliationData[[#This Row],[Invoice_ID]]),1,0)</f>
        <v>0</v>
      </c>
      <c r="Q1714">
        <f>IF(AND(NOT(ISBLANK(ReconciliationData[[#This Row],[Billed_Units]])),ReconciliationData[[#This Row],[ordered_units]]&lt;&gt;ReconciliationData[[#This Row],[Billed_Units]]),1,0)</f>
        <v>0</v>
      </c>
      <c r="R17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14">
        <f>IF(AND(NOT(ISBLANK(ReconciliationData[[#This Row],[Contract_Price]])),ReconciliationData[[#This Row],[Billed_Price]]&lt;&gt;ReconciliationData[[#This Row],[Contract_Price]]),1,0)</f>
        <v>0</v>
      </c>
      <c r="T1714">
        <f>IF(AND(NOT(ISBLANK(ReconciliationData[[#This Row],[End_Date]])),ReconciliationData[[#This Row],[Order_Date]]&gt;ReconciliationData[[#This Row],[End_Date]]),1,0)</f>
        <v>0</v>
      </c>
      <c r="U1714">
        <f>IF(AND(NOT(ISBLANK(ReconciliationData[[#This Row],[last_return_date]])),ReconciliationData[[#This Row],[last_return_date]]&gt;ReconciliationData[[#This Row],[Order_Date]]+60),1,0)</f>
        <v>0</v>
      </c>
      <c r="V1714">
        <f>IF(ReconciliationData[[#This Row],[total_returned_units]]&gt;ReconciliationData[[#This Row],[ordered_units]],1,0)</f>
        <v>0</v>
      </c>
      <c r="W17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14">
        <f>ReconciliationData[[#This Row],[Billed_Units]]*ReconciliationData[[#This Row],[Billed_Price]]</f>
        <v>49003.783500000005</v>
      </c>
      <c r="Y1714">
        <f>ReconciliationData[[#This Row],[ordered_units]]*ReconciliationData[[#This Row],[List_Price]]</f>
        <v>49003.783500000005</v>
      </c>
      <c r="Z1714">
        <f>ReconciliationData[[#This Row],[billed_revenue]]-ReconciliationData[[#This Row],[expected_revenue]]</f>
        <v>0</v>
      </c>
      <c r="AA17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14" t="str">
        <f>IF(ReconciliationData[[#This Row],[severity_score]]=0,"LOW",
 IF(ReconciliationData[[#This Row],[severity_score]]&lt;=5,"MEDIUM","HIGH"))</f>
        <v>LOW</v>
      </c>
      <c r="AC1714" t="str">
        <f>TEXT(ReconciliationData[[#This Row],[Order_Date]],"YYYY-MM")</f>
        <v>2024-12</v>
      </c>
    </row>
    <row r="1715" spans="1:29">
      <c r="A1715" t="s">
        <v>4570</v>
      </c>
      <c r="B1715" s="1">
        <v>45006</v>
      </c>
      <c r="C1715" t="s">
        <v>1970</v>
      </c>
      <c r="D1715" t="s">
        <v>548</v>
      </c>
      <c r="E1715">
        <v>17</v>
      </c>
      <c r="F1715" t="s">
        <v>4571</v>
      </c>
      <c r="G1715">
        <v>17</v>
      </c>
      <c r="H1715">
        <v>951.87149999999997</v>
      </c>
      <c r="N1715">
        <v>951.87149999999997</v>
      </c>
      <c r="O1715" s="1">
        <v>44887</v>
      </c>
      <c r="P1715">
        <f>IF(ISBLANK(ReconciliationData[[#This Row],[Invoice_ID]]),1,0)</f>
        <v>0</v>
      </c>
      <c r="Q1715">
        <f>IF(AND(NOT(ISBLANK(ReconciliationData[[#This Row],[Billed_Units]])),ReconciliationData[[#This Row],[ordered_units]]&lt;&gt;ReconciliationData[[#This Row],[Billed_Units]]),1,0)</f>
        <v>0</v>
      </c>
      <c r="R17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15">
        <f>IF(AND(NOT(ISBLANK(ReconciliationData[[#This Row],[Contract_Price]])),ReconciliationData[[#This Row],[Billed_Price]]&lt;&gt;ReconciliationData[[#This Row],[Contract_Price]]),1,0)</f>
        <v>0</v>
      </c>
      <c r="T1715">
        <f>IF(AND(NOT(ISBLANK(ReconciliationData[[#This Row],[End_Date]])),ReconciliationData[[#This Row],[Order_Date]]&gt;ReconciliationData[[#This Row],[End_Date]]),1,0)</f>
        <v>0</v>
      </c>
      <c r="U1715">
        <f>IF(AND(NOT(ISBLANK(ReconciliationData[[#This Row],[last_return_date]])),ReconciliationData[[#This Row],[last_return_date]]&gt;ReconciliationData[[#This Row],[Order_Date]]+60),1,0)</f>
        <v>0</v>
      </c>
      <c r="V1715">
        <f>IF(ReconciliationData[[#This Row],[total_returned_units]]&gt;ReconciliationData[[#This Row],[ordered_units]],1,0)</f>
        <v>0</v>
      </c>
      <c r="W17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15">
        <f>ReconciliationData[[#This Row],[Billed_Units]]*ReconciliationData[[#This Row],[Billed_Price]]</f>
        <v>16181.815499999999</v>
      </c>
      <c r="Y1715">
        <f>ReconciliationData[[#This Row],[ordered_units]]*ReconciliationData[[#This Row],[List_Price]]</f>
        <v>16181.815499999999</v>
      </c>
      <c r="Z1715">
        <f>ReconciliationData[[#This Row],[billed_revenue]]-ReconciliationData[[#This Row],[expected_revenue]]</f>
        <v>0</v>
      </c>
      <c r="AA17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15" t="str">
        <f>IF(ReconciliationData[[#This Row],[severity_score]]=0,"LOW",
 IF(ReconciliationData[[#This Row],[severity_score]]&lt;=5,"MEDIUM","HIGH"))</f>
        <v>LOW</v>
      </c>
      <c r="AC1715" t="str">
        <f>TEXT(ReconciliationData[[#This Row],[Order_Date]],"YYYY-MM")</f>
        <v>2023-03</v>
      </c>
    </row>
    <row r="1716" spans="1:29">
      <c r="A1716" t="s">
        <v>4572</v>
      </c>
      <c r="B1716" s="1">
        <v>45284</v>
      </c>
      <c r="C1716" t="s">
        <v>1064</v>
      </c>
      <c r="D1716" t="s">
        <v>560</v>
      </c>
      <c r="E1716">
        <v>168</v>
      </c>
      <c r="F1716" t="s">
        <v>4573</v>
      </c>
      <c r="G1716">
        <v>168</v>
      </c>
      <c r="H1716">
        <v>1119.6587000000002</v>
      </c>
      <c r="N1716">
        <v>1119.6587000000002</v>
      </c>
      <c r="O1716" s="1">
        <v>45147</v>
      </c>
      <c r="P1716">
        <f>IF(ISBLANK(ReconciliationData[[#This Row],[Invoice_ID]]),1,0)</f>
        <v>0</v>
      </c>
      <c r="Q1716">
        <f>IF(AND(NOT(ISBLANK(ReconciliationData[[#This Row],[Billed_Units]])),ReconciliationData[[#This Row],[ordered_units]]&lt;&gt;ReconciliationData[[#This Row],[Billed_Units]]),1,0)</f>
        <v>0</v>
      </c>
      <c r="R17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16">
        <f>IF(AND(NOT(ISBLANK(ReconciliationData[[#This Row],[Contract_Price]])),ReconciliationData[[#This Row],[Billed_Price]]&lt;&gt;ReconciliationData[[#This Row],[Contract_Price]]),1,0)</f>
        <v>0</v>
      </c>
      <c r="T1716">
        <f>IF(AND(NOT(ISBLANK(ReconciliationData[[#This Row],[End_Date]])),ReconciliationData[[#This Row],[Order_Date]]&gt;ReconciliationData[[#This Row],[End_Date]]),1,0)</f>
        <v>0</v>
      </c>
      <c r="U1716">
        <f>IF(AND(NOT(ISBLANK(ReconciliationData[[#This Row],[last_return_date]])),ReconciliationData[[#This Row],[last_return_date]]&gt;ReconciliationData[[#This Row],[Order_Date]]+60),1,0)</f>
        <v>0</v>
      </c>
      <c r="V1716">
        <f>IF(ReconciliationData[[#This Row],[total_returned_units]]&gt;ReconciliationData[[#This Row],[ordered_units]],1,0)</f>
        <v>0</v>
      </c>
      <c r="W17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16">
        <f>ReconciliationData[[#This Row],[Billed_Units]]*ReconciliationData[[#This Row],[Billed_Price]]</f>
        <v>188102.66160000002</v>
      </c>
      <c r="Y1716">
        <f>ReconciliationData[[#This Row],[ordered_units]]*ReconciliationData[[#This Row],[List_Price]]</f>
        <v>188102.66160000002</v>
      </c>
      <c r="Z1716">
        <f>ReconciliationData[[#This Row],[billed_revenue]]-ReconciliationData[[#This Row],[expected_revenue]]</f>
        <v>0</v>
      </c>
      <c r="AA17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16" t="str">
        <f>IF(ReconciliationData[[#This Row],[severity_score]]=0,"LOW",
 IF(ReconciliationData[[#This Row],[severity_score]]&lt;=5,"MEDIUM","HIGH"))</f>
        <v>LOW</v>
      </c>
      <c r="AC1716" t="str">
        <f>TEXT(ReconciliationData[[#This Row],[Order_Date]],"YYYY-MM")</f>
        <v>2023-12</v>
      </c>
    </row>
    <row r="1717" spans="1:29">
      <c r="A1717" t="s">
        <v>4574</v>
      </c>
      <c r="B1717" s="1">
        <v>45296</v>
      </c>
      <c r="C1717" t="s">
        <v>340</v>
      </c>
      <c r="D1717" t="s">
        <v>1961</v>
      </c>
      <c r="E1717">
        <v>125</v>
      </c>
      <c r="F1717" t="s">
        <v>4575</v>
      </c>
      <c r="G1717">
        <v>125</v>
      </c>
      <c r="H1717">
        <v>717.55482284967115</v>
      </c>
      <c r="N1717">
        <v>717.0471</v>
      </c>
      <c r="O1717" s="1">
        <v>44984</v>
      </c>
      <c r="P1717">
        <f>IF(ISBLANK(ReconciliationData[[#This Row],[Invoice_ID]]),1,0)</f>
        <v>0</v>
      </c>
      <c r="Q1717">
        <f>IF(AND(NOT(ISBLANK(ReconciliationData[[#This Row],[Billed_Units]])),ReconciliationData[[#This Row],[ordered_units]]&lt;&gt;ReconciliationData[[#This Row],[Billed_Units]]),1,0)</f>
        <v>0</v>
      </c>
      <c r="R171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717">
        <f>IF(AND(NOT(ISBLANK(ReconciliationData[[#This Row],[Contract_Price]])),ReconciliationData[[#This Row],[Billed_Price]]&lt;&gt;ReconciliationData[[#This Row],[Contract_Price]]),1,0)</f>
        <v>0</v>
      </c>
      <c r="T1717">
        <f>IF(AND(NOT(ISBLANK(ReconciliationData[[#This Row],[End_Date]])),ReconciliationData[[#This Row],[Order_Date]]&gt;ReconciliationData[[#This Row],[End_Date]]),1,0)</f>
        <v>0</v>
      </c>
      <c r="U1717">
        <f>IF(AND(NOT(ISBLANK(ReconciliationData[[#This Row],[last_return_date]])),ReconciliationData[[#This Row],[last_return_date]]&gt;ReconciliationData[[#This Row],[Order_Date]]+60),1,0)</f>
        <v>0</v>
      </c>
      <c r="V1717">
        <f>IF(ReconciliationData[[#This Row],[total_returned_units]]&gt;ReconciliationData[[#This Row],[ordered_units]],1,0)</f>
        <v>0</v>
      </c>
      <c r="W17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717">
        <f>ReconciliationData[[#This Row],[Billed_Units]]*ReconciliationData[[#This Row],[Billed_Price]]</f>
        <v>89694.35285620889</v>
      </c>
      <c r="Y1717">
        <f>ReconciliationData[[#This Row],[ordered_units]]*ReconciliationData[[#This Row],[List_Price]]</f>
        <v>89630.887499999997</v>
      </c>
      <c r="Z1717">
        <f>ReconciliationData[[#This Row],[billed_revenue]]-ReconciliationData[[#This Row],[expected_revenue]]</f>
        <v>63.465356208893354</v>
      </c>
      <c r="AA17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717" t="str">
        <f>IF(ReconciliationData[[#This Row],[severity_score]]=0,"LOW",
 IF(ReconciliationData[[#This Row],[severity_score]]&lt;=5,"MEDIUM","HIGH"))</f>
        <v>MEDIUM</v>
      </c>
      <c r="AC1717" t="str">
        <f>TEXT(ReconciliationData[[#This Row],[Order_Date]],"YYYY-MM")</f>
        <v>2024-01</v>
      </c>
    </row>
    <row r="1718" spans="1:29">
      <c r="A1718" t="s">
        <v>4576</v>
      </c>
      <c r="B1718" s="1">
        <v>45490</v>
      </c>
      <c r="C1718" t="s">
        <v>3326</v>
      </c>
      <c r="D1718" t="s">
        <v>3297</v>
      </c>
      <c r="E1718">
        <v>67</v>
      </c>
      <c r="F1718" t="s">
        <v>4577</v>
      </c>
      <c r="G1718">
        <v>67</v>
      </c>
      <c r="H1718">
        <v>933.43190000000004</v>
      </c>
      <c r="N1718">
        <v>933.43190000000004</v>
      </c>
      <c r="O1718" s="1">
        <v>45011</v>
      </c>
      <c r="P1718">
        <f>IF(ISBLANK(ReconciliationData[[#This Row],[Invoice_ID]]),1,0)</f>
        <v>0</v>
      </c>
      <c r="Q1718">
        <f>IF(AND(NOT(ISBLANK(ReconciliationData[[#This Row],[Billed_Units]])),ReconciliationData[[#This Row],[ordered_units]]&lt;&gt;ReconciliationData[[#This Row],[Billed_Units]]),1,0)</f>
        <v>0</v>
      </c>
      <c r="R17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18">
        <f>IF(AND(NOT(ISBLANK(ReconciliationData[[#This Row],[Contract_Price]])),ReconciliationData[[#This Row],[Billed_Price]]&lt;&gt;ReconciliationData[[#This Row],[Contract_Price]]),1,0)</f>
        <v>0</v>
      </c>
      <c r="T1718">
        <f>IF(AND(NOT(ISBLANK(ReconciliationData[[#This Row],[End_Date]])),ReconciliationData[[#This Row],[Order_Date]]&gt;ReconciliationData[[#This Row],[End_Date]]),1,0)</f>
        <v>0</v>
      </c>
      <c r="U1718">
        <f>IF(AND(NOT(ISBLANK(ReconciliationData[[#This Row],[last_return_date]])),ReconciliationData[[#This Row],[last_return_date]]&gt;ReconciliationData[[#This Row],[Order_Date]]+60),1,0)</f>
        <v>0</v>
      </c>
      <c r="V1718">
        <f>IF(ReconciliationData[[#This Row],[total_returned_units]]&gt;ReconciliationData[[#This Row],[ordered_units]],1,0)</f>
        <v>0</v>
      </c>
      <c r="W17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18">
        <f>ReconciliationData[[#This Row],[Billed_Units]]*ReconciliationData[[#This Row],[Billed_Price]]</f>
        <v>62539.937300000005</v>
      </c>
      <c r="Y1718">
        <f>ReconciliationData[[#This Row],[ordered_units]]*ReconciliationData[[#This Row],[List_Price]]</f>
        <v>62539.937300000005</v>
      </c>
      <c r="Z1718">
        <f>ReconciliationData[[#This Row],[billed_revenue]]-ReconciliationData[[#This Row],[expected_revenue]]</f>
        <v>0</v>
      </c>
      <c r="AA17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18" t="str">
        <f>IF(ReconciliationData[[#This Row],[severity_score]]=0,"LOW",
 IF(ReconciliationData[[#This Row],[severity_score]]&lt;=5,"MEDIUM","HIGH"))</f>
        <v>LOW</v>
      </c>
      <c r="AC1718" t="str">
        <f>TEXT(ReconciliationData[[#This Row],[Order_Date]],"YYYY-MM")</f>
        <v>2024-07</v>
      </c>
    </row>
    <row r="1719" spans="1:29">
      <c r="A1719" t="s">
        <v>4578</v>
      </c>
      <c r="B1719" s="1">
        <v>45563</v>
      </c>
      <c r="C1719" t="s">
        <v>1135</v>
      </c>
      <c r="D1719" t="s">
        <v>2299</v>
      </c>
      <c r="E1719">
        <v>127</v>
      </c>
      <c r="F1719" t="s">
        <v>4579</v>
      </c>
      <c r="G1719">
        <v>127</v>
      </c>
      <c r="H1719">
        <v>1119.27</v>
      </c>
      <c r="N1719">
        <v>1119.27</v>
      </c>
      <c r="O1719" s="1">
        <v>45127</v>
      </c>
      <c r="P1719">
        <f>IF(ISBLANK(ReconciliationData[[#This Row],[Invoice_ID]]),1,0)</f>
        <v>0</v>
      </c>
      <c r="Q1719">
        <f>IF(AND(NOT(ISBLANK(ReconciliationData[[#This Row],[Billed_Units]])),ReconciliationData[[#This Row],[ordered_units]]&lt;&gt;ReconciliationData[[#This Row],[Billed_Units]]),1,0)</f>
        <v>0</v>
      </c>
      <c r="R17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19">
        <f>IF(AND(NOT(ISBLANK(ReconciliationData[[#This Row],[Contract_Price]])),ReconciliationData[[#This Row],[Billed_Price]]&lt;&gt;ReconciliationData[[#This Row],[Contract_Price]]),1,0)</f>
        <v>0</v>
      </c>
      <c r="T1719">
        <f>IF(AND(NOT(ISBLANK(ReconciliationData[[#This Row],[End_Date]])),ReconciliationData[[#This Row],[Order_Date]]&gt;ReconciliationData[[#This Row],[End_Date]]),1,0)</f>
        <v>0</v>
      </c>
      <c r="U1719">
        <f>IF(AND(NOT(ISBLANK(ReconciliationData[[#This Row],[last_return_date]])),ReconciliationData[[#This Row],[last_return_date]]&gt;ReconciliationData[[#This Row],[Order_Date]]+60),1,0)</f>
        <v>0</v>
      </c>
      <c r="V1719">
        <f>IF(ReconciliationData[[#This Row],[total_returned_units]]&gt;ReconciliationData[[#This Row],[ordered_units]],1,0)</f>
        <v>0</v>
      </c>
      <c r="W17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19">
        <f>ReconciliationData[[#This Row],[Billed_Units]]*ReconciliationData[[#This Row],[Billed_Price]]</f>
        <v>142147.29</v>
      </c>
      <c r="Y1719">
        <f>ReconciliationData[[#This Row],[ordered_units]]*ReconciliationData[[#This Row],[List_Price]]</f>
        <v>142147.29</v>
      </c>
      <c r="Z1719">
        <f>ReconciliationData[[#This Row],[billed_revenue]]-ReconciliationData[[#This Row],[expected_revenue]]</f>
        <v>0</v>
      </c>
      <c r="AA17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19" t="str">
        <f>IF(ReconciliationData[[#This Row],[severity_score]]=0,"LOW",
 IF(ReconciliationData[[#This Row],[severity_score]]&lt;=5,"MEDIUM","HIGH"))</f>
        <v>LOW</v>
      </c>
      <c r="AC1719" t="str">
        <f>TEXT(ReconciliationData[[#This Row],[Order_Date]],"YYYY-MM")</f>
        <v>2024-09</v>
      </c>
    </row>
    <row r="1720" spans="1:29">
      <c r="A1720" t="s">
        <v>4580</v>
      </c>
      <c r="B1720" s="1">
        <v>45125</v>
      </c>
      <c r="C1720" t="s">
        <v>3160</v>
      </c>
      <c r="D1720" t="s">
        <v>235</v>
      </c>
      <c r="E1720">
        <v>162</v>
      </c>
      <c r="F1720" t="s">
        <v>4581</v>
      </c>
      <c r="G1720">
        <v>162</v>
      </c>
      <c r="H1720">
        <v>421.92750000000001</v>
      </c>
      <c r="I1720">
        <v>11</v>
      </c>
      <c r="J1720" s="1">
        <v>45540</v>
      </c>
      <c r="N1720">
        <v>421.92750000000001</v>
      </c>
      <c r="O1720" s="1">
        <v>44969</v>
      </c>
      <c r="P1720">
        <f>IF(ISBLANK(ReconciliationData[[#This Row],[Invoice_ID]]),1,0)</f>
        <v>0</v>
      </c>
      <c r="Q1720">
        <f>IF(AND(NOT(ISBLANK(ReconciliationData[[#This Row],[Billed_Units]])),ReconciliationData[[#This Row],[ordered_units]]&lt;&gt;ReconciliationData[[#This Row],[Billed_Units]]),1,0)</f>
        <v>0</v>
      </c>
      <c r="R17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0">
        <f>IF(AND(NOT(ISBLANK(ReconciliationData[[#This Row],[Contract_Price]])),ReconciliationData[[#This Row],[Billed_Price]]&lt;&gt;ReconciliationData[[#This Row],[Contract_Price]]),1,0)</f>
        <v>0</v>
      </c>
      <c r="T1720">
        <f>IF(AND(NOT(ISBLANK(ReconciliationData[[#This Row],[End_Date]])),ReconciliationData[[#This Row],[Order_Date]]&gt;ReconciliationData[[#This Row],[End_Date]]),1,0)</f>
        <v>0</v>
      </c>
      <c r="U1720">
        <f>IF(AND(NOT(ISBLANK(ReconciliationData[[#This Row],[last_return_date]])),ReconciliationData[[#This Row],[last_return_date]]&gt;ReconciliationData[[#This Row],[Order_Date]]+60),1,0)</f>
        <v>1</v>
      </c>
      <c r="V1720">
        <f>IF(ReconciliationData[[#This Row],[total_returned_units]]&gt;ReconciliationData[[#This Row],[ordered_units]],1,0)</f>
        <v>0</v>
      </c>
      <c r="W17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720">
        <f>ReconciliationData[[#This Row],[Billed_Units]]*ReconciliationData[[#This Row],[Billed_Price]]</f>
        <v>68352.255000000005</v>
      </c>
      <c r="Y1720">
        <f>ReconciliationData[[#This Row],[ordered_units]]*ReconciliationData[[#This Row],[List_Price]]</f>
        <v>68352.255000000005</v>
      </c>
      <c r="Z1720">
        <f>ReconciliationData[[#This Row],[billed_revenue]]-ReconciliationData[[#This Row],[expected_revenue]]</f>
        <v>0</v>
      </c>
      <c r="AA17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720" t="str">
        <f>IF(ReconciliationData[[#This Row],[severity_score]]=0,"LOW",
 IF(ReconciliationData[[#This Row],[severity_score]]&lt;=5,"MEDIUM","HIGH"))</f>
        <v>MEDIUM</v>
      </c>
      <c r="AC1720" t="str">
        <f>TEXT(ReconciliationData[[#This Row],[Order_Date]],"YYYY-MM")</f>
        <v>2023-07</v>
      </c>
    </row>
    <row r="1721" spans="1:29">
      <c r="A1721" t="s">
        <v>4582</v>
      </c>
      <c r="B1721" s="1">
        <v>45600</v>
      </c>
      <c r="C1721" t="s">
        <v>706</v>
      </c>
      <c r="D1721" t="s">
        <v>1567</v>
      </c>
      <c r="E1721">
        <v>144</v>
      </c>
      <c r="F1721" t="s">
        <v>4583</v>
      </c>
      <c r="G1721">
        <v>144</v>
      </c>
      <c r="H1721">
        <v>799.8357000000002</v>
      </c>
      <c r="N1721">
        <v>799.8357000000002</v>
      </c>
      <c r="O1721" s="1">
        <v>45063</v>
      </c>
      <c r="P1721">
        <f>IF(ISBLANK(ReconciliationData[[#This Row],[Invoice_ID]]),1,0)</f>
        <v>0</v>
      </c>
      <c r="Q1721">
        <f>IF(AND(NOT(ISBLANK(ReconciliationData[[#This Row],[Billed_Units]])),ReconciliationData[[#This Row],[ordered_units]]&lt;&gt;ReconciliationData[[#This Row],[Billed_Units]]),1,0)</f>
        <v>0</v>
      </c>
      <c r="R17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1">
        <f>IF(AND(NOT(ISBLANK(ReconciliationData[[#This Row],[Contract_Price]])),ReconciliationData[[#This Row],[Billed_Price]]&lt;&gt;ReconciliationData[[#This Row],[Contract_Price]]),1,0)</f>
        <v>0</v>
      </c>
      <c r="T1721">
        <f>IF(AND(NOT(ISBLANK(ReconciliationData[[#This Row],[End_Date]])),ReconciliationData[[#This Row],[Order_Date]]&gt;ReconciliationData[[#This Row],[End_Date]]),1,0)</f>
        <v>0</v>
      </c>
      <c r="U1721">
        <f>IF(AND(NOT(ISBLANK(ReconciliationData[[#This Row],[last_return_date]])),ReconciliationData[[#This Row],[last_return_date]]&gt;ReconciliationData[[#This Row],[Order_Date]]+60),1,0)</f>
        <v>0</v>
      </c>
      <c r="V1721">
        <f>IF(ReconciliationData[[#This Row],[total_returned_units]]&gt;ReconciliationData[[#This Row],[ordered_units]],1,0)</f>
        <v>0</v>
      </c>
      <c r="W17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21">
        <f>ReconciliationData[[#This Row],[Billed_Units]]*ReconciliationData[[#This Row],[Billed_Price]]</f>
        <v>115176.34080000003</v>
      </c>
      <c r="Y1721">
        <f>ReconciliationData[[#This Row],[ordered_units]]*ReconciliationData[[#This Row],[List_Price]]</f>
        <v>115176.34080000003</v>
      </c>
      <c r="Z1721">
        <f>ReconciliationData[[#This Row],[billed_revenue]]-ReconciliationData[[#This Row],[expected_revenue]]</f>
        <v>0</v>
      </c>
      <c r="AA17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21" t="str">
        <f>IF(ReconciliationData[[#This Row],[severity_score]]=0,"LOW",
 IF(ReconciliationData[[#This Row],[severity_score]]&lt;=5,"MEDIUM","HIGH"))</f>
        <v>LOW</v>
      </c>
      <c r="AC1721" t="str">
        <f>TEXT(ReconciliationData[[#This Row],[Order_Date]],"YYYY-MM")</f>
        <v>2024-11</v>
      </c>
    </row>
    <row r="1722" spans="1:29">
      <c r="A1722" t="s">
        <v>4584</v>
      </c>
      <c r="B1722" s="1">
        <v>44969</v>
      </c>
      <c r="C1722" t="s">
        <v>1205</v>
      </c>
      <c r="D1722" t="s">
        <v>341</v>
      </c>
      <c r="E1722">
        <v>29</v>
      </c>
      <c r="F1722" t="s">
        <v>4585</v>
      </c>
      <c r="G1722">
        <v>29</v>
      </c>
      <c r="H1722">
        <v>47.936999999999998</v>
      </c>
      <c r="N1722">
        <v>47.936999999999998</v>
      </c>
      <c r="O1722" s="1">
        <v>44934</v>
      </c>
      <c r="P1722">
        <f>IF(ISBLANK(ReconciliationData[[#This Row],[Invoice_ID]]),1,0)</f>
        <v>0</v>
      </c>
      <c r="Q1722">
        <f>IF(AND(NOT(ISBLANK(ReconciliationData[[#This Row],[Billed_Units]])),ReconciliationData[[#This Row],[ordered_units]]&lt;&gt;ReconciliationData[[#This Row],[Billed_Units]]),1,0)</f>
        <v>0</v>
      </c>
      <c r="R17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2">
        <f>IF(AND(NOT(ISBLANK(ReconciliationData[[#This Row],[Contract_Price]])),ReconciliationData[[#This Row],[Billed_Price]]&lt;&gt;ReconciliationData[[#This Row],[Contract_Price]]),1,0)</f>
        <v>0</v>
      </c>
      <c r="T1722">
        <f>IF(AND(NOT(ISBLANK(ReconciliationData[[#This Row],[End_Date]])),ReconciliationData[[#This Row],[Order_Date]]&gt;ReconciliationData[[#This Row],[End_Date]]),1,0)</f>
        <v>0</v>
      </c>
      <c r="U1722">
        <f>IF(AND(NOT(ISBLANK(ReconciliationData[[#This Row],[last_return_date]])),ReconciliationData[[#This Row],[last_return_date]]&gt;ReconciliationData[[#This Row],[Order_Date]]+60),1,0)</f>
        <v>0</v>
      </c>
      <c r="V1722">
        <f>IF(ReconciliationData[[#This Row],[total_returned_units]]&gt;ReconciliationData[[#This Row],[ordered_units]],1,0)</f>
        <v>0</v>
      </c>
      <c r="W17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22">
        <f>ReconciliationData[[#This Row],[Billed_Units]]*ReconciliationData[[#This Row],[Billed_Price]]</f>
        <v>1390.173</v>
      </c>
      <c r="Y1722">
        <f>ReconciliationData[[#This Row],[ordered_units]]*ReconciliationData[[#This Row],[List_Price]]</f>
        <v>1390.173</v>
      </c>
      <c r="Z1722">
        <f>ReconciliationData[[#This Row],[billed_revenue]]-ReconciliationData[[#This Row],[expected_revenue]]</f>
        <v>0</v>
      </c>
      <c r="AA17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22" t="str">
        <f>IF(ReconciliationData[[#This Row],[severity_score]]=0,"LOW",
 IF(ReconciliationData[[#This Row],[severity_score]]&lt;=5,"MEDIUM","HIGH"))</f>
        <v>LOW</v>
      </c>
      <c r="AC1722" t="str">
        <f>TEXT(ReconciliationData[[#This Row],[Order_Date]],"YYYY-MM")</f>
        <v>2023-02</v>
      </c>
    </row>
    <row r="1723" spans="1:29">
      <c r="A1723" t="s">
        <v>4586</v>
      </c>
      <c r="B1723" s="1">
        <v>45256</v>
      </c>
      <c r="C1723" t="s">
        <v>4015</v>
      </c>
      <c r="D1723" t="s">
        <v>333</v>
      </c>
      <c r="E1723">
        <v>26</v>
      </c>
      <c r="F1723" t="s">
        <v>4587</v>
      </c>
      <c r="G1723">
        <v>26</v>
      </c>
      <c r="H1723">
        <v>1144.1684</v>
      </c>
      <c r="N1723">
        <v>1144.1684</v>
      </c>
      <c r="O1723" s="1">
        <v>44955</v>
      </c>
      <c r="P1723">
        <f>IF(ISBLANK(ReconciliationData[[#This Row],[Invoice_ID]]),1,0)</f>
        <v>0</v>
      </c>
      <c r="Q1723">
        <f>IF(AND(NOT(ISBLANK(ReconciliationData[[#This Row],[Billed_Units]])),ReconciliationData[[#This Row],[ordered_units]]&lt;&gt;ReconciliationData[[#This Row],[Billed_Units]]),1,0)</f>
        <v>0</v>
      </c>
      <c r="R17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3">
        <f>IF(AND(NOT(ISBLANK(ReconciliationData[[#This Row],[Contract_Price]])),ReconciliationData[[#This Row],[Billed_Price]]&lt;&gt;ReconciliationData[[#This Row],[Contract_Price]]),1,0)</f>
        <v>0</v>
      </c>
      <c r="T1723">
        <f>IF(AND(NOT(ISBLANK(ReconciliationData[[#This Row],[End_Date]])),ReconciliationData[[#This Row],[Order_Date]]&gt;ReconciliationData[[#This Row],[End_Date]]),1,0)</f>
        <v>0</v>
      </c>
      <c r="U1723">
        <f>IF(AND(NOT(ISBLANK(ReconciliationData[[#This Row],[last_return_date]])),ReconciliationData[[#This Row],[last_return_date]]&gt;ReconciliationData[[#This Row],[Order_Date]]+60),1,0)</f>
        <v>0</v>
      </c>
      <c r="V1723">
        <f>IF(ReconciliationData[[#This Row],[total_returned_units]]&gt;ReconciliationData[[#This Row],[ordered_units]],1,0)</f>
        <v>0</v>
      </c>
      <c r="W17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23">
        <f>ReconciliationData[[#This Row],[Billed_Units]]*ReconciliationData[[#This Row],[Billed_Price]]</f>
        <v>29748.378400000001</v>
      </c>
      <c r="Y1723">
        <f>ReconciliationData[[#This Row],[ordered_units]]*ReconciliationData[[#This Row],[List_Price]]</f>
        <v>29748.378400000001</v>
      </c>
      <c r="Z1723">
        <f>ReconciliationData[[#This Row],[billed_revenue]]-ReconciliationData[[#This Row],[expected_revenue]]</f>
        <v>0</v>
      </c>
      <c r="AA17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23" t="str">
        <f>IF(ReconciliationData[[#This Row],[severity_score]]=0,"LOW",
 IF(ReconciliationData[[#This Row],[severity_score]]&lt;=5,"MEDIUM","HIGH"))</f>
        <v>LOW</v>
      </c>
      <c r="AC1723" t="str">
        <f>TEXT(ReconciliationData[[#This Row],[Order_Date]],"YYYY-MM")</f>
        <v>2023-11</v>
      </c>
    </row>
    <row r="1724" spans="1:29">
      <c r="A1724" t="s">
        <v>4588</v>
      </c>
      <c r="B1724" s="1">
        <v>45504</v>
      </c>
      <c r="C1724" t="s">
        <v>1483</v>
      </c>
      <c r="D1724" t="s">
        <v>2622</v>
      </c>
      <c r="E1724">
        <v>4</v>
      </c>
      <c r="F1724" t="s">
        <v>4589</v>
      </c>
      <c r="G1724">
        <v>4</v>
      </c>
      <c r="H1724">
        <v>380.976</v>
      </c>
      <c r="N1724">
        <v>380.976</v>
      </c>
      <c r="O1724" s="1">
        <v>45172</v>
      </c>
      <c r="P1724">
        <f>IF(ISBLANK(ReconciliationData[[#This Row],[Invoice_ID]]),1,0)</f>
        <v>0</v>
      </c>
      <c r="Q1724">
        <f>IF(AND(NOT(ISBLANK(ReconciliationData[[#This Row],[Billed_Units]])),ReconciliationData[[#This Row],[ordered_units]]&lt;&gt;ReconciliationData[[#This Row],[Billed_Units]]),1,0)</f>
        <v>0</v>
      </c>
      <c r="R17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4">
        <f>IF(AND(NOT(ISBLANK(ReconciliationData[[#This Row],[Contract_Price]])),ReconciliationData[[#This Row],[Billed_Price]]&lt;&gt;ReconciliationData[[#This Row],[Contract_Price]]),1,0)</f>
        <v>0</v>
      </c>
      <c r="T1724">
        <f>IF(AND(NOT(ISBLANK(ReconciliationData[[#This Row],[End_Date]])),ReconciliationData[[#This Row],[Order_Date]]&gt;ReconciliationData[[#This Row],[End_Date]]),1,0)</f>
        <v>0</v>
      </c>
      <c r="U1724">
        <f>IF(AND(NOT(ISBLANK(ReconciliationData[[#This Row],[last_return_date]])),ReconciliationData[[#This Row],[last_return_date]]&gt;ReconciliationData[[#This Row],[Order_Date]]+60),1,0)</f>
        <v>0</v>
      </c>
      <c r="V1724">
        <f>IF(ReconciliationData[[#This Row],[total_returned_units]]&gt;ReconciliationData[[#This Row],[ordered_units]],1,0)</f>
        <v>0</v>
      </c>
      <c r="W17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24">
        <f>ReconciliationData[[#This Row],[Billed_Units]]*ReconciliationData[[#This Row],[Billed_Price]]</f>
        <v>1523.904</v>
      </c>
      <c r="Y1724">
        <f>ReconciliationData[[#This Row],[ordered_units]]*ReconciliationData[[#This Row],[List_Price]]</f>
        <v>1523.904</v>
      </c>
      <c r="Z1724">
        <f>ReconciliationData[[#This Row],[billed_revenue]]-ReconciliationData[[#This Row],[expected_revenue]]</f>
        <v>0</v>
      </c>
      <c r="AA17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24" t="str">
        <f>IF(ReconciliationData[[#This Row],[severity_score]]=0,"LOW",
 IF(ReconciliationData[[#This Row],[severity_score]]&lt;=5,"MEDIUM","HIGH"))</f>
        <v>LOW</v>
      </c>
      <c r="AC1724" t="str">
        <f>TEXT(ReconciliationData[[#This Row],[Order_Date]],"YYYY-MM")</f>
        <v>2024-07</v>
      </c>
    </row>
    <row r="1725" spans="1:29">
      <c r="A1725" t="s">
        <v>4590</v>
      </c>
      <c r="B1725" s="1">
        <v>45109</v>
      </c>
      <c r="C1725" t="s">
        <v>352</v>
      </c>
      <c r="D1725" t="s">
        <v>1238</v>
      </c>
      <c r="E1725">
        <v>34</v>
      </c>
      <c r="F1725" t="s">
        <v>4591</v>
      </c>
      <c r="G1725">
        <v>40</v>
      </c>
      <c r="H1725">
        <v>355.32000000000005</v>
      </c>
      <c r="N1725">
        <v>355.32000000000005</v>
      </c>
      <c r="O1725" s="1">
        <v>45058</v>
      </c>
      <c r="P1725">
        <f>IF(ISBLANK(ReconciliationData[[#This Row],[Invoice_ID]]),1,0)</f>
        <v>0</v>
      </c>
      <c r="Q1725">
        <f>IF(AND(NOT(ISBLANK(ReconciliationData[[#This Row],[Billed_Units]])),ReconciliationData[[#This Row],[ordered_units]]&lt;&gt;ReconciliationData[[#This Row],[Billed_Units]]),1,0)</f>
        <v>1</v>
      </c>
      <c r="R17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5">
        <f>IF(AND(NOT(ISBLANK(ReconciliationData[[#This Row],[Contract_Price]])),ReconciliationData[[#This Row],[Billed_Price]]&lt;&gt;ReconciliationData[[#This Row],[Contract_Price]]),1,0)</f>
        <v>0</v>
      </c>
      <c r="T1725">
        <f>IF(AND(NOT(ISBLANK(ReconciliationData[[#This Row],[End_Date]])),ReconciliationData[[#This Row],[Order_Date]]&gt;ReconciliationData[[#This Row],[End_Date]]),1,0)</f>
        <v>0</v>
      </c>
      <c r="U1725">
        <f>IF(AND(NOT(ISBLANK(ReconciliationData[[#This Row],[last_return_date]])),ReconciliationData[[#This Row],[last_return_date]]&gt;ReconciliationData[[#This Row],[Order_Date]]+60),1,0)</f>
        <v>0</v>
      </c>
      <c r="V1725">
        <f>IF(ReconciliationData[[#This Row],[total_returned_units]]&gt;ReconciliationData[[#This Row],[ordered_units]],1,0)</f>
        <v>0</v>
      </c>
      <c r="W17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725">
        <f>ReconciliationData[[#This Row],[Billed_Units]]*ReconciliationData[[#This Row],[Billed_Price]]</f>
        <v>14212.800000000003</v>
      </c>
      <c r="Y1725">
        <f>ReconciliationData[[#This Row],[ordered_units]]*ReconciliationData[[#This Row],[List_Price]]</f>
        <v>12080.880000000001</v>
      </c>
      <c r="Z1725">
        <f>ReconciliationData[[#This Row],[billed_revenue]]-ReconciliationData[[#This Row],[expected_revenue]]</f>
        <v>2131.9200000000019</v>
      </c>
      <c r="AA17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725" t="str">
        <f>IF(ReconciliationData[[#This Row],[severity_score]]=0,"LOW",
 IF(ReconciliationData[[#This Row],[severity_score]]&lt;=5,"MEDIUM","HIGH"))</f>
        <v>HIGH</v>
      </c>
      <c r="AC1725" t="str">
        <f>TEXT(ReconciliationData[[#This Row],[Order_Date]],"YYYY-MM")</f>
        <v>2023-07</v>
      </c>
    </row>
    <row r="1726" spans="1:29">
      <c r="A1726" t="s">
        <v>4592</v>
      </c>
      <c r="B1726" s="1">
        <v>44967</v>
      </c>
      <c r="C1726" t="s">
        <v>1747</v>
      </c>
      <c r="D1726" t="s">
        <v>2682</v>
      </c>
      <c r="E1726">
        <v>136</v>
      </c>
      <c r="F1726" t="s">
        <v>4593</v>
      </c>
      <c r="G1726">
        <v>136</v>
      </c>
      <c r="H1726">
        <v>1052.6012000000001</v>
      </c>
      <c r="N1726">
        <v>1052.6012000000001</v>
      </c>
      <c r="O1726" s="1">
        <v>44879</v>
      </c>
      <c r="P1726">
        <f>IF(ISBLANK(ReconciliationData[[#This Row],[Invoice_ID]]),1,0)</f>
        <v>0</v>
      </c>
      <c r="Q1726">
        <f>IF(AND(NOT(ISBLANK(ReconciliationData[[#This Row],[Billed_Units]])),ReconciliationData[[#This Row],[ordered_units]]&lt;&gt;ReconciliationData[[#This Row],[Billed_Units]]),1,0)</f>
        <v>0</v>
      </c>
      <c r="R17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6">
        <f>IF(AND(NOT(ISBLANK(ReconciliationData[[#This Row],[Contract_Price]])),ReconciliationData[[#This Row],[Billed_Price]]&lt;&gt;ReconciliationData[[#This Row],[Contract_Price]]),1,0)</f>
        <v>0</v>
      </c>
      <c r="T1726">
        <f>IF(AND(NOT(ISBLANK(ReconciliationData[[#This Row],[End_Date]])),ReconciliationData[[#This Row],[Order_Date]]&gt;ReconciliationData[[#This Row],[End_Date]]),1,0)</f>
        <v>0</v>
      </c>
      <c r="U1726">
        <f>IF(AND(NOT(ISBLANK(ReconciliationData[[#This Row],[last_return_date]])),ReconciliationData[[#This Row],[last_return_date]]&gt;ReconciliationData[[#This Row],[Order_Date]]+60),1,0)</f>
        <v>0</v>
      </c>
      <c r="V1726">
        <f>IF(ReconciliationData[[#This Row],[total_returned_units]]&gt;ReconciliationData[[#This Row],[ordered_units]],1,0)</f>
        <v>0</v>
      </c>
      <c r="W17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26">
        <f>ReconciliationData[[#This Row],[Billed_Units]]*ReconciliationData[[#This Row],[Billed_Price]]</f>
        <v>143153.76320000002</v>
      </c>
      <c r="Y1726">
        <f>ReconciliationData[[#This Row],[ordered_units]]*ReconciliationData[[#This Row],[List_Price]]</f>
        <v>143153.76320000002</v>
      </c>
      <c r="Z1726">
        <f>ReconciliationData[[#This Row],[billed_revenue]]-ReconciliationData[[#This Row],[expected_revenue]]</f>
        <v>0</v>
      </c>
      <c r="AA17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26" t="str">
        <f>IF(ReconciliationData[[#This Row],[severity_score]]=0,"LOW",
 IF(ReconciliationData[[#This Row],[severity_score]]&lt;=5,"MEDIUM","HIGH"))</f>
        <v>LOW</v>
      </c>
      <c r="AC1726" t="str">
        <f>TEXT(ReconciliationData[[#This Row],[Order_Date]],"YYYY-MM")</f>
        <v>2023-02</v>
      </c>
    </row>
    <row r="1727" spans="1:29">
      <c r="A1727" t="s">
        <v>4594</v>
      </c>
      <c r="B1727" s="1">
        <v>45170</v>
      </c>
      <c r="C1727" t="s">
        <v>4595</v>
      </c>
      <c r="D1727" t="s">
        <v>216</v>
      </c>
      <c r="E1727">
        <v>16</v>
      </c>
      <c r="F1727" t="s">
        <v>4596</v>
      </c>
      <c r="G1727">
        <v>16</v>
      </c>
      <c r="H1727">
        <v>1046.6099999999999</v>
      </c>
      <c r="N1727">
        <v>1046.6099999999999</v>
      </c>
      <c r="O1727" s="1">
        <v>44940</v>
      </c>
      <c r="P1727">
        <f>IF(ISBLANK(ReconciliationData[[#This Row],[Invoice_ID]]),1,0)</f>
        <v>0</v>
      </c>
      <c r="Q1727">
        <f>IF(AND(NOT(ISBLANK(ReconciliationData[[#This Row],[Billed_Units]])),ReconciliationData[[#This Row],[ordered_units]]&lt;&gt;ReconciliationData[[#This Row],[Billed_Units]]),1,0)</f>
        <v>0</v>
      </c>
      <c r="R17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7">
        <f>IF(AND(NOT(ISBLANK(ReconciliationData[[#This Row],[Contract_Price]])),ReconciliationData[[#This Row],[Billed_Price]]&lt;&gt;ReconciliationData[[#This Row],[Contract_Price]]),1,0)</f>
        <v>0</v>
      </c>
      <c r="T1727">
        <f>IF(AND(NOT(ISBLANK(ReconciliationData[[#This Row],[End_Date]])),ReconciliationData[[#This Row],[Order_Date]]&gt;ReconciliationData[[#This Row],[End_Date]]),1,0)</f>
        <v>0</v>
      </c>
      <c r="U1727">
        <f>IF(AND(NOT(ISBLANK(ReconciliationData[[#This Row],[last_return_date]])),ReconciliationData[[#This Row],[last_return_date]]&gt;ReconciliationData[[#This Row],[Order_Date]]+60),1,0)</f>
        <v>0</v>
      </c>
      <c r="V1727">
        <f>IF(ReconciliationData[[#This Row],[total_returned_units]]&gt;ReconciliationData[[#This Row],[ordered_units]],1,0)</f>
        <v>0</v>
      </c>
      <c r="W17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27">
        <f>ReconciliationData[[#This Row],[Billed_Units]]*ReconciliationData[[#This Row],[Billed_Price]]</f>
        <v>16745.759999999998</v>
      </c>
      <c r="Y1727">
        <f>ReconciliationData[[#This Row],[ordered_units]]*ReconciliationData[[#This Row],[List_Price]]</f>
        <v>16745.759999999998</v>
      </c>
      <c r="Z1727">
        <f>ReconciliationData[[#This Row],[billed_revenue]]-ReconciliationData[[#This Row],[expected_revenue]]</f>
        <v>0</v>
      </c>
      <c r="AA17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27" t="str">
        <f>IF(ReconciliationData[[#This Row],[severity_score]]=0,"LOW",
 IF(ReconciliationData[[#This Row],[severity_score]]&lt;=5,"MEDIUM","HIGH"))</f>
        <v>LOW</v>
      </c>
      <c r="AC1727" t="str">
        <f>TEXT(ReconciliationData[[#This Row],[Order_Date]],"YYYY-MM")</f>
        <v>2023-09</v>
      </c>
    </row>
    <row r="1728" spans="1:29">
      <c r="A1728" t="s">
        <v>4597</v>
      </c>
      <c r="B1728" s="1">
        <v>45577</v>
      </c>
      <c r="C1728" t="s">
        <v>771</v>
      </c>
      <c r="D1728" t="s">
        <v>2765</v>
      </c>
      <c r="E1728">
        <v>190</v>
      </c>
      <c r="F1728" t="s">
        <v>4598</v>
      </c>
      <c r="G1728">
        <v>190</v>
      </c>
      <c r="H1728">
        <v>1037.4366</v>
      </c>
      <c r="N1728">
        <v>1037.4366</v>
      </c>
      <c r="O1728" s="1">
        <v>45198</v>
      </c>
      <c r="P1728">
        <f>IF(ISBLANK(ReconciliationData[[#This Row],[Invoice_ID]]),1,0)</f>
        <v>0</v>
      </c>
      <c r="Q1728">
        <f>IF(AND(NOT(ISBLANK(ReconciliationData[[#This Row],[Billed_Units]])),ReconciliationData[[#This Row],[ordered_units]]&lt;&gt;ReconciliationData[[#This Row],[Billed_Units]]),1,0)</f>
        <v>0</v>
      </c>
      <c r="R17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8">
        <f>IF(AND(NOT(ISBLANK(ReconciliationData[[#This Row],[Contract_Price]])),ReconciliationData[[#This Row],[Billed_Price]]&lt;&gt;ReconciliationData[[#This Row],[Contract_Price]]),1,0)</f>
        <v>0</v>
      </c>
      <c r="T1728">
        <f>IF(AND(NOT(ISBLANK(ReconciliationData[[#This Row],[End_Date]])),ReconciliationData[[#This Row],[Order_Date]]&gt;ReconciliationData[[#This Row],[End_Date]]),1,0)</f>
        <v>0</v>
      </c>
      <c r="U1728">
        <f>IF(AND(NOT(ISBLANK(ReconciliationData[[#This Row],[last_return_date]])),ReconciliationData[[#This Row],[last_return_date]]&gt;ReconciliationData[[#This Row],[Order_Date]]+60),1,0)</f>
        <v>0</v>
      </c>
      <c r="V1728">
        <f>IF(ReconciliationData[[#This Row],[total_returned_units]]&gt;ReconciliationData[[#This Row],[ordered_units]],1,0)</f>
        <v>0</v>
      </c>
      <c r="W17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28">
        <f>ReconciliationData[[#This Row],[Billed_Units]]*ReconciliationData[[#This Row],[Billed_Price]]</f>
        <v>197112.954</v>
      </c>
      <c r="Y1728">
        <f>ReconciliationData[[#This Row],[ordered_units]]*ReconciliationData[[#This Row],[List_Price]]</f>
        <v>197112.954</v>
      </c>
      <c r="Z1728">
        <f>ReconciliationData[[#This Row],[billed_revenue]]-ReconciliationData[[#This Row],[expected_revenue]]</f>
        <v>0</v>
      </c>
      <c r="AA17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28" t="str">
        <f>IF(ReconciliationData[[#This Row],[severity_score]]=0,"LOW",
 IF(ReconciliationData[[#This Row],[severity_score]]&lt;=5,"MEDIUM","HIGH"))</f>
        <v>LOW</v>
      </c>
      <c r="AC1728" t="str">
        <f>TEXT(ReconciliationData[[#This Row],[Order_Date]],"YYYY-MM")</f>
        <v>2024-10</v>
      </c>
    </row>
    <row r="1729" spans="1:29">
      <c r="A1729" t="s">
        <v>4599</v>
      </c>
      <c r="B1729" s="1">
        <v>45510</v>
      </c>
      <c r="C1729" t="s">
        <v>901</v>
      </c>
      <c r="D1729" t="s">
        <v>333</v>
      </c>
      <c r="E1729">
        <v>153</v>
      </c>
      <c r="F1729" t="s">
        <v>4600</v>
      </c>
      <c r="G1729">
        <v>153</v>
      </c>
      <c r="H1729">
        <v>1144.1684</v>
      </c>
      <c r="N1729">
        <v>1144.1684</v>
      </c>
      <c r="O1729" s="1">
        <v>44955</v>
      </c>
      <c r="P1729">
        <f>IF(ISBLANK(ReconciliationData[[#This Row],[Invoice_ID]]),1,0)</f>
        <v>0</v>
      </c>
      <c r="Q1729">
        <f>IF(AND(NOT(ISBLANK(ReconciliationData[[#This Row],[Billed_Units]])),ReconciliationData[[#This Row],[ordered_units]]&lt;&gt;ReconciliationData[[#This Row],[Billed_Units]]),1,0)</f>
        <v>0</v>
      </c>
      <c r="R17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29">
        <f>IF(AND(NOT(ISBLANK(ReconciliationData[[#This Row],[Contract_Price]])),ReconciliationData[[#This Row],[Billed_Price]]&lt;&gt;ReconciliationData[[#This Row],[Contract_Price]]),1,0)</f>
        <v>0</v>
      </c>
      <c r="T1729">
        <f>IF(AND(NOT(ISBLANK(ReconciliationData[[#This Row],[End_Date]])),ReconciliationData[[#This Row],[Order_Date]]&gt;ReconciliationData[[#This Row],[End_Date]]),1,0)</f>
        <v>0</v>
      </c>
      <c r="U1729">
        <f>IF(AND(NOT(ISBLANK(ReconciliationData[[#This Row],[last_return_date]])),ReconciliationData[[#This Row],[last_return_date]]&gt;ReconciliationData[[#This Row],[Order_Date]]+60),1,0)</f>
        <v>0</v>
      </c>
      <c r="V1729">
        <f>IF(ReconciliationData[[#This Row],[total_returned_units]]&gt;ReconciliationData[[#This Row],[ordered_units]],1,0)</f>
        <v>0</v>
      </c>
      <c r="W17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29">
        <f>ReconciliationData[[#This Row],[Billed_Units]]*ReconciliationData[[#This Row],[Billed_Price]]</f>
        <v>175057.76519999999</v>
      </c>
      <c r="Y1729">
        <f>ReconciliationData[[#This Row],[ordered_units]]*ReconciliationData[[#This Row],[List_Price]]</f>
        <v>175057.76519999999</v>
      </c>
      <c r="Z1729">
        <f>ReconciliationData[[#This Row],[billed_revenue]]-ReconciliationData[[#This Row],[expected_revenue]]</f>
        <v>0</v>
      </c>
      <c r="AA17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29" t="str">
        <f>IF(ReconciliationData[[#This Row],[severity_score]]=0,"LOW",
 IF(ReconciliationData[[#This Row],[severity_score]]&lt;=5,"MEDIUM","HIGH"))</f>
        <v>LOW</v>
      </c>
      <c r="AC1729" t="str">
        <f>TEXT(ReconciliationData[[#This Row],[Order_Date]],"YYYY-MM")</f>
        <v>2024-08</v>
      </c>
    </row>
    <row r="1730" spans="1:29">
      <c r="A1730" t="s">
        <v>4601</v>
      </c>
      <c r="B1730" s="1">
        <v>45450</v>
      </c>
      <c r="C1730" t="s">
        <v>1304</v>
      </c>
      <c r="D1730" t="s">
        <v>404</v>
      </c>
      <c r="E1730">
        <v>38</v>
      </c>
      <c r="F1730" t="s">
        <v>4602</v>
      </c>
      <c r="G1730">
        <v>38</v>
      </c>
      <c r="H1730">
        <v>1129.6166000000001</v>
      </c>
      <c r="N1730">
        <v>1129.6166000000001</v>
      </c>
      <c r="O1730" s="1">
        <v>44960</v>
      </c>
      <c r="P1730">
        <f>IF(ISBLANK(ReconciliationData[[#This Row],[Invoice_ID]]),1,0)</f>
        <v>0</v>
      </c>
      <c r="Q1730">
        <f>IF(AND(NOT(ISBLANK(ReconciliationData[[#This Row],[Billed_Units]])),ReconciliationData[[#This Row],[ordered_units]]&lt;&gt;ReconciliationData[[#This Row],[Billed_Units]]),1,0)</f>
        <v>0</v>
      </c>
      <c r="R17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30">
        <f>IF(AND(NOT(ISBLANK(ReconciliationData[[#This Row],[Contract_Price]])),ReconciliationData[[#This Row],[Billed_Price]]&lt;&gt;ReconciliationData[[#This Row],[Contract_Price]]),1,0)</f>
        <v>0</v>
      </c>
      <c r="T1730">
        <f>IF(AND(NOT(ISBLANK(ReconciliationData[[#This Row],[End_Date]])),ReconciliationData[[#This Row],[Order_Date]]&gt;ReconciliationData[[#This Row],[End_Date]]),1,0)</f>
        <v>0</v>
      </c>
      <c r="U1730">
        <f>IF(AND(NOT(ISBLANK(ReconciliationData[[#This Row],[last_return_date]])),ReconciliationData[[#This Row],[last_return_date]]&gt;ReconciliationData[[#This Row],[Order_Date]]+60),1,0)</f>
        <v>0</v>
      </c>
      <c r="V1730">
        <f>IF(ReconciliationData[[#This Row],[total_returned_units]]&gt;ReconciliationData[[#This Row],[ordered_units]],1,0)</f>
        <v>0</v>
      </c>
      <c r="W17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30">
        <f>ReconciliationData[[#This Row],[Billed_Units]]*ReconciliationData[[#This Row],[Billed_Price]]</f>
        <v>42925.430800000002</v>
      </c>
      <c r="Y1730">
        <f>ReconciliationData[[#This Row],[ordered_units]]*ReconciliationData[[#This Row],[List_Price]]</f>
        <v>42925.430800000002</v>
      </c>
      <c r="Z1730">
        <f>ReconciliationData[[#This Row],[billed_revenue]]-ReconciliationData[[#This Row],[expected_revenue]]</f>
        <v>0</v>
      </c>
      <c r="AA17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30" t="str">
        <f>IF(ReconciliationData[[#This Row],[severity_score]]=0,"LOW",
 IF(ReconciliationData[[#This Row],[severity_score]]&lt;=5,"MEDIUM","HIGH"))</f>
        <v>LOW</v>
      </c>
      <c r="AC1730" t="str">
        <f>TEXT(ReconciliationData[[#This Row],[Order_Date]],"YYYY-MM")</f>
        <v>2024-06</v>
      </c>
    </row>
    <row r="1731" spans="1:29">
      <c r="A1731" t="s">
        <v>4603</v>
      </c>
      <c r="B1731" s="1">
        <v>44976</v>
      </c>
      <c r="C1731" t="s">
        <v>862</v>
      </c>
      <c r="D1731" t="s">
        <v>867</v>
      </c>
      <c r="E1731">
        <v>93</v>
      </c>
      <c r="F1731" t="s">
        <v>4604</v>
      </c>
      <c r="G1731">
        <v>93</v>
      </c>
      <c r="H1731">
        <v>1147.0158038454663</v>
      </c>
      <c r="N1731">
        <v>1146.7456000000002</v>
      </c>
      <c r="O1731" s="1">
        <v>44884</v>
      </c>
      <c r="P1731">
        <f>IF(ISBLANK(ReconciliationData[[#This Row],[Invoice_ID]]),1,0)</f>
        <v>0</v>
      </c>
      <c r="Q1731">
        <f>IF(AND(NOT(ISBLANK(ReconciliationData[[#This Row],[Billed_Units]])),ReconciliationData[[#This Row],[ordered_units]]&lt;&gt;ReconciliationData[[#This Row],[Billed_Units]]),1,0)</f>
        <v>0</v>
      </c>
      <c r="R1731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731">
        <f>IF(AND(NOT(ISBLANK(ReconciliationData[[#This Row],[Contract_Price]])),ReconciliationData[[#This Row],[Billed_Price]]&lt;&gt;ReconciliationData[[#This Row],[Contract_Price]]),1,0)</f>
        <v>0</v>
      </c>
      <c r="T1731">
        <f>IF(AND(NOT(ISBLANK(ReconciliationData[[#This Row],[End_Date]])),ReconciliationData[[#This Row],[Order_Date]]&gt;ReconciliationData[[#This Row],[End_Date]]),1,0)</f>
        <v>0</v>
      </c>
      <c r="U1731">
        <f>IF(AND(NOT(ISBLANK(ReconciliationData[[#This Row],[last_return_date]])),ReconciliationData[[#This Row],[last_return_date]]&gt;ReconciliationData[[#This Row],[Order_Date]]+60),1,0)</f>
        <v>0</v>
      </c>
      <c r="V1731">
        <f>IF(ReconciliationData[[#This Row],[total_returned_units]]&gt;ReconciliationData[[#This Row],[ordered_units]],1,0)</f>
        <v>0</v>
      </c>
      <c r="W17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731">
        <f>ReconciliationData[[#This Row],[Billed_Units]]*ReconciliationData[[#This Row],[Billed_Price]]</f>
        <v>106672.46975762837</v>
      </c>
      <c r="Y1731">
        <f>ReconciliationData[[#This Row],[ordered_units]]*ReconciliationData[[#This Row],[List_Price]]</f>
        <v>106647.34080000002</v>
      </c>
      <c r="Z1731">
        <f>ReconciliationData[[#This Row],[billed_revenue]]-ReconciliationData[[#This Row],[expected_revenue]]</f>
        <v>25.128957628345233</v>
      </c>
      <c r="AA17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731" t="str">
        <f>IF(ReconciliationData[[#This Row],[severity_score]]=0,"LOW",
 IF(ReconciliationData[[#This Row],[severity_score]]&lt;=5,"MEDIUM","HIGH"))</f>
        <v>MEDIUM</v>
      </c>
      <c r="AC1731" t="str">
        <f>TEXT(ReconciliationData[[#This Row],[Order_Date]],"YYYY-MM")</f>
        <v>2023-02</v>
      </c>
    </row>
    <row r="1732" spans="1:29">
      <c r="A1732" t="s">
        <v>4605</v>
      </c>
      <c r="B1732" s="1">
        <v>45218</v>
      </c>
      <c r="C1732" t="s">
        <v>4606</v>
      </c>
      <c r="D1732" t="s">
        <v>4607</v>
      </c>
      <c r="E1732">
        <v>1</v>
      </c>
      <c r="F1732" t="s">
        <v>4608</v>
      </c>
      <c r="G1732">
        <v>1</v>
      </c>
      <c r="H1732">
        <v>1005.2222</v>
      </c>
      <c r="N1732">
        <v>1005.2222</v>
      </c>
      <c r="O1732" s="1">
        <v>45143</v>
      </c>
      <c r="P1732">
        <f>IF(ISBLANK(ReconciliationData[[#This Row],[Invoice_ID]]),1,0)</f>
        <v>0</v>
      </c>
      <c r="Q1732">
        <f>IF(AND(NOT(ISBLANK(ReconciliationData[[#This Row],[Billed_Units]])),ReconciliationData[[#This Row],[ordered_units]]&lt;&gt;ReconciliationData[[#This Row],[Billed_Units]]),1,0)</f>
        <v>0</v>
      </c>
      <c r="R17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32">
        <f>IF(AND(NOT(ISBLANK(ReconciliationData[[#This Row],[Contract_Price]])),ReconciliationData[[#This Row],[Billed_Price]]&lt;&gt;ReconciliationData[[#This Row],[Contract_Price]]),1,0)</f>
        <v>0</v>
      </c>
      <c r="T1732">
        <f>IF(AND(NOT(ISBLANK(ReconciliationData[[#This Row],[End_Date]])),ReconciliationData[[#This Row],[Order_Date]]&gt;ReconciliationData[[#This Row],[End_Date]]),1,0)</f>
        <v>0</v>
      </c>
      <c r="U1732">
        <f>IF(AND(NOT(ISBLANK(ReconciliationData[[#This Row],[last_return_date]])),ReconciliationData[[#This Row],[last_return_date]]&gt;ReconciliationData[[#This Row],[Order_Date]]+60),1,0)</f>
        <v>0</v>
      </c>
      <c r="V1732">
        <f>IF(ReconciliationData[[#This Row],[total_returned_units]]&gt;ReconciliationData[[#This Row],[ordered_units]],1,0)</f>
        <v>0</v>
      </c>
      <c r="W17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32">
        <f>ReconciliationData[[#This Row],[Billed_Units]]*ReconciliationData[[#This Row],[Billed_Price]]</f>
        <v>1005.2222</v>
      </c>
      <c r="Y1732">
        <f>ReconciliationData[[#This Row],[ordered_units]]*ReconciliationData[[#This Row],[List_Price]]</f>
        <v>1005.2222</v>
      </c>
      <c r="Z1732">
        <f>ReconciliationData[[#This Row],[billed_revenue]]-ReconciliationData[[#This Row],[expected_revenue]]</f>
        <v>0</v>
      </c>
      <c r="AA17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32" t="str">
        <f>IF(ReconciliationData[[#This Row],[severity_score]]=0,"LOW",
 IF(ReconciliationData[[#This Row],[severity_score]]&lt;=5,"MEDIUM","HIGH"))</f>
        <v>LOW</v>
      </c>
      <c r="AC1732" t="str">
        <f>TEXT(ReconciliationData[[#This Row],[Order_Date]],"YYYY-MM")</f>
        <v>2023-10</v>
      </c>
    </row>
    <row r="1733" spans="1:29">
      <c r="A1733" t="s">
        <v>4609</v>
      </c>
      <c r="B1733" s="1">
        <v>45200</v>
      </c>
      <c r="C1733" t="s">
        <v>1838</v>
      </c>
      <c r="D1733" t="s">
        <v>2370</v>
      </c>
      <c r="E1733">
        <v>194</v>
      </c>
      <c r="F1733" t="s">
        <v>4610</v>
      </c>
      <c r="G1733">
        <v>194</v>
      </c>
      <c r="H1733">
        <v>1224.4680000000001</v>
      </c>
      <c r="N1733">
        <v>1224.4680000000001</v>
      </c>
      <c r="O1733" s="1">
        <v>44805</v>
      </c>
      <c r="P1733">
        <f>IF(ISBLANK(ReconciliationData[[#This Row],[Invoice_ID]]),1,0)</f>
        <v>0</v>
      </c>
      <c r="Q1733">
        <f>IF(AND(NOT(ISBLANK(ReconciliationData[[#This Row],[Billed_Units]])),ReconciliationData[[#This Row],[ordered_units]]&lt;&gt;ReconciliationData[[#This Row],[Billed_Units]]),1,0)</f>
        <v>0</v>
      </c>
      <c r="R17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33">
        <f>IF(AND(NOT(ISBLANK(ReconciliationData[[#This Row],[Contract_Price]])),ReconciliationData[[#This Row],[Billed_Price]]&lt;&gt;ReconciliationData[[#This Row],[Contract_Price]]),1,0)</f>
        <v>0</v>
      </c>
      <c r="T1733">
        <f>IF(AND(NOT(ISBLANK(ReconciliationData[[#This Row],[End_Date]])),ReconciliationData[[#This Row],[Order_Date]]&gt;ReconciliationData[[#This Row],[End_Date]]),1,0)</f>
        <v>0</v>
      </c>
      <c r="U1733">
        <f>IF(AND(NOT(ISBLANK(ReconciliationData[[#This Row],[last_return_date]])),ReconciliationData[[#This Row],[last_return_date]]&gt;ReconciliationData[[#This Row],[Order_Date]]+60),1,0)</f>
        <v>0</v>
      </c>
      <c r="V1733">
        <f>IF(ReconciliationData[[#This Row],[total_returned_units]]&gt;ReconciliationData[[#This Row],[ordered_units]],1,0)</f>
        <v>0</v>
      </c>
      <c r="W17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33">
        <f>ReconciliationData[[#This Row],[Billed_Units]]*ReconciliationData[[#This Row],[Billed_Price]]</f>
        <v>237546.79200000002</v>
      </c>
      <c r="Y1733">
        <f>ReconciliationData[[#This Row],[ordered_units]]*ReconciliationData[[#This Row],[List_Price]]</f>
        <v>237546.79200000002</v>
      </c>
      <c r="Z1733">
        <f>ReconciliationData[[#This Row],[billed_revenue]]-ReconciliationData[[#This Row],[expected_revenue]]</f>
        <v>0</v>
      </c>
      <c r="AA17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33" t="str">
        <f>IF(ReconciliationData[[#This Row],[severity_score]]=0,"LOW",
 IF(ReconciliationData[[#This Row],[severity_score]]&lt;=5,"MEDIUM","HIGH"))</f>
        <v>LOW</v>
      </c>
      <c r="AC1733" t="str">
        <f>TEXT(ReconciliationData[[#This Row],[Order_Date]],"YYYY-MM")</f>
        <v>2023-10</v>
      </c>
    </row>
    <row r="1734" spans="1:29">
      <c r="A1734" t="s">
        <v>4611</v>
      </c>
      <c r="B1734" s="1">
        <v>45069</v>
      </c>
      <c r="C1734" t="s">
        <v>1648</v>
      </c>
      <c r="D1734" t="s">
        <v>356</v>
      </c>
      <c r="E1734">
        <v>33</v>
      </c>
      <c r="F1734" t="s">
        <v>4612</v>
      </c>
      <c r="G1734">
        <v>33</v>
      </c>
      <c r="H1734">
        <v>413.47289999999998</v>
      </c>
      <c r="N1734">
        <v>413.47289999999998</v>
      </c>
      <c r="O1734" s="1">
        <v>44829</v>
      </c>
      <c r="P1734">
        <f>IF(ISBLANK(ReconciliationData[[#This Row],[Invoice_ID]]),1,0)</f>
        <v>0</v>
      </c>
      <c r="Q1734">
        <f>IF(AND(NOT(ISBLANK(ReconciliationData[[#This Row],[Billed_Units]])),ReconciliationData[[#This Row],[ordered_units]]&lt;&gt;ReconciliationData[[#This Row],[Billed_Units]]),1,0)</f>
        <v>0</v>
      </c>
      <c r="R17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34">
        <f>IF(AND(NOT(ISBLANK(ReconciliationData[[#This Row],[Contract_Price]])),ReconciliationData[[#This Row],[Billed_Price]]&lt;&gt;ReconciliationData[[#This Row],[Contract_Price]]),1,0)</f>
        <v>0</v>
      </c>
      <c r="T1734">
        <f>IF(AND(NOT(ISBLANK(ReconciliationData[[#This Row],[End_Date]])),ReconciliationData[[#This Row],[Order_Date]]&gt;ReconciliationData[[#This Row],[End_Date]]),1,0)</f>
        <v>0</v>
      </c>
      <c r="U1734">
        <f>IF(AND(NOT(ISBLANK(ReconciliationData[[#This Row],[last_return_date]])),ReconciliationData[[#This Row],[last_return_date]]&gt;ReconciliationData[[#This Row],[Order_Date]]+60),1,0)</f>
        <v>0</v>
      </c>
      <c r="V1734">
        <f>IF(ReconciliationData[[#This Row],[total_returned_units]]&gt;ReconciliationData[[#This Row],[ordered_units]],1,0)</f>
        <v>0</v>
      </c>
      <c r="W17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34">
        <f>ReconciliationData[[#This Row],[Billed_Units]]*ReconciliationData[[#This Row],[Billed_Price]]</f>
        <v>13644.6057</v>
      </c>
      <c r="Y1734">
        <f>ReconciliationData[[#This Row],[ordered_units]]*ReconciliationData[[#This Row],[List_Price]]</f>
        <v>13644.6057</v>
      </c>
      <c r="Z1734">
        <f>ReconciliationData[[#This Row],[billed_revenue]]-ReconciliationData[[#This Row],[expected_revenue]]</f>
        <v>0</v>
      </c>
      <c r="AA17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34" t="str">
        <f>IF(ReconciliationData[[#This Row],[severity_score]]=0,"LOW",
 IF(ReconciliationData[[#This Row],[severity_score]]&lt;=5,"MEDIUM","HIGH"))</f>
        <v>LOW</v>
      </c>
      <c r="AC1734" t="str">
        <f>TEXT(ReconciliationData[[#This Row],[Order_Date]],"YYYY-MM")</f>
        <v>2023-05</v>
      </c>
    </row>
    <row r="1735" spans="1:29">
      <c r="A1735" t="s">
        <v>4613</v>
      </c>
      <c r="B1735" s="1">
        <v>45254</v>
      </c>
      <c r="C1735" t="s">
        <v>1883</v>
      </c>
      <c r="D1735" t="s">
        <v>643</v>
      </c>
      <c r="E1735">
        <v>24</v>
      </c>
      <c r="F1735" t="s">
        <v>4614</v>
      </c>
      <c r="G1735">
        <v>24</v>
      </c>
      <c r="H1735">
        <v>208.65799999999999</v>
      </c>
      <c r="N1735">
        <v>208.65799999999999</v>
      </c>
      <c r="O1735" s="1">
        <v>44971</v>
      </c>
      <c r="P1735">
        <f>IF(ISBLANK(ReconciliationData[[#This Row],[Invoice_ID]]),1,0)</f>
        <v>0</v>
      </c>
      <c r="Q1735">
        <f>IF(AND(NOT(ISBLANK(ReconciliationData[[#This Row],[Billed_Units]])),ReconciliationData[[#This Row],[ordered_units]]&lt;&gt;ReconciliationData[[#This Row],[Billed_Units]]),1,0)</f>
        <v>0</v>
      </c>
      <c r="R17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35">
        <f>IF(AND(NOT(ISBLANK(ReconciliationData[[#This Row],[Contract_Price]])),ReconciliationData[[#This Row],[Billed_Price]]&lt;&gt;ReconciliationData[[#This Row],[Contract_Price]]),1,0)</f>
        <v>0</v>
      </c>
      <c r="T1735">
        <f>IF(AND(NOT(ISBLANK(ReconciliationData[[#This Row],[End_Date]])),ReconciliationData[[#This Row],[Order_Date]]&gt;ReconciliationData[[#This Row],[End_Date]]),1,0)</f>
        <v>0</v>
      </c>
      <c r="U1735">
        <f>IF(AND(NOT(ISBLANK(ReconciliationData[[#This Row],[last_return_date]])),ReconciliationData[[#This Row],[last_return_date]]&gt;ReconciliationData[[#This Row],[Order_Date]]+60),1,0)</f>
        <v>0</v>
      </c>
      <c r="V1735">
        <f>IF(ReconciliationData[[#This Row],[total_returned_units]]&gt;ReconciliationData[[#This Row],[ordered_units]],1,0)</f>
        <v>0</v>
      </c>
      <c r="W17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35">
        <f>ReconciliationData[[#This Row],[Billed_Units]]*ReconciliationData[[#This Row],[Billed_Price]]</f>
        <v>5007.7919999999995</v>
      </c>
      <c r="Y1735">
        <f>ReconciliationData[[#This Row],[ordered_units]]*ReconciliationData[[#This Row],[List_Price]]</f>
        <v>5007.7919999999995</v>
      </c>
      <c r="Z1735">
        <f>ReconciliationData[[#This Row],[billed_revenue]]-ReconciliationData[[#This Row],[expected_revenue]]</f>
        <v>0</v>
      </c>
      <c r="AA17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35" t="str">
        <f>IF(ReconciliationData[[#This Row],[severity_score]]=0,"LOW",
 IF(ReconciliationData[[#This Row],[severity_score]]&lt;=5,"MEDIUM","HIGH"))</f>
        <v>LOW</v>
      </c>
      <c r="AC1735" t="str">
        <f>TEXT(ReconciliationData[[#This Row],[Order_Date]],"YYYY-MM")</f>
        <v>2023-11</v>
      </c>
    </row>
    <row r="1736" spans="1:29">
      <c r="A1736" t="s">
        <v>4615</v>
      </c>
      <c r="B1736" s="1">
        <v>45233</v>
      </c>
      <c r="C1736" t="s">
        <v>3621</v>
      </c>
      <c r="D1736" t="s">
        <v>255</v>
      </c>
      <c r="E1736">
        <v>120</v>
      </c>
      <c r="F1736" t="s">
        <v>4616</v>
      </c>
      <c r="G1736">
        <v>120</v>
      </c>
      <c r="H1736">
        <v>1103.0465999999999</v>
      </c>
      <c r="N1736">
        <v>1103.0465999999999</v>
      </c>
      <c r="O1736" s="1">
        <v>45214</v>
      </c>
      <c r="P1736">
        <f>IF(ISBLANK(ReconciliationData[[#This Row],[Invoice_ID]]),1,0)</f>
        <v>0</v>
      </c>
      <c r="Q1736">
        <f>IF(AND(NOT(ISBLANK(ReconciliationData[[#This Row],[Billed_Units]])),ReconciliationData[[#This Row],[ordered_units]]&lt;&gt;ReconciliationData[[#This Row],[Billed_Units]]),1,0)</f>
        <v>0</v>
      </c>
      <c r="R17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36">
        <f>IF(AND(NOT(ISBLANK(ReconciliationData[[#This Row],[Contract_Price]])),ReconciliationData[[#This Row],[Billed_Price]]&lt;&gt;ReconciliationData[[#This Row],[Contract_Price]]),1,0)</f>
        <v>0</v>
      </c>
      <c r="T1736">
        <f>IF(AND(NOT(ISBLANK(ReconciliationData[[#This Row],[End_Date]])),ReconciliationData[[#This Row],[Order_Date]]&gt;ReconciliationData[[#This Row],[End_Date]]),1,0)</f>
        <v>0</v>
      </c>
      <c r="U1736">
        <f>IF(AND(NOT(ISBLANK(ReconciliationData[[#This Row],[last_return_date]])),ReconciliationData[[#This Row],[last_return_date]]&gt;ReconciliationData[[#This Row],[Order_Date]]+60),1,0)</f>
        <v>0</v>
      </c>
      <c r="V1736">
        <f>IF(ReconciliationData[[#This Row],[total_returned_units]]&gt;ReconciliationData[[#This Row],[ordered_units]],1,0)</f>
        <v>0</v>
      </c>
      <c r="W17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36">
        <f>ReconciliationData[[#This Row],[Billed_Units]]*ReconciliationData[[#This Row],[Billed_Price]]</f>
        <v>132365.59199999998</v>
      </c>
      <c r="Y1736">
        <f>ReconciliationData[[#This Row],[ordered_units]]*ReconciliationData[[#This Row],[List_Price]]</f>
        <v>132365.59199999998</v>
      </c>
      <c r="Z1736">
        <f>ReconciliationData[[#This Row],[billed_revenue]]-ReconciliationData[[#This Row],[expected_revenue]]</f>
        <v>0</v>
      </c>
      <c r="AA17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36" t="str">
        <f>IF(ReconciliationData[[#This Row],[severity_score]]=0,"LOW",
 IF(ReconciliationData[[#This Row],[severity_score]]&lt;=5,"MEDIUM","HIGH"))</f>
        <v>LOW</v>
      </c>
      <c r="AC1736" t="str">
        <f>TEXT(ReconciliationData[[#This Row],[Order_Date]],"YYYY-MM")</f>
        <v>2023-11</v>
      </c>
    </row>
    <row r="1737" spans="1:29">
      <c r="A1737" t="s">
        <v>4617</v>
      </c>
      <c r="B1737" s="1">
        <v>45206</v>
      </c>
      <c r="C1737" t="s">
        <v>1634</v>
      </c>
      <c r="D1737" t="s">
        <v>1094</v>
      </c>
      <c r="E1737">
        <v>42</v>
      </c>
      <c r="F1737" t="s">
        <v>4618</v>
      </c>
      <c r="G1737">
        <v>42</v>
      </c>
      <c r="H1737">
        <v>977.22280000000001</v>
      </c>
      <c r="I1737">
        <v>13</v>
      </c>
      <c r="J1737" s="1">
        <v>45119</v>
      </c>
      <c r="N1737">
        <v>977.22280000000001</v>
      </c>
      <c r="O1737" s="1">
        <v>44984</v>
      </c>
      <c r="P1737">
        <f>IF(ISBLANK(ReconciliationData[[#This Row],[Invoice_ID]]),1,0)</f>
        <v>0</v>
      </c>
      <c r="Q1737">
        <f>IF(AND(NOT(ISBLANK(ReconciliationData[[#This Row],[Billed_Units]])),ReconciliationData[[#This Row],[ordered_units]]&lt;&gt;ReconciliationData[[#This Row],[Billed_Units]]),1,0)</f>
        <v>0</v>
      </c>
      <c r="R17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37">
        <f>IF(AND(NOT(ISBLANK(ReconciliationData[[#This Row],[Contract_Price]])),ReconciliationData[[#This Row],[Billed_Price]]&lt;&gt;ReconciliationData[[#This Row],[Contract_Price]]),1,0)</f>
        <v>0</v>
      </c>
      <c r="T1737">
        <f>IF(AND(NOT(ISBLANK(ReconciliationData[[#This Row],[End_Date]])),ReconciliationData[[#This Row],[Order_Date]]&gt;ReconciliationData[[#This Row],[End_Date]]),1,0)</f>
        <v>0</v>
      </c>
      <c r="U1737">
        <f>IF(AND(NOT(ISBLANK(ReconciliationData[[#This Row],[last_return_date]])),ReconciliationData[[#This Row],[last_return_date]]&gt;ReconciliationData[[#This Row],[Order_Date]]+60),1,0)</f>
        <v>0</v>
      </c>
      <c r="V1737">
        <f>IF(ReconciliationData[[#This Row],[total_returned_units]]&gt;ReconciliationData[[#This Row],[ordered_units]],1,0)</f>
        <v>0</v>
      </c>
      <c r="W17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37">
        <f>ReconciliationData[[#This Row],[Billed_Units]]*ReconciliationData[[#This Row],[Billed_Price]]</f>
        <v>41043.357600000003</v>
      </c>
      <c r="Y1737">
        <f>ReconciliationData[[#This Row],[ordered_units]]*ReconciliationData[[#This Row],[List_Price]]</f>
        <v>41043.357600000003</v>
      </c>
      <c r="Z1737">
        <f>ReconciliationData[[#This Row],[billed_revenue]]-ReconciliationData[[#This Row],[expected_revenue]]</f>
        <v>0</v>
      </c>
      <c r="AA17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37" t="str">
        <f>IF(ReconciliationData[[#This Row],[severity_score]]=0,"LOW",
 IF(ReconciliationData[[#This Row],[severity_score]]&lt;=5,"MEDIUM","HIGH"))</f>
        <v>LOW</v>
      </c>
      <c r="AC1737" t="str">
        <f>TEXT(ReconciliationData[[#This Row],[Order_Date]],"YYYY-MM")</f>
        <v>2023-10</v>
      </c>
    </row>
    <row r="1738" spans="1:29">
      <c r="A1738" t="s">
        <v>4619</v>
      </c>
      <c r="B1738" s="1">
        <v>45042</v>
      </c>
      <c r="C1738" t="s">
        <v>2168</v>
      </c>
      <c r="D1738" t="s">
        <v>841</v>
      </c>
      <c r="E1738">
        <v>36</v>
      </c>
      <c r="F1738" t="s">
        <v>4620</v>
      </c>
      <c r="G1738">
        <v>36</v>
      </c>
      <c r="H1738">
        <v>171.78</v>
      </c>
      <c r="N1738">
        <v>171.78</v>
      </c>
      <c r="O1738" s="1">
        <v>45010</v>
      </c>
      <c r="P1738">
        <f>IF(ISBLANK(ReconciliationData[[#This Row],[Invoice_ID]]),1,0)</f>
        <v>0</v>
      </c>
      <c r="Q1738">
        <f>IF(AND(NOT(ISBLANK(ReconciliationData[[#This Row],[Billed_Units]])),ReconciliationData[[#This Row],[ordered_units]]&lt;&gt;ReconciliationData[[#This Row],[Billed_Units]]),1,0)</f>
        <v>0</v>
      </c>
      <c r="R17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38">
        <f>IF(AND(NOT(ISBLANK(ReconciliationData[[#This Row],[Contract_Price]])),ReconciliationData[[#This Row],[Billed_Price]]&lt;&gt;ReconciliationData[[#This Row],[Contract_Price]]),1,0)</f>
        <v>0</v>
      </c>
      <c r="T1738">
        <f>IF(AND(NOT(ISBLANK(ReconciliationData[[#This Row],[End_Date]])),ReconciliationData[[#This Row],[Order_Date]]&gt;ReconciliationData[[#This Row],[End_Date]]),1,0)</f>
        <v>0</v>
      </c>
      <c r="U1738">
        <f>IF(AND(NOT(ISBLANK(ReconciliationData[[#This Row],[last_return_date]])),ReconciliationData[[#This Row],[last_return_date]]&gt;ReconciliationData[[#This Row],[Order_Date]]+60),1,0)</f>
        <v>0</v>
      </c>
      <c r="V1738">
        <f>IF(ReconciliationData[[#This Row],[total_returned_units]]&gt;ReconciliationData[[#This Row],[ordered_units]],1,0)</f>
        <v>0</v>
      </c>
      <c r="W17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38">
        <f>ReconciliationData[[#This Row],[Billed_Units]]*ReconciliationData[[#This Row],[Billed_Price]]</f>
        <v>6184.08</v>
      </c>
      <c r="Y1738">
        <f>ReconciliationData[[#This Row],[ordered_units]]*ReconciliationData[[#This Row],[List_Price]]</f>
        <v>6184.08</v>
      </c>
      <c r="Z1738">
        <f>ReconciliationData[[#This Row],[billed_revenue]]-ReconciliationData[[#This Row],[expected_revenue]]</f>
        <v>0</v>
      </c>
      <c r="AA17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38" t="str">
        <f>IF(ReconciliationData[[#This Row],[severity_score]]=0,"LOW",
 IF(ReconciliationData[[#This Row],[severity_score]]&lt;=5,"MEDIUM","HIGH"))</f>
        <v>LOW</v>
      </c>
      <c r="AC1738" t="str">
        <f>TEXT(ReconciliationData[[#This Row],[Order_Date]],"YYYY-MM")</f>
        <v>2023-04</v>
      </c>
    </row>
    <row r="1739" spans="1:29">
      <c r="A1739" t="s">
        <v>4621</v>
      </c>
      <c r="B1739" s="1">
        <v>44988</v>
      </c>
      <c r="C1739" t="s">
        <v>1579</v>
      </c>
      <c r="D1739" t="s">
        <v>798</v>
      </c>
      <c r="E1739">
        <v>182</v>
      </c>
      <c r="F1739" t="s">
        <v>4622</v>
      </c>
      <c r="G1739">
        <v>182</v>
      </c>
      <c r="H1739">
        <v>145.72999999999999</v>
      </c>
      <c r="I1739">
        <v>12</v>
      </c>
      <c r="J1739" s="1">
        <v>45415</v>
      </c>
      <c r="N1739">
        <v>145.72999999999999</v>
      </c>
      <c r="O1739" s="1">
        <v>44899</v>
      </c>
      <c r="P1739">
        <f>IF(ISBLANK(ReconciliationData[[#This Row],[Invoice_ID]]),1,0)</f>
        <v>0</v>
      </c>
      <c r="Q1739">
        <f>IF(AND(NOT(ISBLANK(ReconciliationData[[#This Row],[Billed_Units]])),ReconciliationData[[#This Row],[ordered_units]]&lt;&gt;ReconciliationData[[#This Row],[Billed_Units]]),1,0)</f>
        <v>0</v>
      </c>
      <c r="R17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39">
        <f>IF(AND(NOT(ISBLANK(ReconciliationData[[#This Row],[Contract_Price]])),ReconciliationData[[#This Row],[Billed_Price]]&lt;&gt;ReconciliationData[[#This Row],[Contract_Price]]),1,0)</f>
        <v>0</v>
      </c>
      <c r="T1739">
        <f>IF(AND(NOT(ISBLANK(ReconciliationData[[#This Row],[End_Date]])),ReconciliationData[[#This Row],[Order_Date]]&gt;ReconciliationData[[#This Row],[End_Date]]),1,0)</f>
        <v>0</v>
      </c>
      <c r="U1739">
        <f>IF(AND(NOT(ISBLANK(ReconciliationData[[#This Row],[last_return_date]])),ReconciliationData[[#This Row],[last_return_date]]&gt;ReconciliationData[[#This Row],[Order_Date]]+60),1,0)</f>
        <v>1</v>
      </c>
      <c r="V1739">
        <f>IF(ReconciliationData[[#This Row],[total_returned_units]]&gt;ReconciliationData[[#This Row],[ordered_units]],1,0)</f>
        <v>0</v>
      </c>
      <c r="W17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739">
        <f>ReconciliationData[[#This Row],[Billed_Units]]*ReconciliationData[[#This Row],[Billed_Price]]</f>
        <v>26522.859999999997</v>
      </c>
      <c r="Y1739">
        <f>ReconciliationData[[#This Row],[ordered_units]]*ReconciliationData[[#This Row],[List_Price]]</f>
        <v>26522.859999999997</v>
      </c>
      <c r="Z1739">
        <f>ReconciliationData[[#This Row],[billed_revenue]]-ReconciliationData[[#This Row],[expected_revenue]]</f>
        <v>0</v>
      </c>
      <c r="AA17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739" t="str">
        <f>IF(ReconciliationData[[#This Row],[severity_score]]=0,"LOW",
 IF(ReconciliationData[[#This Row],[severity_score]]&lt;=5,"MEDIUM","HIGH"))</f>
        <v>MEDIUM</v>
      </c>
      <c r="AC1739" t="str">
        <f>TEXT(ReconciliationData[[#This Row],[Order_Date]],"YYYY-MM")</f>
        <v>2023-03</v>
      </c>
    </row>
    <row r="1740" spans="1:29">
      <c r="A1740" t="s">
        <v>4623</v>
      </c>
      <c r="B1740" s="1">
        <v>45396</v>
      </c>
      <c r="C1740" t="s">
        <v>2352</v>
      </c>
      <c r="D1740" t="s">
        <v>170</v>
      </c>
      <c r="E1740">
        <v>80</v>
      </c>
      <c r="F1740" t="s">
        <v>4624</v>
      </c>
      <c r="G1740">
        <v>80</v>
      </c>
      <c r="H1740">
        <v>397.40159999999997</v>
      </c>
      <c r="N1740">
        <v>397.40159999999997</v>
      </c>
      <c r="O1740" s="1">
        <v>45021</v>
      </c>
      <c r="P1740">
        <f>IF(ISBLANK(ReconciliationData[[#This Row],[Invoice_ID]]),1,0)</f>
        <v>0</v>
      </c>
      <c r="Q1740">
        <f>IF(AND(NOT(ISBLANK(ReconciliationData[[#This Row],[Billed_Units]])),ReconciliationData[[#This Row],[ordered_units]]&lt;&gt;ReconciliationData[[#This Row],[Billed_Units]]),1,0)</f>
        <v>0</v>
      </c>
      <c r="R17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0">
        <f>IF(AND(NOT(ISBLANK(ReconciliationData[[#This Row],[Contract_Price]])),ReconciliationData[[#This Row],[Billed_Price]]&lt;&gt;ReconciliationData[[#This Row],[Contract_Price]]),1,0)</f>
        <v>0</v>
      </c>
      <c r="T1740">
        <f>IF(AND(NOT(ISBLANK(ReconciliationData[[#This Row],[End_Date]])),ReconciliationData[[#This Row],[Order_Date]]&gt;ReconciliationData[[#This Row],[End_Date]]),1,0)</f>
        <v>0</v>
      </c>
      <c r="U1740">
        <f>IF(AND(NOT(ISBLANK(ReconciliationData[[#This Row],[last_return_date]])),ReconciliationData[[#This Row],[last_return_date]]&gt;ReconciliationData[[#This Row],[Order_Date]]+60),1,0)</f>
        <v>0</v>
      </c>
      <c r="V1740">
        <f>IF(ReconciliationData[[#This Row],[total_returned_units]]&gt;ReconciliationData[[#This Row],[ordered_units]],1,0)</f>
        <v>0</v>
      </c>
      <c r="W17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0">
        <f>ReconciliationData[[#This Row],[Billed_Units]]*ReconciliationData[[#This Row],[Billed_Price]]</f>
        <v>31792.127999999997</v>
      </c>
      <c r="Y1740">
        <f>ReconciliationData[[#This Row],[ordered_units]]*ReconciliationData[[#This Row],[List_Price]]</f>
        <v>31792.127999999997</v>
      </c>
      <c r="Z1740">
        <f>ReconciliationData[[#This Row],[billed_revenue]]-ReconciliationData[[#This Row],[expected_revenue]]</f>
        <v>0</v>
      </c>
      <c r="AA17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0" t="str">
        <f>IF(ReconciliationData[[#This Row],[severity_score]]=0,"LOW",
 IF(ReconciliationData[[#This Row],[severity_score]]&lt;=5,"MEDIUM","HIGH"))</f>
        <v>LOW</v>
      </c>
      <c r="AC1740" t="str">
        <f>TEXT(ReconciliationData[[#This Row],[Order_Date]],"YYYY-MM")</f>
        <v>2024-04</v>
      </c>
    </row>
    <row r="1741" spans="1:29">
      <c r="A1741" t="s">
        <v>4625</v>
      </c>
      <c r="B1741" s="1">
        <v>44959</v>
      </c>
      <c r="C1741" t="s">
        <v>687</v>
      </c>
      <c r="D1741" t="s">
        <v>381</v>
      </c>
      <c r="E1741">
        <v>174</v>
      </c>
      <c r="F1741" t="s">
        <v>4626</v>
      </c>
      <c r="G1741">
        <v>174</v>
      </c>
      <c r="H1741">
        <v>933.82110000000011</v>
      </c>
      <c r="N1741">
        <v>933.82110000000011</v>
      </c>
      <c r="O1741" s="1">
        <v>44855</v>
      </c>
      <c r="P1741">
        <f>IF(ISBLANK(ReconciliationData[[#This Row],[Invoice_ID]]),1,0)</f>
        <v>0</v>
      </c>
      <c r="Q1741">
        <f>IF(AND(NOT(ISBLANK(ReconciliationData[[#This Row],[Billed_Units]])),ReconciliationData[[#This Row],[ordered_units]]&lt;&gt;ReconciliationData[[#This Row],[Billed_Units]]),1,0)</f>
        <v>0</v>
      </c>
      <c r="R17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1">
        <f>IF(AND(NOT(ISBLANK(ReconciliationData[[#This Row],[Contract_Price]])),ReconciliationData[[#This Row],[Billed_Price]]&lt;&gt;ReconciliationData[[#This Row],[Contract_Price]]),1,0)</f>
        <v>0</v>
      </c>
      <c r="T1741">
        <f>IF(AND(NOT(ISBLANK(ReconciliationData[[#This Row],[End_Date]])),ReconciliationData[[#This Row],[Order_Date]]&gt;ReconciliationData[[#This Row],[End_Date]]),1,0)</f>
        <v>0</v>
      </c>
      <c r="U1741">
        <f>IF(AND(NOT(ISBLANK(ReconciliationData[[#This Row],[last_return_date]])),ReconciliationData[[#This Row],[last_return_date]]&gt;ReconciliationData[[#This Row],[Order_Date]]+60),1,0)</f>
        <v>0</v>
      </c>
      <c r="V1741">
        <f>IF(ReconciliationData[[#This Row],[total_returned_units]]&gt;ReconciliationData[[#This Row],[ordered_units]],1,0)</f>
        <v>0</v>
      </c>
      <c r="W17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1">
        <f>ReconciliationData[[#This Row],[Billed_Units]]*ReconciliationData[[#This Row],[Billed_Price]]</f>
        <v>162484.87140000003</v>
      </c>
      <c r="Y1741">
        <f>ReconciliationData[[#This Row],[ordered_units]]*ReconciliationData[[#This Row],[List_Price]]</f>
        <v>162484.87140000003</v>
      </c>
      <c r="Z1741">
        <f>ReconciliationData[[#This Row],[billed_revenue]]-ReconciliationData[[#This Row],[expected_revenue]]</f>
        <v>0</v>
      </c>
      <c r="AA17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1" t="str">
        <f>IF(ReconciliationData[[#This Row],[severity_score]]=0,"LOW",
 IF(ReconciliationData[[#This Row],[severity_score]]&lt;=5,"MEDIUM","HIGH"))</f>
        <v>LOW</v>
      </c>
      <c r="AC1741" t="str">
        <f>TEXT(ReconciliationData[[#This Row],[Order_Date]],"YYYY-MM")</f>
        <v>2023-02</v>
      </c>
    </row>
    <row r="1742" spans="1:29">
      <c r="A1742" t="s">
        <v>4627</v>
      </c>
      <c r="B1742" s="1">
        <v>45179</v>
      </c>
      <c r="C1742" t="s">
        <v>623</v>
      </c>
      <c r="D1742" t="s">
        <v>333</v>
      </c>
      <c r="E1742">
        <v>190</v>
      </c>
      <c r="F1742" t="s">
        <v>4628</v>
      </c>
      <c r="G1742">
        <v>190</v>
      </c>
      <c r="H1742">
        <v>1144.1684</v>
      </c>
      <c r="N1742">
        <v>1144.1684</v>
      </c>
      <c r="O1742" s="1">
        <v>44955</v>
      </c>
      <c r="P1742">
        <f>IF(ISBLANK(ReconciliationData[[#This Row],[Invoice_ID]]),1,0)</f>
        <v>0</v>
      </c>
      <c r="Q1742">
        <f>IF(AND(NOT(ISBLANK(ReconciliationData[[#This Row],[Billed_Units]])),ReconciliationData[[#This Row],[ordered_units]]&lt;&gt;ReconciliationData[[#This Row],[Billed_Units]]),1,0)</f>
        <v>0</v>
      </c>
      <c r="R17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2">
        <f>IF(AND(NOT(ISBLANK(ReconciliationData[[#This Row],[Contract_Price]])),ReconciliationData[[#This Row],[Billed_Price]]&lt;&gt;ReconciliationData[[#This Row],[Contract_Price]]),1,0)</f>
        <v>0</v>
      </c>
      <c r="T1742">
        <f>IF(AND(NOT(ISBLANK(ReconciliationData[[#This Row],[End_Date]])),ReconciliationData[[#This Row],[Order_Date]]&gt;ReconciliationData[[#This Row],[End_Date]]),1,0)</f>
        <v>0</v>
      </c>
      <c r="U1742">
        <f>IF(AND(NOT(ISBLANK(ReconciliationData[[#This Row],[last_return_date]])),ReconciliationData[[#This Row],[last_return_date]]&gt;ReconciliationData[[#This Row],[Order_Date]]+60),1,0)</f>
        <v>0</v>
      </c>
      <c r="V1742">
        <f>IF(ReconciliationData[[#This Row],[total_returned_units]]&gt;ReconciliationData[[#This Row],[ordered_units]],1,0)</f>
        <v>0</v>
      </c>
      <c r="W17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2">
        <f>ReconciliationData[[#This Row],[Billed_Units]]*ReconciliationData[[#This Row],[Billed_Price]]</f>
        <v>217391.99600000001</v>
      </c>
      <c r="Y1742">
        <f>ReconciliationData[[#This Row],[ordered_units]]*ReconciliationData[[#This Row],[List_Price]]</f>
        <v>217391.99600000001</v>
      </c>
      <c r="Z1742">
        <f>ReconciliationData[[#This Row],[billed_revenue]]-ReconciliationData[[#This Row],[expected_revenue]]</f>
        <v>0</v>
      </c>
      <c r="AA17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2" t="str">
        <f>IF(ReconciliationData[[#This Row],[severity_score]]=0,"LOW",
 IF(ReconciliationData[[#This Row],[severity_score]]&lt;=5,"MEDIUM","HIGH"))</f>
        <v>LOW</v>
      </c>
      <c r="AC1742" t="str">
        <f>TEXT(ReconciliationData[[#This Row],[Order_Date]],"YYYY-MM")</f>
        <v>2023-09</v>
      </c>
    </row>
    <row r="1743" spans="1:29">
      <c r="A1743" t="s">
        <v>4629</v>
      </c>
      <c r="B1743" s="1">
        <v>45061</v>
      </c>
      <c r="C1743" t="s">
        <v>2063</v>
      </c>
      <c r="D1743" t="s">
        <v>2353</v>
      </c>
      <c r="E1743">
        <v>130</v>
      </c>
      <c r="F1743" t="s">
        <v>4630</v>
      </c>
      <c r="G1743">
        <v>130</v>
      </c>
      <c r="H1743">
        <v>365.80459999999999</v>
      </c>
      <c r="N1743">
        <v>365.80459999999999</v>
      </c>
      <c r="O1743" s="1">
        <v>44892</v>
      </c>
      <c r="P1743">
        <f>IF(ISBLANK(ReconciliationData[[#This Row],[Invoice_ID]]),1,0)</f>
        <v>0</v>
      </c>
      <c r="Q1743">
        <f>IF(AND(NOT(ISBLANK(ReconciliationData[[#This Row],[Billed_Units]])),ReconciliationData[[#This Row],[ordered_units]]&lt;&gt;ReconciliationData[[#This Row],[Billed_Units]]),1,0)</f>
        <v>0</v>
      </c>
      <c r="R17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3">
        <f>IF(AND(NOT(ISBLANK(ReconciliationData[[#This Row],[Contract_Price]])),ReconciliationData[[#This Row],[Billed_Price]]&lt;&gt;ReconciliationData[[#This Row],[Contract_Price]]),1,0)</f>
        <v>0</v>
      </c>
      <c r="T1743">
        <f>IF(AND(NOT(ISBLANK(ReconciliationData[[#This Row],[End_Date]])),ReconciliationData[[#This Row],[Order_Date]]&gt;ReconciliationData[[#This Row],[End_Date]]),1,0)</f>
        <v>0</v>
      </c>
      <c r="U1743">
        <f>IF(AND(NOT(ISBLANK(ReconciliationData[[#This Row],[last_return_date]])),ReconciliationData[[#This Row],[last_return_date]]&gt;ReconciliationData[[#This Row],[Order_Date]]+60),1,0)</f>
        <v>0</v>
      </c>
      <c r="V1743">
        <f>IF(ReconciliationData[[#This Row],[total_returned_units]]&gt;ReconciliationData[[#This Row],[ordered_units]],1,0)</f>
        <v>0</v>
      </c>
      <c r="W17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3">
        <f>ReconciliationData[[#This Row],[Billed_Units]]*ReconciliationData[[#This Row],[Billed_Price]]</f>
        <v>47554.597999999998</v>
      </c>
      <c r="Y1743">
        <f>ReconciliationData[[#This Row],[ordered_units]]*ReconciliationData[[#This Row],[List_Price]]</f>
        <v>47554.597999999998</v>
      </c>
      <c r="Z1743">
        <f>ReconciliationData[[#This Row],[billed_revenue]]-ReconciliationData[[#This Row],[expected_revenue]]</f>
        <v>0</v>
      </c>
      <c r="AA17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3" t="str">
        <f>IF(ReconciliationData[[#This Row],[severity_score]]=0,"LOW",
 IF(ReconciliationData[[#This Row],[severity_score]]&lt;=5,"MEDIUM","HIGH"))</f>
        <v>LOW</v>
      </c>
      <c r="AC1743" t="str">
        <f>TEXT(ReconciliationData[[#This Row],[Order_Date]],"YYYY-MM")</f>
        <v>2023-05</v>
      </c>
    </row>
    <row r="1744" spans="1:29">
      <c r="A1744" t="s">
        <v>4631</v>
      </c>
      <c r="B1744" s="1">
        <v>44933</v>
      </c>
      <c r="C1744" t="s">
        <v>2751</v>
      </c>
      <c r="D1744" t="s">
        <v>239</v>
      </c>
      <c r="E1744">
        <v>1</v>
      </c>
      <c r="F1744" t="s">
        <v>4632</v>
      </c>
      <c r="G1744">
        <v>1</v>
      </c>
      <c r="H1744">
        <v>1171.7</v>
      </c>
      <c r="N1744">
        <v>1171.7</v>
      </c>
      <c r="O1744" s="1">
        <v>44654</v>
      </c>
      <c r="P1744">
        <f>IF(ISBLANK(ReconciliationData[[#This Row],[Invoice_ID]]),1,0)</f>
        <v>0</v>
      </c>
      <c r="Q1744">
        <f>IF(AND(NOT(ISBLANK(ReconciliationData[[#This Row],[Billed_Units]])),ReconciliationData[[#This Row],[ordered_units]]&lt;&gt;ReconciliationData[[#This Row],[Billed_Units]]),1,0)</f>
        <v>0</v>
      </c>
      <c r="R17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4">
        <f>IF(AND(NOT(ISBLANK(ReconciliationData[[#This Row],[Contract_Price]])),ReconciliationData[[#This Row],[Billed_Price]]&lt;&gt;ReconciliationData[[#This Row],[Contract_Price]]),1,0)</f>
        <v>0</v>
      </c>
      <c r="T1744">
        <f>IF(AND(NOT(ISBLANK(ReconciliationData[[#This Row],[End_Date]])),ReconciliationData[[#This Row],[Order_Date]]&gt;ReconciliationData[[#This Row],[End_Date]]),1,0)</f>
        <v>0</v>
      </c>
      <c r="U1744">
        <f>IF(AND(NOT(ISBLANK(ReconciliationData[[#This Row],[last_return_date]])),ReconciliationData[[#This Row],[last_return_date]]&gt;ReconciliationData[[#This Row],[Order_Date]]+60),1,0)</f>
        <v>0</v>
      </c>
      <c r="V1744">
        <f>IF(ReconciliationData[[#This Row],[total_returned_units]]&gt;ReconciliationData[[#This Row],[ordered_units]],1,0)</f>
        <v>0</v>
      </c>
      <c r="W17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4">
        <f>ReconciliationData[[#This Row],[Billed_Units]]*ReconciliationData[[#This Row],[Billed_Price]]</f>
        <v>1171.7</v>
      </c>
      <c r="Y1744">
        <f>ReconciliationData[[#This Row],[ordered_units]]*ReconciliationData[[#This Row],[List_Price]]</f>
        <v>1171.7</v>
      </c>
      <c r="Z1744">
        <f>ReconciliationData[[#This Row],[billed_revenue]]-ReconciliationData[[#This Row],[expected_revenue]]</f>
        <v>0</v>
      </c>
      <c r="AA17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4" t="str">
        <f>IF(ReconciliationData[[#This Row],[severity_score]]=0,"LOW",
 IF(ReconciliationData[[#This Row],[severity_score]]&lt;=5,"MEDIUM","HIGH"))</f>
        <v>LOW</v>
      </c>
      <c r="AC1744" t="str">
        <f>TEXT(ReconciliationData[[#This Row],[Order_Date]],"YYYY-MM")</f>
        <v>2023-01</v>
      </c>
    </row>
    <row r="1745" spans="1:29">
      <c r="A1745" t="s">
        <v>4633</v>
      </c>
      <c r="B1745" s="1">
        <v>45086</v>
      </c>
      <c r="C1745" t="s">
        <v>2031</v>
      </c>
      <c r="D1745" t="s">
        <v>560</v>
      </c>
      <c r="E1745">
        <v>147</v>
      </c>
      <c r="F1745" t="s">
        <v>4634</v>
      </c>
      <c r="G1745">
        <v>147</v>
      </c>
      <c r="H1745">
        <v>1088.2664000000002</v>
      </c>
      <c r="N1745">
        <v>1088.2664000000002</v>
      </c>
      <c r="O1745" s="1">
        <v>44918</v>
      </c>
      <c r="P1745">
        <f>IF(ISBLANK(ReconciliationData[[#This Row],[Invoice_ID]]),1,0)</f>
        <v>0</v>
      </c>
      <c r="Q1745">
        <f>IF(AND(NOT(ISBLANK(ReconciliationData[[#This Row],[Billed_Units]])),ReconciliationData[[#This Row],[ordered_units]]&lt;&gt;ReconciliationData[[#This Row],[Billed_Units]]),1,0)</f>
        <v>0</v>
      </c>
      <c r="R17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5">
        <f>IF(AND(NOT(ISBLANK(ReconciliationData[[#This Row],[Contract_Price]])),ReconciliationData[[#This Row],[Billed_Price]]&lt;&gt;ReconciliationData[[#This Row],[Contract_Price]]),1,0)</f>
        <v>0</v>
      </c>
      <c r="T1745">
        <f>IF(AND(NOT(ISBLANK(ReconciliationData[[#This Row],[End_Date]])),ReconciliationData[[#This Row],[Order_Date]]&gt;ReconciliationData[[#This Row],[End_Date]]),1,0)</f>
        <v>0</v>
      </c>
      <c r="U1745">
        <f>IF(AND(NOT(ISBLANK(ReconciliationData[[#This Row],[last_return_date]])),ReconciliationData[[#This Row],[last_return_date]]&gt;ReconciliationData[[#This Row],[Order_Date]]+60),1,0)</f>
        <v>0</v>
      </c>
      <c r="V1745">
        <f>IF(ReconciliationData[[#This Row],[total_returned_units]]&gt;ReconciliationData[[#This Row],[ordered_units]],1,0)</f>
        <v>0</v>
      </c>
      <c r="W17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5">
        <f>ReconciliationData[[#This Row],[Billed_Units]]*ReconciliationData[[#This Row],[Billed_Price]]</f>
        <v>159975.16080000004</v>
      </c>
      <c r="Y1745">
        <f>ReconciliationData[[#This Row],[ordered_units]]*ReconciliationData[[#This Row],[List_Price]]</f>
        <v>159975.16080000004</v>
      </c>
      <c r="Z1745">
        <f>ReconciliationData[[#This Row],[billed_revenue]]-ReconciliationData[[#This Row],[expected_revenue]]</f>
        <v>0</v>
      </c>
      <c r="AA17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5" t="str">
        <f>IF(ReconciliationData[[#This Row],[severity_score]]=0,"LOW",
 IF(ReconciliationData[[#This Row],[severity_score]]&lt;=5,"MEDIUM","HIGH"))</f>
        <v>LOW</v>
      </c>
      <c r="AC1745" t="str">
        <f>TEXT(ReconciliationData[[#This Row],[Order_Date]],"YYYY-MM")</f>
        <v>2023-06</v>
      </c>
    </row>
    <row r="1746" spans="1:29">
      <c r="A1746" t="s">
        <v>4635</v>
      </c>
      <c r="B1746" s="1">
        <v>44996</v>
      </c>
      <c r="C1746" t="s">
        <v>3436</v>
      </c>
      <c r="D1746" t="s">
        <v>487</v>
      </c>
      <c r="E1746">
        <v>154</v>
      </c>
      <c r="F1746" t="s">
        <v>4636</v>
      </c>
      <c r="G1746">
        <v>154</v>
      </c>
      <c r="H1746">
        <v>285.36900000000003</v>
      </c>
      <c r="N1746">
        <v>285.36900000000003</v>
      </c>
      <c r="O1746" s="1">
        <v>44932</v>
      </c>
      <c r="P1746">
        <f>IF(ISBLANK(ReconciliationData[[#This Row],[Invoice_ID]]),1,0)</f>
        <v>0</v>
      </c>
      <c r="Q1746">
        <f>IF(AND(NOT(ISBLANK(ReconciliationData[[#This Row],[Billed_Units]])),ReconciliationData[[#This Row],[ordered_units]]&lt;&gt;ReconciliationData[[#This Row],[Billed_Units]]),1,0)</f>
        <v>0</v>
      </c>
      <c r="R17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6">
        <f>IF(AND(NOT(ISBLANK(ReconciliationData[[#This Row],[Contract_Price]])),ReconciliationData[[#This Row],[Billed_Price]]&lt;&gt;ReconciliationData[[#This Row],[Contract_Price]]),1,0)</f>
        <v>0</v>
      </c>
      <c r="T1746">
        <f>IF(AND(NOT(ISBLANK(ReconciliationData[[#This Row],[End_Date]])),ReconciliationData[[#This Row],[Order_Date]]&gt;ReconciliationData[[#This Row],[End_Date]]),1,0)</f>
        <v>0</v>
      </c>
      <c r="U1746">
        <f>IF(AND(NOT(ISBLANK(ReconciliationData[[#This Row],[last_return_date]])),ReconciliationData[[#This Row],[last_return_date]]&gt;ReconciliationData[[#This Row],[Order_Date]]+60),1,0)</f>
        <v>0</v>
      </c>
      <c r="V1746">
        <f>IF(ReconciliationData[[#This Row],[total_returned_units]]&gt;ReconciliationData[[#This Row],[ordered_units]],1,0)</f>
        <v>0</v>
      </c>
      <c r="W17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6">
        <f>ReconciliationData[[#This Row],[Billed_Units]]*ReconciliationData[[#This Row],[Billed_Price]]</f>
        <v>43946.826000000001</v>
      </c>
      <c r="Y1746">
        <f>ReconciliationData[[#This Row],[ordered_units]]*ReconciliationData[[#This Row],[List_Price]]</f>
        <v>43946.826000000001</v>
      </c>
      <c r="Z1746">
        <f>ReconciliationData[[#This Row],[billed_revenue]]-ReconciliationData[[#This Row],[expected_revenue]]</f>
        <v>0</v>
      </c>
      <c r="AA17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6" t="str">
        <f>IF(ReconciliationData[[#This Row],[severity_score]]=0,"LOW",
 IF(ReconciliationData[[#This Row],[severity_score]]&lt;=5,"MEDIUM","HIGH"))</f>
        <v>LOW</v>
      </c>
      <c r="AC1746" t="str">
        <f>TEXT(ReconciliationData[[#This Row],[Order_Date]],"YYYY-MM")</f>
        <v>2023-03</v>
      </c>
    </row>
    <row r="1747" spans="1:29">
      <c r="A1747" t="s">
        <v>4637</v>
      </c>
      <c r="B1747" s="1">
        <v>45521</v>
      </c>
      <c r="C1747" t="s">
        <v>294</v>
      </c>
      <c r="D1747" t="s">
        <v>1305</v>
      </c>
      <c r="E1747">
        <v>162</v>
      </c>
      <c r="F1747" t="s">
        <v>4638</v>
      </c>
      <c r="G1747">
        <v>162</v>
      </c>
      <c r="H1747">
        <v>250.3184</v>
      </c>
      <c r="I1747">
        <v>3</v>
      </c>
      <c r="J1747" s="1">
        <v>45439</v>
      </c>
      <c r="N1747">
        <v>250.3184</v>
      </c>
      <c r="O1747" s="1">
        <v>45212</v>
      </c>
      <c r="P1747">
        <f>IF(ISBLANK(ReconciliationData[[#This Row],[Invoice_ID]]),1,0)</f>
        <v>0</v>
      </c>
      <c r="Q1747">
        <f>IF(AND(NOT(ISBLANK(ReconciliationData[[#This Row],[Billed_Units]])),ReconciliationData[[#This Row],[ordered_units]]&lt;&gt;ReconciliationData[[#This Row],[Billed_Units]]),1,0)</f>
        <v>0</v>
      </c>
      <c r="R17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7">
        <f>IF(AND(NOT(ISBLANK(ReconciliationData[[#This Row],[Contract_Price]])),ReconciliationData[[#This Row],[Billed_Price]]&lt;&gt;ReconciliationData[[#This Row],[Contract_Price]]),1,0)</f>
        <v>0</v>
      </c>
      <c r="T1747">
        <f>IF(AND(NOT(ISBLANK(ReconciliationData[[#This Row],[End_Date]])),ReconciliationData[[#This Row],[Order_Date]]&gt;ReconciliationData[[#This Row],[End_Date]]),1,0)</f>
        <v>0</v>
      </c>
      <c r="U1747">
        <f>IF(AND(NOT(ISBLANK(ReconciliationData[[#This Row],[last_return_date]])),ReconciliationData[[#This Row],[last_return_date]]&gt;ReconciliationData[[#This Row],[Order_Date]]+60),1,0)</f>
        <v>0</v>
      </c>
      <c r="V1747">
        <f>IF(ReconciliationData[[#This Row],[total_returned_units]]&gt;ReconciliationData[[#This Row],[ordered_units]],1,0)</f>
        <v>0</v>
      </c>
      <c r="W17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7">
        <f>ReconciliationData[[#This Row],[Billed_Units]]*ReconciliationData[[#This Row],[Billed_Price]]</f>
        <v>40551.580799999996</v>
      </c>
      <c r="Y1747">
        <f>ReconciliationData[[#This Row],[ordered_units]]*ReconciliationData[[#This Row],[List_Price]]</f>
        <v>40551.580799999996</v>
      </c>
      <c r="Z1747">
        <f>ReconciliationData[[#This Row],[billed_revenue]]-ReconciliationData[[#This Row],[expected_revenue]]</f>
        <v>0</v>
      </c>
      <c r="AA17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7" t="str">
        <f>IF(ReconciliationData[[#This Row],[severity_score]]=0,"LOW",
 IF(ReconciliationData[[#This Row],[severity_score]]&lt;=5,"MEDIUM","HIGH"))</f>
        <v>LOW</v>
      </c>
      <c r="AC1747" t="str">
        <f>TEXT(ReconciliationData[[#This Row],[Order_Date]],"YYYY-MM")</f>
        <v>2024-08</v>
      </c>
    </row>
    <row r="1748" spans="1:29">
      <c r="A1748" t="s">
        <v>4639</v>
      </c>
      <c r="B1748" s="1">
        <v>45646</v>
      </c>
      <c r="C1748" t="s">
        <v>1498</v>
      </c>
      <c r="D1748" t="s">
        <v>969</v>
      </c>
      <c r="E1748">
        <v>135</v>
      </c>
      <c r="F1748" t="s">
        <v>4640</v>
      </c>
      <c r="G1748">
        <v>135</v>
      </c>
      <c r="H1748">
        <v>991.99</v>
      </c>
      <c r="N1748">
        <v>991.99</v>
      </c>
      <c r="O1748" s="1">
        <v>44976</v>
      </c>
      <c r="P1748">
        <f>IF(ISBLANK(ReconciliationData[[#This Row],[Invoice_ID]]),1,0)</f>
        <v>0</v>
      </c>
      <c r="Q1748">
        <f>IF(AND(NOT(ISBLANK(ReconciliationData[[#This Row],[Billed_Units]])),ReconciliationData[[#This Row],[ordered_units]]&lt;&gt;ReconciliationData[[#This Row],[Billed_Units]]),1,0)</f>
        <v>0</v>
      </c>
      <c r="R17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8">
        <f>IF(AND(NOT(ISBLANK(ReconciliationData[[#This Row],[Contract_Price]])),ReconciliationData[[#This Row],[Billed_Price]]&lt;&gt;ReconciliationData[[#This Row],[Contract_Price]]),1,0)</f>
        <v>0</v>
      </c>
      <c r="T1748">
        <f>IF(AND(NOT(ISBLANK(ReconciliationData[[#This Row],[End_Date]])),ReconciliationData[[#This Row],[Order_Date]]&gt;ReconciliationData[[#This Row],[End_Date]]),1,0)</f>
        <v>0</v>
      </c>
      <c r="U1748">
        <f>IF(AND(NOT(ISBLANK(ReconciliationData[[#This Row],[last_return_date]])),ReconciliationData[[#This Row],[last_return_date]]&gt;ReconciliationData[[#This Row],[Order_Date]]+60),1,0)</f>
        <v>0</v>
      </c>
      <c r="V1748">
        <f>IF(ReconciliationData[[#This Row],[total_returned_units]]&gt;ReconciliationData[[#This Row],[ordered_units]],1,0)</f>
        <v>0</v>
      </c>
      <c r="W17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8">
        <f>ReconciliationData[[#This Row],[Billed_Units]]*ReconciliationData[[#This Row],[Billed_Price]]</f>
        <v>133918.65</v>
      </c>
      <c r="Y1748">
        <f>ReconciliationData[[#This Row],[ordered_units]]*ReconciliationData[[#This Row],[List_Price]]</f>
        <v>133918.65</v>
      </c>
      <c r="Z1748">
        <f>ReconciliationData[[#This Row],[billed_revenue]]-ReconciliationData[[#This Row],[expected_revenue]]</f>
        <v>0</v>
      </c>
      <c r="AA17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8" t="str">
        <f>IF(ReconciliationData[[#This Row],[severity_score]]=0,"LOW",
 IF(ReconciliationData[[#This Row],[severity_score]]&lt;=5,"MEDIUM","HIGH"))</f>
        <v>LOW</v>
      </c>
      <c r="AC1748" t="str">
        <f>TEXT(ReconciliationData[[#This Row],[Order_Date]],"YYYY-MM")</f>
        <v>2024-12</v>
      </c>
    </row>
    <row r="1749" spans="1:29">
      <c r="A1749" t="s">
        <v>4641</v>
      </c>
      <c r="B1749" s="1">
        <v>45464</v>
      </c>
      <c r="C1749" t="s">
        <v>1314</v>
      </c>
      <c r="D1749" t="s">
        <v>259</v>
      </c>
      <c r="E1749">
        <v>74</v>
      </c>
      <c r="F1749" t="s">
        <v>4642</v>
      </c>
      <c r="G1749">
        <v>74</v>
      </c>
      <c r="H1749">
        <v>360.68479999999994</v>
      </c>
      <c r="N1749">
        <v>360.68479999999994</v>
      </c>
      <c r="O1749" s="1">
        <v>45072</v>
      </c>
      <c r="P1749">
        <f>IF(ISBLANK(ReconciliationData[[#This Row],[Invoice_ID]]),1,0)</f>
        <v>0</v>
      </c>
      <c r="Q1749">
        <f>IF(AND(NOT(ISBLANK(ReconciliationData[[#This Row],[Billed_Units]])),ReconciliationData[[#This Row],[ordered_units]]&lt;&gt;ReconciliationData[[#This Row],[Billed_Units]]),1,0)</f>
        <v>0</v>
      </c>
      <c r="R17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49">
        <f>IF(AND(NOT(ISBLANK(ReconciliationData[[#This Row],[Contract_Price]])),ReconciliationData[[#This Row],[Billed_Price]]&lt;&gt;ReconciliationData[[#This Row],[Contract_Price]]),1,0)</f>
        <v>0</v>
      </c>
      <c r="T1749">
        <f>IF(AND(NOT(ISBLANK(ReconciliationData[[#This Row],[End_Date]])),ReconciliationData[[#This Row],[Order_Date]]&gt;ReconciliationData[[#This Row],[End_Date]]),1,0)</f>
        <v>0</v>
      </c>
      <c r="U1749">
        <f>IF(AND(NOT(ISBLANK(ReconciliationData[[#This Row],[last_return_date]])),ReconciliationData[[#This Row],[last_return_date]]&gt;ReconciliationData[[#This Row],[Order_Date]]+60),1,0)</f>
        <v>0</v>
      </c>
      <c r="V1749">
        <f>IF(ReconciliationData[[#This Row],[total_returned_units]]&gt;ReconciliationData[[#This Row],[ordered_units]],1,0)</f>
        <v>0</v>
      </c>
      <c r="W17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49">
        <f>ReconciliationData[[#This Row],[Billed_Units]]*ReconciliationData[[#This Row],[Billed_Price]]</f>
        <v>26690.675199999994</v>
      </c>
      <c r="Y1749">
        <f>ReconciliationData[[#This Row],[ordered_units]]*ReconciliationData[[#This Row],[List_Price]]</f>
        <v>26690.675199999994</v>
      </c>
      <c r="Z1749">
        <f>ReconciliationData[[#This Row],[billed_revenue]]-ReconciliationData[[#This Row],[expected_revenue]]</f>
        <v>0</v>
      </c>
      <c r="AA17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49" t="str">
        <f>IF(ReconciliationData[[#This Row],[severity_score]]=0,"LOW",
 IF(ReconciliationData[[#This Row],[severity_score]]&lt;=5,"MEDIUM","HIGH"))</f>
        <v>LOW</v>
      </c>
      <c r="AC1749" t="str">
        <f>TEXT(ReconciliationData[[#This Row],[Order_Date]],"YYYY-MM")</f>
        <v>2024-06</v>
      </c>
    </row>
    <row r="1750" spans="1:29">
      <c r="A1750" t="s">
        <v>4643</v>
      </c>
      <c r="B1750" s="1">
        <v>45409</v>
      </c>
      <c r="C1750" t="s">
        <v>2123</v>
      </c>
      <c r="D1750" t="s">
        <v>2353</v>
      </c>
      <c r="E1750">
        <v>18</v>
      </c>
      <c r="F1750" t="s">
        <v>4644</v>
      </c>
      <c r="G1750">
        <v>18</v>
      </c>
      <c r="H1750">
        <v>358.33919999999995</v>
      </c>
      <c r="N1750">
        <v>358.33919999999995</v>
      </c>
      <c r="O1750" s="1">
        <v>45108</v>
      </c>
      <c r="P1750">
        <f>IF(ISBLANK(ReconciliationData[[#This Row],[Invoice_ID]]),1,0)</f>
        <v>0</v>
      </c>
      <c r="Q1750">
        <f>IF(AND(NOT(ISBLANK(ReconciliationData[[#This Row],[Billed_Units]])),ReconciliationData[[#This Row],[ordered_units]]&lt;&gt;ReconciliationData[[#This Row],[Billed_Units]]),1,0)</f>
        <v>0</v>
      </c>
      <c r="R17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50">
        <f>IF(AND(NOT(ISBLANK(ReconciliationData[[#This Row],[Contract_Price]])),ReconciliationData[[#This Row],[Billed_Price]]&lt;&gt;ReconciliationData[[#This Row],[Contract_Price]]),1,0)</f>
        <v>0</v>
      </c>
      <c r="T1750">
        <f>IF(AND(NOT(ISBLANK(ReconciliationData[[#This Row],[End_Date]])),ReconciliationData[[#This Row],[Order_Date]]&gt;ReconciliationData[[#This Row],[End_Date]]),1,0)</f>
        <v>0</v>
      </c>
      <c r="U1750">
        <f>IF(AND(NOT(ISBLANK(ReconciliationData[[#This Row],[last_return_date]])),ReconciliationData[[#This Row],[last_return_date]]&gt;ReconciliationData[[#This Row],[Order_Date]]+60),1,0)</f>
        <v>0</v>
      </c>
      <c r="V1750">
        <f>IF(ReconciliationData[[#This Row],[total_returned_units]]&gt;ReconciliationData[[#This Row],[ordered_units]],1,0)</f>
        <v>0</v>
      </c>
      <c r="W17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50">
        <f>ReconciliationData[[#This Row],[Billed_Units]]*ReconciliationData[[#This Row],[Billed_Price]]</f>
        <v>6450.105599999999</v>
      </c>
      <c r="Y1750">
        <f>ReconciliationData[[#This Row],[ordered_units]]*ReconciliationData[[#This Row],[List_Price]]</f>
        <v>6450.105599999999</v>
      </c>
      <c r="Z1750">
        <f>ReconciliationData[[#This Row],[billed_revenue]]-ReconciliationData[[#This Row],[expected_revenue]]</f>
        <v>0</v>
      </c>
      <c r="AA17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50" t="str">
        <f>IF(ReconciliationData[[#This Row],[severity_score]]=0,"LOW",
 IF(ReconciliationData[[#This Row],[severity_score]]&lt;=5,"MEDIUM","HIGH"))</f>
        <v>LOW</v>
      </c>
      <c r="AC1750" t="str">
        <f>TEXT(ReconciliationData[[#This Row],[Order_Date]],"YYYY-MM")</f>
        <v>2024-04</v>
      </c>
    </row>
    <row r="1751" spans="1:29">
      <c r="A1751" t="s">
        <v>4645</v>
      </c>
      <c r="B1751" s="1">
        <v>44983</v>
      </c>
      <c r="C1751" t="s">
        <v>1458</v>
      </c>
      <c r="D1751" t="s">
        <v>408</v>
      </c>
      <c r="E1751">
        <v>163</v>
      </c>
      <c r="F1751" t="s">
        <v>4646</v>
      </c>
      <c r="G1751">
        <v>163</v>
      </c>
      <c r="H1751">
        <v>660.96040000000005</v>
      </c>
      <c r="N1751">
        <v>660.96040000000005</v>
      </c>
      <c r="O1751" s="1">
        <v>44947</v>
      </c>
      <c r="P1751">
        <f>IF(ISBLANK(ReconciliationData[[#This Row],[Invoice_ID]]),1,0)</f>
        <v>0</v>
      </c>
      <c r="Q1751">
        <f>IF(AND(NOT(ISBLANK(ReconciliationData[[#This Row],[Billed_Units]])),ReconciliationData[[#This Row],[ordered_units]]&lt;&gt;ReconciliationData[[#This Row],[Billed_Units]]),1,0)</f>
        <v>0</v>
      </c>
      <c r="R17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51">
        <f>IF(AND(NOT(ISBLANK(ReconciliationData[[#This Row],[Contract_Price]])),ReconciliationData[[#This Row],[Billed_Price]]&lt;&gt;ReconciliationData[[#This Row],[Contract_Price]]),1,0)</f>
        <v>0</v>
      </c>
      <c r="T1751">
        <f>IF(AND(NOT(ISBLANK(ReconciliationData[[#This Row],[End_Date]])),ReconciliationData[[#This Row],[Order_Date]]&gt;ReconciliationData[[#This Row],[End_Date]]),1,0)</f>
        <v>0</v>
      </c>
      <c r="U1751">
        <f>IF(AND(NOT(ISBLANK(ReconciliationData[[#This Row],[last_return_date]])),ReconciliationData[[#This Row],[last_return_date]]&gt;ReconciliationData[[#This Row],[Order_Date]]+60),1,0)</f>
        <v>0</v>
      </c>
      <c r="V1751">
        <f>IF(ReconciliationData[[#This Row],[total_returned_units]]&gt;ReconciliationData[[#This Row],[ordered_units]],1,0)</f>
        <v>0</v>
      </c>
      <c r="W17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51">
        <f>ReconciliationData[[#This Row],[Billed_Units]]*ReconciliationData[[#This Row],[Billed_Price]]</f>
        <v>107736.54520000001</v>
      </c>
      <c r="Y1751">
        <f>ReconciliationData[[#This Row],[ordered_units]]*ReconciliationData[[#This Row],[List_Price]]</f>
        <v>107736.54520000001</v>
      </c>
      <c r="Z1751">
        <f>ReconciliationData[[#This Row],[billed_revenue]]-ReconciliationData[[#This Row],[expected_revenue]]</f>
        <v>0</v>
      </c>
      <c r="AA17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51" t="str">
        <f>IF(ReconciliationData[[#This Row],[severity_score]]=0,"LOW",
 IF(ReconciliationData[[#This Row],[severity_score]]&lt;=5,"MEDIUM","HIGH"))</f>
        <v>LOW</v>
      </c>
      <c r="AC1751" t="str">
        <f>TEXT(ReconciliationData[[#This Row],[Order_Date]],"YYYY-MM")</f>
        <v>2023-02</v>
      </c>
    </row>
    <row r="1752" spans="1:29">
      <c r="A1752" t="s">
        <v>4647</v>
      </c>
      <c r="B1752" s="1">
        <v>45506</v>
      </c>
      <c r="C1752" t="s">
        <v>620</v>
      </c>
      <c r="D1752" t="s">
        <v>1559</v>
      </c>
      <c r="E1752">
        <v>10</v>
      </c>
      <c r="F1752" t="s">
        <v>4648</v>
      </c>
      <c r="G1752">
        <v>10</v>
      </c>
      <c r="H1752">
        <v>1066.5735649707872</v>
      </c>
      <c r="N1752">
        <v>1065.7722000000001</v>
      </c>
      <c r="O1752" s="1">
        <v>44936</v>
      </c>
      <c r="P1752">
        <f>IF(ISBLANK(ReconciliationData[[#This Row],[Invoice_ID]]),1,0)</f>
        <v>0</v>
      </c>
      <c r="Q1752">
        <f>IF(AND(NOT(ISBLANK(ReconciliationData[[#This Row],[Billed_Units]])),ReconciliationData[[#This Row],[ordered_units]]&lt;&gt;ReconciliationData[[#This Row],[Billed_Units]]),1,0)</f>
        <v>0</v>
      </c>
      <c r="R175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752">
        <f>IF(AND(NOT(ISBLANK(ReconciliationData[[#This Row],[Contract_Price]])),ReconciliationData[[#This Row],[Billed_Price]]&lt;&gt;ReconciliationData[[#This Row],[Contract_Price]]),1,0)</f>
        <v>0</v>
      </c>
      <c r="T1752">
        <f>IF(AND(NOT(ISBLANK(ReconciliationData[[#This Row],[End_Date]])),ReconciliationData[[#This Row],[Order_Date]]&gt;ReconciliationData[[#This Row],[End_Date]]),1,0)</f>
        <v>0</v>
      </c>
      <c r="U1752">
        <f>IF(AND(NOT(ISBLANK(ReconciliationData[[#This Row],[last_return_date]])),ReconciliationData[[#This Row],[last_return_date]]&gt;ReconciliationData[[#This Row],[Order_Date]]+60),1,0)</f>
        <v>0</v>
      </c>
      <c r="V1752">
        <f>IF(ReconciliationData[[#This Row],[total_returned_units]]&gt;ReconciliationData[[#This Row],[ordered_units]],1,0)</f>
        <v>0</v>
      </c>
      <c r="W17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752">
        <f>ReconciliationData[[#This Row],[Billed_Units]]*ReconciliationData[[#This Row],[Billed_Price]]</f>
        <v>10665.735649707873</v>
      </c>
      <c r="Y1752">
        <f>ReconciliationData[[#This Row],[ordered_units]]*ReconciliationData[[#This Row],[List_Price]]</f>
        <v>10657.722000000002</v>
      </c>
      <c r="Z1752">
        <f>ReconciliationData[[#This Row],[billed_revenue]]-ReconciliationData[[#This Row],[expected_revenue]]</f>
        <v>8.0136497078710818</v>
      </c>
      <c r="AA17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752" t="str">
        <f>IF(ReconciliationData[[#This Row],[severity_score]]=0,"LOW",
 IF(ReconciliationData[[#This Row],[severity_score]]&lt;=5,"MEDIUM","HIGH"))</f>
        <v>MEDIUM</v>
      </c>
      <c r="AC1752" t="str">
        <f>TEXT(ReconciliationData[[#This Row],[Order_Date]],"YYYY-MM")</f>
        <v>2024-08</v>
      </c>
    </row>
    <row r="1753" spans="1:29">
      <c r="A1753" t="s">
        <v>4649</v>
      </c>
      <c r="B1753" s="1">
        <v>45054</v>
      </c>
      <c r="C1753" t="s">
        <v>1591</v>
      </c>
      <c r="D1753" t="s">
        <v>1470</v>
      </c>
      <c r="E1753">
        <v>149</v>
      </c>
      <c r="F1753" t="s">
        <v>4650</v>
      </c>
      <c r="G1753">
        <v>149</v>
      </c>
      <c r="H1753">
        <v>690.05370000000005</v>
      </c>
      <c r="N1753">
        <v>690.05370000000005</v>
      </c>
      <c r="O1753" s="1">
        <v>44976</v>
      </c>
      <c r="P1753">
        <f>IF(ISBLANK(ReconciliationData[[#This Row],[Invoice_ID]]),1,0)</f>
        <v>0</v>
      </c>
      <c r="Q1753">
        <f>IF(AND(NOT(ISBLANK(ReconciliationData[[#This Row],[Billed_Units]])),ReconciliationData[[#This Row],[ordered_units]]&lt;&gt;ReconciliationData[[#This Row],[Billed_Units]]),1,0)</f>
        <v>0</v>
      </c>
      <c r="R17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53">
        <f>IF(AND(NOT(ISBLANK(ReconciliationData[[#This Row],[Contract_Price]])),ReconciliationData[[#This Row],[Billed_Price]]&lt;&gt;ReconciliationData[[#This Row],[Contract_Price]]),1,0)</f>
        <v>0</v>
      </c>
      <c r="T1753">
        <f>IF(AND(NOT(ISBLANK(ReconciliationData[[#This Row],[End_Date]])),ReconciliationData[[#This Row],[Order_Date]]&gt;ReconciliationData[[#This Row],[End_Date]]),1,0)</f>
        <v>0</v>
      </c>
      <c r="U1753">
        <f>IF(AND(NOT(ISBLANK(ReconciliationData[[#This Row],[last_return_date]])),ReconciliationData[[#This Row],[last_return_date]]&gt;ReconciliationData[[#This Row],[Order_Date]]+60),1,0)</f>
        <v>0</v>
      </c>
      <c r="V1753">
        <f>IF(ReconciliationData[[#This Row],[total_returned_units]]&gt;ReconciliationData[[#This Row],[ordered_units]],1,0)</f>
        <v>0</v>
      </c>
      <c r="W17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53">
        <f>ReconciliationData[[#This Row],[Billed_Units]]*ReconciliationData[[#This Row],[Billed_Price]]</f>
        <v>102818.0013</v>
      </c>
      <c r="Y1753">
        <f>ReconciliationData[[#This Row],[ordered_units]]*ReconciliationData[[#This Row],[List_Price]]</f>
        <v>102818.0013</v>
      </c>
      <c r="Z1753">
        <f>ReconciliationData[[#This Row],[billed_revenue]]-ReconciliationData[[#This Row],[expected_revenue]]</f>
        <v>0</v>
      </c>
      <c r="AA17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53" t="str">
        <f>IF(ReconciliationData[[#This Row],[severity_score]]=0,"LOW",
 IF(ReconciliationData[[#This Row],[severity_score]]&lt;=5,"MEDIUM","HIGH"))</f>
        <v>LOW</v>
      </c>
      <c r="AC1753" t="str">
        <f>TEXT(ReconciliationData[[#This Row],[Order_Date]],"YYYY-MM")</f>
        <v>2023-05</v>
      </c>
    </row>
    <row r="1754" spans="1:29">
      <c r="A1754" t="s">
        <v>4651</v>
      </c>
      <c r="B1754" s="1">
        <v>44927</v>
      </c>
      <c r="C1754" t="s">
        <v>1288</v>
      </c>
      <c r="D1754" t="s">
        <v>694</v>
      </c>
      <c r="E1754">
        <v>12</v>
      </c>
      <c r="F1754" t="s">
        <v>4652</v>
      </c>
      <c r="G1754">
        <v>12</v>
      </c>
      <c r="H1754">
        <v>650.25</v>
      </c>
      <c r="N1754">
        <v>650.25</v>
      </c>
      <c r="O1754" s="1">
        <v>44878</v>
      </c>
      <c r="P1754">
        <f>IF(ISBLANK(ReconciliationData[[#This Row],[Invoice_ID]]),1,0)</f>
        <v>0</v>
      </c>
      <c r="Q1754">
        <f>IF(AND(NOT(ISBLANK(ReconciliationData[[#This Row],[Billed_Units]])),ReconciliationData[[#This Row],[ordered_units]]&lt;&gt;ReconciliationData[[#This Row],[Billed_Units]]),1,0)</f>
        <v>0</v>
      </c>
      <c r="R17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54">
        <f>IF(AND(NOT(ISBLANK(ReconciliationData[[#This Row],[Contract_Price]])),ReconciliationData[[#This Row],[Billed_Price]]&lt;&gt;ReconciliationData[[#This Row],[Contract_Price]]),1,0)</f>
        <v>0</v>
      </c>
      <c r="T1754">
        <f>IF(AND(NOT(ISBLANK(ReconciliationData[[#This Row],[End_Date]])),ReconciliationData[[#This Row],[Order_Date]]&gt;ReconciliationData[[#This Row],[End_Date]]),1,0)</f>
        <v>0</v>
      </c>
      <c r="U1754">
        <f>IF(AND(NOT(ISBLANK(ReconciliationData[[#This Row],[last_return_date]])),ReconciliationData[[#This Row],[last_return_date]]&gt;ReconciliationData[[#This Row],[Order_Date]]+60),1,0)</f>
        <v>0</v>
      </c>
      <c r="V1754">
        <f>IF(ReconciliationData[[#This Row],[total_returned_units]]&gt;ReconciliationData[[#This Row],[ordered_units]],1,0)</f>
        <v>0</v>
      </c>
      <c r="W17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54">
        <f>ReconciliationData[[#This Row],[Billed_Units]]*ReconciliationData[[#This Row],[Billed_Price]]</f>
        <v>7803</v>
      </c>
      <c r="Y1754">
        <f>ReconciliationData[[#This Row],[ordered_units]]*ReconciliationData[[#This Row],[List_Price]]</f>
        <v>7803</v>
      </c>
      <c r="Z1754">
        <f>ReconciliationData[[#This Row],[billed_revenue]]-ReconciliationData[[#This Row],[expected_revenue]]</f>
        <v>0</v>
      </c>
      <c r="AA17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54" t="str">
        <f>IF(ReconciliationData[[#This Row],[severity_score]]=0,"LOW",
 IF(ReconciliationData[[#This Row],[severity_score]]&lt;=5,"MEDIUM","HIGH"))</f>
        <v>LOW</v>
      </c>
      <c r="AC1754" t="str">
        <f>TEXT(ReconciliationData[[#This Row],[Order_Date]],"YYYY-MM")</f>
        <v>2023-01</v>
      </c>
    </row>
    <row r="1755" spans="1:29">
      <c r="A1755" t="s">
        <v>4653</v>
      </c>
      <c r="B1755" s="1">
        <v>45260</v>
      </c>
      <c r="C1755" t="s">
        <v>4654</v>
      </c>
      <c r="D1755" t="s">
        <v>916</v>
      </c>
      <c r="E1755">
        <v>141</v>
      </c>
      <c r="F1755" t="s">
        <v>4655</v>
      </c>
      <c r="G1755">
        <v>141</v>
      </c>
      <c r="H1755">
        <v>1158.2643</v>
      </c>
      <c r="N1755">
        <v>1158.2643</v>
      </c>
      <c r="O1755" s="1">
        <v>45119</v>
      </c>
      <c r="P1755">
        <f>IF(ISBLANK(ReconciliationData[[#This Row],[Invoice_ID]]),1,0)</f>
        <v>0</v>
      </c>
      <c r="Q1755">
        <f>IF(AND(NOT(ISBLANK(ReconciliationData[[#This Row],[Billed_Units]])),ReconciliationData[[#This Row],[ordered_units]]&lt;&gt;ReconciliationData[[#This Row],[Billed_Units]]),1,0)</f>
        <v>0</v>
      </c>
      <c r="R17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55">
        <f>IF(AND(NOT(ISBLANK(ReconciliationData[[#This Row],[Contract_Price]])),ReconciliationData[[#This Row],[Billed_Price]]&lt;&gt;ReconciliationData[[#This Row],[Contract_Price]]),1,0)</f>
        <v>0</v>
      </c>
      <c r="T1755">
        <f>IF(AND(NOT(ISBLANK(ReconciliationData[[#This Row],[End_Date]])),ReconciliationData[[#This Row],[Order_Date]]&gt;ReconciliationData[[#This Row],[End_Date]]),1,0)</f>
        <v>0</v>
      </c>
      <c r="U1755">
        <f>IF(AND(NOT(ISBLANK(ReconciliationData[[#This Row],[last_return_date]])),ReconciliationData[[#This Row],[last_return_date]]&gt;ReconciliationData[[#This Row],[Order_Date]]+60),1,0)</f>
        <v>0</v>
      </c>
      <c r="V1755">
        <f>IF(ReconciliationData[[#This Row],[total_returned_units]]&gt;ReconciliationData[[#This Row],[ordered_units]],1,0)</f>
        <v>0</v>
      </c>
      <c r="W17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55">
        <f>ReconciliationData[[#This Row],[Billed_Units]]*ReconciliationData[[#This Row],[Billed_Price]]</f>
        <v>163315.26630000002</v>
      </c>
      <c r="Y1755">
        <f>ReconciliationData[[#This Row],[ordered_units]]*ReconciliationData[[#This Row],[List_Price]]</f>
        <v>163315.26630000002</v>
      </c>
      <c r="Z1755">
        <f>ReconciliationData[[#This Row],[billed_revenue]]-ReconciliationData[[#This Row],[expected_revenue]]</f>
        <v>0</v>
      </c>
      <c r="AA17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55" t="str">
        <f>IF(ReconciliationData[[#This Row],[severity_score]]=0,"LOW",
 IF(ReconciliationData[[#This Row],[severity_score]]&lt;=5,"MEDIUM","HIGH"))</f>
        <v>LOW</v>
      </c>
      <c r="AC1755" t="str">
        <f>TEXT(ReconciliationData[[#This Row],[Order_Date]],"YYYY-MM")</f>
        <v>2023-11</v>
      </c>
    </row>
    <row r="1756" spans="1:29">
      <c r="A1756" t="s">
        <v>4656</v>
      </c>
      <c r="B1756" s="1">
        <v>44959</v>
      </c>
      <c r="C1756" t="s">
        <v>3443</v>
      </c>
      <c r="D1756" t="s">
        <v>585</v>
      </c>
      <c r="E1756">
        <v>108</v>
      </c>
      <c r="F1756" t="s">
        <v>4657</v>
      </c>
      <c r="G1756">
        <v>108</v>
      </c>
      <c r="H1756">
        <v>916.35</v>
      </c>
      <c r="N1756">
        <v>916.35</v>
      </c>
      <c r="O1756" s="1">
        <v>44616</v>
      </c>
      <c r="P1756">
        <f>IF(ISBLANK(ReconciliationData[[#This Row],[Invoice_ID]]),1,0)</f>
        <v>0</v>
      </c>
      <c r="Q1756">
        <f>IF(AND(NOT(ISBLANK(ReconciliationData[[#This Row],[Billed_Units]])),ReconciliationData[[#This Row],[ordered_units]]&lt;&gt;ReconciliationData[[#This Row],[Billed_Units]]),1,0)</f>
        <v>0</v>
      </c>
      <c r="R17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56">
        <f>IF(AND(NOT(ISBLANK(ReconciliationData[[#This Row],[Contract_Price]])),ReconciliationData[[#This Row],[Billed_Price]]&lt;&gt;ReconciliationData[[#This Row],[Contract_Price]]),1,0)</f>
        <v>0</v>
      </c>
      <c r="T1756">
        <f>IF(AND(NOT(ISBLANK(ReconciliationData[[#This Row],[End_Date]])),ReconciliationData[[#This Row],[Order_Date]]&gt;ReconciliationData[[#This Row],[End_Date]]),1,0)</f>
        <v>0</v>
      </c>
      <c r="U1756">
        <f>IF(AND(NOT(ISBLANK(ReconciliationData[[#This Row],[last_return_date]])),ReconciliationData[[#This Row],[last_return_date]]&gt;ReconciliationData[[#This Row],[Order_Date]]+60),1,0)</f>
        <v>0</v>
      </c>
      <c r="V1756">
        <f>IF(ReconciliationData[[#This Row],[total_returned_units]]&gt;ReconciliationData[[#This Row],[ordered_units]],1,0)</f>
        <v>0</v>
      </c>
      <c r="W17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56">
        <f>ReconciliationData[[#This Row],[Billed_Units]]*ReconciliationData[[#This Row],[Billed_Price]]</f>
        <v>98965.8</v>
      </c>
      <c r="Y1756">
        <f>ReconciliationData[[#This Row],[ordered_units]]*ReconciliationData[[#This Row],[List_Price]]</f>
        <v>98965.8</v>
      </c>
      <c r="Z1756">
        <f>ReconciliationData[[#This Row],[billed_revenue]]-ReconciliationData[[#This Row],[expected_revenue]]</f>
        <v>0</v>
      </c>
      <c r="AA17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56" t="str">
        <f>IF(ReconciliationData[[#This Row],[severity_score]]=0,"LOW",
 IF(ReconciliationData[[#This Row],[severity_score]]&lt;=5,"MEDIUM","HIGH"))</f>
        <v>LOW</v>
      </c>
      <c r="AC1756" t="str">
        <f>TEXT(ReconciliationData[[#This Row],[Order_Date]],"YYYY-MM")</f>
        <v>2023-02</v>
      </c>
    </row>
    <row r="1757" spans="1:29">
      <c r="A1757" t="s">
        <v>4658</v>
      </c>
      <c r="B1757" s="1">
        <v>45429</v>
      </c>
      <c r="C1757" t="s">
        <v>879</v>
      </c>
      <c r="D1757" t="s">
        <v>828</v>
      </c>
      <c r="E1757">
        <v>132</v>
      </c>
      <c r="F1757" t="s">
        <v>4659</v>
      </c>
      <c r="G1757">
        <v>132</v>
      </c>
      <c r="H1757">
        <v>893.8972</v>
      </c>
      <c r="N1757">
        <v>893.8972</v>
      </c>
      <c r="O1757" s="1">
        <v>45049</v>
      </c>
      <c r="P1757">
        <f>IF(ISBLANK(ReconciliationData[[#This Row],[Invoice_ID]]),1,0)</f>
        <v>0</v>
      </c>
      <c r="Q1757">
        <f>IF(AND(NOT(ISBLANK(ReconciliationData[[#This Row],[Billed_Units]])),ReconciliationData[[#This Row],[ordered_units]]&lt;&gt;ReconciliationData[[#This Row],[Billed_Units]]),1,0)</f>
        <v>0</v>
      </c>
      <c r="R17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57">
        <f>IF(AND(NOT(ISBLANK(ReconciliationData[[#This Row],[Contract_Price]])),ReconciliationData[[#This Row],[Billed_Price]]&lt;&gt;ReconciliationData[[#This Row],[Contract_Price]]),1,0)</f>
        <v>0</v>
      </c>
      <c r="T1757">
        <f>IF(AND(NOT(ISBLANK(ReconciliationData[[#This Row],[End_Date]])),ReconciliationData[[#This Row],[Order_Date]]&gt;ReconciliationData[[#This Row],[End_Date]]),1,0)</f>
        <v>0</v>
      </c>
      <c r="U1757">
        <f>IF(AND(NOT(ISBLANK(ReconciliationData[[#This Row],[last_return_date]])),ReconciliationData[[#This Row],[last_return_date]]&gt;ReconciliationData[[#This Row],[Order_Date]]+60),1,0)</f>
        <v>0</v>
      </c>
      <c r="V1757">
        <f>IF(ReconciliationData[[#This Row],[total_returned_units]]&gt;ReconciliationData[[#This Row],[ordered_units]],1,0)</f>
        <v>0</v>
      </c>
      <c r="W17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57">
        <f>ReconciliationData[[#This Row],[Billed_Units]]*ReconciliationData[[#This Row],[Billed_Price]]</f>
        <v>117994.4304</v>
      </c>
      <c r="Y1757">
        <f>ReconciliationData[[#This Row],[ordered_units]]*ReconciliationData[[#This Row],[List_Price]]</f>
        <v>117994.4304</v>
      </c>
      <c r="Z1757">
        <f>ReconciliationData[[#This Row],[billed_revenue]]-ReconciliationData[[#This Row],[expected_revenue]]</f>
        <v>0</v>
      </c>
      <c r="AA17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57" t="str">
        <f>IF(ReconciliationData[[#This Row],[severity_score]]=0,"LOW",
 IF(ReconciliationData[[#This Row],[severity_score]]&lt;=5,"MEDIUM","HIGH"))</f>
        <v>LOW</v>
      </c>
      <c r="AC1757" t="str">
        <f>TEXT(ReconciliationData[[#This Row],[Order_Date]],"YYYY-MM")</f>
        <v>2024-05</v>
      </c>
    </row>
    <row r="1758" spans="1:29">
      <c r="A1758" t="s">
        <v>4660</v>
      </c>
      <c r="B1758" s="1">
        <v>45530</v>
      </c>
      <c r="C1758" t="s">
        <v>205</v>
      </c>
      <c r="D1758" t="s">
        <v>533</v>
      </c>
      <c r="E1758">
        <v>91</v>
      </c>
      <c r="F1758" t="s">
        <v>4661</v>
      </c>
      <c r="G1758">
        <v>91</v>
      </c>
      <c r="H1758">
        <v>833.73500000000001</v>
      </c>
      <c r="N1758">
        <v>833.73500000000001</v>
      </c>
      <c r="O1758" s="1">
        <v>45167</v>
      </c>
      <c r="P1758">
        <f>IF(ISBLANK(ReconciliationData[[#This Row],[Invoice_ID]]),1,0)</f>
        <v>0</v>
      </c>
      <c r="Q1758">
        <f>IF(AND(NOT(ISBLANK(ReconciliationData[[#This Row],[Billed_Units]])),ReconciliationData[[#This Row],[ordered_units]]&lt;&gt;ReconciliationData[[#This Row],[Billed_Units]]),1,0)</f>
        <v>0</v>
      </c>
      <c r="R17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58">
        <f>IF(AND(NOT(ISBLANK(ReconciliationData[[#This Row],[Contract_Price]])),ReconciliationData[[#This Row],[Billed_Price]]&lt;&gt;ReconciliationData[[#This Row],[Contract_Price]]),1,0)</f>
        <v>0</v>
      </c>
      <c r="T1758">
        <f>IF(AND(NOT(ISBLANK(ReconciliationData[[#This Row],[End_Date]])),ReconciliationData[[#This Row],[Order_Date]]&gt;ReconciliationData[[#This Row],[End_Date]]),1,0)</f>
        <v>0</v>
      </c>
      <c r="U1758">
        <f>IF(AND(NOT(ISBLANK(ReconciliationData[[#This Row],[last_return_date]])),ReconciliationData[[#This Row],[last_return_date]]&gt;ReconciliationData[[#This Row],[Order_Date]]+60),1,0)</f>
        <v>0</v>
      </c>
      <c r="V1758">
        <f>IF(ReconciliationData[[#This Row],[total_returned_units]]&gt;ReconciliationData[[#This Row],[ordered_units]],1,0)</f>
        <v>0</v>
      </c>
      <c r="W17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58">
        <f>ReconciliationData[[#This Row],[Billed_Units]]*ReconciliationData[[#This Row],[Billed_Price]]</f>
        <v>75869.884999999995</v>
      </c>
      <c r="Y1758">
        <f>ReconciliationData[[#This Row],[ordered_units]]*ReconciliationData[[#This Row],[List_Price]]</f>
        <v>75869.884999999995</v>
      </c>
      <c r="Z1758">
        <f>ReconciliationData[[#This Row],[billed_revenue]]-ReconciliationData[[#This Row],[expected_revenue]]</f>
        <v>0</v>
      </c>
      <c r="AA17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58" t="str">
        <f>IF(ReconciliationData[[#This Row],[severity_score]]=0,"LOW",
 IF(ReconciliationData[[#This Row],[severity_score]]&lt;=5,"MEDIUM","HIGH"))</f>
        <v>LOW</v>
      </c>
      <c r="AC1758" t="str">
        <f>TEXT(ReconciliationData[[#This Row],[Order_Date]],"YYYY-MM")</f>
        <v>2024-08</v>
      </c>
    </row>
    <row r="1759" spans="1:29">
      <c r="A1759" t="s">
        <v>4662</v>
      </c>
      <c r="B1759" s="1">
        <v>45127</v>
      </c>
      <c r="C1759" t="s">
        <v>911</v>
      </c>
      <c r="D1759" t="s">
        <v>828</v>
      </c>
      <c r="E1759">
        <v>61</v>
      </c>
      <c r="F1759" t="s">
        <v>4663</v>
      </c>
      <c r="G1759">
        <v>61</v>
      </c>
      <c r="H1759">
        <v>893.8972</v>
      </c>
      <c r="N1759">
        <v>893.8972</v>
      </c>
      <c r="O1759" s="1">
        <v>45049</v>
      </c>
      <c r="P1759">
        <f>IF(ISBLANK(ReconciliationData[[#This Row],[Invoice_ID]]),1,0)</f>
        <v>0</v>
      </c>
      <c r="Q1759">
        <f>IF(AND(NOT(ISBLANK(ReconciliationData[[#This Row],[Billed_Units]])),ReconciliationData[[#This Row],[ordered_units]]&lt;&gt;ReconciliationData[[#This Row],[Billed_Units]]),1,0)</f>
        <v>0</v>
      </c>
      <c r="R17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59">
        <f>IF(AND(NOT(ISBLANK(ReconciliationData[[#This Row],[Contract_Price]])),ReconciliationData[[#This Row],[Billed_Price]]&lt;&gt;ReconciliationData[[#This Row],[Contract_Price]]),1,0)</f>
        <v>0</v>
      </c>
      <c r="T1759">
        <f>IF(AND(NOT(ISBLANK(ReconciliationData[[#This Row],[End_Date]])),ReconciliationData[[#This Row],[Order_Date]]&gt;ReconciliationData[[#This Row],[End_Date]]),1,0)</f>
        <v>0</v>
      </c>
      <c r="U1759">
        <f>IF(AND(NOT(ISBLANK(ReconciliationData[[#This Row],[last_return_date]])),ReconciliationData[[#This Row],[last_return_date]]&gt;ReconciliationData[[#This Row],[Order_Date]]+60),1,0)</f>
        <v>0</v>
      </c>
      <c r="V1759">
        <f>IF(ReconciliationData[[#This Row],[total_returned_units]]&gt;ReconciliationData[[#This Row],[ordered_units]],1,0)</f>
        <v>0</v>
      </c>
      <c r="W17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59">
        <f>ReconciliationData[[#This Row],[Billed_Units]]*ReconciliationData[[#This Row],[Billed_Price]]</f>
        <v>54527.729200000002</v>
      </c>
      <c r="Y1759">
        <f>ReconciliationData[[#This Row],[ordered_units]]*ReconciliationData[[#This Row],[List_Price]]</f>
        <v>54527.729200000002</v>
      </c>
      <c r="Z1759">
        <f>ReconciliationData[[#This Row],[billed_revenue]]-ReconciliationData[[#This Row],[expected_revenue]]</f>
        <v>0</v>
      </c>
      <c r="AA17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59" t="str">
        <f>IF(ReconciliationData[[#This Row],[severity_score]]=0,"LOW",
 IF(ReconciliationData[[#This Row],[severity_score]]&lt;=5,"MEDIUM","HIGH"))</f>
        <v>LOW</v>
      </c>
      <c r="AC1759" t="str">
        <f>TEXT(ReconciliationData[[#This Row],[Order_Date]],"YYYY-MM")</f>
        <v>2023-07</v>
      </c>
    </row>
    <row r="1760" spans="1:29">
      <c r="A1760" t="s">
        <v>4664</v>
      </c>
      <c r="B1760" s="1">
        <v>45170</v>
      </c>
      <c r="C1760" t="s">
        <v>1253</v>
      </c>
      <c r="D1760" t="s">
        <v>239</v>
      </c>
      <c r="E1760">
        <v>68</v>
      </c>
      <c r="F1760" t="s">
        <v>4665</v>
      </c>
      <c r="G1760">
        <v>68</v>
      </c>
      <c r="H1760">
        <v>1218.568</v>
      </c>
      <c r="N1760">
        <v>1218.568</v>
      </c>
      <c r="O1760" s="1">
        <v>45061</v>
      </c>
      <c r="P1760">
        <f>IF(ISBLANK(ReconciliationData[[#This Row],[Invoice_ID]]),1,0)</f>
        <v>0</v>
      </c>
      <c r="Q1760">
        <f>IF(AND(NOT(ISBLANK(ReconciliationData[[#This Row],[Billed_Units]])),ReconciliationData[[#This Row],[ordered_units]]&lt;&gt;ReconciliationData[[#This Row],[Billed_Units]]),1,0)</f>
        <v>0</v>
      </c>
      <c r="R17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60">
        <f>IF(AND(NOT(ISBLANK(ReconciliationData[[#This Row],[Contract_Price]])),ReconciliationData[[#This Row],[Billed_Price]]&lt;&gt;ReconciliationData[[#This Row],[Contract_Price]]),1,0)</f>
        <v>0</v>
      </c>
      <c r="T1760">
        <f>IF(AND(NOT(ISBLANK(ReconciliationData[[#This Row],[End_Date]])),ReconciliationData[[#This Row],[Order_Date]]&gt;ReconciliationData[[#This Row],[End_Date]]),1,0)</f>
        <v>0</v>
      </c>
      <c r="U1760">
        <f>IF(AND(NOT(ISBLANK(ReconciliationData[[#This Row],[last_return_date]])),ReconciliationData[[#This Row],[last_return_date]]&gt;ReconciliationData[[#This Row],[Order_Date]]+60),1,0)</f>
        <v>0</v>
      </c>
      <c r="V1760">
        <f>IF(ReconciliationData[[#This Row],[total_returned_units]]&gt;ReconciliationData[[#This Row],[ordered_units]],1,0)</f>
        <v>0</v>
      </c>
      <c r="W17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60">
        <f>ReconciliationData[[#This Row],[Billed_Units]]*ReconciliationData[[#This Row],[Billed_Price]]</f>
        <v>82862.623999999996</v>
      </c>
      <c r="Y1760">
        <f>ReconciliationData[[#This Row],[ordered_units]]*ReconciliationData[[#This Row],[List_Price]]</f>
        <v>82862.623999999996</v>
      </c>
      <c r="Z1760">
        <f>ReconciliationData[[#This Row],[billed_revenue]]-ReconciliationData[[#This Row],[expected_revenue]]</f>
        <v>0</v>
      </c>
      <c r="AA17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60" t="str">
        <f>IF(ReconciliationData[[#This Row],[severity_score]]=0,"LOW",
 IF(ReconciliationData[[#This Row],[severity_score]]&lt;=5,"MEDIUM","HIGH"))</f>
        <v>LOW</v>
      </c>
      <c r="AC1760" t="str">
        <f>TEXT(ReconciliationData[[#This Row],[Order_Date]],"YYYY-MM")</f>
        <v>2023-09</v>
      </c>
    </row>
    <row r="1761" spans="1:29">
      <c r="A1761" t="s">
        <v>4666</v>
      </c>
      <c r="B1761" s="1">
        <v>45560</v>
      </c>
      <c r="C1761" t="s">
        <v>2231</v>
      </c>
      <c r="D1761" t="s">
        <v>206</v>
      </c>
      <c r="E1761">
        <v>12</v>
      </c>
      <c r="F1761" t="s">
        <v>4667</v>
      </c>
      <c r="G1761">
        <v>12</v>
      </c>
      <c r="H1761">
        <v>337.47280000000001</v>
      </c>
      <c r="N1761">
        <v>337.47280000000001</v>
      </c>
      <c r="O1761" s="1">
        <v>45171</v>
      </c>
      <c r="P1761">
        <f>IF(ISBLANK(ReconciliationData[[#This Row],[Invoice_ID]]),1,0)</f>
        <v>0</v>
      </c>
      <c r="Q1761">
        <f>IF(AND(NOT(ISBLANK(ReconciliationData[[#This Row],[Billed_Units]])),ReconciliationData[[#This Row],[ordered_units]]&lt;&gt;ReconciliationData[[#This Row],[Billed_Units]]),1,0)</f>
        <v>0</v>
      </c>
      <c r="R17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61">
        <f>IF(AND(NOT(ISBLANK(ReconciliationData[[#This Row],[Contract_Price]])),ReconciliationData[[#This Row],[Billed_Price]]&lt;&gt;ReconciliationData[[#This Row],[Contract_Price]]),1,0)</f>
        <v>0</v>
      </c>
      <c r="T1761">
        <f>IF(AND(NOT(ISBLANK(ReconciliationData[[#This Row],[End_Date]])),ReconciliationData[[#This Row],[Order_Date]]&gt;ReconciliationData[[#This Row],[End_Date]]),1,0)</f>
        <v>0</v>
      </c>
      <c r="U1761">
        <f>IF(AND(NOT(ISBLANK(ReconciliationData[[#This Row],[last_return_date]])),ReconciliationData[[#This Row],[last_return_date]]&gt;ReconciliationData[[#This Row],[Order_Date]]+60),1,0)</f>
        <v>0</v>
      </c>
      <c r="V1761">
        <f>IF(ReconciliationData[[#This Row],[total_returned_units]]&gt;ReconciliationData[[#This Row],[ordered_units]],1,0)</f>
        <v>0</v>
      </c>
      <c r="W17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61">
        <f>ReconciliationData[[#This Row],[Billed_Units]]*ReconciliationData[[#This Row],[Billed_Price]]</f>
        <v>4049.6736000000001</v>
      </c>
      <c r="Y1761">
        <f>ReconciliationData[[#This Row],[ordered_units]]*ReconciliationData[[#This Row],[List_Price]]</f>
        <v>4049.6736000000001</v>
      </c>
      <c r="Z1761">
        <f>ReconciliationData[[#This Row],[billed_revenue]]-ReconciliationData[[#This Row],[expected_revenue]]</f>
        <v>0</v>
      </c>
      <c r="AA17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61" t="str">
        <f>IF(ReconciliationData[[#This Row],[severity_score]]=0,"LOW",
 IF(ReconciliationData[[#This Row],[severity_score]]&lt;=5,"MEDIUM","HIGH"))</f>
        <v>LOW</v>
      </c>
      <c r="AC1761" t="str">
        <f>TEXT(ReconciliationData[[#This Row],[Order_Date]],"YYYY-MM")</f>
        <v>2024-09</v>
      </c>
    </row>
    <row r="1762" spans="1:29">
      <c r="A1762" t="s">
        <v>4668</v>
      </c>
      <c r="B1762" s="1">
        <v>45079</v>
      </c>
      <c r="C1762" t="s">
        <v>396</v>
      </c>
      <c r="D1762" t="s">
        <v>1245</v>
      </c>
      <c r="E1762">
        <v>95</v>
      </c>
      <c r="F1762" t="s">
        <v>4669</v>
      </c>
      <c r="G1762">
        <v>95</v>
      </c>
      <c r="H1762">
        <v>255.06540000000001</v>
      </c>
      <c r="N1762">
        <v>255.06540000000001</v>
      </c>
      <c r="O1762" s="1">
        <v>44978</v>
      </c>
      <c r="P1762">
        <f>IF(ISBLANK(ReconciliationData[[#This Row],[Invoice_ID]]),1,0)</f>
        <v>0</v>
      </c>
      <c r="Q1762">
        <f>IF(AND(NOT(ISBLANK(ReconciliationData[[#This Row],[Billed_Units]])),ReconciliationData[[#This Row],[ordered_units]]&lt;&gt;ReconciliationData[[#This Row],[Billed_Units]]),1,0)</f>
        <v>0</v>
      </c>
      <c r="R17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62">
        <f>IF(AND(NOT(ISBLANK(ReconciliationData[[#This Row],[Contract_Price]])),ReconciliationData[[#This Row],[Billed_Price]]&lt;&gt;ReconciliationData[[#This Row],[Contract_Price]]),1,0)</f>
        <v>0</v>
      </c>
      <c r="T1762">
        <f>IF(AND(NOT(ISBLANK(ReconciliationData[[#This Row],[End_Date]])),ReconciliationData[[#This Row],[Order_Date]]&gt;ReconciliationData[[#This Row],[End_Date]]),1,0)</f>
        <v>0</v>
      </c>
      <c r="U1762">
        <f>IF(AND(NOT(ISBLANK(ReconciliationData[[#This Row],[last_return_date]])),ReconciliationData[[#This Row],[last_return_date]]&gt;ReconciliationData[[#This Row],[Order_Date]]+60),1,0)</f>
        <v>0</v>
      </c>
      <c r="V1762">
        <f>IF(ReconciliationData[[#This Row],[total_returned_units]]&gt;ReconciliationData[[#This Row],[ordered_units]],1,0)</f>
        <v>0</v>
      </c>
      <c r="W17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62">
        <f>ReconciliationData[[#This Row],[Billed_Units]]*ReconciliationData[[#This Row],[Billed_Price]]</f>
        <v>24231.213</v>
      </c>
      <c r="Y1762">
        <f>ReconciliationData[[#This Row],[ordered_units]]*ReconciliationData[[#This Row],[List_Price]]</f>
        <v>24231.213</v>
      </c>
      <c r="Z1762">
        <f>ReconciliationData[[#This Row],[billed_revenue]]-ReconciliationData[[#This Row],[expected_revenue]]</f>
        <v>0</v>
      </c>
      <c r="AA17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62" t="str">
        <f>IF(ReconciliationData[[#This Row],[severity_score]]=0,"LOW",
 IF(ReconciliationData[[#This Row],[severity_score]]&lt;=5,"MEDIUM","HIGH"))</f>
        <v>LOW</v>
      </c>
      <c r="AC1762" t="str">
        <f>TEXT(ReconciliationData[[#This Row],[Order_Date]],"YYYY-MM")</f>
        <v>2023-06</v>
      </c>
    </row>
    <row r="1763" spans="1:29">
      <c r="A1763" t="s">
        <v>4670</v>
      </c>
      <c r="B1763" s="1">
        <v>45561</v>
      </c>
      <c r="C1763" t="s">
        <v>1524</v>
      </c>
      <c r="D1763" t="s">
        <v>1382</v>
      </c>
      <c r="E1763">
        <v>67</v>
      </c>
      <c r="F1763" t="s">
        <v>4671</v>
      </c>
      <c r="G1763">
        <v>67</v>
      </c>
      <c r="H1763">
        <v>82.026000000000025</v>
      </c>
      <c r="N1763">
        <v>82.026000000000025</v>
      </c>
      <c r="O1763" s="1">
        <v>45061</v>
      </c>
      <c r="P1763">
        <f>IF(ISBLANK(ReconciliationData[[#This Row],[Invoice_ID]]),1,0)</f>
        <v>0</v>
      </c>
      <c r="Q1763">
        <f>IF(AND(NOT(ISBLANK(ReconciliationData[[#This Row],[Billed_Units]])),ReconciliationData[[#This Row],[ordered_units]]&lt;&gt;ReconciliationData[[#This Row],[Billed_Units]]),1,0)</f>
        <v>0</v>
      </c>
      <c r="R17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63">
        <f>IF(AND(NOT(ISBLANK(ReconciliationData[[#This Row],[Contract_Price]])),ReconciliationData[[#This Row],[Billed_Price]]&lt;&gt;ReconciliationData[[#This Row],[Contract_Price]]),1,0)</f>
        <v>0</v>
      </c>
      <c r="T1763">
        <f>IF(AND(NOT(ISBLANK(ReconciliationData[[#This Row],[End_Date]])),ReconciliationData[[#This Row],[Order_Date]]&gt;ReconciliationData[[#This Row],[End_Date]]),1,0)</f>
        <v>0</v>
      </c>
      <c r="U1763">
        <f>IF(AND(NOT(ISBLANK(ReconciliationData[[#This Row],[last_return_date]])),ReconciliationData[[#This Row],[last_return_date]]&gt;ReconciliationData[[#This Row],[Order_Date]]+60),1,0)</f>
        <v>0</v>
      </c>
      <c r="V1763">
        <f>IF(ReconciliationData[[#This Row],[total_returned_units]]&gt;ReconciliationData[[#This Row],[ordered_units]],1,0)</f>
        <v>0</v>
      </c>
      <c r="W17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63">
        <f>ReconciliationData[[#This Row],[Billed_Units]]*ReconciliationData[[#This Row],[Billed_Price]]</f>
        <v>5495.742000000002</v>
      </c>
      <c r="Y1763">
        <f>ReconciliationData[[#This Row],[ordered_units]]*ReconciliationData[[#This Row],[List_Price]]</f>
        <v>5495.742000000002</v>
      </c>
      <c r="Z1763">
        <f>ReconciliationData[[#This Row],[billed_revenue]]-ReconciliationData[[#This Row],[expected_revenue]]</f>
        <v>0</v>
      </c>
      <c r="AA17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63" t="str">
        <f>IF(ReconciliationData[[#This Row],[severity_score]]=0,"LOW",
 IF(ReconciliationData[[#This Row],[severity_score]]&lt;=5,"MEDIUM","HIGH"))</f>
        <v>LOW</v>
      </c>
      <c r="AC1763" t="str">
        <f>TEXT(ReconciliationData[[#This Row],[Order_Date]],"YYYY-MM")</f>
        <v>2024-09</v>
      </c>
    </row>
    <row r="1764" spans="1:29">
      <c r="A1764" t="s">
        <v>4672</v>
      </c>
      <c r="B1764" s="1">
        <v>45163</v>
      </c>
      <c r="C1764" t="s">
        <v>1781</v>
      </c>
      <c r="D1764" t="s">
        <v>1424</v>
      </c>
      <c r="E1764">
        <v>113</v>
      </c>
      <c r="F1764" t="s">
        <v>4673</v>
      </c>
      <c r="G1764">
        <v>113</v>
      </c>
      <c r="H1764">
        <v>174.32480000000001</v>
      </c>
      <c r="N1764">
        <v>174.32480000000001</v>
      </c>
      <c r="O1764" s="1">
        <v>45142</v>
      </c>
      <c r="P1764">
        <f>IF(ISBLANK(ReconciliationData[[#This Row],[Invoice_ID]]),1,0)</f>
        <v>0</v>
      </c>
      <c r="Q1764">
        <f>IF(AND(NOT(ISBLANK(ReconciliationData[[#This Row],[Billed_Units]])),ReconciliationData[[#This Row],[ordered_units]]&lt;&gt;ReconciliationData[[#This Row],[Billed_Units]]),1,0)</f>
        <v>0</v>
      </c>
      <c r="R17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64">
        <f>IF(AND(NOT(ISBLANK(ReconciliationData[[#This Row],[Contract_Price]])),ReconciliationData[[#This Row],[Billed_Price]]&lt;&gt;ReconciliationData[[#This Row],[Contract_Price]]),1,0)</f>
        <v>0</v>
      </c>
      <c r="T1764">
        <f>IF(AND(NOT(ISBLANK(ReconciliationData[[#This Row],[End_Date]])),ReconciliationData[[#This Row],[Order_Date]]&gt;ReconciliationData[[#This Row],[End_Date]]),1,0)</f>
        <v>0</v>
      </c>
      <c r="U1764">
        <f>IF(AND(NOT(ISBLANK(ReconciliationData[[#This Row],[last_return_date]])),ReconciliationData[[#This Row],[last_return_date]]&gt;ReconciliationData[[#This Row],[Order_Date]]+60),1,0)</f>
        <v>0</v>
      </c>
      <c r="V1764">
        <f>IF(ReconciliationData[[#This Row],[total_returned_units]]&gt;ReconciliationData[[#This Row],[ordered_units]],1,0)</f>
        <v>0</v>
      </c>
      <c r="W17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64">
        <f>ReconciliationData[[#This Row],[Billed_Units]]*ReconciliationData[[#This Row],[Billed_Price]]</f>
        <v>19698.702400000002</v>
      </c>
      <c r="Y1764">
        <f>ReconciliationData[[#This Row],[ordered_units]]*ReconciliationData[[#This Row],[List_Price]]</f>
        <v>19698.702400000002</v>
      </c>
      <c r="Z1764">
        <f>ReconciliationData[[#This Row],[billed_revenue]]-ReconciliationData[[#This Row],[expected_revenue]]</f>
        <v>0</v>
      </c>
      <c r="AA17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64" t="str">
        <f>IF(ReconciliationData[[#This Row],[severity_score]]=0,"LOW",
 IF(ReconciliationData[[#This Row],[severity_score]]&lt;=5,"MEDIUM","HIGH"))</f>
        <v>LOW</v>
      </c>
      <c r="AC1764" t="str">
        <f>TEXT(ReconciliationData[[#This Row],[Order_Date]],"YYYY-MM")</f>
        <v>2023-08</v>
      </c>
    </row>
    <row r="1765" spans="1:29">
      <c r="A1765" t="s">
        <v>4674</v>
      </c>
      <c r="B1765" s="1">
        <v>45239</v>
      </c>
      <c r="C1765" t="s">
        <v>359</v>
      </c>
      <c r="D1765" t="s">
        <v>529</v>
      </c>
      <c r="E1765">
        <v>63</v>
      </c>
      <c r="F1765" t="s">
        <v>4675</v>
      </c>
      <c r="G1765">
        <v>63</v>
      </c>
      <c r="H1765">
        <v>560.93099147722182</v>
      </c>
      <c r="N1765">
        <v>560.37830000000008</v>
      </c>
      <c r="O1765" s="1">
        <v>45089</v>
      </c>
      <c r="P1765">
        <f>IF(ISBLANK(ReconciliationData[[#This Row],[Invoice_ID]]),1,0)</f>
        <v>0</v>
      </c>
      <c r="Q1765">
        <f>IF(AND(NOT(ISBLANK(ReconciliationData[[#This Row],[Billed_Units]])),ReconciliationData[[#This Row],[ordered_units]]&lt;&gt;ReconciliationData[[#This Row],[Billed_Units]]),1,0)</f>
        <v>0</v>
      </c>
      <c r="R176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765">
        <f>IF(AND(NOT(ISBLANK(ReconciliationData[[#This Row],[Contract_Price]])),ReconciliationData[[#This Row],[Billed_Price]]&lt;&gt;ReconciliationData[[#This Row],[Contract_Price]]),1,0)</f>
        <v>0</v>
      </c>
      <c r="T1765">
        <f>IF(AND(NOT(ISBLANK(ReconciliationData[[#This Row],[End_Date]])),ReconciliationData[[#This Row],[Order_Date]]&gt;ReconciliationData[[#This Row],[End_Date]]),1,0)</f>
        <v>0</v>
      </c>
      <c r="U1765">
        <f>IF(AND(NOT(ISBLANK(ReconciliationData[[#This Row],[last_return_date]])),ReconciliationData[[#This Row],[last_return_date]]&gt;ReconciliationData[[#This Row],[Order_Date]]+60),1,0)</f>
        <v>0</v>
      </c>
      <c r="V1765">
        <f>IF(ReconciliationData[[#This Row],[total_returned_units]]&gt;ReconciliationData[[#This Row],[ordered_units]],1,0)</f>
        <v>0</v>
      </c>
      <c r="W17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765">
        <f>ReconciliationData[[#This Row],[Billed_Units]]*ReconciliationData[[#This Row],[Billed_Price]]</f>
        <v>35338.652463064973</v>
      </c>
      <c r="Y1765">
        <f>ReconciliationData[[#This Row],[ordered_units]]*ReconciliationData[[#This Row],[List_Price]]</f>
        <v>35303.832900000009</v>
      </c>
      <c r="Z1765">
        <f>ReconciliationData[[#This Row],[billed_revenue]]-ReconciliationData[[#This Row],[expected_revenue]]</f>
        <v>34.819563064964314</v>
      </c>
      <c r="AA17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765" t="str">
        <f>IF(ReconciliationData[[#This Row],[severity_score]]=0,"LOW",
 IF(ReconciliationData[[#This Row],[severity_score]]&lt;=5,"MEDIUM","HIGH"))</f>
        <v>MEDIUM</v>
      </c>
      <c r="AC1765" t="str">
        <f>TEXT(ReconciliationData[[#This Row],[Order_Date]],"YYYY-MM")</f>
        <v>2023-11</v>
      </c>
    </row>
    <row r="1766" spans="1:29">
      <c r="A1766" t="s">
        <v>4676</v>
      </c>
      <c r="B1766" s="1">
        <v>45208</v>
      </c>
      <c r="C1766" t="s">
        <v>933</v>
      </c>
      <c r="D1766" t="s">
        <v>738</v>
      </c>
      <c r="E1766">
        <v>1</v>
      </c>
      <c r="F1766" t="s">
        <v>4677</v>
      </c>
      <c r="G1766">
        <v>1</v>
      </c>
      <c r="H1766">
        <v>664.8768</v>
      </c>
      <c r="N1766">
        <v>664.8768</v>
      </c>
      <c r="O1766" s="1">
        <v>45116</v>
      </c>
      <c r="P1766">
        <f>IF(ISBLANK(ReconciliationData[[#This Row],[Invoice_ID]]),1,0)</f>
        <v>0</v>
      </c>
      <c r="Q1766">
        <f>IF(AND(NOT(ISBLANK(ReconciliationData[[#This Row],[Billed_Units]])),ReconciliationData[[#This Row],[ordered_units]]&lt;&gt;ReconciliationData[[#This Row],[Billed_Units]]),1,0)</f>
        <v>0</v>
      </c>
      <c r="R17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66">
        <f>IF(AND(NOT(ISBLANK(ReconciliationData[[#This Row],[Contract_Price]])),ReconciliationData[[#This Row],[Billed_Price]]&lt;&gt;ReconciliationData[[#This Row],[Contract_Price]]),1,0)</f>
        <v>0</v>
      </c>
      <c r="T1766">
        <f>IF(AND(NOT(ISBLANK(ReconciliationData[[#This Row],[End_Date]])),ReconciliationData[[#This Row],[Order_Date]]&gt;ReconciliationData[[#This Row],[End_Date]]),1,0)</f>
        <v>0</v>
      </c>
      <c r="U1766">
        <f>IF(AND(NOT(ISBLANK(ReconciliationData[[#This Row],[last_return_date]])),ReconciliationData[[#This Row],[last_return_date]]&gt;ReconciliationData[[#This Row],[Order_Date]]+60),1,0)</f>
        <v>0</v>
      </c>
      <c r="V1766">
        <f>IF(ReconciliationData[[#This Row],[total_returned_units]]&gt;ReconciliationData[[#This Row],[ordered_units]],1,0)</f>
        <v>0</v>
      </c>
      <c r="W17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66">
        <f>ReconciliationData[[#This Row],[Billed_Units]]*ReconciliationData[[#This Row],[Billed_Price]]</f>
        <v>664.8768</v>
      </c>
      <c r="Y1766">
        <f>ReconciliationData[[#This Row],[ordered_units]]*ReconciliationData[[#This Row],[List_Price]]</f>
        <v>664.8768</v>
      </c>
      <c r="Z1766">
        <f>ReconciliationData[[#This Row],[billed_revenue]]-ReconciliationData[[#This Row],[expected_revenue]]</f>
        <v>0</v>
      </c>
      <c r="AA17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66" t="str">
        <f>IF(ReconciliationData[[#This Row],[severity_score]]=0,"LOW",
 IF(ReconciliationData[[#This Row],[severity_score]]&lt;=5,"MEDIUM","HIGH"))</f>
        <v>LOW</v>
      </c>
      <c r="AC1766" t="str">
        <f>TEXT(ReconciliationData[[#This Row],[Order_Date]],"YYYY-MM")</f>
        <v>2023-10</v>
      </c>
    </row>
    <row r="1767" spans="1:29">
      <c r="A1767" t="s">
        <v>4678</v>
      </c>
      <c r="B1767" s="1">
        <v>45358</v>
      </c>
      <c r="C1767" t="s">
        <v>835</v>
      </c>
      <c r="D1767" t="s">
        <v>585</v>
      </c>
      <c r="E1767">
        <v>67</v>
      </c>
      <c r="F1767" t="s">
        <v>4679</v>
      </c>
      <c r="G1767">
        <v>67</v>
      </c>
      <c r="H1767">
        <v>898.02300000000002</v>
      </c>
      <c r="N1767">
        <v>898.02300000000002</v>
      </c>
      <c r="O1767" s="1">
        <v>45026</v>
      </c>
      <c r="P1767">
        <f>IF(ISBLANK(ReconciliationData[[#This Row],[Invoice_ID]]),1,0)</f>
        <v>0</v>
      </c>
      <c r="Q1767">
        <f>IF(AND(NOT(ISBLANK(ReconciliationData[[#This Row],[Billed_Units]])),ReconciliationData[[#This Row],[ordered_units]]&lt;&gt;ReconciliationData[[#This Row],[Billed_Units]]),1,0)</f>
        <v>0</v>
      </c>
      <c r="R17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67">
        <f>IF(AND(NOT(ISBLANK(ReconciliationData[[#This Row],[Contract_Price]])),ReconciliationData[[#This Row],[Billed_Price]]&lt;&gt;ReconciliationData[[#This Row],[Contract_Price]]),1,0)</f>
        <v>0</v>
      </c>
      <c r="T1767">
        <f>IF(AND(NOT(ISBLANK(ReconciliationData[[#This Row],[End_Date]])),ReconciliationData[[#This Row],[Order_Date]]&gt;ReconciliationData[[#This Row],[End_Date]]),1,0)</f>
        <v>0</v>
      </c>
      <c r="U1767">
        <f>IF(AND(NOT(ISBLANK(ReconciliationData[[#This Row],[last_return_date]])),ReconciliationData[[#This Row],[last_return_date]]&gt;ReconciliationData[[#This Row],[Order_Date]]+60),1,0)</f>
        <v>0</v>
      </c>
      <c r="V1767">
        <f>IF(ReconciliationData[[#This Row],[total_returned_units]]&gt;ReconciliationData[[#This Row],[ordered_units]],1,0)</f>
        <v>0</v>
      </c>
      <c r="W17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67">
        <f>ReconciliationData[[#This Row],[Billed_Units]]*ReconciliationData[[#This Row],[Billed_Price]]</f>
        <v>60167.541000000005</v>
      </c>
      <c r="Y1767">
        <f>ReconciliationData[[#This Row],[ordered_units]]*ReconciliationData[[#This Row],[List_Price]]</f>
        <v>60167.541000000005</v>
      </c>
      <c r="Z1767">
        <f>ReconciliationData[[#This Row],[billed_revenue]]-ReconciliationData[[#This Row],[expected_revenue]]</f>
        <v>0</v>
      </c>
      <c r="AA17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67" t="str">
        <f>IF(ReconciliationData[[#This Row],[severity_score]]=0,"LOW",
 IF(ReconciliationData[[#This Row],[severity_score]]&lt;=5,"MEDIUM","HIGH"))</f>
        <v>LOW</v>
      </c>
      <c r="AC1767" t="str">
        <f>TEXT(ReconciliationData[[#This Row],[Order_Date]],"YYYY-MM")</f>
        <v>2024-03</v>
      </c>
    </row>
    <row r="1768" spans="1:29">
      <c r="A1768" t="s">
        <v>4680</v>
      </c>
      <c r="B1768" s="1">
        <v>45439</v>
      </c>
      <c r="C1768" t="s">
        <v>2451</v>
      </c>
      <c r="D1768" t="s">
        <v>1869</v>
      </c>
      <c r="E1768">
        <v>192</v>
      </c>
      <c r="F1768" t="s">
        <v>4681</v>
      </c>
      <c r="G1768">
        <v>192</v>
      </c>
      <c r="H1768">
        <v>75.504800000000003</v>
      </c>
      <c r="N1768">
        <v>75.504800000000003</v>
      </c>
      <c r="O1768" s="1">
        <v>45080</v>
      </c>
      <c r="P1768">
        <f>IF(ISBLANK(ReconciliationData[[#This Row],[Invoice_ID]]),1,0)</f>
        <v>0</v>
      </c>
      <c r="Q1768">
        <f>IF(AND(NOT(ISBLANK(ReconciliationData[[#This Row],[Billed_Units]])),ReconciliationData[[#This Row],[ordered_units]]&lt;&gt;ReconciliationData[[#This Row],[Billed_Units]]),1,0)</f>
        <v>0</v>
      </c>
      <c r="R17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68">
        <f>IF(AND(NOT(ISBLANK(ReconciliationData[[#This Row],[Contract_Price]])),ReconciliationData[[#This Row],[Billed_Price]]&lt;&gt;ReconciliationData[[#This Row],[Contract_Price]]),1,0)</f>
        <v>0</v>
      </c>
      <c r="T1768">
        <f>IF(AND(NOT(ISBLANK(ReconciliationData[[#This Row],[End_Date]])),ReconciliationData[[#This Row],[Order_Date]]&gt;ReconciliationData[[#This Row],[End_Date]]),1,0)</f>
        <v>0</v>
      </c>
      <c r="U1768">
        <f>IF(AND(NOT(ISBLANK(ReconciliationData[[#This Row],[last_return_date]])),ReconciliationData[[#This Row],[last_return_date]]&gt;ReconciliationData[[#This Row],[Order_Date]]+60),1,0)</f>
        <v>0</v>
      </c>
      <c r="V1768">
        <f>IF(ReconciliationData[[#This Row],[total_returned_units]]&gt;ReconciliationData[[#This Row],[ordered_units]],1,0)</f>
        <v>0</v>
      </c>
      <c r="W17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68">
        <f>ReconciliationData[[#This Row],[Billed_Units]]*ReconciliationData[[#This Row],[Billed_Price]]</f>
        <v>14496.921600000001</v>
      </c>
      <c r="Y1768">
        <f>ReconciliationData[[#This Row],[ordered_units]]*ReconciliationData[[#This Row],[List_Price]]</f>
        <v>14496.921600000001</v>
      </c>
      <c r="Z1768">
        <f>ReconciliationData[[#This Row],[billed_revenue]]-ReconciliationData[[#This Row],[expected_revenue]]</f>
        <v>0</v>
      </c>
      <c r="AA17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68" t="str">
        <f>IF(ReconciliationData[[#This Row],[severity_score]]=0,"LOW",
 IF(ReconciliationData[[#This Row],[severity_score]]&lt;=5,"MEDIUM","HIGH"))</f>
        <v>LOW</v>
      </c>
      <c r="AC1768" t="str">
        <f>TEXT(ReconciliationData[[#This Row],[Order_Date]],"YYYY-MM")</f>
        <v>2024-05</v>
      </c>
    </row>
    <row r="1769" spans="1:29">
      <c r="A1769" t="s">
        <v>4682</v>
      </c>
      <c r="B1769" s="1">
        <v>45323</v>
      </c>
      <c r="C1769" t="s">
        <v>763</v>
      </c>
      <c r="D1769" t="s">
        <v>1432</v>
      </c>
      <c r="E1769">
        <v>80</v>
      </c>
      <c r="F1769" t="s">
        <v>4683</v>
      </c>
      <c r="G1769">
        <v>80</v>
      </c>
      <c r="H1769">
        <v>828.36189999999999</v>
      </c>
      <c r="N1769">
        <v>828.36189999999999</v>
      </c>
      <c r="O1769" s="1">
        <v>45137</v>
      </c>
      <c r="P1769">
        <f>IF(ISBLANK(ReconciliationData[[#This Row],[Invoice_ID]]),1,0)</f>
        <v>0</v>
      </c>
      <c r="Q1769">
        <f>IF(AND(NOT(ISBLANK(ReconciliationData[[#This Row],[Billed_Units]])),ReconciliationData[[#This Row],[ordered_units]]&lt;&gt;ReconciliationData[[#This Row],[Billed_Units]]),1,0)</f>
        <v>0</v>
      </c>
      <c r="R17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69">
        <f>IF(AND(NOT(ISBLANK(ReconciliationData[[#This Row],[Contract_Price]])),ReconciliationData[[#This Row],[Billed_Price]]&lt;&gt;ReconciliationData[[#This Row],[Contract_Price]]),1,0)</f>
        <v>0</v>
      </c>
      <c r="T1769">
        <f>IF(AND(NOT(ISBLANK(ReconciliationData[[#This Row],[End_Date]])),ReconciliationData[[#This Row],[Order_Date]]&gt;ReconciliationData[[#This Row],[End_Date]]),1,0)</f>
        <v>0</v>
      </c>
      <c r="U1769">
        <f>IF(AND(NOT(ISBLANK(ReconciliationData[[#This Row],[last_return_date]])),ReconciliationData[[#This Row],[last_return_date]]&gt;ReconciliationData[[#This Row],[Order_Date]]+60),1,0)</f>
        <v>0</v>
      </c>
      <c r="V1769">
        <f>IF(ReconciliationData[[#This Row],[total_returned_units]]&gt;ReconciliationData[[#This Row],[ordered_units]],1,0)</f>
        <v>0</v>
      </c>
      <c r="W17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69">
        <f>ReconciliationData[[#This Row],[Billed_Units]]*ReconciliationData[[#This Row],[Billed_Price]]</f>
        <v>66268.952000000005</v>
      </c>
      <c r="Y1769">
        <f>ReconciliationData[[#This Row],[ordered_units]]*ReconciliationData[[#This Row],[List_Price]]</f>
        <v>66268.952000000005</v>
      </c>
      <c r="Z1769">
        <f>ReconciliationData[[#This Row],[billed_revenue]]-ReconciliationData[[#This Row],[expected_revenue]]</f>
        <v>0</v>
      </c>
      <c r="AA17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69" t="str">
        <f>IF(ReconciliationData[[#This Row],[severity_score]]=0,"LOW",
 IF(ReconciliationData[[#This Row],[severity_score]]&lt;=5,"MEDIUM","HIGH"))</f>
        <v>LOW</v>
      </c>
      <c r="AC1769" t="str">
        <f>TEXT(ReconciliationData[[#This Row],[Order_Date]],"YYYY-MM")</f>
        <v>2024-02</v>
      </c>
    </row>
    <row r="1770" spans="1:29">
      <c r="A1770" t="s">
        <v>4684</v>
      </c>
      <c r="B1770" s="1">
        <v>45339</v>
      </c>
      <c r="C1770" t="s">
        <v>4040</v>
      </c>
      <c r="D1770" t="s">
        <v>1869</v>
      </c>
      <c r="E1770">
        <v>85</v>
      </c>
      <c r="F1770" t="s">
        <v>4685</v>
      </c>
      <c r="G1770">
        <v>85</v>
      </c>
      <c r="H1770">
        <v>75.504800000000003</v>
      </c>
      <c r="N1770">
        <v>75.504800000000003</v>
      </c>
      <c r="O1770" s="1">
        <v>45080</v>
      </c>
      <c r="P1770">
        <f>IF(ISBLANK(ReconciliationData[[#This Row],[Invoice_ID]]),1,0)</f>
        <v>0</v>
      </c>
      <c r="Q1770">
        <f>IF(AND(NOT(ISBLANK(ReconciliationData[[#This Row],[Billed_Units]])),ReconciliationData[[#This Row],[ordered_units]]&lt;&gt;ReconciliationData[[#This Row],[Billed_Units]]),1,0)</f>
        <v>0</v>
      </c>
      <c r="R17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0">
        <f>IF(AND(NOT(ISBLANK(ReconciliationData[[#This Row],[Contract_Price]])),ReconciliationData[[#This Row],[Billed_Price]]&lt;&gt;ReconciliationData[[#This Row],[Contract_Price]]),1,0)</f>
        <v>0</v>
      </c>
      <c r="T1770">
        <f>IF(AND(NOT(ISBLANK(ReconciliationData[[#This Row],[End_Date]])),ReconciliationData[[#This Row],[Order_Date]]&gt;ReconciliationData[[#This Row],[End_Date]]),1,0)</f>
        <v>0</v>
      </c>
      <c r="U1770">
        <f>IF(AND(NOT(ISBLANK(ReconciliationData[[#This Row],[last_return_date]])),ReconciliationData[[#This Row],[last_return_date]]&gt;ReconciliationData[[#This Row],[Order_Date]]+60),1,0)</f>
        <v>0</v>
      </c>
      <c r="V1770">
        <f>IF(ReconciliationData[[#This Row],[total_returned_units]]&gt;ReconciliationData[[#This Row],[ordered_units]],1,0)</f>
        <v>0</v>
      </c>
      <c r="W17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0">
        <f>ReconciliationData[[#This Row],[Billed_Units]]*ReconciliationData[[#This Row],[Billed_Price]]</f>
        <v>6417.9080000000004</v>
      </c>
      <c r="Y1770">
        <f>ReconciliationData[[#This Row],[ordered_units]]*ReconciliationData[[#This Row],[List_Price]]</f>
        <v>6417.9080000000004</v>
      </c>
      <c r="Z1770">
        <f>ReconciliationData[[#This Row],[billed_revenue]]-ReconciliationData[[#This Row],[expected_revenue]]</f>
        <v>0</v>
      </c>
      <c r="AA17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0" t="str">
        <f>IF(ReconciliationData[[#This Row],[severity_score]]=0,"LOW",
 IF(ReconciliationData[[#This Row],[severity_score]]&lt;=5,"MEDIUM","HIGH"))</f>
        <v>LOW</v>
      </c>
      <c r="AC1770" t="str">
        <f>TEXT(ReconciliationData[[#This Row],[Order_Date]],"YYYY-MM")</f>
        <v>2024-02</v>
      </c>
    </row>
    <row r="1771" spans="1:29">
      <c r="A1771" t="s">
        <v>4686</v>
      </c>
      <c r="B1771" s="1">
        <v>45522</v>
      </c>
      <c r="C1771" t="s">
        <v>262</v>
      </c>
      <c r="D1771" t="s">
        <v>768</v>
      </c>
      <c r="E1771">
        <v>169</v>
      </c>
      <c r="F1771" t="s">
        <v>4687</v>
      </c>
      <c r="G1771">
        <v>169</v>
      </c>
      <c r="H1771">
        <v>410.02</v>
      </c>
      <c r="N1771">
        <v>410.02</v>
      </c>
      <c r="O1771" s="1">
        <v>45017</v>
      </c>
      <c r="P1771">
        <f>IF(ISBLANK(ReconciliationData[[#This Row],[Invoice_ID]]),1,0)</f>
        <v>0</v>
      </c>
      <c r="Q1771">
        <f>IF(AND(NOT(ISBLANK(ReconciliationData[[#This Row],[Billed_Units]])),ReconciliationData[[#This Row],[ordered_units]]&lt;&gt;ReconciliationData[[#This Row],[Billed_Units]]),1,0)</f>
        <v>0</v>
      </c>
      <c r="R17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1">
        <f>IF(AND(NOT(ISBLANK(ReconciliationData[[#This Row],[Contract_Price]])),ReconciliationData[[#This Row],[Billed_Price]]&lt;&gt;ReconciliationData[[#This Row],[Contract_Price]]),1,0)</f>
        <v>0</v>
      </c>
      <c r="T1771">
        <f>IF(AND(NOT(ISBLANK(ReconciliationData[[#This Row],[End_Date]])),ReconciliationData[[#This Row],[Order_Date]]&gt;ReconciliationData[[#This Row],[End_Date]]),1,0)</f>
        <v>0</v>
      </c>
      <c r="U1771">
        <f>IF(AND(NOT(ISBLANK(ReconciliationData[[#This Row],[last_return_date]])),ReconciliationData[[#This Row],[last_return_date]]&gt;ReconciliationData[[#This Row],[Order_Date]]+60),1,0)</f>
        <v>0</v>
      </c>
      <c r="V1771">
        <f>IF(ReconciliationData[[#This Row],[total_returned_units]]&gt;ReconciliationData[[#This Row],[ordered_units]],1,0)</f>
        <v>0</v>
      </c>
      <c r="W17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1">
        <f>ReconciliationData[[#This Row],[Billed_Units]]*ReconciliationData[[#This Row],[Billed_Price]]</f>
        <v>69293.37999999999</v>
      </c>
      <c r="Y1771">
        <f>ReconciliationData[[#This Row],[ordered_units]]*ReconciliationData[[#This Row],[List_Price]]</f>
        <v>69293.37999999999</v>
      </c>
      <c r="Z1771">
        <f>ReconciliationData[[#This Row],[billed_revenue]]-ReconciliationData[[#This Row],[expected_revenue]]</f>
        <v>0</v>
      </c>
      <c r="AA17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1" t="str">
        <f>IF(ReconciliationData[[#This Row],[severity_score]]=0,"LOW",
 IF(ReconciliationData[[#This Row],[severity_score]]&lt;=5,"MEDIUM","HIGH"))</f>
        <v>LOW</v>
      </c>
      <c r="AC1771" t="str">
        <f>TEXT(ReconciliationData[[#This Row],[Order_Date]],"YYYY-MM")</f>
        <v>2024-08</v>
      </c>
    </row>
    <row r="1772" spans="1:29">
      <c r="A1772" t="s">
        <v>4688</v>
      </c>
      <c r="B1772" s="1">
        <v>45090</v>
      </c>
      <c r="C1772" t="s">
        <v>1202</v>
      </c>
      <c r="D1772" t="s">
        <v>162</v>
      </c>
      <c r="E1772">
        <v>68</v>
      </c>
      <c r="F1772" t="s">
        <v>4689</v>
      </c>
      <c r="G1772">
        <v>68</v>
      </c>
      <c r="H1772">
        <v>510.91840000000002</v>
      </c>
      <c r="N1772">
        <v>510.91840000000002</v>
      </c>
      <c r="O1772" s="1">
        <v>44981</v>
      </c>
      <c r="P1772">
        <f>IF(ISBLANK(ReconciliationData[[#This Row],[Invoice_ID]]),1,0)</f>
        <v>0</v>
      </c>
      <c r="Q1772">
        <f>IF(AND(NOT(ISBLANK(ReconciliationData[[#This Row],[Billed_Units]])),ReconciliationData[[#This Row],[ordered_units]]&lt;&gt;ReconciliationData[[#This Row],[Billed_Units]]),1,0)</f>
        <v>0</v>
      </c>
      <c r="R17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2">
        <f>IF(AND(NOT(ISBLANK(ReconciliationData[[#This Row],[Contract_Price]])),ReconciliationData[[#This Row],[Billed_Price]]&lt;&gt;ReconciliationData[[#This Row],[Contract_Price]]),1,0)</f>
        <v>0</v>
      </c>
      <c r="T1772">
        <f>IF(AND(NOT(ISBLANK(ReconciliationData[[#This Row],[End_Date]])),ReconciliationData[[#This Row],[Order_Date]]&gt;ReconciliationData[[#This Row],[End_Date]]),1,0)</f>
        <v>0</v>
      </c>
      <c r="U1772">
        <f>IF(AND(NOT(ISBLANK(ReconciliationData[[#This Row],[last_return_date]])),ReconciliationData[[#This Row],[last_return_date]]&gt;ReconciliationData[[#This Row],[Order_Date]]+60),1,0)</f>
        <v>0</v>
      </c>
      <c r="V1772">
        <f>IF(ReconciliationData[[#This Row],[total_returned_units]]&gt;ReconciliationData[[#This Row],[ordered_units]],1,0)</f>
        <v>0</v>
      </c>
      <c r="W17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2">
        <f>ReconciliationData[[#This Row],[Billed_Units]]*ReconciliationData[[#This Row],[Billed_Price]]</f>
        <v>34742.451200000003</v>
      </c>
      <c r="Y1772">
        <f>ReconciliationData[[#This Row],[ordered_units]]*ReconciliationData[[#This Row],[List_Price]]</f>
        <v>34742.451200000003</v>
      </c>
      <c r="Z1772">
        <f>ReconciliationData[[#This Row],[billed_revenue]]-ReconciliationData[[#This Row],[expected_revenue]]</f>
        <v>0</v>
      </c>
      <c r="AA17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2" t="str">
        <f>IF(ReconciliationData[[#This Row],[severity_score]]=0,"LOW",
 IF(ReconciliationData[[#This Row],[severity_score]]&lt;=5,"MEDIUM","HIGH"))</f>
        <v>LOW</v>
      </c>
      <c r="AC1772" t="str">
        <f>TEXT(ReconciliationData[[#This Row],[Order_Date]],"YYYY-MM")</f>
        <v>2023-06</v>
      </c>
    </row>
    <row r="1773" spans="1:29">
      <c r="A1773" t="s">
        <v>4690</v>
      </c>
      <c r="B1773" s="1">
        <v>45127</v>
      </c>
      <c r="C1773" t="s">
        <v>1674</v>
      </c>
      <c r="D1773" t="s">
        <v>1083</v>
      </c>
      <c r="E1773">
        <v>113</v>
      </c>
      <c r="F1773" t="s">
        <v>4691</v>
      </c>
      <c r="G1773">
        <v>113</v>
      </c>
      <c r="H1773">
        <v>479.40280000000007</v>
      </c>
      <c r="N1773">
        <v>479.40280000000007</v>
      </c>
      <c r="O1773" s="1">
        <v>44941</v>
      </c>
      <c r="P1773">
        <f>IF(ISBLANK(ReconciliationData[[#This Row],[Invoice_ID]]),1,0)</f>
        <v>0</v>
      </c>
      <c r="Q1773">
        <f>IF(AND(NOT(ISBLANK(ReconciliationData[[#This Row],[Billed_Units]])),ReconciliationData[[#This Row],[ordered_units]]&lt;&gt;ReconciliationData[[#This Row],[Billed_Units]]),1,0)</f>
        <v>0</v>
      </c>
      <c r="R17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3">
        <f>IF(AND(NOT(ISBLANK(ReconciliationData[[#This Row],[Contract_Price]])),ReconciliationData[[#This Row],[Billed_Price]]&lt;&gt;ReconciliationData[[#This Row],[Contract_Price]]),1,0)</f>
        <v>0</v>
      </c>
      <c r="T1773">
        <f>IF(AND(NOT(ISBLANK(ReconciliationData[[#This Row],[End_Date]])),ReconciliationData[[#This Row],[Order_Date]]&gt;ReconciliationData[[#This Row],[End_Date]]),1,0)</f>
        <v>0</v>
      </c>
      <c r="U1773">
        <f>IF(AND(NOT(ISBLANK(ReconciliationData[[#This Row],[last_return_date]])),ReconciliationData[[#This Row],[last_return_date]]&gt;ReconciliationData[[#This Row],[Order_Date]]+60),1,0)</f>
        <v>0</v>
      </c>
      <c r="V1773">
        <f>IF(ReconciliationData[[#This Row],[total_returned_units]]&gt;ReconciliationData[[#This Row],[ordered_units]],1,0)</f>
        <v>0</v>
      </c>
      <c r="W17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3">
        <f>ReconciliationData[[#This Row],[Billed_Units]]*ReconciliationData[[#This Row],[Billed_Price]]</f>
        <v>54172.516400000008</v>
      </c>
      <c r="Y1773">
        <f>ReconciliationData[[#This Row],[ordered_units]]*ReconciliationData[[#This Row],[List_Price]]</f>
        <v>54172.516400000008</v>
      </c>
      <c r="Z1773">
        <f>ReconciliationData[[#This Row],[billed_revenue]]-ReconciliationData[[#This Row],[expected_revenue]]</f>
        <v>0</v>
      </c>
      <c r="AA17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3" t="str">
        <f>IF(ReconciliationData[[#This Row],[severity_score]]=0,"LOW",
 IF(ReconciliationData[[#This Row],[severity_score]]&lt;=5,"MEDIUM","HIGH"))</f>
        <v>LOW</v>
      </c>
      <c r="AC1773" t="str">
        <f>TEXT(ReconciliationData[[#This Row],[Order_Date]],"YYYY-MM")</f>
        <v>2023-07</v>
      </c>
    </row>
    <row r="1774" spans="1:29">
      <c r="A1774" t="s">
        <v>4692</v>
      </c>
      <c r="B1774" s="1">
        <v>45211</v>
      </c>
      <c r="C1774" t="s">
        <v>3912</v>
      </c>
      <c r="D1774" t="s">
        <v>393</v>
      </c>
      <c r="E1774">
        <v>194</v>
      </c>
      <c r="F1774" t="s">
        <v>4693</v>
      </c>
      <c r="G1774">
        <v>194</v>
      </c>
      <c r="H1774">
        <v>1080.0740000000001</v>
      </c>
      <c r="N1774">
        <v>1080.0740000000001</v>
      </c>
      <c r="O1774" s="1">
        <v>45058</v>
      </c>
      <c r="P1774">
        <f>IF(ISBLANK(ReconciliationData[[#This Row],[Invoice_ID]]),1,0)</f>
        <v>0</v>
      </c>
      <c r="Q1774">
        <f>IF(AND(NOT(ISBLANK(ReconciliationData[[#This Row],[Billed_Units]])),ReconciliationData[[#This Row],[ordered_units]]&lt;&gt;ReconciliationData[[#This Row],[Billed_Units]]),1,0)</f>
        <v>0</v>
      </c>
      <c r="R17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4">
        <f>IF(AND(NOT(ISBLANK(ReconciliationData[[#This Row],[Contract_Price]])),ReconciliationData[[#This Row],[Billed_Price]]&lt;&gt;ReconciliationData[[#This Row],[Contract_Price]]),1,0)</f>
        <v>0</v>
      </c>
      <c r="T1774">
        <f>IF(AND(NOT(ISBLANK(ReconciliationData[[#This Row],[End_Date]])),ReconciliationData[[#This Row],[Order_Date]]&gt;ReconciliationData[[#This Row],[End_Date]]),1,0)</f>
        <v>0</v>
      </c>
      <c r="U1774">
        <f>IF(AND(NOT(ISBLANK(ReconciliationData[[#This Row],[last_return_date]])),ReconciliationData[[#This Row],[last_return_date]]&gt;ReconciliationData[[#This Row],[Order_Date]]+60),1,0)</f>
        <v>0</v>
      </c>
      <c r="V1774">
        <f>IF(ReconciliationData[[#This Row],[total_returned_units]]&gt;ReconciliationData[[#This Row],[ordered_units]],1,0)</f>
        <v>0</v>
      </c>
      <c r="W17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4">
        <f>ReconciliationData[[#This Row],[Billed_Units]]*ReconciliationData[[#This Row],[Billed_Price]]</f>
        <v>209534.356</v>
      </c>
      <c r="Y1774">
        <f>ReconciliationData[[#This Row],[ordered_units]]*ReconciliationData[[#This Row],[List_Price]]</f>
        <v>209534.356</v>
      </c>
      <c r="Z1774">
        <f>ReconciliationData[[#This Row],[billed_revenue]]-ReconciliationData[[#This Row],[expected_revenue]]</f>
        <v>0</v>
      </c>
      <c r="AA17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4" t="str">
        <f>IF(ReconciliationData[[#This Row],[severity_score]]=0,"LOW",
 IF(ReconciliationData[[#This Row],[severity_score]]&lt;=5,"MEDIUM","HIGH"))</f>
        <v>LOW</v>
      </c>
      <c r="AC1774" t="str">
        <f>TEXT(ReconciliationData[[#This Row],[Order_Date]],"YYYY-MM")</f>
        <v>2023-10</v>
      </c>
    </row>
    <row r="1775" spans="1:29">
      <c r="A1775" t="s">
        <v>4694</v>
      </c>
      <c r="B1775" s="1">
        <v>45214</v>
      </c>
      <c r="C1775" t="s">
        <v>1253</v>
      </c>
      <c r="D1775" t="s">
        <v>880</v>
      </c>
      <c r="E1775">
        <v>67</v>
      </c>
      <c r="F1775" t="s">
        <v>4695</v>
      </c>
      <c r="G1775">
        <v>67</v>
      </c>
      <c r="H1775">
        <v>212.73140000000001</v>
      </c>
      <c r="N1775">
        <v>212.73140000000001</v>
      </c>
      <c r="O1775" s="1">
        <v>45144</v>
      </c>
      <c r="P1775">
        <f>IF(ISBLANK(ReconciliationData[[#This Row],[Invoice_ID]]),1,0)</f>
        <v>0</v>
      </c>
      <c r="Q1775">
        <f>IF(AND(NOT(ISBLANK(ReconciliationData[[#This Row],[Billed_Units]])),ReconciliationData[[#This Row],[ordered_units]]&lt;&gt;ReconciliationData[[#This Row],[Billed_Units]]),1,0)</f>
        <v>0</v>
      </c>
      <c r="R17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5">
        <f>IF(AND(NOT(ISBLANK(ReconciliationData[[#This Row],[Contract_Price]])),ReconciliationData[[#This Row],[Billed_Price]]&lt;&gt;ReconciliationData[[#This Row],[Contract_Price]]),1,0)</f>
        <v>0</v>
      </c>
      <c r="T1775">
        <f>IF(AND(NOT(ISBLANK(ReconciliationData[[#This Row],[End_Date]])),ReconciliationData[[#This Row],[Order_Date]]&gt;ReconciliationData[[#This Row],[End_Date]]),1,0)</f>
        <v>0</v>
      </c>
      <c r="U1775">
        <f>IF(AND(NOT(ISBLANK(ReconciliationData[[#This Row],[last_return_date]])),ReconciliationData[[#This Row],[last_return_date]]&gt;ReconciliationData[[#This Row],[Order_Date]]+60),1,0)</f>
        <v>0</v>
      </c>
      <c r="V1775">
        <f>IF(ReconciliationData[[#This Row],[total_returned_units]]&gt;ReconciliationData[[#This Row],[ordered_units]],1,0)</f>
        <v>0</v>
      </c>
      <c r="W17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5">
        <f>ReconciliationData[[#This Row],[Billed_Units]]*ReconciliationData[[#This Row],[Billed_Price]]</f>
        <v>14253.0038</v>
      </c>
      <c r="Y1775">
        <f>ReconciliationData[[#This Row],[ordered_units]]*ReconciliationData[[#This Row],[List_Price]]</f>
        <v>14253.0038</v>
      </c>
      <c r="Z1775">
        <f>ReconciliationData[[#This Row],[billed_revenue]]-ReconciliationData[[#This Row],[expected_revenue]]</f>
        <v>0</v>
      </c>
      <c r="AA17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5" t="str">
        <f>IF(ReconciliationData[[#This Row],[severity_score]]=0,"LOW",
 IF(ReconciliationData[[#This Row],[severity_score]]&lt;=5,"MEDIUM","HIGH"))</f>
        <v>LOW</v>
      </c>
      <c r="AC1775" t="str">
        <f>TEXT(ReconciliationData[[#This Row],[Order_Date]],"YYYY-MM")</f>
        <v>2023-10</v>
      </c>
    </row>
    <row r="1776" spans="1:29">
      <c r="A1776" t="s">
        <v>4696</v>
      </c>
      <c r="B1776" s="1">
        <v>44952</v>
      </c>
      <c r="C1776" t="s">
        <v>2549</v>
      </c>
      <c r="D1776" t="s">
        <v>1088</v>
      </c>
      <c r="E1776">
        <v>151</v>
      </c>
      <c r="F1776" t="s">
        <v>4697</v>
      </c>
      <c r="G1776">
        <v>151</v>
      </c>
      <c r="H1776">
        <v>72.63</v>
      </c>
      <c r="N1776">
        <v>72.63</v>
      </c>
      <c r="O1776" s="1">
        <v>44847</v>
      </c>
      <c r="P1776">
        <f>IF(ISBLANK(ReconciliationData[[#This Row],[Invoice_ID]]),1,0)</f>
        <v>0</v>
      </c>
      <c r="Q1776">
        <f>IF(AND(NOT(ISBLANK(ReconciliationData[[#This Row],[Billed_Units]])),ReconciliationData[[#This Row],[ordered_units]]&lt;&gt;ReconciliationData[[#This Row],[Billed_Units]]),1,0)</f>
        <v>0</v>
      </c>
      <c r="R17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6">
        <f>IF(AND(NOT(ISBLANK(ReconciliationData[[#This Row],[Contract_Price]])),ReconciliationData[[#This Row],[Billed_Price]]&lt;&gt;ReconciliationData[[#This Row],[Contract_Price]]),1,0)</f>
        <v>0</v>
      </c>
      <c r="T1776">
        <f>IF(AND(NOT(ISBLANK(ReconciliationData[[#This Row],[End_Date]])),ReconciliationData[[#This Row],[Order_Date]]&gt;ReconciliationData[[#This Row],[End_Date]]),1,0)</f>
        <v>0</v>
      </c>
      <c r="U1776">
        <f>IF(AND(NOT(ISBLANK(ReconciliationData[[#This Row],[last_return_date]])),ReconciliationData[[#This Row],[last_return_date]]&gt;ReconciliationData[[#This Row],[Order_Date]]+60),1,0)</f>
        <v>0</v>
      </c>
      <c r="V1776">
        <f>IF(ReconciliationData[[#This Row],[total_returned_units]]&gt;ReconciliationData[[#This Row],[ordered_units]],1,0)</f>
        <v>0</v>
      </c>
      <c r="W17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6">
        <f>ReconciliationData[[#This Row],[Billed_Units]]*ReconciliationData[[#This Row],[Billed_Price]]</f>
        <v>10967.13</v>
      </c>
      <c r="Y1776">
        <f>ReconciliationData[[#This Row],[ordered_units]]*ReconciliationData[[#This Row],[List_Price]]</f>
        <v>10967.13</v>
      </c>
      <c r="Z1776">
        <f>ReconciliationData[[#This Row],[billed_revenue]]-ReconciliationData[[#This Row],[expected_revenue]]</f>
        <v>0</v>
      </c>
      <c r="AA17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6" t="str">
        <f>IF(ReconciliationData[[#This Row],[severity_score]]=0,"LOW",
 IF(ReconciliationData[[#This Row],[severity_score]]&lt;=5,"MEDIUM","HIGH"))</f>
        <v>LOW</v>
      </c>
      <c r="AC1776" t="str">
        <f>TEXT(ReconciliationData[[#This Row],[Order_Date]],"YYYY-MM")</f>
        <v>2023-01</v>
      </c>
    </row>
    <row r="1777" spans="1:29">
      <c r="A1777" t="s">
        <v>4698</v>
      </c>
      <c r="B1777" s="1">
        <v>45638</v>
      </c>
      <c r="C1777" t="s">
        <v>4699</v>
      </c>
      <c r="D1777" t="s">
        <v>923</v>
      </c>
      <c r="E1777">
        <v>62</v>
      </c>
      <c r="F1777" t="s">
        <v>4700</v>
      </c>
      <c r="G1777">
        <v>62</v>
      </c>
      <c r="H1777">
        <v>754.20799999999997</v>
      </c>
      <c r="N1777">
        <v>754.20799999999997</v>
      </c>
      <c r="O1777" s="1">
        <v>45069</v>
      </c>
      <c r="P1777">
        <f>IF(ISBLANK(ReconciliationData[[#This Row],[Invoice_ID]]),1,0)</f>
        <v>0</v>
      </c>
      <c r="Q1777">
        <f>IF(AND(NOT(ISBLANK(ReconciliationData[[#This Row],[Billed_Units]])),ReconciliationData[[#This Row],[ordered_units]]&lt;&gt;ReconciliationData[[#This Row],[Billed_Units]]),1,0)</f>
        <v>0</v>
      </c>
      <c r="R17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7">
        <f>IF(AND(NOT(ISBLANK(ReconciliationData[[#This Row],[Contract_Price]])),ReconciliationData[[#This Row],[Billed_Price]]&lt;&gt;ReconciliationData[[#This Row],[Contract_Price]]),1,0)</f>
        <v>0</v>
      </c>
      <c r="T1777">
        <f>IF(AND(NOT(ISBLANK(ReconciliationData[[#This Row],[End_Date]])),ReconciliationData[[#This Row],[Order_Date]]&gt;ReconciliationData[[#This Row],[End_Date]]),1,0)</f>
        <v>0</v>
      </c>
      <c r="U1777">
        <f>IF(AND(NOT(ISBLANK(ReconciliationData[[#This Row],[last_return_date]])),ReconciliationData[[#This Row],[last_return_date]]&gt;ReconciliationData[[#This Row],[Order_Date]]+60),1,0)</f>
        <v>0</v>
      </c>
      <c r="V1777">
        <f>IF(ReconciliationData[[#This Row],[total_returned_units]]&gt;ReconciliationData[[#This Row],[ordered_units]],1,0)</f>
        <v>0</v>
      </c>
      <c r="W17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7">
        <f>ReconciliationData[[#This Row],[Billed_Units]]*ReconciliationData[[#This Row],[Billed_Price]]</f>
        <v>46760.896000000001</v>
      </c>
      <c r="Y1777">
        <f>ReconciliationData[[#This Row],[ordered_units]]*ReconciliationData[[#This Row],[List_Price]]</f>
        <v>46760.896000000001</v>
      </c>
      <c r="Z1777">
        <f>ReconciliationData[[#This Row],[billed_revenue]]-ReconciliationData[[#This Row],[expected_revenue]]</f>
        <v>0</v>
      </c>
      <c r="AA17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7" t="str">
        <f>IF(ReconciliationData[[#This Row],[severity_score]]=0,"LOW",
 IF(ReconciliationData[[#This Row],[severity_score]]&lt;=5,"MEDIUM","HIGH"))</f>
        <v>LOW</v>
      </c>
      <c r="AC1777" t="str">
        <f>TEXT(ReconciliationData[[#This Row],[Order_Date]],"YYYY-MM")</f>
        <v>2024-12</v>
      </c>
    </row>
    <row r="1778" spans="1:29">
      <c r="A1778" t="s">
        <v>4701</v>
      </c>
      <c r="B1778" s="1">
        <v>45443</v>
      </c>
      <c r="C1778" t="s">
        <v>2809</v>
      </c>
      <c r="D1778" t="s">
        <v>548</v>
      </c>
      <c r="E1778">
        <v>189</v>
      </c>
      <c r="F1778" t="s">
        <v>4702</v>
      </c>
      <c r="G1778">
        <v>189</v>
      </c>
      <c r="H1778">
        <v>1072.1079000000002</v>
      </c>
      <c r="N1778">
        <v>1072.1079000000002</v>
      </c>
      <c r="O1778" s="1">
        <v>45035</v>
      </c>
      <c r="P1778">
        <f>IF(ISBLANK(ReconciliationData[[#This Row],[Invoice_ID]]),1,0)</f>
        <v>0</v>
      </c>
      <c r="Q1778">
        <f>IF(AND(NOT(ISBLANK(ReconciliationData[[#This Row],[Billed_Units]])),ReconciliationData[[#This Row],[ordered_units]]&lt;&gt;ReconciliationData[[#This Row],[Billed_Units]]),1,0)</f>
        <v>0</v>
      </c>
      <c r="R17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8">
        <f>IF(AND(NOT(ISBLANK(ReconciliationData[[#This Row],[Contract_Price]])),ReconciliationData[[#This Row],[Billed_Price]]&lt;&gt;ReconciliationData[[#This Row],[Contract_Price]]),1,0)</f>
        <v>0</v>
      </c>
      <c r="T1778">
        <f>IF(AND(NOT(ISBLANK(ReconciliationData[[#This Row],[End_Date]])),ReconciliationData[[#This Row],[Order_Date]]&gt;ReconciliationData[[#This Row],[End_Date]]),1,0)</f>
        <v>0</v>
      </c>
      <c r="U1778">
        <f>IF(AND(NOT(ISBLANK(ReconciliationData[[#This Row],[last_return_date]])),ReconciliationData[[#This Row],[last_return_date]]&gt;ReconciliationData[[#This Row],[Order_Date]]+60),1,0)</f>
        <v>0</v>
      </c>
      <c r="V1778">
        <f>IF(ReconciliationData[[#This Row],[total_returned_units]]&gt;ReconciliationData[[#This Row],[ordered_units]],1,0)</f>
        <v>0</v>
      </c>
      <c r="W17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8">
        <f>ReconciliationData[[#This Row],[Billed_Units]]*ReconciliationData[[#This Row],[Billed_Price]]</f>
        <v>202628.39310000004</v>
      </c>
      <c r="Y1778">
        <f>ReconciliationData[[#This Row],[ordered_units]]*ReconciliationData[[#This Row],[List_Price]]</f>
        <v>202628.39310000004</v>
      </c>
      <c r="Z1778">
        <f>ReconciliationData[[#This Row],[billed_revenue]]-ReconciliationData[[#This Row],[expected_revenue]]</f>
        <v>0</v>
      </c>
      <c r="AA17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8" t="str">
        <f>IF(ReconciliationData[[#This Row],[severity_score]]=0,"LOW",
 IF(ReconciliationData[[#This Row],[severity_score]]&lt;=5,"MEDIUM","HIGH"))</f>
        <v>LOW</v>
      </c>
      <c r="AC1778" t="str">
        <f>TEXT(ReconciliationData[[#This Row],[Order_Date]],"YYYY-MM")</f>
        <v>2024-05</v>
      </c>
    </row>
    <row r="1779" spans="1:29">
      <c r="A1779" t="s">
        <v>4703</v>
      </c>
      <c r="B1779" s="1">
        <v>44954</v>
      </c>
      <c r="C1779" t="s">
        <v>1674</v>
      </c>
      <c r="D1779" t="s">
        <v>178</v>
      </c>
      <c r="E1779">
        <v>13</v>
      </c>
      <c r="F1779" t="s">
        <v>4704</v>
      </c>
      <c r="G1779">
        <v>13</v>
      </c>
      <c r="H1779">
        <v>634.76160000000004</v>
      </c>
      <c r="N1779">
        <v>634.76160000000004</v>
      </c>
      <c r="O1779" s="1">
        <v>44928</v>
      </c>
      <c r="P1779">
        <f>IF(ISBLANK(ReconciliationData[[#This Row],[Invoice_ID]]),1,0)</f>
        <v>0</v>
      </c>
      <c r="Q1779">
        <f>IF(AND(NOT(ISBLANK(ReconciliationData[[#This Row],[Billed_Units]])),ReconciliationData[[#This Row],[ordered_units]]&lt;&gt;ReconciliationData[[#This Row],[Billed_Units]]),1,0)</f>
        <v>0</v>
      </c>
      <c r="R17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79">
        <f>IF(AND(NOT(ISBLANK(ReconciliationData[[#This Row],[Contract_Price]])),ReconciliationData[[#This Row],[Billed_Price]]&lt;&gt;ReconciliationData[[#This Row],[Contract_Price]]),1,0)</f>
        <v>0</v>
      </c>
      <c r="T1779">
        <f>IF(AND(NOT(ISBLANK(ReconciliationData[[#This Row],[End_Date]])),ReconciliationData[[#This Row],[Order_Date]]&gt;ReconciliationData[[#This Row],[End_Date]]),1,0)</f>
        <v>0</v>
      </c>
      <c r="U1779">
        <f>IF(AND(NOT(ISBLANK(ReconciliationData[[#This Row],[last_return_date]])),ReconciliationData[[#This Row],[last_return_date]]&gt;ReconciliationData[[#This Row],[Order_Date]]+60),1,0)</f>
        <v>0</v>
      </c>
      <c r="V1779">
        <f>IF(ReconciliationData[[#This Row],[total_returned_units]]&gt;ReconciliationData[[#This Row],[ordered_units]],1,0)</f>
        <v>0</v>
      </c>
      <c r="W17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79">
        <f>ReconciliationData[[#This Row],[Billed_Units]]*ReconciliationData[[#This Row],[Billed_Price]]</f>
        <v>8251.9008000000013</v>
      </c>
      <c r="Y1779">
        <f>ReconciliationData[[#This Row],[ordered_units]]*ReconciliationData[[#This Row],[List_Price]]</f>
        <v>8251.9008000000013</v>
      </c>
      <c r="Z1779">
        <f>ReconciliationData[[#This Row],[billed_revenue]]-ReconciliationData[[#This Row],[expected_revenue]]</f>
        <v>0</v>
      </c>
      <c r="AA17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79" t="str">
        <f>IF(ReconciliationData[[#This Row],[severity_score]]=0,"LOW",
 IF(ReconciliationData[[#This Row],[severity_score]]&lt;=5,"MEDIUM","HIGH"))</f>
        <v>LOW</v>
      </c>
      <c r="AC1779" t="str">
        <f>TEXT(ReconciliationData[[#This Row],[Order_Date]],"YYYY-MM")</f>
        <v>2023-01</v>
      </c>
    </row>
    <row r="1780" spans="1:29">
      <c r="A1780" t="s">
        <v>4705</v>
      </c>
      <c r="B1780" s="1">
        <v>45511</v>
      </c>
      <c r="C1780" t="s">
        <v>3365</v>
      </c>
      <c r="D1780" t="s">
        <v>1802</v>
      </c>
      <c r="E1780">
        <v>148</v>
      </c>
      <c r="F1780" t="s">
        <v>4706</v>
      </c>
      <c r="G1780">
        <v>148</v>
      </c>
      <c r="H1780">
        <v>648.86940000000004</v>
      </c>
      <c r="N1780">
        <v>648.86940000000004</v>
      </c>
      <c r="O1780" s="1">
        <v>45064</v>
      </c>
      <c r="P1780">
        <f>IF(ISBLANK(ReconciliationData[[#This Row],[Invoice_ID]]),1,0)</f>
        <v>0</v>
      </c>
      <c r="Q1780">
        <f>IF(AND(NOT(ISBLANK(ReconciliationData[[#This Row],[Billed_Units]])),ReconciliationData[[#This Row],[ordered_units]]&lt;&gt;ReconciliationData[[#This Row],[Billed_Units]]),1,0)</f>
        <v>0</v>
      </c>
      <c r="R17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0">
        <f>IF(AND(NOT(ISBLANK(ReconciliationData[[#This Row],[Contract_Price]])),ReconciliationData[[#This Row],[Billed_Price]]&lt;&gt;ReconciliationData[[#This Row],[Contract_Price]]),1,0)</f>
        <v>0</v>
      </c>
      <c r="T1780">
        <f>IF(AND(NOT(ISBLANK(ReconciliationData[[#This Row],[End_Date]])),ReconciliationData[[#This Row],[Order_Date]]&gt;ReconciliationData[[#This Row],[End_Date]]),1,0)</f>
        <v>0</v>
      </c>
      <c r="U1780">
        <f>IF(AND(NOT(ISBLANK(ReconciliationData[[#This Row],[last_return_date]])),ReconciliationData[[#This Row],[last_return_date]]&gt;ReconciliationData[[#This Row],[Order_Date]]+60),1,0)</f>
        <v>0</v>
      </c>
      <c r="V1780">
        <f>IF(ReconciliationData[[#This Row],[total_returned_units]]&gt;ReconciliationData[[#This Row],[ordered_units]],1,0)</f>
        <v>0</v>
      </c>
      <c r="W17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0">
        <f>ReconciliationData[[#This Row],[Billed_Units]]*ReconciliationData[[#This Row],[Billed_Price]]</f>
        <v>96032.671200000012</v>
      </c>
      <c r="Y1780">
        <f>ReconciliationData[[#This Row],[ordered_units]]*ReconciliationData[[#This Row],[List_Price]]</f>
        <v>96032.671200000012</v>
      </c>
      <c r="Z1780">
        <f>ReconciliationData[[#This Row],[billed_revenue]]-ReconciliationData[[#This Row],[expected_revenue]]</f>
        <v>0</v>
      </c>
      <c r="AA17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0" t="str">
        <f>IF(ReconciliationData[[#This Row],[severity_score]]=0,"LOW",
 IF(ReconciliationData[[#This Row],[severity_score]]&lt;=5,"MEDIUM","HIGH"))</f>
        <v>LOW</v>
      </c>
      <c r="AC1780" t="str">
        <f>TEXT(ReconciliationData[[#This Row],[Order_Date]],"YYYY-MM")</f>
        <v>2024-08</v>
      </c>
    </row>
    <row r="1781" spans="1:29">
      <c r="A1781" t="s">
        <v>4707</v>
      </c>
      <c r="B1781" s="1">
        <v>45463</v>
      </c>
      <c r="C1781" t="s">
        <v>344</v>
      </c>
      <c r="D1781" t="s">
        <v>1061</v>
      </c>
      <c r="E1781">
        <v>181</v>
      </c>
      <c r="F1781" t="s">
        <v>4708</v>
      </c>
      <c r="G1781">
        <v>181</v>
      </c>
      <c r="H1781">
        <v>79.105599999999995</v>
      </c>
      <c r="N1781">
        <v>79.105599999999995</v>
      </c>
      <c r="O1781" s="1">
        <v>45204</v>
      </c>
      <c r="P1781">
        <f>IF(ISBLANK(ReconciliationData[[#This Row],[Invoice_ID]]),1,0)</f>
        <v>0</v>
      </c>
      <c r="Q1781">
        <f>IF(AND(NOT(ISBLANK(ReconciliationData[[#This Row],[Billed_Units]])),ReconciliationData[[#This Row],[ordered_units]]&lt;&gt;ReconciliationData[[#This Row],[Billed_Units]]),1,0)</f>
        <v>0</v>
      </c>
      <c r="R17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1">
        <f>IF(AND(NOT(ISBLANK(ReconciliationData[[#This Row],[Contract_Price]])),ReconciliationData[[#This Row],[Billed_Price]]&lt;&gt;ReconciliationData[[#This Row],[Contract_Price]]),1,0)</f>
        <v>0</v>
      </c>
      <c r="T1781">
        <f>IF(AND(NOT(ISBLANK(ReconciliationData[[#This Row],[End_Date]])),ReconciliationData[[#This Row],[Order_Date]]&gt;ReconciliationData[[#This Row],[End_Date]]),1,0)</f>
        <v>0</v>
      </c>
      <c r="U1781">
        <f>IF(AND(NOT(ISBLANK(ReconciliationData[[#This Row],[last_return_date]])),ReconciliationData[[#This Row],[last_return_date]]&gt;ReconciliationData[[#This Row],[Order_Date]]+60),1,0)</f>
        <v>0</v>
      </c>
      <c r="V1781">
        <f>IF(ReconciliationData[[#This Row],[total_returned_units]]&gt;ReconciliationData[[#This Row],[ordered_units]],1,0)</f>
        <v>0</v>
      </c>
      <c r="W17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1">
        <f>ReconciliationData[[#This Row],[Billed_Units]]*ReconciliationData[[#This Row],[Billed_Price]]</f>
        <v>14318.113599999999</v>
      </c>
      <c r="Y1781">
        <f>ReconciliationData[[#This Row],[ordered_units]]*ReconciliationData[[#This Row],[List_Price]]</f>
        <v>14318.113599999999</v>
      </c>
      <c r="Z1781">
        <f>ReconciliationData[[#This Row],[billed_revenue]]-ReconciliationData[[#This Row],[expected_revenue]]</f>
        <v>0</v>
      </c>
      <c r="AA17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1" t="str">
        <f>IF(ReconciliationData[[#This Row],[severity_score]]=0,"LOW",
 IF(ReconciliationData[[#This Row],[severity_score]]&lt;=5,"MEDIUM","HIGH"))</f>
        <v>LOW</v>
      </c>
      <c r="AC1781" t="str">
        <f>TEXT(ReconciliationData[[#This Row],[Order_Date]],"YYYY-MM")</f>
        <v>2024-06</v>
      </c>
    </row>
    <row r="1782" spans="1:29">
      <c r="A1782" t="s">
        <v>4709</v>
      </c>
      <c r="B1782" s="1">
        <v>45496</v>
      </c>
      <c r="C1782" t="s">
        <v>4710</v>
      </c>
      <c r="D1782" t="s">
        <v>356</v>
      </c>
      <c r="E1782">
        <v>197</v>
      </c>
      <c r="F1782" t="s">
        <v>4711</v>
      </c>
      <c r="G1782">
        <v>197</v>
      </c>
      <c r="H1782">
        <v>393.40140000000002</v>
      </c>
      <c r="N1782">
        <v>393.40140000000002</v>
      </c>
      <c r="O1782" s="1">
        <v>45146</v>
      </c>
      <c r="P1782">
        <f>IF(ISBLANK(ReconciliationData[[#This Row],[Invoice_ID]]),1,0)</f>
        <v>0</v>
      </c>
      <c r="Q1782">
        <f>IF(AND(NOT(ISBLANK(ReconciliationData[[#This Row],[Billed_Units]])),ReconciliationData[[#This Row],[ordered_units]]&lt;&gt;ReconciliationData[[#This Row],[Billed_Units]]),1,0)</f>
        <v>0</v>
      </c>
      <c r="R17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2">
        <f>IF(AND(NOT(ISBLANK(ReconciliationData[[#This Row],[Contract_Price]])),ReconciliationData[[#This Row],[Billed_Price]]&lt;&gt;ReconciliationData[[#This Row],[Contract_Price]]),1,0)</f>
        <v>0</v>
      </c>
      <c r="T1782">
        <f>IF(AND(NOT(ISBLANK(ReconciliationData[[#This Row],[End_Date]])),ReconciliationData[[#This Row],[Order_Date]]&gt;ReconciliationData[[#This Row],[End_Date]]),1,0)</f>
        <v>0</v>
      </c>
      <c r="U1782">
        <f>IF(AND(NOT(ISBLANK(ReconciliationData[[#This Row],[last_return_date]])),ReconciliationData[[#This Row],[last_return_date]]&gt;ReconciliationData[[#This Row],[Order_Date]]+60),1,0)</f>
        <v>0</v>
      </c>
      <c r="V1782">
        <f>IF(ReconciliationData[[#This Row],[total_returned_units]]&gt;ReconciliationData[[#This Row],[ordered_units]],1,0)</f>
        <v>0</v>
      </c>
      <c r="W17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2">
        <f>ReconciliationData[[#This Row],[Billed_Units]]*ReconciliationData[[#This Row],[Billed_Price]]</f>
        <v>77500.075800000006</v>
      </c>
      <c r="Y1782">
        <f>ReconciliationData[[#This Row],[ordered_units]]*ReconciliationData[[#This Row],[List_Price]]</f>
        <v>77500.075800000006</v>
      </c>
      <c r="Z1782">
        <f>ReconciliationData[[#This Row],[billed_revenue]]-ReconciliationData[[#This Row],[expected_revenue]]</f>
        <v>0</v>
      </c>
      <c r="AA17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2" t="str">
        <f>IF(ReconciliationData[[#This Row],[severity_score]]=0,"LOW",
 IF(ReconciliationData[[#This Row],[severity_score]]&lt;=5,"MEDIUM","HIGH"))</f>
        <v>LOW</v>
      </c>
      <c r="AC1782" t="str">
        <f>TEXT(ReconciliationData[[#This Row],[Order_Date]],"YYYY-MM")</f>
        <v>2024-07</v>
      </c>
    </row>
    <row r="1783" spans="1:29">
      <c r="A1783" t="s">
        <v>4712</v>
      </c>
      <c r="B1783" s="1">
        <v>45570</v>
      </c>
      <c r="C1783" t="s">
        <v>957</v>
      </c>
      <c r="D1783" t="s">
        <v>1606</v>
      </c>
      <c r="E1783">
        <v>68</v>
      </c>
      <c r="F1783" t="s">
        <v>4713</v>
      </c>
      <c r="G1783">
        <v>68</v>
      </c>
      <c r="H1783">
        <v>620.22550000000001</v>
      </c>
      <c r="N1783">
        <v>620.22550000000001</v>
      </c>
      <c r="O1783" s="1">
        <v>45200</v>
      </c>
      <c r="P1783">
        <f>IF(ISBLANK(ReconciliationData[[#This Row],[Invoice_ID]]),1,0)</f>
        <v>0</v>
      </c>
      <c r="Q1783">
        <f>IF(AND(NOT(ISBLANK(ReconciliationData[[#This Row],[Billed_Units]])),ReconciliationData[[#This Row],[ordered_units]]&lt;&gt;ReconciliationData[[#This Row],[Billed_Units]]),1,0)</f>
        <v>0</v>
      </c>
      <c r="R17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3">
        <f>IF(AND(NOT(ISBLANK(ReconciliationData[[#This Row],[Contract_Price]])),ReconciliationData[[#This Row],[Billed_Price]]&lt;&gt;ReconciliationData[[#This Row],[Contract_Price]]),1,0)</f>
        <v>0</v>
      </c>
      <c r="T1783">
        <f>IF(AND(NOT(ISBLANK(ReconciliationData[[#This Row],[End_Date]])),ReconciliationData[[#This Row],[Order_Date]]&gt;ReconciliationData[[#This Row],[End_Date]]),1,0)</f>
        <v>0</v>
      </c>
      <c r="U1783">
        <f>IF(AND(NOT(ISBLANK(ReconciliationData[[#This Row],[last_return_date]])),ReconciliationData[[#This Row],[last_return_date]]&gt;ReconciliationData[[#This Row],[Order_Date]]+60),1,0)</f>
        <v>0</v>
      </c>
      <c r="V1783">
        <f>IF(ReconciliationData[[#This Row],[total_returned_units]]&gt;ReconciliationData[[#This Row],[ordered_units]],1,0)</f>
        <v>0</v>
      </c>
      <c r="W17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3">
        <f>ReconciliationData[[#This Row],[Billed_Units]]*ReconciliationData[[#This Row],[Billed_Price]]</f>
        <v>42175.334000000003</v>
      </c>
      <c r="Y1783">
        <f>ReconciliationData[[#This Row],[ordered_units]]*ReconciliationData[[#This Row],[List_Price]]</f>
        <v>42175.334000000003</v>
      </c>
      <c r="Z1783">
        <f>ReconciliationData[[#This Row],[billed_revenue]]-ReconciliationData[[#This Row],[expected_revenue]]</f>
        <v>0</v>
      </c>
      <c r="AA17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3" t="str">
        <f>IF(ReconciliationData[[#This Row],[severity_score]]=0,"LOW",
 IF(ReconciliationData[[#This Row],[severity_score]]&lt;=5,"MEDIUM","HIGH"))</f>
        <v>LOW</v>
      </c>
      <c r="AC1783" t="str">
        <f>TEXT(ReconciliationData[[#This Row],[Order_Date]],"YYYY-MM")</f>
        <v>2024-10</v>
      </c>
    </row>
    <row r="1784" spans="1:29">
      <c r="A1784" t="s">
        <v>4714</v>
      </c>
      <c r="B1784" s="1">
        <v>45372</v>
      </c>
      <c r="C1784" t="s">
        <v>4606</v>
      </c>
      <c r="D1784" t="s">
        <v>2245</v>
      </c>
      <c r="E1784">
        <v>95</v>
      </c>
      <c r="F1784" t="s">
        <v>4715</v>
      </c>
      <c r="G1784">
        <v>95</v>
      </c>
      <c r="H1784">
        <v>378.91109999999998</v>
      </c>
      <c r="N1784">
        <v>378.91109999999998</v>
      </c>
      <c r="O1784" s="1">
        <v>45117</v>
      </c>
      <c r="P1784">
        <f>IF(ISBLANK(ReconciliationData[[#This Row],[Invoice_ID]]),1,0)</f>
        <v>0</v>
      </c>
      <c r="Q1784">
        <f>IF(AND(NOT(ISBLANK(ReconciliationData[[#This Row],[Billed_Units]])),ReconciliationData[[#This Row],[ordered_units]]&lt;&gt;ReconciliationData[[#This Row],[Billed_Units]]),1,0)</f>
        <v>0</v>
      </c>
      <c r="R17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4">
        <f>IF(AND(NOT(ISBLANK(ReconciliationData[[#This Row],[Contract_Price]])),ReconciliationData[[#This Row],[Billed_Price]]&lt;&gt;ReconciliationData[[#This Row],[Contract_Price]]),1,0)</f>
        <v>0</v>
      </c>
      <c r="T1784">
        <f>IF(AND(NOT(ISBLANK(ReconciliationData[[#This Row],[End_Date]])),ReconciliationData[[#This Row],[Order_Date]]&gt;ReconciliationData[[#This Row],[End_Date]]),1,0)</f>
        <v>0</v>
      </c>
      <c r="U1784">
        <f>IF(AND(NOT(ISBLANK(ReconciliationData[[#This Row],[last_return_date]])),ReconciliationData[[#This Row],[last_return_date]]&gt;ReconciliationData[[#This Row],[Order_Date]]+60),1,0)</f>
        <v>0</v>
      </c>
      <c r="V1784">
        <f>IF(ReconciliationData[[#This Row],[total_returned_units]]&gt;ReconciliationData[[#This Row],[ordered_units]],1,0)</f>
        <v>0</v>
      </c>
      <c r="W17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4">
        <f>ReconciliationData[[#This Row],[Billed_Units]]*ReconciliationData[[#This Row],[Billed_Price]]</f>
        <v>35996.554499999998</v>
      </c>
      <c r="Y1784">
        <f>ReconciliationData[[#This Row],[ordered_units]]*ReconciliationData[[#This Row],[List_Price]]</f>
        <v>35996.554499999998</v>
      </c>
      <c r="Z1784">
        <f>ReconciliationData[[#This Row],[billed_revenue]]-ReconciliationData[[#This Row],[expected_revenue]]</f>
        <v>0</v>
      </c>
      <c r="AA17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4" t="str">
        <f>IF(ReconciliationData[[#This Row],[severity_score]]=0,"LOW",
 IF(ReconciliationData[[#This Row],[severity_score]]&lt;=5,"MEDIUM","HIGH"))</f>
        <v>LOW</v>
      </c>
      <c r="AC1784" t="str">
        <f>TEXT(ReconciliationData[[#This Row],[Order_Date]],"YYYY-MM")</f>
        <v>2024-03</v>
      </c>
    </row>
    <row r="1785" spans="1:29">
      <c r="A1785" t="s">
        <v>4716</v>
      </c>
      <c r="B1785" s="1">
        <v>45030</v>
      </c>
      <c r="C1785" t="s">
        <v>1851</v>
      </c>
      <c r="D1785" t="s">
        <v>408</v>
      </c>
      <c r="E1785">
        <v>69</v>
      </c>
      <c r="F1785" t="s">
        <v>4717</v>
      </c>
      <c r="G1785">
        <v>69</v>
      </c>
      <c r="H1785">
        <v>660.96040000000005</v>
      </c>
      <c r="N1785">
        <v>660.96040000000005</v>
      </c>
      <c r="O1785" s="1">
        <v>44947</v>
      </c>
      <c r="P1785">
        <f>IF(ISBLANK(ReconciliationData[[#This Row],[Invoice_ID]]),1,0)</f>
        <v>0</v>
      </c>
      <c r="Q1785">
        <f>IF(AND(NOT(ISBLANK(ReconciliationData[[#This Row],[Billed_Units]])),ReconciliationData[[#This Row],[ordered_units]]&lt;&gt;ReconciliationData[[#This Row],[Billed_Units]]),1,0)</f>
        <v>0</v>
      </c>
      <c r="R17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5">
        <f>IF(AND(NOT(ISBLANK(ReconciliationData[[#This Row],[Contract_Price]])),ReconciliationData[[#This Row],[Billed_Price]]&lt;&gt;ReconciliationData[[#This Row],[Contract_Price]]),1,0)</f>
        <v>0</v>
      </c>
      <c r="T1785">
        <f>IF(AND(NOT(ISBLANK(ReconciliationData[[#This Row],[End_Date]])),ReconciliationData[[#This Row],[Order_Date]]&gt;ReconciliationData[[#This Row],[End_Date]]),1,0)</f>
        <v>0</v>
      </c>
      <c r="U1785">
        <f>IF(AND(NOT(ISBLANK(ReconciliationData[[#This Row],[last_return_date]])),ReconciliationData[[#This Row],[last_return_date]]&gt;ReconciliationData[[#This Row],[Order_Date]]+60),1,0)</f>
        <v>0</v>
      </c>
      <c r="V1785">
        <f>IF(ReconciliationData[[#This Row],[total_returned_units]]&gt;ReconciliationData[[#This Row],[ordered_units]],1,0)</f>
        <v>0</v>
      </c>
      <c r="W17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5">
        <f>ReconciliationData[[#This Row],[Billed_Units]]*ReconciliationData[[#This Row],[Billed_Price]]</f>
        <v>45606.267600000006</v>
      </c>
      <c r="Y1785">
        <f>ReconciliationData[[#This Row],[ordered_units]]*ReconciliationData[[#This Row],[List_Price]]</f>
        <v>45606.267600000006</v>
      </c>
      <c r="Z1785">
        <f>ReconciliationData[[#This Row],[billed_revenue]]-ReconciliationData[[#This Row],[expected_revenue]]</f>
        <v>0</v>
      </c>
      <c r="AA17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5" t="str">
        <f>IF(ReconciliationData[[#This Row],[severity_score]]=0,"LOW",
 IF(ReconciliationData[[#This Row],[severity_score]]&lt;=5,"MEDIUM","HIGH"))</f>
        <v>LOW</v>
      </c>
      <c r="AC1785" t="str">
        <f>TEXT(ReconciliationData[[#This Row],[Order_Date]],"YYYY-MM")</f>
        <v>2023-04</v>
      </c>
    </row>
    <row r="1786" spans="1:29">
      <c r="A1786" t="s">
        <v>4718</v>
      </c>
      <c r="B1786" s="1">
        <v>45259</v>
      </c>
      <c r="C1786" t="s">
        <v>2494</v>
      </c>
      <c r="D1786" t="s">
        <v>158</v>
      </c>
      <c r="E1786">
        <v>190</v>
      </c>
      <c r="F1786" t="s">
        <v>4719</v>
      </c>
      <c r="G1786">
        <v>190</v>
      </c>
      <c r="H1786">
        <v>700.93560000000002</v>
      </c>
      <c r="N1786">
        <v>700.93560000000002</v>
      </c>
      <c r="O1786" s="1">
        <v>45077</v>
      </c>
      <c r="P1786">
        <f>IF(ISBLANK(ReconciliationData[[#This Row],[Invoice_ID]]),1,0)</f>
        <v>0</v>
      </c>
      <c r="Q1786">
        <f>IF(AND(NOT(ISBLANK(ReconciliationData[[#This Row],[Billed_Units]])),ReconciliationData[[#This Row],[ordered_units]]&lt;&gt;ReconciliationData[[#This Row],[Billed_Units]]),1,0)</f>
        <v>0</v>
      </c>
      <c r="R17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6">
        <f>IF(AND(NOT(ISBLANK(ReconciliationData[[#This Row],[Contract_Price]])),ReconciliationData[[#This Row],[Billed_Price]]&lt;&gt;ReconciliationData[[#This Row],[Contract_Price]]),1,0)</f>
        <v>0</v>
      </c>
      <c r="T1786">
        <f>IF(AND(NOT(ISBLANK(ReconciliationData[[#This Row],[End_Date]])),ReconciliationData[[#This Row],[Order_Date]]&gt;ReconciliationData[[#This Row],[End_Date]]),1,0)</f>
        <v>0</v>
      </c>
      <c r="U1786">
        <f>IF(AND(NOT(ISBLANK(ReconciliationData[[#This Row],[last_return_date]])),ReconciliationData[[#This Row],[last_return_date]]&gt;ReconciliationData[[#This Row],[Order_Date]]+60),1,0)</f>
        <v>0</v>
      </c>
      <c r="V1786">
        <f>IF(ReconciliationData[[#This Row],[total_returned_units]]&gt;ReconciliationData[[#This Row],[ordered_units]],1,0)</f>
        <v>0</v>
      </c>
      <c r="W17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6">
        <f>ReconciliationData[[#This Row],[Billed_Units]]*ReconciliationData[[#This Row],[Billed_Price]]</f>
        <v>133177.764</v>
      </c>
      <c r="Y1786">
        <f>ReconciliationData[[#This Row],[ordered_units]]*ReconciliationData[[#This Row],[List_Price]]</f>
        <v>133177.764</v>
      </c>
      <c r="Z1786">
        <f>ReconciliationData[[#This Row],[billed_revenue]]-ReconciliationData[[#This Row],[expected_revenue]]</f>
        <v>0</v>
      </c>
      <c r="AA17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6" t="str">
        <f>IF(ReconciliationData[[#This Row],[severity_score]]=0,"LOW",
 IF(ReconciliationData[[#This Row],[severity_score]]&lt;=5,"MEDIUM","HIGH"))</f>
        <v>LOW</v>
      </c>
      <c r="AC1786" t="str">
        <f>TEXT(ReconciliationData[[#This Row],[Order_Date]],"YYYY-MM")</f>
        <v>2023-11</v>
      </c>
    </row>
    <row r="1787" spans="1:29">
      <c r="A1787" t="s">
        <v>4720</v>
      </c>
      <c r="B1787" s="1">
        <v>45198</v>
      </c>
      <c r="C1787" t="s">
        <v>324</v>
      </c>
      <c r="D1787" t="s">
        <v>753</v>
      </c>
      <c r="E1787">
        <v>139</v>
      </c>
      <c r="F1787" t="s">
        <v>4721</v>
      </c>
      <c r="G1787">
        <v>139</v>
      </c>
      <c r="H1787">
        <v>741.88620000000003</v>
      </c>
      <c r="N1787">
        <v>741.88620000000003</v>
      </c>
      <c r="O1787" s="1">
        <v>44930</v>
      </c>
      <c r="P1787">
        <f>IF(ISBLANK(ReconciliationData[[#This Row],[Invoice_ID]]),1,0)</f>
        <v>0</v>
      </c>
      <c r="Q1787">
        <f>IF(AND(NOT(ISBLANK(ReconciliationData[[#This Row],[Billed_Units]])),ReconciliationData[[#This Row],[ordered_units]]&lt;&gt;ReconciliationData[[#This Row],[Billed_Units]]),1,0)</f>
        <v>0</v>
      </c>
      <c r="R17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7">
        <f>IF(AND(NOT(ISBLANK(ReconciliationData[[#This Row],[Contract_Price]])),ReconciliationData[[#This Row],[Billed_Price]]&lt;&gt;ReconciliationData[[#This Row],[Contract_Price]]),1,0)</f>
        <v>0</v>
      </c>
      <c r="T1787">
        <f>IF(AND(NOT(ISBLANK(ReconciliationData[[#This Row],[End_Date]])),ReconciliationData[[#This Row],[Order_Date]]&gt;ReconciliationData[[#This Row],[End_Date]]),1,0)</f>
        <v>0</v>
      </c>
      <c r="U1787">
        <f>IF(AND(NOT(ISBLANK(ReconciliationData[[#This Row],[last_return_date]])),ReconciliationData[[#This Row],[last_return_date]]&gt;ReconciliationData[[#This Row],[Order_Date]]+60),1,0)</f>
        <v>0</v>
      </c>
      <c r="V1787">
        <f>IF(ReconciliationData[[#This Row],[total_returned_units]]&gt;ReconciliationData[[#This Row],[ordered_units]],1,0)</f>
        <v>0</v>
      </c>
      <c r="W17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7">
        <f>ReconciliationData[[#This Row],[Billed_Units]]*ReconciliationData[[#This Row],[Billed_Price]]</f>
        <v>103122.18180000001</v>
      </c>
      <c r="Y1787">
        <f>ReconciliationData[[#This Row],[ordered_units]]*ReconciliationData[[#This Row],[List_Price]]</f>
        <v>103122.18180000001</v>
      </c>
      <c r="Z1787">
        <f>ReconciliationData[[#This Row],[billed_revenue]]-ReconciliationData[[#This Row],[expected_revenue]]</f>
        <v>0</v>
      </c>
      <c r="AA17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7" t="str">
        <f>IF(ReconciliationData[[#This Row],[severity_score]]=0,"LOW",
 IF(ReconciliationData[[#This Row],[severity_score]]&lt;=5,"MEDIUM","HIGH"))</f>
        <v>LOW</v>
      </c>
      <c r="AC1787" t="str">
        <f>TEXT(ReconciliationData[[#This Row],[Order_Date]],"YYYY-MM")</f>
        <v>2023-09</v>
      </c>
    </row>
    <row r="1788" spans="1:29">
      <c r="A1788" t="s">
        <v>4722</v>
      </c>
      <c r="B1788" s="1">
        <v>45297</v>
      </c>
      <c r="C1788" t="s">
        <v>950</v>
      </c>
      <c r="D1788" t="s">
        <v>267</v>
      </c>
      <c r="E1788">
        <v>67</v>
      </c>
      <c r="F1788" t="s">
        <v>4723</v>
      </c>
      <c r="G1788">
        <v>67</v>
      </c>
      <c r="H1788">
        <v>973.43799999999999</v>
      </c>
      <c r="N1788">
        <v>973.43799999999999</v>
      </c>
      <c r="O1788" s="1">
        <v>45011</v>
      </c>
      <c r="P1788">
        <f>IF(ISBLANK(ReconciliationData[[#This Row],[Invoice_ID]]),1,0)</f>
        <v>0</v>
      </c>
      <c r="Q1788">
        <f>IF(AND(NOT(ISBLANK(ReconciliationData[[#This Row],[Billed_Units]])),ReconciliationData[[#This Row],[ordered_units]]&lt;&gt;ReconciliationData[[#This Row],[Billed_Units]]),1,0)</f>
        <v>0</v>
      </c>
      <c r="R17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8">
        <f>IF(AND(NOT(ISBLANK(ReconciliationData[[#This Row],[Contract_Price]])),ReconciliationData[[#This Row],[Billed_Price]]&lt;&gt;ReconciliationData[[#This Row],[Contract_Price]]),1,0)</f>
        <v>0</v>
      </c>
      <c r="T1788">
        <f>IF(AND(NOT(ISBLANK(ReconciliationData[[#This Row],[End_Date]])),ReconciliationData[[#This Row],[Order_Date]]&gt;ReconciliationData[[#This Row],[End_Date]]),1,0)</f>
        <v>0</v>
      </c>
      <c r="U1788">
        <f>IF(AND(NOT(ISBLANK(ReconciliationData[[#This Row],[last_return_date]])),ReconciliationData[[#This Row],[last_return_date]]&gt;ReconciliationData[[#This Row],[Order_Date]]+60),1,0)</f>
        <v>0</v>
      </c>
      <c r="V1788">
        <f>IF(ReconciliationData[[#This Row],[total_returned_units]]&gt;ReconciliationData[[#This Row],[ordered_units]],1,0)</f>
        <v>0</v>
      </c>
      <c r="W17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8">
        <f>ReconciliationData[[#This Row],[Billed_Units]]*ReconciliationData[[#This Row],[Billed_Price]]</f>
        <v>65220.345999999998</v>
      </c>
      <c r="Y1788">
        <f>ReconciliationData[[#This Row],[ordered_units]]*ReconciliationData[[#This Row],[List_Price]]</f>
        <v>65220.345999999998</v>
      </c>
      <c r="Z1788">
        <f>ReconciliationData[[#This Row],[billed_revenue]]-ReconciliationData[[#This Row],[expected_revenue]]</f>
        <v>0</v>
      </c>
      <c r="AA17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8" t="str">
        <f>IF(ReconciliationData[[#This Row],[severity_score]]=0,"LOW",
 IF(ReconciliationData[[#This Row],[severity_score]]&lt;=5,"MEDIUM","HIGH"))</f>
        <v>LOW</v>
      </c>
      <c r="AC1788" t="str">
        <f>TEXT(ReconciliationData[[#This Row],[Order_Date]],"YYYY-MM")</f>
        <v>2024-01</v>
      </c>
    </row>
    <row r="1789" spans="1:29">
      <c r="A1789" t="s">
        <v>4724</v>
      </c>
      <c r="B1789" s="1">
        <v>45310</v>
      </c>
      <c r="C1789" t="s">
        <v>1515</v>
      </c>
      <c r="D1789" t="s">
        <v>757</v>
      </c>
      <c r="E1789">
        <v>35</v>
      </c>
      <c r="F1789" t="s">
        <v>4725</v>
      </c>
      <c r="G1789">
        <v>35</v>
      </c>
      <c r="H1789">
        <v>744.44590000000005</v>
      </c>
      <c r="N1789">
        <v>744.44590000000005</v>
      </c>
      <c r="O1789" s="1">
        <v>45008</v>
      </c>
      <c r="P1789">
        <f>IF(ISBLANK(ReconciliationData[[#This Row],[Invoice_ID]]),1,0)</f>
        <v>0</v>
      </c>
      <c r="Q1789">
        <f>IF(AND(NOT(ISBLANK(ReconciliationData[[#This Row],[Billed_Units]])),ReconciliationData[[#This Row],[ordered_units]]&lt;&gt;ReconciliationData[[#This Row],[Billed_Units]]),1,0)</f>
        <v>0</v>
      </c>
      <c r="R17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89">
        <f>IF(AND(NOT(ISBLANK(ReconciliationData[[#This Row],[Contract_Price]])),ReconciliationData[[#This Row],[Billed_Price]]&lt;&gt;ReconciliationData[[#This Row],[Contract_Price]]),1,0)</f>
        <v>0</v>
      </c>
      <c r="T1789">
        <f>IF(AND(NOT(ISBLANK(ReconciliationData[[#This Row],[End_Date]])),ReconciliationData[[#This Row],[Order_Date]]&gt;ReconciliationData[[#This Row],[End_Date]]),1,0)</f>
        <v>0</v>
      </c>
      <c r="U1789">
        <f>IF(AND(NOT(ISBLANK(ReconciliationData[[#This Row],[last_return_date]])),ReconciliationData[[#This Row],[last_return_date]]&gt;ReconciliationData[[#This Row],[Order_Date]]+60),1,0)</f>
        <v>0</v>
      </c>
      <c r="V1789">
        <f>IF(ReconciliationData[[#This Row],[total_returned_units]]&gt;ReconciliationData[[#This Row],[ordered_units]],1,0)</f>
        <v>0</v>
      </c>
      <c r="W17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89">
        <f>ReconciliationData[[#This Row],[Billed_Units]]*ReconciliationData[[#This Row],[Billed_Price]]</f>
        <v>26055.606500000002</v>
      </c>
      <c r="Y1789">
        <f>ReconciliationData[[#This Row],[ordered_units]]*ReconciliationData[[#This Row],[List_Price]]</f>
        <v>26055.606500000002</v>
      </c>
      <c r="Z1789">
        <f>ReconciliationData[[#This Row],[billed_revenue]]-ReconciliationData[[#This Row],[expected_revenue]]</f>
        <v>0</v>
      </c>
      <c r="AA17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89" t="str">
        <f>IF(ReconciliationData[[#This Row],[severity_score]]=0,"LOW",
 IF(ReconciliationData[[#This Row],[severity_score]]&lt;=5,"MEDIUM","HIGH"))</f>
        <v>LOW</v>
      </c>
      <c r="AC1789" t="str">
        <f>TEXT(ReconciliationData[[#This Row],[Order_Date]],"YYYY-MM")</f>
        <v>2024-01</v>
      </c>
    </row>
    <row r="1790" spans="1:29">
      <c r="A1790" t="s">
        <v>4726</v>
      </c>
      <c r="B1790" s="1">
        <v>45580</v>
      </c>
      <c r="C1790" t="s">
        <v>2595</v>
      </c>
      <c r="D1790" t="s">
        <v>747</v>
      </c>
      <c r="E1790">
        <v>115</v>
      </c>
      <c r="F1790" t="s">
        <v>4727</v>
      </c>
      <c r="G1790">
        <v>115</v>
      </c>
      <c r="H1790">
        <v>58.98</v>
      </c>
      <c r="N1790">
        <v>58.98</v>
      </c>
      <c r="O1790" s="1">
        <v>44934</v>
      </c>
      <c r="P1790">
        <f>IF(ISBLANK(ReconciliationData[[#This Row],[Invoice_ID]]),1,0)</f>
        <v>0</v>
      </c>
      <c r="Q1790">
        <f>IF(AND(NOT(ISBLANK(ReconciliationData[[#This Row],[Billed_Units]])),ReconciliationData[[#This Row],[ordered_units]]&lt;&gt;ReconciliationData[[#This Row],[Billed_Units]]),1,0)</f>
        <v>0</v>
      </c>
      <c r="R17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0">
        <f>IF(AND(NOT(ISBLANK(ReconciliationData[[#This Row],[Contract_Price]])),ReconciliationData[[#This Row],[Billed_Price]]&lt;&gt;ReconciliationData[[#This Row],[Contract_Price]]),1,0)</f>
        <v>0</v>
      </c>
      <c r="T1790">
        <f>IF(AND(NOT(ISBLANK(ReconciliationData[[#This Row],[End_Date]])),ReconciliationData[[#This Row],[Order_Date]]&gt;ReconciliationData[[#This Row],[End_Date]]),1,0)</f>
        <v>0</v>
      </c>
      <c r="U1790">
        <f>IF(AND(NOT(ISBLANK(ReconciliationData[[#This Row],[last_return_date]])),ReconciliationData[[#This Row],[last_return_date]]&gt;ReconciliationData[[#This Row],[Order_Date]]+60),1,0)</f>
        <v>0</v>
      </c>
      <c r="V1790">
        <f>IF(ReconciliationData[[#This Row],[total_returned_units]]&gt;ReconciliationData[[#This Row],[ordered_units]],1,0)</f>
        <v>0</v>
      </c>
      <c r="W17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0">
        <f>ReconciliationData[[#This Row],[Billed_Units]]*ReconciliationData[[#This Row],[Billed_Price]]</f>
        <v>6782.7</v>
      </c>
      <c r="Y1790">
        <f>ReconciliationData[[#This Row],[ordered_units]]*ReconciliationData[[#This Row],[List_Price]]</f>
        <v>6782.7</v>
      </c>
      <c r="Z1790">
        <f>ReconciliationData[[#This Row],[billed_revenue]]-ReconciliationData[[#This Row],[expected_revenue]]</f>
        <v>0</v>
      </c>
      <c r="AA17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0" t="str">
        <f>IF(ReconciliationData[[#This Row],[severity_score]]=0,"LOW",
 IF(ReconciliationData[[#This Row],[severity_score]]&lt;=5,"MEDIUM","HIGH"))</f>
        <v>LOW</v>
      </c>
      <c r="AC1790" t="str">
        <f>TEXT(ReconciliationData[[#This Row],[Order_Date]],"YYYY-MM")</f>
        <v>2024-10</v>
      </c>
    </row>
    <row r="1791" spans="1:29">
      <c r="A1791" t="s">
        <v>4728</v>
      </c>
      <c r="B1791" s="1">
        <v>45469</v>
      </c>
      <c r="C1791" t="s">
        <v>1588</v>
      </c>
      <c r="D1791" t="s">
        <v>243</v>
      </c>
      <c r="E1791">
        <v>169</v>
      </c>
      <c r="F1791" t="s">
        <v>4729</v>
      </c>
      <c r="G1791">
        <v>169</v>
      </c>
      <c r="H1791">
        <v>129.17519999999999</v>
      </c>
      <c r="I1791">
        <v>18</v>
      </c>
      <c r="J1791" s="1">
        <v>45267</v>
      </c>
      <c r="N1791">
        <v>129.17519999999999</v>
      </c>
      <c r="O1791" s="1">
        <v>45184</v>
      </c>
      <c r="P1791">
        <f>IF(ISBLANK(ReconciliationData[[#This Row],[Invoice_ID]]),1,0)</f>
        <v>0</v>
      </c>
      <c r="Q1791">
        <f>IF(AND(NOT(ISBLANK(ReconciliationData[[#This Row],[Billed_Units]])),ReconciliationData[[#This Row],[ordered_units]]&lt;&gt;ReconciliationData[[#This Row],[Billed_Units]]),1,0)</f>
        <v>0</v>
      </c>
      <c r="R17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1">
        <f>IF(AND(NOT(ISBLANK(ReconciliationData[[#This Row],[Contract_Price]])),ReconciliationData[[#This Row],[Billed_Price]]&lt;&gt;ReconciliationData[[#This Row],[Contract_Price]]),1,0)</f>
        <v>0</v>
      </c>
      <c r="T1791">
        <f>IF(AND(NOT(ISBLANK(ReconciliationData[[#This Row],[End_Date]])),ReconciliationData[[#This Row],[Order_Date]]&gt;ReconciliationData[[#This Row],[End_Date]]),1,0)</f>
        <v>0</v>
      </c>
      <c r="U1791">
        <f>IF(AND(NOT(ISBLANK(ReconciliationData[[#This Row],[last_return_date]])),ReconciliationData[[#This Row],[last_return_date]]&gt;ReconciliationData[[#This Row],[Order_Date]]+60),1,0)</f>
        <v>0</v>
      </c>
      <c r="V1791">
        <f>IF(ReconciliationData[[#This Row],[total_returned_units]]&gt;ReconciliationData[[#This Row],[ordered_units]],1,0)</f>
        <v>0</v>
      </c>
      <c r="W17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1">
        <f>ReconciliationData[[#This Row],[Billed_Units]]*ReconciliationData[[#This Row],[Billed_Price]]</f>
        <v>21830.608799999998</v>
      </c>
      <c r="Y1791">
        <f>ReconciliationData[[#This Row],[ordered_units]]*ReconciliationData[[#This Row],[List_Price]]</f>
        <v>21830.608799999998</v>
      </c>
      <c r="Z1791">
        <f>ReconciliationData[[#This Row],[billed_revenue]]-ReconciliationData[[#This Row],[expected_revenue]]</f>
        <v>0</v>
      </c>
      <c r="AA17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1" t="str">
        <f>IF(ReconciliationData[[#This Row],[severity_score]]=0,"LOW",
 IF(ReconciliationData[[#This Row],[severity_score]]&lt;=5,"MEDIUM","HIGH"))</f>
        <v>LOW</v>
      </c>
      <c r="AC1791" t="str">
        <f>TEXT(ReconciliationData[[#This Row],[Order_Date]],"YYYY-MM")</f>
        <v>2024-06</v>
      </c>
    </row>
    <row r="1792" spans="1:29">
      <c r="A1792" t="s">
        <v>4730</v>
      </c>
      <c r="B1792" s="1">
        <v>45092</v>
      </c>
      <c r="C1792" t="s">
        <v>448</v>
      </c>
      <c r="D1792" t="s">
        <v>1654</v>
      </c>
      <c r="E1792">
        <v>3</v>
      </c>
      <c r="F1792" t="s">
        <v>4731</v>
      </c>
      <c r="G1792">
        <v>3</v>
      </c>
      <c r="H1792">
        <v>1197.9306999999999</v>
      </c>
      <c r="N1792">
        <v>1197.9306999999999</v>
      </c>
      <c r="O1792" s="1">
        <v>45089</v>
      </c>
      <c r="P1792">
        <f>IF(ISBLANK(ReconciliationData[[#This Row],[Invoice_ID]]),1,0)</f>
        <v>0</v>
      </c>
      <c r="Q1792">
        <f>IF(AND(NOT(ISBLANK(ReconciliationData[[#This Row],[Billed_Units]])),ReconciliationData[[#This Row],[ordered_units]]&lt;&gt;ReconciliationData[[#This Row],[Billed_Units]]),1,0)</f>
        <v>0</v>
      </c>
      <c r="R17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2">
        <f>IF(AND(NOT(ISBLANK(ReconciliationData[[#This Row],[Contract_Price]])),ReconciliationData[[#This Row],[Billed_Price]]&lt;&gt;ReconciliationData[[#This Row],[Contract_Price]]),1,0)</f>
        <v>0</v>
      </c>
      <c r="T1792">
        <f>IF(AND(NOT(ISBLANK(ReconciliationData[[#This Row],[End_Date]])),ReconciliationData[[#This Row],[Order_Date]]&gt;ReconciliationData[[#This Row],[End_Date]]),1,0)</f>
        <v>0</v>
      </c>
      <c r="U1792">
        <f>IF(AND(NOT(ISBLANK(ReconciliationData[[#This Row],[last_return_date]])),ReconciliationData[[#This Row],[last_return_date]]&gt;ReconciliationData[[#This Row],[Order_Date]]+60),1,0)</f>
        <v>0</v>
      </c>
      <c r="V1792">
        <f>IF(ReconciliationData[[#This Row],[total_returned_units]]&gt;ReconciliationData[[#This Row],[ordered_units]],1,0)</f>
        <v>0</v>
      </c>
      <c r="W17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2">
        <f>ReconciliationData[[#This Row],[Billed_Units]]*ReconciliationData[[#This Row],[Billed_Price]]</f>
        <v>3593.7920999999997</v>
      </c>
      <c r="Y1792">
        <f>ReconciliationData[[#This Row],[ordered_units]]*ReconciliationData[[#This Row],[List_Price]]</f>
        <v>3593.7920999999997</v>
      </c>
      <c r="Z1792">
        <f>ReconciliationData[[#This Row],[billed_revenue]]-ReconciliationData[[#This Row],[expected_revenue]]</f>
        <v>0</v>
      </c>
      <c r="AA17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2" t="str">
        <f>IF(ReconciliationData[[#This Row],[severity_score]]=0,"LOW",
 IF(ReconciliationData[[#This Row],[severity_score]]&lt;=5,"MEDIUM","HIGH"))</f>
        <v>LOW</v>
      </c>
      <c r="AC1792" t="str">
        <f>TEXT(ReconciliationData[[#This Row],[Order_Date]],"YYYY-MM")</f>
        <v>2023-06</v>
      </c>
    </row>
    <row r="1793" spans="1:29">
      <c r="A1793" t="s">
        <v>4732</v>
      </c>
      <c r="B1793" s="1">
        <v>44991</v>
      </c>
      <c r="C1793" t="s">
        <v>1494</v>
      </c>
      <c r="D1793" t="s">
        <v>255</v>
      </c>
      <c r="E1793">
        <v>58</v>
      </c>
      <c r="F1793" t="s">
        <v>4733</v>
      </c>
      <c r="G1793">
        <v>58</v>
      </c>
      <c r="H1793">
        <v>1040.6099999999999</v>
      </c>
      <c r="N1793">
        <v>1040.6099999999999</v>
      </c>
      <c r="O1793" s="1">
        <v>44682</v>
      </c>
      <c r="P1793">
        <f>IF(ISBLANK(ReconciliationData[[#This Row],[Invoice_ID]]),1,0)</f>
        <v>0</v>
      </c>
      <c r="Q1793">
        <f>IF(AND(NOT(ISBLANK(ReconciliationData[[#This Row],[Billed_Units]])),ReconciliationData[[#This Row],[ordered_units]]&lt;&gt;ReconciliationData[[#This Row],[Billed_Units]]),1,0)</f>
        <v>0</v>
      </c>
      <c r="R17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3">
        <f>IF(AND(NOT(ISBLANK(ReconciliationData[[#This Row],[Contract_Price]])),ReconciliationData[[#This Row],[Billed_Price]]&lt;&gt;ReconciliationData[[#This Row],[Contract_Price]]),1,0)</f>
        <v>0</v>
      </c>
      <c r="T1793">
        <f>IF(AND(NOT(ISBLANK(ReconciliationData[[#This Row],[End_Date]])),ReconciliationData[[#This Row],[Order_Date]]&gt;ReconciliationData[[#This Row],[End_Date]]),1,0)</f>
        <v>0</v>
      </c>
      <c r="U1793">
        <f>IF(AND(NOT(ISBLANK(ReconciliationData[[#This Row],[last_return_date]])),ReconciliationData[[#This Row],[last_return_date]]&gt;ReconciliationData[[#This Row],[Order_Date]]+60),1,0)</f>
        <v>0</v>
      </c>
      <c r="V1793">
        <f>IF(ReconciliationData[[#This Row],[total_returned_units]]&gt;ReconciliationData[[#This Row],[ordered_units]],1,0)</f>
        <v>0</v>
      </c>
      <c r="W17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3">
        <f>ReconciliationData[[#This Row],[Billed_Units]]*ReconciliationData[[#This Row],[Billed_Price]]</f>
        <v>60355.38</v>
      </c>
      <c r="Y1793">
        <f>ReconciliationData[[#This Row],[ordered_units]]*ReconciliationData[[#This Row],[List_Price]]</f>
        <v>60355.38</v>
      </c>
      <c r="Z1793">
        <f>ReconciliationData[[#This Row],[billed_revenue]]-ReconciliationData[[#This Row],[expected_revenue]]</f>
        <v>0</v>
      </c>
      <c r="AA17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3" t="str">
        <f>IF(ReconciliationData[[#This Row],[severity_score]]=0,"LOW",
 IF(ReconciliationData[[#This Row],[severity_score]]&lt;=5,"MEDIUM","HIGH"))</f>
        <v>LOW</v>
      </c>
      <c r="AC1793" t="str">
        <f>TEXT(ReconciliationData[[#This Row],[Order_Date]],"YYYY-MM")</f>
        <v>2023-03</v>
      </c>
    </row>
    <row r="1794" spans="1:29">
      <c r="A1794" t="s">
        <v>4734</v>
      </c>
      <c r="B1794" s="1">
        <v>45593</v>
      </c>
      <c r="C1794" t="s">
        <v>1123</v>
      </c>
      <c r="D1794" t="s">
        <v>3404</v>
      </c>
      <c r="E1794">
        <v>52</v>
      </c>
      <c r="F1794" t="s">
        <v>4735</v>
      </c>
      <c r="G1794">
        <v>52</v>
      </c>
      <c r="H1794">
        <v>850.88400000000001</v>
      </c>
      <c r="N1794">
        <v>850.88400000000001</v>
      </c>
      <c r="O1794" s="1">
        <v>45100</v>
      </c>
      <c r="P1794">
        <f>IF(ISBLANK(ReconciliationData[[#This Row],[Invoice_ID]]),1,0)</f>
        <v>0</v>
      </c>
      <c r="Q1794">
        <f>IF(AND(NOT(ISBLANK(ReconciliationData[[#This Row],[Billed_Units]])),ReconciliationData[[#This Row],[ordered_units]]&lt;&gt;ReconciliationData[[#This Row],[Billed_Units]]),1,0)</f>
        <v>0</v>
      </c>
      <c r="R17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4">
        <f>IF(AND(NOT(ISBLANK(ReconciliationData[[#This Row],[Contract_Price]])),ReconciliationData[[#This Row],[Billed_Price]]&lt;&gt;ReconciliationData[[#This Row],[Contract_Price]]),1,0)</f>
        <v>0</v>
      </c>
      <c r="T1794">
        <f>IF(AND(NOT(ISBLANK(ReconciliationData[[#This Row],[End_Date]])),ReconciliationData[[#This Row],[Order_Date]]&gt;ReconciliationData[[#This Row],[End_Date]]),1,0)</f>
        <v>0</v>
      </c>
      <c r="U1794">
        <f>IF(AND(NOT(ISBLANK(ReconciliationData[[#This Row],[last_return_date]])),ReconciliationData[[#This Row],[last_return_date]]&gt;ReconciliationData[[#This Row],[Order_Date]]+60),1,0)</f>
        <v>0</v>
      </c>
      <c r="V1794">
        <f>IF(ReconciliationData[[#This Row],[total_returned_units]]&gt;ReconciliationData[[#This Row],[ordered_units]],1,0)</f>
        <v>0</v>
      </c>
      <c r="W17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4">
        <f>ReconciliationData[[#This Row],[Billed_Units]]*ReconciliationData[[#This Row],[Billed_Price]]</f>
        <v>44245.968000000001</v>
      </c>
      <c r="Y1794">
        <f>ReconciliationData[[#This Row],[ordered_units]]*ReconciliationData[[#This Row],[List_Price]]</f>
        <v>44245.968000000001</v>
      </c>
      <c r="Z1794">
        <f>ReconciliationData[[#This Row],[billed_revenue]]-ReconciliationData[[#This Row],[expected_revenue]]</f>
        <v>0</v>
      </c>
      <c r="AA17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4" t="str">
        <f>IF(ReconciliationData[[#This Row],[severity_score]]=0,"LOW",
 IF(ReconciliationData[[#This Row],[severity_score]]&lt;=5,"MEDIUM","HIGH"))</f>
        <v>LOW</v>
      </c>
      <c r="AC1794" t="str">
        <f>TEXT(ReconciliationData[[#This Row],[Order_Date]],"YYYY-MM")</f>
        <v>2024-10</v>
      </c>
    </row>
    <row r="1795" spans="1:29">
      <c r="A1795" t="s">
        <v>4736</v>
      </c>
      <c r="B1795" s="1">
        <v>45337</v>
      </c>
      <c r="C1795" t="s">
        <v>2000</v>
      </c>
      <c r="D1795" t="s">
        <v>2563</v>
      </c>
      <c r="E1795">
        <v>178</v>
      </c>
      <c r="F1795" t="s">
        <v>4737</v>
      </c>
      <c r="G1795">
        <v>178</v>
      </c>
      <c r="H1795">
        <v>312.56310000000002</v>
      </c>
      <c r="N1795">
        <v>312.56310000000002</v>
      </c>
      <c r="O1795" s="1">
        <v>45028</v>
      </c>
      <c r="P1795">
        <f>IF(ISBLANK(ReconciliationData[[#This Row],[Invoice_ID]]),1,0)</f>
        <v>0</v>
      </c>
      <c r="Q1795">
        <f>IF(AND(NOT(ISBLANK(ReconciliationData[[#This Row],[Billed_Units]])),ReconciliationData[[#This Row],[ordered_units]]&lt;&gt;ReconciliationData[[#This Row],[Billed_Units]]),1,0)</f>
        <v>0</v>
      </c>
      <c r="R17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5">
        <f>IF(AND(NOT(ISBLANK(ReconciliationData[[#This Row],[Contract_Price]])),ReconciliationData[[#This Row],[Billed_Price]]&lt;&gt;ReconciliationData[[#This Row],[Contract_Price]]),1,0)</f>
        <v>0</v>
      </c>
      <c r="T1795">
        <f>IF(AND(NOT(ISBLANK(ReconciliationData[[#This Row],[End_Date]])),ReconciliationData[[#This Row],[Order_Date]]&gt;ReconciliationData[[#This Row],[End_Date]]),1,0)</f>
        <v>0</v>
      </c>
      <c r="U1795">
        <f>IF(AND(NOT(ISBLANK(ReconciliationData[[#This Row],[last_return_date]])),ReconciliationData[[#This Row],[last_return_date]]&gt;ReconciliationData[[#This Row],[Order_Date]]+60),1,0)</f>
        <v>0</v>
      </c>
      <c r="V1795">
        <f>IF(ReconciliationData[[#This Row],[total_returned_units]]&gt;ReconciliationData[[#This Row],[ordered_units]],1,0)</f>
        <v>0</v>
      </c>
      <c r="W17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5">
        <f>ReconciliationData[[#This Row],[Billed_Units]]*ReconciliationData[[#This Row],[Billed_Price]]</f>
        <v>55636.231800000001</v>
      </c>
      <c r="Y1795">
        <f>ReconciliationData[[#This Row],[ordered_units]]*ReconciliationData[[#This Row],[List_Price]]</f>
        <v>55636.231800000001</v>
      </c>
      <c r="Z1795">
        <f>ReconciliationData[[#This Row],[billed_revenue]]-ReconciliationData[[#This Row],[expected_revenue]]</f>
        <v>0</v>
      </c>
      <c r="AA17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5" t="str">
        <f>IF(ReconciliationData[[#This Row],[severity_score]]=0,"LOW",
 IF(ReconciliationData[[#This Row],[severity_score]]&lt;=5,"MEDIUM","HIGH"))</f>
        <v>LOW</v>
      </c>
      <c r="AC1795" t="str">
        <f>TEXT(ReconciliationData[[#This Row],[Order_Date]],"YYYY-MM")</f>
        <v>2024-02</v>
      </c>
    </row>
    <row r="1796" spans="1:29">
      <c r="A1796" t="s">
        <v>4738</v>
      </c>
      <c r="B1796" s="1">
        <v>45305</v>
      </c>
      <c r="C1796" t="s">
        <v>429</v>
      </c>
      <c r="D1796" t="s">
        <v>732</v>
      </c>
      <c r="E1796">
        <v>61</v>
      </c>
      <c r="F1796" t="s">
        <v>4739</v>
      </c>
      <c r="G1796">
        <v>61</v>
      </c>
      <c r="H1796">
        <v>440.38799999999998</v>
      </c>
      <c r="N1796">
        <v>440.38799999999998</v>
      </c>
      <c r="O1796" s="1">
        <v>45016</v>
      </c>
      <c r="P1796">
        <f>IF(ISBLANK(ReconciliationData[[#This Row],[Invoice_ID]]),1,0)</f>
        <v>0</v>
      </c>
      <c r="Q1796">
        <f>IF(AND(NOT(ISBLANK(ReconciliationData[[#This Row],[Billed_Units]])),ReconciliationData[[#This Row],[ordered_units]]&lt;&gt;ReconciliationData[[#This Row],[Billed_Units]]),1,0)</f>
        <v>0</v>
      </c>
      <c r="R17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6">
        <f>IF(AND(NOT(ISBLANK(ReconciliationData[[#This Row],[Contract_Price]])),ReconciliationData[[#This Row],[Billed_Price]]&lt;&gt;ReconciliationData[[#This Row],[Contract_Price]]),1,0)</f>
        <v>0</v>
      </c>
      <c r="T1796">
        <f>IF(AND(NOT(ISBLANK(ReconciliationData[[#This Row],[End_Date]])),ReconciliationData[[#This Row],[Order_Date]]&gt;ReconciliationData[[#This Row],[End_Date]]),1,0)</f>
        <v>0</v>
      </c>
      <c r="U1796">
        <f>IF(AND(NOT(ISBLANK(ReconciliationData[[#This Row],[last_return_date]])),ReconciliationData[[#This Row],[last_return_date]]&gt;ReconciliationData[[#This Row],[Order_Date]]+60),1,0)</f>
        <v>0</v>
      </c>
      <c r="V1796">
        <f>IF(ReconciliationData[[#This Row],[total_returned_units]]&gt;ReconciliationData[[#This Row],[ordered_units]],1,0)</f>
        <v>0</v>
      </c>
      <c r="W17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6">
        <f>ReconciliationData[[#This Row],[Billed_Units]]*ReconciliationData[[#This Row],[Billed_Price]]</f>
        <v>26863.667999999998</v>
      </c>
      <c r="Y1796">
        <f>ReconciliationData[[#This Row],[ordered_units]]*ReconciliationData[[#This Row],[List_Price]]</f>
        <v>26863.667999999998</v>
      </c>
      <c r="Z1796">
        <f>ReconciliationData[[#This Row],[billed_revenue]]-ReconciliationData[[#This Row],[expected_revenue]]</f>
        <v>0</v>
      </c>
      <c r="AA17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6" t="str">
        <f>IF(ReconciliationData[[#This Row],[severity_score]]=0,"LOW",
 IF(ReconciliationData[[#This Row],[severity_score]]&lt;=5,"MEDIUM","HIGH"))</f>
        <v>LOW</v>
      </c>
      <c r="AC1796" t="str">
        <f>TEXT(ReconciliationData[[#This Row],[Order_Date]],"YYYY-MM")</f>
        <v>2024-01</v>
      </c>
    </row>
    <row r="1797" spans="1:29">
      <c r="A1797" t="s">
        <v>4740</v>
      </c>
      <c r="B1797" s="1">
        <v>45324</v>
      </c>
      <c r="C1797" t="s">
        <v>2268</v>
      </c>
      <c r="D1797" t="s">
        <v>212</v>
      </c>
      <c r="E1797">
        <v>179</v>
      </c>
      <c r="F1797" t="s">
        <v>4741</v>
      </c>
      <c r="G1797">
        <v>179</v>
      </c>
      <c r="H1797">
        <v>833.41650000000004</v>
      </c>
      <c r="N1797">
        <v>833.41650000000004</v>
      </c>
      <c r="O1797" s="1">
        <v>45194</v>
      </c>
      <c r="P1797">
        <f>IF(ISBLANK(ReconciliationData[[#This Row],[Invoice_ID]]),1,0)</f>
        <v>0</v>
      </c>
      <c r="Q1797">
        <f>IF(AND(NOT(ISBLANK(ReconciliationData[[#This Row],[Billed_Units]])),ReconciliationData[[#This Row],[ordered_units]]&lt;&gt;ReconciliationData[[#This Row],[Billed_Units]]),1,0)</f>
        <v>0</v>
      </c>
      <c r="R17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7">
        <f>IF(AND(NOT(ISBLANK(ReconciliationData[[#This Row],[Contract_Price]])),ReconciliationData[[#This Row],[Billed_Price]]&lt;&gt;ReconciliationData[[#This Row],[Contract_Price]]),1,0)</f>
        <v>0</v>
      </c>
      <c r="T1797">
        <f>IF(AND(NOT(ISBLANK(ReconciliationData[[#This Row],[End_Date]])),ReconciliationData[[#This Row],[Order_Date]]&gt;ReconciliationData[[#This Row],[End_Date]]),1,0)</f>
        <v>0</v>
      </c>
      <c r="U1797">
        <f>IF(AND(NOT(ISBLANK(ReconciliationData[[#This Row],[last_return_date]])),ReconciliationData[[#This Row],[last_return_date]]&gt;ReconciliationData[[#This Row],[Order_Date]]+60),1,0)</f>
        <v>0</v>
      </c>
      <c r="V1797">
        <f>IF(ReconciliationData[[#This Row],[total_returned_units]]&gt;ReconciliationData[[#This Row],[ordered_units]],1,0)</f>
        <v>0</v>
      </c>
      <c r="W17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7">
        <f>ReconciliationData[[#This Row],[Billed_Units]]*ReconciliationData[[#This Row],[Billed_Price]]</f>
        <v>149181.55350000001</v>
      </c>
      <c r="Y1797">
        <f>ReconciliationData[[#This Row],[ordered_units]]*ReconciliationData[[#This Row],[List_Price]]</f>
        <v>149181.55350000001</v>
      </c>
      <c r="Z1797">
        <f>ReconciliationData[[#This Row],[billed_revenue]]-ReconciliationData[[#This Row],[expected_revenue]]</f>
        <v>0</v>
      </c>
      <c r="AA17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7" t="str">
        <f>IF(ReconciliationData[[#This Row],[severity_score]]=0,"LOW",
 IF(ReconciliationData[[#This Row],[severity_score]]&lt;=5,"MEDIUM","HIGH"))</f>
        <v>LOW</v>
      </c>
      <c r="AC1797" t="str">
        <f>TEXT(ReconciliationData[[#This Row],[Order_Date]],"YYYY-MM")</f>
        <v>2024-02</v>
      </c>
    </row>
    <row r="1798" spans="1:29">
      <c r="A1798" t="s">
        <v>4742</v>
      </c>
      <c r="B1798" s="1">
        <v>45390</v>
      </c>
      <c r="C1798" t="s">
        <v>1789</v>
      </c>
      <c r="D1798" t="s">
        <v>2622</v>
      </c>
      <c r="E1798">
        <v>168</v>
      </c>
      <c r="F1798" t="s">
        <v>4743</v>
      </c>
      <c r="G1798">
        <v>168</v>
      </c>
      <c r="H1798">
        <v>380.976</v>
      </c>
      <c r="N1798">
        <v>380.976</v>
      </c>
      <c r="O1798" s="1">
        <v>45172</v>
      </c>
      <c r="P1798">
        <f>IF(ISBLANK(ReconciliationData[[#This Row],[Invoice_ID]]),1,0)</f>
        <v>0</v>
      </c>
      <c r="Q1798">
        <f>IF(AND(NOT(ISBLANK(ReconciliationData[[#This Row],[Billed_Units]])),ReconciliationData[[#This Row],[ordered_units]]&lt;&gt;ReconciliationData[[#This Row],[Billed_Units]]),1,0)</f>
        <v>0</v>
      </c>
      <c r="R17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8">
        <f>IF(AND(NOT(ISBLANK(ReconciliationData[[#This Row],[Contract_Price]])),ReconciliationData[[#This Row],[Billed_Price]]&lt;&gt;ReconciliationData[[#This Row],[Contract_Price]]),1,0)</f>
        <v>0</v>
      </c>
      <c r="T1798">
        <f>IF(AND(NOT(ISBLANK(ReconciliationData[[#This Row],[End_Date]])),ReconciliationData[[#This Row],[Order_Date]]&gt;ReconciliationData[[#This Row],[End_Date]]),1,0)</f>
        <v>0</v>
      </c>
      <c r="U1798">
        <f>IF(AND(NOT(ISBLANK(ReconciliationData[[#This Row],[last_return_date]])),ReconciliationData[[#This Row],[last_return_date]]&gt;ReconciliationData[[#This Row],[Order_Date]]+60),1,0)</f>
        <v>0</v>
      </c>
      <c r="V1798">
        <f>IF(ReconciliationData[[#This Row],[total_returned_units]]&gt;ReconciliationData[[#This Row],[ordered_units]],1,0)</f>
        <v>0</v>
      </c>
      <c r="W17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8">
        <f>ReconciliationData[[#This Row],[Billed_Units]]*ReconciliationData[[#This Row],[Billed_Price]]</f>
        <v>64003.968000000001</v>
      </c>
      <c r="Y1798">
        <f>ReconciliationData[[#This Row],[ordered_units]]*ReconciliationData[[#This Row],[List_Price]]</f>
        <v>64003.968000000001</v>
      </c>
      <c r="Z1798">
        <f>ReconciliationData[[#This Row],[billed_revenue]]-ReconciliationData[[#This Row],[expected_revenue]]</f>
        <v>0</v>
      </c>
      <c r="AA17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8" t="str">
        <f>IF(ReconciliationData[[#This Row],[severity_score]]=0,"LOW",
 IF(ReconciliationData[[#This Row],[severity_score]]&lt;=5,"MEDIUM","HIGH"))</f>
        <v>LOW</v>
      </c>
      <c r="AC1798" t="str">
        <f>TEXT(ReconciliationData[[#This Row],[Order_Date]],"YYYY-MM")</f>
        <v>2024-04</v>
      </c>
    </row>
    <row r="1799" spans="1:29">
      <c r="A1799" t="s">
        <v>4744</v>
      </c>
      <c r="B1799" s="1">
        <v>45379</v>
      </c>
      <c r="C1799" t="s">
        <v>642</v>
      </c>
      <c r="D1799" t="s">
        <v>1175</v>
      </c>
      <c r="E1799">
        <v>137</v>
      </c>
      <c r="F1799" t="s">
        <v>4745</v>
      </c>
      <c r="G1799">
        <v>137</v>
      </c>
      <c r="H1799">
        <v>589.66600000000005</v>
      </c>
      <c r="N1799">
        <v>589.66600000000005</v>
      </c>
      <c r="O1799" s="1">
        <v>45218</v>
      </c>
      <c r="P1799">
        <f>IF(ISBLANK(ReconciliationData[[#This Row],[Invoice_ID]]),1,0)</f>
        <v>0</v>
      </c>
      <c r="Q1799">
        <f>IF(AND(NOT(ISBLANK(ReconciliationData[[#This Row],[Billed_Units]])),ReconciliationData[[#This Row],[ordered_units]]&lt;&gt;ReconciliationData[[#This Row],[Billed_Units]]),1,0)</f>
        <v>0</v>
      </c>
      <c r="R17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799">
        <f>IF(AND(NOT(ISBLANK(ReconciliationData[[#This Row],[Contract_Price]])),ReconciliationData[[#This Row],[Billed_Price]]&lt;&gt;ReconciliationData[[#This Row],[Contract_Price]]),1,0)</f>
        <v>0</v>
      </c>
      <c r="T1799">
        <f>IF(AND(NOT(ISBLANK(ReconciliationData[[#This Row],[End_Date]])),ReconciliationData[[#This Row],[Order_Date]]&gt;ReconciliationData[[#This Row],[End_Date]]),1,0)</f>
        <v>0</v>
      </c>
      <c r="U1799">
        <f>IF(AND(NOT(ISBLANK(ReconciliationData[[#This Row],[last_return_date]])),ReconciliationData[[#This Row],[last_return_date]]&gt;ReconciliationData[[#This Row],[Order_Date]]+60),1,0)</f>
        <v>0</v>
      </c>
      <c r="V1799">
        <f>IF(ReconciliationData[[#This Row],[total_returned_units]]&gt;ReconciliationData[[#This Row],[ordered_units]],1,0)</f>
        <v>0</v>
      </c>
      <c r="W17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799">
        <f>ReconciliationData[[#This Row],[Billed_Units]]*ReconciliationData[[#This Row],[Billed_Price]]</f>
        <v>80784.242000000013</v>
      </c>
      <c r="Y1799">
        <f>ReconciliationData[[#This Row],[ordered_units]]*ReconciliationData[[#This Row],[List_Price]]</f>
        <v>80784.242000000013</v>
      </c>
      <c r="Z1799">
        <f>ReconciliationData[[#This Row],[billed_revenue]]-ReconciliationData[[#This Row],[expected_revenue]]</f>
        <v>0</v>
      </c>
      <c r="AA17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799" t="str">
        <f>IF(ReconciliationData[[#This Row],[severity_score]]=0,"LOW",
 IF(ReconciliationData[[#This Row],[severity_score]]&lt;=5,"MEDIUM","HIGH"))</f>
        <v>LOW</v>
      </c>
      <c r="AC1799" t="str">
        <f>TEXT(ReconciliationData[[#This Row],[Order_Date]],"YYYY-MM")</f>
        <v>2024-03</v>
      </c>
    </row>
    <row r="1800" spans="1:29">
      <c r="A1800" t="s">
        <v>4746</v>
      </c>
      <c r="B1800" s="1">
        <v>45590</v>
      </c>
      <c r="C1800" t="s">
        <v>4747</v>
      </c>
      <c r="D1800" t="s">
        <v>628</v>
      </c>
      <c r="E1800">
        <v>119</v>
      </c>
      <c r="F1800" t="s">
        <v>4748</v>
      </c>
      <c r="G1800">
        <v>119</v>
      </c>
      <c r="H1800">
        <v>322.71780000000001</v>
      </c>
      <c r="N1800">
        <v>322.71780000000001</v>
      </c>
      <c r="O1800" s="1">
        <v>45169</v>
      </c>
      <c r="P1800">
        <f>IF(ISBLANK(ReconciliationData[[#This Row],[Invoice_ID]]),1,0)</f>
        <v>0</v>
      </c>
      <c r="Q1800">
        <f>IF(AND(NOT(ISBLANK(ReconciliationData[[#This Row],[Billed_Units]])),ReconciliationData[[#This Row],[ordered_units]]&lt;&gt;ReconciliationData[[#This Row],[Billed_Units]]),1,0)</f>
        <v>0</v>
      </c>
      <c r="R18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0">
        <f>IF(AND(NOT(ISBLANK(ReconciliationData[[#This Row],[Contract_Price]])),ReconciliationData[[#This Row],[Billed_Price]]&lt;&gt;ReconciliationData[[#This Row],[Contract_Price]]),1,0)</f>
        <v>0</v>
      </c>
      <c r="T1800">
        <f>IF(AND(NOT(ISBLANK(ReconciliationData[[#This Row],[End_Date]])),ReconciliationData[[#This Row],[Order_Date]]&gt;ReconciliationData[[#This Row],[End_Date]]),1,0)</f>
        <v>0</v>
      </c>
      <c r="U1800">
        <f>IF(AND(NOT(ISBLANK(ReconciliationData[[#This Row],[last_return_date]])),ReconciliationData[[#This Row],[last_return_date]]&gt;ReconciliationData[[#This Row],[Order_Date]]+60),1,0)</f>
        <v>0</v>
      </c>
      <c r="V1800">
        <f>IF(ReconciliationData[[#This Row],[total_returned_units]]&gt;ReconciliationData[[#This Row],[ordered_units]],1,0)</f>
        <v>0</v>
      </c>
      <c r="W18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0">
        <f>ReconciliationData[[#This Row],[Billed_Units]]*ReconciliationData[[#This Row],[Billed_Price]]</f>
        <v>38403.4182</v>
      </c>
      <c r="Y1800">
        <f>ReconciliationData[[#This Row],[ordered_units]]*ReconciliationData[[#This Row],[List_Price]]</f>
        <v>38403.4182</v>
      </c>
      <c r="Z1800">
        <f>ReconciliationData[[#This Row],[billed_revenue]]-ReconciliationData[[#This Row],[expected_revenue]]</f>
        <v>0</v>
      </c>
      <c r="AA18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0" t="str">
        <f>IF(ReconciliationData[[#This Row],[severity_score]]=0,"LOW",
 IF(ReconciliationData[[#This Row],[severity_score]]&lt;=5,"MEDIUM","HIGH"))</f>
        <v>LOW</v>
      </c>
      <c r="AC1800" t="str">
        <f>TEXT(ReconciliationData[[#This Row],[Order_Date]],"YYYY-MM")</f>
        <v>2024-10</v>
      </c>
    </row>
    <row r="1801" spans="1:29">
      <c r="A1801" t="s">
        <v>4749</v>
      </c>
      <c r="B1801" s="1">
        <v>45381</v>
      </c>
      <c r="C1801" t="s">
        <v>1778</v>
      </c>
      <c r="D1801" t="s">
        <v>1142</v>
      </c>
      <c r="E1801">
        <v>181</v>
      </c>
      <c r="F1801" t="s">
        <v>4750</v>
      </c>
      <c r="G1801">
        <v>181</v>
      </c>
      <c r="H1801">
        <v>624.37260000000003</v>
      </c>
      <c r="N1801">
        <v>624.37260000000003</v>
      </c>
      <c r="O1801" s="1">
        <v>44932</v>
      </c>
      <c r="P1801">
        <f>IF(ISBLANK(ReconciliationData[[#This Row],[Invoice_ID]]),1,0)</f>
        <v>0</v>
      </c>
      <c r="Q1801">
        <f>IF(AND(NOT(ISBLANK(ReconciliationData[[#This Row],[Billed_Units]])),ReconciliationData[[#This Row],[ordered_units]]&lt;&gt;ReconciliationData[[#This Row],[Billed_Units]]),1,0)</f>
        <v>0</v>
      </c>
      <c r="R18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1">
        <f>IF(AND(NOT(ISBLANK(ReconciliationData[[#This Row],[Contract_Price]])),ReconciliationData[[#This Row],[Billed_Price]]&lt;&gt;ReconciliationData[[#This Row],[Contract_Price]]),1,0)</f>
        <v>0</v>
      </c>
      <c r="T1801">
        <f>IF(AND(NOT(ISBLANK(ReconciliationData[[#This Row],[End_Date]])),ReconciliationData[[#This Row],[Order_Date]]&gt;ReconciliationData[[#This Row],[End_Date]]),1,0)</f>
        <v>0</v>
      </c>
      <c r="U1801">
        <f>IF(AND(NOT(ISBLANK(ReconciliationData[[#This Row],[last_return_date]])),ReconciliationData[[#This Row],[last_return_date]]&gt;ReconciliationData[[#This Row],[Order_Date]]+60),1,0)</f>
        <v>0</v>
      </c>
      <c r="V1801">
        <f>IF(ReconciliationData[[#This Row],[total_returned_units]]&gt;ReconciliationData[[#This Row],[ordered_units]],1,0)</f>
        <v>0</v>
      </c>
      <c r="W18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1">
        <f>ReconciliationData[[#This Row],[Billed_Units]]*ReconciliationData[[#This Row],[Billed_Price]]</f>
        <v>113011.4406</v>
      </c>
      <c r="Y1801">
        <f>ReconciliationData[[#This Row],[ordered_units]]*ReconciliationData[[#This Row],[List_Price]]</f>
        <v>113011.4406</v>
      </c>
      <c r="Z1801">
        <f>ReconciliationData[[#This Row],[billed_revenue]]-ReconciliationData[[#This Row],[expected_revenue]]</f>
        <v>0</v>
      </c>
      <c r="AA18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1" t="str">
        <f>IF(ReconciliationData[[#This Row],[severity_score]]=0,"LOW",
 IF(ReconciliationData[[#This Row],[severity_score]]&lt;=5,"MEDIUM","HIGH"))</f>
        <v>LOW</v>
      </c>
      <c r="AC1801" t="str">
        <f>TEXT(ReconciliationData[[#This Row],[Order_Date]],"YYYY-MM")</f>
        <v>2024-03</v>
      </c>
    </row>
    <row r="1802" spans="1:29">
      <c r="A1802" t="s">
        <v>4751</v>
      </c>
      <c r="B1802" s="1">
        <v>45088</v>
      </c>
      <c r="C1802" t="s">
        <v>1016</v>
      </c>
      <c r="D1802" t="s">
        <v>898</v>
      </c>
      <c r="E1802">
        <v>102</v>
      </c>
      <c r="F1802" t="s">
        <v>4752</v>
      </c>
      <c r="G1802">
        <v>102</v>
      </c>
      <c r="H1802">
        <v>775.08529999999996</v>
      </c>
      <c r="N1802">
        <v>775.08529999999996</v>
      </c>
      <c r="O1802" s="1">
        <v>44892</v>
      </c>
      <c r="P1802">
        <f>IF(ISBLANK(ReconciliationData[[#This Row],[Invoice_ID]]),1,0)</f>
        <v>0</v>
      </c>
      <c r="Q1802">
        <f>IF(AND(NOT(ISBLANK(ReconciliationData[[#This Row],[Billed_Units]])),ReconciliationData[[#This Row],[ordered_units]]&lt;&gt;ReconciliationData[[#This Row],[Billed_Units]]),1,0)</f>
        <v>0</v>
      </c>
      <c r="R18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2">
        <f>IF(AND(NOT(ISBLANK(ReconciliationData[[#This Row],[Contract_Price]])),ReconciliationData[[#This Row],[Billed_Price]]&lt;&gt;ReconciliationData[[#This Row],[Contract_Price]]),1,0)</f>
        <v>0</v>
      </c>
      <c r="T1802">
        <f>IF(AND(NOT(ISBLANK(ReconciliationData[[#This Row],[End_Date]])),ReconciliationData[[#This Row],[Order_Date]]&gt;ReconciliationData[[#This Row],[End_Date]]),1,0)</f>
        <v>0</v>
      </c>
      <c r="U1802">
        <f>IF(AND(NOT(ISBLANK(ReconciliationData[[#This Row],[last_return_date]])),ReconciliationData[[#This Row],[last_return_date]]&gt;ReconciliationData[[#This Row],[Order_Date]]+60),1,0)</f>
        <v>0</v>
      </c>
      <c r="V1802">
        <f>IF(ReconciliationData[[#This Row],[total_returned_units]]&gt;ReconciliationData[[#This Row],[ordered_units]],1,0)</f>
        <v>0</v>
      </c>
      <c r="W18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2">
        <f>ReconciliationData[[#This Row],[Billed_Units]]*ReconciliationData[[#This Row],[Billed_Price]]</f>
        <v>79058.700599999996</v>
      </c>
      <c r="Y1802">
        <f>ReconciliationData[[#This Row],[ordered_units]]*ReconciliationData[[#This Row],[List_Price]]</f>
        <v>79058.700599999996</v>
      </c>
      <c r="Z1802">
        <f>ReconciliationData[[#This Row],[billed_revenue]]-ReconciliationData[[#This Row],[expected_revenue]]</f>
        <v>0</v>
      </c>
      <c r="AA18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2" t="str">
        <f>IF(ReconciliationData[[#This Row],[severity_score]]=0,"LOW",
 IF(ReconciliationData[[#This Row],[severity_score]]&lt;=5,"MEDIUM","HIGH"))</f>
        <v>LOW</v>
      </c>
      <c r="AC1802" t="str">
        <f>TEXT(ReconciliationData[[#This Row],[Order_Date]],"YYYY-MM")</f>
        <v>2023-06</v>
      </c>
    </row>
    <row r="1803" spans="1:29">
      <c r="A1803" t="s">
        <v>4753</v>
      </c>
      <c r="B1803" s="1">
        <v>45567</v>
      </c>
      <c r="C1803" t="s">
        <v>731</v>
      </c>
      <c r="D1803" t="s">
        <v>142</v>
      </c>
      <c r="E1803">
        <v>92</v>
      </c>
      <c r="F1803" t="s">
        <v>4754</v>
      </c>
      <c r="G1803">
        <v>92</v>
      </c>
      <c r="H1803">
        <v>189.1498</v>
      </c>
      <c r="N1803">
        <v>189.1498</v>
      </c>
      <c r="O1803" s="1">
        <v>45108</v>
      </c>
      <c r="P1803">
        <f>IF(ISBLANK(ReconciliationData[[#This Row],[Invoice_ID]]),1,0)</f>
        <v>0</v>
      </c>
      <c r="Q1803">
        <f>IF(AND(NOT(ISBLANK(ReconciliationData[[#This Row],[Billed_Units]])),ReconciliationData[[#This Row],[ordered_units]]&lt;&gt;ReconciliationData[[#This Row],[Billed_Units]]),1,0)</f>
        <v>0</v>
      </c>
      <c r="R18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3">
        <f>IF(AND(NOT(ISBLANK(ReconciliationData[[#This Row],[Contract_Price]])),ReconciliationData[[#This Row],[Billed_Price]]&lt;&gt;ReconciliationData[[#This Row],[Contract_Price]]),1,0)</f>
        <v>0</v>
      </c>
      <c r="T1803">
        <f>IF(AND(NOT(ISBLANK(ReconciliationData[[#This Row],[End_Date]])),ReconciliationData[[#This Row],[Order_Date]]&gt;ReconciliationData[[#This Row],[End_Date]]),1,0)</f>
        <v>0</v>
      </c>
      <c r="U1803">
        <f>IF(AND(NOT(ISBLANK(ReconciliationData[[#This Row],[last_return_date]])),ReconciliationData[[#This Row],[last_return_date]]&gt;ReconciliationData[[#This Row],[Order_Date]]+60),1,0)</f>
        <v>0</v>
      </c>
      <c r="V1803">
        <f>IF(ReconciliationData[[#This Row],[total_returned_units]]&gt;ReconciliationData[[#This Row],[ordered_units]],1,0)</f>
        <v>0</v>
      </c>
      <c r="W18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3">
        <f>ReconciliationData[[#This Row],[Billed_Units]]*ReconciliationData[[#This Row],[Billed_Price]]</f>
        <v>17401.781599999998</v>
      </c>
      <c r="Y1803">
        <f>ReconciliationData[[#This Row],[ordered_units]]*ReconciliationData[[#This Row],[List_Price]]</f>
        <v>17401.781599999998</v>
      </c>
      <c r="Z1803">
        <f>ReconciliationData[[#This Row],[billed_revenue]]-ReconciliationData[[#This Row],[expected_revenue]]</f>
        <v>0</v>
      </c>
      <c r="AA18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3" t="str">
        <f>IF(ReconciliationData[[#This Row],[severity_score]]=0,"LOW",
 IF(ReconciliationData[[#This Row],[severity_score]]&lt;=5,"MEDIUM","HIGH"))</f>
        <v>LOW</v>
      </c>
      <c r="AC1803" t="str">
        <f>TEXT(ReconciliationData[[#This Row],[Order_Date]],"YYYY-MM")</f>
        <v>2024-10</v>
      </c>
    </row>
    <row r="1804" spans="1:29">
      <c r="A1804" t="s">
        <v>4755</v>
      </c>
      <c r="B1804" s="1">
        <v>45509</v>
      </c>
      <c r="C1804" t="s">
        <v>990</v>
      </c>
      <c r="D1804" t="s">
        <v>522</v>
      </c>
      <c r="E1804">
        <v>83</v>
      </c>
      <c r="F1804" t="s">
        <v>4756</v>
      </c>
      <c r="G1804">
        <v>83</v>
      </c>
      <c r="H1804">
        <v>826.46400000000006</v>
      </c>
      <c r="N1804">
        <v>826.46400000000006</v>
      </c>
      <c r="O1804" s="1">
        <v>45128</v>
      </c>
      <c r="P1804">
        <f>IF(ISBLANK(ReconciliationData[[#This Row],[Invoice_ID]]),1,0)</f>
        <v>0</v>
      </c>
      <c r="Q1804">
        <f>IF(AND(NOT(ISBLANK(ReconciliationData[[#This Row],[Billed_Units]])),ReconciliationData[[#This Row],[ordered_units]]&lt;&gt;ReconciliationData[[#This Row],[Billed_Units]]),1,0)</f>
        <v>0</v>
      </c>
      <c r="R18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4">
        <f>IF(AND(NOT(ISBLANK(ReconciliationData[[#This Row],[Contract_Price]])),ReconciliationData[[#This Row],[Billed_Price]]&lt;&gt;ReconciliationData[[#This Row],[Contract_Price]]),1,0)</f>
        <v>0</v>
      </c>
      <c r="T1804">
        <f>IF(AND(NOT(ISBLANK(ReconciliationData[[#This Row],[End_Date]])),ReconciliationData[[#This Row],[Order_Date]]&gt;ReconciliationData[[#This Row],[End_Date]]),1,0)</f>
        <v>0</v>
      </c>
      <c r="U1804">
        <f>IF(AND(NOT(ISBLANK(ReconciliationData[[#This Row],[last_return_date]])),ReconciliationData[[#This Row],[last_return_date]]&gt;ReconciliationData[[#This Row],[Order_Date]]+60),1,0)</f>
        <v>0</v>
      </c>
      <c r="V1804">
        <f>IF(ReconciliationData[[#This Row],[total_returned_units]]&gt;ReconciliationData[[#This Row],[ordered_units]],1,0)</f>
        <v>0</v>
      </c>
      <c r="W18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4">
        <f>ReconciliationData[[#This Row],[Billed_Units]]*ReconciliationData[[#This Row],[Billed_Price]]</f>
        <v>68596.512000000002</v>
      </c>
      <c r="Y1804">
        <f>ReconciliationData[[#This Row],[ordered_units]]*ReconciliationData[[#This Row],[List_Price]]</f>
        <v>68596.512000000002</v>
      </c>
      <c r="Z1804">
        <f>ReconciliationData[[#This Row],[billed_revenue]]-ReconciliationData[[#This Row],[expected_revenue]]</f>
        <v>0</v>
      </c>
      <c r="AA18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4" t="str">
        <f>IF(ReconciliationData[[#This Row],[severity_score]]=0,"LOW",
 IF(ReconciliationData[[#This Row],[severity_score]]&lt;=5,"MEDIUM","HIGH"))</f>
        <v>LOW</v>
      </c>
      <c r="AC1804" t="str">
        <f>TEXT(ReconciliationData[[#This Row],[Order_Date]],"YYYY-MM")</f>
        <v>2024-08</v>
      </c>
    </row>
    <row r="1805" spans="1:29">
      <c r="A1805" t="s">
        <v>4757</v>
      </c>
      <c r="B1805" s="1">
        <v>45555</v>
      </c>
      <c r="C1805" t="s">
        <v>4758</v>
      </c>
      <c r="D1805" t="s">
        <v>317</v>
      </c>
      <c r="E1805">
        <v>35</v>
      </c>
      <c r="F1805" t="s">
        <v>4759</v>
      </c>
      <c r="G1805">
        <v>35</v>
      </c>
      <c r="H1805">
        <v>1119.3012000000001</v>
      </c>
      <c r="N1805">
        <v>1119.3012000000001</v>
      </c>
      <c r="O1805" s="1">
        <v>45091</v>
      </c>
      <c r="P1805">
        <f>IF(ISBLANK(ReconciliationData[[#This Row],[Invoice_ID]]),1,0)</f>
        <v>0</v>
      </c>
      <c r="Q1805">
        <f>IF(AND(NOT(ISBLANK(ReconciliationData[[#This Row],[Billed_Units]])),ReconciliationData[[#This Row],[ordered_units]]&lt;&gt;ReconciliationData[[#This Row],[Billed_Units]]),1,0)</f>
        <v>0</v>
      </c>
      <c r="R18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5">
        <f>IF(AND(NOT(ISBLANK(ReconciliationData[[#This Row],[Contract_Price]])),ReconciliationData[[#This Row],[Billed_Price]]&lt;&gt;ReconciliationData[[#This Row],[Contract_Price]]),1,0)</f>
        <v>0</v>
      </c>
      <c r="T1805">
        <f>IF(AND(NOT(ISBLANK(ReconciliationData[[#This Row],[End_Date]])),ReconciliationData[[#This Row],[Order_Date]]&gt;ReconciliationData[[#This Row],[End_Date]]),1,0)</f>
        <v>0</v>
      </c>
      <c r="U1805">
        <f>IF(AND(NOT(ISBLANK(ReconciliationData[[#This Row],[last_return_date]])),ReconciliationData[[#This Row],[last_return_date]]&gt;ReconciliationData[[#This Row],[Order_Date]]+60),1,0)</f>
        <v>0</v>
      </c>
      <c r="V1805">
        <f>IF(ReconciliationData[[#This Row],[total_returned_units]]&gt;ReconciliationData[[#This Row],[ordered_units]],1,0)</f>
        <v>0</v>
      </c>
      <c r="W18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5">
        <f>ReconciliationData[[#This Row],[Billed_Units]]*ReconciliationData[[#This Row],[Billed_Price]]</f>
        <v>39175.542000000001</v>
      </c>
      <c r="Y1805">
        <f>ReconciliationData[[#This Row],[ordered_units]]*ReconciliationData[[#This Row],[List_Price]]</f>
        <v>39175.542000000001</v>
      </c>
      <c r="Z1805">
        <f>ReconciliationData[[#This Row],[billed_revenue]]-ReconciliationData[[#This Row],[expected_revenue]]</f>
        <v>0</v>
      </c>
      <c r="AA18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5" t="str">
        <f>IF(ReconciliationData[[#This Row],[severity_score]]=0,"LOW",
 IF(ReconciliationData[[#This Row],[severity_score]]&lt;=5,"MEDIUM","HIGH"))</f>
        <v>LOW</v>
      </c>
      <c r="AC1805" t="str">
        <f>TEXT(ReconciliationData[[#This Row],[Order_Date]],"YYYY-MM")</f>
        <v>2024-09</v>
      </c>
    </row>
    <row r="1806" spans="1:29">
      <c r="A1806" t="s">
        <v>4760</v>
      </c>
      <c r="B1806" s="1">
        <v>45301</v>
      </c>
      <c r="C1806" t="s">
        <v>3565</v>
      </c>
      <c r="D1806" t="s">
        <v>525</v>
      </c>
      <c r="E1806">
        <v>65</v>
      </c>
      <c r="F1806" t="s">
        <v>4761</v>
      </c>
      <c r="G1806">
        <v>65</v>
      </c>
      <c r="H1806">
        <v>249.1748</v>
      </c>
      <c r="N1806">
        <v>249.1748</v>
      </c>
      <c r="O1806" s="1">
        <v>45141</v>
      </c>
      <c r="P1806">
        <f>IF(ISBLANK(ReconciliationData[[#This Row],[Invoice_ID]]),1,0)</f>
        <v>0</v>
      </c>
      <c r="Q1806">
        <f>IF(AND(NOT(ISBLANK(ReconciliationData[[#This Row],[Billed_Units]])),ReconciliationData[[#This Row],[ordered_units]]&lt;&gt;ReconciliationData[[#This Row],[Billed_Units]]),1,0)</f>
        <v>0</v>
      </c>
      <c r="R18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6">
        <f>IF(AND(NOT(ISBLANK(ReconciliationData[[#This Row],[Contract_Price]])),ReconciliationData[[#This Row],[Billed_Price]]&lt;&gt;ReconciliationData[[#This Row],[Contract_Price]]),1,0)</f>
        <v>0</v>
      </c>
      <c r="T1806">
        <f>IF(AND(NOT(ISBLANK(ReconciliationData[[#This Row],[End_Date]])),ReconciliationData[[#This Row],[Order_Date]]&gt;ReconciliationData[[#This Row],[End_Date]]),1,0)</f>
        <v>0</v>
      </c>
      <c r="U1806">
        <f>IF(AND(NOT(ISBLANK(ReconciliationData[[#This Row],[last_return_date]])),ReconciliationData[[#This Row],[last_return_date]]&gt;ReconciliationData[[#This Row],[Order_Date]]+60),1,0)</f>
        <v>0</v>
      </c>
      <c r="V1806">
        <f>IF(ReconciliationData[[#This Row],[total_returned_units]]&gt;ReconciliationData[[#This Row],[ordered_units]],1,0)</f>
        <v>0</v>
      </c>
      <c r="W18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6">
        <f>ReconciliationData[[#This Row],[Billed_Units]]*ReconciliationData[[#This Row],[Billed_Price]]</f>
        <v>16196.362000000001</v>
      </c>
      <c r="Y1806">
        <f>ReconciliationData[[#This Row],[ordered_units]]*ReconciliationData[[#This Row],[List_Price]]</f>
        <v>16196.362000000001</v>
      </c>
      <c r="Z1806">
        <f>ReconciliationData[[#This Row],[billed_revenue]]-ReconciliationData[[#This Row],[expected_revenue]]</f>
        <v>0</v>
      </c>
      <c r="AA18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6" t="str">
        <f>IF(ReconciliationData[[#This Row],[severity_score]]=0,"LOW",
 IF(ReconciliationData[[#This Row],[severity_score]]&lt;=5,"MEDIUM","HIGH"))</f>
        <v>LOW</v>
      </c>
      <c r="AC1806" t="str">
        <f>TEXT(ReconciliationData[[#This Row],[Order_Date]],"YYYY-MM")</f>
        <v>2024-01</v>
      </c>
    </row>
    <row r="1807" spans="1:29">
      <c r="A1807" t="s">
        <v>4762</v>
      </c>
      <c r="B1807" s="1">
        <v>45416</v>
      </c>
      <c r="C1807" t="s">
        <v>1270</v>
      </c>
      <c r="D1807" t="s">
        <v>1945</v>
      </c>
      <c r="E1807">
        <v>17</v>
      </c>
      <c r="F1807" t="s">
        <v>4763</v>
      </c>
      <c r="G1807">
        <v>17</v>
      </c>
      <c r="H1807">
        <v>1178.6880000000001</v>
      </c>
      <c r="N1807">
        <v>1178.6880000000001</v>
      </c>
      <c r="O1807" s="1">
        <v>44930</v>
      </c>
      <c r="P1807">
        <f>IF(ISBLANK(ReconciliationData[[#This Row],[Invoice_ID]]),1,0)</f>
        <v>0</v>
      </c>
      <c r="Q1807">
        <f>IF(AND(NOT(ISBLANK(ReconciliationData[[#This Row],[Billed_Units]])),ReconciliationData[[#This Row],[ordered_units]]&lt;&gt;ReconciliationData[[#This Row],[Billed_Units]]),1,0)</f>
        <v>0</v>
      </c>
      <c r="R18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7">
        <f>IF(AND(NOT(ISBLANK(ReconciliationData[[#This Row],[Contract_Price]])),ReconciliationData[[#This Row],[Billed_Price]]&lt;&gt;ReconciliationData[[#This Row],[Contract_Price]]),1,0)</f>
        <v>0</v>
      </c>
      <c r="T1807">
        <f>IF(AND(NOT(ISBLANK(ReconciliationData[[#This Row],[End_Date]])),ReconciliationData[[#This Row],[Order_Date]]&gt;ReconciliationData[[#This Row],[End_Date]]),1,0)</f>
        <v>0</v>
      </c>
      <c r="U1807">
        <f>IF(AND(NOT(ISBLANK(ReconciliationData[[#This Row],[last_return_date]])),ReconciliationData[[#This Row],[last_return_date]]&gt;ReconciliationData[[#This Row],[Order_Date]]+60),1,0)</f>
        <v>0</v>
      </c>
      <c r="V1807">
        <f>IF(ReconciliationData[[#This Row],[total_returned_units]]&gt;ReconciliationData[[#This Row],[ordered_units]],1,0)</f>
        <v>0</v>
      </c>
      <c r="W18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7">
        <f>ReconciliationData[[#This Row],[Billed_Units]]*ReconciliationData[[#This Row],[Billed_Price]]</f>
        <v>20037.696000000004</v>
      </c>
      <c r="Y1807">
        <f>ReconciliationData[[#This Row],[ordered_units]]*ReconciliationData[[#This Row],[List_Price]]</f>
        <v>20037.696000000004</v>
      </c>
      <c r="Z1807">
        <f>ReconciliationData[[#This Row],[billed_revenue]]-ReconciliationData[[#This Row],[expected_revenue]]</f>
        <v>0</v>
      </c>
      <c r="AA18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7" t="str">
        <f>IF(ReconciliationData[[#This Row],[severity_score]]=0,"LOW",
 IF(ReconciliationData[[#This Row],[severity_score]]&lt;=5,"MEDIUM","HIGH"))</f>
        <v>LOW</v>
      </c>
      <c r="AC1807" t="str">
        <f>TEXT(ReconciliationData[[#This Row],[Order_Date]],"YYYY-MM")</f>
        <v>2024-05</v>
      </c>
    </row>
    <row r="1808" spans="1:29">
      <c r="A1808" t="s">
        <v>4764</v>
      </c>
      <c r="B1808" s="1">
        <v>45618</v>
      </c>
      <c r="C1808" t="s">
        <v>627</v>
      </c>
      <c r="D1808" t="s">
        <v>841</v>
      </c>
      <c r="E1808">
        <v>47</v>
      </c>
      <c r="F1808" t="s">
        <v>4765</v>
      </c>
      <c r="G1808">
        <v>47</v>
      </c>
      <c r="H1808">
        <v>185.5224</v>
      </c>
      <c r="N1808">
        <v>185.5224</v>
      </c>
      <c r="O1808" s="1">
        <v>45063</v>
      </c>
      <c r="P1808">
        <f>IF(ISBLANK(ReconciliationData[[#This Row],[Invoice_ID]]),1,0)</f>
        <v>0</v>
      </c>
      <c r="Q1808">
        <f>IF(AND(NOT(ISBLANK(ReconciliationData[[#This Row],[Billed_Units]])),ReconciliationData[[#This Row],[ordered_units]]&lt;&gt;ReconciliationData[[#This Row],[Billed_Units]]),1,0)</f>
        <v>0</v>
      </c>
      <c r="R18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8">
        <f>IF(AND(NOT(ISBLANK(ReconciliationData[[#This Row],[Contract_Price]])),ReconciliationData[[#This Row],[Billed_Price]]&lt;&gt;ReconciliationData[[#This Row],[Contract_Price]]),1,0)</f>
        <v>0</v>
      </c>
      <c r="T1808">
        <f>IF(AND(NOT(ISBLANK(ReconciliationData[[#This Row],[End_Date]])),ReconciliationData[[#This Row],[Order_Date]]&gt;ReconciliationData[[#This Row],[End_Date]]),1,0)</f>
        <v>0</v>
      </c>
      <c r="U1808">
        <f>IF(AND(NOT(ISBLANK(ReconciliationData[[#This Row],[last_return_date]])),ReconciliationData[[#This Row],[last_return_date]]&gt;ReconciliationData[[#This Row],[Order_Date]]+60),1,0)</f>
        <v>0</v>
      </c>
      <c r="V1808">
        <f>IF(ReconciliationData[[#This Row],[total_returned_units]]&gt;ReconciliationData[[#This Row],[ordered_units]],1,0)</f>
        <v>0</v>
      </c>
      <c r="W18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8">
        <f>ReconciliationData[[#This Row],[Billed_Units]]*ReconciliationData[[#This Row],[Billed_Price]]</f>
        <v>8719.5527999999995</v>
      </c>
      <c r="Y1808">
        <f>ReconciliationData[[#This Row],[ordered_units]]*ReconciliationData[[#This Row],[List_Price]]</f>
        <v>8719.5527999999995</v>
      </c>
      <c r="Z1808">
        <f>ReconciliationData[[#This Row],[billed_revenue]]-ReconciliationData[[#This Row],[expected_revenue]]</f>
        <v>0</v>
      </c>
      <c r="AA18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8" t="str">
        <f>IF(ReconciliationData[[#This Row],[severity_score]]=0,"LOW",
 IF(ReconciliationData[[#This Row],[severity_score]]&lt;=5,"MEDIUM","HIGH"))</f>
        <v>LOW</v>
      </c>
      <c r="AC1808" t="str">
        <f>TEXT(ReconciliationData[[#This Row],[Order_Date]],"YYYY-MM")</f>
        <v>2024-11</v>
      </c>
    </row>
    <row r="1809" spans="1:29">
      <c r="A1809" t="s">
        <v>4766</v>
      </c>
      <c r="B1809" s="1">
        <v>45110</v>
      </c>
      <c r="C1809" t="s">
        <v>396</v>
      </c>
      <c r="D1809" t="s">
        <v>2605</v>
      </c>
      <c r="E1809">
        <v>53</v>
      </c>
      <c r="F1809" t="s">
        <v>4767</v>
      </c>
      <c r="G1809">
        <v>53</v>
      </c>
      <c r="H1809">
        <v>703.97</v>
      </c>
      <c r="N1809">
        <v>703.97</v>
      </c>
      <c r="O1809" s="1">
        <v>45022</v>
      </c>
      <c r="P1809">
        <f>IF(ISBLANK(ReconciliationData[[#This Row],[Invoice_ID]]),1,0)</f>
        <v>0</v>
      </c>
      <c r="Q1809">
        <f>IF(AND(NOT(ISBLANK(ReconciliationData[[#This Row],[Billed_Units]])),ReconciliationData[[#This Row],[ordered_units]]&lt;&gt;ReconciliationData[[#This Row],[Billed_Units]]),1,0)</f>
        <v>0</v>
      </c>
      <c r="R18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09">
        <f>IF(AND(NOT(ISBLANK(ReconciliationData[[#This Row],[Contract_Price]])),ReconciliationData[[#This Row],[Billed_Price]]&lt;&gt;ReconciliationData[[#This Row],[Contract_Price]]),1,0)</f>
        <v>0</v>
      </c>
      <c r="T1809">
        <f>IF(AND(NOT(ISBLANK(ReconciliationData[[#This Row],[End_Date]])),ReconciliationData[[#This Row],[Order_Date]]&gt;ReconciliationData[[#This Row],[End_Date]]),1,0)</f>
        <v>0</v>
      </c>
      <c r="U1809">
        <f>IF(AND(NOT(ISBLANK(ReconciliationData[[#This Row],[last_return_date]])),ReconciliationData[[#This Row],[last_return_date]]&gt;ReconciliationData[[#This Row],[Order_Date]]+60),1,0)</f>
        <v>0</v>
      </c>
      <c r="V1809">
        <f>IF(ReconciliationData[[#This Row],[total_returned_units]]&gt;ReconciliationData[[#This Row],[ordered_units]],1,0)</f>
        <v>0</v>
      </c>
      <c r="W18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09">
        <f>ReconciliationData[[#This Row],[Billed_Units]]*ReconciliationData[[#This Row],[Billed_Price]]</f>
        <v>37310.410000000003</v>
      </c>
      <c r="Y1809">
        <f>ReconciliationData[[#This Row],[ordered_units]]*ReconciliationData[[#This Row],[List_Price]]</f>
        <v>37310.410000000003</v>
      </c>
      <c r="Z1809">
        <f>ReconciliationData[[#This Row],[billed_revenue]]-ReconciliationData[[#This Row],[expected_revenue]]</f>
        <v>0</v>
      </c>
      <c r="AA18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09" t="str">
        <f>IF(ReconciliationData[[#This Row],[severity_score]]=0,"LOW",
 IF(ReconciliationData[[#This Row],[severity_score]]&lt;=5,"MEDIUM","HIGH"))</f>
        <v>LOW</v>
      </c>
      <c r="AC1809" t="str">
        <f>TEXT(ReconciliationData[[#This Row],[Order_Date]],"YYYY-MM")</f>
        <v>2023-07</v>
      </c>
    </row>
    <row r="1810" spans="1:29">
      <c r="A1810" t="s">
        <v>4768</v>
      </c>
      <c r="B1810" s="1">
        <v>45300</v>
      </c>
      <c r="C1810" t="s">
        <v>1883</v>
      </c>
      <c r="D1810" t="s">
        <v>944</v>
      </c>
      <c r="E1810">
        <v>16</v>
      </c>
      <c r="F1810" t="s">
        <v>4769</v>
      </c>
      <c r="G1810">
        <v>16</v>
      </c>
      <c r="H1810">
        <v>1006.8318</v>
      </c>
      <c r="N1810">
        <v>1006.8318</v>
      </c>
      <c r="O1810" s="1">
        <v>45204</v>
      </c>
      <c r="P1810">
        <f>IF(ISBLANK(ReconciliationData[[#This Row],[Invoice_ID]]),1,0)</f>
        <v>0</v>
      </c>
      <c r="Q1810">
        <f>IF(AND(NOT(ISBLANK(ReconciliationData[[#This Row],[Billed_Units]])),ReconciliationData[[#This Row],[ordered_units]]&lt;&gt;ReconciliationData[[#This Row],[Billed_Units]]),1,0)</f>
        <v>0</v>
      </c>
      <c r="R18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0">
        <f>IF(AND(NOT(ISBLANK(ReconciliationData[[#This Row],[Contract_Price]])),ReconciliationData[[#This Row],[Billed_Price]]&lt;&gt;ReconciliationData[[#This Row],[Contract_Price]]),1,0)</f>
        <v>0</v>
      </c>
      <c r="T1810">
        <f>IF(AND(NOT(ISBLANK(ReconciliationData[[#This Row],[End_Date]])),ReconciliationData[[#This Row],[Order_Date]]&gt;ReconciliationData[[#This Row],[End_Date]]),1,0)</f>
        <v>0</v>
      </c>
      <c r="U1810">
        <f>IF(AND(NOT(ISBLANK(ReconciliationData[[#This Row],[last_return_date]])),ReconciliationData[[#This Row],[last_return_date]]&gt;ReconciliationData[[#This Row],[Order_Date]]+60),1,0)</f>
        <v>0</v>
      </c>
      <c r="V1810">
        <f>IF(ReconciliationData[[#This Row],[total_returned_units]]&gt;ReconciliationData[[#This Row],[ordered_units]],1,0)</f>
        <v>0</v>
      </c>
      <c r="W18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0">
        <f>ReconciliationData[[#This Row],[Billed_Units]]*ReconciliationData[[#This Row],[Billed_Price]]</f>
        <v>16109.308800000001</v>
      </c>
      <c r="Y1810">
        <f>ReconciliationData[[#This Row],[ordered_units]]*ReconciliationData[[#This Row],[List_Price]]</f>
        <v>16109.308800000001</v>
      </c>
      <c r="Z1810">
        <f>ReconciliationData[[#This Row],[billed_revenue]]-ReconciliationData[[#This Row],[expected_revenue]]</f>
        <v>0</v>
      </c>
      <c r="AA18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0" t="str">
        <f>IF(ReconciliationData[[#This Row],[severity_score]]=0,"LOW",
 IF(ReconciliationData[[#This Row],[severity_score]]&lt;=5,"MEDIUM","HIGH"))</f>
        <v>LOW</v>
      </c>
      <c r="AC1810" t="str">
        <f>TEXT(ReconciliationData[[#This Row],[Order_Date]],"YYYY-MM")</f>
        <v>2024-01</v>
      </c>
    </row>
    <row r="1811" spans="1:29">
      <c r="A1811" t="s">
        <v>4770</v>
      </c>
      <c r="B1811" s="1">
        <v>45438</v>
      </c>
      <c r="C1811" t="s">
        <v>4771</v>
      </c>
      <c r="D1811" t="s">
        <v>1525</v>
      </c>
      <c r="E1811">
        <v>34</v>
      </c>
      <c r="F1811" t="s">
        <v>4772</v>
      </c>
      <c r="G1811">
        <v>34</v>
      </c>
      <c r="H1811">
        <v>1067.6925000000001</v>
      </c>
      <c r="N1811">
        <v>1067.6925000000001</v>
      </c>
      <c r="O1811" s="1">
        <v>44999</v>
      </c>
      <c r="P1811">
        <f>IF(ISBLANK(ReconciliationData[[#This Row],[Invoice_ID]]),1,0)</f>
        <v>0</v>
      </c>
      <c r="Q1811">
        <f>IF(AND(NOT(ISBLANK(ReconciliationData[[#This Row],[Billed_Units]])),ReconciliationData[[#This Row],[ordered_units]]&lt;&gt;ReconciliationData[[#This Row],[Billed_Units]]),1,0)</f>
        <v>0</v>
      </c>
      <c r="R18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1">
        <f>IF(AND(NOT(ISBLANK(ReconciliationData[[#This Row],[Contract_Price]])),ReconciliationData[[#This Row],[Billed_Price]]&lt;&gt;ReconciliationData[[#This Row],[Contract_Price]]),1,0)</f>
        <v>0</v>
      </c>
      <c r="T1811">
        <f>IF(AND(NOT(ISBLANK(ReconciliationData[[#This Row],[End_Date]])),ReconciliationData[[#This Row],[Order_Date]]&gt;ReconciliationData[[#This Row],[End_Date]]),1,0)</f>
        <v>0</v>
      </c>
      <c r="U1811">
        <f>IF(AND(NOT(ISBLANK(ReconciliationData[[#This Row],[last_return_date]])),ReconciliationData[[#This Row],[last_return_date]]&gt;ReconciliationData[[#This Row],[Order_Date]]+60),1,0)</f>
        <v>0</v>
      </c>
      <c r="V1811">
        <f>IF(ReconciliationData[[#This Row],[total_returned_units]]&gt;ReconciliationData[[#This Row],[ordered_units]],1,0)</f>
        <v>0</v>
      </c>
      <c r="W18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1">
        <f>ReconciliationData[[#This Row],[Billed_Units]]*ReconciliationData[[#This Row],[Billed_Price]]</f>
        <v>36301.545000000006</v>
      </c>
      <c r="Y1811">
        <f>ReconciliationData[[#This Row],[ordered_units]]*ReconciliationData[[#This Row],[List_Price]]</f>
        <v>36301.545000000006</v>
      </c>
      <c r="Z1811">
        <f>ReconciliationData[[#This Row],[billed_revenue]]-ReconciliationData[[#This Row],[expected_revenue]]</f>
        <v>0</v>
      </c>
      <c r="AA18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1" t="str">
        <f>IF(ReconciliationData[[#This Row],[severity_score]]=0,"LOW",
 IF(ReconciliationData[[#This Row],[severity_score]]&lt;=5,"MEDIUM","HIGH"))</f>
        <v>LOW</v>
      </c>
      <c r="AC1811" t="str">
        <f>TEXT(ReconciliationData[[#This Row],[Order_Date]],"YYYY-MM")</f>
        <v>2024-05</v>
      </c>
    </row>
    <row r="1812" spans="1:29">
      <c r="A1812" t="s">
        <v>4773</v>
      </c>
      <c r="B1812" s="1">
        <v>45186</v>
      </c>
      <c r="C1812" t="s">
        <v>348</v>
      </c>
      <c r="D1812" t="s">
        <v>789</v>
      </c>
      <c r="E1812">
        <v>186</v>
      </c>
      <c r="F1812" t="s">
        <v>4774</v>
      </c>
      <c r="G1812">
        <v>186</v>
      </c>
      <c r="H1812">
        <v>1026.4637</v>
      </c>
      <c r="N1812">
        <v>1026.4637</v>
      </c>
      <c r="O1812" s="1">
        <v>44967</v>
      </c>
      <c r="P1812">
        <f>IF(ISBLANK(ReconciliationData[[#This Row],[Invoice_ID]]),1,0)</f>
        <v>0</v>
      </c>
      <c r="Q1812">
        <f>IF(AND(NOT(ISBLANK(ReconciliationData[[#This Row],[Billed_Units]])),ReconciliationData[[#This Row],[ordered_units]]&lt;&gt;ReconciliationData[[#This Row],[Billed_Units]]),1,0)</f>
        <v>0</v>
      </c>
      <c r="R18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2">
        <f>IF(AND(NOT(ISBLANK(ReconciliationData[[#This Row],[Contract_Price]])),ReconciliationData[[#This Row],[Billed_Price]]&lt;&gt;ReconciliationData[[#This Row],[Contract_Price]]),1,0)</f>
        <v>0</v>
      </c>
      <c r="T1812">
        <f>IF(AND(NOT(ISBLANK(ReconciliationData[[#This Row],[End_Date]])),ReconciliationData[[#This Row],[Order_Date]]&gt;ReconciliationData[[#This Row],[End_Date]]),1,0)</f>
        <v>0</v>
      </c>
      <c r="U1812">
        <f>IF(AND(NOT(ISBLANK(ReconciliationData[[#This Row],[last_return_date]])),ReconciliationData[[#This Row],[last_return_date]]&gt;ReconciliationData[[#This Row],[Order_Date]]+60),1,0)</f>
        <v>0</v>
      </c>
      <c r="V1812">
        <f>IF(ReconciliationData[[#This Row],[total_returned_units]]&gt;ReconciliationData[[#This Row],[ordered_units]],1,0)</f>
        <v>0</v>
      </c>
      <c r="W18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2">
        <f>ReconciliationData[[#This Row],[Billed_Units]]*ReconciliationData[[#This Row],[Billed_Price]]</f>
        <v>190922.2482</v>
      </c>
      <c r="Y1812">
        <f>ReconciliationData[[#This Row],[ordered_units]]*ReconciliationData[[#This Row],[List_Price]]</f>
        <v>190922.2482</v>
      </c>
      <c r="Z1812">
        <f>ReconciliationData[[#This Row],[billed_revenue]]-ReconciliationData[[#This Row],[expected_revenue]]</f>
        <v>0</v>
      </c>
      <c r="AA18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2" t="str">
        <f>IF(ReconciliationData[[#This Row],[severity_score]]=0,"LOW",
 IF(ReconciliationData[[#This Row],[severity_score]]&lt;=5,"MEDIUM","HIGH"))</f>
        <v>LOW</v>
      </c>
      <c r="AC1812" t="str">
        <f>TEXT(ReconciliationData[[#This Row],[Order_Date]],"YYYY-MM")</f>
        <v>2023-09</v>
      </c>
    </row>
    <row r="1813" spans="1:29">
      <c r="A1813" t="s">
        <v>4775</v>
      </c>
      <c r="B1813" s="1">
        <v>45480</v>
      </c>
      <c r="C1813" t="s">
        <v>2302</v>
      </c>
      <c r="D1813" t="s">
        <v>317</v>
      </c>
      <c r="E1813">
        <v>83</v>
      </c>
      <c r="F1813" t="s">
        <v>4776</v>
      </c>
      <c r="G1813">
        <v>83</v>
      </c>
      <c r="H1813">
        <v>1119.3012000000001</v>
      </c>
      <c r="N1813">
        <v>1119.3012000000001</v>
      </c>
      <c r="O1813" s="1">
        <v>45091</v>
      </c>
      <c r="P1813">
        <f>IF(ISBLANK(ReconciliationData[[#This Row],[Invoice_ID]]),1,0)</f>
        <v>0</v>
      </c>
      <c r="Q1813">
        <f>IF(AND(NOT(ISBLANK(ReconciliationData[[#This Row],[Billed_Units]])),ReconciliationData[[#This Row],[ordered_units]]&lt;&gt;ReconciliationData[[#This Row],[Billed_Units]]),1,0)</f>
        <v>0</v>
      </c>
      <c r="R18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3">
        <f>IF(AND(NOT(ISBLANK(ReconciliationData[[#This Row],[Contract_Price]])),ReconciliationData[[#This Row],[Billed_Price]]&lt;&gt;ReconciliationData[[#This Row],[Contract_Price]]),1,0)</f>
        <v>0</v>
      </c>
      <c r="T1813">
        <f>IF(AND(NOT(ISBLANK(ReconciliationData[[#This Row],[End_Date]])),ReconciliationData[[#This Row],[Order_Date]]&gt;ReconciliationData[[#This Row],[End_Date]]),1,0)</f>
        <v>0</v>
      </c>
      <c r="U1813">
        <f>IF(AND(NOT(ISBLANK(ReconciliationData[[#This Row],[last_return_date]])),ReconciliationData[[#This Row],[last_return_date]]&gt;ReconciliationData[[#This Row],[Order_Date]]+60),1,0)</f>
        <v>0</v>
      </c>
      <c r="V1813">
        <f>IF(ReconciliationData[[#This Row],[total_returned_units]]&gt;ReconciliationData[[#This Row],[ordered_units]],1,0)</f>
        <v>0</v>
      </c>
      <c r="W18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3">
        <f>ReconciliationData[[#This Row],[Billed_Units]]*ReconciliationData[[#This Row],[Billed_Price]]</f>
        <v>92901.99960000001</v>
      </c>
      <c r="Y1813">
        <f>ReconciliationData[[#This Row],[ordered_units]]*ReconciliationData[[#This Row],[List_Price]]</f>
        <v>92901.99960000001</v>
      </c>
      <c r="Z1813">
        <f>ReconciliationData[[#This Row],[billed_revenue]]-ReconciliationData[[#This Row],[expected_revenue]]</f>
        <v>0</v>
      </c>
      <c r="AA18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3" t="str">
        <f>IF(ReconciliationData[[#This Row],[severity_score]]=0,"LOW",
 IF(ReconciliationData[[#This Row],[severity_score]]&lt;=5,"MEDIUM","HIGH"))</f>
        <v>LOW</v>
      </c>
      <c r="AC1813" t="str">
        <f>TEXT(ReconciliationData[[#This Row],[Order_Date]],"YYYY-MM")</f>
        <v>2024-07</v>
      </c>
    </row>
    <row r="1814" spans="1:29">
      <c r="A1814" t="s">
        <v>4777</v>
      </c>
      <c r="B1814" s="1">
        <v>45393</v>
      </c>
      <c r="C1814" t="s">
        <v>250</v>
      </c>
      <c r="D1814" t="s">
        <v>2045</v>
      </c>
      <c r="E1814">
        <v>112</v>
      </c>
      <c r="F1814" t="s">
        <v>4778</v>
      </c>
      <c r="G1814">
        <v>112</v>
      </c>
      <c r="H1814">
        <v>990.72749999999996</v>
      </c>
      <c r="N1814">
        <v>990.72749999999996</v>
      </c>
      <c r="O1814" s="1">
        <v>45068</v>
      </c>
      <c r="P1814">
        <f>IF(ISBLANK(ReconciliationData[[#This Row],[Invoice_ID]]),1,0)</f>
        <v>0</v>
      </c>
      <c r="Q1814">
        <f>IF(AND(NOT(ISBLANK(ReconciliationData[[#This Row],[Billed_Units]])),ReconciliationData[[#This Row],[ordered_units]]&lt;&gt;ReconciliationData[[#This Row],[Billed_Units]]),1,0)</f>
        <v>0</v>
      </c>
      <c r="R18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4">
        <f>IF(AND(NOT(ISBLANK(ReconciliationData[[#This Row],[Contract_Price]])),ReconciliationData[[#This Row],[Billed_Price]]&lt;&gt;ReconciliationData[[#This Row],[Contract_Price]]),1,0)</f>
        <v>0</v>
      </c>
      <c r="T1814">
        <f>IF(AND(NOT(ISBLANK(ReconciliationData[[#This Row],[End_Date]])),ReconciliationData[[#This Row],[Order_Date]]&gt;ReconciliationData[[#This Row],[End_Date]]),1,0)</f>
        <v>0</v>
      </c>
      <c r="U1814">
        <f>IF(AND(NOT(ISBLANK(ReconciliationData[[#This Row],[last_return_date]])),ReconciliationData[[#This Row],[last_return_date]]&gt;ReconciliationData[[#This Row],[Order_Date]]+60),1,0)</f>
        <v>0</v>
      </c>
      <c r="V1814">
        <f>IF(ReconciliationData[[#This Row],[total_returned_units]]&gt;ReconciliationData[[#This Row],[ordered_units]],1,0)</f>
        <v>0</v>
      </c>
      <c r="W18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4">
        <f>ReconciliationData[[#This Row],[Billed_Units]]*ReconciliationData[[#This Row],[Billed_Price]]</f>
        <v>110961.48</v>
      </c>
      <c r="Y1814">
        <f>ReconciliationData[[#This Row],[ordered_units]]*ReconciliationData[[#This Row],[List_Price]]</f>
        <v>110961.48</v>
      </c>
      <c r="Z1814">
        <f>ReconciliationData[[#This Row],[billed_revenue]]-ReconciliationData[[#This Row],[expected_revenue]]</f>
        <v>0</v>
      </c>
      <c r="AA18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4" t="str">
        <f>IF(ReconciliationData[[#This Row],[severity_score]]=0,"LOW",
 IF(ReconciliationData[[#This Row],[severity_score]]&lt;=5,"MEDIUM","HIGH"))</f>
        <v>LOW</v>
      </c>
      <c r="AC1814" t="str">
        <f>TEXT(ReconciliationData[[#This Row],[Order_Date]],"YYYY-MM")</f>
        <v>2024-04</v>
      </c>
    </row>
    <row r="1815" spans="1:29">
      <c r="A1815" t="s">
        <v>4779</v>
      </c>
      <c r="B1815" s="1">
        <v>45229</v>
      </c>
      <c r="C1815" t="s">
        <v>521</v>
      </c>
      <c r="D1815" t="s">
        <v>349</v>
      </c>
      <c r="E1815">
        <v>77</v>
      </c>
      <c r="F1815" t="s">
        <v>4780</v>
      </c>
      <c r="G1815">
        <v>77</v>
      </c>
      <c r="H1815">
        <v>61.845300000000002</v>
      </c>
      <c r="N1815">
        <v>61.845300000000002</v>
      </c>
      <c r="O1815" s="1">
        <v>45226</v>
      </c>
      <c r="P1815">
        <f>IF(ISBLANK(ReconciliationData[[#This Row],[Invoice_ID]]),1,0)</f>
        <v>0</v>
      </c>
      <c r="Q1815">
        <f>IF(AND(NOT(ISBLANK(ReconciliationData[[#This Row],[Billed_Units]])),ReconciliationData[[#This Row],[ordered_units]]&lt;&gt;ReconciliationData[[#This Row],[Billed_Units]]),1,0)</f>
        <v>0</v>
      </c>
      <c r="R18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5">
        <f>IF(AND(NOT(ISBLANK(ReconciliationData[[#This Row],[Contract_Price]])),ReconciliationData[[#This Row],[Billed_Price]]&lt;&gt;ReconciliationData[[#This Row],[Contract_Price]]),1,0)</f>
        <v>0</v>
      </c>
      <c r="T1815">
        <f>IF(AND(NOT(ISBLANK(ReconciliationData[[#This Row],[End_Date]])),ReconciliationData[[#This Row],[Order_Date]]&gt;ReconciliationData[[#This Row],[End_Date]]),1,0)</f>
        <v>0</v>
      </c>
      <c r="U1815">
        <f>IF(AND(NOT(ISBLANK(ReconciliationData[[#This Row],[last_return_date]])),ReconciliationData[[#This Row],[last_return_date]]&gt;ReconciliationData[[#This Row],[Order_Date]]+60),1,0)</f>
        <v>0</v>
      </c>
      <c r="V1815">
        <f>IF(ReconciliationData[[#This Row],[total_returned_units]]&gt;ReconciliationData[[#This Row],[ordered_units]],1,0)</f>
        <v>0</v>
      </c>
      <c r="W18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5">
        <f>ReconciliationData[[#This Row],[Billed_Units]]*ReconciliationData[[#This Row],[Billed_Price]]</f>
        <v>4762.0880999999999</v>
      </c>
      <c r="Y1815">
        <f>ReconciliationData[[#This Row],[ordered_units]]*ReconciliationData[[#This Row],[List_Price]]</f>
        <v>4762.0880999999999</v>
      </c>
      <c r="Z1815">
        <f>ReconciliationData[[#This Row],[billed_revenue]]-ReconciliationData[[#This Row],[expected_revenue]]</f>
        <v>0</v>
      </c>
      <c r="AA18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5" t="str">
        <f>IF(ReconciliationData[[#This Row],[severity_score]]=0,"LOW",
 IF(ReconciliationData[[#This Row],[severity_score]]&lt;=5,"MEDIUM","HIGH"))</f>
        <v>LOW</v>
      </c>
      <c r="AC1815" t="str">
        <f>TEXT(ReconciliationData[[#This Row],[Order_Date]],"YYYY-MM")</f>
        <v>2023-10</v>
      </c>
    </row>
    <row r="1816" spans="1:29">
      <c r="A1816" t="s">
        <v>4781</v>
      </c>
      <c r="B1816" s="1">
        <v>45399</v>
      </c>
      <c r="C1816" t="s">
        <v>165</v>
      </c>
      <c r="D1816" t="s">
        <v>1559</v>
      </c>
      <c r="E1816">
        <v>58</v>
      </c>
      <c r="F1816" t="s">
        <v>4782</v>
      </c>
      <c r="G1816">
        <v>58</v>
      </c>
      <c r="H1816">
        <v>1065.7722000000001</v>
      </c>
      <c r="N1816">
        <v>1065.7722000000001</v>
      </c>
      <c r="O1816" s="1">
        <v>44936</v>
      </c>
      <c r="P1816">
        <f>IF(ISBLANK(ReconciliationData[[#This Row],[Invoice_ID]]),1,0)</f>
        <v>0</v>
      </c>
      <c r="Q1816">
        <f>IF(AND(NOT(ISBLANK(ReconciliationData[[#This Row],[Billed_Units]])),ReconciliationData[[#This Row],[ordered_units]]&lt;&gt;ReconciliationData[[#This Row],[Billed_Units]]),1,0)</f>
        <v>0</v>
      </c>
      <c r="R18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6">
        <f>IF(AND(NOT(ISBLANK(ReconciliationData[[#This Row],[Contract_Price]])),ReconciliationData[[#This Row],[Billed_Price]]&lt;&gt;ReconciliationData[[#This Row],[Contract_Price]]),1,0)</f>
        <v>0</v>
      </c>
      <c r="T1816">
        <f>IF(AND(NOT(ISBLANK(ReconciliationData[[#This Row],[End_Date]])),ReconciliationData[[#This Row],[Order_Date]]&gt;ReconciliationData[[#This Row],[End_Date]]),1,0)</f>
        <v>0</v>
      </c>
      <c r="U1816">
        <f>IF(AND(NOT(ISBLANK(ReconciliationData[[#This Row],[last_return_date]])),ReconciliationData[[#This Row],[last_return_date]]&gt;ReconciliationData[[#This Row],[Order_Date]]+60),1,0)</f>
        <v>0</v>
      </c>
      <c r="V1816">
        <f>IF(ReconciliationData[[#This Row],[total_returned_units]]&gt;ReconciliationData[[#This Row],[ordered_units]],1,0)</f>
        <v>0</v>
      </c>
      <c r="W18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6">
        <f>ReconciliationData[[#This Row],[Billed_Units]]*ReconciliationData[[#This Row],[Billed_Price]]</f>
        <v>61814.787600000003</v>
      </c>
      <c r="Y1816">
        <f>ReconciliationData[[#This Row],[ordered_units]]*ReconciliationData[[#This Row],[List_Price]]</f>
        <v>61814.787600000003</v>
      </c>
      <c r="Z1816">
        <f>ReconciliationData[[#This Row],[billed_revenue]]-ReconciliationData[[#This Row],[expected_revenue]]</f>
        <v>0</v>
      </c>
      <c r="AA18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6" t="str">
        <f>IF(ReconciliationData[[#This Row],[severity_score]]=0,"LOW",
 IF(ReconciliationData[[#This Row],[severity_score]]&lt;=5,"MEDIUM","HIGH"))</f>
        <v>LOW</v>
      </c>
      <c r="AC1816" t="str">
        <f>TEXT(ReconciliationData[[#This Row],[Order_Date]],"YYYY-MM")</f>
        <v>2024-04</v>
      </c>
    </row>
    <row r="1817" spans="1:29">
      <c r="A1817" t="s">
        <v>4783</v>
      </c>
      <c r="B1817" s="1">
        <v>45575</v>
      </c>
      <c r="C1817" t="s">
        <v>2708</v>
      </c>
      <c r="D1817" t="s">
        <v>1794</v>
      </c>
      <c r="E1817">
        <v>24</v>
      </c>
      <c r="F1817" t="s">
        <v>4784</v>
      </c>
      <c r="G1817">
        <v>24</v>
      </c>
      <c r="H1817">
        <v>491.10239999999999</v>
      </c>
      <c r="N1817">
        <v>491.10239999999999</v>
      </c>
      <c r="O1817" s="1">
        <v>45187</v>
      </c>
      <c r="P1817">
        <f>IF(ISBLANK(ReconciliationData[[#This Row],[Invoice_ID]]),1,0)</f>
        <v>0</v>
      </c>
      <c r="Q1817">
        <f>IF(AND(NOT(ISBLANK(ReconciliationData[[#This Row],[Billed_Units]])),ReconciliationData[[#This Row],[ordered_units]]&lt;&gt;ReconciliationData[[#This Row],[Billed_Units]]),1,0)</f>
        <v>0</v>
      </c>
      <c r="R18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7">
        <f>IF(AND(NOT(ISBLANK(ReconciliationData[[#This Row],[Contract_Price]])),ReconciliationData[[#This Row],[Billed_Price]]&lt;&gt;ReconciliationData[[#This Row],[Contract_Price]]),1,0)</f>
        <v>0</v>
      </c>
      <c r="T1817">
        <f>IF(AND(NOT(ISBLANK(ReconciliationData[[#This Row],[End_Date]])),ReconciliationData[[#This Row],[Order_Date]]&gt;ReconciliationData[[#This Row],[End_Date]]),1,0)</f>
        <v>0</v>
      </c>
      <c r="U1817">
        <f>IF(AND(NOT(ISBLANK(ReconciliationData[[#This Row],[last_return_date]])),ReconciliationData[[#This Row],[last_return_date]]&gt;ReconciliationData[[#This Row],[Order_Date]]+60),1,0)</f>
        <v>0</v>
      </c>
      <c r="V1817">
        <f>IF(ReconciliationData[[#This Row],[total_returned_units]]&gt;ReconciliationData[[#This Row],[ordered_units]],1,0)</f>
        <v>0</v>
      </c>
      <c r="W18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7">
        <f>ReconciliationData[[#This Row],[Billed_Units]]*ReconciliationData[[#This Row],[Billed_Price]]</f>
        <v>11786.4576</v>
      </c>
      <c r="Y1817">
        <f>ReconciliationData[[#This Row],[ordered_units]]*ReconciliationData[[#This Row],[List_Price]]</f>
        <v>11786.4576</v>
      </c>
      <c r="Z1817">
        <f>ReconciliationData[[#This Row],[billed_revenue]]-ReconciliationData[[#This Row],[expected_revenue]]</f>
        <v>0</v>
      </c>
      <c r="AA18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7" t="str">
        <f>IF(ReconciliationData[[#This Row],[severity_score]]=0,"LOW",
 IF(ReconciliationData[[#This Row],[severity_score]]&lt;=5,"MEDIUM","HIGH"))</f>
        <v>LOW</v>
      </c>
      <c r="AC1817" t="str">
        <f>TEXT(ReconciliationData[[#This Row],[Order_Date]],"YYYY-MM")</f>
        <v>2024-10</v>
      </c>
    </row>
    <row r="1818" spans="1:29">
      <c r="A1818" t="s">
        <v>4785</v>
      </c>
      <c r="B1818" s="1">
        <v>45425</v>
      </c>
      <c r="C1818" t="s">
        <v>2038</v>
      </c>
      <c r="D1818" t="s">
        <v>170</v>
      </c>
      <c r="E1818">
        <v>36</v>
      </c>
      <c r="F1818" t="s">
        <v>4786</v>
      </c>
      <c r="G1818">
        <v>36</v>
      </c>
      <c r="H1818">
        <v>397.40159999999997</v>
      </c>
      <c r="N1818">
        <v>397.40159999999997</v>
      </c>
      <c r="O1818" s="1">
        <v>45021</v>
      </c>
      <c r="P1818">
        <f>IF(ISBLANK(ReconciliationData[[#This Row],[Invoice_ID]]),1,0)</f>
        <v>0</v>
      </c>
      <c r="Q1818">
        <f>IF(AND(NOT(ISBLANK(ReconciliationData[[#This Row],[Billed_Units]])),ReconciliationData[[#This Row],[ordered_units]]&lt;&gt;ReconciliationData[[#This Row],[Billed_Units]]),1,0)</f>
        <v>0</v>
      </c>
      <c r="R18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8">
        <f>IF(AND(NOT(ISBLANK(ReconciliationData[[#This Row],[Contract_Price]])),ReconciliationData[[#This Row],[Billed_Price]]&lt;&gt;ReconciliationData[[#This Row],[Contract_Price]]),1,0)</f>
        <v>0</v>
      </c>
      <c r="T1818">
        <f>IF(AND(NOT(ISBLANK(ReconciliationData[[#This Row],[End_Date]])),ReconciliationData[[#This Row],[Order_Date]]&gt;ReconciliationData[[#This Row],[End_Date]]),1,0)</f>
        <v>0</v>
      </c>
      <c r="U1818">
        <f>IF(AND(NOT(ISBLANK(ReconciliationData[[#This Row],[last_return_date]])),ReconciliationData[[#This Row],[last_return_date]]&gt;ReconciliationData[[#This Row],[Order_Date]]+60),1,0)</f>
        <v>0</v>
      </c>
      <c r="V1818">
        <f>IF(ReconciliationData[[#This Row],[total_returned_units]]&gt;ReconciliationData[[#This Row],[ordered_units]],1,0)</f>
        <v>0</v>
      </c>
      <c r="W18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8">
        <f>ReconciliationData[[#This Row],[Billed_Units]]*ReconciliationData[[#This Row],[Billed_Price]]</f>
        <v>14306.4576</v>
      </c>
      <c r="Y1818">
        <f>ReconciliationData[[#This Row],[ordered_units]]*ReconciliationData[[#This Row],[List_Price]]</f>
        <v>14306.4576</v>
      </c>
      <c r="Z1818">
        <f>ReconciliationData[[#This Row],[billed_revenue]]-ReconciliationData[[#This Row],[expected_revenue]]</f>
        <v>0</v>
      </c>
      <c r="AA18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8" t="str">
        <f>IF(ReconciliationData[[#This Row],[severity_score]]=0,"LOW",
 IF(ReconciliationData[[#This Row],[severity_score]]&lt;=5,"MEDIUM","HIGH"))</f>
        <v>LOW</v>
      </c>
      <c r="AC1818" t="str">
        <f>TEXT(ReconciliationData[[#This Row],[Order_Date]],"YYYY-MM")</f>
        <v>2024-05</v>
      </c>
    </row>
    <row r="1819" spans="1:29">
      <c r="A1819" t="s">
        <v>4787</v>
      </c>
      <c r="B1819" s="1">
        <v>45047</v>
      </c>
      <c r="C1819" t="s">
        <v>2598</v>
      </c>
      <c r="D1819" t="s">
        <v>1583</v>
      </c>
      <c r="E1819">
        <v>32</v>
      </c>
      <c r="F1819" t="s">
        <v>4788</v>
      </c>
      <c r="G1819">
        <v>32</v>
      </c>
      <c r="H1819">
        <v>1170.9151999999999</v>
      </c>
      <c r="N1819">
        <v>1170.9151999999999</v>
      </c>
      <c r="O1819" s="1">
        <v>45023</v>
      </c>
      <c r="P1819">
        <f>IF(ISBLANK(ReconciliationData[[#This Row],[Invoice_ID]]),1,0)</f>
        <v>0</v>
      </c>
      <c r="Q1819">
        <f>IF(AND(NOT(ISBLANK(ReconciliationData[[#This Row],[Billed_Units]])),ReconciliationData[[#This Row],[ordered_units]]&lt;&gt;ReconciliationData[[#This Row],[Billed_Units]]),1,0)</f>
        <v>0</v>
      </c>
      <c r="R18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19">
        <f>IF(AND(NOT(ISBLANK(ReconciliationData[[#This Row],[Contract_Price]])),ReconciliationData[[#This Row],[Billed_Price]]&lt;&gt;ReconciliationData[[#This Row],[Contract_Price]]),1,0)</f>
        <v>0</v>
      </c>
      <c r="T1819">
        <f>IF(AND(NOT(ISBLANK(ReconciliationData[[#This Row],[End_Date]])),ReconciliationData[[#This Row],[Order_Date]]&gt;ReconciliationData[[#This Row],[End_Date]]),1,0)</f>
        <v>0</v>
      </c>
      <c r="U1819">
        <f>IF(AND(NOT(ISBLANK(ReconciliationData[[#This Row],[last_return_date]])),ReconciliationData[[#This Row],[last_return_date]]&gt;ReconciliationData[[#This Row],[Order_Date]]+60),1,0)</f>
        <v>0</v>
      </c>
      <c r="V1819">
        <f>IF(ReconciliationData[[#This Row],[total_returned_units]]&gt;ReconciliationData[[#This Row],[ordered_units]],1,0)</f>
        <v>0</v>
      </c>
      <c r="W18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19">
        <f>ReconciliationData[[#This Row],[Billed_Units]]*ReconciliationData[[#This Row],[Billed_Price]]</f>
        <v>37469.286399999997</v>
      </c>
      <c r="Y1819">
        <f>ReconciliationData[[#This Row],[ordered_units]]*ReconciliationData[[#This Row],[List_Price]]</f>
        <v>37469.286399999997</v>
      </c>
      <c r="Z1819">
        <f>ReconciliationData[[#This Row],[billed_revenue]]-ReconciliationData[[#This Row],[expected_revenue]]</f>
        <v>0</v>
      </c>
      <c r="AA18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19" t="str">
        <f>IF(ReconciliationData[[#This Row],[severity_score]]=0,"LOW",
 IF(ReconciliationData[[#This Row],[severity_score]]&lt;=5,"MEDIUM","HIGH"))</f>
        <v>LOW</v>
      </c>
      <c r="AC1819" t="str">
        <f>TEXT(ReconciliationData[[#This Row],[Order_Date]],"YYYY-MM")</f>
        <v>2023-05</v>
      </c>
    </row>
    <row r="1820" spans="1:29">
      <c r="A1820" t="s">
        <v>4789</v>
      </c>
      <c r="B1820" s="1">
        <v>45309</v>
      </c>
      <c r="C1820" t="s">
        <v>2751</v>
      </c>
      <c r="D1820" t="s">
        <v>2023</v>
      </c>
      <c r="E1820">
        <v>165</v>
      </c>
      <c r="F1820" t="s">
        <v>4790</v>
      </c>
      <c r="G1820">
        <v>165</v>
      </c>
      <c r="H1820">
        <v>510.27839999999998</v>
      </c>
      <c r="N1820">
        <v>510.27839999999998</v>
      </c>
      <c r="O1820" s="1">
        <v>45127</v>
      </c>
      <c r="P1820">
        <f>IF(ISBLANK(ReconciliationData[[#This Row],[Invoice_ID]]),1,0)</f>
        <v>0</v>
      </c>
      <c r="Q1820">
        <f>IF(AND(NOT(ISBLANK(ReconciliationData[[#This Row],[Billed_Units]])),ReconciliationData[[#This Row],[ordered_units]]&lt;&gt;ReconciliationData[[#This Row],[Billed_Units]]),1,0)</f>
        <v>0</v>
      </c>
      <c r="R18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20">
        <f>IF(AND(NOT(ISBLANK(ReconciliationData[[#This Row],[Contract_Price]])),ReconciliationData[[#This Row],[Billed_Price]]&lt;&gt;ReconciliationData[[#This Row],[Contract_Price]]),1,0)</f>
        <v>0</v>
      </c>
      <c r="T1820">
        <f>IF(AND(NOT(ISBLANK(ReconciliationData[[#This Row],[End_Date]])),ReconciliationData[[#This Row],[Order_Date]]&gt;ReconciliationData[[#This Row],[End_Date]]),1,0)</f>
        <v>0</v>
      </c>
      <c r="U1820">
        <f>IF(AND(NOT(ISBLANK(ReconciliationData[[#This Row],[last_return_date]])),ReconciliationData[[#This Row],[last_return_date]]&gt;ReconciliationData[[#This Row],[Order_Date]]+60),1,0)</f>
        <v>0</v>
      </c>
      <c r="V1820">
        <f>IF(ReconciliationData[[#This Row],[total_returned_units]]&gt;ReconciliationData[[#This Row],[ordered_units]],1,0)</f>
        <v>0</v>
      </c>
      <c r="W18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20">
        <f>ReconciliationData[[#This Row],[Billed_Units]]*ReconciliationData[[#This Row],[Billed_Price]]</f>
        <v>84195.936000000002</v>
      </c>
      <c r="Y1820">
        <f>ReconciliationData[[#This Row],[ordered_units]]*ReconciliationData[[#This Row],[List_Price]]</f>
        <v>84195.936000000002</v>
      </c>
      <c r="Z1820">
        <f>ReconciliationData[[#This Row],[billed_revenue]]-ReconciliationData[[#This Row],[expected_revenue]]</f>
        <v>0</v>
      </c>
      <c r="AA18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20" t="str">
        <f>IF(ReconciliationData[[#This Row],[severity_score]]=0,"LOW",
 IF(ReconciliationData[[#This Row],[severity_score]]&lt;=5,"MEDIUM","HIGH"))</f>
        <v>LOW</v>
      </c>
      <c r="AC1820" t="str">
        <f>TEXT(ReconciliationData[[#This Row],[Order_Date]],"YYYY-MM")</f>
        <v>2024-01</v>
      </c>
    </row>
    <row r="1821" spans="1:29">
      <c r="A1821" t="s">
        <v>4791</v>
      </c>
      <c r="B1821" s="1">
        <v>44942</v>
      </c>
      <c r="C1821" t="s">
        <v>2899</v>
      </c>
      <c r="D1821" t="s">
        <v>299</v>
      </c>
      <c r="E1821">
        <v>100</v>
      </c>
      <c r="F1821" t="s">
        <v>4792</v>
      </c>
      <c r="G1821">
        <v>100</v>
      </c>
      <c r="H1821">
        <v>184.27</v>
      </c>
      <c r="N1821">
        <v>184.27</v>
      </c>
      <c r="O1821" s="1">
        <v>44629</v>
      </c>
      <c r="P1821">
        <f>IF(ISBLANK(ReconciliationData[[#This Row],[Invoice_ID]]),1,0)</f>
        <v>0</v>
      </c>
      <c r="Q1821">
        <f>IF(AND(NOT(ISBLANK(ReconciliationData[[#This Row],[Billed_Units]])),ReconciliationData[[#This Row],[ordered_units]]&lt;&gt;ReconciliationData[[#This Row],[Billed_Units]]),1,0)</f>
        <v>0</v>
      </c>
      <c r="R18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21">
        <f>IF(AND(NOT(ISBLANK(ReconciliationData[[#This Row],[Contract_Price]])),ReconciliationData[[#This Row],[Billed_Price]]&lt;&gt;ReconciliationData[[#This Row],[Contract_Price]]),1,0)</f>
        <v>0</v>
      </c>
      <c r="T1821">
        <f>IF(AND(NOT(ISBLANK(ReconciliationData[[#This Row],[End_Date]])),ReconciliationData[[#This Row],[Order_Date]]&gt;ReconciliationData[[#This Row],[End_Date]]),1,0)</f>
        <v>0</v>
      </c>
      <c r="U1821">
        <f>IF(AND(NOT(ISBLANK(ReconciliationData[[#This Row],[last_return_date]])),ReconciliationData[[#This Row],[last_return_date]]&gt;ReconciliationData[[#This Row],[Order_Date]]+60),1,0)</f>
        <v>0</v>
      </c>
      <c r="V1821">
        <f>IF(ReconciliationData[[#This Row],[total_returned_units]]&gt;ReconciliationData[[#This Row],[ordered_units]],1,0)</f>
        <v>0</v>
      </c>
      <c r="W18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21">
        <f>ReconciliationData[[#This Row],[Billed_Units]]*ReconciliationData[[#This Row],[Billed_Price]]</f>
        <v>18427</v>
      </c>
      <c r="Y1821">
        <f>ReconciliationData[[#This Row],[ordered_units]]*ReconciliationData[[#This Row],[List_Price]]</f>
        <v>18427</v>
      </c>
      <c r="Z1821">
        <f>ReconciliationData[[#This Row],[billed_revenue]]-ReconciliationData[[#This Row],[expected_revenue]]</f>
        <v>0</v>
      </c>
      <c r="AA18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21" t="str">
        <f>IF(ReconciliationData[[#This Row],[severity_score]]=0,"LOW",
 IF(ReconciliationData[[#This Row],[severity_score]]&lt;=5,"MEDIUM","HIGH"))</f>
        <v>LOW</v>
      </c>
      <c r="AC1821" t="str">
        <f>TEXT(ReconciliationData[[#This Row],[Order_Date]],"YYYY-MM")</f>
        <v>2023-01</v>
      </c>
    </row>
    <row r="1822" spans="1:29">
      <c r="A1822" t="s">
        <v>4793</v>
      </c>
      <c r="B1822" s="1">
        <v>45624</v>
      </c>
      <c r="C1822" t="s">
        <v>2273</v>
      </c>
      <c r="D1822" t="s">
        <v>1142</v>
      </c>
      <c r="E1822">
        <v>106</v>
      </c>
      <c r="F1822" t="s">
        <v>4794</v>
      </c>
      <c r="G1822">
        <v>106</v>
      </c>
      <c r="H1822">
        <v>624.37260000000003</v>
      </c>
      <c r="N1822">
        <v>624.37260000000003</v>
      </c>
      <c r="O1822" s="1">
        <v>44932</v>
      </c>
      <c r="P1822">
        <f>IF(ISBLANK(ReconciliationData[[#This Row],[Invoice_ID]]),1,0)</f>
        <v>0</v>
      </c>
      <c r="Q1822">
        <f>IF(AND(NOT(ISBLANK(ReconciliationData[[#This Row],[Billed_Units]])),ReconciliationData[[#This Row],[ordered_units]]&lt;&gt;ReconciliationData[[#This Row],[Billed_Units]]),1,0)</f>
        <v>0</v>
      </c>
      <c r="R18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22">
        <f>IF(AND(NOT(ISBLANK(ReconciliationData[[#This Row],[Contract_Price]])),ReconciliationData[[#This Row],[Billed_Price]]&lt;&gt;ReconciliationData[[#This Row],[Contract_Price]]),1,0)</f>
        <v>0</v>
      </c>
      <c r="T1822">
        <f>IF(AND(NOT(ISBLANK(ReconciliationData[[#This Row],[End_Date]])),ReconciliationData[[#This Row],[Order_Date]]&gt;ReconciliationData[[#This Row],[End_Date]]),1,0)</f>
        <v>0</v>
      </c>
      <c r="U1822">
        <f>IF(AND(NOT(ISBLANK(ReconciliationData[[#This Row],[last_return_date]])),ReconciliationData[[#This Row],[last_return_date]]&gt;ReconciliationData[[#This Row],[Order_Date]]+60),1,0)</f>
        <v>0</v>
      </c>
      <c r="V1822">
        <f>IF(ReconciliationData[[#This Row],[total_returned_units]]&gt;ReconciliationData[[#This Row],[ordered_units]],1,0)</f>
        <v>0</v>
      </c>
      <c r="W18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22">
        <f>ReconciliationData[[#This Row],[Billed_Units]]*ReconciliationData[[#This Row],[Billed_Price]]</f>
        <v>66183.495600000009</v>
      </c>
      <c r="Y1822">
        <f>ReconciliationData[[#This Row],[ordered_units]]*ReconciliationData[[#This Row],[List_Price]]</f>
        <v>66183.495600000009</v>
      </c>
      <c r="Z1822">
        <f>ReconciliationData[[#This Row],[billed_revenue]]-ReconciliationData[[#This Row],[expected_revenue]]</f>
        <v>0</v>
      </c>
      <c r="AA18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22" t="str">
        <f>IF(ReconciliationData[[#This Row],[severity_score]]=0,"LOW",
 IF(ReconciliationData[[#This Row],[severity_score]]&lt;=5,"MEDIUM","HIGH"))</f>
        <v>LOW</v>
      </c>
      <c r="AC1822" t="str">
        <f>TEXT(ReconciliationData[[#This Row],[Order_Date]],"YYYY-MM")</f>
        <v>2024-11</v>
      </c>
    </row>
    <row r="1823" spans="1:29">
      <c r="A1823" t="s">
        <v>4795</v>
      </c>
      <c r="B1823" s="1">
        <v>45377</v>
      </c>
      <c r="C1823" t="s">
        <v>1747</v>
      </c>
      <c r="D1823" t="s">
        <v>170</v>
      </c>
      <c r="E1823">
        <v>39</v>
      </c>
      <c r="F1823" t="s">
        <v>4796</v>
      </c>
      <c r="G1823">
        <v>39</v>
      </c>
      <c r="H1823">
        <v>397.40159999999997</v>
      </c>
      <c r="N1823">
        <v>397.40159999999997</v>
      </c>
      <c r="O1823" s="1">
        <v>45021</v>
      </c>
      <c r="P1823">
        <f>IF(ISBLANK(ReconciliationData[[#This Row],[Invoice_ID]]),1,0)</f>
        <v>0</v>
      </c>
      <c r="Q1823">
        <f>IF(AND(NOT(ISBLANK(ReconciliationData[[#This Row],[Billed_Units]])),ReconciliationData[[#This Row],[ordered_units]]&lt;&gt;ReconciliationData[[#This Row],[Billed_Units]]),1,0)</f>
        <v>0</v>
      </c>
      <c r="R18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23">
        <f>IF(AND(NOT(ISBLANK(ReconciliationData[[#This Row],[Contract_Price]])),ReconciliationData[[#This Row],[Billed_Price]]&lt;&gt;ReconciliationData[[#This Row],[Contract_Price]]),1,0)</f>
        <v>0</v>
      </c>
      <c r="T1823">
        <f>IF(AND(NOT(ISBLANK(ReconciliationData[[#This Row],[End_Date]])),ReconciliationData[[#This Row],[Order_Date]]&gt;ReconciliationData[[#This Row],[End_Date]]),1,0)</f>
        <v>0</v>
      </c>
      <c r="U1823">
        <f>IF(AND(NOT(ISBLANK(ReconciliationData[[#This Row],[last_return_date]])),ReconciliationData[[#This Row],[last_return_date]]&gt;ReconciliationData[[#This Row],[Order_Date]]+60),1,0)</f>
        <v>0</v>
      </c>
      <c r="V1823">
        <f>IF(ReconciliationData[[#This Row],[total_returned_units]]&gt;ReconciliationData[[#This Row],[ordered_units]],1,0)</f>
        <v>0</v>
      </c>
      <c r="W18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23">
        <f>ReconciliationData[[#This Row],[Billed_Units]]*ReconciliationData[[#This Row],[Billed_Price]]</f>
        <v>15498.662399999999</v>
      </c>
      <c r="Y1823">
        <f>ReconciliationData[[#This Row],[ordered_units]]*ReconciliationData[[#This Row],[List_Price]]</f>
        <v>15498.662399999999</v>
      </c>
      <c r="Z1823">
        <f>ReconciliationData[[#This Row],[billed_revenue]]-ReconciliationData[[#This Row],[expected_revenue]]</f>
        <v>0</v>
      </c>
      <c r="AA18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23" t="str">
        <f>IF(ReconciliationData[[#This Row],[severity_score]]=0,"LOW",
 IF(ReconciliationData[[#This Row],[severity_score]]&lt;=5,"MEDIUM","HIGH"))</f>
        <v>LOW</v>
      </c>
      <c r="AC1823" t="str">
        <f>TEXT(ReconciliationData[[#This Row],[Order_Date]],"YYYY-MM")</f>
        <v>2024-03</v>
      </c>
    </row>
    <row r="1824" spans="1:29">
      <c r="A1824" t="s">
        <v>4797</v>
      </c>
      <c r="B1824" s="1">
        <v>45536</v>
      </c>
      <c r="C1824" t="s">
        <v>521</v>
      </c>
      <c r="D1824" t="s">
        <v>923</v>
      </c>
      <c r="E1824">
        <v>120</v>
      </c>
      <c r="F1824" t="s">
        <v>4798</v>
      </c>
      <c r="G1824">
        <v>120</v>
      </c>
      <c r="H1824">
        <v>754.20799999999997</v>
      </c>
      <c r="N1824">
        <v>754.20799999999997</v>
      </c>
      <c r="O1824" s="1">
        <v>45069</v>
      </c>
      <c r="P1824">
        <f>IF(ISBLANK(ReconciliationData[[#This Row],[Invoice_ID]]),1,0)</f>
        <v>0</v>
      </c>
      <c r="Q1824">
        <f>IF(AND(NOT(ISBLANK(ReconciliationData[[#This Row],[Billed_Units]])),ReconciliationData[[#This Row],[ordered_units]]&lt;&gt;ReconciliationData[[#This Row],[Billed_Units]]),1,0)</f>
        <v>0</v>
      </c>
      <c r="R18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24">
        <f>IF(AND(NOT(ISBLANK(ReconciliationData[[#This Row],[Contract_Price]])),ReconciliationData[[#This Row],[Billed_Price]]&lt;&gt;ReconciliationData[[#This Row],[Contract_Price]]),1,0)</f>
        <v>0</v>
      </c>
      <c r="T1824">
        <f>IF(AND(NOT(ISBLANK(ReconciliationData[[#This Row],[End_Date]])),ReconciliationData[[#This Row],[Order_Date]]&gt;ReconciliationData[[#This Row],[End_Date]]),1,0)</f>
        <v>0</v>
      </c>
      <c r="U1824">
        <f>IF(AND(NOT(ISBLANK(ReconciliationData[[#This Row],[last_return_date]])),ReconciliationData[[#This Row],[last_return_date]]&gt;ReconciliationData[[#This Row],[Order_Date]]+60),1,0)</f>
        <v>0</v>
      </c>
      <c r="V1824">
        <f>IF(ReconciliationData[[#This Row],[total_returned_units]]&gt;ReconciliationData[[#This Row],[ordered_units]],1,0)</f>
        <v>0</v>
      </c>
      <c r="W18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24">
        <f>ReconciliationData[[#This Row],[Billed_Units]]*ReconciliationData[[#This Row],[Billed_Price]]</f>
        <v>90504.959999999992</v>
      </c>
      <c r="Y1824">
        <f>ReconciliationData[[#This Row],[ordered_units]]*ReconciliationData[[#This Row],[List_Price]]</f>
        <v>90504.959999999992</v>
      </c>
      <c r="Z1824">
        <f>ReconciliationData[[#This Row],[billed_revenue]]-ReconciliationData[[#This Row],[expected_revenue]]</f>
        <v>0</v>
      </c>
      <c r="AA18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24" t="str">
        <f>IF(ReconciliationData[[#This Row],[severity_score]]=0,"LOW",
 IF(ReconciliationData[[#This Row],[severity_score]]&lt;=5,"MEDIUM","HIGH"))</f>
        <v>LOW</v>
      </c>
      <c r="AC1824" t="str">
        <f>TEXT(ReconciliationData[[#This Row],[Order_Date]],"YYYY-MM")</f>
        <v>2024-09</v>
      </c>
    </row>
    <row r="1825" spans="1:29">
      <c r="A1825" t="s">
        <v>4799</v>
      </c>
      <c r="B1825" s="1">
        <v>45286</v>
      </c>
      <c r="C1825" t="s">
        <v>1679</v>
      </c>
      <c r="D1825" t="s">
        <v>3770</v>
      </c>
      <c r="E1825">
        <v>116</v>
      </c>
      <c r="F1825" t="s">
        <v>4800</v>
      </c>
      <c r="G1825">
        <v>116</v>
      </c>
      <c r="H1825">
        <v>724.16120000000001</v>
      </c>
      <c r="I1825">
        <v>17</v>
      </c>
      <c r="J1825" s="1">
        <v>45664</v>
      </c>
      <c r="N1825">
        <v>724.16120000000001</v>
      </c>
      <c r="O1825" s="1">
        <v>45044</v>
      </c>
      <c r="P1825">
        <f>IF(ISBLANK(ReconciliationData[[#This Row],[Invoice_ID]]),1,0)</f>
        <v>0</v>
      </c>
      <c r="Q1825">
        <f>IF(AND(NOT(ISBLANK(ReconciliationData[[#This Row],[Billed_Units]])),ReconciliationData[[#This Row],[ordered_units]]&lt;&gt;ReconciliationData[[#This Row],[Billed_Units]]),1,0)</f>
        <v>0</v>
      </c>
      <c r="R18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25">
        <f>IF(AND(NOT(ISBLANK(ReconciliationData[[#This Row],[Contract_Price]])),ReconciliationData[[#This Row],[Billed_Price]]&lt;&gt;ReconciliationData[[#This Row],[Contract_Price]]),1,0)</f>
        <v>0</v>
      </c>
      <c r="T1825">
        <f>IF(AND(NOT(ISBLANK(ReconciliationData[[#This Row],[End_Date]])),ReconciliationData[[#This Row],[Order_Date]]&gt;ReconciliationData[[#This Row],[End_Date]]),1,0)</f>
        <v>0</v>
      </c>
      <c r="U1825">
        <f>IF(AND(NOT(ISBLANK(ReconciliationData[[#This Row],[last_return_date]])),ReconciliationData[[#This Row],[last_return_date]]&gt;ReconciliationData[[#This Row],[Order_Date]]+60),1,0)</f>
        <v>1</v>
      </c>
      <c r="V1825">
        <f>IF(ReconciliationData[[#This Row],[total_returned_units]]&gt;ReconciliationData[[#This Row],[ordered_units]],1,0)</f>
        <v>0</v>
      </c>
      <c r="W18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25">
        <f>ReconciliationData[[#This Row],[Billed_Units]]*ReconciliationData[[#This Row],[Billed_Price]]</f>
        <v>84002.699200000003</v>
      </c>
      <c r="Y1825">
        <f>ReconciliationData[[#This Row],[ordered_units]]*ReconciliationData[[#This Row],[List_Price]]</f>
        <v>84002.699200000003</v>
      </c>
      <c r="Z1825">
        <f>ReconciliationData[[#This Row],[billed_revenue]]-ReconciliationData[[#This Row],[expected_revenue]]</f>
        <v>0</v>
      </c>
      <c r="AA18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825" t="str">
        <f>IF(ReconciliationData[[#This Row],[severity_score]]=0,"LOW",
 IF(ReconciliationData[[#This Row],[severity_score]]&lt;=5,"MEDIUM","HIGH"))</f>
        <v>MEDIUM</v>
      </c>
      <c r="AC1825" t="str">
        <f>TEXT(ReconciliationData[[#This Row],[Order_Date]],"YYYY-MM")</f>
        <v>2023-12</v>
      </c>
    </row>
    <row r="1826" spans="1:29">
      <c r="A1826" t="s">
        <v>4801</v>
      </c>
      <c r="B1826" s="1">
        <v>45305</v>
      </c>
      <c r="C1826" t="s">
        <v>2018</v>
      </c>
      <c r="D1826" t="s">
        <v>360</v>
      </c>
      <c r="E1826">
        <v>43</v>
      </c>
      <c r="F1826" t="s">
        <v>4802</v>
      </c>
      <c r="G1826">
        <v>43</v>
      </c>
      <c r="H1826">
        <v>465.64031353124466</v>
      </c>
      <c r="N1826">
        <v>465.21179999999998</v>
      </c>
      <c r="O1826" s="1">
        <v>45137</v>
      </c>
      <c r="P1826">
        <f>IF(ISBLANK(ReconciliationData[[#This Row],[Invoice_ID]]),1,0)</f>
        <v>0</v>
      </c>
      <c r="Q1826">
        <f>IF(AND(NOT(ISBLANK(ReconciliationData[[#This Row],[Billed_Units]])),ReconciliationData[[#This Row],[ordered_units]]&lt;&gt;ReconciliationData[[#This Row],[Billed_Units]]),1,0)</f>
        <v>0</v>
      </c>
      <c r="R182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826">
        <f>IF(AND(NOT(ISBLANK(ReconciliationData[[#This Row],[Contract_Price]])),ReconciliationData[[#This Row],[Billed_Price]]&lt;&gt;ReconciliationData[[#This Row],[Contract_Price]]),1,0)</f>
        <v>0</v>
      </c>
      <c r="T1826">
        <f>IF(AND(NOT(ISBLANK(ReconciliationData[[#This Row],[End_Date]])),ReconciliationData[[#This Row],[Order_Date]]&gt;ReconciliationData[[#This Row],[End_Date]]),1,0)</f>
        <v>0</v>
      </c>
      <c r="U1826">
        <f>IF(AND(NOT(ISBLANK(ReconciliationData[[#This Row],[last_return_date]])),ReconciliationData[[#This Row],[last_return_date]]&gt;ReconciliationData[[#This Row],[Order_Date]]+60),1,0)</f>
        <v>0</v>
      </c>
      <c r="V1826">
        <f>IF(ReconciliationData[[#This Row],[total_returned_units]]&gt;ReconciliationData[[#This Row],[ordered_units]],1,0)</f>
        <v>0</v>
      </c>
      <c r="W18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26">
        <f>ReconciliationData[[#This Row],[Billed_Units]]*ReconciliationData[[#This Row],[Billed_Price]]</f>
        <v>20022.533481843519</v>
      </c>
      <c r="Y1826">
        <f>ReconciliationData[[#This Row],[ordered_units]]*ReconciliationData[[#This Row],[List_Price]]</f>
        <v>20004.107400000001</v>
      </c>
      <c r="Z1826">
        <f>ReconciliationData[[#This Row],[billed_revenue]]-ReconciliationData[[#This Row],[expected_revenue]]</f>
        <v>18.42608184351775</v>
      </c>
      <c r="AA18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826" t="str">
        <f>IF(ReconciliationData[[#This Row],[severity_score]]=0,"LOW",
 IF(ReconciliationData[[#This Row],[severity_score]]&lt;=5,"MEDIUM","HIGH"))</f>
        <v>MEDIUM</v>
      </c>
      <c r="AC1826" t="str">
        <f>TEXT(ReconciliationData[[#This Row],[Order_Date]],"YYYY-MM")</f>
        <v>2024-01</v>
      </c>
    </row>
    <row r="1827" spans="1:29">
      <c r="A1827" t="s">
        <v>4803</v>
      </c>
      <c r="B1827" s="1">
        <v>45200</v>
      </c>
      <c r="C1827" t="s">
        <v>2217</v>
      </c>
      <c r="D1827" t="s">
        <v>1555</v>
      </c>
      <c r="E1827">
        <v>23</v>
      </c>
      <c r="F1827" t="s">
        <v>4804</v>
      </c>
      <c r="G1827">
        <v>23</v>
      </c>
      <c r="H1827">
        <v>850.16200000000003</v>
      </c>
      <c r="I1827">
        <v>12</v>
      </c>
      <c r="J1827" s="1">
        <v>45379</v>
      </c>
      <c r="N1827">
        <v>850.16200000000003</v>
      </c>
      <c r="O1827" s="1">
        <v>45099</v>
      </c>
      <c r="P1827">
        <f>IF(ISBLANK(ReconciliationData[[#This Row],[Invoice_ID]]),1,0)</f>
        <v>0</v>
      </c>
      <c r="Q1827">
        <f>IF(AND(NOT(ISBLANK(ReconciliationData[[#This Row],[Billed_Units]])),ReconciliationData[[#This Row],[ordered_units]]&lt;&gt;ReconciliationData[[#This Row],[Billed_Units]]),1,0)</f>
        <v>0</v>
      </c>
      <c r="R18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27">
        <f>IF(AND(NOT(ISBLANK(ReconciliationData[[#This Row],[Contract_Price]])),ReconciliationData[[#This Row],[Billed_Price]]&lt;&gt;ReconciliationData[[#This Row],[Contract_Price]]),1,0)</f>
        <v>0</v>
      </c>
      <c r="T1827">
        <f>IF(AND(NOT(ISBLANK(ReconciliationData[[#This Row],[End_Date]])),ReconciliationData[[#This Row],[Order_Date]]&gt;ReconciliationData[[#This Row],[End_Date]]),1,0)</f>
        <v>0</v>
      </c>
      <c r="U1827">
        <f>IF(AND(NOT(ISBLANK(ReconciliationData[[#This Row],[last_return_date]])),ReconciliationData[[#This Row],[last_return_date]]&gt;ReconciliationData[[#This Row],[Order_Date]]+60),1,0)</f>
        <v>1</v>
      </c>
      <c r="V1827">
        <f>IF(ReconciliationData[[#This Row],[total_returned_units]]&gt;ReconciliationData[[#This Row],[ordered_units]],1,0)</f>
        <v>0</v>
      </c>
      <c r="W18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27">
        <f>ReconciliationData[[#This Row],[Billed_Units]]*ReconciliationData[[#This Row],[Billed_Price]]</f>
        <v>19553.726000000002</v>
      </c>
      <c r="Y1827">
        <f>ReconciliationData[[#This Row],[ordered_units]]*ReconciliationData[[#This Row],[List_Price]]</f>
        <v>19553.726000000002</v>
      </c>
      <c r="Z1827">
        <f>ReconciliationData[[#This Row],[billed_revenue]]-ReconciliationData[[#This Row],[expected_revenue]]</f>
        <v>0</v>
      </c>
      <c r="AA18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827" t="str">
        <f>IF(ReconciliationData[[#This Row],[severity_score]]=0,"LOW",
 IF(ReconciliationData[[#This Row],[severity_score]]&lt;=5,"MEDIUM","HIGH"))</f>
        <v>MEDIUM</v>
      </c>
      <c r="AC1827" t="str">
        <f>TEXT(ReconciliationData[[#This Row],[Order_Date]],"YYYY-MM")</f>
        <v>2023-10</v>
      </c>
    </row>
    <row r="1828" spans="1:29">
      <c r="A1828" t="s">
        <v>4805</v>
      </c>
      <c r="B1828" s="1">
        <v>45269</v>
      </c>
      <c r="C1828" t="s">
        <v>403</v>
      </c>
      <c r="D1828" t="s">
        <v>1126</v>
      </c>
      <c r="E1828">
        <v>105</v>
      </c>
      <c r="F1828" t="s">
        <v>4806</v>
      </c>
      <c r="G1828">
        <v>105</v>
      </c>
      <c r="H1828">
        <v>926.52549999999997</v>
      </c>
      <c r="N1828">
        <v>926.52549999999997</v>
      </c>
      <c r="O1828" s="1">
        <v>45183</v>
      </c>
      <c r="P1828">
        <f>IF(ISBLANK(ReconciliationData[[#This Row],[Invoice_ID]]),1,0)</f>
        <v>0</v>
      </c>
      <c r="Q1828">
        <f>IF(AND(NOT(ISBLANK(ReconciliationData[[#This Row],[Billed_Units]])),ReconciliationData[[#This Row],[ordered_units]]&lt;&gt;ReconciliationData[[#This Row],[Billed_Units]]),1,0)</f>
        <v>0</v>
      </c>
      <c r="R18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28">
        <f>IF(AND(NOT(ISBLANK(ReconciliationData[[#This Row],[Contract_Price]])),ReconciliationData[[#This Row],[Billed_Price]]&lt;&gt;ReconciliationData[[#This Row],[Contract_Price]]),1,0)</f>
        <v>0</v>
      </c>
      <c r="T1828">
        <f>IF(AND(NOT(ISBLANK(ReconciliationData[[#This Row],[End_Date]])),ReconciliationData[[#This Row],[Order_Date]]&gt;ReconciliationData[[#This Row],[End_Date]]),1,0)</f>
        <v>0</v>
      </c>
      <c r="U1828">
        <f>IF(AND(NOT(ISBLANK(ReconciliationData[[#This Row],[last_return_date]])),ReconciliationData[[#This Row],[last_return_date]]&gt;ReconciliationData[[#This Row],[Order_Date]]+60),1,0)</f>
        <v>0</v>
      </c>
      <c r="V1828">
        <f>IF(ReconciliationData[[#This Row],[total_returned_units]]&gt;ReconciliationData[[#This Row],[ordered_units]],1,0)</f>
        <v>0</v>
      </c>
      <c r="W18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28">
        <f>ReconciliationData[[#This Row],[Billed_Units]]*ReconciliationData[[#This Row],[Billed_Price]]</f>
        <v>97285.177499999991</v>
      </c>
      <c r="Y1828">
        <f>ReconciliationData[[#This Row],[ordered_units]]*ReconciliationData[[#This Row],[List_Price]]</f>
        <v>97285.177499999991</v>
      </c>
      <c r="Z1828">
        <f>ReconciliationData[[#This Row],[billed_revenue]]-ReconciliationData[[#This Row],[expected_revenue]]</f>
        <v>0</v>
      </c>
      <c r="AA18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28" t="str">
        <f>IF(ReconciliationData[[#This Row],[severity_score]]=0,"LOW",
 IF(ReconciliationData[[#This Row],[severity_score]]&lt;=5,"MEDIUM","HIGH"))</f>
        <v>LOW</v>
      </c>
      <c r="AC1828" t="str">
        <f>TEXT(ReconciliationData[[#This Row],[Order_Date]],"YYYY-MM")</f>
        <v>2023-12</v>
      </c>
    </row>
    <row r="1829" spans="1:29">
      <c r="A1829" t="s">
        <v>4807</v>
      </c>
      <c r="B1829" s="1">
        <v>45503</v>
      </c>
      <c r="C1829" t="s">
        <v>3436</v>
      </c>
      <c r="D1829" t="s">
        <v>508</v>
      </c>
      <c r="E1829">
        <v>192</v>
      </c>
      <c r="F1829" t="s">
        <v>4808</v>
      </c>
      <c r="G1829">
        <v>192</v>
      </c>
      <c r="H1829">
        <v>443.27359999999999</v>
      </c>
      <c r="N1829">
        <v>443.27359999999999</v>
      </c>
      <c r="O1829" s="1">
        <v>44972</v>
      </c>
      <c r="P1829">
        <f>IF(ISBLANK(ReconciliationData[[#This Row],[Invoice_ID]]),1,0)</f>
        <v>0</v>
      </c>
      <c r="Q1829">
        <f>IF(AND(NOT(ISBLANK(ReconciliationData[[#This Row],[Billed_Units]])),ReconciliationData[[#This Row],[ordered_units]]&lt;&gt;ReconciliationData[[#This Row],[Billed_Units]]),1,0)</f>
        <v>0</v>
      </c>
      <c r="R18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29">
        <f>IF(AND(NOT(ISBLANK(ReconciliationData[[#This Row],[Contract_Price]])),ReconciliationData[[#This Row],[Billed_Price]]&lt;&gt;ReconciliationData[[#This Row],[Contract_Price]]),1,0)</f>
        <v>0</v>
      </c>
      <c r="T1829">
        <f>IF(AND(NOT(ISBLANK(ReconciliationData[[#This Row],[End_Date]])),ReconciliationData[[#This Row],[Order_Date]]&gt;ReconciliationData[[#This Row],[End_Date]]),1,0)</f>
        <v>0</v>
      </c>
      <c r="U1829">
        <f>IF(AND(NOT(ISBLANK(ReconciliationData[[#This Row],[last_return_date]])),ReconciliationData[[#This Row],[last_return_date]]&gt;ReconciliationData[[#This Row],[Order_Date]]+60),1,0)</f>
        <v>0</v>
      </c>
      <c r="V1829">
        <f>IF(ReconciliationData[[#This Row],[total_returned_units]]&gt;ReconciliationData[[#This Row],[ordered_units]],1,0)</f>
        <v>0</v>
      </c>
      <c r="W18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29">
        <f>ReconciliationData[[#This Row],[Billed_Units]]*ReconciliationData[[#This Row],[Billed_Price]]</f>
        <v>85108.531199999998</v>
      </c>
      <c r="Y1829">
        <f>ReconciliationData[[#This Row],[ordered_units]]*ReconciliationData[[#This Row],[List_Price]]</f>
        <v>85108.531199999998</v>
      </c>
      <c r="Z1829">
        <f>ReconciliationData[[#This Row],[billed_revenue]]-ReconciliationData[[#This Row],[expected_revenue]]</f>
        <v>0</v>
      </c>
      <c r="AA18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29" t="str">
        <f>IF(ReconciliationData[[#This Row],[severity_score]]=0,"LOW",
 IF(ReconciliationData[[#This Row],[severity_score]]&lt;=5,"MEDIUM","HIGH"))</f>
        <v>LOW</v>
      </c>
      <c r="AC1829" t="str">
        <f>TEXT(ReconciliationData[[#This Row],[Order_Date]],"YYYY-MM")</f>
        <v>2024-07</v>
      </c>
    </row>
    <row r="1830" spans="1:29">
      <c r="A1830" t="s">
        <v>4809</v>
      </c>
      <c r="B1830" s="1">
        <v>45279</v>
      </c>
      <c r="C1830" t="s">
        <v>683</v>
      </c>
      <c r="D1830" t="s">
        <v>564</v>
      </c>
      <c r="E1830">
        <v>168</v>
      </c>
      <c r="F1830" t="s">
        <v>4810</v>
      </c>
      <c r="G1830">
        <v>168</v>
      </c>
      <c r="H1830">
        <v>1171.7046</v>
      </c>
      <c r="N1830">
        <v>1171.7046</v>
      </c>
      <c r="O1830" s="1">
        <v>45077</v>
      </c>
      <c r="P1830">
        <f>IF(ISBLANK(ReconciliationData[[#This Row],[Invoice_ID]]),1,0)</f>
        <v>0</v>
      </c>
      <c r="Q1830">
        <f>IF(AND(NOT(ISBLANK(ReconciliationData[[#This Row],[Billed_Units]])),ReconciliationData[[#This Row],[ordered_units]]&lt;&gt;ReconciliationData[[#This Row],[Billed_Units]]),1,0)</f>
        <v>0</v>
      </c>
      <c r="R18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0">
        <f>IF(AND(NOT(ISBLANK(ReconciliationData[[#This Row],[Contract_Price]])),ReconciliationData[[#This Row],[Billed_Price]]&lt;&gt;ReconciliationData[[#This Row],[Contract_Price]]),1,0)</f>
        <v>0</v>
      </c>
      <c r="T1830">
        <f>IF(AND(NOT(ISBLANK(ReconciliationData[[#This Row],[End_Date]])),ReconciliationData[[#This Row],[Order_Date]]&gt;ReconciliationData[[#This Row],[End_Date]]),1,0)</f>
        <v>0</v>
      </c>
      <c r="U1830">
        <f>IF(AND(NOT(ISBLANK(ReconciliationData[[#This Row],[last_return_date]])),ReconciliationData[[#This Row],[last_return_date]]&gt;ReconciliationData[[#This Row],[Order_Date]]+60),1,0)</f>
        <v>0</v>
      </c>
      <c r="V1830">
        <f>IF(ReconciliationData[[#This Row],[total_returned_units]]&gt;ReconciliationData[[#This Row],[ordered_units]],1,0)</f>
        <v>0</v>
      </c>
      <c r="W18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30">
        <f>ReconciliationData[[#This Row],[Billed_Units]]*ReconciliationData[[#This Row],[Billed_Price]]</f>
        <v>196846.37280000001</v>
      </c>
      <c r="Y1830">
        <f>ReconciliationData[[#This Row],[ordered_units]]*ReconciliationData[[#This Row],[List_Price]]</f>
        <v>196846.37280000001</v>
      </c>
      <c r="Z1830">
        <f>ReconciliationData[[#This Row],[billed_revenue]]-ReconciliationData[[#This Row],[expected_revenue]]</f>
        <v>0</v>
      </c>
      <c r="AA18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30" t="str">
        <f>IF(ReconciliationData[[#This Row],[severity_score]]=0,"LOW",
 IF(ReconciliationData[[#This Row],[severity_score]]&lt;=5,"MEDIUM","HIGH"))</f>
        <v>LOW</v>
      </c>
      <c r="AC1830" t="str">
        <f>TEXT(ReconciliationData[[#This Row],[Order_Date]],"YYYY-MM")</f>
        <v>2023-12</v>
      </c>
    </row>
    <row r="1831" spans="1:29">
      <c r="A1831" t="s">
        <v>4811</v>
      </c>
      <c r="B1831" s="1">
        <v>45173</v>
      </c>
      <c r="C1831" t="s">
        <v>1056</v>
      </c>
      <c r="D1831" t="s">
        <v>479</v>
      </c>
      <c r="E1831">
        <v>105</v>
      </c>
      <c r="F1831" t="s">
        <v>4812</v>
      </c>
      <c r="G1831">
        <v>105</v>
      </c>
      <c r="H1831">
        <v>1014.5718000000001</v>
      </c>
      <c r="N1831">
        <v>1014.5718000000001</v>
      </c>
      <c r="O1831" s="1">
        <v>45035</v>
      </c>
      <c r="P1831">
        <f>IF(ISBLANK(ReconciliationData[[#This Row],[Invoice_ID]]),1,0)</f>
        <v>0</v>
      </c>
      <c r="Q1831">
        <f>IF(AND(NOT(ISBLANK(ReconciliationData[[#This Row],[Billed_Units]])),ReconciliationData[[#This Row],[ordered_units]]&lt;&gt;ReconciliationData[[#This Row],[Billed_Units]]),1,0)</f>
        <v>0</v>
      </c>
      <c r="R18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1">
        <f>IF(AND(NOT(ISBLANK(ReconciliationData[[#This Row],[Contract_Price]])),ReconciliationData[[#This Row],[Billed_Price]]&lt;&gt;ReconciliationData[[#This Row],[Contract_Price]]),1,0)</f>
        <v>0</v>
      </c>
      <c r="T1831">
        <f>IF(AND(NOT(ISBLANK(ReconciliationData[[#This Row],[End_Date]])),ReconciliationData[[#This Row],[Order_Date]]&gt;ReconciliationData[[#This Row],[End_Date]]),1,0)</f>
        <v>0</v>
      </c>
      <c r="U1831">
        <f>IF(AND(NOT(ISBLANK(ReconciliationData[[#This Row],[last_return_date]])),ReconciliationData[[#This Row],[last_return_date]]&gt;ReconciliationData[[#This Row],[Order_Date]]+60),1,0)</f>
        <v>0</v>
      </c>
      <c r="V1831">
        <f>IF(ReconciliationData[[#This Row],[total_returned_units]]&gt;ReconciliationData[[#This Row],[ordered_units]],1,0)</f>
        <v>0</v>
      </c>
      <c r="W18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31">
        <f>ReconciliationData[[#This Row],[Billed_Units]]*ReconciliationData[[#This Row],[Billed_Price]]</f>
        <v>106530.039</v>
      </c>
      <c r="Y1831">
        <f>ReconciliationData[[#This Row],[ordered_units]]*ReconciliationData[[#This Row],[List_Price]]</f>
        <v>106530.039</v>
      </c>
      <c r="Z1831">
        <f>ReconciliationData[[#This Row],[billed_revenue]]-ReconciliationData[[#This Row],[expected_revenue]]</f>
        <v>0</v>
      </c>
      <c r="AA18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31" t="str">
        <f>IF(ReconciliationData[[#This Row],[severity_score]]=0,"LOW",
 IF(ReconciliationData[[#This Row],[severity_score]]&lt;=5,"MEDIUM","HIGH"))</f>
        <v>LOW</v>
      </c>
      <c r="AC1831" t="str">
        <f>TEXT(ReconciliationData[[#This Row],[Order_Date]],"YYYY-MM")</f>
        <v>2023-09</v>
      </c>
    </row>
    <row r="1832" spans="1:29">
      <c r="A1832" t="s">
        <v>4813</v>
      </c>
      <c r="B1832" s="1">
        <v>45430</v>
      </c>
      <c r="C1832" t="s">
        <v>1161</v>
      </c>
      <c r="D1832" t="s">
        <v>1580</v>
      </c>
      <c r="E1832">
        <v>125</v>
      </c>
      <c r="F1832" t="s">
        <v>4814</v>
      </c>
      <c r="G1832">
        <v>125</v>
      </c>
      <c r="H1832">
        <v>708.51900000000001</v>
      </c>
      <c r="N1832">
        <v>708.51900000000001</v>
      </c>
      <c r="O1832" s="1">
        <v>45063</v>
      </c>
      <c r="P1832">
        <f>IF(ISBLANK(ReconciliationData[[#This Row],[Invoice_ID]]),1,0)</f>
        <v>0</v>
      </c>
      <c r="Q1832">
        <f>IF(AND(NOT(ISBLANK(ReconciliationData[[#This Row],[Billed_Units]])),ReconciliationData[[#This Row],[ordered_units]]&lt;&gt;ReconciliationData[[#This Row],[Billed_Units]]),1,0)</f>
        <v>0</v>
      </c>
      <c r="R18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2">
        <f>IF(AND(NOT(ISBLANK(ReconciliationData[[#This Row],[Contract_Price]])),ReconciliationData[[#This Row],[Billed_Price]]&lt;&gt;ReconciliationData[[#This Row],[Contract_Price]]),1,0)</f>
        <v>0</v>
      </c>
      <c r="T1832">
        <f>IF(AND(NOT(ISBLANK(ReconciliationData[[#This Row],[End_Date]])),ReconciliationData[[#This Row],[Order_Date]]&gt;ReconciliationData[[#This Row],[End_Date]]),1,0)</f>
        <v>0</v>
      </c>
      <c r="U1832">
        <f>IF(AND(NOT(ISBLANK(ReconciliationData[[#This Row],[last_return_date]])),ReconciliationData[[#This Row],[last_return_date]]&gt;ReconciliationData[[#This Row],[Order_Date]]+60),1,0)</f>
        <v>0</v>
      </c>
      <c r="V1832">
        <f>IF(ReconciliationData[[#This Row],[total_returned_units]]&gt;ReconciliationData[[#This Row],[ordered_units]],1,0)</f>
        <v>0</v>
      </c>
      <c r="W18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32">
        <f>ReconciliationData[[#This Row],[Billed_Units]]*ReconciliationData[[#This Row],[Billed_Price]]</f>
        <v>88564.875</v>
      </c>
      <c r="Y1832">
        <f>ReconciliationData[[#This Row],[ordered_units]]*ReconciliationData[[#This Row],[List_Price]]</f>
        <v>88564.875</v>
      </c>
      <c r="Z1832">
        <f>ReconciliationData[[#This Row],[billed_revenue]]-ReconciliationData[[#This Row],[expected_revenue]]</f>
        <v>0</v>
      </c>
      <c r="AA18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32" t="str">
        <f>IF(ReconciliationData[[#This Row],[severity_score]]=0,"LOW",
 IF(ReconciliationData[[#This Row],[severity_score]]&lt;=5,"MEDIUM","HIGH"))</f>
        <v>LOW</v>
      </c>
      <c r="AC1832" t="str">
        <f>TEXT(ReconciliationData[[#This Row],[Order_Date]],"YYYY-MM")</f>
        <v>2024-05</v>
      </c>
    </row>
    <row r="1833" spans="1:29">
      <c r="A1833" t="s">
        <v>4815</v>
      </c>
      <c r="B1833" s="1">
        <v>45649</v>
      </c>
      <c r="C1833" t="s">
        <v>728</v>
      </c>
      <c r="D1833" t="s">
        <v>341</v>
      </c>
      <c r="E1833">
        <v>144</v>
      </c>
      <c r="F1833" t="s">
        <v>4816</v>
      </c>
      <c r="G1833">
        <v>144</v>
      </c>
      <c r="H1833">
        <v>49.450800000000001</v>
      </c>
      <c r="N1833">
        <v>49.450800000000001</v>
      </c>
      <c r="O1833" s="1">
        <v>45168</v>
      </c>
      <c r="P1833">
        <f>IF(ISBLANK(ReconciliationData[[#This Row],[Invoice_ID]]),1,0)</f>
        <v>0</v>
      </c>
      <c r="Q1833">
        <f>IF(AND(NOT(ISBLANK(ReconciliationData[[#This Row],[Billed_Units]])),ReconciliationData[[#This Row],[ordered_units]]&lt;&gt;ReconciliationData[[#This Row],[Billed_Units]]),1,0)</f>
        <v>0</v>
      </c>
      <c r="R18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3">
        <f>IF(AND(NOT(ISBLANK(ReconciliationData[[#This Row],[Contract_Price]])),ReconciliationData[[#This Row],[Billed_Price]]&lt;&gt;ReconciliationData[[#This Row],[Contract_Price]]),1,0)</f>
        <v>0</v>
      </c>
      <c r="T1833">
        <f>IF(AND(NOT(ISBLANK(ReconciliationData[[#This Row],[End_Date]])),ReconciliationData[[#This Row],[Order_Date]]&gt;ReconciliationData[[#This Row],[End_Date]]),1,0)</f>
        <v>0</v>
      </c>
      <c r="U1833">
        <f>IF(AND(NOT(ISBLANK(ReconciliationData[[#This Row],[last_return_date]])),ReconciliationData[[#This Row],[last_return_date]]&gt;ReconciliationData[[#This Row],[Order_Date]]+60),1,0)</f>
        <v>0</v>
      </c>
      <c r="V1833">
        <f>IF(ReconciliationData[[#This Row],[total_returned_units]]&gt;ReconciliationData[[#This Row],[ordered_units]],1,0)</f>
        <v>0</v>
      </c>
      <c r="W18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33">
        <f>ReconciliationData[[#This Row],[Billed_Units]]*ReconciliationData[[#This Row],[Billed_Price]]</f>
        <v>7120.9152000000004</v>
      </c>
      <c r="Y1833">
        <f>ReconciliationData[[#This Row],[ordered_units]]*ReconciliationData[[#This Row],[List_Price]]</f>
        <v>7120.9152000000004</v>
      </c>
      <c r="Z1833">
        <f>ReconciliationData[[#This Row],[billed_revenue]]-ReconciliationData[[#This Row],[expected_revenue]]</f>
        <v>0</v>
      </c>
      <c r="AA18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33" t="str">
        <f>IF(ReconciliationData[[#This Row],[severity_score]]=0,"LOW",
 IF(ReconciliationData[[#This Row],[severity_score]]&lt;=5,"MEDIUM","HIGH"))</f>
        <v>LOW</v>
      </c>
      <c r="AC1833" t="str">
        <f>TEXT(ReconciliationData[[#This Row],[Order_Date]],"YYYY-MM")</f>
        <v>2024-12</v>
      </c>
    </row>
    <row r="1834" spans="1:29">
      <c r="A1834" t="s">
        <v>4817</v>
      </c>
      <c r="B1834" s="1">
        <v>45285</v>
      </c>
      <c r="C1834" t="s">
        <v>1679</v>
      </c>
      <c r="D1834" t="s">
        <v>732</v>
      </c>
      <c r="E1834">
        <v>150</v>
      </c>
      <c r="F1834" t="s">
        <v>4818</v>
      </c>
      <c r="G1834">
        <v>147</v>
      </c>
      <c r="H1834">
        <v>440.38799999999998</v>
      </c>
      <c r="N1834">
        <v>440.38799999999998</v>
      </c>
      <c r="O1834" s="1">
        <v>45016</v>
      </c>
      <c r="P1834">
        <f>IF(ISBLANK(ReconciliationData[[#This Row],[Invoice_ID]]),1,0)</f>
        <v>0</v>
      </c>
      <c r="Q1834">
        <f>IF(AND(NOT(ISBLANK(ReconciliationData[[#This Row],[Billed_Units]])),ReconciliationData[[#This Row],[ordered_units]]&lt;&gt;ReconciliationData[[#This Row],[Billed_Units]]),1,0)</f>
        <v>1</v>
      </c>
      <c r="R18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4">
        <f>IF(AND(NOT(ISBLANK(ReconciliationData[[#This Row],[Contract_Price]])),ReconciliationData[[#This Row],[Billed_Price]]&lt;&gt;ReconciliationData[[#This Row],[Contract_Price]]),1,0)</f>
        <v>0</v>
      </c>
      <c r="T1834">
        <f>IF(AND(NOT(ISBLANK(ReconciliationData[[#This Row],[End_Date]])),ReconciliationData[[#This Row],[Order_Date]]&gt;ReconciliationData[[#This Row],[End_Date]]),1,0)</f>
        <v>0</v>
      </c>
      <c r="U1834">
        <f>IF(AND(NOT(ISBLANK(ReconciliationData[[#This Row],[last_return_date]])),ReconciliationData[[#This Row],[last_return_date]]&gt;ReconciliationData[[#This Row],[Order_Date]]+60),1,0)</f>
        <v>0</v>
      </c>
      <c r="V1834">
        <f>IF(ReconciliationData[[#This Row],[total_returned_units]]&gt;ReconciliationData[[#This Row],[ordered_units]],1,0)</f>
        <v>0</v>
      </c>
      <c r="W18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34">
        <f>ReconciliationData[[#This Row],[Billed_Units]]*ReconciliationData[[#This Row],[Billed_Price]]</f>
        <v>64737.036</v>
      </c>
      <c r="Y1834">
        <f>ReconciliationData[[#This Row],[ordered_units]]*ReconciliationData[[#This Row],[List_Price]]</f>
        <v>66058.2</v>
      </c>
      <c r="Z1834">
        <f>ReconciliationData[[#This Row],[billed_revenue]]-ReconciliationData[[#This Row],[expected_revenue]]</f>
        <v>-1321.163999999997</v>
      </c>
      <c r="AA18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834" t="str">
        <f>IF(ReconciliationData[[#This Row],[severity_score]]=0,"LOW",
 IF(ReconciliationData[[#This Row],[severity_score]]&lt;=5,"MEDIUM","HIGH"))</f>
        <v>HIGH</v>
      </c>
      <c r="AC1834" t="str">
        <f>TEXT(ReconciliationData[[#This Row],[Order_Date]],"YYYY-MM")</f>
        <v>2023-12</v>
      </c>
    </row>
    <row r="1835" spans="1:29">
      <c r="A1835" t="s">
        <v>4819</v>
      </c>
      <c r="B1835" s="1">
        <v>45164</v>
      </c>
      <c r="C1835" t="s">
        <v>1145</v>
      </c>
      <c r="D1835" t="s">
        <v>2853</v>
      </c>
      <c r="E1835">
        <v>68</v>
      </c>
      <c r="F1835" t="s">
        <v>4820</v>
      </c>
      <c r="G1835">
        <v>68</v>
      </c>
      <c r="H1835">
        <v>278.27100000000002</v>
      </c>
      <c r="I1835">
        <v>5</v>
      </c>
      <c r="J1835" s="1">
        <v>45486</v>
      </c>
      <c r="N1835">
        <v>278.27100000000002</v>
      </c>
      <c r="O1835" s="1">
        <v>45119</v>
      </c>
      <c r="P1835">
        <f>IF(ISBLANK(ReconciliationData[[#This Row],[Invoice_ID]]),1,0)</f>
        <v>0</v>
      </c>
      <c r="Q1835">
        <f>IF(AND(NOT(ISBLANK(ReconciliationData[[#This Row],[Billed_Units]])),ReconciliationData[[#This Row],[ordered_units]]&lt;&gt;ReconciliationData[[#This Row],[Billed_Units]]),1,0)</f>
        <v>0</v>
      </c>
      <c r="R18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5">
        <f>IF(AND(NOT(ISBLANK(ReconciliationData[[#This Row],[Contract_Price]])),ReconciliationData[[#This Row],[Billed_Price]]&lt;&gt;ReconciliationData[[#This Row],[Contract_Price]]),1,0)</f>
        <v>0</v>
      </c>
      <c r="T1835">
        <f>IF(AND(NOT(ISBLANK(ReconciliationData[[#This Row],[End_Date]])),ReconciliationData[[#This Row],[Order_Date]]&gt;ReconciliationData[[#This Row],[End_Date]]),1,0)</f>
        <v>0</v>
      </c>
      <c r="U1835">
        <f>IF(AND(NOT(ISBLANK(ReconciliationData[[#This Row],[last_return_date]])),ReconciliationData[[#This Row],[last_return_date]]&gt;ReconciliationData[[#This Row],[Order_Date]]+60),1,0)</f>
        <v>1</v>
      </c>
      <c r="V1835">
        <f>IF(ReconciliationData[[#This Row],[total_returned_units]]&gt;ReconciliationData[[#This Row],[ordered_units]],1,0)</f>
        <v>0</v>
      </c>
      <c r="W18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35">
        <f>ReconciliationData[[#This Row],[Billed_Units]]*ReconciliationData[[#This Row],[Billed_Price]]</f>
        <v>18922.428</v>
      </c>
      <c r="Y1835">
        <f>ReconciliationData[[#This Row],[ordered_units]]*ReconciliationData[[#This Row],[List_Price]]</f>
        <v>18922.428</v>
      </c>
      <c r="Z1835">
        <f>ReconciliationData[[#This Row],[billed_revenue]]-ReconciliationData[[#This Row],[expected_revenue]]</f>
        <v>0</v>
      </c>
      <c r="AA18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835" t="str">
        <f>IF(ReconciliationData[[#This Row],[severity_score]]=0,"LOW",
 IF(ReconciliationData[[#This Row],[severity_score]]&lt;=5,"MEDIUM","HIGH"))</f>
        <v>MEDIUM</v>
      </c>
      <c r="AC1835" t="str">
        <f>TEXT(ReconciliationData[[#This Row],[Order_Date]],"YYYY-MM")</f>
        <v>2023-08</v>
      </c>
    </row>
    <row r="1836" spans="1:29">
      <c r="A1836" t="s">
        <v>4821</v>
      </c>
      <c r="B1836" s="1">
        <v>45277</v>
      </c>
      <c r="C1836" t="s">
        <v>3782</v>
      </c>
      <c r="D1836" t="s">
        <v>525</v>
      </c>
      <c r="E1836">
        <v>67</v>
      </c>
      <c r="F1836" t="s">
        <v>4822</v>
      </c>
      <c r="G1836">
        <v>67</v>
      </c>
      <c r="H1836">
        <v>249.1748</v>
      </c>
      <c r="N1836">
        <v>249.1748</v>
      </c>
      <c r="O1836" s="1">
        <v>45141</v>
      </c>
      <c r="P1836">
        <f>IF(ISBLANK(ReconciliationData[[#This Row],[Invoice_ID]]),1,0)</f>
        <v>0</v>
      </c>
      <c r="Q1836">
        <f>IF(AND(NOT(ISBLANK(ReconciliationData[[#This Row],[Billed_Units]])),ReconciliationData[[#This Row],[ordered_units]]&lt;&gt;ReconciliationData[[#This Row],[Billed_Units]]),1,0)</f>
        <v>0</v>
      </c>
      <c r="R18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6">
        <f>IF(AND(NOT(ISBLANK(ReconciliationData[[#This Row],[Contract_Price]])),ReconciliationData[[#This Row],[Billed_Price]]&lt;&gt;ReconciliationData[[#This Row],[Contract_Price]]),1,0)</f>
        <v>0</v>
      </c>
      <c r="T1836">
        <f>IF(AND(NOT(ISBLANK(ReconciliationData[[#This Row],[End_Date]])),ReconciliationData[[#This Row],[Order_Date]]&gt;ReconciliationData[[#This Row],[End_Date]]),1,0)</f>
        <v>0</v>
      </c>
      <c r="U1836">
        <f>IF(AND(NOT(ISBLANK(ReconciliationData[[#This Row],[last_return_date]])),ReconciliationData[[#This Row],[last_return_date]]&gt;ReconciliationData[[#This Row],[Order_Date]]+60),1,0)</f>
        <v>0</v>
      </c>
      <c r="V1836">
        <f>IF(ReconciliationData[[#This Row],[total_returned_units]]&gt;ReconciliationData[[#This Row],[ordered_units]],1,0)</f>
        <v>0</v>
      </c>
      <c r="W18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36">
        <f>ReconciliationData[[#This Row],[Billed_Units]]*ReconciliationData[[#This Row],[Billed_Price]]</f>
        <v>16694.711599999999</v>
      </c>
      <c r="Y1836">
        <f>ReconciliationData[[#This Row],[ordered_units]]*ReconciliationData[[#This Row],[List_Price]]</f>
        <v>16694.711599999999</v>
      </c>
      <c r="Z1836">
        <f>ReconciliationData[[#This Row],[billed_revenue]]-ReconciliationData[[#This Row],[expected_revenue]]</f>
        <v>0</v>
      </c>
      <c r="AA18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36" t="str">
        <f>IF(ReconciliationData[[#This Row],[severity_score]]=0,"LOW",
 IF(ReconciliationData[[#This Row],[severity_score]]&lt;=5,"MEDIUM","HIGH"))</f>
        <v>LOW</v>
      </c>
      <c r="AC1836" t="str">
        <f>TEXT(ReconciliationData[[#This Row],[Order_Date]],"YYYY-MM")</f>
        <v>2023-12</v>
      </c>
    </row>
    <row r="1837" spans="1:29">
      <c r="A1837" t="s">
        <v>4823</v>
      </c>
      <c r="B1837" s="1">
        <v>45396</v>
      </c>
      <c r="C1837" t="s">
        <v>1104</v>
      </c>
      <c r="D1837" t="s">
        <v>969</v>
      </c>
      <c r="E1837">
        <v>147</v>
      </c>
      <c r="F1837" t="s">
        <v>4824</v>
      </c>
      <c r="G1837">
        <v>147</v>
      </c>
      <c r="H1837">
        <v>991.99</v>
      </c>
      <c r="N1837">
        <v>991.99</v>
      </c>
      <c r="O1837" s="1">
        <v>44976</v>
      </c>
      <c r="P1837">
        <f>IF(ISBLANK(ReconciliationData[[#This Row],[Invoice_ID]]),1,0)</f>
        <v>0</v>
      </c>
      <c r="Q1837">
        <f>IF(AND(NOT(ISBLANK(ReconciliationData[[#This Row],[Billed_Units]])),ReconciliationData[[#This Row],[ordered_units]]&lt;&gt;ReconciliationData[[#This Row],[Billed_Units]]),1,0)</f>
        <v>0</v>
      </c>
      <c r="R18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7">
        <f>IF(AND(NOT(ISBLANK(ReconciliationData[[#This Row],[Contract_Price]])),ReconciliationData[[#This Row],[Billed_Price]]&lt;&gt;ReconciliationData[[#This Row],[Contract_Price]]),1,0)</f>
        <v>0</v>
      </c>
      <c r="T1837">
        <f>IF(AND(NOT(ISBLANK(ReconciliationData[[#This Row],[End_Date]])),ReconciliationData[[#This Row],[Order_Date]]&gt;ReconciliationData[[#This Row],[End_Date]]),1,0)</f>
        <v>0</v>
      </c>
      <c r="U1837">
        <f>IF(AND(NOT(ISBLANK(ReconciliationData[[#This Row],[last_return_date]])),ReconciliationData[[#This Row],[last_return_date]]&gt;ReconciliationData[[#This Row],[Order_Date]]+60),1,0)</f>
        <v>0</v>
      </c>
      <c r="V1837">
        <f>IF(ReconciliationData[[#This Row],[total_returned_units]]&gt;ReconciliationData[[#This Row],[ordered_units]],1,0)</f>
        <v>0</v>
      </c>
      <c r="W18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37">
        <f>ReconciliationData[[#This Row],[Billed_Units]]*ReconciliationData[[#This Row],[Billed_Price]]</f>
        <v>145822.53</v>
      </c>
      <c r="Y1837">
        <f>ReconciliationData[[#This Row],[ordered_units]]*ReconciliationData[[#This Row],[List_Price]]</f>
        <v>145822.53</v>
      </c>
      <c r="Z1837">
        <f>ReconciliationData[[#This Row],[billed_revenue]]-ReconciliationData[[#This Row],[expected_revenue]]</f>
        <v>0</v>
      </c>
      <c r="AA18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37" t="str">
        <f>IF(ReconciliationData[[#This Row],[severity_score]]=0,"LOW",
 IF(ReconciliationData[[#This Row],[severity_score]]&lt;=5,"MEDIUM","HIGH"))</f>
        <v>LOW</v>
      </c>
      <c r="AC1837" t="str">
        <f>TEXT(ReconciliationData[[#This Row],[Order_Date]],"YYYY-MM")</f>
        <v>2024-04</v>
      </c>
    </row>
    <row r="1838" spans="1:29">
      <c r="A1838" t="s">
        <v>4825</v>
      </c>
      <c r="B1838" s="1">
        <v>45561</v>
      </c>
      <c r="C1838" t="s">
        <v>511</v>
      </c>
      <c r="D1838" t="s">
        <v>1495</v>
      </c>
      <c r="E1838">
        <v>2</v>
      </c>
      <c r="F1838" t="s">
        <v>4826</v>
      </c>
      <c r="G1838">
        <v>2</v>
      </c>
      <c r="H1838">
        <v>377.08350000000002</v>
      </c>
      <c r="N1838">
        <v>377.08350000000002</v>
      </c>
      <c r="O1838" s="1">
        <v>45064</v>
      </c>
      <c r="P1838">
        <f>IF(ISBLANK(ReconciliationData[[#This Row],[Invoice_ID]]),1,0)</f>
        <v>0</v>
      </c>
      <c r="Q1838">
        <f>IF(AND(NOT(ISBLANK(ReconciliationData[[#This Row],[Billed_Units]])),ReconciliationData[[#This Row],[ordered_units]]&lt;&gt;ReconciliationData[[#This Row],[Billed_Units]]),1,0)</f>
        <v>0</v>
      </c>
      <c r="R18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8">
        <f>IF(AND(NOT(ISBLANK(ReconciliationData[[#This Row],[Contract_Price]])),ReconciliationData[[#This Row],[Billed_Price]]&lt;&gt;ReconciliationData[[#This Row],[Contract_Price]]),1,0)</f>
        <v>0</v>
      </c>
      <c r="T1838">
        <f>IF(AND(NOT(ISBLANK(ReconciliationData[[#This Row],[End_Date]])),ReconciliationData[[#This Row],[Order_Date]]&gt;ReconciliationData[[#This Row],[End_Date]]),1,0)</f>
        <v>0</v>
      </c>
      <c r="U1838">
        <f>IF(AND(NOT(ISBLANK(ReconciliationData[[#This Row],[last_return_date]])),ReconciliationData[[#This Row],[last_return_date]]&gt;ReconciliationData[[#This Row],[Order_Date]]+60),1,0)</f>
        <v>0</v>
      </c>
      <c r="V1838">
        <f>IF(ReconciliationData[[#This Row],[total_returned_units]]&gt;ReconciliationData[[#This Row],[ordered_units]],1,0)</f>
        <v>0</v>
      </c>
      <c r="W18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38">
        <f>ReconciliationData[[#This Row],[Billed_Units]]*ReconciliationData[[#This Row],[Billed_Price]]</f>
        <v>754.16700000000003</v>
      </c>
      <c r="Y1838">
        <f>ReconciliationData[[#This Row],[ordered_units]]*ReconciliationData[[#This Row],[List_Price]]</f>
        <v>754.16700000000003</v>
      </c>
      <c r="Z1838">
        <f>ReconciliationData[[#This Row],[billed_revenue]]-ReconciliationData[[#This Row],[expected_revenue]]</f>
        <v>0</v>
      </c>
      <c r="AA18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38" t="str">
        <f>IF(ReconciliationData[[#This Row],[severity_score]]=0,"LOW",
 IF(ReconciliationData[[#This Row],[severity_score]]&lt;=5,"MEDIUM","HIGH"))</f>
        <v>LOW</v>
      </c>
      <c r="AC1838" t="str">
        <f>TEXT(ReconciliationData[[#This Row],[Order_Date]],"YYYY-MM")</f>
        <v>2024-09</v>
      </c>
    </row>
    <row r="1839" spans="1:29">
      <c r="A1839" t="s">
        <v>4827</v>
      </c>
      <c r="B1839" s="1">
        <v>45508</v>
      </c>
      <c r="C1839" t="s">
        <v>4828</v>
      </c>
      <c r="D1839" t="s">
        <v>1933</v>
      </c>
      <c r="E1839">
        <v>39</v>
      </c>
      <c r="F1839" t="s">
        <v>4829</v>
      </c>
      <c r="G1839">
        <v>39</v>
      </c>
      <c r="H1839">
        <v>571.49840000000006</v>
      </c>
      <c r="N1839">
        <v>571.49840000000006</v>
      </c>
      <c r="O1839" s="1">
        <v>45071</v>
      </c>
      <c r="P1839">
        <f>IF(ISBLANK(ReconciliationData[[#This Row],[Invoice_ID]]),1,0)</f>
        <v>0</v>
      </c>
      <c r="Q1839">
        <f>IF(AND(NOT(ISBLANK(ReconciliationData[[#This Row],[Billed_Units]])),ReconciliationData[[#This Row],[ordered_units]]&lt;&gt;ReconciliationData[[#This Row],[Billed_Units]]),1,0)</f>
        <v>0</v>
      </c>
      <c r="R18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39">
        <f>IF(AND(NOT(ISBLANK(ReconciliationData[[#This Row],[Contract_Price]])),ReconciliationData[[#This Row],[Billed_Price]]&lt;&gt;ReconciliationData[[#This Row],[Contract_Price]]),1,0)</f>
        <v>0</v>
      </c>
      <c r="T1839">
        <f>IF(AND(NOT(ISBLANK(ReconciliationData[[#This Row],[End_Date]])),ReconciliationData[[#This Row],[Order_Date]]&gt;ReconciliationData[[#This Row],[End_Date]]),1,0)</f>
        <v>0</v>
      </c>
      <c r="U1839">
        <f>IF(AND(NOT(ISBLANK(ReconciliationData[[#This Row],[last_return_date]])),ReconciliationData[[#This Row],[last_return_date]]&gt;ReconciliationData[[#This Row],[Order_Date]]+60),1,0)</f>
        <v>0</v>
      </c>
      <c r="V1839">
        <f>IF(ReconciliationData[[#This Row],[total_returned_units]]&gt;ReconciliationData[[#This Row],[ordered_units]],1,0)</f>
        <v>0</v>
      </c>
      <c r="W18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39">
        <f>ReconciliationData[[#This Row],[Billed_Units]]*ReconciliationData[[#This Row],[Billed_Price]]</f>
        <v>22288.437600000001</v>
      </c>
      <c r="Y1839">
        <f>ReconciliationData[[#This Row],[ordered_units]]*ReconciliationData[[#This Row],[List_Price]]</f>
        <v>22288.437600000001</v>
      </c>
      <c r="Z1839">
        <f>ReconciliationData[[#This Row],[billed_revenue]]-ReconciliationData[[#This Row],[expected_revenue]]</f>
        <v>0</v>
      </c>
      <c r="AA18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39" t="str">
        <f>IF(ReconciliationData[[#This Row],[severity_score]]=0,"LOW",
 IF(ReconciliationData[[#This Row],[severity_score]]&lt;=5,"MEDIUM","HIGH"))</f>
        <v>LOW</v>
      </c>
      <c r="AC1839" t="str">
        <f>TEXT(ReconciliationData[[#This Row],[Order_Date]],"YYYY-MM")</f>
        <v>2024-08</v>
      </c>
    </row>
    <row r="1840" spans="1:29">
      <c r="A1840" t="s">
        <v>4830</v>
      </c>
      <c r="B1840" s="1">
        <v>45574</v>
      </c>
      <c r="C1840" t="s">
        <v>794</v>
      </c>
      <c r="D1840" t="s">
        <v>658</v>
      </c>
      <c r="E1840">
        <v>68</v>
      </c>
      <c r="F1840" t="s">
        <v>4831</v>
      </c>
      <c r="G1840">
        <v>68</v>
      </c>
      <c r="H1840">
        <v>88.578000000000003</v>
      </c>
      <c r="N1840">
        <v>88.578000000000003</v>
      </c>
      <c r="O1840" s="1">
        <v>45107</v>
      </c>
      <c r="P1840">
        <f>IF(ISBLANK(ReconciliationData[[#This Row],[Invoice_ID]]),1,0)</f>
        <v>0</v>
      </c>
      <c r="Q1840">
        <f>IF(AND(NOT(ISBLANK(ReconciliationData[[#This Row],[Billed_Units]])),ReconciliationData[[#This Row],[ordered_units]]&lt;&gt;ReconciliationData[[#This Row],[Billed_Units]]),1,0)</f>
        <v>0</v>
      </c>
      <c r="R18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0">
        <f>IF(AND(NOT(ISBLANK(ReconciliationData[[#This Row],[Contract_Price]])),ReconciliationData[[#This Row],[Billed_Price]]&lt;&gt;ReconciliationData[[#This Row],[Contract_Price]]),1,0)</f>
        <v>0</v>
      </c>
      <c r="T1840">
        <f>IF(AND(NOT(ISBLANK(ReconciliationData[[#This Row],[End_Date]])),ReconciliationData[[#This Row],[Order_Date]]&gt;ReconciliationData[[#This Row],[End_Date]]),1,0)</f>
        <v>0</v>
      </c>
      <c r="U1840">
        <f>IF(AND(NOT(ISBLANK(ReconciliationData[[#This Row],[last_return_date]])),ReconciliationData[[#This Row],[last_return_date]]&gt;ReconciliationData[[#This Row],[Order_Date]]+60),1,0)</f>
        <v>0</v>
      </c>
      <c r="V1840">
        <f>IF(ReconciliationData[[#This Row],[total_returned_units]]&gt;ReconciliationData[[#This Row],[ordered_units]],1,0)</f>
        <v>0</v>
      </c>
      <c r="W18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40">
        <f>ReconciliationData[[#This Row],[Billed_Units]]*ReconciliationData[[#This Row],[Billed_Price]]</f>
        <v>6023.3040000000001</v>
      </c>
      <c r="Y1840">
        <f>ReconciliationData[[#This Row],[ordered_units]]*ReconciliationData[[#This Row],[List_Price]]</f>
        <v>6023.3040000000001</v>
      </c>
      <c r="Z1840">
        <f>ReconciliationData[[#This Row],[billed_revenue]]-ReconciliationData[[#This Row],[expected_revenue]]</f>
        <v>0</v>
      </c>
      <c r="AA18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40" t="str">
        <f>IF(ReconciliationData[[#This Row],[severity_score]]=0,"LOW",
 IF(ReconciliationData[[#This Row],[severity_score]]&lt;=5,"MEDIUM","HIGH"))</f>
        <v>LOW</v>
      </c>
      <c r="AC1840" t="str">
        <f>TEXT(ReconciliationData[[#This Row],[Order_Date]],"YYYY-MM")</f>
        <v>2024-10</v>
      </c>
    </row>
    <row r="1841" spans="1:29">
      <c r="A1841" t="s">
        <v>4832</v>
      </c>
      <c r="B1841" s="1">
        <v>45614</v>
      </c>
      <c r="C1841" t="s">
        <v>2819</v>
      </c>
      <c r="D1841" t="s">
        <v>3530</v>
      </c>
      <c r="E1841">
        <v>115</v>
      </c>
      <c r="F1841" t="s">
        <v>4833</v>
      </c>
      <c r="G1841">
        <v>115</v>
      </c>
      <c r="H1841">
        <v>143.86799999999999</v>
      </c>
      <c r="N1841">
        <v>143.86799999999999</v>
      </c>
      <c r="O1841" s="1">
        <v>45036</v>
      </c>
      <c r="P1841">
        <f>IF(ISBLANK(ReconciliationData[[#This Row],[Invoice_ID]]),1,0)</f>
        <v>0</v>
      </c>
      <c r="Q1841">
        <f>IF(AND(NOT(ISBLANK(ReconciliationData[[#This Row],[Billed_Units]])),ReconciliationData[[#This Row],[ordered_units]]&lt;&gt;ReconciliationData[[#This Row],[Billed_Units]]),1,0)</f>
        <v>0</v>
      </c>
      <c r="R18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1">
        <f>IF(AND(NOT(ISBLANK(ReconciliationData[[#This Row],[Contract_Price]])),ReconciliationData[[#This Row],[Billed_Price]]&lt;&gt;ReconciliationData[[#This Row],[Contract_Price]]),1,0)</f>
        <v>0</v>
      </c>
      <c r="T1841">
        <f>IF(AND(NOT(ISBLANK(ReconciliationData[[#This Row],[End_Date]])),ReconciliationData[[#This Row],[Order_Date]]&gt;ReconciliationData[[#This Row],[End_Date]]),1,0)</f>
        <v>0</v>
      </c>
      <c r="U1841">
        <f>IF(AND(NOT(ISBLANK(ReconciliationData[[#This Row],[last_return_date]])),ReconciliationData[[#This Row],[last_return_date]]&gt;ReconciliationData[[#This Row],[Order_Date]]+60),1,0)</f>
        <v>0</v>
      </c>
      <c r="V1841">
        <f>IF(ReconciliationData[[#This Row],[total_returned_units]]&gt;ReconciliationData[[#This Row],[ordered_units]],1,0)</f>
        <v>0</v>
      </c>
      <c r="W18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41">
        <f>ReconciliationData[[#This Row],[Billed_Units]]*ReconciliationData[[#This Row],[Billed_Price]]</f>
        <v>16544.82</v>
      </c>
      <c r="Y1841">
        <f>ReconciliationData[[#This Row],[ordered_units]]*ReconciliationData[[#This Row],[List_Price]]</f>
        <v>16544.82</v>
      </c>
      <c r="Z1841">
        <f>ReconciliationData[[#This Row],[billed_revenue]]-ReconciliationData[[#This Row],[expected_revenue]]</f>
        <v>0</v>
      </c>
      <c r="AA18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41" t="str">
        <f>IF(ReconciliationData[[#This Row],[severity_score]]=0,"LOW",
 IF(ReconciliationData[[#This Row],[severity_score]]&lt;=5,"MEDIUM","HIGH"))</f>
        <v>LOW</v>
      </c>
      <c r="AC1841" t="str">
        <f>TEXT(ReconciliationData[[#This Row],[Order_Date]],"YYYY-MM")</f>
        <v>2024-11</v>
      </c>
    </row>
    <row r="1842" spans="1:29">
      <c r="A1842" t="s">
        <v>4834</v>
      </c>
      <c r="B1842" s="1">
        <v>45289</v>
      </c>
      <c r="C1842" t="s">
        <v>687</v>
      </c>
      <c r="D1842" t="s">
        <v>552</v>
      </c>
      <c r="E1842">
        <v>103</v>
      </c>
      <c r="F1842" t="s">
        <v>4835</v>
      </c>
      <c r="G1842">
        <v>103</v>
      </c>
      <c r="H1842">
        <v>497.4264</v>
      </c>
      <c r="N1842">
        <v>497.4264</v>
      </c>
      <c r="O1842" s="1">
        <v>45212</v>
      </c>
      <c r="P1842">
        <f>IF(ISBLANK(ReconciliationData[[#This Row],[Invoice_ID]]),1,0)</f>
        <v>0</v>
      </c>
      <c r="Q1842">
        <f>IF(AND(NOT(ISBLANK(ReconciliationData[[#This Row],[Billed_Units]])),ReconciliationData[[#This Row],[ordered_units]]&lt;&gt;ReconciliationData[[#This Row],[Billed_Units]]),1,0)</f>
        <v>0</v>
      </c>
      <c r="R18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2">
        <f>IF(AND(NOT(ISBLANK(ReconciliationData[[#This Row],[Contract_Price]])),ReconciliationData[[#This Row],[Billed_Price]]&lt;&gt;ReconciliationData[[#This Row],[Contract_Price]]),1,0)</f>
        <v>0</v>
      </c>
      <c r="T1842">
        <f>IF(AND(NOT(ISBLANK(ReconciliationData[[#This Row],[End_Date]])),ReconciliationData[[#This Row],[Order_Date]]&gt;ReconciliationData[[#This Row],[End_Date]]),1,0)</f>
        <v>0</v>
      </c>
      <c r="U1842">
        <f>IF(AND(NOT(ISBLANK(ReconciliationData[[#This Row],[last_return_date]])),ReconciliationData[[#This Row],[last_return_date]]&gt;ReconciliationData[[#This Row],[Order_Date]]+60),1,0)</f>
        <v>0</v>
      </c>
      <c r="V1842">
        <f>IF(ReconciliationData[[#This Row],[total_returned_units]]&gt;ReconciliationData[[#This Row],[ordered_units]],1,0)</f>
        <v>0</v>
      </c>
      <c r="W18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42">
        <f>ReconciliationData[[#This Row],[Billed_Units]]*ReconciliationData[[#This Row],[Billed_Price]]</f>
        <v>51234.919199999997</v>
      </c>
      <c r="Y1842">
        <f>ReconciliationData[[#This Row],[ordered_units]]*ReconciliationData[[#This Row],[List_Price]]</f>
        <v>51234.919199999997</v>
      </c>
      <c r="Z1842">
        <f>ReconciliationData[[#This Row],[billed_revenue]]-ReconciliationData[[#This Row],[expected_revenue]]</f>
        <v>0</v>
      </c>
      <c r="AA18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42" t="str">
        <f>IF(ReconciliationData[[#This Row],[severity_score]]=0,"LOW",
 IF(ReconciliationData[[#This Row],[severity_score]]&lt;=5,"MEDIUM","HIGH"))</f>
        <v>LOW</v>
      </c>
      <c r="AC1842" t="str">
        <f>TEXT(ReconciliationData[[#This Row],[Order_Date]],"YYYY-MM")</f>
        <v>2023-12</v>
      </c>
    </row>
    <row r="1843" spans="1:29">
      <c r="A1843" t="s">
        <v>4836</v>
      </c>
      <c r="B1843" s="1">
        <v>45046</v>
      </c>
      <c r="C1843" t="s">
        <v>990</v>
      </c>
      <c r="D1843" t="s">
        <v>194</v>
      </c>
      <c r="E1843">
        <v>23</v>
      </c>
      <c r="F1843" t="s">
        <v>4837</v>
      </c>
      <c r="G1843">
        <v>23</v>
      </c>
      <c r="H1843">
        <v>1039.0536</v>
      </c>
      <c r="N1843">
        <v>1039.0536</v>
      </c>
      <c r="O1843" s="1">
        <v>44961</v>
      </c>
      <c r="P1843">
        <f>IF(ISBLANK(ReconciliationData[[#This Row],[Invoice_ID]]),1,0)</f>
        <v>0</v>
      </c>
      <c r="Q1843">
        <f>IF(AND(NOT(ISBLANK(ReconciliationData[[#This Row],[Billed_Units]])),ReconciliationData[[#This Row],[ordered_units]]&lt;&gt;ReconciliationData[[#This Row],[Billed_Units]]),1,0)</f>
        <v>0</v>
      </c>
      <c r="R18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3">
        <f>IF(AND(NOT(ISBLANK(ReconciliationData[[#This Row],[Contract_Price]])),ReconciliationData[[#This Row],[Billed_Price]]&lt;&gt;ReconciliationData[[#This Row],[Contract_Price]]),1,0)</f>
        <v>0</v>
      </c>
      <c r="T1843">
        <f>IF(AND(NOT(ISBLANK(ReconciliationData[[#This Row],[End_Date]])),ReconciliationData[[#This Row],[Order_Date]]&gt;ReconciliationData[[#This Row],[End_Date]]),1,0)</f>
        <v>0</v>
      </c>
      <c r="U1843">
        <f>IF(AND(NOT(ISBLANK(ReconciliationData[[#This Row],[last_return_date]])),ReconciliationData[[#This Row],[last_return_date]]&gt;ReconciliationData[[#This Row],[Order_Date]]+60),1,0)</f>
        <v>0</v>
      </c>
      <c r="V1843">
        <f>IF(ReconciliationData[[#This Row],[total_returned_units]]&gt;ReconciliationData[[#This Row],[ordered_units]],1,0)</f>
        <v>0</v>
      </c>
      <c r="W18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43">
        <f>ReconciliationData[[#This Row],[Billed_Units]]*ReconciliationData[[#This Row],[Billed_Price]]</f>
        <v>23898.232799999998</v>
      </c>
      <c r="Y1843">
        <f>ReconciliationData[[#This Row],[ordered_units]]*ReconciliationData[[#This Row],[List_Price]]</f>
        <v>23898.232799999998</v>
      </c>
      <c r="Z1843">
        <f>ReconciliationData[[#This Row],[billed_revenue]]-ReconciliationData[[#This Row],[expected_revenue]]</f>
        <v>0</v>
      </c>
      <c r="AA18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43" t="str">
        <f>IF(ReconciliationData[[#This Row],[severity_score]]=0,"LOW",
 IF(ReconciliationData[[#This Row],[severity_score]]&lt;=5,"MEDIUM","HIGH"))</f>
        <v>LOW</v>
      </c>
      <c r="AC1843" t="str">
        <f>TEXT(ReconciliationData[[#This Row],[Order_Date]],"YYYY-MM")</f>
        <v>2023-04</v>
      </c>
    </row>
    <row r="1844" spans="1:29">
      <c r="A1844" t="s">
        <v>4838</v>
      </c>
      <c r="B1844" s="1">
        <v>45407</v>
      </c>
      <c r="C1844" t="s">
        <v>2415</v>
      </c>
      <c r="D1844" t="s">
        <v>1420</v>
      </c>
      <c r="E1844">
        <v>95</v>
      </c>
      <c r="F1844" t="s">
        <v>4839</v>
      </c>
      <c r="G1844">
        <v>95</v>
      </c>
      <c r="H1844">
        <v>77.178600000000003</v>
      </c>
      <c r="N1844">
        <v>77.178600000000003</v>
      </c>
      <c r="O1844" s="1">
        <v>44975</v>
      </c>
      <c r="P1844">
        <f>IF(ISBLANK(ReconciliationData[[#This Row],[Invoice_ID]]),1,0)</f>
        <v>0</v>
      </c>
      <c r="Q1844">
        <f>IF(AND(NOT(ISBLANK(ReconciliationData[[#This Row],[Billed_Units]])),ReconciliationData[[#This Row],[ordered_units]]&lt;&gt;ReconciliationData[[#This Row],[Billed_Units]]),1,0)</f>
        <v>0</v>
      </c>
      <c r="R18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4">
        <f>IF(AND(NOT(ISBLANK(ReconciliationData[[#This Row],[Contract_Price]])),ReconciliationData[[#This Row],[Billed_Price]]&lt;&gt;ReconciliationData[[#This Row],[Contract_Price]]),1,0)</f>
        <v>0</v>
      </c>
      <c r="T1844">
        <f>IF(AND(NOT(ISBLANK(ReconciliationData[[#This Row],[End_Date]])),ReconciliationData[[#This Row],[Order_Date]]&gt;ReconciliationData[[#This Row],[End_Date]]),1,0)</f>
        <v>0</v>
      </c>
      <c r="U1844">
        <f>IF(AND(NOT(ISBLANK(ReconciliationData[[#This Row],[last_return_date]])),ReconciliationData[[#This Row],[last_return_date]]&gt;ReconciliationData[[#This Row],[Order_Date]]+60),1,0)</f>
        <v>0</v>
      </c>
      <c r="V1844">
        <f>IF(ReconciliationData[[#This Row],[total_returned_units]]&gt;ReconciliationData[[#This Row],[ordered_units]],1,0)</f>
        <v>0</v>
      </c>
      <c r="W18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44">
        <f>ReconciliationData[[#This Row],[Billed_Units]]*ReconciliationData[[#This Row],[Billed_Price]]</f>
        <v>7331.9670000000006</v>
      </c>
      <c r="Y1844">
        <f>ReconciliationData[[#This Row],[ordered_units]]*ReconciliationData[[#This Row],[List_Price]]</f>
        <v>7331.9670000000006</v>
      </c>
      <c r="Z1844">
        <f>ReconciliationData[[#This Row],[billed_revenue]]-ReconciliationData[[#This Row],[expected_revenue]]</f>
        <v>0</v>
      </c>
      <c r="AA18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44" t="str">
        <f>IF(ReconciliationData[[#This Row],[severity_score]]=0,"LOW",
 IF(ReconciliationData[[#This Row],[severity_score]]&lt;=5,"MEDIUM","HIGH"))</f>
        <v>LOW</v>
      </c>
      <c r="AC1844" t="str">
        <f>TEXT(ReconciliationData[[#This Row],[Order_Date]],"YYYY-MM")</f>
        <v>2024-04</v>
      </c>
    </row>
    <row r="1845" spans="1:29">
      <c r="A1845" t="s">
        <v>4840</v>
      </c>
      <c r="B1845" s="1">
        <v>45220</v>
      </c>
      <c r="C1845" t="s">
        <v>4841</v>
      </c>
      <c r="D1845" t="s">
        <v>569</v>
      </c>
      <c r="E1845">
        <v>108</v>
      </c>
      <c r="F1845" t="s">
        <v>4842</v>
      </c>
      <c r="G1845">
        <v>108</v>
      </c>
      <c r="H1845">
        <v>1231.9933000000001</v>
      </c>
      <c r="I1845">
        <v>19</v>
      </c>
      <c r="J1845" s="1">
        <v>45289</v>
      </c>
      <c r="N1845">
        <v>1231.9933000000001</v>
      </c>
      <c r="O1845" s="1">
        <v>44934</v>
      </c>
      <c r="P1845">
        <f>IF(ISBLANK(ReconciliationData[[#This Row],[Invoice_ID]]),1,0)</f>
        <v>0</v>
      </c>
      <c r="Q1845">
        <f>IF(AND(NOT(ISBLANK(ReconciliationData[[#This Row],[Billed_Units]])),ReconciliationData[[#This Row],[ordered_units]]&lt;&gt;ReconciliationData[[#This Row],[Billed_Units]]),1,0)</f>
        <v>0</v>
      </c>
      <c r="R18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5">
        <f>IF(AND(NOT(ISBLANK(ReconciliationData[[#This Row],[Contract_Price]])),ReconciliationData[[#This Row],[Billed_Price]]&lt;&gt;ReconciliationData[[#This Row],[Contract_Price]]),1,0)</f>
        <v>0</v>
      </c>
      <c r="T1845">
        <f>IF(AND(NOT(ISBLANK(ReconciliationData[[#This Row],[End_Date]])),ReconciliationData[[#This Row],[Order_Date]]&gt;ReconciliationData[[#This Row],[End_Date]]),1,0)</f>
        <v>0</v>
      </c>
      <c r="U1845">
        <f>IF(AND(NOT(ISBLANK(ReconciliationData[[#This Row],[last_return_date]])),ReconciliationData[[#This Row],[last_return_date]]&gt;ReconciliationData[[#This Row],[Order_Date]]+60),1,0)</f>
        <v>1</v>
      </c>
      <c r="V1845">
        <f>IF(ReconciliationData[[#This Row],[total_returned_units]]&gt;ReconciliationData[[#This Row],[ordered_units]],1,0)</f>
        <v>0</v>
      </c>
      <c r="W18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45">
        <f>ReconciliationData[[#This Row],[Billed_Units]]*ReconciliationData[[#This Row],[Billed_Price]]</f>
        <v>133055.2764</v>
      </c>
      <c r="Y1845">
        <f>ReconciliationData[[#This Row],[ordered_units]]*ReconciliationData[[#This Row],[List_Price]]</f>
        <v>133055.2764</v>
      </c>
      <c r="Z1845">
        <f>ReconciliationData[[#This Row],[billed_revenue]]-ReconciliationData[[#This Row],[expected_revenue]]</f>
        <v>0</v>
      </c>
      <c r="AA18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845" t="str">
        <f>IF(ReconciliationData[[#This Row],[severity_score]]=0,"LOW",
 IF(ReconciliationData[[#This Row],[severity_score]]&lt;=5,"MEDIUM","HIGH"))</f>
        <v>MEDIUM</v>
      </c>
      <c r="AC1845" t="str">
        <f>TEXT(ReconciliationData[[#This Row],[Order_Date]],"YYYY-MM")</f>
        <v>2023-10</v>
      </c>
    </row>
    <row r="1846" spans="1:29">
      <c r="A1846" t="s">
        <v>4843</v>
      </c>
      <c r="B1846" s="1">
        <v>45450</v>
      </c>
      <c r="C1846" t="s">
        <v>2288</v>
      </c>
      <c r="D1846" t="s">
        <v>306</v>
      </c>
      <c r="E1846">
        <v>7</v>
      </c>
      <c r="F1846" t="s">
        <v>4844</v>
      </c>
      <c r="G1846">
        <v>7</v>
      </c>
      <c r="H1846">
        <v>1211.7708</v>
      </c>
      <c r="N1846">
        <v>1211.7708</v>
      </c>
      <c r="O1846" s="1">
        <v>45193</v>
      </c>
      <c r="P1846">
        <f>IF(ISBLANK(ReconciliationData[[#This Row],[Invoice_ID]]),1,0)</f>
        <v>0</v>
      </c>
      <c r="Q1846">
        <f>IF(AND(NOT(ISBLANK(ReconciliationData[[#This Row],[Billed_Units]])),ReconciliationData[[#This Row],[ordered_units]]&lt;&gt;ReconciliationData[[#This Row],[Billed_Units]]),1,0)</f>
        <v>0</v>
      </c>
      <c r="R18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6">
        <f>IF(AND(NOT(ISBLANK(ReconciliationData[[#This Row],[Contract_Price]])),ReconciliationData[[#This Row],[Billed_Price]]&lt;&gt;ReconciliationData[[#This Row],[Contract_Price]]),1,0)</f>
        <v>0</v>
      </c>
      <c r="T1846">
        <f>IF(AND(NOT(ISBLANK(ReconciliationData[[#This Row],[End_Date]])),ReconciliationData[[#This Row],[Order_Date]]&gt;ReconciliationData[[#This Row],[End_Date]]),1,0)</f>
        <v>0</v>
      </c>
      <c r="U1846">
        <f>IF(AND(NOT(ISBLANK(ReconciliationData[[#This Row],[last_return_date]])),ReconciliationData[[#This Row],[last_return_date]]&gt;ReconciliationData[[#This Row],[Order_Date]]+60),1,0)</f>
        <v>0</v>
      </c>
      <c r="V1846">
        <f>IF(ReconciliationData[[#This Row],[total_returned_units]]&gt;ReconciliationData[[#This Row],[ordered_units]],1,0)</f>
        <v>0</v>
      </c>
      <c r="W18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46">
        <f>ReconciliationData[[#This Row],[Billed_Units]]*ReconciliationData[[#This Row],[Billed_Price]]</f>
        <v>8482.3955999999998</v>
      </c>
      <c r="Y1846">
        <f>ReconciliationData[[#This Row],[ordered_units]]*ReconciliationData[[#This Row],[List_Price]]</f>
        <v>8482.3955999999998</v>
      </c>
      <c r="Z1846">
        <f>ReconciliationData[[#This Row],[billed_revenue]]-ReconciliationData[[#This Row],[expected_revenue]]</f>
        <v>0</v>
      </c>
      <c r="AA18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46" t="str">
        <f>IF(ReconciliationData[[#This Row],[severity_score]]=0,"LOW",
 IF(ReconciliationData[[#This Row],[severity_score]]&lt;=5,"MEDIUM","HIGH"))</f>
        <v>LOW</v>
      </c>
      <c r="AC1846" t="str">
        <f>TEXT(ReconciliationData[[#This Row],[Order_Date]],"YYYY-MM")</f>
        <v>2024-06</v>
      </c>
    </row>
    <row r="1847" spans="1:29">
      <c r="A1847" t="s">
        <v>4845</v>
      </c>
      <c r="B1847" s="1">
        <v>45575</v>
      </c>
      <c r="C1847" t="s">
        <v>961</v>
      </c>
      <c r="D1847" t="s">
        <v>747</v>
      </c>
      <c r="E1847">
        <v>197</v>
      </c>
      <c r="F1847" t="s">
        <v>4846</v>
      </c>
      <c r="G1847">
        <v>197</v>
      </c>
      <c r="H1847">
        <v>58.98</v>
      </c>
      <c r="N1847">
        <v>58.98</v>
      </c>
      <c r="O1847" s="1">
        <v>44934</v>
      </c>
      <c r="P1847">
        <f>IF(ISBLANK(ReconciliationData[[#This Row],[Invoice_ID]]),1,0)</f>
        <v>0</v>
      </c>
      <c r="Q1847">
        <f>IF(AND(NOT(ISBLANK(ReconciliationData[[#This Row],[Billed_Units]])),ReconciliationData[[#This Row],[ordered_units]]&lt;&gt;ReconciliationData[[#This Row],[Billed_Units]]),1,0)</f>
        <v>0</v>
      </c>
      <c r="R18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7">
        <f>IF(AND(NOT(ISBLANK(ReconciliationData[[#This Row],[Contract_Price]])),ReconciliationData[[#This Row],[Billed_Price]]&lt;&gt;ReconciliationData[[#This Row],[Contract_Price]]),1,0)</f>
        <v>0</v>
      </c>
      <c r="T1847">
        <f>IF(AND(NOT(ISBLANK(ReconciliationData[[#This Row],[End_Date]])),ReconciliationData[[#This Row],[Order_Date]]&gt;ReconciliationData[[#This Row],[End_Date]]),1,0)</f>
        <v>0</v>
      </c>
      <c r="U1847">
        <f>IF(AND(NOT(ISBLANK(ReconciliationData[[#This Row],[last_return_date]])),ReconciliationData[[#This Row],[last_return_date]]&gt;ReconciliationData[[#This Row],[Order_Date]]+60),1,0)</f>
        <v>0</v>
      </c>
      <c r="V1847">
        <f>IF(ReconciliationData[[#This Row],[total_returned_units]]&gt;ReconciliationData[[#This Row],[ordered_units]],1,0)</f>
        <v>0</v>
      </c>
      <c r="W18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47">
        <f>ReconciliationData[[#This Row],[Billed_Units]]*ReconciliationData[[#This Row],[Billed_Price]]</f>
        <v>11619.06</v>
      </c>
      <c r="Y1847">
        <f>ReconciliationData[[#This Row],[ordered_units]]*ReconciliationData[[#This Row],[List_Price]]</f>
        <v>11619.06</v>
      </c>
      <c r="Z1847">
        <f>ReconciliationData[[#This Row],[billed_revenue]]-ReconciliationData[[#This Row],[expected_revenue]]</f>
        <v>0</v>
      </c>
      <c r="AA18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47" t="str">
        <f>IF(ReconciliationData[[#This Row],[severity_score]]=0,"LOW",
 IF(ReconciliationData[[#This Row],[severity_score]]&lt;=5,"MEDIUM","HIGH"))</f>
        <v>LOW</v>
      </c>
      <c r="AC1847" t="str">
        <f>TEXT(ReconciliationData[[#This Row],[Order_Date]],"YYYY-MM")</f>
        <v>2024-10</v>
      </c>
    </row>
    <row r="1848" spans="1:29">
      <c r="A1848" t="s">
        <v>4847</v>
      </c>
      <c r="B1848" s="1">
        <v>45374</v>
      </c>
      <c r="C1848" t="s">
        <v>4848</v>
      </c>
      <c r="D1848" t="s">
        <v>863</v>
      </c>
      <c r="E1848">
        <v>180</v>
      </c>
      <c r="F1848" t="s">
        <v>4849</v>
      </c>
      <c r="G1848">
        <v>180</v>
      </c>
      <c r="H1848">
        <v>815.08680000000004</v>
      </c>
      <c r="N1848">
        <v>815.08680000000004</v>
      </c>
      <c r="O1848" s="1">
        <v>45062</v>
      </c>
      <c r="P1848">
        <f>IF(ISBLANK(ReconciliationData[[#This Row],[Invoice_ID]]),1,0)</f>
        <v>0</v>
      </c>
      <c r="Q1848">
        <f>IF(AND(NOT(ISBLANK(ReconciliationData[[#This Row],[Billed_Units]])),ReconciliationData[[#This Row],[ordered_units]]&lt;&gt;ReconciliationData[[#This Row],[Billed_Units]]),1,0)</f>
        <v>0</v>
      </c>
      <c r="R18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8">
        <f>IF(AND(NOT(ISBLANK(ReconciliationData[[#This Row],[Contract_Price]])),ReconciliationData[[#This Row],[Billed_Price]]&lt;&gt;ReconciliationData[[#This Row],[Contract_Price]]),1,0)</f>
        <v>0</v>
      </c>
      <c r="T1848">
        <f>IF(AND(NOT(ISBLANK(ReconciliationData[[#This Row],[End_Date]])),ReconciliationData[[#This Row],[Order_Date]]&gt;ReconciliationData[[#This Row],[End_Date]]),1,0)</f>
        <v>0</v>
      </c>
      <c r="U1848">
        <f>IF(AND(NOT(ISBLANK(ReconciliationData[[#This Row],[last_return_date]])),ReconciliationData[[#This Row],[last_return_date]]&gt;ReconciliationData[[#This Row],[Order_Date]]+60),1,0)</f>
        <v>0</v>
      </c>
      <c r="V1848">
        <f>IF(ReconciliationData[[#This Row],[total_returned_units]]&gt;ReconciliationData[[#This Row],[ordered_units]],1,0)</f>
        <v>0</v>
      </c>
      <c r="W18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48">
        <f>ReconciliationData[[#This Row],[Billed_Units]]*ReconciliationData[[#This Row],[Billed_Price]]</f>
        <v>146715.62400000001</v>
      </c>
      <c r="Y1848">
        <f>ReconciliationData[[#This Row],[ordered_units]]*ReconciliationData[[#This Row],[List_Price]]</f>
        <v>146715.62400000001</v>
      </c>
      <c r="Z1848">
        <f>ReconciliationData[[#This Row],[billed_revenue]]-ReconciliationData[[#This Row],[expected_revenue]]</f>
        <v>0</v>
      </c>
      <c r="AA18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48" t="str">
        <f>IF(ReconciliationData[[#This Row],[severity_score]]=0,"LOW",
 IF(ReconciliationData[[#This Row],[severity_score]]&lt;=5,"MEDIUM","HIGH"))</f>
        <v>LOW</v>
      </c>
      <c r="AC1848" t="str">
        <f>TEXT(ReconciliationData[[#This Row],[Order_Date]],"YYYY-MM")</f>
        <v>2024-03</v>
      </c>
    </row>
    <row r="1849" spans="1:29">
      <c r="A1849" t="s">
        <v>4850</v>
      </c>
      <c r="B1849" s="1">
        <v>45061</v>
      </c>
      <c r="C1849" t="s">
        <v>1462</v>
      </c>
      <c r="D1849" t="s">
        <v>441</v>
      </c>
      <c r="E1849">
        <v>160</v>
      </c>
      <c r="F1849" t="s">
        <v>4851</v>
      </c>
      <c r="G1849">
        <v>160</v>
      </c>
      <c r="H1849">
        <v>238.7328</v>
      </c>
      <c r="I1849">
        <v>1</v>
      </c>
      <c r="J1849" s="1">
        <v>45436</v>
      </c>
      <c r="N1849">
        <v>238.7328</v>
      </c>
      <c r="O1849" s="1">
        <v>44987</v>
      </c>
      <c r="P1849">
        <f>IF(ISBLANK(ReconciliationData[[#This Row],[Invoice_ID]]),1,0)</f>
        <v>0</v>
      </c>
      <c r="Q1849">
        <f>IF(AND(NOT(ISBLANK(ReconciliationData[[#This Row],[Billed_Units]])),ReconciliationData[[#This Row],[ordered_units]]&lt;&gt;ReconciliationData[[#This Row],[Billed_Units]]),1,0)</f>
        <v>0</v>
      </c>
      <c r="R18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49">
        <f>IF(AND(NOT(ISBLANK(ReconciliationData[[#This Row],[Contract_Price]])),ReconciliationData[[#This Row],[Billed_Price]]&lt;&gt;ReconciliationData[[#This Row],[Contract_Price]]),1,0)</f>
        <v>0</v>
      </c>
      <c r="T1849">
        <f>IF(AND(NOT(ISBLANK(ReconciliationData[[#This Row],[End_Date]])),ReconciliationData[[#This Row],[Order_Date]]&gt;ReconciliationData[[#This Row],[End_Date]]),1,0)</f>
        <v>0</v>
      </c>
      <c r="U1849">
        <f>IF(AND(NOT(ISBLANK(ReconciliationData[[#This Row],[last_return_date]])),ReconciliationData[[#This Row],[last_return_date]]&gt;ReconciliationData[[#This Row],[Order_Date]]+60),1,0)</f>
        <v>1</v>
      </c>
      <c r="V1849">
        <f>IF(ReconciliationData[[#This Row],[total_returned_units]]&gt;ReconciliationData[[#This Row],[ordered_units]],1,0)</f>
        <v>0</v>
      </c>
      <c r="W18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49">
        <f>ReconciliationData[[#This Row],[Billed_Units]]*ReconciliationData[[#This Row],[Billed_Price]]</f>
        <v>38197.248</v>
      </c>
      <c r="Y1849">
        <f>ReconciliationData[[#This Row],[ordered_units]]*ReconciliationData[[#This Row],[List_Price]]</f>
        <v>38197.248</v>
      </c>
      <c r="Z1849">
        <f>ReconciliationData[[#This Row],[billed_revenue]]-ReconciliationData[[#This Row],[expected_revenue]]</f>
        <v>0</v>
      </c>
      <c r="AA18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849" t="str">
        <f>IF(ReconciliationData[[#This Row],[severity_score]]=0,"LOW",
 IF(ReconciliationData[[#This Row],[severity_score]]&lt;=5,"MEDIUM","HIGH"))</f>
        <v>MEDIUM</v>
      </c>
      <c r="AC1849" t="str">
        <f>TEXT(ReconciliationData[[#This Row],[Order_Date]],"YYYY-MM")</f>
        <v>2023-05</v>
      </c>
    </row>
    <row r="1850" spans="1:29">
      <c r="A1850" t="s">
        <v>4852</v>
      </c>
      <c r="B1850" s="1">
        <v>45249</v>
      </c>
      <c r="C1850" t="s">
        <v>2412</v>
      </c>
      <c r="D1850" t="s">
        <v>1414</v>
      </c>
      <c r="E1850">
        <v>40</v>
      </c>
      <c r="F1850" t="s">
        <v>4853</v>
      </c>
      <c r="G1850">
        <v>40</v>
      </c>
      <c r="H1850">
        <v>872.7808</v>
      </c>
      <c r="N1850">
        <v>872.7808</v>
      </c>
      <c r="O1850" s="1">
        <v>45225</v>
      </c>
      <c r="P1850">
        <f>IF(ISBLANK(ReconciliationData[[#This Row],[Invoice_ID]]),1,0)</f>
        <v>0</v>
      </c>
      <c r="Q1850">
        <f>IF(AND(NOT(ISBLANK(ReconciliationData[[#This Row],[Billed_Units]])),ReconciliationData[[#This Row],[ordered_units]]&lt;&gt;ReconciliationData[[#This Row],[Billed_Units]]),1,0)</f>
        <v>0</v>
      </c>
      <c r="R18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50">
        <f>IF(AND(NOT(ISBLANK(ReconciliationData[[#This Row],[Contract_Price]])),ReconciliationData[[#This Row],[Billed_Price]]&lt;&gt;ReconciliationData[[#This Row],[Contract_Price]]),1,0)</f>
        <v>0</v>
      </c>
      <c r="T1850">
        <f>IF(AND(NOT(ISBLANK(ReconciliationData[[#This Row],[End_Date]])),ReconciliationData[[#This Row],[Order_Date]]&gt;ReconciliationData[[#This Row],[End_Date]]),1,0)</f>
        <v>0</v>
      </c>
      <c r="U1850">
        <f>IF(AND(NOT(ISBLANK(ReconciliationData[[#This Row],[last_return_date]])),ReconciliationData[[#This Row],[last_return_date]]&gt;ReconciliationData[[#This Row],[Order_Date]]+60),1,0)</f>
        <v>0</v>
      </c>
      <c r="V1850">
        <f>IF(ReconciliationData[[#This Row],[total_returned_units]]&gt;ReconciliationData[[#This Row],[ordered_units]],1,0)</f>
        <v>0</v>
      </c>
      <c r="W18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50">
        <f>ReconciliationData[[#This Row],[Billed_Units]]*ReconciliationData[[#This Row],[Billed_Price]]</f>
        <v>34911.232000000004</v>
      </c>
      <c r="Y1850">
        <f>ReconciliationData[[#This Row],[ordered_units]]*ReconciliationData[[#This Row],[List_Price]]</f>
        <v>34911.232000000004</v>
      </c>
      <c r="Z1850">
        <f>ReconciliationData[[#This Row],[billed_revenue]]-ReconciliationData[[#This Row],[expected_revenue]]</f>
        <v>0</v>
      </c>
      <c r="AA18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50" t="str">
        <f>IF(ReconciliationData[[#This Row],[severity_score]]=0,"LOW",
 IF(ReconciliationData[[#This Row],[severity_score]]&lt;=5,"MEDIUM","HIGH"))</f>
        <v>LOW</v>
      </c>
      <c r="AC1850" t="str">
        <f>TEXT(ReconciliationData[[#This Row],[Order_Date]],"YYYY-MM")</f>
        <v>2023-11</v>
      </c>
    </row>
    <row r="1851" spans="1:29">
      <c r="A1851" t="s">
        <v>4854</v>
      </c>
      <c r="B1851" s="1">
        <v>45290</v>
      </c>
      <c r="C1851" t="s">
        <v>1077</v>
      </c>
      <c r="D1851" t="s">
        <v>1392</v>
      </c>
      <c r="E1851">
        <v>77</v>
      </c>
      <c r="F1851" t="s">
        <v>4855</v>
      </c>
      <c r="G1851">
        <v>77</v>
      </c>
      <c r="H1851">
        <v>107.1605</v>
      </c>
      <c r="N1851">
        <v>107.1605</v>
      </c>
      <c r="O1851" s="1">
        <v>44970</v>
      </c>
      <c r="P1851">
        <f>IF(ISBLANK(ReconciliationData[[#This Row],[Invoice_ID]]),1,0)</f>
        <v>0</v>
      </c>
      <c r="Q1851">
        <f>IF(AND(NOT(ISBLANK(ReconciliationData[[#This Row],[Billed_Units]])),ReconciliationData[[#This Row],[ordered_units]]&lt;&gt;ReconciliationData[[#This Row],[Billed_Units]]),1,0)</f>
        <v>0</v>
      </c>
      <c r="R18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51">
        <f>IF(AND(NOT(ISBLANK(ReconciliationData[[#This Row],[Contract_Price]])),ReconciliationData[[#This Row],[Billed_Price]]&lt;&gt;ReconciliationData[[#This Row],[Contract_Price]]),1,0)</f>
        <v>0</v>
      </c>
      <c r="T1851">
        <f>IF(AND(NOT(ISBLANK(ReconciliationData[[#This Row],[End_Date]])),ReconciliationData[[#This Row],[Order_Date]]&gt;ReconciliationData[[#This Row],[End_Date]]),1,0)</f>
        <v>0</v>
      </c>
      <c r="U1851">
        <f>IF(AND(NOT(ISBLANK(ReconciliationData[[#This Row],[last_return_date]])),ReconciliationData[[#This Row],[last_return_date]]&gt;ReconciliationData[[#This Row],[Order_Date]]+60),1,0)</f>
        <v>0</v>
      </c>
      <c r="V1851">
        <f>IF(ReconciliationData[[#This Row],[total_returned_units]]&gt;ReconciliationData[[#This Row],[ordered_units]],1,0)</f>
        <v>0</v>
      </c>
      <c r="W18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51">
        <f>ReconciliationData[[#This Row],[Billed_Units]]*ReconciliationData[[#This Row],[Billed_Price]]</f>
        <v>8251.3585000000003</v>
      </c>
      <c r="Y1851">
        <f>ReconciliationData[[#This Row],[ordered_units]]*ReconciliationData[[#This Row],[List_Price]]</f>
        <v>8251.3585000000003</v>
      </c>
      <c r="Z1851">
        <f>ReconciliationData[[#This Row],[billed_revenue]]-ReconciliationData[[#This Row],[expected_revenue]]</f>
        <v>0</v>
      </c>
      <c r="AA18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51" t="str">
        <f>IF(ReconciliationData[[#This Row],[severity_score]]=0,"LOW",
 IF(ReconciliationData[[#This Row],[severity_score]]&lt;=5,"MEDIUM","HIGH"))</f>
        <v>LOW</v>
      </c>
      <c r="AC1851" t="str">
        <f>TEXT(ReconciliationData[[#This Row],[Order_Date]],"YYYY-MM")</f>
        <v>2023-12</v>
      </c>
    </row>
    <row r="1852" spans="1:29">
      <c r="A1852" t="s">
        <v>4856</v>
      </c>
      <c r="B1852" s="1">
        <v>45361</v>
      </c>
      <c r="C1852" t="s">
        <v>933</v>
      </c>
      <c r="D1852" t="s">
        <v>2245</v>
      </c>
      <c r="E1852">
        <v>199</v>
      </c>
      <c r="F1852" t="s">
        <v>4857</v>
      </c>
      <c r="G1852">
        <v>199</v>
      </c>
      <c r="H1852">
        <v>378.91109999999998</v>
      </c>
      <c r="N1852">
        <v>378.91109999999998</v>
      </c>
      <c r="O1852" s="1">
        <v>45117</v>
      </c>
      <c r="P1852">
        <f>IF(ISBLANK(ReconciliationData[[#This Row],[Invoice_ID]]),1,0)</f>
        <v>0</v>
      </c>
      <c r="Q1852">
        <f>IF(AND(NOT(ISBLANK(ReconciliationData[[#This Row],[Billed_Units]])),ReconciliationData[[#This Row],[ordered_units]]&lt;&gt;ReconciliationData[[#This Row],[Billed_Units]]),1,0)</f>
        <v>0</v>
      </c>
      <c r="R18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52">
        <f>IF(AND(NOT(ISBLANK(ReconciliationData[[#This Row],[Contract_Price]])),ReconciliationData[[#This Row],[Billed_Price]]&lt;&gt;ReconciliationData[[#This Row],[Contract_Price]]),1,0)</f>
        <v>0</v>
      </c>
      <c r="T1852">
        <f>IF(AND(NOT(ISBLANK(ReconciliationData[[#This Row],[End_Date]])),ReconciliationData[[#This Row],[Order_Date]]&gt;ReconciliationData[[#This Row],[End_Date]]),1,0)</f>
        <v>0</v>
      </c>
      <c r="U1852">
        <f>IF(AND(NOT(ISBLANK(ReconciliationData[[#This Row],[last_return_date]])),ReconciliationData[[#This Row],[last_return_date]]&gt;ReconciliationData[[#This Row],[Order_Date]]+60),1,0)</f>
        <v>0</v>
      </c>
      <c r="V1852">
        <f>IF(ReconciliationData[[#This Row],[total_returned_units]]&gt;ReconciliationData[[#This Row],[ordered_units]],1,0)</f>
        <v>0</v>
      </c>
      <c r="W18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52">
        <f>ReconciliationData[[#This Row],[Billed_Units]]*ReconciliationData[[#This Row],[Billed_Price]]</f>
        <v>75403.308899999989</v>
      </c>
      <c r="Y1852">
        <f>ReconciliationData[[#This Row],[ordered_units]]*ReconciliationData[[#This Row],[List_Price]]</f>
        <v>75403.308899999989</v>
      </c>
      <c r="Z1852">
        <f>ReconciliationData[[#This Row],[billed_revenue]]-ReconciliationData[[#This Row],[expected_revenue]]</f>
        <v>0</v>
      </c>
      <c r="AA18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52" t="str">
        <f>IF(ReconciliationData[[#This Row],[severity_score]]=0,"LOW",
 IF(ReconciliationData[[#This Row],[severity_score]]&lt;=5,"MEDIUM","HIGH"))</f>
        <v>LOW</v>
      </c>
      <c r="AC1852" t="str">
        <f>TEXT(ReconciliationData[[#This Row],[Order_Date]],"YYYY-MM")</f>
        <v>2024-03</v>
      </c>
    </row>
    <row r="1853" spans="1:29">
      <c r="A1853" t="s">
        <v>4858</v>
      </c>
      <c r="B1853" s="1">
        <v>45188</v>
      </c>
      <c r="C1853" t="s">
        <v>507</v>
      </c>
      <c r="D1853" t="s">
        <v>564</v>
      </c>
      <c r="E1853">
        <v>100</v>
      </c>
      <c r="F1853" t="s">
        <v>4859</v>
      </c>
      <c r="G1853">
        <v>100</v>
      </c>
      <c r="H1853">
        <v>1171.7046</v>
      </c>
      <c r="N1853">
        <v>1171.7046</v>
      </c>
      <c r="O1853" s="1">
        <v>45077</v>
      </c>
      <c r="P1853">
        <f>IF(ISBLANK(ReconciliationData[[#This Row],[Invoice_ID]]),1,0)</f>
        <v>0</v>
      </c>
      <c r="Q1853">
        <f>IF(AND(NOT(ISBLANK(ReconciliationData[[#This Row],[Billed_Units]])),ReconciliationData[[#This Row],[ordered_units]]&lt;&gt;ReconciliationData[[#This Row],[Billed_Units]]),1,0)</f>
        <v>0</v>
      </c>
      <c r="R18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53">
        <f>IF(AND(NOT(ISBLANK(ReconciliationData[[#This Row],[Contract_Price]])),ReconciliationData[[#This Row],[Billed_Price]]&lt;&gt;ReconciliationData[[#This Row],[Contract_Price]]),1,0)</f>
        <v>0</v>
      </c>
      <c r="T1853">
        <f>IF(AND(NOT(ISBLANK(ReconciliationData[[#This Row],[End_Date]])),ReconciliationData[[#This Row],[Order_Date]]&gt;ReconciliationData[[#This Row],[End_Date]]),1,0)</f>
        <v>0</v>
      </c>
      <c r="U1853">
        <f>IF(AND(NOT(ISBLANK(ReconciliationData[[#This Row],[last_return_date]])),ReconciliationData[[#This Row],[last_return_date]]&gt;ReconciliationData[[#This Row],[Order_Date]]+60),1,0)</f>
        <v>0</v>
      </c>
      <c r="V1853">
        <f>IF(ReconciliationData[[#This Row],[total_returned_units]]&gt;ReconciliationData[[#This Row],[ordered_units]],1,0)</f>
        <v>0</v>
      </c>
      <c r="W18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53">
        <f>ReconciliationData[[#This Row],[Billed_Units]]*ReconciliationData[[#This Row],[Billed_Price]]</f>
        <v>117170.46</v>
      </c>
      <c r="Y1853">
        <f>ReconciliationData[[#This Row],[ordered_units]]*ReconciliationData[[#This Row],[List_Price]]</f>
        <v>117170.46</v>
      </c>
      <c r="Z1853">
        <f>ReconciliationData[[#This Row],[billed_revenue]]-ReconciliationData[[#This Row],[expected_revenue]]</f>
        <v>0</v>
      </c>
      <c r="AA18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53" t="str">
        <f>IF(ReconciliationData[[#This Row],[severity_score]]=0,"LOW",
 IF(ReconciliationData[[#This Row],[severity_score]]&lt;=5,"MEDIUM","HIGH"))</f>
        <v>LOW</v>
      </c>
      <c r="AC1853" t="str">
        <f>TEXT(ReconciliationData[[#This Row],[Order_Date]],"YYYY-MM")</f>
        <v>2023-09</v>
      </c>
    </row>
    <row r="1854" spans="1:29">
      <c r="A1854" t="s">
        <v>4860</v>
      </c>
      <c r="B1854" s="1">
        <v>45587</v>
      </c>
      <c r="C1854" t="s">
        <v>1640</v>
      </c>
      <c r="D1854" t="s">
        <v>138</v>
      </c>
      <c r="E1854">
        <v>84</v>
      </c>
      <c r="F1854" t="s">
        <v>4861</v>
      </c>
      <c r="G1854">
        <v>84</v>
      </c>
      <c r="H1854">
        <v>444.22</v>
      </c>
      <c r="N1854">
        <v>444.22</v>
      </c>
      <c r="O1854" s="1">
        <v>45074</v>
      </c>
      <c r="P1854">
        <f>IF(ISBLANK(ReconciliationData[[#This Row],[Invoice_ID]]),1,0)</f>
        <v>0</v>
      </c>
      <c r="Q1854">
        <f>IF(AND(NOT(ISBLANK(ReconciliationData[[#This Row],[Billed_Units]])),ReconciliationData[[#This Row],[ordered_units]]&lt;&gt;ReconciliationData[[#This Row],[Billed_Units]]),1,0)</f>
        <v>0</v>
      </c>
      <c r="R18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54">
        <f>IF(AND(NOT(ISBLANK(ReconciliationData[[#This Row],[Contract_Price]])),ReconciliationData[[#This Row],[Billed_Price]]&lt;&gt;ReconciliationData[[#This Row],[Contract_Price]]),1,0)</f>
        <v>0</v>
      </c>
      <c r="T1854">
        <f>IF(AND(NOT(ISBLANK(ReconciliationData[[#This Row],[End_Date]])),ReconciliationData[[#This Row],[Order_Date]]&gt;ReconciliationData[[#This Row],[End_Date]]),1,0)</f>
        <v>0</v>
      </c>
      <c r="U1854">
        <f>IF(AND(NOT(ISBLANK(ReconciliationData[[#This Row],[last_return_date]])),ReconciliationData[[#This Row],[last_return_date]]&gt;ReconciliationData[[#This Row],[Order_Date]]+60),1,0)</f>
        <v>0</v>
      </c>
      <c r="V1854">
        <f>IF(ReconciliationData[[#This Row],[total_returned_units]]&gt;ReconciliationData[[#This Row],[ordered_units]],1,0)</f>
        <v>0</v>
      </c>
      <c r="W18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54">
        <f>ReconciliationData[[#This Row],[Billed_Units]]*ReconciliationData[[#This Row],[Billed_Price]]</f>
        <v>37314.480000000003</v>
      </c>
      <c r="Y1854">
        <f>ReconciliationData[[#This Row],[ordered_units]]*ReconciliationData[[#This Row],[List_Price]]</f>
        <v>37314.480000000003</v>
      </c>
      <c r="Z1854">
        <f>ReconciliationData[[#This Row],[billed_revenue]]-ReconciliationData[[#This Row],[expected_revenue]]</f>
        <v>0</v>
      </c>
      <c r="AA18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54" t="str">
        <f>IF(ReconciliationData[[#This Row],[severity_score]]=0,"LOW",
 IF(ReconciliationData[[#This Row],[severity_score]]&lt;=5,"MEDIUM","HIGH"))</f>
        <v>LOW</v>
      </c>
      <c r="AC1854" t="str">
        <f>TEXT(ReconciliationData[[#This Row],[Order_Date]],"YYYY-MM")</f>
        <v>2024-10</v>
      </c>
    </row>
    <row r="1855" spans="1:29">
      <c r="A1855" t="s">
        <v>4862</v>
      </c>
      <c r="B1855" s="1">
        <v>45138</v>
      </c>
      <c r="C1855" t="s">
        <v>623</v>
      </c>
      <c r="D1855" t="s">
        <v>1886</v>
      </c>
      <c r="E1855">
        <v>153</v>
      </c>
      <c r="F1855" t="s">
        <v>4863</v>
      </c>
      <c r="G1855">
        <v>154</v>
      </c>
      <c r="H1855">
        <v>1093.018102547464</v>
      </c>
      <c r="N1855">
        <v>1092.5376000000001</v>
      </c>
      <c r="O1855" s="1">
        <v>44996</v>
      </c>
      <c r="P1855">
        <f>IF(ISBLANK(ReconciliationData[[#This Row],[Invoice_ID]]),1,0)</f>
        <v>0</v>
      </c>
      <c r="Q1855">
        <f>IF(AND(NOT(ISBLANK(ReconciliationData[[#This Row],[Billed_Units]])),ReconciliationData[[#This Row],[ordered_units]]&lt;&gt;ReconciliationData[[#This Row],[Billed_Units]]),1,0)</f>
        <v>1</v>
      </c>
      <c r="R185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855">
        <f>IF(AND(NOT(ISBLANK(ReconciliationData[[#This Row],[Contract_Price]])),ReconciliationData[[#This Row],[Billed_Price]]&lt;&gt;ReconciliationData[[#This Row],[Contract_Price]]),1,0)</f>
        <v>0</v>
      </c>
      <c r="T1855">
        <f>IF(AND(NOT(ISBLANK(ReconciliationData[[#This Row],[End_Date]])),ReconciliationData[[#This Row],[Order_Date]]&gt;ReconciliationData[[#This Row],[End_Date]]),1,0)</f>
        <v>0</v>
      </c>
      <c r="U1855">
        <f>IF(AND(NOT(ISBLANK(ReconciliationData[[#This Row],[last_return_date]])),ReconciliationData[[#This Row],[last_return_date]]&gt;ReconciliationData[[#This Row],[Order_Date]]+60),1,0)</f>
        <v>0</v>
      </c>
      <c r="V1855">
        <f>IF(ReconciliationData[[#This Row],[total_returned_units]]&gt;ReconciliationData[[#This Row],[ordered_units]],1,0)</f>
        <v>0</v>
      </c>
      <c r="W18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55">
        <f>ReconciliationData[[#This Row],[Billed_Units]]*ReconciliationData[[#This Row],[Billed_Price]]</f>
        <v>168324.78779230945</v>
      </c>
      <c r="Y1855">
        <f>ReconciliationData[[#This Row],[ordered_units]]*ReconciliationData[[#This Row],[List_Price]]</f>
        <v>167158.25280000002</v>
      </c>
      <c r="Z1855">
        <f>ReconciliationData[[#This Row],[billed_revenue]]-ReconciliationData[[#This Row],[expected_revenue]]</f>
        <v>1166.5349923094327</v>
      </c>
      <c r="AA18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12</v>
      </c>
      <c r="AB1855" t="str">
        <f>IF(ReconciliationData[[#This Row],[severity_score]]=0,"LOW",
 IF(ReconciliationData[[#This Row],[severity_score]]&lt;=5,"MEDIUM","HIGH"))</f>
        <v>HIGH</v>
      </c>
      <c r="AC1855" t="str">
        <f>TEXT(ReconciliationData[[#This Row],[Order_Date]],"YYYY-MM")</f>
        <v>2023-07</v>
      </c>
    </row>
    <row r="1856" spans="1:29">
      <c r="A1856" t="s">
        <v>4864</v>
      </c>
      <c r="B1856" s="1">
        <v>45637</v>
      </c>
      <c r="C1856" t="s">
        <v>1381</v>
      </c>
      <c r="D1856" t="s">
        <v>1105</v>
      </c>
      <c r="E1856">
        <v>120</v>
      </c>
      <c r="F1856" t="s">
        <v>4865</v>
      </c>
      <c r="G1856">
        <v>120</v>
      </c>
      <c r="H1856">
        <v>796.53</v>
      </c>
      <c r="N1856">
        <v>796.53</v>
      </c>
      <c r="O1856" s="1">
        <v>45172</v>
      </c>
      <c r="P1856">
        <f>IF(ISBLANK(ReconciliationData[[#This Row],[Invoice_ID]]),1,0)</f>
        <v>0</v>
      </c>
      <c r="Q1856">
        <f>IF(AND(NOT(ISBLANK(ReconciliationData[[#This Row],[Billed_Units]])),ReconciliationData[[#This Row],[ordered_units]]&lt;&gt;ReconciliationData[[#This Row],[Billed_Units]]),1,0)</f>
        <v>0</v>
      </c>
      <c r="R18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56">
        <f>IF(AND(NOT(ISBLANK(ReconciliationData[[#This Row],[Contract_Price]])),ReconciliationData[[#This Row],[Billed_Price]]&lt;&gt;ReconciliationData[[#This Row],[Contract_Price]]),1,0)</f>
        <v>0</v>
      </c>
      <c r="T1856">
        <f>IF(AND(NOT(ISBLANK(ReconciliationData[[#This Row],[End_Date]])),ReconciliationData[[#This Row],[Order_Date]]&gt;ReconciliationData[[#This Row],[End_Date]]),1,0)</f>
        <v>0</v>
      </c>
      <c r="U1856">
        <f>IF(AND(NOT(ISBLANK(ReconciliationData[[#This Row],[last_return_date]])),ReconciliationData[[#This Row],[last_return_date]]&gt;ReconciliationData[[#This Row],[Order_Date]]+60),1,0)</f>
        <v>0</v>
      </c>
      <c r="V1856">
        <f>IF(ReconciliationData[[#This Row],[total_returned_units]]&gt;ReconciliationData[[#This Row],[ordered_units]],1,0)</f>
        <v>0</v>
      </c>
      <c r="W18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56">
        <f>ReconciliationData[[#This Row],[Billed_Units]]*ReconciliationData[[#This Row],[Billed_Price]]</f>
        <v>95583.599999999991</v>
      </c>
      <c r="Y1856">
        <f>ReconciliationData[[#This Row],[ordered_units]]*ReconciliationData[[#This Row],[List_Price]]</f>
        <v>95583.599999999991</v>
      </c>
      <c r="Z1856">
        <f>ReconciliationData[[#This Row],[billed_revenue]]-ReconciliationData[[#This Row],[expected_revenue]]</f>
        <v>0</v>
      </c>
      <c r="AA18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56" t="str">
        <f>IF(ReconciliationData[[#This Row],[severity_score]]=0,"LOW",
 IF(ReconciliationData[[#This Row],[severity_score]]&lt;=5,"MEDIUM","HIGH"))</f>
        <v>LOW</v>
      </c>
      <c r="AC1856" t="str">
        <f>TEXT(ReconciliationData[[#This Row],[Order_Date]],"YYYY-MM")</f>
        <v>2024-12</v>
      </c>
    </row>
    <row r="1857" spans="1:29">
      <c r="A1857" t="s">
        <v>4866</v>
      </c>
      <c r="B1857" s="1">
        <v>45261</v>
      </c>
      <c r="C1857" t="s">
        <v>1805</v>
      </c>
      <c r="D1857" t="s">
        <v>1175</v>
      </c>
      <c r="E1857">
        <v>126</v>
      </c>
      <c r="F1857" t="s">
        <v>4867</v>
      </c>
      <c r="G1857">
        <v>126</v>
      </c>
      <c r="H1857">
        <v>589.66600000000005</v>
      </c>
      <c r="I1857">
        <v>20</v>
      </c>
      <c r="J1857" s="1">
        <v>45054</v>
      </c>
      <c r="N1857">
        <v>589.66600000000005</v>
      </c>
      <c r="O1857" s="1">
        <v>45218</v>
      </c>
      <c r="P1857">
        <f>IF(ISBLANK(ReconciliationData[[#This Row],[Invoice_ID]]),1,0)</f>
        <v>0</v>
      </c>
      <c r="Q1857">
        <f>IF(AND(NOT(ISBLANK(ReconciliationData[[#This Row],[Billed_Units]])),ReconciliationData[[#This Row],[ordered_units]]&lt;&gt;ReconciliationData[[#This Row],[Billed_Units]]),1,0)</f>
        <v>0</v>
      </c>
      <c r="R18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57">
        <f>IF(AND(NOT(ISBLANK(ReconciliationData[[#This Row],[Contract_Price]])),ReconciliationData[[#This Row],[Billed_Price]]&lt;&gt;ReconciliationData[[#This Row],[Contract_Price]]),1,0)</f>
        <v>0</v>
      </c>
      <c r="T1857">
        <f>IF(AND(NOT(ISBLANK(ReconciliationData[[#This Row],[End_Date]])),ReconciliationData[[#This Row],[Order_Date]]&gt;ReconciliationData[[#This Row],[End_Date]]),1,0)</f>
        <v>0</v>
      </c>
      <c r="U1857">
        <f>IF(AND(NOT(ISBLANK(ReconciliationData[[#This Row],[last_return_date]])),ReconciliationData[[#This Row],[last_return_date]]&gt;ReconciliationData[[#This Row],[Order_Date]]+60),1,0)</f>
        <v>0</v>
      </c>
      <c r="V1857">
        <f>IF(ReconciliationData[[#This Row],[total_returned_units]]&gt;ReconciliationData[[#This Row],[ordered_units]],1,0)</f>
        <v>0</v>
      </c>
      <c r="W18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57">
        <f>ReconciliationData[[#This Row],[Billed_Units]]*ReconciliationData[[#This Row],[Billed_Price]]</f>
        <v>74297.916000000012</v>
      </c>
      <c r="Y1857">
        <f>ReconciliationData[[#This Row],[ordered_units]]*ReconciliationData[[#This Row],[List_Price]]</f>
        <v>74297.916000000012</v>
      </c>
      <c r="Z1857">
        <f>ReconciliationData[[#This Row],[billed_revenue]]-ReconciliationData[[#This Row],[expected_revenue]]</f>
        <v>0</v>
      </c>
      <c r="AA18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57" t="str">
        <f>IF(ReconciliationData[[#This Row],[severity_score]]=0,"LOW",
 IF(ReconciliationData[[#This Row],[severity_score]]&lt;=5,"MEDIUM","HIGH"))</f>
        <v>LOW</v>
      </c>
      <c r="AC1857" t="str">
        <f>TEXT(ReconciliationData[[#This Row],[Order_Date]],"YYYY-MM")</f>
        <v>2023-12</v>
      </c>
    </row>
    <row r="1858" spans="1:29">
      <c r="A1858" t="s">
        <v>4868</v>
      </c>
      <c r="B1858" s="1">
        <v>45398</v>
      </c>
      <c r="C1858" t="s">
        <v>1357</v>
      </c>
      <c r="D1858" t="s">
        <v>997</v>
      </c>
      <c r="E1858">
        <v>143</v>
      </c>
      <c r="F1858" t="s">
        <v>4869</v>
      </c>
      <c r="G1858">
        <v>143</v>
      </c>
      <c r="H1858">
        <v>1153.4984999999999</v>
      </c>
      <c r="N1858">
        <v>1153.4984999999999</v>
      </c>
      <c r="O1858" s="1">
        <v>44962</v>
      </c>
      <c r="P1858">
        <f>IF(ISBLANK(ReconciliationData[[#This Row],[Invoice_ID]]),1,0)</f>
        <v>0</v>
      </c>
      <c r="Q1858">
        <f>IF(AND(NOT(ISBLANK(ReconciliationData[[#This Row],[Billed_Units]])),ReconciliationData[[#This Row],[ordered_units]]&lt;&gt;ReconciliationData[[#This Row],[Billed_Units]]),1,0)</f>
        <v>0</v>
      </c>
      <c r="R18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58">
        <f>IF(AND(NOT(ISBLANK(ReconciliationData[[#This Row],[Contract_Price]])),ReconciliationData[[#This Row],[Billed_Price]]&lt;&gt;ReconciliationData[[#This Row],[Contract_Price]]),1,0)</f>
        <v>0</v>
      </c>
      <c r="T1858">
        <f>IF(AND(NOT(ISBLANK(ReconciliationData[[#This Row],[End_Date]])),ReconciliationData[[#This Row],[Order_Date]]&gt;ReconciliationData[[#This Row],[End_Date]]),1,0)</f>
        <v>0</v>
      </c>
      <c r="U1858">
        <f>IF(AND(NOT(ISBLANK(ReconciliationData[[#This Row],[last_return_date]])),ReconciliationData[[#This Row],[last_return_date]]&gt;ReconciliationData[[#This Row],[Order_Date]]+60),1,0)</f>
        <v>0</v>
      </c>
      <c r="V1858">
        <f>IF(ReconciliationData[[#This Row],[total_returned_units]]&gt;ReconciliationData[[#This Row],[ordered_units]],1,0)</f>
        <v>0</v>
      </c>
      <c r="W18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58">
        <f>ReconciliationData[[#This Row],[Billed_Units]]*ReconciliationData[[#This Row],[Billed_Price]]</f>
        <v>164950.2855</v>
      </c>
      <c r="Y1858">
        <f>ReconciliationData[[#This Row],[ordered_units]]*ReconciliationData[[#This Row],[List_Price]]</f>
        <v>164950.2855</v>
      </c>
      <c r="Z1858">
        <f>ReconciliationData[[#This Row],[billed_revenue]]-ReconciliationData[[#This Row],[expected_revenue]]</f>
        <v>0</v>
      </c>
      <c r="AA18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58" t="str">
        <f>IF(ReconciliationData[[#This Row],[severity_score]]=0,"LOW",
 IF(ReconciliationData[[#This Row],[severity_score]]&lt;=5,"MEDIUM","HIGH"))</f>
        <v>LOW</v>
      </c>
      <c r="AC1858" t="str">
        <f>TEXT(ReconciliationData[[#This Row],[Order_Date]],"YYYY-MM")</f>
        <v>2024-04</v>
      </c>
    </row>
    <row r="1859" spans="1:29">
      <c r="A1859" t="s">
        <v>4870</v>
      </c>
      <c r="B1859" s="1">
        <v>45464</v>
      </c>
      <c r="C1859" t="s">
        <v>298</v>
      </c>
      <c r="D1859" t="s">
        <v>430</v>
      </c>
      <c r="E1859">
        <v>98</v>
      </c>
      <c r="F1859" t="s">
        <v>4871</v>
      </c>
      <c r="G1859">
        <v>98</v>
      </c>
      <c r="H1859">
        <v>876.32749999999999</v>
      </c>
      <c r="N1859">
        <v>876.32749999999999</v>
      </c>
      <c r="O1859" s="1">
        <v>45106</v>
      </c>
      <c r="P1859">
        <f>IF(ISBLANK(ReconciliationData[[#This Row],[Invoice_ID]]),1,0)</f>
        <v>0</v>
      </c>
      <c r="Q1859">
        <f>IF(AND(NOT(ISBLANK(ReconciliationData[[#This Row],[Billed_Units]])),ReconciliationData[[#This Row],[ordered_units]]&lt;&gt;ReconciliationData[[#This Row],[Billed_Units]]),1,0)</f>
        <v>0</v>
      </c>
      <c r="R18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59">
        <f>IF(AND(NOT(ISBLANK(ReconciliationData[[#This Row],[Contract_Price]])),ReconciliationData[[#This Row],[Billed_Price]]&lt;&gt;ReconciliationData[[#This Row],[Contract_Price]]),1,0)</f>
        <v>0</v>
      </c>
      <c r="T1859">
        <f>IF(AND(NOT(ISBLANK(ReconciliationData[[#This Row],[End_Date]])),ReconciliationData[[#This Row],[Order_Date]]&gt;ReconciliationData[[#This Row],[End_Date]]),1,0)</f>
        <v>0</v>
      </c>
      <c r="U1859">
        <f>IF(AND(NOT(ISBLANK(ReconciliationData[[#This Row],[last_return_date]])),ReconciliationData[[#This Row],[last_return_date]]&gt;ReconciliationData[[#This Row],[Order_Date]]+60),1,0)</f>
        <v>0</v>
      </c>
      <c r="V1859">
        <f>IF(ReconciliationData[[#This Row],[total_returned_units]]&gt;ReconciliationData[[#This Row],[ordered_units]],1,0)</f>
        <v>0</v>
      </c>
      <c r="W18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59">
        <f>ReconciliationData[[#This Row],[Billed_Units]]*ReconciliationData[[#This Row],[Billed_Price]]</f>
        <v>85880.095000000001</v>
      </c>
      <c r="Y1859">
        <f>ReconciliationData[[#This Row],[ordered_units]]*ReconciliationData[[#This Row],[List_Price]]</f>
        <v>85880.095000000001</v>
      </c>
      <c r="Z1859">
        <f>ReconciliationData[[#This Row],[billed_revenue]]-ReconciliationData[[#This Row],[expected_revenue]]</f>
        <v>0</v>
      </c>
      <c r="AA18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59" t="str">
        <f>IF(ReconciliationData[[#This Row],[severity_score]]=0,"LOW",
 IF(ReconciliationData[[#This Row],[severity_score]]&lt;=5,"MEDIUM","HIGH"))</f>
        <v>LOW</v>
      </c>
      <c r="AC1859" t="str">
        <f>TEXT(ReconciliationData[[#This Row],[Order_Date]],"YYYY-MM")</f>
        <v>2024-06</v>
      </c>
    </row>
    <row r="1860" spans="1:29">
      <c r="A1860" t="s">
        <v>4872</v>
      </c>
      <c r="B1860" s="1">
        <v>44941</v>
      </c>
      <c r="C1860" t="s">
        <v>3878</v>
      </c>
      <c r="D1860" t="s">
        <v>1007</v>
      </c>
      <c r="E1860">
        <v>71</v>
      </c>
      <c r="F1860" t="s">
        <v>4873</v>
      </c>
      <c r="G1860">
        <v>71</v>
      </c>
      <c r="H1860">
        <v>121.13</v>
      </c>
      <c r="N1860">
        <v>121.13</v>
      </c>
      <c r="O1860" s="1">
        <v>44608</v>
      </c>
      <c r="P1860">
        <f>IF(ISBLANK(ReconciliationData[[#This Row],[Invoice_ID]]),1,0)</f>
        <v>0</v>
      </c>
      <c r="Q1860">
        <f>IF(AND(NOT(ISBLANK(ReconciliationData[[#This Row],[Billed_Units]])),ReconciliationData[[#This Row],[ordered_units]]&lt;&gt;ReconciliationData[[#This Row],[Billed_Units]]),1,0)</f>
        <v>0</v>
      </c>
      <c r="R18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60">
        <f>IF(AND(NOT(ISBLANK(ReconciliationData[[#This Row],[Contract_Price]])),ReconciliationData[[#This Row],[Billed_Price]]&lt;&gt;ReconciliationData[[#This Row],[Contract_Price]]),1,0)</f>
        <v>0</v>
      </c>
      <c r="T1860">
        <f>IF(AND(NOT(ISBLANK(ReconciliationData[[#This Row],[End_Date]])),ReconciliationData[[#This Row],[Order_Date]]&gt;ReconciliationData[[#This Row],[End_Date]]),1,0)</f>
        <v>0</v>
      </c>
      <c r="U1860">
        <f>IF(AND(NOT(ISBLANK(ReconciliationData[[#This Row],[last_return_date]])),ReconciliationData[[#This Row],[last_return_date]]&gt;ReconciliationData[[#This Row],[Order_Date]]+60),1,0)</f>
        <v>0</v>
      </c>
      <c r="V1860">
        <f>IF(ReconciliationData[[#This Row],[total_returned_units]]&gt;ReconciliationData[[#This Row],[ordered_units]],1,0)</f>
        <v>0</v>
      </c>
      <c r="W18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60">
        <f>ReconciliationData[[#This Row],[Billed_Units]]*ReconciliationData[[#This Row],[Billed_Price]]</f>
        <v>8600.23</v>
      </c>
      <c r="Y1860">
        <f>ReconciliationData[[#This Row],[ordered_units]]*ReconciliationData[[#This Row],[List_Price]]</f>
        <v>8600.23</v>
      </c>
      <c r="Z1860">
        <f>ReconciliationData[[#This Row],[billed_revenue]]-ReconciliationData[[#This Row],[expected_revenue]]</f>
        <v>0</v>
      </c>
      <c r="AA18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60" t="str">
        <f>IF(ReconciliationData[[#This Row],[severity_score]]=0,"LOW",
 IF(ReconciliationData[[#This Row],[severity_score]]&lt;=5,"MEDIUM","HIGH"))</f>
        <v>LOW</v>
      </c>
      <c r="AC1860" t="str">
        <f>TEXT(ReconciliationData[[#This Row],[Order_Date]],"YYYY-MM")</f>
        <v>2023-01</v>
      </c>
    </row>
    <row r="1861" spans="1:29">
      <c r="A1861" t="s">
        <v>4874</v>
      </c>
      <c r="B1861" s="1">
        <v>45059</v>
      </c>
      <c r="C1861" t="s">
        <v>4875</v>
      </c>
      <c r="D1861" t="s">
        <v>2283</v>
      </c>
      <c r="E1861">
        <v>6</v>
      </c>
      <c r="F1861" t="s">
        <v>4876</v>
      </c>
      <c r="G1861">
        <v>6</v>
      </c>
      <c r="H1861">
        <v>68.942999999999998</v>
      </c>
      <c r="N1861">
        <v>68.942999999999998</v>
      </c>
      <c r="O1861" s="1">
        <v>44998</v>
      </c>
      <c r="P1861">
        <f>IF(ISBLANK(ReconciliationData[[#This Row],[Invoice_ID]]),1,0)</f>
        <v>0</v>
      </c>
      <c r="Q1861">
        <f>IF(AND(NOT(ISBLANK(ReconciliationData[[#This Row],[Billed_Units]])),ReconciliationData[[#This Row],[ordered_units]]&lt;&gt;ReconciliationData[[#This Row],[Billed_Units]]),1,0)</f>
        <v>0</v>
      </c>
      <c r="R18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61">
        <f>IF(AND(NOT(ISBLANK(ReconciliationData[[#This Row],[Contract_Price]])),ReconciliationData[[#This Row],[Billed_Price]]&lt;&gt;ReconciliationData[[#This Row],[Contract_Price]]),1,0)</f>
        <v>0</v>
      </c>
      <c r="T1861">
        <f>IF(AND(NOT(ISBLANK(ReconciliationData[[#This Row],[End_Date]])),ReconciliationData[[#This Row],[Order_Date]]&gt;ReconciliationData[[#This Row],[End_Date]]),1,0)</f>
        <v>0</v>
      </c>
      <c r="U1861">
        <f>IF(AND(NOT(ISBLANK(ReconciliationData[[#This Row],[last_return_date]])),ReconciliationData[[#This Row],[last_return_date]]&gt;ReconciliationData[[#This Row],[Order_Date]]+60),1,0)</f>
        <v>0</v>
      </c>
      <c r="V1861">
        <f>IF(ReconciliationData[[#This Row],[total_returned_units]]&gt;ReconciliationData[[#This Row],[ordered_units]],1,0)</f>
        <v>0</v>
      </c>
      <c r="W18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61">
        <f>ReconciliationData[[#This Row],[Billed_Units]]*ReconciliationData[[#This Row],[Billed_Price]]</f>
        <v>413.65800000000002</v>
      </c>
      <c r="Y1861">
        <f>ReconciliationData[[#This Row],[ordered_units]]*ReconciliationData[[#This Row],[List_Price]]</f>
        <v>413.65800000000002</v>
      </c>
      <c r="Z1861">
        <f>ReconciliationData[[#This Row],[billed_revenue]]-ReconciliationData[[#This Row],[expected_revenue]]</f>
        <v>0</v>
      </c>
      <c r="AA18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61" t="str">
        <f>IF(ReconciliationData[[#This Row],[severity_score]]=0,"LOW",
 IF(ReconciliationData[[#This Row],[severity_score]]&lt;=5,"MEDIUM","HIGH"))</f>
        <v>LOW</v>
      </c>
      <c r="AC1861" t="str">
        <f>TEXT(ReconciliationData[[#This Row],[Order_Date]],"YYYY-MM")</f>
        <v>2023-05</v>
      </c>
    </row>
    <row r="1862" spans="1:29">
      <c r="A1862" t="s">
        <v>4877</v>
      </c>
      <c r="B1862" s="1">
        <v>45080</v>
      </c>
      <c r="C1862" t="s">
        <v>4878</v>
      </c>
      <c r="D1862" t="s">
        <v>997</v>
      </c>
      <c r="E1862">
        <v>21</v>
      </c>
      <c r="F1862" t="s">
        <v>4879</v>
      </c>
      <c r="G1862">
        <v>21</v>
      </c>
      <c r="H1862">
        <v>1153.4984999999999</v>
      </c>
      <c r="N1862">
        <v>1153.4984999999999</v>
      </c>
      <c r="O1862" s="1">
        <v>44962</v>
      </c>
      <c r="P1862">
        <f>IF(ISBLANK(ReconciliationData[[#This Row],[Invoice_ID]]),1,0)</f>
        <v>0</v>
      </c>
      <c r="Q1862">
        <f>IF(AND(NOT(ISBLANK(ReconciliationData[[#This Row],[Billed_Units]])),ReconciliationData[[#This Row],[ordered_units]]&lt;&gt;ReconciliationData[[#This Row],[Billed_Units]]),1,0)</f>
        <v>0</v>
      </c>
      <c r="R18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62">
        <f>IF(AND(NOT(ISBLANK(ReconciliationData[[#This Row],[Contract_Price]])),ReconciliationData[[#This Row],[Billed_Price]]&lt;&gt;ReconciliationData[[#This Row],[Contract_Price]]),1,0)</f>
        <v>0</v>
      </c>
      <c r="T1862">
        <f>IF(AND(NOT(ISBLANK(ReconciliationData[[#This Row],[End_Date]])),ReconciliationData[[#This Row],[Order_Date]]&gt;ReconciliationData[[#This Row],[End_Date]]),1,0)</f>
        <v>0</v>
      </c>
      <c r="U1862">
        <f>IF(AND(NOT(ISBLANK(ReconciliationData[[#This Row],[last_return_date]])),ReconciliationData[[#This Row],[last_return_date]]&gt;ReconciliationData[[#This Row],[Order_Date]]+60),1,0)</f>
        <v>0</v>
      </c>
      <c r="V1862">
        <f>IF(ReconciliationData[[#This Row],[total_returned_units]]&gt;ReconciliationData[[#This Row],[ordered_units]],1,0)</f>
        <v>0</v>
      </c>
      <c r="W18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62">
        <f>ReconciliationData[[#This Row],[Billed_Units]]*ReconciliationData[[#This Row],[Billed_Price]]</f>
        <v>24223.468499999999</v>
      </c>
      <c r="Y1862">
        <f>ReconciliationData[[#This Row],[ordered_units]]*ReconciliationData[[#This Row],[List_Price]]</f>
        <v>24223.468499999999</v>
      </c>
      <c r="Z1862">
        <f>ReconciliationData[[#This Row],[billed_revenue]]-ReconciliationData[[#This Row],[expected_revenue]]</f>
        <v>0</v>
      </c>
      <c r="AA18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62" t="str">
        <f>IF(ReconciliationData[[#This Row],[severity_score]]=0,"LOW",
 IF(ReconciliationData[[#This Row],[severity_score]]&lt;=5,"MEDIUM","HIGH"))</f>
        <v>LOW</v>
      </c>
      <c r="AC1862" t="str">
        <f>TEXT(ReconciliationData[[#This Row],[Order_Date]],"YYYY-MM")</f>
        <v>2023-06</v>
      </c>
    </row>
    <row r="1863" spans="1:29">
      <c r="A1863" t="s">
        <v>4880</v>
      </c>
      <c r="B1863" s="1">
        <v>45083</v>
      </c>
      <c r="C1863" t="s">
        <v>3993</v>
      </c>
      <c r="D1863" t="s">
        <v>404</v>
      </c>
      <c r="E1863">
        <v>34</v>
      </c>
      <c r="F1863" t="s">
        <v>4881</v>
      </c>
      <c r="G1863">
        <v>34</v>
      </c>
      <c r="H1863">
        <v>1129.6166000000001</v>
      </c>
      <c r="N1863">
        <v>1129.6166000000001</v>
      </c>
      <c r="O1863" s="1">
        <v>44960</v>
      </c>
      <c r="P1863">
        <f>IF(ISBLANK(ReconciliationData[[#This Row],[Invoice_ID]]),1,0)</f>
        <v>0</v>
      </c>
      <c r="Q1863">
        <f>IF(AND(NOT(ISBLANK(ReconciliationData[[#This Row],[Billed_Units]])),ReconciliationData[[#This Row],[ordered_units]]&lt;&gt;ReconciliationData[[#This Row],[Billed_Units]]),1,0)</f>
        <v>0</v>
      </c>
      <c r="R18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63">
        <f>IF(AND(NOT(ISBLANK(ReconciliationData[[#This Row],[Contract_Price]])),ReconciliationData[[#This Row],[Billed_Price]]&lt;&gt;ReconciliationData[[#This Row],[Contract_Price]]),1,0)</f>
        <v>0</v>
      </c>
      <c r="T1863">
        <f>IF(AND(NOT(ISBLANK(ReconciliationData[[#This Row],[End_Date]])),ReconciliationData[[#This Row],[Order_Date]]&gt;ReconciliationData[[#This Row],[End_Date]]),1,0)</f>
        <v>0</v>
      </c>
      <c r="U1863">
        <f>IF(AND(NOT(ISBLANK(ReconciliationData[[#This Row],[last_return_date]])),ReconciliationData[[#This Row],[last_return_date]]&gt;ReconciliationData[[#This Row],[Order_Date]]+60),1,0)</f>
        <v>0</v>
      </c>
      <c r="V1863">
        <f>IF(ReconciliationData[[#This Row],[total_returned_units]]&gt;ReconciliationData[[#This Row],[ordered_units]],1,0)</f>
        <v>0</v>
      </c>
      <c r="W18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63">
        <f>ReconciliationData[[#This Row],[Billed_Units]]*ReconciliationData[[#This Row],[Billed_Price]]</f>
        <v>38406.964400000004</v>
      </c>
      <c r="Y1863">
        <f>ReconciliationData[[#This Row],[ordered_units]]*ReconciliationData[[#This Row],[List_Price]]</f>
        <v>38406.964400000004</v>
      </c>
      <c r="Z1863">
        <f>ReconciliationData[[#This Row],[billed_revenue]]-ReconciliationData[[#This Row],[expected_revenue]]</f>
        <v>0</v>
      </c>
      <c r="AA18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63" t="str">
        <f>IF(ReconciliationData[[#This Row],[severity_score]]=0,"LOW",
 IF(ReconciliationData[[#This Row],[severity_score]]&lt;=5,"MEDIUM","HIGH"))</f>
        <v>LOW</v>
      </c>
      <c r="AC1863" t="str">
        <f>TEXT(ReconciliationData[[#This Row],[Order_Date]],"YYYY-MM")</f>
        <v>2023-06</v>
      </c>
    </row>
    <row r="1864" spans="1:29">
      <c r="A1864" t="s">
        <v>4882</v>
      </c>
      <c r="B1864" s="1">
        <v>45606</v>
      </c>
      <c r="C1864" t="s">
        <v>2228</v>
      </c>
      <c r="D1864" t="s">
        <v>2097</v>
      </c>
      <c r="E1864">
        <v>113</v>
      </c>
      <c r="F1864" t="s">
        <v>4883</v>
      </c>
      <c r="G1864">
        <v>113</v>
      </c>
      <c r="H1864">
        <v>599.90620000000001</v>
      </c>
      <c r="N1864">
        <v>599.90620000000001</v>
      </c>
      <c r="O1864" s="1">
        <v>45060</v>
      </c>
      <c r="P1864">
        <f>IF(ISBLANK(ReconciliationData[[#This Row],[Invoice_ID]]),1,0)</f>
        <v>0</v>
      </c>
      <c r="Q1864">
        <f>IF(AND(NOT(ISBLANK(ReconciliationData[[#This Row],[Billed_Units]])),ReconciliationData[[#This Row],[ordered_units]]&lt;&gt;ReconciliationData[[#This Row],[Billed_Units]]),1,0)</f>
        <v>0</v>
      </c>
      <c r="R18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64">
        <f>IF(AND(NOT(ISBLANK(ReconciliationData[[#This Row],[Contract_Price]])),ReconciliationData[[#This Row],[Billed_Price]]&lt;&gt;ReconciliationData[[#This Row],[Contract_Price]]),1,0)</f>
        <v>0</v>
      </c>
      <c r="T1864">
        <f>IF(AND(NOT(ISBLANK(ReconciliationData[[#This Row],[End_Date]])),ReconciliationData[[#This Row],[Order_Date]]&gt;ReconciliationData[[#This Row],[End_Date]]),1,0)</f>
        <v>0</v>
      </c>
      <c r="U1864">
        <f>IF(AND(NOT(ISBLANK(ReconciliationData[[#This Row],[last_return_date]])),ReconciliationData[[#This Row],[last_return_date]]&gt;ReconciliationData[[#This Row],[Order_Date]]+60),1,0)</f>
        <v>0</v>
      </c>
      <c r="V1864">
        <f>IF(ReconciliationData[[#This Row],[total_returned_units]]&gt;ReconciliationData[[#This Row],[ordered_units]],1,0)</f>
        <v>0</v>
      </c>
      <c r="W18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64">
        <f>ReconciliationData[[#This Row],[Billed_Units]]*ReconciliationData[[#This Row],[Billed_Price]]</f>
        <v>67789.400600000008</v>
      </c>
      <c r="Y1864">
        <f>ReconciliationData[[#This Row],[ordered_units]]*ReconciliationData[[#This Row],[List_Price]]</f>
        <v>67789.400600000008</v>
      </c>
      <c r="Z1864">
        <f>ReconciliationData[[#This Row],[billed_revenue]]-ReconciliationData[[#This Row],[expected_revenue]]</f>
        <v>0</v>
      </c>
      <c r="AA18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64" t="str">
        <f>IF(ReconciliationData[[#This Row],[severity_score]]=0,"LOW",
 IF(ReconciliationData[[#This Row],[severity_score]]&lt;=5,"MEDIUM","HIGH"))</f>
        <v>LOW</v>
      </c>
      <c r="AC1864" t="str">
        <f>TEXT(ReconciliationData[[#This Row],[Order_Date]],"YYYY-MM")</f>
        <v>2024-11</v>
      </c>
    </row>
    <row r="1865" spans="1:29">
      <c r="A1865" t="s">
        <v>4884</v>
      </c>
      <c r="B1865" s="1">
        <v>45535</v>
      </c>
      <c r="C1865" t="s">
        <v>3707</v>
      </c>
      <c r="D1865" t="s">
        <v>863</v>
      </c>
      <c r="E1865">
        <v>110</v>
      </c>
      <c r="F1865" t="s">
        <v>4885</v>
      </c>
      <c r="G1865">
        <v>110</v>
      </c>
      <c r="H1865">
        <v>815.08680000000004</v>
      </c>
      <c r="N1865">
        <v>815.08680000000004</v>
      </c>
      <c r="O1865" s="1">
        <v>45062</v>
      </c>
      <c r="P1865">
        <f>IF(ISBLANK(ReconciliationData[[#This Row],[Invoice_ID]]),1,0)</f>
        <v>0</v>
      </c>
      <c r="Q1865">
        <f>IF(AND(NOT(ISBLANK(ReconciliationData[[#This Row],[Billed_Units]])),ReconciliationData[[#This Row],[ordered_units]]&lt;&gt;ReconciliationData[[#This Row],[Billed_Units]]),1,0)</f>
        <v>0</v>
      </c>
      <c r="R18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65">
        <f>IF(AND(NOT(ISBLANK(ReconciliationData[[#This Row],[Contract_Price]])),ReconciliationData[[#This Row],[Billed_Price]]&lt;&gt;ReconciliationData[[#This Row],[Contract_Price]]),1,0)</f>
        <v>0</v>
      </c>
      <c r="T1865">
        <f>IF(AND(NOT(ISBLANK(ReconciliationData[[#This Row],[End_Date]])),ReconciliationData[[#This Row],[Order_Date]]&gt;ReconciliationData[[#This Row],[End_Date]]),1,0)</f>
        <v>0</v>
      </c>
      <c r="U1865">
        <f>IF(AND(NOT(ISBLANK(ReconciliationData[[#This Row],[last_return_date]])),ReconciliationData[[#This Row],[last_return_date]]&gt;ReconciliationData[[#This Row],[Order_Date]]+60),1,0)</f>
        <v>0</v>
      </c>
      <c r="V1865">
        <f>IF(ReconciliationData[[#This Row],[total_returned_units]]&gt;ReconciliationData[[#This Row],[ordered_units]],1,0)</f>
        <v>0</v>
      </c>
      <c r="W18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65">
        <f>ReconciliationData[[#This Row],[Billed_Units]]*ReconciliationData[[#This Row],[Billed_Price]]</f>
        <v>89659.54800000001</v>
      </c>
      <c r="Y1865">
        <f>ReconciliationData[[#This Row],[ordered_units]]*ReconciliationData[[#This Row],[List_Price]]</f>
        <v>89659.54800000001</v>
      </c>
      <c r="Z1865">
        <f>ReconciliationData[[#This Row],[billed_revenue]]-ReconciliationData[[#This Row],[expected_revenue]]</f>
        <v>0</v>
      </c>
      <c r="AA18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65" t="str">
        <f>IF(ReconciliationData[[#This Row],[severity_score]]=0,"LOW",
 IF(ReconciliationData[[#This Row],[severity_score]]&lt;=5,"MEDIUM","HIGH"))</f>
        <v>LOW</v>
      </c>
      <c r="AC1865" t="str">
        <f>TEXT(ReconciliationData[[#This Row],[Order_Date]],"YYYY-MM")</f>
        <v>2024-08</v>
      </c>
    </row>
    <row r="1866" spans="1:29">
      <c r="A1866" t="s">
        <v>4886</v>
      </c>
      <c r="B1866" s="1">
        <v>45119</v>
      </c>
      <c r="C1866" t="s">
        <v>1723</v>
      </c>
      <c r="D1866" t="s">
        <v>3409</v>
      </c>
      <c r="E1866">
        <v>187</v>
      </c>
      <c r="F1866" t="s">
        <v>4887</v>
      </c>
      <c r="G1866">
        <v>187</v>
      </c>
      <c r="H1866">
        <v>104.9652</v>
      </c>
      <c r="N1866">
        <v>104.9652</v>
      </c>
      <c r="O1866" s="1">
        <v>45066</v>
      </c>
      <c r="P1866">
        <f>IF(ISBLANK(ReconciliationData[[#This Row],[Invoice_ID]]),1,0)</f>
        <v>0</v>
      </c>
      <c r="Q1866">
        <f>IF(AND(NOT(ISBLANK(ReconciliationData[[#This Row],[Billed_Units]])),ReconciliationData[[#This Row],[ordered_units]]&lt;&gt;ReconciliationData[[#This Row],[Billed_Units]]),1,0)</f>
        <v>0</v>
      </c>
      <c r="R18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66">
        <f>IF(AND(NOT(ISBLANK(ReconciliationData[[#This Row],[Contract_Price]])),ReconciliationData[[#This Row],[Billed_Price]]&lt;&gt;ReconciliationData[[#This Row],[Contract_Price]]),1,0)</f>
        <v>0</v>
      </c>
      <c r="T1866">
        <f>IF(AND(NOT(ISBLANK(ReconciliationData[[#This Row],[End_Date]])),ReconciliationData[[#This Row],[Order_Date]]&gt;ReconciliationData[[#This Row],[End_Date]]),1,0)</f>
        <v>0</v>
      </c>
      <c r="U1866">
        <f>IF(AND(NOT(ISBLANK(ReconciliationData[[#This Row],[last_return_date]])),ReconciliationData[[#This Row],[last_return_date]]&gt;ReconciliationData[[#This Row],[Order_Date]]+60),1,0)</f>
        <v>0</v>
      </c>
      <c r="V1866">
        <f>IF(ReconciliationData[[#This Row],[total_returned_units]]&gt;ReconciliationData[[#This Row],[ordered_units]],1,0)</f>
        <v>0</v>
      </c>
      <c r="W18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66">
        <f>ReconciliationData[[#This Row],[Billed_Units]]*ReconciliationData[[#This Row],[Billed_Price]]</f>
        <v>19628.492399999999</v>
      </c>
      <c r="Y1866">
        <f>ReconciliationData[[#This Row],[ordered_units]]*ReconciliationData[[#This Row],[List_Price]]</f>
        <v>19628.492399999999</v>
      </c>
      <c r="Z1866">
        <f>ReconciliationData[[#This Row],[billed_revenue]]-ReconciliationData[[#This Row],[expected_revenue]]</f>
        <v>0</v>
      </c>
      <c r="AA18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66" t="str">
        <f>IF(ReconciliationData[[#This Row],[severity_score]]=0,"LOW",
 IF(ReconciliationData[[#This Row],[severity_score]]&lt;=5,"MEDIUM","HIGH"))</f>
        <v>LOW</v>
      </c>
      <c r="AC1866" t="str">
        <f>TEXT(ReconciliationData[[#This Row],[Order_Date]],"YYYY-MM")</f>
        <v>2023-07</v>
      </c>
    </row>
    <row r="1867" spans="1:29">
      <c r="A1867" t="s">
        <v>4888</v>
      </c>
      <c r="B1867" s="1">
        <v>45118</v>
      </c>
      <c r="C1867" t="s">
        <v>1566</v>
      </c>
      <c r="D1867" t="s">
        <v>1385</v>
      </c>
      <c r="E1867">
        <v>18</v>
      </c>
      <c r="F1867" t="s">
        <v>4889</v>
      </c>
      <c r="G1867">
        <v>22</v>
      </c>
      <c r="H1867">
        <v>296.62625990482485</v>
      </c>
      <c r="N1867">
        <v>296.2912</v>
      </c>
      <c r="O1867" s="1">
        <v>44921</v>
      </c>
      <c r="P1867">
        <f>IF(ISBLANK(ReconciliationData[[#This Row],[Invoice_ID]]),1,0)</f>
        <v>0</v>
      </c>
      <c r="Q1867">
        <f>IF(AND(NOT(ISBLANK(ReconciliationData[[#This Row],[Billed_Units]])),ReconciliationData[[#This Row],[ordered_units]]&lt;&gt;ReconciliationData[[#This Row],[Billed_Units]]),1,0)</f>
        <v>1</v>
      </c>
      <c r="R186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867">
        <f>IF(AND(NOT(ISBLANK(ReconciliationData[[#This Row],[Contract_Price]])),ReconciliationData[[#This Row],[Billed_Price]]&lt;&gt;ReconciliationData[[#This Row],[Contract_Price]]),1,0)</f>
        <v>0</v>
      </c>
      <c r="T1867">
        <f>IF(AND(NOT(ISBLANK(ReconciliationData[[#This Row],[End_Date]])),ReconciliationData[[#This Row],[Order_Date]]&gt;ReconciliationData[[#This Row],[End_Date]]),1,0)</f>
        <v>0</v>
      </c>
      <c r="U1867">
        <f>IF(AND(NOT(ISBLANK(ReconciliationData[[#This Row],[last_return_date]])),ReconciliationData[[#This Row],[last_return_date]]&gt;ReconciliationData[[#This Row],[Order_Date]]+60),1,0)</f>
        <v>0</v>
      </c>
      <c r="V1867">
        <f>IF(ReconciliationData[[#This Row],[total_returned_units]]&gt;ReconciliationData[[#This Row],[ordered_units]],1,0)</f>
        <v>0</v>
      </c>
      <c r="W18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67">
        <f>ReconciliationData[[#This Row],[Billed_Units]]*ReconciliationData[[#This Row],[Billed_Price]]</f>
        <v>6525.7777179061468</v>
      </c>
      <c r="Y1867">
        <f>ReconciliationData[[#This Row],[ordered_units]]*ReconciliationData[[#This Row],[List_Price]]</f>
        <v>5333.2416000000003</v>
      </c>
      <c r="Z1867">
        <f>ReconciliationData[[#This Row],[billed_revenue]]-ReconciliationData[[#This Row],[expected_revenue]]</f>
        <v>1192.5361179061465</v>
      </c>
      <c r="AA18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12</v>
      </c>
      <c r="AB1867" t="str">
        <f>IF(ReconciliationData[[#This Row],[severity_score]]=0,"LOW",
 IF(ReconciliationData[[#This Row],[severity_score]]&lt;=5,"MEDIUM","HIGH"))</f>
        <v>HIGH</v>
      </c>
      <c r="AC1867" t="str">
        <f>TEXT(ReconciliationData[[#This Row],[Order_Date]],"YYYY-MM")</f>
        <v>2023-07</v>
      </c>
    </row>
    <row r="1868" spans="1:29">
      <c r="A1868" t="s">
        <v>4890</v>
      </c>
      <c r="B1868" s="1">
        <v>45065</v>
      </c>
      <c r="C1868" t="s">
        <v>4891</v>
      </c>
      <c r="D1868" t="s">
        <v>378</v>
      </c>
      <c r="E1868">
        <v>71</v>
      </c>
      <c r="F1868" t="s">
        <v>4892</v>
      </c>
      <c r="G1868">
        <v>71</v>
      </c>
      <c r="H1868">
        <v>601.32929999999999</v>
      </c>
      <c r="N1868">
        <v>601.32929999999999</v>
      </c>
      <c r="O1868" s="1">
        <v>44962</v>
      </c>
      <c r="P1868">
        <f>IF(ISBLANK(ReconciliationData[[#This Row],[Invoice_ID]]),1,0)</f>
        <v>0</v>
      </c>
      <c r="Q1868">
        <f>IF(AND(NOT(ISBLANK(ReconciliationData[[#This Row],[Billed_Units]])),ReconciliationData[[#This Row],[ordered_units]]&lt;&gt;ReconciliationData[[#This Row],[Billed_Units]]),1,0)</f>
        <v>0</v>
      </c>
      <c r="R18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68">
        <f>IF(AND(NOT(ISBLANK(ReconciliationData[[#This Row],[Contract_Price]])),ReconciliationData[[#This Row],[Billed_Price]]&lt;&gt;ReconciliationData[[#This Row],[Contract_Price]]),1,0)</f>
        <v>0</v>
      </c>
      <c r="T1868">
        <f>IF(AND(NOT(ISBLANK(ReconciliationData[[#This Row],[End_Date]])),ReconciliationData[[#This Row],[Order_Date]]&gt;ReconciliationData[[#This Row],[End_Date]]),1,0)</f>
        <v>0</v>
      </c>
      <c r="U1868">
        <f>IF(AND(NOT(ISBLANK(ReconciliationData[[#This Row],[last_return_date]])),ReconciliationData[[#This Row],[last_return_date]]&gt;ReconciliationData[[#This Row],[Order_Date]]+60),1,0)</f>
        <v>0</v>
      </c>
      <c r="V1868">
        <f>IF(ReconciliationData[[#This Row],[total_returned_units]]&gt;ReconciliationData[[#This Row],[ordered_units]],1,0)</f>
        <v>0</v>
      </c>
      <c r="W18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68">
        <f>ReconciliationData[[#This Row],[Billed_Units]]*ReconciliationData[[#This Row],[Billed_Price]]</f>
        <v>42694.380299999997</v>
      </c>
      <c r="Y1868">
        <f>ReconciliationData[[#This Row],[ordered_units]]*ReconciliationData[[#This Row],[List_Price]]</f>
        <v>42694.380299999997</v>
      </c>
      <c r="Z1868">
        <f>ReconciliationData[[#This Row],[billed_revenue]]-ReconciliationData[[#This Row],[expected_revenue]]</f>
        <v>0</v>
      </c>
      <c r="AA18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68" t="str">
        <f>IF(ReconciliationData[[#This Row],[severity_score]]=0,"LOW",
 IF(ReconciliationData[[#This Row],[severity_score]]&lt;=5,"MEDIUM","HIGH"))</f>
        <v>LOW</v>
      </c>
      <c r="AC1868" t="str">
        <f>TEXT(ReconciliationData[[#This Row],[Order_Date]],"YYYY-MM")</f>
        <v>2023-05</v>
      </c>
    </row>
    <row r="1869" spans="1:29">
      <c r="A1869" t="s">
        <v>4893</v>
      </c>
      <c r="B1869" s="1">
        <v>45489</v>
      </c>
      <c r="C1869" t="s">
        <v>1182</v>
      </c>
      <c r="D1869" t="s">
        <v>251</v>
      </c>
      <c r="E1869">
        <v>32</v>
      </c>
      <c r="F1869" t="s">
        <v>4894</v>
      </c>
      <c r="G1869">
        <v>32</v>
      </c>
      <c r="H1869">
        <v>957.65700000000015</v>
      </c>
      <c r="N1869">
        <v>957.65700000000015</v>
      </c>
      <c r="O1869" s="1">
        <v>45057</v>
      </c>
      <c r="P1869">
        <f>IF(ISBLANK(ReconciliationData[[#This Row],[Invoice_ID]]),1,0)</f>
        <v>0</v>
      </c>
      <c r="Q1869">
        <f>IF(AND(NOT(ISBLANK(ReconciliationData[[#This Row],[Billed_Units]])),ReconciliationData[[#This Row],[ordered_units]]&lt;&gt;ReconciliationData[[#This Row],[Billed_Units]]),1,0)</f>
        <v>0</v>
      </c>
      <c r="R18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69">
        <f>IF(AND(NOT(ISBLANK(ReconciliationData[[#This Row],[Contract_Price]])),ReconciliationData[[#This Row],[Billed_Price]]&lt;&gt;ReconciliationData[[#This Row],[Contract_Price]]),1,0)</f>
        <v>0</v>
      </c>
      <c r="T1869">
        <f>IF(AND(NOT(ISBLANK(ReconciliationData[[#This Row],[End_Date]])),ReconciliationData[[#This Row],[Order_Date]]&gt;ReconciliationData[[#This Row],[End_Date]]),1,0)</f>
        <v>0</v>
      </c>
      <c r="U1869">
        <f>IF(AND(NOT(ISBLANK(ReconciliationData[[#This Row],[last_return_date]])),ReconciliationData[[#This Row],[last_return_date]]&gt;ReconciliationData[[#This Row],[Order_Date]]+60),1,0)</f>
        <v>0</v>
      </c>
      <c r="V1869">
        <f>IF(ReconciliationData[[#This Row],[total_returned_units]]&gt;ReconciliationData[[#This Row],[ordered_units]],1,0)</f>
        <v>0</v>
      </c>
      <c r="W18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69">
        <f>ReconciliationData[[#This Row],[Billed_Units]]*ReconciliationData[[#This Row],[Billed_Price]]</f>
        <v>30645.024000000005</v>
      </c>
      <c r="Y1869">
        <f>ReconciliationData[[#This Row],[ordered_units]]*ReconciliationData[[#This Row],[List_Price]]</f>
        <v>30645.024000000005</v>
      </c>
      <c r="Z1869">
        <f>ReconciliationData[[#This Row],[billed_revenue]]-ReconciliationData[[#This Row],[expected_revenue]]</f>
        <v>0</v>
      </c>
      <c r="AA18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69" t="str">
        <f>IF(ReconciliationData[[#This Row],[severity_score]]=0,"LOW",
 IF(ReconciliationData[[#This Row],[severity_score]]&lt;=5,"MEDIUM","HIGH"))</f>
        <v>LOW</v>
      </c>
      <c r="AC1869" t="str">
        <f>TEXT(ReconciliationData[[#This Row],[Order_Date]],"YYYY-MM")</f>
        <v>2024-07</v>
      </c>
    </row>
    <row r="1870" spans="1:29">
      <c r="A1870" t="s">
        <v>4895</v>
      </c>
      <c r="B1870" s="1">
        <v>44990</v>
      </c>
      <c r="C1870" t="s">
        <v>4896</v>
      </c>
      <c r="D1870" t="s">
        <v>3624</v>
      </c>
      <c r="E1870">
        <v>156</v>
      </c>
      <c r="F1870" t="s">
        <v>4897</v>
      </c>
      <c r="G1870">
        <v>156</v>
      </c>
      <c r="H1870">
        <v>708.94</v>
      </c>
      <c r="N1870">
        <v>708.94</v>
      </c>
      <c r="O1870" s="1">
        <v>44688</v>
      </c>
      <c r="P1870">
        <f>IF(ISBLANK(ReconciliationData[[#This Row],[Invoice_ID]]),1,0)</f>
        <v>0</v>
      </c>
      <c r="Q1870">
        <f>IF(AND(NOT(ISBLANK(ReconciliationData[[#This Row],[Billed_Units]])),ReconciliationData[[#This Row],[ordered_units]]&lt;&gt;ReconciliationData[[#This Row],[Billed_Units]]),1,0)</f>
        <v>0</v>
      </c>
      <c r="R18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0">
        <f>IF(AND(NOT(ISBLANK(ReconciliationData[[#This Row],[Contract_Price]])),ReconciliationData[[#This Row],[Billed_Price]]&lt;&gt;ReconciliationData[[#This Row],[Contract_Price]]),1,0)</f>
        <v>0</v>
      </c>
      <c r="T1870">
        <f>IF(AND(NOT(ISBLANK(ReconciliationData[[#This Row],[End_Date]])),ReconciliationData[[#This Row],[Order_Date]]&gt;ReconciliationData[[#This Row],[End_Date]]),1,0)</f>
        <v>0</v>
      </c>
      <c r="U1870">
        <f>IF(AND(NOT(ISBLANK(ReconciliationData[[#This Row],[last_return_date]])),ReconciliationData[[#This Row],[last_return_date]]&gt;ReconciliationData[[#This Row],[Order_Date]]+60),1,0)</f>
        <v>0</v>
      </c>
      <c r="V1870">
        <f>IF(ReconciliationData[[#This Row],[total_returned_units]]&gt;ReconciliationData[[#This Row],[ordered_units]],1,0)</f>
        <v>0</v>
      </c>
      <c r="W18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70">
        <f>ReconciliationData[[#This Row],[Billed_Units]]*ReconciliationData[[#This Row],[Billed_Price]]</f>
        <v>110594.64000000001</v>
      </c>
      <c r="Y1870">
        <f>ReconciliationData[[#This Row],[ordered_units]]*ReconciliationData[[#This Row],[List_Price]]</f>
        <v>110594.64000000001</v>
      </c>
      <c r="Z1870">
        <f>ReconciliationData[[#This Row],[billed_revenue]]-ReconciliationData[[#This Row],[expected_revenue]]</f>
        <v>0</v>
      </c>
      <c r="AA18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70" t="str">
        <f>IF(ReconciliationData[[#This Row],[severity_score]]=0,"LOW",
 IF(ReconciliationData[[#This Row],[severity_score]]&lt;=5,"MEDIUM","HIGH"))</f>
        <v>LOW</v>
      </c>
      <c r="AC1870" t="str">
        <f>TEXT(ReconciliationData[[#This Row],[Order_Date]],"YYYY-MM")</f>
        <v>2023-03</v>
      </c>
    </row>
    <row r="1871" spans="1:29">
      <c r="A1871" t="s">
        <v>4898</v>
      </c>
      <c r="B1871" s="1">
        <v>45377</v>
      </c>
      <c r="C1871" t="s">
        <v>246</v>
      </c>
      <c r="D1871" t="s">
        <v>194</v>
      </c>
      <c r="E1871">
        <v>99</v>
      </c>
      <c r="F1871" t="s">
        <v>4899</v>
      </c>
      <c r="G1871">
        <v>99</v>
      </c>
      <c r="H1871">
        <v>1039.0536</v>
      </c>
      <c r="N1871">
        <v>1039.0536</v>
      </c>
      <c r="O1871" s="1">
        <v>45054</v>
      </c>
      <c r="P1871">
        <f>IF(ISBLANK(ReconciliationData[[#This Row],[Invoice_ID]]),1,0)</f>
        <v>0</v>
      </c>
      <c r="Q1871">
        <f>IF(AND(NOT(ISBLANK(ReconciliationData[[#This Row],[Billed_Units]])),ReconciliationData[[#This Row],[ordered_units]]&lt;&gt;ReconciliationData[[#This Row],[Billed_Units]]),1,0)</f>
        <v>0</v>
      </c>
      <c r="R18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1">
        <f>IF(AND(NOT(ISBLANK(ReconciliationData[[#This Row],[Contract_Price]])),ReconciliationData[[#This Row],[Billed_Price]]&lt;&gt;ReconciliationData[[#This Row],[Contract_Price]]),1,0)</f>
        <v>0</v>
      </c>
      <c r="T1871">
        <f>IF(AND(NOT(ISBLANK(ReconciliationData[[#This Row],[End_Date]])),ReconciliationData[[#This Row],[Order_Date]]&gt;ReconciliationData[[#This Row],[End_Date]]),1,0)</f>
        <v>0</v>
      </c>
      <c r="U1871">
        <f>IF(AND(NOT(ISBLANK(ReconciliationData[[#This Row],[last_return_date]])),ReconciliationData[[#This Row],[last_return_date]]&gt;ReconciliationData[[#This Row],[Order_Date]]+60),1,0)</f>
        <v>0</v>
      </c>
      <c r="V1871">
        <f>IF(ReconciliationData[[#This Row],[total_returned_units]]&gt;ReconciliationData[[#This Row],[ordered_units]],1,0)</f>
        <v>0</v>
      </c>
      <c r="W18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71">
        <f>ReconciliationData[[#This Row],[Billed_Units]]*ReconciliationData[[#This Row],[Billed_Price]]</f>
        <v>102866.3064</v>
      </c>
      <c r="Y1871">
        <f>ReconciliationData[[#This Row],[ordered_units]]*ReconciliationData[[#This Row],[List_Price]]</f>
        <v>102866.3064</v>
      </c>
      <c r="Z1871">
        <f>ReconciliationData[[#This Row],[billed_revenue]]-ReconciliationData[[#This Row],[expected_revenue]]</f>
        <v>0</v>
      </c>
      <c r="AA18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71" t="str">
        <f>IF(ReconciliationData[[#This Row],[severity_score]]=0,"LOW",
 IF(ReconciliationData[[#This Row],[severity_score]]&lt;=5,"MEDIUM","HIGH"))</f>
        <v>LOW</v>
      </c>
      <c r="AC1871" t="str">
        <f>TEXT(ReconciliationData[[#This Row],[Order_Date]],"YYYY-MM")</f>
        <v>2024-03</v>
      </c>
    </row>
    <row r="1872" spans="1:29">
      <c r="A1872" t="s">
        <v>4900</v>
      </c>
      <c r="B1872" s="1">
        <v>45228</v>
      </c>
      <c r="C1872" t="s">
        <v>4901</v>
      </c>
      <c r="D1872" t="s">
        <v>937</v>
      </c>
      <c r="E1872">
        <v>33</v>
      </c>
      <c r="F1872" t="s">
        <v>4902</v>
      </c>
      <c r="G1872">
        <v>33</v>
      </c>
      <c r="H1872">
        <v>419.71280000000002</v>
      </c>
      <c r="N1872">
        <v>419.71280000000002</v>
      </c>
      <c r="O1872" s="1">
        <v>45214</v>
      </c>
      <c r="P1872">
        <f>IF(ISBLANK(ReconciliationData[[#This Row],[Invoice_ID]]),1,0)</f>
        <v>0</v>
      </c>
      <c r="Q1872">
        <f>IF(AND(NOT(ISBLANK(ReconciliationData[[#This Row],[Billed_Units]])),ReconciliationData[[#This Row],[ordered_units]]&lt;&gt;ReconciliationData[[#This Row],[Billed_Units]]),1,0)</f>
        <v>0</v>
      </c>
      <c r="R18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2">
        <f>IF(AND(NOT(ISBLANK(ReconciliationData[[#This Row],[Contract_Price]])),ReconciliationData[[#This Row],[Billed_Price]]&lt;&gt;ReconciliationData[[#This Row],[Contract_Price]]),1,0)</f>
        <v>0</v>
      </c>
      <c r="T1872">
        <f>IF(AND(NOT(ISBLANK(ReconciliationData[[#This Row],[End_Date]])),ReconciliationData[[#This Row],[Order_Date]]&gt;ReconciliationData[[#This Row],[End_Date]]),1,0)</f>
        <v>0</v>
      </c>
      <c r="U1872">
        <f>IF(AND(NOT(ISBLANK(ReconciliationData[[#This Row],[last_return_date]])),ReconciliationData[[#This Row],[last_return_date]]&gt;ReconciliationData[[#This Row],[Order_Date]]+60),1,0)</f>
        <v>0</v>
      </c>
      <c r="V1872">
        <f>IF(ReconciliationData[[#This Row],[total_returned_units]]&gt;ReconciliationData[[#This Row],[ordered_units]],1,0)</f>
        <v>0</v>
      </c>
      <c r="W18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72">
        <f>ReconciliationData[[#This Row],[Billed_Units]]*ReconciliationData[[#This Row],[Billed_Price]]</f>
        <v>13850.5224</v>
      </c>
      <c r="Y1872">
        <f>ReconciliationData[[#This Row],[ordered_units]]*ReconciliationData[[#This Row],[List_Price]]</f>
        <v>13850.5224</v>
      </c>
      <c r="Z1872">
        <f>ReconciliationData[[#This Row],[billed_revenue]]-ReconciliationData[[#This Row],[expected_revenue]]</f>
        <v>0</v>
      </c>
      <c r="AA18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72" t="str">
        <f>IF(ReconciliationData[[#This Row],[severity_score]]=0,"LOW",
 IF(ReconciliationData[[#This Row],[severity_score]]&lt;=5,"MEDIUM","HIGH"))</f>
        <v>LOW</v>
      </c>
      <c r="AC1872" t="str">
        <f>TEXT(ReconciliationData[[#This Row],[Order_Date]],"YYYY-MM")</f>
        <v>2023-10</v>
      </c>
    </row>
    <row r="1873" spans="1:29">
      <c r="A1873" t="s">
        <v>4903</v>
      </c>
      <c r="B1873" s="1">
        <v>45498</v>
      </c>
      <c r="C1873" t="s">
        <v>392</v>
      </c>
      <c r="D1873" t="s">
        <v>1126</v>
      </c>
      <c r="E1873">
        <v>9</v>
      </c>
      <c r="F1873" t="s">
        <v>4904</v>
      </c>
      <c r="G1873">
        <v>9</v>
      </c>
      <c r="H1873">
        <v>926.52549999999997</v>
      </c>
      <c r="N1873">
        <v>926.52549999999997</v>
      </c>
      <c r="O1873" s="1">
        <v>45183</v>
      </c>
      <c r="P1873">
        <f>IF(ISBLANK(ReconciliationData[[#This Row],[Invoice_ID]]),1,0)</f>
        <v>0</v>
      </c>
      <c r="Q1873">
        <f>IF(AND(NOT(ISBLANK(ReconciliationData[[#This Row],[Billed_Units]])),ReconciliationData[[#This Row],[ordered_units]]&lt;&gt;ReconciliationData[[#This Row],[Billed_Units]]),1,0)</f>
        <v>0</v>
      </c>
      <c r="R18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3">
        <f>IF(AND(NOT(ISBLANK(ReconciliationData[[#This Row],[Contract_Price]])),ReconciliationData[[#This Row],[Billed_Price]]&lt;&gt;ReconciliationData[[#This Row],[Contract_Price]]),1,0)</f>
        <v>0</v>
      </c>
      <c r="T1873">
        <f>IF(AND(NOT(ISBLANK(ReconciliationData[[#This Row],[End_Date]])),ReconciliationData[[#This Row],[Order_Date]]&gt;ReconciliationData[[#This Row],[End_Date]]),1,0)</f>
        <v>0</v>
      </c>
      <c r="U1873">
        <f>IF(AND(NOT(ISBLANK(ReconciliationData[[#This Row],[last_return_date]])),ReconciliationData[[#This Row],[last_return_date]]&gt;ReconciliationData[[#This Row],[Order_Date]]+60),1,0)</f>
        <v>0</v>
      </c>
      <c r="V1873">
        <f>IF(ReconciliationData[[#This Row],[total_returned_units]]&gt;ReconciliationData[[#This Row],[ordered_units]],1,0)</f>
        <v>0</v>
      </c>
      <c r="W18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73">
        <f>ReconciliationData[[#This Row],[Billed_Units]]*ReconciliationData[[#This Row],[Billed_Price]]</f>
        <v>8338.7294999999995</v>
      </c>
      <c r="Y1873">
        <f>ReconciliationData[[#This Row],[ordered_units]]*ReconciliationData[[#This Row],[List_Price]]</f>
        <v>8338.7294999999995</v>
      </c>
      <c r="Z1873">
        <f>ReconciliationData[[#This Row],[billed_revenue]]-ReconciliationData[[#This Row],[expected_revenue]]</f>
        <v>0</v>
      </c>
      <c r="AA18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73" t="str">
        <f>IF(ReconciliationData[[#This Row],[severity_score]]=0,"LOW",
 IF(ReconciliationData[[#This Row],[severity_score]]&lt;=5,"MEDIUM","HIGH"))</f>
        <v>LOW</v>
      </c>
      <c r="AC1873" t="str">
        <f>TEXT(ReconciliationData[[#This Row],[Order_Date]],"YYYY-MM")</f>
        <v>2024-07</v>
      </c>
    </row>
    <row r="1874" spans="1:29">
      <c r="A1874" t="s">
        <v>4905</v>
      </c>
      <c r="B1874" s="1">
        <v>45106</v>
      </c>
      <c r="C1874" t="s">
        <v>721</v>
      </c>
      <c r="D1874" t="s">
        <v>1555</v>
      </c>
      <c r="E1874">
        <v>97</v>
      </c>
      <c r="F1874" t="s">
        <v>4906</v>
      </c>
      <c r="G1874">
        <v>97</v>
      </c>
      <c r="H1874">
        <v>850.16200000000003</v>
      </c>
      <c r="N1874">
        <v>850.16200000000003</v>
      </c>
      <c r="O1874" s="1">
        <v>45099</v>
      </c>
      <c r="P1874">
        <f>IF(ISBLANK(ReconciliationData[[#This Row],[Invoice_ID]]),1,0)</f>
        <v>0</v>
      </c>
      <c r="Q1874">
        <f>IF(AND(NOT(ISBLANK(ReconciliationData[[#This Row],[Billed_Units]])),ReconciliationData[[#This Row],[ordered_units]]&lt;&gt;ReconciliationData[[#This Row],[Billed_Units]]),1,0)</f>
        <v>0</v>
      </c>
      <c r="R18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4">
        <f>IF(AND(NOT(ISBLANK(ReconciliationData[[#This Row],[Contract_Price]])),ReconciliationData[[#This Row],[Billed_Price]]&lt;&gt;ReconciliationData[[#This Row],[Contract_Price]]),1,0)</f>
        <v>0</v>
      </c>
      <c r="T1874">
        <f>IF(AND(NOT(ISBLANK(ReconciliationData[[#This Row],[End_Date]])),ReconciliationData[[#This Row],[Order_Date]]&gt;ReconciliationData[[#This Row],[End_Date]]),1,0)</f>
        <v>0</v>
      </c>
      <c r="U1874">
        <f>IF(AND(NOT(ISBLANK(ReconciliationData[[#This Row],[last_return_date]])),ReconciliationData[[#This Row],[last_return_date]]&gt;ReconciliationData[[#This Row],[Order_Date]]+60),1,0)</f>
        <v>0</v>
      </c>
      <c r="V1874">
        <f>IF(ReconciliationData[[#This Row],[total_returned_units]]&gt;ReconciliationData[[#This Row],[ordered_units]],1,0)</f>
        <v>0</v>
      </c>
      <c r="W18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74">
        <f>ReconciliationData[[#This Row],[Billed_Units]]*ReconciliationData[[#This Row],[Billed_Price]]</f>
        <v>82465.714000000007</v>
      </c>
      <c r="Y1874">
        <f>ReconciliationData[[#This Row],[ordered_units]]*ReconciliationData[[#This Row],[List_Price]]</f>
        <v>82465.714000000007</v>
      </c>
      <c r="Z1874">
        <f>ReconciliationData[[#This Row],[billed_revenue]]-ReconciliationData[[#This Row],[expected_revenue]]</f>
        <v>0</v>
      </c>
      <c r="AA18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74" t="str">
        <f>IF(ReconciliationData[[#This Row],[severity_score]]=0,"LOW",
 IF(ReconciliationData[[#This Row],[severity_score]]&lt;=5,"MEDIUM","HIGH"))</f>
        <v>LOW</v>
      </c>
      <c r="AC1874" t="str">
        <f>TEXT(ReconciliationData[[#This Row],[Order_Date]],"YYYY-MM")</f>
        <v>2023-06</v>
      </c>
    </row>
    <row r="1875" spans="1:29">
      <c r="A1875" t="s">
        <v>4907</v>
      </c>
      <c r="B1875" s="1">
        <v>45535</v>
      </c>
      <c r="C1875" t="s">
        <v>888</v>
      </c>
      <c r="D1875" t="s">
        <v>1175</v>
      </c>
      <c r="E1875">
        <v>158</v>
      </c>
      <c r="F1875" t="s">
        <v>4908</v>
      </c>
      <c r="G1875">
        <v>158</v>
      </c>
      <c r="H1875">
        <v>589.66600000000005</v>
      </c>
      <c r="N1875">
        <v>589.66600000000005</v>
      </c>
      <c r="O1875" s="1">
        <v>45218</v>
      </c>
      <c r="P1875">
        <f>IF(ISBLANK(ReconciliationData[[#This Row],[Invoice_ID]]),1,0)</f>
        <v>0</v>
      </c>
      <c r="Q1875">
        <f>IF(AND(NOT(ISBLANK(ReconciliationData[[#This Row],[Billed_Units]])),ReconciliationData[[#This Row],[ordered_units]]&lt;&gt;ReconciliationData[[#This Row],[Billed_Units]]),1,0)</f>
        <v>0</v>
      </c>
      <c r="R18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5">
        <f>IF(AND(NOT(ISBLANK(ReconciliationData[[#This Row],[Contract_Price]])),ReconciliationData[[#This Row],[Billed_Price]]&lt;&gt;ReconciliationData[[#This Row],[Contract_Price]]),1,0)</f>
        <v>0</v>
      </c>
      <c r="T1875">
        <f>IF(AND(NOT(ISBLANK(ReconciliationData[[#This Row],[End_Date]])),ReconciliationData[[#This Row],[Order_Date]]&gt;ReconciliationData[[#This Row],[End_Date]]),1,0)</f>
        <v>0</v>
      </c>
      <c r="U1875">
        <f>IF(AND(NOT(ISBLANK(ReconciliationData[[#This Row],[last_return_date]])),ReconciliationData[[#This Row],[last_return_date]]&gt;ReconciliationData[[#This Row],[Order_Date]]+60),1,0)</f>
        <v>0</v>
      </c>
      <c r="V1875">
        <f>IF(ReconciliationData[[#This Row],[total_returned_units]]&gt;ReconciliationData[[#This Row],[ordered_units]],1,0)</f>
        <v>0</v>
      </c>
      <c r="W18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75">
        <f>ReconciliationData[[#This Row],[Billed_Units]]*ReconciliationData[[#This Row],[Billed_Price]]</f>
        <v>93167.228000000003</v>
      </c>
      <c r="Y1875">
        <f>ReconciliationData[[#This Row],[ordered_units]]*ReconciliationData[[#This Row],[List_Price]]</f>
        <v>93167.228000000003</v>
      </c>
      <c r="Z1875">
        <f>ReconciliationData[[#This Row],[billed_revenue]]-ReconciliationData[[#This Row],[expected_revenue]]</f>
        <v>0</v>
      </c>
      <c r="AA18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75" t="str">
        <f>IF(ReconciliationData[[#This Row],[severity_score]]=0,"LOW",
 IF(ReconciliationData[[#This Row],[severity_score]]&lt;=5,"MEDIUM","HIGH"))</f>
        <v>LOW</v>
      </c>
      <c r="AC1875" t="str">
        <f>TEXT(ReconciliationData[[#This Row],[Order_Date]],"YYYY-MM")</f>
        <v>2024-08</v>
      </c>
    </row>
    <row r="1876" spans="1:29">
      <c r="A1876" t="s">
        <v>4909</v>
      </c>
      <c r="B1876" s="1">
        <v>45254</v>
      </c>
      <c r="C1876" t="s">
        <v>2375</v>
      </c>
      <c r="D1876" t="s">
        <v>1754</v>
      </c>
      <c r="E1876">
        <v>140</v>
      </c>
      <c r="F1876" t="s">
        <v>4910</v>
      </c>
      <c r="G1876">
        <v>140</v>
      </c>
      <c r="H1876">
        <v>1072.2954</v>
      </c>
      <c r="I1876">
        <v>11</v>
      </c>
      <c r="J1876" s="1">
        <v>45361</v>
      </c>
      <c r="N1876">
        <v>1072.2954</v>
      </c>
      <c r="O1876" s="1">
        <v>45120</v>
      </c>
      <c r="P1876">
        <f>IF(ISBLANK(ReconciliationData[[#This Row],[Invoice_ID]]),1,0)</f>
        <v>0</v>
      </c>
      <c r="Q1876">
        <f>IF(AND(NOT(ISBLANK(ReconciliationData[[#This Row],[Billed_Units]])),ReconciliationData[[#This Row],[ordered_units]]&lt;&gt;ReconciliationData[[#This Row],[Billed_Units]]),1,0)</f>
        <v>0</v>
      </c>
      <c r="R18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6">
        <f>IF(AND(NOT(ISBLANK(ReconciliationData[[#This Row],[Contract_Price]])),ReconciliationData[[#This Row],[Billed_Price]]&lt;&gt;ReconciliationData[[#This Row],[Contract_Price]]),1,0)</f>
        <v>0</v>
      </c>
      <c r="T1876">
        <f>IF(AND(NOT(ISBLANK(ReconciliationData[[#This Row],[End_Date]])),ReconciliationData[[#This Row],[Order_Date]]&gt;ReconciliationData[[#This Row],[End_Date]]),1,0)</f>
        <v>0</v>
      </c>
      <c r="U1876">
        <f>IF(AND(NOT(ISBLANK(ReconciliationData[[#This Row],[last_return_date]])),ReconciliationData[[#This Row],[last_return_date]]&gt;ReconciliationData[[#This Row],[Order_Date]]+60),1,0)</f>
        <v>1</v>
      </c>
      <c r="V1876">
        <f>IF(ReconciliationData[[#This Row],[total_returned_units]]&gt;ReconciliationData[[#This Row],[ordered_units]],1,0)</f>
        <v>0</v>
      </c>
      <c r="W18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76">
        <f>ReconciliationData[[#This Row],[Billed_Units]]*ReconciliationData[[#This Row],[Billed_Price]]</f>
        <v>150121.356</v>
      </c>
      <c r="Y1876">
        <f>ReconciliationData[[#This Row],[ordered_units]]*ReconciliationData[[#This Row],[List_Price]]</f>
        <v>150121.356</v>
      </c>
      <c r="Z1876">
        <f>ReconciliationData[[#This Row],[billed_revenue]]-ReconciliationData[[#This Row],[expected_revenue]]</f>
        <v>0</v>
      </c>
      <c r="AA18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876" t="str">
        <f>IF(ReconciliationData[[#This Row],[severity_score]]=0,"LOW",
 IF(ReconciliationData[[#This Row],[severity_score]]&lt;=5,"MEDIUM","HIGH"))</f>
        <v>MEDIUM</v>
      </c>
      <c r="AC1876" t="str">
        <f>TEXT(ReconciliationData[[#This Row],[Order_Date]],"YYYY-MM")</f>
        <v>2023-11</v>
      </c>
    </row>
    <row r="1877" spans="1:29">
      <c r="A1877" t="s">
        <v>4911</v>
      </c>
      <c r="B1877" s="1">
        <v>45215</v>
      </c>
      <c r="C1877" t="s">
        <v>1351</v>
      </c>
      <c r="D1877" t="s">
        <v>299</v>
      </c>
      <c r="E1877">
        <v>50</v>
      </c>
      <c r="F1877" t="s">
        <v>4912</v>
      </c>
      <c r="G1877">
        <v>50</v>
      </c>
      <c r="H1877">
        <v>182.4273</v>
      </c>
      <c r="N1877">
        <v>182.4273</v>
      </c>
      <c r="O1877" s="1">
        <v>44989</v>
      </c>
      <c r="P1877">
        <f>IF(ISBLANK(ReconciliationData[[#This Row],[Invoice_ID]]),1,0)</f>
        <v>0</v>
      </c>
      <c r="Q1877">
        <f>IF(AND(NOT(ISBLANK(ReconciliationData[[#This Row],[Billed_Units]])),ReconciliationData[[#This Row],[ordered_units]]&lt;&gt;ReconciliationData[[#This Row],[Billed_Units]]),1,0)</f>
        <v>0</v>
      </c>
      <c r="R18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7">
        <f>IF(AND(NOT(ISBLANK(ReconciliationData[[#This Row],[Contract_Price]])),ReconciliationData[[#This Row],[Billed_Price]]&lt;&gt;ReconciliationData[[#This Row],[Contract_Price]]),1,0)</f>
        <v>0</v>
      </c>
      <c r="T1877">
        <f>IF(AND(NOT(ISBLANK(ReconciliationData[[#This Row],[End_Date]])),ReconciliationData[[#This Row],[Order_Date]]&gt;ReconciliationData[[#This Row],[End_Date]]),1,0)</f>
        <v>0</v>
      </c>
      <c r="U1877">
        <f>IF(AND(NOT(ISBLANK(ReconciliationData[[#This Row],[last_return_date]])),ReconciliationData[[#This Row],[last_return_date]]&gt;ReconciliationData[[#This Row],[Order_Date]]+60),1,0)</f>
        <v>0</v>
      </c>
      <c r="V1877">
        <f>IF(ReconciliationData[[#This Row],[total_returned_units]]&gt;ReconciliationData[[#This Row],[ordered_units]],1,0)</f>
        <v>0</v>
      </c>
      <c r="W18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77">
        <f>ReconciliationData[[#This Row],[Billed_Units]]*ReconciliationData[[#This Row],[Billed_Price]]</f>
        <v>9121.3649999999998</v>
      </c>
      <c r="Y1877">
        <f>ReconciliationData[[#This Row],[ordered_units]]*ReconciliationData[[#This Row],[List_Price]]</f>
        <v>9121.3649999999998</v>
      </c>
      <c r="Z1877">
        <f>ReconciliationData[[#This Row],[billed_revenue]]-ReconciliationData[[#This Row],[expected_revenue]]</f>
        <v>0</v>
      </c>
      <c r="AA18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77" t="str">
        <f>IF(ReconciliationData[[#This Row],[severity_score]]=0,"LOW",
 IF(ReconciliationData[[#This Row],[severity_score]]&lt;=5,"MEDIUM","HIGH"))</f>
        <v>LOW</v>
      </c>
      <c r="AC1877" t="str">
        <f>TEXT(ReconciliationData[[#This Row],[Order_Date]],"YYYY-MM")</f>
        <v>2023-10</v>
      </c>
    </row>
    <row r="1878" spans="1:29">
      <c r="A1878" t="s">
        <v>4913</v>
      </c>
      <c r="B1878" s="1">
        <v>45556</v>
      </c>
      <c r="C1878" t="s">
        <v>4914</v>
      </c>
      <c r="D1878" t="s">
        <v>1567</v>
      </c>
      <c r="E1878">
        <v>34</v>
      </c>
      <c r="F1878" t="s">
        <v>4915</v>
      </c>
      <c r="G1878">
        <v>34</v>
      </c>
      <c r="H1878">
        <v>799.8357000000002</v>
      </c>
      <c r="N1878">
        <v>799.8357000000002</v>
      </c>
      <c r="O1878" s="1">
        <v>45063</v>
      </c>
      <c r="P1878">
        <f>IF(ISBLANK(ReconciliationData[[#This Row],[Invoice_ID]]),1,0)</f>
        <v>0</v>
      </c>
      <c r="Q1878">
        <f>IF(AND(NOT(ISBLANK(ReconciliationData[[#This Row],[Billed_Units]])),ReconciliationData[[#This Row],[ordered_units]]&lt;&gt;ReconciliationData[[#This Row],[Billed_Units]]),1,0)</f>
        <v>0</v>
      </c>
      <c r="R18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8">
        <f>IF(AND(NOT(ISBLANK(ReconciliationData[[#This Row],[Contract_Price]])),ReconciliationData[[#This Row],[Billed_Price]]&lt;&gt;ReconciliationData[[#This Row],[Contract_Price]]),1,0)</f>
        <v>0</v>
      </c>
      <c r="T1878">
        <f>IF(AND(NOT(ISBLANK(ReconciliationData[[#This Row],[End_Date]])),ReconciliationData[[#This Row],[Order_Date]]&gt;ReconciliationData[[#This Row],[End_Date]]),1,0)</f>
        <v>0</v>
      </c>
      <c r="U1878">
        <f>IF(AND(NOT(ISBLANK(ReconciliationData[[#This Row],[last_return_date]])),ReconciliationData[[#This Row],[last_return_date]]&gt;ReconciliationData[[#This Row],[Order_Date]]+60),1,0)</f>
        <v>0</v>
      </c>
      <c r="V1878">
        <f>IF(ReconciliationData[[#This Row],[total_returned_units]]&gt;ReconciliationData[[#This Row],[ordered_units]],1,0)</f>
        <v>0</v>
      </c>
      <c r="W18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78">
        <f>ReconciliationData[[#This Row],[Billed_Units]]*ReconciliationData[[#This Row],[Billed_Price]]</f>
        <v>27194.413800000006</v>
      </c>
      <c r="Y1878">
        <f>ReconciliationData[[#This Row],[ordered_units]]*ReconciliationData[[#This Row],[List_Price]]</f>
        <v>27194.413800000006</v>
      </c>
      <c r="Z1878">
        <f>ReconciliationData[[#This Row],[billed_revenue]]-ReconciliationData[[#This Row],[expected_revenue]]</f>
        <v>0</v>
      </c>
      <c r="AA18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78" t="str">
        <f>IF(ReconciliationData[[#This Row],[severity_score]]=0,"LOW",
 IF(ReconciliationData[[#This Row],[severity_score]]&lt;=5,"MEDIUM","HIGH"))</f>
        <v>LOW</v>
      </c>
      <c r="AC1878" t="str">
        <f>TEXT(ReconciliationData[[#This Row],[Order_Date]],"YYYY-MM")</f>
        <v>2024-09</v>
      </c>
    </row>
    <row r="1879" spans="1:29">
      <c r="A1879" t="s">
        <v>4916</v>
      </c>
      <c r="B1879" s="1">
        <v>45309</v>
      </c>
      <c r="C1879" t="s">
        <v>3562</v>
      </c>
      <c r="D1879" t="s">
        <v>423</v>
      </c>
      <c r="E1879">
        <v>103</v>
      </c>
      <c r="F1879" t="s">
        <v>4917</v>
      </c>
      <c r="G1879">
        <v>103</v>
      </c>
      <c r="H1879">
        <v>168.12909999999999</v>
      </c>
      <c r="N1879">
        <v>168.12909999999999</v>
      </c>
      <c r="O1879" s="1">
        <v>45013</v>
      </c>
      <c r="P1879">
        <f>IF(ISBLANK(ReconciliationData[[#This Row],[Invoice_ID]]),1,0)</f>
        <v>0</v>
      </c>
      <c r="Q1879">
        <f>IF(AND(NOT(ISBLANK(ReconciliationData[[#This Row],[Billed_Units]])),ReconciliationData[[#This Row],[ordered_units]]&lt;&gt;ReconciliationData[[#This Row],[Billed_Units]]),1,0)</f>
        <v>0</v>
      </c>
      <c r="R18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79">
        <f>IF(AND(NOT(ISBLANK(ReconciliationData[[#This Row],[Contract_Price]])),ReconciliationData[[#This Row],[Billed_Price]]&lt;&gt;ReconciliationData[[#This Row],[Contract_Price]]),1,0)</f>
        <v>0</v>
      </c>
      <c r="T1879">
        <f>IF(AND(NOT(ISBLANK(ReconciliationData[[#This Row],[End_Date]])),ReconciliationData[[#This Row],[Order_Date]]&gt;ReconciliationData[[#This Row],[End_Date]]),1,0)</f>
        <v>0</v>
      </c>
      <c r="U1879">
        <f>IF(AND(NOT(ISBLANK(ReconciliationData[[#This Row],[last_return_date]])),ReconciliationData[[#This Row],[last_return_date]]&gt;ReconciliationData[[#This Row],[Order_Date]]+60),1,0)</f>
        <v>0</v>
      </c>
      <c r="V1879">
        <f>IF(ReconciliationData[[#This Row],[total_returned_units]]&gt;ReconciliationData[[#This Row],[ordered_units]],1,0)</f>
        <v>0</v>
      </c>
      <c r="W18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79">
        <f>ReconciliationData[[#This Row],[Billed_Units]]*ReconciliationData[[#This Row],[Billed_Price]]</f>
        <v>17317.297299999998</v>
      </c>
      <c r="Y1879">
        <f>ReconciliationData[[#This Row],[ordered_units]]*ReconciliationData[[#This Row],[List_Price]]</f>
        <v>17317.297299999998</v>
      </c>
      <c r="Z1879">
        <f>ReconciliationData[[#This Row],[billed_revenue]]-ReconciliationData[[#This Row],[expected_revenue]]</f>
        <v>0</v>
      </c>
      <c r="AA18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79" t="str">
        <f>IF(ReconciliationData[[#This Row],[severity_score]]=0,"LOW",
 IF(ReconciliationData[[#This Row],[severity_score]]&lt;=5,"MEDIUM","HIGH"))</f>
        <v>LOW</v>
      </c>
      <c r="AC1879" t="str">
        <f>TEXT(ReconciliationData[[#This Row],[Order_Date]],"YYYY-MM")</f>
        <v>2024-01</v>
      </c>
    </row>
    <row r="1880" spans="1:29">
      <c r="A1880" t="s">
        <v>4918</v>
      </c>
      <c r="B1880" s="1">
        <v>45396</v>
      </c>
      <c r="C1880" t="s">
        <v>3365</v>
      </c>
      <c r="D1880" t="s">
        <v>962</v>
      </c>
      <c r="E1880">
        <v>49</v>
      </c>
      <c r="F1880" t="s">
        <v>4919</v>
      </c>
      <c r="G1880">
        <v>49</v>
      </c>
      <c r="H1880">
        <v>709.52</v>
      </c>
      <c r="N1880">
        <v>709.52</v>
      </c>
      <c r="O1880" s="1">
        <v>44952</v>
      </c>
      <c r="P1880">
        <f>IF(ISBLANK(ReconciliationData[[#This Row],[Invoice_ID]]),1,0)</f>
        <v>0</v>
      </c>
      <c r="Q1880">
        <f>IF(AND(NOT(ISBLANK(ReconciliationData[[#This Row],[Billed_Units]])),ReconciliationData[[#This Row],[ordered_units]]&lt;&gt;ReconciliationData[[#This Row],[Billed_Units]]),1,0)</f>
        <v>0</v>
      </c>
      <c r="R18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0">
        <f>IF(AND(NOT(ISBLANK(ReconciliationData[[#This Row],[Contract_Price]])),ReconciliationData[[#This Row],[Billed_Price]]&lt;&gt;ReconciliationData[[#This Row],[Contract_Price]]),1,0)</f>
        <v>0</v>
      </c>
      <c r="T1880">
        <f>IF(AND(NOT(ISBLANK(ReconciliationData[[#This Row],[End_Date]])),ReconciliationData[[#This Row],[Order_Date]]&gt;ReconciliationData[[#This Row],[End_Date]]),1,0)</f>
        <v>0</v>
      </c>
      <c r="U1880">
        <f>IF(AND(NOT(ISBLANK(ReconciliationData[[#This Row],[last_return_date]])),ReconciliationData[[#This Row],[last_return_date]]&gt;ReconciliationData[[#This Row],[Order_Date]]+60),1,0)</f>
        <v>0</v>
      </c>
      <c r="V1880">
        <f>IF(ReconciliationData[[#This Row],[total_returned_units]]&gt;ReconciliationData[[#This Row],[ordered_units]],1,0)</f>
        <v>0</v>
      </c>
      <c r="W18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0">
        <f>ReconciliationData[[#This Row],[Billed_Units]]*ReconciliationData[[#This Row],[Billed_Price]]</f>
        <v>34766.479999999996</v>
      </c>
      <c r="Y1880">
        <f>ReconciliationData[[#This Row],[ordered_units]]*ReconciliationData[[#This Row],[List_Price]]</f>
        <v>34766.479999999996</v>
      </c>
      <c r="Z1880">
        <f>ReconciliationData[[#This Row],[billed_revenue]]-ReconciliationData[[#This Row],[expected_revenue]]</f>
        <v>0</v>
      </c>
      <c r="AA18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0" t="str">
        <f>IF(ReconciliationData[[#This Row],[severity_score]]=0,"LOW",
 IF(ReconciliationData[[#This Row],[severity_score]]&lt;=5,"MEDIUM","HIGH"))</f>
        <v>LOW</v>
      </c>
      <c r="AC1880" t="str">
        <f>TEXT(ReconciliationData[[#This Row],[Order_Date]],"YYYY-MM")</f>
        <v>2024-04</v>
      </c>
    </row>
    <row r="1881" spans="1:29">
      <c r="A1881" t="s">
        <v>4920</v>
      </c>
      <c r="B1881" s="1">
        <v>45617</v>
      </c>
      <c r="C1881" t="s">
        <v>1342</v>
      </c>
      <c r="D1881" t="s">
        <v>1094</v>
      </c>
      <c r="E1881">
        <v>62</v>
      </c>
      <c r="F1881" t="s">
        <v>4921</v>
      </c>
      <c r="G1881">
        <v>62</v>
      </c>
      <c r="H1881">
        <v>977.22280000000001</v>
      </c>
      <c r="N1881">
        <v>977.22280000000001</v>
      </c>
      <c r="O1881" s="1">
        <v>44984</v>
      </c>
      <c r="P1881">
        <f>IF(ISBLANK(ReconciliationData[[#This Row],[Invoice_ID]]),1,0)</f>
        <v>0</v>
      </c>
      <c r="Q1881">
        <f>IF(AND(NOT(ISBLANK(ReconciliationData[[#This Row],[Billed_Units]])),ReconciliationData[[#This Row],[ordered_units]]&lt;&gt;ReconciliationData[[#This Row],[Billed_Units]]),1,0)</f>
        <v>0</v>
      </c>
      <c r="R18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1">
        <f>IF(AND(NOT(ISBLANK(ReconciliationData[[#This Row],[Contract_Price]])),ReconciliationData[[#This Row],[Billed_Price]]&lt;&gt;ReconciliationData[[#This Row],[Contract_Price]]),1,0)</f>
        <v>0</v>
      </c>
      <c r="T1881">
        <f>IF(AND(NOT(ISBLANK(ReconciliationData[[#This Row],[End_Date]])),ReconciliationData[[#This Row],[Order_Date]]&gt;ReconciliationData[[#This Row],[End_Date]]),1,0)</f>
        <v>0</v>
      </c>
      <c r="U1881">
        <f>IF(AND(NOT(ISBLANK(ReconciliationData[[#This Row],[last_return_date]])),ReconciliationData[[#This Row],[last_return_date]]&gt;ReconciliationData[[#This Row],[Order_Date]]+60),1,0)</f>
        <v>0</v>
      </c>
      <c r="V1881">
        <f>IF(ReconciliationData[[#This Row],[total_returned_units]]&gt;ReconciliationData[[#This Row],[ordered_units]],1,0)</f>
        <v>0</v>
      </c>
      <c r="W18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1">
        <f>ReconciliationData[[#This Row],[Billed_Units]]*ReconciliationData[[#This Row],[Billed_Price]]</f>
        <v>60587.813600000001</v>
      </c>
      <c r="Y1881">
        <f>ReconciliationData[[#This Row],[ordered_units]]*ReconciliationData[[#This Row],[List_Price]]</f>
        <v>60587.813600000001</v>
      </c>
      <c r="Z1881">
        <f>ReconciliationData[[#This Row],[billed_revenue]]-ReconciliationData[[#This Row],[expected_revenue]]</f>
        <v>0</v>
      </c>
      <c r="AA18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1" t="str">
        <f>IF(ReconciliationData[[#This Row],[severity_score]]=0,"LOW",
 IF(ReconciliationData[[#This Row],[severity_score]]&lt;=5,"MEDIUM","HIGH"))</f>
        <v>LOW</v>
      </c>
      <c r="AC1881" t="str">
        <f>TEXT(ReconciliationData[[#This Row],[Order_Date]],"YYYY-MM")</f>
        <v>2024-11</v>
      </c>
    </row>
    <row r="1882" spans="1:29">
      <c r="A1882" t="s">
        <v>4922</v>
      </c>
      <c r="B1882" s="1">
        <v>45303</v>
      </c>
      <c r="C1882" t="s">
        <v>2663</v>
      </c>
      <c r="D1882" t="s">
        <v>775</v>
      </c>
      <c r="E1882">
        <v>191</v>
      </c>
      <c r="F1882" t="s">
        <v>4923</v>
      </c>
      <c r="G1882">
        <v>191</v>
      </c>
      <c r="H1882">
        <v>1231.8180000000002</v>
      </c>
      <c r="N1882">
        <v>1231.8180000000002</v>
      </c>
      <c r="O1882" s="1">
        <v>45048</v>
      </c>
      <c r="P1882">
        <f>IF(ISBLANK(ReconciliationData[[#This Row],[Invoice_ID]]),1,0)</f>
        <v>0</v>
      </c>
      <c r="Q1882">
        <f>IF(AND(NOT(ISBLANK(ReconciliationData[[#This Row],[Billed_Units]])),ReconciliationData[[#This Row],[ordered_units]]&lt;&gt;ReconciliationData[[#This Row],[Billed_Units]]),1,0)</f>
        <v>0</v>
      </c>
      <c r="R18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2">
        <f>IF(AND(NOT(ISBLANK(ReconciliationData[[#This Row],[Contract_Price]])),ReconciliationData[[#This Row],[Billed_Price]]&lt;&gt;ReconciliationData[[#This Row],[Contract_Price]]),1,0)</f>
        <v>0</v>
      </c>
      <c r="T1882">
        <f>IF(AND(NOT(ISBLANK(ReconciliationData[[#This Row],[End_Date]])),ReconciliationData[[#This Row],[Order_Date]]&gt;ReconciliationData[[#This Row],[End_Date]]),1,0)</f>
        <v>0</v>
      </c>
      <c r="U1882">
        <f>IF(AND(NOT(ISBLANK(ReconciliationData[[#This Row],[last_return_date]])),ReconciliationData[[#This Row],[last_return_date]]&gt;ReconciliationData[[#This Row],[Order_Date]]+60),1,0)</f>
        <v>0</v>
      </c>
      <c r="V1882">
        <f>IF(ReconciliationData[[#This Row],[total_returned_units]]&gt;ReconciliationData[[#This Row],[ordered_units]],1,0)</f>
        <v>0</v>
      </c>
      <c r="W18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2">
        <f>ReconciliationData[[#This Row],[Billed_Units]]*ReconciliationData[[#This Row],[Billed_Price]]</f>
        <v>235277.23800000004</v>
      </c>
      <c r="Y1882">
        <f>ReconciliationData[[#This Row],[ordered_units]]*ReconciliationData[[#This Row],[List_Price]]</f>
        <v>235277.23800000004</v>
      </c>
      <c r="Z1882">
        <f>ReconciliationData[[#This Row],[billed_revenue]]-ReconciliationData[[#This Row],[expected_revenue]]</f>
        <v>0</v>
      </c>
      <c r="AA18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2" t="str">
        <f>IF(ReconciliationData[[#This Row],[severity_score]]=0,"LOW",
 IF(ReconciliationData[[#This Row],[severity_score]]&lt;=5,"MEDIUM","HIGH"))</f>
        <v>LOW</v>
      </c>
      <c r="AC1882" t="str">
        <f>TEXT(ReconciliationData[[#This Row],[Order_Date]],"YYYY-MM")</f>
        <v>2024-01</v>
      </c>
    </row>
    <row r="1883" spans="1:29">
      <c r="A1883" t="s">
        <v>4924</v>
      </c>
      <c r="B1883" s="1">
        <v>45003</v>
      </c>
      <c r="C1883" t="s">
        <v>1866</v>
      </c>
      <c r="D1883" t="s">
        <v>263</v>
      </c>
      <c r="E1883">
        <v>57</v>
      </c>
      <c r="F1883" t="s">
        <v>4925</v>
      </c>
      <c r="G1883">
        <v>57</v>
      </c>
      <c r="H1883">
        <v>1147.3289</v>
      </c>
      <c r="N1883">
        <v>1147.3289</v>
      </c>
      <c r="O1883" s="1">
        <v>44945</v>
      </c>
      <c r="P1883">
        <f>IF(ISBLANK(ReconciliationData[[#This Row],[Invoice_ID]]),1,0)</f>
        <v>0</v>
      </c>
      <c r="Q1883">
        <f>IF(AND(NOT(ISBLANK(ReconciliationData[[#This Row],[Billed_Units]])),ReconciliationData[[#This Row],[ordered_units]]&lt;&gt;ReconciliationData[[#This Row],[Billed_Units]]),1,0)</f>
        <v>0</v>
      </c>
      <c r="R18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3">
        <f>IF(AND(NOT(ISBLANK(ReconciliationData[[#This Row],[Contract_Price]])),ReconciliationData[[#This Row],[Billed_Price]]&lt;&gt;ReconciliationData[[#This Row],[Contract_Price]]),1,0)</f>
        <v>0</v>
      </c>
      <c r="T1883">
        <f>IF(AND(NOT(ISBLANK(ReconciliationData[[#This Row],[End_Date]])),ReconciliationData[[#This Row],[Order_Date]]&gt;ReconciliationData[[#This Row],[End_Date]]),1,0)</f>
        <v>0</v>
      </c>
      <c r="U1883">
        <f>IF(AND(NOT(ISBLANK(ReconciliationData[[#This Row],[last_return_date]])),ReconciliationData[[#This Row],[last_return_date]]&gt;ReconciliationData[[#This Row],[Order_Date]]+60),1,0)</f>
        <v>0</v>
      </c>
      <c r="V1883">
        <f>IF(ReconciliationData[[#This Row],[total_returned_units]]&gt;ReconciliationData[[#This Row],[ordered_units]],1,0)</f>
        <v>0</v>
      </c>
      <c r="W18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3">
        <f>ReconciliationData[[#This Row],[Billed_Units]]*ReconciliationData[[#This Row],[Billed_Price]]</f>
        <v>65397.747299999995</v>
      </c>
      <c r="Y1883">
        <f>ReconciliationData[[#This Row],[ordered_units]]*ReconciliationData[[#This Row],[List_Price]]</f>
        <v>65397.747299999995</v>
      </c>
      <c r="Z1883">
        <f>ReconciliationData[[#This Row],[billed_revenue]]-ReconciliationData[[#This Row],[expected_revenue]]</f>
        <v>0</v>
      </c>
      <c r="AA18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3" t="str">
        <f>IF(ReconciliationData[[#This Row],[severity_score]]=0,"LOW",
 IF(ReconciliationData[[#This Row],[severity_score]]&lt;=5,"MEDIUM","HIGH"))</f>
        <v>LOW</v>
      </c>
      <c r="AC1883" t="str">
        <f>TEXT(ReconciliationData[[#This Row],[Order_Date]],"YYYY-MM")</f>
        <v>2023-03</v>
      </c>
    </row>
    <row r="1884" spans="1:29">
      <c r="A1884" t="s">
        <v>4926</v>
      </c>
      <c r="B1884" s="1">
        <v>45030</v>
      </c>
      <c r="C1884" t="s">
        <v>3401</v>
      </c>
      <c r="D1884" t="s">
        <v>2622</v>
      </c>
      <c r="E1884">
        <v>38</v>
      </c>
      <c r="F1884" t="s">
        <v>4927</v>
      </c>
      <c r="G1884">
        <v>38</v>
      </c>
      <c r="H1884">
        <v>428.59800000000007</v>
      </c>
      <c r="N1884">
        <v>428.59800000000007</v>
      </c>
      <c r="O1884" s="1">
        <v>44798</v>
      </c>
      <c r="P1884">
        <f>IF(ISBLANK(ReconciliationData[[#This Row],[Invoice_ID]]),1,0)</f>
        <v>0</v>
      </c>
      <c r="Q1884">
        <f>IF(AND(NOT(ISBLANK(ReconciliationData[[#This Row],[Billed_Units]])),ReconciliationData[[#This Row],[ordered_units]]&lt;&gt;ReconciliationData[[#This Row],[Billed_Units]]),1,0)</f>
        <v>0</v>
      </c>
      <c r="R18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4">
        <f>IF(AND(NOT(ISBLANK(ReconciliationData[[#This Row],[Contract_Price]])),ReconciliationData[[#This Row],[Billed_Price]]&lt;&gt;ReconciliationData[[#This Row],[Contract_Price]]),1,0)</f>
        <v>0</v>
      </c>
      <c r="T1884">
        <f>IF(AND(NOT(ISBLANK(ReconciliationData[[#This Row],[End_Date]])),ReconciliationData[[#This Row],[Order_Date]]&gt;ReconciliationData[[#This Row],[End_Date]]),1,0)</f>
        <v>0</v>
      </c>
      <c r="U1884">
        <f>IF(AND(NOT(ISBLANK(ReconciliationData[[#This Row],[last_return_date]])),ReconciliationData[[#This Row],[last_return_date]]&gt;ReconciliationData[[#This Row],[Order_Date]]+60),1,0)</f>
        <v>0</v>
      </c>
      <c r="V1884">
        <f>IF(ReconciliationData[[#This Row],[total_returned_units]]&gt;ReconciliationData[[#This Row],[ordered_units]],1,0)</f>
        <v>0</v>
      </c>
      <c r="W18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4">
        <f>ReconciliationData[[#This Row],[Billed_Units]]*ReconciliationData[[#This Row],[Billed_Price]]</f>
        <v>16286.724000000002</v>
      </c>
      <c r="Y1884">
        <f>ReconciliationData[[#This Row],[ordered_units]]*ReconciliationData[[#This Row],[List_Price]]</f>
        <v>16286.724000000002</v>
      </c>
      <c r="Z1884">
        <f>ReconciliationData[[#This Row],[billed_revenue]]-ReconciliationData[[#This Row],[expected_revenue]]</f>
        <v>0</v>
      </c>
      <c r="AA18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4" t="str">
        <f>IF(ReconciliationData[[#This Row],[severity_score]]=0,"LOW",
 IF(ReconciliationData[[#This Row],[severity_score]]&lt;=5,"MEDIUM","HIGH"))</f>
        <v>LOW</v>
      </c>
      <c r="AC1884" t="str">
        <f>TEXT(ReconciliationData[[#This Row],[Order_Date]],"YYYY-MM")</f>
        <v>2023-04</v>
      </c>
    </row>
    <row r="1885" spans="1:29">
      <c r="A1885" t="s">
        <v>4928</v>
      </c>
      <c r="B1885" s="1">
        <v>45017</v>
      </c>
      <c r="C1885" t="s">
        <v>654</v>
      </c>
      <c r="D1885" t="s">
        <v>2035</v>
      </c>
      <c r="E1885">
        <v>173</v>
      </c>
      <c r="F1885" t="s">
        <v>4929</v>
      </c>
      <c r="G1885">
        <v>173</v>
      </c>
      <c r="H1885">
        <v>1160.71</v>
      </c>
      <c r="N1885">
        <v>1160.71</v>
      </c>
      <c r="O1885" s="1">
        <v>44964</v>
      </c>
      <c r="P1885">
        <f>IF(ISBLANK(ReconciliationData[[#This Row],[Invoice_ID]]),1,0)</f>
        <v>0</v>
      </c>
      <c r="Q1885">
        <f>IF(AND(NOT(ISBLANK(ReconciliationData[[#This Row],[Billed_Units]])),ReconciliationData[[#This Row],[ordered_units]]&lt;&gt;ReconciliationData[[#This Row],[Billed_Units]]),1,0)</f>
        <v>0</v>
      </c>
      <c r="R18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5">
        <f>IF(AND(NOT(ISBLANK(ReconciliationData[[#This Row],[Contract_Price]])),ReconciliationData[[#This Row],[Billed_Price]]&lt;&gt;ReconciliationData[[#This Row],[Contract_Price]]),1,0)</f>
        <v>0</v>
      </c>
      <c r="T1885">
        <f>IF(AND(NOT(ISBLANK(ReconciliationData[[#This Row],[End_Date]])),ReconciliationData[[#This Row],[Order_Date]]&gt;ReconciliationData[[#This Row],[End_Date]]),1,0)</f>
        <v>0</v>
      </c>
      <c r="U1885">
        <f>IF(AND(NOT(ISBLANK(ReconciliationData[[#This Row],[last_return_date]])),ReconciliationData[[#This Row],[last_return_date]]&gt;ReconciliationData[[#This Row],[Order_Date]]+60),1,0)</f>
        <v>0</v>
      </c>
      <c r="V1885">
        <f>IF(ReconciliationData[[#This Row],[total_returned_units]]&gt;ReconciliationData[[#This Row],[ordered_units]],1,0)</f>
        <v>0</v>
      </c>
      <c r="W18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5">
        <f>ReconciliationData[[#This Row],[Billed_Units]]*ReconciliationData[[#This Row],[Billed_Price]]</f>
        <v>200802.83000000002</v>
      </c>
      <c r="Y1885">
        <f>ReconciliationData[[#This Row],[ordered_units]]*ReconciliationData[[#This Row],[List_Price]]</f>
        <v>200802.83000000002</v>
      </c>
      <c r="Z1885">
        <f>ReconciliationData[[#This Row],[billed_revenue]]-ReconciliationData[[#This Row],[expected_revenue]]</f>
        <v>0</v>
      </c>
      <c r="AA18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5" t="str">
        <f>IF(ReconciliationData[[#This Row],[severity_score]]=0,"LOW",
 IF(ReconciliationData[[#This Row],[severity_score]]&lt;=5,"MEDIUM","HIGH"))</f>
        <v>LOW</v>
      </c>
      <c r="AC1885" t="str">
        <f>TEXT(ReconciliationData[[#This Row],[Order_Date]],"YYYY-MM")</f>
        <v>2023-04</v>
      </c>
    </row>
    <row r="1886" spans="1:29">
      <c r="A1886" t="s">
        <v>4930</v>
      </c>
      <c r="B1886" s="1">
        <v>45186</v>
      </c>
      <c r="C1886" t="s">
        <v>440</v>
      </c>
      <c r="D1886" t="s">
        <v>1754</v>
      </c>
      <c r="E1886">
        <v>171</v>
      </c>
      <c r="F1886" t="s">
        <v>4931</v>
      </c>
      <c r="G1886">
        <v>171</v>
      </c>
      <c r="H1886">
        <v>1072.2954</v>
      </c>
      <c r="N1886">
        <v>1072.2954</v>
      </c>
      <c r="O1886" s="1">
        <v>45120</v>
      </c>
      <c r="P1886">
        <f>IF(ISBLANK(ReconciliationData[[#This Row],[Invoice_ID]]),1,0)</f>
        <v>0</v>
      </c>
      <c r="Q1886">
        <f>IF(AND(NOT(ISBLANK(ReconciliationData[[#This Row],[Billed_Units]])),ReconciliationData[[#This Row],[ordered_units]]&lt;&gt;ReconciliationData[[#This Row],[Billed_Units]]),1,0)</f>
        <v>0</v>
      </c>
      <c r="R18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6">
        <f>IF(AND(NOT(ISBLANK(ReconciliationData[[#This Row],[Contract_Price]])),ReconciliationData[[#This Row],[Billed_Price]]&lt;&gt;ReconciliationData[[#This Row],[Contract_Price]]),1,0)</f>
        <v>0</v>
      </c>
      <c r="T1886">
        <f>IF(AND(NOT(ISBLANK(ReconciliationData[[#This Row],[End_Date]])),ReconciliationData[[#This Row],[Order_Date]]&gt;ReconciliationData[[#This Row],[End_Date]]),1,0)</f>
        <v>0</v>
      </c>
      <c r="U1886">
        <f>IF(AND(NOT(ISBLANK(ReconciliationData[[#This Row],[last_return_date]])),ReconciliationData[[#This Row],[last_return_date]]&gt;ReconciliationData[[#This Row],[Order_Date]]+60),1,0)</f>
        <v>0</v>
      </c>
      <c r="V1886">
        <f>IF(ReconciliationData[[#This Row],[total_returned_units]]&gt;ReconciliationData[[#This Row],[ordered_units]],1,0)</f>
        <v>0</v>
      </c>
      <c r="W18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6">
        <f>ReconciliationData[[#This Row],[Billed_Units]]*ReconciliationData[[#This Row],[Billed_Price]]</f>
        <v>183362.5134</v>
      </c>
      <c r="Y1886">
        <f>ReconciliationData[[#This Row],[ordered_units]]*ReconciliationData[[#This Row],[List_Price]]</f>
        <v>183362.5134</v>
      </c>
      <c r="Z1886">
        <f>ReconciliationData[[#This Row],[billed_revenue]]-ReconciliationData[[#This Row],[expected_revenue]]</f>
        <v>0</v>
      </c>
      <c r="AA18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6" t="str">
        <f>IF(ReconciliationData[[#This Row],[severity_score]]=0,"LOW",
 IF(ReconciliationData[[#This Row],[severity_score]]&lt;=5,"MEDIUM","HIGH"))</f>
        <v>LOW</v>
      </c>
      <c r="AC1886" t="str">
        <f>TEXT(ReconciliationData[[#This Row],[Order_Date]],"YYYY-MM")</f>
        <v>2023-09</v>
      </c>
    </row>
    <row r="1887" spans="1:29">
      <c r="A1887" t="s">
        <v>4932</v>
      </c>
      <c r="B1887" s="1">
        <v>45099</v>
      </c>
      <c r="C1887" t="s">
        <v>4875</v>
      </c>
      <c r="D1887" t="s">
        <v>1812</v>
      </c>
      <c r="E1887">
        <v>195</v>
      </c>
      <c r="F1887" t="s">
        <v>4933</v>
      </c>
      <c r="G1887">
        <v>195</v>
      </c>
      <c r="H1887">
        <v>226.88399999999999</v>
      </c>
      <c r="N1887">
        <v>226.88399999999999</v>
      </c>
      <c r="O1887" s="1">
        <v>45086</v>
      </c>
      <c r="P1887">
        <f>IF(ISBLANK(ReconciliationData[[#This Row],[Invoice_ID]]),1,0)</f>
        <v>0</v>
      </c>
      <c r="Q1887">
        <f>IF(AND(NOT(ISBLANK(ReconciliationData[[#This Row],[Billed_Units]])),ReconciliationData[[#This Row],[ordered_units]]&lt;&gt;ReconciliationData[[#This Row],[Billed_Units]]),1,0)</f>
        <v>0</v>
      </c>
      <c r="R18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7">
        <f>IF(AND(NOT(ISBLANK(ReconciliationData[[#This Row],[Contract_Price]])),ReconciliationData[[#This Row],[Billed_Price]]&lt;&gt;ReconciliationData[[#This Row],[Contract_Price]]),1,0)</f>
        <v>0</v>
      </c>
      <c r="T1887">
        <f>IF(AND(NOT(ISBLANK(ReconciliationData[[#This Row],[End_Date]])),ReconciliationData[[#This Row],[Order_Date]]&gt;ReconciliationData[[#This Row],[End_Date]]),1,0)</f>
        <v>0</v>
      </c>
      <c r="U1887">
        <f>IF(AND(NOT(ISBLANK(ReconciliationData[[#This Row],[last_return_date]])),ReconciliationData[[#This Row],[last_return_date]]&gt;ReconciliationData[[#This Row],[Order_Date]]+60),1,0)</f>
        <v>0</v>
      </c>
      <c r="V1887">
        <f>IF(ReconciliationData[[#This Row],[total_returned_units]]&gt;ReconciliationData[[#This Row],[ordered_units]],1,0)</f>
        <v>0</v>
      </c>
      <c r="W18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7">
        <f>ReconciliationData[[#This Row],[Billed_Units]]*ReconciliationData[[#This Row],[Billed_Price]]</f>
        <v>44242.38</v>
      </c>
      <c r="Y1887">
        <f>ReconciliationData[[#This Row],[ordered_units]]*ReconciliationData[[#This Row],[List_Price]]</f>
        <v>44242.38</v>
      </c>
      <c r="Z1887">
        <f>ReconciliationData[[#This Row],[billed_revenue]]-ReconciliationData[[#This Row],[expected_revenue]]</f>
        <v>0</v>
      </c>
      <c r="AA18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7" t="str">
        <f>IF(ReconciliationData[[#This Row],[severity_score]]=0,"LOW",
 IF(ReconciliationData[[#This Row],[severity_score]]&lt;=5,"MEDIUM","HIGH"))</f>
        <v>LOW</v>
      </c>
      <c r="AC1887" t="str">
        <f>TEXT(ReconciliationData[[#This Row],[Order_Date]],"YYYY-MM")</f>
        <v>2023-06</v>
      </c>
    </row>
    <row r="1888" spans="1:29">
      <c r="A1888" t="s">
        <v>4934</v>
      </c>
      <c r="B1888" s="1">
        <v>45564</v>
      </c>
      <c r="C1888" t="s">
        <v>2018</v>
      </c>
      <c r="D1888" t="s">
        <v>2489</v>
      </c>
      <c r="E1888">
        <v>25</v>
      </c>
      <c r="F1888" t="s">
        <v>4935</v>
      </c>
      <c r="G1888">
        <v>25</v>
      </c>
      <c r="H1888">
        <v>544.5</v>
      </c>
      <c r="N1888">
        <v>544.5</v>
      </c>
      <c r="O1888" s="1">
        <v>45159</v>
      </c>
      <c r="P1888">
        <f>IF(ISBLANK(ReconciliationData[[#This Row],[Invoice_ID]]),1,0)</f>
        <v>0</v>
      </c>
      <c r="Q1888">
        <f>IF(AND(NOT(ISBLANK(ReconciliationData[[#This Row],[Billed_Units]])),ReconciliationData[[#This Row],[ordered_units]]&lt;&gt;ReconciliationData[[#This Row],[Billed_Units]]),1,0)</f>
        <v>0</v>
      </c>
      <c r="R18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8">
        <f>IF(AND(NOT(ISBLANK(ReconciliationData[[#This Row],[Contract_Price]])),ReconciliationData[[#This Row],[Billed_Price]]&lt;&gt;ReconciliationData[[#This Row],[Contract_Price]]),1,0)</f>
        <v>0</v>
      </c>
      <c r="T1888">
        <f>IF(AND(NOT(ISBLANK(ReconciliationData[[#This Row],[End_Date]])),ReconciliationData[[#This Row],[Order_Date]]&gt;ReconciliationData[[#This Row],[End_Date]]),1,0)</f>
        <v>0</v>
      </c>
      <c r="U1888">
        <f>IF(AND(NOT(ISBLANK(ReconciliationData[[#This Row],[last_return_date]])),ReconciliationData[[#This Row],[last_return_date]]&gt;ReconciliationData[[#This Row],[Order_Date]]+60),1,0)</f>
        <v>0</v>
      </c>
      <c r="V1888">
        <f>IF(ReconciliationData[[#This Row],[total_returned_units]]&gt;ReconciliationData[[#This Row],[ordered_units]],1,0)</f>
        <v>0</v>
      </c>
      <c r="W18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8">
        <f>ReconciliationData[[#This Row],[Billed_Units]]*ReconciliationData[[#This Row],[Billed_Price]]</f>
        <v>13612.5</v>
      </c>
      <c r="Y1888">
        <f>ReconciliationData[[#This Row],[ordered_units]]*ReconciliationData[[#This Row],[List_Price]]</f>
        <v>13612.5</v>
      </c>
      <c r="Z1888">
        <f>ReconciliationData[[#This Row],[billed_revenue]]-ReconciliationData[[#This Row],[expected_revenue]]</f>
        <v>0</v>
      </c>
      <c r="AA18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8" t="str">
        <f>IF(ReconciliationData[[#This Row],[severity_score]]=0,"LOW",
 IF(ReconciliationData[[#This Row],[severity_score]]&lt;=5,"MEDIUM","HIGH"))</f>
        <v>LOW</v>
      </c>
      <c r="AC1888" t="str">
        <f>TEXT(ReconciliationData[[#This Row],[Order_Date]],"YYYY-MM")</f>
        <v>2024-09</v>
      </c>
    </row>
    <row r="1889" spans="1:29">
      <c r="A1889" t="s">
        <v>4936</v>
      </c>
      <c r="B1889" s="1">
        <v>45256</v>
      </c>
      <c r="C1889" t="s">
        <v>2814</v>
      </c>
      <c r="D1889" t="s">
        <v>1455</v>
      </c>
      <c r="E1889">
        <v>151</v>
      </c>
      <c r="F1889" t="s">
        <v>4937</v>
      </c>
      <c r="G1889">
        <v>151</v>
      </c>
      <c r="H1889">
        <v>556.99</v>
      </c>
      <c r="N1889">
        <v>556.99</v>
      </c>
      <c r="O1889" s="1">
        <v>45147</v>
      </c>
      <c r="P1889">
        <f>IF(ISBLANK(ReconciliationData[[#This Row],[Invoice_ID]]),1,0)</f>
        <v>0</v>
      </c>
      <c r="Q1889">
        <f>IF(AND(NOT(ISBLANK(ReconciliationData[[#This Row],[Billed_Units]])),ReconciliationData[[#This Row],[ordered_units]]&lt;&gt;ReconciliationData[[#This Row],[Billed_Units]]),1,0)</f>
        <v>0</v>
      </c>
      <c r="R18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89">
        <f>IF(AND(NOT(ISBLANK(ReconciliationData[[#This Row],[Contract_Price]])),ReconciliationData[[#This Row],[Billed_Price]]&lt;&gt;ReconciliationData[[#This Row],[Contract_Price]]),1,0)</f>
        <v>0</v>
      </c>
      <c r="T1889">
        <f>IF(AND(NOT(ISBLANK(ReconciliationData[[#This Row],[End_Date]])),ReconciliationData[[#This Row],[Order_Date]]&gt;ReconciliationData[[#This Row],[End_Date]]),1,0)</f>
        <v>0</v>
      </c>
      <c r="U1889">
        <f>IF(AND(NOT(ISBLANK(ReconciliationData[[#This Row],[last_return_date]])),ReconciliationData[[#This Row],[last_return_date]]&gt;ReconciliationData[[#This Row],[Order_Date]]+60),1,0)</f>
        <v>0</v>
      </c>
      <c r="V1889">
        <f>IF(ReconciliationData[[#This Row],[total_returned_units]]&gt;ReconciliationData[[#This Row],[ordered_units]],1,0)</f>
        <v>0</v>
      </c>
      <c r="W18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89">
        <f>ReconciliationData[[#This Row],[Billed_Units]]*ReconciliationData[[#This Row],[Billed_Price]]</f>
        <v>84105.49</v>
      </c>
      <c r="Y1889">
        <f>ReconciliationData[[#This Row],[ordered_units]]*ReconciliationData[[#This Row],[List_Price]]</f>
        <v>84105.49</v>
      </c>
      <c r="Z1889">
        <f>ReconciliationData[[#This Row],[billed_revenue]]-ReconciliationData[[#This Row],[expected_revenue]]</f>
        <v>0</v>
      </c>
      <c r="AA18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89" t="str">
        <f>IF(ReconciliationData[[#This Row],[severity_score]]=0,"LOW",
 IF(ReconciliationData[[#This Row],[severity_score]]&lt;=5,"MEDIUM","HIGH"))</f>
        <v>LOW</v>
      </c>
      <c r="AC1889" t="str">
        <f>TEXT(ReconciliationData[[#This Row],[Order_Date]],"YYYY-MM")</f>
        <v>2023-11</v>
      </c>
    </row>
    <row r="1890" spans="1:29">
      <c r="A1890" t="s">
        <v>4938</v>
      </c>
      <c r="B1890" s="1">
        <v>45496</v>
      </c>
      <c r="C1890" t="s">
        <v>673</v>
      </c>
      <c r="D1890" t="s">
        <v>2853</v>
      </c>
      <c r="E1890">
        <v>83</v>
      </c>
      <c r="F1890" t="s">
        <v>4939</v>
      </c>
      <c r="G1890">
        <v>83</v>
      </c>
      <c r="H1890">
        <v>278.27100000000002</v>
      </c>
      <c r="N1890">
        <v>278.27100000000002</v>
      </c>
      <c r="O1890" s="1">
        <v>45119</v>
      </c>
      <c r="P1890">
        <f>IF(ISBLANK(ReconciliationData[[#This Row],[Invoice_ID]]),1,0)</f>
        <v>0</v>
      </c>
      <c r="Q1890">
        <f>IF(AND(NOT(ISBLANK(ReconciliationData[[#This Row],[Billed_Units]])),ReconciliationData[[#This Row],[ordered_units]]&lt;&gt;ReconciliationData[[#This Row],[Billed_Units]]),1,0)</f>
        <v>0</v>
      </c>
      <c r="R18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0">
        <f>IF(AND(NOT(ISBLANK(ReconciliationData[[#This Row],[Contract_Price]])),ReconciliationData[[#This Row],[Billed_Price]]&lt;&gt;ReconciliationData[[#This Row],[Contract_Price]]),1,0)</f>
        <v>0</v>
      </c>
      <c r="T1890">
        <f>IF(AND(NOT(ISBLANK(ReconciliationData[[#This Row],[End_Date]])),ReconciliationData[[#This Row],[Order_Date]]&gt;ReconciliationData[[#This Row],[End_Date]]),1,0)</f>
        <v>0</v>
      </c>
      <c r="U1890">
        <f>IF(AND(NOT(ISBLANK(ReconciliationData[[#This Row],[last_return_date]])),ReconciliationData[[#This Row],[last_return_date]]&gt;ReconciliationData[[#This Row],[Order_Date]]+60),1,0)</f>
        <v>0</v>
      </c>
      <c r="V1890">
        <f>IF(ReconciliationData[[#This Row],[total_returned_units]]&gt;ReconciliationData[[#This Row],[ordered_units]],1,0)</f>
        <v>0</v>
      </c>
      <c r="W18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90">
        <f>ReconciliationData[[#This Row],[Billed_Units]]*ReconciliationData[[#This Row],[Billed_Price]]</f>
        <v>23096.493000000002</v>
      </c>
      <c r="Y1890">
        <f>ReconciliationData[[#This Row],[ordered_units]]*ReconciliationData[[#This Row],[List_Price]]</f>
        <v>23096.493000000002</v>
      </c>
      <c r="Z1890">
        <f>ReconciliationData[[#This Row],[billed_revenue]]-ReconciliationData[[#This Row],[expected_revenue]]</f>
        <v>0</v>
      </c>
      <c r="AA18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90" t="str">
        <f>IF(ReconciliationData[[#This Row],[severity_score]]=0,"LOW",
 IF(ReconciliationData[[#This Row],[severity_score]]&lt;=5,"MEDIUM","HIGH"))</f>
        <v>LOW</v>
      </c>
      <c r="AC1890" t="str">
        <f>TEXT(ReconciliationData[[#This Row],[Order_Date]],"YYYY-MM")</f>
        <v>2024-07</v>
      </c>
    </row>
    <row r="1891" spans="1:29">
      <c r="A1891" t="s">
        <v>4940</v>
      </c>
      <c r="B1891" s="1">
        <v>45345</v>
      </c>
      <c r="C1891" t="s">
        <v>2864</v>
      </c>
      <c r="D1891" t="s">
        <v>522</v>
      </c>
      <c r="E1891">
        <v>101</v>
      </c>
      <c r="F1891" t="s">
        <v>4941</v>
      </c>
      <c r="G1891">
        <v>101</v>
      </c>
      <c r="H1891">
        <v>826.46400000000006</v>
      </c>
      <c r="N1891">
        <v>826.46400000000006</v>
      </c>
      <c r="O1891" s="1">
        <v>45128</v>
      </c>
      <c r="P1891">
        <f>IF(ISBLANK(ReconciliationData[[#This Row],[Invoice_ID]]),1,0)</f>
        <v>0</v>
      </c>
      <c r="Q1891">
        <f>IF(AND(NOT(ISBLANK(ReconciliationData[[#This Row],[Billed_Units]])),ReconciliationData[[#This Row],[ordered_units]]&lt;&gt;ReconciliationData[[#This Row],[Billed_Units]]),1,0)</f>
        <v>0</v>
      </c>
      <c r="R18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1">
        <f>IF(AND(NOT(ISBLANK(ReconciliationData[[#This Row],[Contract_Price]])),ReconciliationData[[#This Row],[Billed_Price]]&lt;&gt;ReconciliationData[[#This Row],[Contract_Price]]),1,0)</f>
        <v>0</v>
      </c>
      <c r="T1891">
        <f>IF(AND(NOT(ISBLANK(ReconciliationData[[#This Row],[End_Date]])),ReconciliationData[[#This Row],[Order_Date]]&gt;ReconciliationData[[#This Row],[End_Date]]),1,0)</f>
        <v>0</v>
      </c>
      <c r="U1891">
        <f>IF(AND(NOT(ISBLANK(ReconciliationData[[#This Row],[last_return_date]])),ReconciliationData[[#This Row],[last_return_date]]&gt;ReconciliationData[[#This Row],[Order_Date]]+60),1,0)</f>
        <v>0</v>
      </c>
      <c r="V1891">
        <f>IF(ReconciliationData[[#This Row],[total_returned_units]]&gt;ReconciliationData[[#This Row],[ordered_units]],1,0)</f>
        <v>0</v>
      </c>
      <c r="W18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91">
        <f>ReconciliationData[[#This Row],[Billed_Units]]*ReconciliationData[[#This Row],[Billed_Price]]</f>
        <v>83472.864000000001</v>
      </c>
      <c r="Y1891">
        <f>ReconciliationData[[#This Row],[ordered_units]]*ReconciliationData[[#This Row],[List_Price]]</f>
        <v>83472.864000000001</v>
      </c>
      <c r="Z1891">
        <f>ReconciliationData[[#This Row],[billed_revenue]]-ReconciliationData[[#This Row],[expected_revenue]]</f>
        <v>0</v>
      </c>
      <c r="AA18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91" t="str">
        <f>IF(ReconciliationData[[#This Row],[severity_score]]=0,"LOW",
 IF(ReconciliationData[[#This Row],[severity_score]]&lt;=5,"MEDIUM","HIGH"))</f>
        <v>LOW</v>
      </c>
      <c r="AC1891" t="str">
        <f>TEXT(ReconciliationData[[#This Row],[Order_Date]],"YYYY-MM")</f>
        <v>2024-02</v>
      </c>
    </row>
    <row r="1892" spans="1:29">
      <c r="A1892" t="s">
        <v>4942</v>
      </c>
      <c r="B1892" s="1">
        <v>45642</v>
      </c>
      <c r="C1892" t="s">
        <v>4124</v>
      </c>
      <c r="D1892" t="s">
        <v>150</v>
      </c>
      <c r="E1892">
        <v>40</v>
      </c>
      <c r="F1892" t="s">
        <v>4943</v>
      </c>
      <c r="G1892">
        <v>40</v>
      </c>
      <c r="H1892">
        <v>353.52719999999999</v>
      </c>
      <c r="N1892">
        <v>353.52719999999999</v>
      </c>
      <c r="O1892" s="1">
        <v>45182</v>
      </c>
      <c r="P1892">
        <f>IF(ISBLANK(ReconciliationData[[#This Row],[Invoice_ID]]),1,0)</f>
        <v>0</v>
      </c>
      <c r="Q1892">
        <f>IF(AND(NOT(ISBLANK(ReconciliationData[[#This Row],[Billed_Units]])),ReconciliationData[[#This Row],[ordered_units]]&lt;&gt;ReconciliationData[[#This Row],[Billed_Units]]),1,0)</f>
        <v>0</v>
      </c>
      <c r="R18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2">
        <f>IF(AND(NOT(ISBLANK(ReconciliationData[[#This Row],[Contract_Price]])),ReconciliationData[[#This Row],[Billed_Price]]&lt;&gt;ReconciliationData[[#This Row],[Contract_Price]]),1,0)</f>
        <v>0</v>
      </c>
      <c r="T1892">
        <f>IF(AND(NOT(ISBLANK(ReconciliationData[[#This Row],[End_Date]])),ReconciliationData[[#This Row],[Order_Date]]&gt;ReconciliationData[[#This Row],[End_Date]]),1,0)</f>
        <v>0</v>
      </c>
      <c r="U1892">
        <f>IF(AND(NOT(ISBLANK(ReconciliationData[[#This Row],[last_return_date]])),ReconciliationData[[#This Row],[last_return_date]]&gt;ReconciliationData[[#This Row],[Order_Date]]+60),1,0)</f>
        <v>0</v>
      </c>
      <c r="V1892">
        <f>IF(ReconciliationData[[#This Row],[total_returned_units]]&gt;ReconciliationData[[#This Row],[ordered_units]],1,0)</f>
        <v>0</v>
      </c>
      <c r="W18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92">
        <f>ReconciliationData[[#This Row],[Billed_Units]]*ReconciliationData[[#This Row],[Billed_Price]]</f>
        <v>14141.088</v>
      </c>
      <c r="Y1892">
        <f>ReconciliationData[[#This Row],[ordered_units]]*ReconciliationData[[#This Row],[List_Price]]</f>
        <v>14141.088</v>
      </c>
      <c r="Z1892">
        <f>ReconciliationData[[#This Row],[billed_revenue]]-ReconciliationData[[#This Row],[expected_revenue]]</f>
        <v>0</v>
      </c>
      <c r="AA18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92" t="str">
        <f>IF(ReconciliationData[[#This Row],[severity_score]]=0,"LOW",
 IF(ReconciliationData[[#This Row],[severity_score]]&lt;=5,"MEDIUM","HIGH"))</f>
        <v>LOW</v>
      </c>
      <c r="AC1892" t="str">
        <f>TEXT(ReconciliationData[[#This Row],[Order_Date]],"YYYY-MM")</f>
        <v>2024-12</v>
      </c>
    </row>
    <row r="1893" spans="1:29">
      <c r="A1893" t="s">
        <v>4944</v>
      </c>
      <c r="B1893" s="1">
        <v>45357</v>
      </c>
      <c r="C1893" t="s">
        <v>4945</v>
      </c>
      <c r="D1893" t="s">
        <v>525</v>
      </c>
      <c r="E1893">
        <v>128</v>
      </c>
      <c r="F1893" t="s">
        <v>4946</v>
      </c>
      <c r="G1893">
        <v>128</v>
      </c>
      <c r="H1893">
        <v>249.1748</v>
      </c>
      <c r="N1893">
        <v>249.1748</v>
      </c>
      <c r="O1893" s="1">
        <v>45141</v>
      </c>
      <c r="P1893">
        <f>IF(ISBLANK(ReconciliationData[[#This Row],[Invoice_ID]]),1,0)</f>
        <v>0</v>
      </c>
      <c r="Q1893">
        <f>IF(AND(NOT(ISBLANK(ReconciliationData[[#This Row],[Billed_Units]])),ReconciliationData[[#This Row],[ordered_units]]&lt;&gt;ReconciliationData[[#This Row],[Billed_Units]]),1,0)</f>
        <v>0</v>
      </c>
      <c r="R18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3">
        <f>IF(AND(NOT(ISBLANK(ReconciliationData[[#This Row],[Contract_Price]])),ReconciliationData[[#This Row],[Billed_Price]]&lt;&gt;ReconciliationData[[#This Row],[Contract_Price]]),1,0)</f>
        <v>0</v>
      </c>
      <c r="T1893">
        <f>IF(AND(NOT(ISBLANK(ReconciliationData[[#This Row],[End_Date]])),ReconciliationData[[#This Row],[Order_Date]]&gt;ReconciliationData[[#This Row],[End_Date]]),1,0)</f>
        <v>0</v>
      </c>
      <c r="U1893">
        <f>IF(AND(NOT(ISBLANK(ReconciliationData[[#This Row],[last_return_date]])),ReconciliationData[[#This Row],[last_return_date]]&gt;ReconciliationData[[#This Row],[Order_Date]]+60),1,0)</f>
        <v>0</v>
      </c>
      <c r="V1893">
        <f>IF(ReconciliationData[[#This Row],[total_returned_units]]&gt;ReconciliationData[[#This Row],[ordered_units]],1,0)</f>
        <v>0</v>
      </c>
      <c r="W18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93">
        <f>ReconciliationData[[#This Row],[Billed_Units]]*ReconciliationData[[#This Row],[Billed_Price]]</f>
        <v>31894.374400000001</v>
      </c>
      <c r="Y1893">
        <f>ReconciliationData[[#This Row],[ordered_units]]*ReconciliationData[[#This Row],[List_Price]]</f>
        <v>31894.374400000001</v>
      </c>
      <c r="Z1893">
        <f>ReconciliationData[[#This Row],[billed_revenue]]-ReconciliationData[[#This Row],[expected_revenue]]</f>
        <v>0</v>
      </c>
      <c r="AA18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93" t="str">
        <f>IF(ReconciliationData[[#This Row],[severity_score]]=0,"LOW",
 IF(ReconciliationData[[#This Row],[severity_score]]&lt;=5,"MEDIUM","HIGH"))</f>
        <v>LOW</v>
      </c>
      <c r="AC1893" t="str">
        <f>TEXT(ReconciliationData[[#This Row],[Order_Date]],"YYYY-MM")</f>
        <v>2024-03</v>
      </c>
    </row>
    <row r="1894" spans="1:29">
      <c r="A1894" t="s">
        <v>4947</v>
      </c>
      <c r="B1894" s="1">
        <v>45031</v>
      </c>
      <c r="C1894" t="s">
        <v>396</v>
      </c>
      <c r="D1894" t="s">
        <v>1088</v>
      </c>
      <c r="E1894">
        <v>164</v>
      </c>
      <c r="F1894" t="s">
        <v>4948</v>
      </c>
      <c r="G1894">
        <v>164</v>
      </c>
      <c r="H1894">
        <v>72.63</v>
      </c>
      <c r="N1894">
        <v>72.63</v>
      </c>
      <c r="O1894" s="1">
        <v>44956</v>
      </c>
      <c r="P1894">
        <f>IF(ISBLANK(ReconciliationData[[#This Row],[Invoice_ID]]),1,0)</f>
        <v>0</v>
      </c>
      <c r="Q1894">
        <f>IF(AND(NOT(ISBLANK(ReconciliationData[[#This Row],[Billed_Units]])),ReconciliationData[[#This Row],[ordered_units]]&lt;&gt;ReconciliationData[[#This Row],[Billed_Units]]),1,0)</f>
        <v>0</v>
      </c>
      <c r="R18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4">
        <f>IF(AND(NOT(ISBLANK(ReconciliationData[[#This Row],[Contract_Price]])),ReconciliationData[[#This Row],[Billed_Price]]&lt;&gt;ReconciliationData[[#This Row],[Contract_Price]]),1,0)</f>
        <v>0</v>
      </c>
      <c r="T1894">
        <f>IF(AND(NOT(ISBLANK(ReconciliationData[[#This Row],[End_Date]])),ReconciliationData[[#This Row],[Order_Date]]&gt;ReconciliationData[[#This Row],[End_Date]]),1,0)</f>
        <v>0</v>
      </c>
      <c r="U1894">
        <f>IF(AND(NOT(ISBLANK(ReconciliationData[[#This Row],[last_return_date]])),ReconciliationData[[#This Row],[last_return_date]]&gt;ReconciliationData[[#This Row],[Order_Date]]+60),1,0)</f>
        <v>0</v>
      </c>
      <c r="V1894">
        <f>IF(ReconciliationData[[#This Row],[total_returned_units]]&gt;ReconciliationData[[#This Row],[ordered_units]],1,0)</f>
        <v>0</v>
      </c>
      <c r="W18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94">
        <f>ReconciliationData[[#This Row],[Billed_Units]]*ReconciliationData[[#This Row],[Billed_Price]]</f>
        <v>11911.32</v>
      </c>
      <c r="Y1894">
        <f>ReconciliationData[[#This Row],[ordered_units]]*ReconciliationData[[#This Row],[List_Price]]</f>
        <v>11911.32</v>
      </c>
      <c r="Z1894">
        <f>ReconciliationData[[#This Row],[billed_revenue]]-ReconciliationData[[#This Row],[expected_revenue]]</f>
        <v>0</v>
      </c>
      <c r="AA18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94" t="str">
        <f>IF(ReconciliationData[[#This Row],[severity_score]]=0,"LOW",
 IF(ReconciliationData[[#This Row],[severity_score]]&lt;=5,"MEDIUM","HIGH"))</f>
        <v>LOW</v>
      </c>
      <c r="AC1894" t="str">
        <f>TEXT(ReconciliationData[[#This Row],[Order_Date]],"YYYY-MM")</f>
        <v>2023-04</v>
      </c>
    </row>
    <row r="1895" spans="1:29">
      <c r="A1895" t="s">
        <v>4949</v>
      </c>
      <c r="B1895" s="1">
        <v>44956</v>
      </c>
      <c r="C1895" t="s">
        <v>185</v>
      </c>
      <c r="D1895" t="s">
        <v>3770</v>
      </c>
      <c r="E1895">
        <v>180</v>
      </c>
      <c r="F1895" t="s">
        <v>4950</v>
      </c>
      <c r="G1895">
        <v>180</v>
      </c>
      <c r="H1895">
        <v>798.05520000000013</v>
      </c>
      <c r="N1895">
        <v>798.05520000000013</v>
      </c>
      <c r="O1895" s="1">
        <v>44838</v>
      </c>
      <c r="P1895">
        <f>IF(ISBLANK(ReconciliationData[[#This Row],[Invoice_ID]]),1,0)</f>
        <v>0</v>
      </c>
      <c r="Q1895">
        <f>IF(AND(NOT(ISBLANK(ReconciliationData[[#This Row],[Billed_Units]])),ReconciliationData[[#This Row],[ordered_units]]&lt;&gt;ReconciliationData[[#This Row],[Billed_Units]]),1,0)</f>
        <v>0</v>
      </c>
      <c r="R18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5">
        <f>IF(AND(NOT(ISBLANK(ReconciliationData[[#This Row],[Contract_Price]])),ReconciliationData[[#This Row],[Billed_Price]]&lt;&gt;ReconciliationData[[#This Row],[Contract_Price]]),1,0)</f>
        <v>0</v>
      </c>
      <c r="T1895">
        <f>IF(AND(NOT(ISBLANK(ReconciliationData[[#This Row],[End_Date]])),ReconciliationData[[#This Row],[Order_Date]]&gt;ReconciliationData[[#This Row],[End_Date]]),1,0)</f>
        <v>0</v>
      </c>
      <c r="U1895">
        <f>IF(AND(NOT(ISBLANK(ReconciliationData[[#This Row],[last_return_date]])),ReconciliationData[[#This Row],[last_return_date]]&gt;ReconciliationData[[#This Row],[Order_Date]]+60),1,0)</f>
        <v>0</v>
      </c>
      <c r="V1895">
        <f>IF(ReconciliationData[[#This Row],[total_returned_units]]&gt;ReconciliationData[[#This Row],[ordered_units]],1,0)</f>
        <v>0</v>
      </c>
      <c r="W18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95">
        <f>ReconciliationData[[#This Row],[Billed_Units]]*ReconciliationData[[#This Row],[Billed_Price]]</f>
        <v>143649.93600000002</v>
      </c>
      <c r="Y1895">
        <f>ReconciliationData[[#This Row],[ordered_units]]*ReconciliationData[[#This Row],[List_Price]]</f>
        <v>143649.93600000002</v>
      </c>
      <c r="Z1895">
        <f>ReconciliationData[[#This Row],[billed_revenue]]-ReconciliationData[[#This Row],[expected_revenue]]</f>
        <v>0</v>
      </c>
      <c r="AA18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95" t="str">
        <f>IF(ReconciliationData[[#This Row],[severity_score]]=0,"LOW",
 IF(ReconciliationData[[#This Row],[severity_score]]&lt;=5,"MEDIUM","HIGH"))</f>
        <v>LOW</v>
      </c>
      <c r="AC1895" t="str">
        <f>TEXT(ReconciliationData[[#This Row],[Order_Date]],"YYYY-MM")</f>
        <v>2023-01</v>
      </c>
    </row>
    <row r="1896" spans="1:29">
      <c r="A1896" t="s">
        <v>4951</v>
      </c>
      <c r="B1896" s="1">
        <v>45385</v>
      </c>
      <c r="C1896" t="s">
        <v>2186</v>
      </c>
      <c r="D1896" t="s">
        <v>2331</v>
      </c>
      <c r="E1896">
        <v>133</v>
      </c>
      <c r="F1896" t="s">
        <v>4952</v>
      </c>
      <c r="G1896">
        <v>133</v>
      </c>
      <c r="H1896">
        <v>983.19460000000004</v>
      </c>
      <c r="N1896">
        <v>983.19460000000004</v>
      </c>
      <c r="O1896" s="1">
        <v>45142</v>
      </c>
      <c r="P1896">
        <f>IF(ISBLANK(ReconciliationData[[#This Row],[Invoice_ID]]),1,0)</f>
        <v>0</v>
      </c>
      <c r="Q1896">
        <f>IF(AND(NOT(ISBLANK(ReconciliationData[[#This Row],[Billed_Units]])),ReconciliationData[[#This Row],[ordered_units]]&lt;&gt;ReconciliationData[[#This Row],[Billed_Units]]),1,0)</f>
        <v>0</v>
      </c>
      <c r="R18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6">
        <f>IF(AND(NOT(ISBLANK(ReconciliationData[[#This Row],[Contract_Price]])),ReconciliationData[[#This Row],[Billed_Price]]&lt;&gt;ReconciliationData[[#This Row],[Contract_Price]]),1,0)</f>
        <v>0</v>
      </c>
      <c r="T1896">
        <f>IF(AND(NOT(ISBLANK(ReconciliationData[[#This Row],[End_Date]])),ReconciliationData[[#This Row],[Order_Date]]&gt;ReconciliationData[[#This Row],[End_Date]]),1,0)</f>
        <v>0</v>
      </c>
      <c r="U1896">
        <f>IF(AND(NOT(ISBLANK(ReconciliationData[[#This Row],[last_return_date]])),ReconciliationData[[#This Row],[last_return_date]]&gt;ReconciliationData[[#This Row],[Order_Date]]+60),1,0)</f>
        <v>0</v>
      </c>
      <c r="V1896">
        <f>IF(ReconciliationData[[#This Row],[total_returned_units]]&gt;ReconciliationData[[#This Row],[ordered_units]],1,0)</f>
        <v>0</v>
      </c>
      <c r="W18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96">
        <f>ReconciliationData[[#This Row],[Billed_Units]]*ReconciliationData[[#This Row],[Billed_Price]]</f>
        <v>130764.8818</v>
      </c>
      <c r="Y1896">
        <f>ReconciliationData[[#This Row],[ordered_units]]*ReconciliationData[[#This Row],[List_Price]]</f>
        <v>130764.8818</v>
      </c>
      <c r="Z1896">
        <f>ReconciliationData[[#This Row],[billed_revenue]]-ReconciliationData[[#This Row],[expected_revenue]]</f>
        <v>0</v>
      </c>
      <c r="AA18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96" t="str">
        <f>IF(ReconciliationData[[#This Row],[severity_score]]=0,"LOW",
 IF(ReconciliationData[[#This Row],[severity_score]]&lt;=5,"MEDIUM","HIGH"))</f>
        <v>LOW</v>
      </c>
      <c r="AC1896" t="str">
        <f>TEXT(ReconciliationData[[#This Row],[Order_Date]],"YYYY-MM")</f>
        <v>2024-04</v>
      </c>
    </row>
    <row r="1897" spans="1:29">
      <c r="A1897" t="s">
        <v>4953</v>
      </c>
      <c r="B1897" s="1">
        <v>45081</v>
      </c>
      <c r="C1897" t="s">
        <v>3516</v>
      </c>
      <c r="D1897" t="s">
        <v>1273</v>
      </c>
      <c r="E1897">
        <v>107</v>
      </c>
      <c r="F1897" t="s">
        <v>4954</v>
      </c>
      <c r="G1897">
        <v>107</v>
      </c>
      <c r="H1897">
        <v>1040.4287999999999</v>
      </c>
      <c r="N1897">
        <v>1040.4287999999999</v>
      </c>
      <c r="O1897" s="1">
        <v>45016</v>
      </c>
      <c r="P1897">
        <f>IF(ISBLANK(ReconciliationData[[#This Row],[Invoice_ID]]),1,0)</f>
        <v>0</v>
      </c>
      <c r="Q1897">
        <f>IF(AND(NOT(ISBLANK(ReconciliationData[[#This Row],[Billed_Units]])),ReconciliationData[[#This Row],[ordered_units]]&lt;&gt;ReconciliationData[[#This Row],[Billed_Units]]),1,0)</f>
        <v>0</v>
      </c>
      <c r="R18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7">
        <f>IF(AND(NOT(ISBLANK(ReconciliationData[[#This Row],[Contract_Price]])),ReconciliationData[[#This Row],[Billed_Price]]&lt;&gt;ReconciliationData[[#This Row],[Contract_Price]]),1,0)</f>
        <v>0</v>
      </c>
      <c r="T1897">
        <f>IF(AND(NOT(ISBLANK(ReconciliationData[[#This Row],[End_Date]])),ReconciliationData[[#This Row],[Order_Date]]&gt;ReconciliationData[[#This Row],[End_Date]]),1,0)</f>
        <v>0</v>
      </c>
      <c r="U1897">
        <f>IF(AND(NOT(ISBLANK(ReconciliationData[[#This Row],[last_return_date]])),ReconciliationData[[#This Row],[last_return_date]]&gt;ReconciliationData[[#This Row],[Order_Date]]+60),1,0)</f>
        <v>0</v>
      </c>
      <c r="V1897">
        <f>IF(ReconciliationData[[#This Row],[total_returned_units]]&gt;ReconciliationData[[#This Row],[ordered_units]],1,0)</f>
        <v>0</v>
      </c>
      <c r="W18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97">
        <f>ReconciliationData[[#This Row],[Billed_Units]]*ReconciliationData[[#This Row],[Billed_Price]]</f>
        <v>111325.88159999999</v>
      </c>
      <c r="Y1897">
        <f>ReconciliationData[[#This Row],[ordered_units]]*ReconciliationData[[#This Row],[List_Price]]</f>
        <v>111325.88159999999</v>
      </c>
      <c r="Z1897">
        <f>ReconciliationData[[#This Row],[billed_revenue]]-ReconciliationData[[#This Row],[expected_revenue]]</f>
        <v>0</v>
      </c>
      <c r="AA18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97" t="str">
        <f>IF(ReconciliationData[[#This Row],[severity_score]]=0,"LOW",
 IF(ReconciliationData[[#This Row],[severity_score]]&lt;=5,"MEDIUM","HIGH"))</f>
        <v>LOW</v>
      </c>
      <c r="AC1897" t="str">
        <f>TEXT(ReconciliationData[[#This Row],[Order_Date]],"YYYY-MM")</f>
        <v>2023-06</v>
      </c>
    </row>
    <row r="1898" spans="1:29">
      <c r="A1898" t="s">
        <v>4955</v>
      </c>
      <c r="B1898" s="1">
        <v>45586</v>
      </c>
      <c r="C1898" t="s">
        <v>1645</v>
      </c>
      <c r="D1898" t="s">
        <v>1245</v>
      </c>
      <c r="E1898">
        <v>198</v>
      </c>
      <c r="F1898" t="s">
        <v>4956</v>
      </c>
      <c r="G1898">
        <v>198</v>
      </c>
      <c r="H1898">
        <v>247.48920000000001</v>
      </c>
      <c r="N1898">
        <v>247.48920000000001</v>
      </c>
      <c r="O1898" s="1">
        <v>45088</v>
      </c>
      <c r="P1898">
        <f>IF(ISBLANK(ReconciliationData[[#This Row],[Invoice_ID]]),1,0)</f>
        <v>0</v>
      </c>
      <c r="Q1898">
        <f>IF(AND(NOT(ISBLANK(ReconciliationData[[#This Row],[Billed_Units]])),ReconciliationData[[#This Row],[ordered_units]]&lt;&gt;ReconciliationData[[#This Row],[Billed_Units]]),1,0)</f>
        <v>0</v>
      </c>
      <c r="R18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8">
        <f>IF(AND(NOT(ISBLANK(ReconciliationData[[#This Row],[Contract_Price]])),ReconciliationData[[#This Row],[Billed_Price]]&lt;&gt;ReconciliationData[[#This Row],[Contract_Price]]),1,0)</f>
        <v>0</v>
      </c>
      <c r="T1898">
        <f>IF(AND(NOT(ISBLANK(ReconciliationData[[#This Row],[End_Date]])),ReconciliationData[[#This Row],[Order_Date]]&gt;ReconciliationData[[#This Row],[End_Date]]),1,0)</f>
        <v>0</v>
      </c>
      <c r="U1898">
        <f>IF(AND(NOT(ISBLANK(ReconciliationData[[#This Row],[last_return_date]])),ReconciliationData[[#This Row],[last_return_date]]&gt;ReconciliationData[[#This Row],[Order_Date]]+60),1,0)</f>
        <v>0</v>
      </c>
      <c r="V1898">
        <f>IF(ReconciliationData[[#This Row],[total_returned_units]]&gt;ReconciliationData[[#This Row],[ordered_units]],1,0)</f>
        <v>0</v>
      </c>
      <c r="W18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898">
        <f>ReconciliationData[[#This Row],[Billed_Units]]*ReconciliationData[[#This Row],[Billed_Price]]</f>
        <v>49002.861600000004</v>
      </c>
      <c r="Y1898">
        <f>ReconciliationData[[#This Row],[ordered_units]]*ReconciliationData[[#This Row],[List_Price]]</f>
        <v>49002.861600000004</v>
      </c>
      <c r="Z1898">
        <f>ReconciliationData[[#This Row],[billed_revenue]]-ReconciliationData[[#This Row],[expected_revenue]]</f>
        <v>0</v>
      </c>
      <c r="AA18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898" t="str">
        <f>IF(ReconciliationData[[#This Row],[severity_score]]=0,"LOW",
 IF(ReconciliationData[[#This Row],[severity_score]]&lt;=5,"MEDIUM","HIGH"))</f>
        <v>LOW</v>
      </c>
      <c r="AC1898" t="str">
        <f>TEXT(ReconciliationData[[#This Row],[Order_Date]],"YYYY-MM")</f>
        <v>2024-10</v>
      </c>
    </row>
    <row r="1899" spans="1:29">
      <c r="A1899" t="s">
        <v>4957</v>
      </c>
      <c r="B1899" s="1">
        <v>45438</v>
      </c>
      <c r="C1899" t="s">
        <v>1889</v>
      </c>
      <c r="D1899" t="s">
        <v>3297</v>
      </c>
      <c r="E1899">
        <v>99</v>
      </c>
      <c r="F1899" t="s">
        <v>4958</v>
      </c>
      <c r="G1899">
        <v>95</v>
      </c>
      <c r="H1899">
        <v>933.43190000000004</v>
      </c>
      <c r="N1899">
        <v>933.43190000000004</v>
      </c>
      <c r="O1899" s="1">
        <v>45011</v>
      </c>
      <c r="P1899">
        <f>IF(ISBLANK(ReconciliationData[[#This Row],[Invoice_ID]]),1,0)</f>
        <v>0</v>
      </c>
      <c r="Q1899">
        <f>IF(AND(NOT(ISBLANK(ReconciliationData[[#This Row],[Billed_Units]])),ReconciliationData[[#This Row],[ordered_units]]&lt;&gt;ReconciliationData[[#This Row],[Billed_Units]]),1,0)</f>
        <v>1</v>
      </c>
      <c r="R18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899">
        <f>IF(AND(NOT(ISBLANK(ReconciliationData[[#This Row],[Contract_Price]])),ReconciliationData[[#This Row],[Billed_Price]]&lt;&gt;ReconciliationData[[#This Row],[Contract_Price]]),1,0)</f>
        <v>0</v>
      </c>
      <c r="T1899">
        <f>IF(AND(NOT(ISBLANK(ReconciliationData[[#This Row],[End_Date]])),ReconciliationData[[#This Row],[Order_Date]]&gt;ReconciliationData[[#This Row],[End_Date]]),1,0)</f>
        <v>0</v>
      </c>
      <c r="U1899">
        <f>IF(AND(NOT(ISBLANK(ReconciliationData[[#This Row],[last_return_date]])),ReconciliationData[[#This Row],[last_return_date]]&gt;ReconciliationData[[#This Row],[Order_Date]]+60),1,0)</f>
        <v>0</v>
      </c>
      <c r="V1899">
        <f>IF(ReconciliationData[[#This Row],[total_returned_units]]&gt;ReconciliationData[[#This Row],[ordered_units]],1,0)</f>
        <v>0</v>
      </c>
      <c r="W18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899">
        <f>ReconciliationData[[#This Row],[Billed_Units]]*ReconciliationData[[#This Row],[Billed_Price]]</f>
        <v>88676.030500000008</v>
      </c>
      <c r="Y1899">
        <f>ReconciliationData[[#This Row],[ordered_units]]*ReconciliationData[[#This Row],[List_Price]]</f>
        <v>92409.758100000006</v>
      </c>
      <c r="Z1899">
        <f>ReconciliationData[[#This Row],[billed_revenue]]-ReconciliationData[[#This Row],[expected_revenue]]</f>
        <v>-3733.7275999999983</v>
      </c>
      <c r="AA18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899" t="str">
        <f>IF(ReconciliationData[[#This Row],[severity_score]]=0,"LOW",
 IF(ReconciliationData[[#This Row],[severity_score]]&lt;=5,"MEDIUM","HIGH"))</f>
        <v>HIGH</v>
      </c>
      <c r="AC1899" t="str">
        <f>TEXT(ReconciliationData[[#This Row],[Order_Date]],"YYYY-MM")</f>
        <v>2024-05</v>
      </c>
    </row>
    <row r="1900" spans="1:29">
      <c r="A1900" t="s">
        <v>4959</v>
      </c>
      <c r="B1900" s="1">
        <v>45308</v>
      </c>
      <c r="C1900" t="s">
        <v>328</v>
      </c>
      <c r="D1900" t="s">
        <v>753</v>
      </c>
      <c r="E1900">
        <v>191</v>
      </c>
      <c r="F1900" t="s">
        <v>4960</v>
      </c>
      <c r="G1900">
        <v>191</v>
      </c>
      <c r="H1900">
        <v>741.88620000000003</v>
      </c>
      <c r="N1900">
        <v>741.88620000000003</v>
      </c>
      <c r="O1900" s="1">
        <v>44930</v>
      </c>
      <c r="P1900">
        <f>IF(ISBLANK(ReconciliationData[[#This Row],[Invoice_ID]]),1,0)</f>
        <v>0</v>
      </c>
      <c r="Q1900">
        <f>IF(AND(NOT(ISBLANK(ReconciliationData[[#This Row],[Billed_Units]])),ReconciliationData[[#This Row],[ordered_units]]&lt;&gt;ReconciliationData[[#This Row],[Billed_Units]]),1,0)</f>
        <v>0</v>
      </c>
      <c r="R19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0">
        <f>IF(AND(NOT(ISBLANK(ReconciliationData[[#This Row],[Contract_Price]])),ReconciliationData[[#This Row],[Billed_Price]]&lt;&gt;ReconciliationData[[#This Row],[Contract_Price]]),1,0)</f>
        <v>0</v>
      </c>
      <c r="T1900">
        <f>IF(AND(NOT(ISBLANK(ReconciliationData[[#This Row],[End_Date]])),ReconciliationData[[#This Row],[Order_Date]]&gt;ReconciliationData[[#This Row],[End_Date]]),1,0)</f>
        <v>0</v>
      </c>
      <c r="U1900">
        <f>IF(AND(NOT(ISBLANK(ReconciliationData[[#This Row],[last_return_date]])),ReconciliationData[[#This Row],[last_return_date]]&gt;ReconciliationData[[#This Row],[Order_Date]]+60),1,0)</f>
        <v>0</v>
      </c>
      <c r="V1900">
        <f>IF(ReconciliationData[[#This Row],[total_returned_units]]&gt;ReconciliationData[[#This Row],[ordered_units]],1,0)</f>
        <v>0</v>
      </c>
      <c r="W19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0">
        <f>ReconciliationData[[#This Row],[Billed_Units]]*ReconciliationData[[#This Row],[Billed_Price]]</f>
        <v>141700.26420000001</v>
      </c>
      <c r="Y1900">
        <f>ReconciliationData[[#This Row],[ordered_units]]*ReconciliationData[[#This Row],[List_Price]]</f>
        <v>141700.26420000001</v>
      </c>
      <c r="Z1900">
        <f>ReconciliationData[[#This Row],[billed_revenue]]-ReconciliationData[[#This Row],[expected_revenue]]</f>
        <v>0</v>
      </c>
      <c r="AA19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0" t="str">
        <f>IF(ReconciliationData[[#This Row],[severity_score]]=0,"LOW",
 IF(ReconciliationData[[#This Row],[severity_score]]&lt;=5,"MEDIUM","HIGH"))</f>
        <v>LOW</v>
      </c>
      <c r="AC1900" t="str">
        <f>TEXT(ReconciliationData[[#This Row],[Order_Date]],"YYYY-MM")</f>
        <v>2024-01</v>
      </c>
    </row>
    <row r="1901" spans="1:29">
      <c r="A1901" t="s">
        <v>4961</v>
      </c>
      <c r="B1901" s="1">
        <v>45440</v>
      </c>
      <c r="C1901" t="s">
        <v>1348</v>
      </c>
      <c r="D1901" t="s">
        <v>707</v>
      </c>
      <c r="E1901">
        <v>19</v>
      </c>
      <c r="F1901" t="s">
        <v>4962</v>
      </c>
      <c r="G1901">
        <v>19</v>
      </c>
      <c r="H1901">
        <v>381.97550000000001</v>
      </c>
      <c r="N1901">
        <v>381.97550000000001</v>
      </c>
      <c r="O1901" s="1">
        <v>45065</v>
      </c>
      <c r="P1901">
        <f>IF(ISBLANK(ReconciliationData[[#This Row],[Invoice_ID]]),1,0)</f>
        <v>0</v>
      </c>
      <c r="Q1901">
        <f>IF(AND(NOT(ISBLANK(ReconciliationData[[#This Row],[Billed_Units]])),ReconciliationData[[#This Row],[ordered_units]]&lt;&gt;ReconciliationData[[#This Row],[Billed_Units]]),1,0)</f>
        <v>0</v>
      </c>
      <c r="R19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1">
        <f>IF(AND(NOT(ISBLANK(ReconciliationData[[#This Row],[Contract_Price]])),ReconciliationData[[#This Row],[Billed_Price]]&lt;&gt;ReconciliationData[[#This Row],[Contract_Price]]),1,0)</f>
        <v>0</v>
      </c>
      <c r="T1901">
        <f>IF(AND(NOT(ISBLANK(ReconciliationData[[#This Row],[End_Date]])),ReconciliationData[[#This Row],[Order_Date]]&gt;ReconciliationData[[#This Row],[End_Date]]),1,0)</f>
        <v>0</v>
      </c>
      <c r="U1901">
        <f>IF(AND(NOT(ISBLANK(ReconciliationData[[#This Row],[last_return_date]])),ReconciliationData[[#This Row],[last_return_date]]&gt;ReconciliationData[[#This Row],[Order_Date]]+60),1,0)</f>
        <v>0</v>
      </c>
      <c r="V1901">
        <f>IF(ReconciliationData[[#This Row],[total_returned_units]]&gt;ReconciliationData[[#This Row],[ordered_units]],1,0)</f>
        <v>0</v>
      </c>
      <c r="W19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1">
        <f>ReconciliationData[[#This Row],[Billed_Units]]*ReconciliationData[[#This Row],[Billed_Price]]</f>
        <v>7257.5344999999998</v>
      </c>
      <c r="Y1901">
        <f>ReconciliationData[[#This Row],[ordered_units]]*ReconciliationData[[#This Row],[List_Price]]</f>
        <v>7257.5344999999998</v>
      </c>
      <c r="Z1901">
        <f>ReconciliationData[[#This Row],[billed_revenue]]-ReconciliationData[[#This Row],[expected_revenue]]</f>
        <v>0</v>
      </c>
      <c r="AA19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1" t="str">
        <f>IF(ReconciliationData[[#This Row],[severity_score]]=0,"LOW",
 IF(ReconciliationData[[#This Row],[severity_score]]&lt;=5,"MEDIUM","HIGH"))</f>
        <v>LOW</v>
      </c>
      <c r="AC1901" t="str">
        <f>TEXT(ReconciliationData[[#This Row],[Order_Date]],"YYYY-MM")</f>
        <v>2024-05</v>
      </c>
    </row>
    <row r="1902" spans="1:29">
      <c r="A1902" t="s">
        <v>4963</v>
      </c>
      <c r="B1902" s="1">
        <v>45299</v>
      </c>
      <c r="C1902" t="s">
        <v>2291</v>
      </c>
      <c r="D1902" t="s">
        <v>596</v>
      </c>
      <c r="E1902">
        <v>94</v>
      </c>
      <c r="F1902" t="s">
        <v>4964</v>
      </c>
      <c r="G1902">
        <v>94</v>
      </c>
      <c r="H1902">
        <v>652.1472</v>
      </c>
      <c r="N1902">
        <v>652.1472</v>
      </c>
      <c r="O1902" s="1">
        <v>44959</v>
      </c>
      <c r="P1902">
        <f>IF(ISBLANK(ReconciliationData[[#This Row],[Invoice_ID]]),1,0)</f>
        <v>0</v>
      </c>
      <c r="Q1902">
        <f>IF(AND(NOT(ISBLANK(ReconciliationData[[#This Row],[Billed_Units]])),ReconciliationData[[#This Row],[ordered_units]]&lt;&gt;ReconciliationData[[#This Row],[Billed_Units]]),1,0)</f>
        <v>0</v>
      </c>
      <c r="R19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2">
        <f>IF(AND(NOT(ISBLANK(ReconciliationData[[#This Row],[Contract_Price]])),ReconciliationData[[#This Row],[Billed_Price]]&lt;&gt;ReconciliationData[[#This Row],[Contract_Price]]),1,0)</f>
        <v>0</v>
      </c>
      <c r="T1902">
        <f>IF(AND(NOT(ISBLANK(ReconciliationData[[#This Row],[End_Date]])),ReconciliationData[[#This Row],[Order_Date]]&gt;ReconciliationData[[#This Row],[End_Date]]),1,0)</f>
        <v>0</v>
      </c>
      <c r="U1902">
        <f>IF(AND(NOT(ISBLANK(ReconciliationData[[#This Row],[last_return_date]])),ReconciliationData[[#This Row],[last_return_date]]&gt;ReconciliationData[[#This Row],[Order_Date]]+60),1,0)</f>
        <v>0</v>
      </c>
      <c r="V1902">
        <f>IF(ReconciliationData[[#This Row],[total_returned_units]]&gt;ReconciliationData[[#This Row],[ordered_units]],1,0)</f>
        <v>0</v>
      </c>
      <c r="W19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2">
        <f>ReconciliationData[[#This Row],[Billed_Units]]*ReconciliationData[[#This Row],[Billed_Price]]</f>
        <v>61301.836799999997</v>
      </c>
      <c r="Y1902">
        <f>ReconciliationData[[#This Row],[ordered_units]]*ReconciliationData[[#This Row],[List_Price]]</f>
        <v>61301.836799999997</v>
      </c>
      <c r="Z1902">
        <f>ReconciliationData[[#This Row],[billed_revenue]]-ReconciliationData[[#This Row],[expected_revenue]]</f>
        <v>0</v>
      </c>
      <c r="AA19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2" t="str">
        <f>IF(ReconciliationData[[#This Row],[severity_score]]=0,"LOW",
 IF(ReconciliationData[[#This Row],[severity_score]]&lt;=5,"MEDIUM","HIGH"))</f>
        <v>LOW</v>
      </c>
      <c r="AC1902" t="str">
        <f>TEXT(ReconciliationData[[#This Row],[Order_Date]],"YYYY-MM")</f>
        <v>2024-01</v>
      </c>
    </row>
    <row r="1903" spans="1:29">
      <c r="A1903" t="s">
        <v>4965</v>
      </c>
      <c r="B1903" s="1">
        <v>45052</v>
      </c>
      <c r="C1903" t="s">
        <v>4966</v>
      </c>
      <c r="D1903" t="s">
        <v>647</v>
      </c>
      <c r="E1903">
        <v>178</v>
      </c>
      <c r="F1903" t="s">
        <v>4967</v>
      </c>
      <c r="G1903">
        <v>178</v>
      </c>
      <c r="H1903">
        <v>288.07</v>
      </c>
      <c r="N1903">
        <v>288.07</v>
      </c>
      <c r="O1903" s="1">
        <v>44954</v>
      </c>
      <c r="P1903">
        <f>IF(ISBLANK(ReconciliationData[[#This Row],[Invoice_ID]]),1,0)</f>
        <v>0</v>
      </c>
      <c r="Q1903">
        <f>IF(AND(NOT(ISBLANK(ReconciliationData[[#This Row],[Billed_Units]])),ReconciliationData[[#This Row],[ordered_units]]&lt;&gt;ReconciliationData[[#This Row],[Billed_Units]]),1,0)</f>
        <v>0</v>
      </c>
      <c r="R19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3">
        <f>IF(AND(NOT(ISBLANK(ReconciliationData[[#This Row],[Contract_Price]])),ReconciliationData[[#This Row],[Billed_Price]]&lt;&gt;ReconciliationData[[#This Row],[Contract_Price]]),1,0)</f>
        <v>0</v>
      </c>
      <c r="T1903">
        <f>IF(AND(NOT(ISBLANK(ReconciliationData[[#This Row],[End_Date]])),ReconciliationData[[#This Row],[Order_Date]]&gt;ReconciliationData[[#This Row],[End_Date]]),1,0)</f>
        <v>0</v>
      </c>
      <c r="U1903">
        <f>IF(AND(NOT(ISBLANK(ReconciliationData[[#This Row],[last_return_date]])),ReconciliationData[[#This Row],[last_return_date]]&gt;ReconciliationData[[#This Row],[Order_Date]]+60),1,0)</f>
        <v>0</v>
      </c>
      <c r="V1903">
        <f>IF(ReconciliationData[[#This Row],[total_returned_units]]&gt;ReconciliationData[[#This Row],[ordered_units]],1,0)</f>
        <v>0</v>
      </c>
      <c r="W19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3">
        <f>ReconciliationData[[#This Row],[Billed_Units]]*ReconciliationData[[#This Row],[Billed_Price]]</f>
        <v>51276.46</v>
      </c>
      <c r="Y1903">
        <f>ReconciliationData[[#This Row],[ordered_units]]*ReconciliationData[[#This Row],[List_Price]]</f>
        <v>51276.46</v>
      </c>
      <c r="Z1903">
        <f>ReconciliationData[[#This Row],[billed_revenue]]-ReconciliationData[[#This Row],[expected_revenue]]</f>
        <v>0</v>
      </c>
      <c r="AA19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3" t="str">
        <f>IF(ReconciliationData[[#This Row],[severity_score]]=0,"LOW",
 IF(ReconciliationData[[#This Row],[severity_score]]&lt;=5,"MEDIUM","HIGH"))</f>
        <v>LOW</v>
      </c>
      <c r="AC1903" t="str">
        <f>TEXT(ReconciliationData[[#This Row],[Order_Date]],"YYYY-MM")</f>
        <v>2023-05</v>
      </c>
    </row>
    <row r="1904" spans="1:29">
      <c r="A1904" t="s">
        <v>4968</v>
      </c>
      <c r="B1904" s="1">
        <v>45632</v>
      </c>
      <c r="C1904" t="s">
        <v>1458</v>
      </c>
      <c r="D1904" t="s">
        <v>2645</v>
      </c>
      <c r="E1904">
        <v>192</v>
      </c>
      <c r="F1904" t="s">
        <v>4969</v>
      </c>
      <c r="G1904">
        <v>192</v>
      </c>
      <c r="H1904">
        <v>110.9413</v>
      </c>
      <c r="N1904">
        <v>110.9413</v>
      </c>
      <c r="O1904" s="1">
        <v>45153</v>
      </c>
      <c r="P1904">
        <f>IF(ISBLANK(ReconciliationData[[#This Row],[Invoice_ID]]),1,0)</f>
        <v>0</v>
      </c>
      <c r="Q1904">
        <f>IF(AND(NOT(ISBLANK(ReconciliationData[[#This Row],[Billed_Units]])),ReconciliationData[[#This Row],[ordered_units]]&lt;&gt;ReconciliationData[[#This Row],[Billed_Units]]),1,0)</f>
        <v>0</v>
      </c>
      <c r="R19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4">
        <f>IF(AND(NOT(ISBLANK(ReconciliationData[[#This Row],[Contract_Price]])),ReconciliationData[[#This Row],[Billed_Price]]&lt;&gt;ReconciliationData[[#This Row],[Contract_Price]]),1,0)</f>
        <v>0</v>
      </c>
      <c r="T1904">
        <f>IF(AND(NOT(ISBLANK(ReconciliationData[[#This Row],[End_Date]])),ReconciliationData[[#This Row],[Order_Date]]&gt;ReconciliationData[[#This Row],[End_Date]]),1,0)</f>
        <v>0</v>
      </c>
      <c r="U1904">
        <f>IF(AND(NOT(ISBLANK(ReconciliationData[[#This Row],[last_return_date]])),ReconciliationData[[#This Row],[last_return_date]]&gt;ReconciliationData[[#This Row],[Order_Date]]+60),1,0)</f>
        <v>0</v>
      </c>
      <c r="V1904">
        <f>IF(ReconciliationData[[#This Row],[total_returned_units]]&gt;ReconciliationData[[#This Row],[ordered_units]],1,0)</f>
        <v>0</v>
      </c>
      <c r="W19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4">
        <f>ReconciliationData[[#This Row],[Billed_Units]]*ReconciliationData[[#This Row],[Billed_Price]]</f>
        <v>21300.729599999999</v>
      </c>
      <c r="Y1904">
        <f>ReconciliationData[[#This Row],[ordered_units]]*ReconciliationData[[#This Row],[List_Price]]</f>
        <v>21300.729599999999</v>
      </c>
      <c r="Z1904">
        <f>ReconciliationData[[#This Row],[billed_revenue]]-ReconciliationData[[#This Row],[expected_revenue]]</f>
        <v>0</v>
      </c>
      <c r="AA19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4" t="str">
        <f>IF(ReconciliationData[[#This Row],[severity_score]]=0,"LOW",
 IF(ReconciliationData[[#This Row],[severity_score]]&lt;=5,"MEDIUM","HIGH"))</f>
        <v>LOW</v>
      </c>
      <c r="AC1904" t="str">
        <f>TEXT(ReconciliationData[[#This Row],[Order_Date]],"YYYY-MM")</f>
        <v>2024-12</v>
      </c>
    </row>
    <row r="1905" spans="1:29">
      <c r="A1905" t="s">
        <v>4970</v>
      </c>
      <c r="B1905" s="1">
        <v>45479</v>
      </c>
      <c r="C1905" t="s">
        <v>1688</v>
      </c>
      <c r="D1905" t="s">
        <v>610</v>
      </c>
      <c r="E1905">
        <v>186</v>
      </c>
      <c r="F1905" t="s">
        <v>4971</v>
      </c>
      <c r="G1905">
        <v>186</v>
      </c>
      <c r="H1905">
        <v>457.65019999999998</v>
      </c>
      <c r="N1905">
        <v>457.65019999999998</v>
      </c>
      <c r="O1905" s="1">
        <v>44950</v>
      </c>
      <c r="P1905">
        <f>IF(ISBLANK(ReconciliationData[[#This Row],[Invoice_ID]]),1,0)</f>
        <v>0</v>
      </c>
      <c r="Q1905">
        <f>IF(AND(NOT(ISBLANK(ReconciliationData[[#This Row],[Billed_Units]])),ReconciliationData[[#This Row],[ordered_units]]&lt;&gt;ReconciliationData[[#This Row],[Billed_Units]]),1,0)</f>
        <v>0</v>
      </c>
      <c r="R19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5">
        <f>IF(AND(NOT(ISBLANK(ReconciliationData[[#This Row],[Contract_Price]])),ReconciliationData[[#This Row],[Billed_Price]]&lt;&gt;ReconciliationData[[#This Row],[Contract_Price]]),1,0)</f>
        <v>0</v>
      </c>
      <c r="T1905">
        <f>IF(AND(NOT(ISBLANK(ReconciliationData[[#This Row],[End_Date]])),ReconciliationData[[#This Row],[Order_Date]]&gt;ReconciliationData[[#This Row],[End_Date]]),1,0)</f>
        <v>0</v>
      </c>
      <c r="U1905">
        <f>IF(AND(NOT(ISBLANK(ReconciliationData[[#This Row],[last_return_date]])),ReconciliationData[[#This Row],[last_return_date]]&gt;ReconciliationData[[#This Row],[Order_Date]]+60),1,0)</f>
        <v>0</v>
      </c>
      <c r="V1905">
        <f>IF(ReconciliationData[[#This Row],[total_returned_units]]&gt;ReconciliationData[[#This Row],[ordered_units]],1,0)</f>
        <v>0</v>
      </c>
      <c r="W19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5">
        <f>ReconciliationData[[#This Row],[Billed_Units]]*ReconciliationData[[#This Row],[Billed_Price]]</f>
        <v>85122.9372</v>
      </c>
      <c r="Y1905">
        <f>ReconciliationData[[#This Row],[ordered_units]]*ReconciliationData[[#This Row],[List_Price]]</f>
        <v>85122.9372</v>
      </c>
      <c r="Z1905">
        <f>ReconciliationData[[#This Row],[billed_revenue]]-ReconciliationData[[#This Row],[expected_revenue]]</f>
        <v>0</v>
      </c>
      <c r="AA19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5" t="str">
        <f>IF(ReconciliationData[[#This Row],[severity_score]]=0,"LOW",
 IF(ReconciliationData[[#This Row],[severity_score]]&lt;=5,"MEDIUM","HIGH"))</f>
        <v>LOW</v>
      </c>
      <c r="AC1905" t="str">
        <f>TEXT(ReconciliationData[[#This Row],[Order_Date]],"YYYY-MM")</f>
        <v>2024-07</v>
      </c>
    </row>
    <row r="1906" spans="1:29">
      <c r="A1906" t="s">
        <v>4972</v>
      </c>
      <c r="B1906" s="1">
        <v>45243</v>
      </c>
      <c r="C1906" t="s">
        <v>2917</v>
      </c>
      <c r="D1906" t="s">
        <v>1354</v>
      </c>
      <c r="E1906">
        <v>192</v>
      </c>
      <c r="F1906" t="s">
        <v>4973</v>
      </c>
      <c r="G1906">
        <v>192</v>
      </c>
      <c r="H1906">
        <v>60.239800000000002</v>
      </c>
      <c r="N1906">
        <v>60.239800000000002</v>
      </c>
      <c r="O1906" s="1">
        <v>45145</v>
      </c>
      <c r="P1906">
        <f>IF(ISBLANK(ReconciliationData[[#This Row],[Invoice_ID]]),1,0)</f>
        <v>0</v>
      </c>
      <c r="Q1906">
        <f>IF(AND(NOT(ISBLANK(ReconciliationData[[#This Row],[Billed_Units]])),ReconciliationData[[#This Row],[ordered_units]]&lt;&gt;ReconciliationData[[#This Row],[Billed_Units]]),1,0)</f>
        <v>0</v>
      </c>
      <c r="R19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6">
        <f>IF(AND(NOT(ISBLANK(ReconciliationData[[#This Row],[Contract_Price]])),ReconciliationData[[#This Row],[Billed_Price]]&lt;&gt;ReconciliationData[[#This Row],[Contract_Price]]),1,0)</f>
        <v>0</v>
      </c>
      <c r="T1906">
        <f>IF(AND(NOT(ISBLANK(ReconciliationData[[#This Row],[End_Date]])),ReconciliationData[[#This Row],[Order_Date]]&gt;ReconciliationData[[#This Row],[End_Date]]),1,0)</f>
        <v>0</v>
      </c>
      <c r="U1906">
        <f>IF(AND(NOT(ISBLANK(ReconciliationData[[#This Row],[last_return_date]])),ReconciliationData[[#This Row],[last_return_date]]&gt;ReconciliationData[[#This Row],[Order_Date]]+60),1,0)</f>
        <v>0</v>
      </c>
      <c r="V1906">
        <f>IF(ReconciliationData[[#This Row],[total_returned_units]]&gt;ReconciliationData[[#This Row],[ordered_units]],1,0)</f>
        <v>0</v>
      </c>
      <c r="W19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6">
        <f>ReconciliationData[[#This Row],[Billed_Units]]*ReconciliationData[[#This Row],[Billed_Price]]</f>
        <v>11566.0416</v>
      </c>
      <c r="Y1906">
        <f>ReconciliationData[[#This Row],[ordered_units]]*ReconciliationData[[#This Row],[List_Price]]</f>
        <v>11566.0416</v>
      </c>
      <c r="Z1906">
        <f>ReconciliationData[[#This Row],[billed_revenue]]-ReconciliationData[[#This Row],[expected_revenue]]</f>
        <v>0</v>
      </c>
      <c r="AA19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6" t="str">
        <f>IF(ReconciliationData[[#This Row],[severity_score]]=0,"LOW",
 IF(ReconciliationData[[#This Row],[severity_score]]&lt;=5,"MEDIUM","HIGH"))</f>
        <v>LOW</v>
      </c>
      <c r="AC1906" t="str">
        <f>TEXT(ReconciliationData[[#This Row],[Order_Date]],"YYYY-MM")</f>
        <v>2023-11</v>
      </c>
    </row>
    <row r="1907" spans="1:29">
      <c r="A1907" t="s">
        <v>4974</v>
      </c>
      <c r="B1907" s="1">
        <v>45392</v>
      </c>
      <c r="C1907" t="s">
        <v>2258</v>
      </c>
      <c r="D1907" t="s">
        <v>1933</v>
      </c>
      <c r="E1907">
        <v>106</v>
      </c>
      <c r="F1907" t="s">
        <v>4975</v>
      </c>
      <c r="G1907">
        <v>106</v>
      </c>
      <c r="H1907">
        <v>571.49840000000006</v>
      </c>
      <c r="N1907">
        <v>571.49840000000006</v>
      </c>
      <c r="O1907" s="1">
        <v>45071</v>
      </c>
      <c r="P1907">
        <f>IF(ISBLANK(ReconciliationData[[#This Row],[Invoice_ID]]),1,0)</f>
        <v>0</v>
      </c>
      <c r="Q1907">
        <f>IF(AND(NOT(ISBLANK(ReconciliationData[[#This Row],[Billed_Units]])),ReconciliationData[[#This Row],[ordered_units]]&lt;&gt;ReconciliationData[[#This Row],[Billed_Units]]),1,0)</f>
        <v>0</v>
      </c>
      <c r="R19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7">
        <f>IF(AND(NOT(ISBLANK(ReconciliationData[[#This Row],[Contract_Price]])),ReconciliationData[[#This Row],[Billed_Price]]&lt;&gt;ReconciliationData[[#This Row],[Contract_Price]]),1,0)</f>
        <v>0</v>
      </c>
      <c r="T1907">
        <f>IF(AND(NOT(ISBLANK(ReconciliationData[[#This Row],[End_Date]])),ReconciliationData[[#This Row],[Order_Date]]&gt;ReconciliationData[[#This Row],[End_Date]]),1,0)</f>
        <v>0</v>
      </c>
      <c r="U1907">
        <f>IF(AND(NOT(ISBLANK(ReconciliationData[[#This Row],[last_return_date]])),ReconciliationData[[#This Row],[last_return_date]]&gt;ReconciliationData[[#This Row],[Order_Date]]+60),1,0)</f>
        <v>0</v>
      </c>
      <c r="V1907">
        <f>IF(ReconciliationData[[#This Row],[total_returned_units]]&gt;ReconciliationData[[#This Row],[ordered_units]],1,0)</f>
        <v>0</v>
      </c>
      <c r="W19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7">
        <f>ReconciliationData[[#This Row],[Billed_Units]]*ReconciliationData[[#This Row],[Billed_Price]]</f>
        <v>60578.830400000006</v>
      </c>
      <c r="Y1907">
        <f>ReconciliationData[[#This Row],[ordered_units]]*ReconciliationData[[#This Row],[List_Price]]</f>
        <v>60578.830400000006</v>
      </c>
      <c r="Z1907">
        <f>ReconciliationData[[#This Row],[billed_revenue]]-ReconciliationData[[#This Row],[expected_revenue]]</f>
        <v>0</v>
      </c>
      <c r="AA19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7" t="str">
        <f>IF(ReconciliationData[[#This Row],[severity_score]]=0,"LOW",
 IF(ReconciliationData[[#This Row],[severity_score]]&lt;=5,"MEDIUM","HIGH"))</f>
        <v>LOW</v>
      </c>
      <c r="AC1907" t="str">
        <f>TEXT(ReconciliationData[[#This Row],[Order_Date]],"YYYY-MM")</f>
        <v>2024-04</v>
      </c>
    </row>
    <row r="1908" spans="1:29">
      <c r="A1908" t="s">
        <v>4976</v>
      </c>
      <c r="B1908" s="1">
        <v>45253</v>
      </c>
      <c r="C1908" t="s">
        <v>862</v>
      </c>
      <c r="D1908" t="s">
        <v>1436</v>
      </c>
      <c r="E1908">
        <v>172</v>
      </c>
      <c r="F1908" t="s">
        <v>4977</v>
      </c>
      <c r="G1908">
        <v>172</v>
      </c>
      <c r="H1908">
        <v>189.52920000000003</v>
      </c>
      <c r="N1908">
        <v>189.52920000000003</v>
      </c>
      <c r="O1908" s="1">
        <v>45070</v>
      </c>
      <c r="P1908">
        <f>IF(ISBLANK(ReconciliationData[[#This Row],[Invoice_ID]]),1,0)</f>
        <v>0</v>
      </c>
      <c r="Q1908">
        <f>IF(AND(NOT(ISBLANK(ReconciliationData[[#This Row],[Billed_Units]])),ReconciliationData[[#This Row],[ordered_units]]&lt;&gt;ReconciliationData[[#This Row],[Billed_Units]]),1,0)</f>
        <v>0</v>
      </c>
      <c r="R19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8">
        <f>IF(AND(NOT(ISBLANK(ReconciliationData[[#This Row],[Contract_Price]])),ReconciliationData[[#This Row],[Billed_Price]]&lt;&gt;ReconciliationData[[#This Row],[Contract_Price]]),1,0)</f>
        <v>0</v>
      </c>
      <c r="T1908">
        <f>IF(AND(NOT(ISBLANK(ReconciliationData[[#This Row],[End_Date]])),ReconciliationData[[#This Row],[Order_Date]]&gt;ReconciliationData[[#This Row],[End_Date]]),1,0)</f>
        <v>0</v>
      </c>
      <c r="U1908">
        <f>IF(AND(NOT(ISBLANK(ReconciliationData[[#This Row],[last_return_date]])),ReconciliationData[[#This Row],[last_return_date]]&gt;ReconciliationData[[#This Row],[Order_Date]]+60),1,0)</f>
        <v>0</v>
      </c>
      <c r="V1908">
        <f>IF(ReconciliationData[[#This Row],[total_returned_units]]&gt;ReconciliationData[[#This Row],[ordered_units]],1,0)</f>
        <v>0</v>
      </c>
      <c r="W19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8">
        <f>ReconciliationData[[#This Row],[Billed_Units]]*ReconciliationData[[#This Row],[Billed_Price]]</f>
        <v>32599.022400000005</v>
      </c>
      <c r="Y1908">
        <f>ReconciliationData[[#This Row],[ordered_units]]*ReconciliationData[[#This Row],[List_Price]]</f>
        <v>32599.022400000005</v>
      </c>
      <c r="Z1908">
        <f>ReconciliationData[[#This Row],[billed_revenue]]-ReconciliationData[[#This Row],[expected_revenue]]</f>
        <v>0</v>
      </c>
      <c r="AA19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8" t="str">
        <f>IF(ReconciliationData[[#This Row],[severity_score]]=0,"LOW",
 IF(ReconciliationData[[#This Row],[severity_score]]&lt;=5,"MEDIUM","HIGH"))</f>
        <v>LOW</v>
      </c>
      <c r="AC1908" t="str">
        <f>TEXT(ReconciliationData[[#This Row],[Order_Date]],"YYYY-MM")</f>
        <v>2023-11</v>
      </c>
    </row>
    <row r="1909" spans="1:29">
      <c r="A1909" t="s">
        <v>4978</v>
      </c>
      <c r="B1909" s="1">
        <v>45076</v>
      </c>
      <c r="C1909" t="s">
        <v>2758</v>
      </c>
      <c r="D1909" t="s">
        <v>408</v>
      </c>
      <c r="E1909">
        <v>38</v>
      </c>
      <c r="F1909" t="s">
        <v>4979</v>
      </c>
      <c r="G1909">
        <v>38</v>
      </c>
      <c r="H1909">
        <v>660.96040000000005</v>
      </c>
      <c r="N1909">
        <v>660.96040000000005</v>
      </c>
      <c r="O1909" s="1">
        <v>44947</v>
      </c>
      <c r="P1909">
        <f>IF(ISBLANK(ReconciliationData[[#This Row],[Invoice_ID]]),1,0)</f>
        <v>0</v>
      </c>
      <c r="Q1909">
        <f>IF(AND(NOT(ISBLANK(ReconciliationData[[#This Row],[Billed_Units]])),ReconciliationData[[#This Row],[ordered_units]]&lt;&gt;ReconciliationData[[#This Row],[Billed_Units]]),1,0)</f>
        <v>0</v>
      </c>
      <c r="R19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09">
        <f>IF(AND(NOT(ISBLANK(ReconciliationData[[#This Row],[Contract_Price]])),ReconciliationData[[#This Row],[Billed_Price]]&lt;&gt;ReconciliationData[[#This Row],[Contract_Price]]),1,0)</f>
        <v>0</v>
      </c>
      <c r="T1909">
        <f>IF(AND(NOT(ISBLANK(ReconciliationData[[#This Row],[End_Date]])),ReconciliationData[[#This Row],[Order_Date]]&gt;ReconciliationData[[#This Row],[End_Date]]),1,0)</f>
        <v>0</v>
      </c>
      <c r="U1909">
        <f>IF(AND(NOT(ISBLANK(ReconciliationData[[#This Row],[last_return_date]])),ReconciliationData[[#This Row],[last_return_date]]&gt;ReconciliationData[[#This Row],[Order_Date]]+60),1,0)</f>
        <v>0</v>
      </c>
      <c r="V1909">
        <f>IF(ReconciliationData[[#This Row],[total_returned_units]]&gt;ReconciliationData[[#This Row],[ordered_units]],1,0)</f>
        <v>0</v>
      </c>
      <c r="W19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09">
        <f>ReconciliationData[[#This Row],[Billed_Units]]*ReconciliationData[[#This Row],[Billed_Price]]</f>
        <v>25116.495200000001</v>
      </c>
      <c r="Y1909">
        <f>ReconciliationData[[#This Row],[ordered_units]]*ReconciliationData[[#This Row],[List_Price]]</f>
        <v>25116.495200000001</v>
      </c>
      <c r="Z1909">
        <f>ReconciliationData[[#This Row],[billed_revenue]]-ReconciliationData[[#This Row],[expected_revenue]]</f>
        <v>0</v>
      </c>
      <c r="AA19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09" t="str">
        <f>IF(ReconciliationData[[#This Row],[severity_score]]=0,"LOW",
 IF(ReconciliationData[[#This Row],[severity_score]]&lt;=5,"MEDIUM","HIGH"))</f>
        <v>LOW</v>
      </c>
      <c r="AC1909" t="str">
        <f>TEXT(ReconciliationData[[#This Row],[Order_Date]],"YYYY-MM")</f>
        <v>2023-05</v>
      </c>
    </row>
    <row r="1910" spans="1:29">
      <c r="A1910" t="s">
        <v>4980</v>
      </c>
      <c r="B1910" s="1">
        <v>45633</v>
      </c>
      <c r="C1910" t="s">
        <v>165</v>
      </c>
      <c r="D1910" t="s">
        <v>487</v>
      </c>
      <c r="E1910">
        <v>143</v>
      </c>
      <c r="F1910" t="s">
        <v>4981</v>
      </c>
      <c r="G1910">
        <v>143</v>
      </c>
      <c r="H1910">
        <v>280.03500000000003</v>
      </c>
      <c r="N1910">
        <v>280.03500000000003</v>
      </c>
      <c r="O1910" s="1">
        <v>45146</v>
      </c>
      <c r="P1910">
        <f>IF(ISBLANK(ReconciliationData[[#This Row],[Invoice_ID]]),1,0)</f>
        <v>0</v>
      </c>
      <c r="Q1910">
        <f>IF(AND(NOT(ISBLANK(ReconciliationData[[#This Row],[Billed_Units]])),ReconciliationData[[#This Row],[ordered_units]]&lt;&gt;ReconciliationData[[#This Row],[Billed_Units]]),1,0)</f>
        <v>0</v>
      </c>
      <c r="R19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0">
        <f>IF(AND(NOT(ISBLANK(ReconciliationData[[#This Row],[Contract_Price]])),ReconciliationData[[#This Row],[Billed_Price]]&lt;&gt;ReconciliationData[[#This Row],[Contract_Price]]),1,0)</f>
        <v>0</v>
      </c>
      <c r="T1910">
        <f>IF(AND(NOT(ISBLANK(ReconciliationData[[#This Row],[End_Date]])),ReconciliationData[[#This Row],[Order_Date]]&gt;ReconciliationData[[#This Row],[End_Date]]),1,0)</f>
        <v>0</v>
      </c>
      <c r="U1910">
        <f>IF(AND(NOT(ISBLANK(ReconciliationData[[#This Row],[last_return_date]])),ReconciliationData[[#This Row],[last_return_date]]&gt;ReconciliationData[[#This Row],[Order_Date]]+60),1,0)</f>
        <v>0</v>
      </c>
      <c r="V1910">
        <f>IF(ReconciliationData[[#This Row],[total_returned_units]]&gt;ReconciliationData[[#This Row],[ordered_units]],1,0)</f>
        <v>0</v>
      </c>
      <c r="W19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10">
        <f>ReconciliationData[[#This Row],[Billed_Units]]*ReconciliationData[[#This Row],[Billed_Price]]</f>
        <v>40045.005000000005</v>
      </c>
      <c r="Y1910">
        <f>ReconciliationData[[#This Row],[ordered_units]]*ReconciliationData[[#This Row],[List_Price]]</f>
        <v>40045.005000000005</v>
      </c>
      <c r="Z1910">
        <f>ReconciliationData[[#This Row],[billed_revenue]]-ReconciliationData[[#This Row],[expected_revenue]]</f>
        <v>0</v>
      </c>
      <c r="AA19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10" t="str">
        <f>IF(ReconciliationData[[#This Row],[severity_score]]=0,"LOW",
 IF(ReconciliationData[[#This Row],[severity_score]]&lt;=5,"MEDIUM","HIGH"))</f>
        <v>LOW</v>
      </c>
      <c r="AC1910" t="str">
        <f>TEXT(ReconciliationData[[#This Row],[Order_Date]],"YYYY-MM")</f>
        <v>2024-12</v>
      </c>
    </row>
    <row r="1911" spans="1:29">
      <c r="A1911" t="s">
        <v>4982</v>
      </c>
      <c r="B1911" s="1">
        <v>45544</v>
      </c>
      <c r="C1911" t="s">
        <v>2018</v>
      </c>
      <c r="D1911" t="s">
        <v>430</v>
      </c>
      <c r="E1911">
        <v>32</v>
      </c>
      <c r="F1911" t="s">
        <v>4983</v>
      </c>
      <c r="G1911">
        <v>32</v>
      </c>
      <c r="H1911">
        <v>876.32749999999999</v>
      </c>
      <c r="N1911">
        <v>876.32749999999999</v>
      </c>
      <c r="O1911" s="1">
        <v>45106</v>
      </c>
      <c r="P1911">
        <f>IF(ISBLANK(ReconciliationData[[#This Row],[Invoice_ID]]),1,0)</f>
        <v>0</v>
      </c>
      <c r="Q1911">
        <f>IF(AND(NOT(ISBLANK(ReconciliationData[[#This Row],[Billed_Units]])),ReconciliationData[[#This Row],[ordered_units]]&lt;&gt;ReconciliationData[[#This Row],[Billed_Units]]),1,0)</f>
        <v>0</v>
      </c>
      <c r="R19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1">
        <f>IF(AND(NOT(ISBLANK(ReconciliationData[[#This Row],[Contract_Price]])),ReconciliationData[[#This Row],[Billed_Price]]&lt;&gt;ReconciliationData[[#This Row],[Contract_Price]]),1,0)</f>
        <v>0</v>
      </c>
      <c r="T1911">
        <f>IF(AND(NOT(ISBLANK(ReconciliationData[[#This Row],[End_Date]])),ReconciliationData[[#This Row],[Order_Date]]&gt;ReconciliationData[[#This Row],[End_Date]]),1,0)</f>
        <v>0</v>
      </c>
      <c r="U1911">
        <f>IF(AND(NOT(ISBLANK(ReconciliationData[[#This Row],[last_return_date]])),ReconciliationData[[#This Row],[last_return_date]]&gt;ReconciliationData[[#This Row],[Order_Date]]+60),1,0)</f>
        <v>0</v>
      </c>
      <c r="V1911">
        <f>IF(ReconciliationData[[#This Row],[total_returned_units]]&gt;ReconciliationData[[#This Row],[ordered_units]],1,0)</f>
        <v>0</v>
      </c>
      <c r="W19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11">
        <f>ReconciliationData[[#This Row],[Billed_Units]]*ReconciliationData[[#This Row],[Billed_Price]]</f>
        <v>28042.48</v>
      </c>
      <c r="Y1911">
        <f>ReconciliationData[[#This Row],[ordered_units]]*ReconciliationData[[#This Row],[List_Price]]</f>
        <v>28042.48</v>
      </c>
      <c r="Z1911">
        <f>ReconciliationData[[#This Row],[billed_revenue]]-ReconciliationData[[#This Row],[expected_revenue]]</f>
        <v>0</v>
      </c>
      <c r="AA19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11" t="str">
        <f>IF(ReconciliationData[[#This Row],[severity_score]]=0,"LOW",
 IF(ReconciliationData[[#This Row],[severity_score]]&lt;=5,"MEDIUM","HIGH"))</f>
        <v>LOW</v>
      </c>
      <c r="AC1911" t="str">
        <f>TEXT(ReconciliationData[[#This Row],[Order_Date]],"YYYY-MM")</f>
        <v>2024-09</v>
      </c>
    </row>
    <row r="1912" spans="1:29">
      <c r="A1912" t="s">
        <v>4984</v>
      </c>
      <c r="B1912" s="1">
        <v>45063</v>
      </c>
      <c r="C1912" t="s">
        <v>3462</v>
      </c>
      <c r="D1912" t="s">
        <v>1382</v>
      </c>
      <c r="E1912">
        <v>103</v>
      </c>
      <c r="F1912" t="s">
        <v>4985</v>
      </c>
      <c r="G1912">
        <v>103</v>
      </c>
      <c r="H1912">
        <v>82.026000000000025</v>
      </c>
      <c r="N1912">
        <v>82.026000000000025</v>
      </c>
      <c r="O1912" s="1">
        <v>45061</v>
      </c>
      <c r="P1912">
        <f>IF(ISBLANK(ReconciliationData[[#This Row],[Invoice_ID]]),1,0)</f>
        <v>0</v>
      </c>
      <c r="Q1912">
        <f>IF(AND(NOT(ISBLANK(ReconciliationData[[#This Row],[Billed_Units]])),ReconciliationData[[#This Row],[ordered_units]]&lt;&gt;ReconciliationData[[#This Row],[Billed_Units]]),1,0)</f>
        <v>0</v>
      </c>
      <c r="R19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2">
        <f>IF(AND(NOT(ISBLANK(ReconciliationData[[#This Row],[Contract_Price]])),ReconciliationData[[#This Row],[Billed_Price]]&lt;&gt;ReconciliationData[[#This Row],[Contract_Price]]),1,0)</f>
        <v>0</v>
      </c>
      <c r="T1912">
        <f>IF(AND(NOT(ISBLANK(ReconciliationData[[#This Row],[End_Date]])),ReconciliationData[[#This Row],[Order_Date]]&gt;ReconciliationData[[#This Row],[End_Date]]),1,0)</f>
        <v>0</v>
      </c>
      <c r="U1912">
        <f>IF(AND(NOT(ISBLANK(ReconciliationData[[#This Row],[last_return_date]])),ReconciliationData[[#This Row],[last_return_date]]&gt;ReconciliationData[[#This Row],[Order_Date]]+60),1,0)</f>
        <v>0</v>
      </c>
      <c r="V1912">
        <f>IF(ReconciliationData[[#This Row],[total_returned_units]]&gt;ReconciliationData[[#This Row],[ordered_units]],1,0)</f>
        <v>0</v>
      </c>
      <c r="W19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12">
        <f>ReconciliationData[[#This Row],[Billed_Units]]*ReconciliationData[[#This Row],[Billed_Price]]</f>
        <v>8448.6780000000017</v>
      </c>
      <c r="Y1912">
        <f>ReconciliationData[[#This Row],[ordered_units]]*ReconciliationData[[#This Row],[List_Price]]</f>
        <v>8448.6780000000017</v>
      </c>
      <c r="Z1912">
        <f>ReconciliationData[[#This Row],[billed_revenue]]-ReconciliationData[[#This Row],[expected_revenue]]</f>
        <v>0</v>
      </c>
      <c r="AA19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12" t="str">
        <f>IF(ReconciliationData[[#This Row],[severity_score]]=0,"LOW",
 IF(ReconciliationData[[#This Row],[severity_score]]&lt;=5,"MEDIUM","HIGH"))</f>
        <v>LOW</v>
      </c>
      <c r="AC1912" t="str">
        <f>TEXT(ReconciliationData[[#This Row],[Order_Date]],"YYYY-MM")</f>
        <v>2023-05</v>
      </c>
    </row>
    <row r="1913" spans="1:29">
      <c r="A1913" t="s">
        <v>4986</v>
      </c>
      <c r="B1913" s="1">
        <v>45262</v>
      </c>
      <c r="C1913" t="s">
        <v>3838</v>
      </c>
      <c r="D1913" t="s">
        <v>951</v>
      </c>
      <c r="E1913">
        <v>46</v>
      </c>
      <c r="F1913" t="s">
        <v>4987</v>
      </c>
      <c r="G1913">
        <v>46</v>
      </c>
      <c r="H1913">
        <v>571.32999999999993</v>
      </c>
      <c r="N1913">
        <v>571.32999999999993</v>
      </c>
      <c r="O1913" s="1">
        <v>45206</v>
      </c>
      <c r="P1913">
        <f>IF(ISBLANK(ReconciliationData[[#This Row],[Invoice_ID]]),1,0)</f>
        <v>0</v>
      </c>
      <c r="Q1913">
        <f>IF(AND(NOT(ISBLANK(ReconciliationData[[#This Row],[Billed_Units]])),ReconciliationData[[#This Row],[ordered_units]]&lt;&gt;ReconciliationData[[#This Row],[Billed_Units]]),1,0)</f>
        <v>0</v>
      </c>
      <c r="R19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3">
        <f>IF(AND(NOT(ISBLANK(ReconciliationData[[#This Row],[Contract_Price]])),ReconciliationData[[#This Row],[Billed_Price]]&lt;&gt;ReconciliationData[[#This Row],[Contract_Price]]),1,0)</f>
        <v>0</v>
      </c>
      <c r="T1913">
        <f>IF(AND(NOT(ISBLANK(ReconciliationData[[#This Row],[End_Date]])),ReconciliationData[[#This Row],[Order_Date]]&gt;ReconciliationData[[#This Row],[End_Date]]),1,0)</f>
        <v>0</v>
      </c>
      <c r="U1913">
        <f>IF(AND(NOT(ISBLANK(ReconciliationData[[#This Row],[last_return_date]])),ReconciliationData[[#This Row],[last_return_date]]&gt;ReconciliationData[[#This Row],[Order_Date]]+60),1,0)</f>
        <v>0</v>
      </c>
      <c r="V1913">
        <f>IF(ReconciliationData[[#This Row],[total_returned_units]]&gt;ReconciliationData[[#This Row],[ordered_units]],1,0)</f>
        <v>0</v>
      </c>
      <c r="W19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13">
        <f>ReconciliationData[[#This Row],[Billed_Units]]*ReconciliationData[[#This Row],[Billed_Price]]</f>
        <v>26281.179999999997</v>
      </c>
      <c r="Y1913">
        <f>ReconciliationData[[#This Row],[ordered_units]]*ReconciliationData[[#This Row],[List_Price]]</f>
        <v>26281.179999999997</v>
      </c>
      <c r="Z1913">
        <f>ReconciliationData[[#This Row],[billed_revenue]]-ReconciliationData[[#This Row],[expected_revenue]]</f>
        <v>0</v>
      </c>
      <c r="AA19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13" t="str">
        <f>IF(ReconciliationData[[#This Row],[severity_score]]=0,"LOW",
 IF(ReconciliationData[[#This Row],[severity_score]]&lt;=5,"MEDIUM","HIGH"))</f>
        <v>LOW</v>
      </c>
      <c r="AC1913" t="str">
        <f>TEXT(ReconciliationData[[#This Row],[Order_Date]],"YYYY-MM")</f>
        <v>2023-12</v>
      </c>
    </row>
    <row r="1914" spans="1:29">
      <c r="A1914" t="s">
        <v>4988</v>
      </c>
      <c r="B1914" s="1">
        <v>45469</v>
      </c>
      <c r="C1914" t="s">
        <v>2979</v>
      </c>
      <c r="D1914" t="s">
        <v>1171</v>
      </c>
      <c r="E1914">
        <v>120</v>
      </c>
      <c r="F1914" t="s">
        <v>4989</v>
      </c>
      <c r="G1914">
        <v>120</v>
      </c>
      <c r="H1914">
        <v>435.57279999999997</v>
      </c>
      <c r="N1914">
        <v>435.57279999999997</v>
      </c>
      <c r="O1914" s="1">
        <v>45159</v>
      </c>
      <c r="P1914">
        <f>IF(ISBLANK(ReconciliationData[[#This Row],[Invoice_ID]]),1,0)</f>
        <v>0</v>
      </c>
      <c r="Q1914">
        <f>IF(AND(NOT(ISBLANK(ReconciliationData[[#This Row],[Billed_Units]])),ReconciliationData[[#This Row],[ordered_units]]&lt;&gt;ReconciliationData[[#This Row],[Billed_Units]]),1,0)</f>
        <v>0</v>
      </c>
      <c r="R19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4">
        <f>IF(AND(NOT(ISBLANK(ReconciliationData[[#This Row],[Contract_Price]])),ReconciliationData[[#This Row],[Billed_Price]]&lt;&gt;ReconciliationData[[#This Row],[Contract_Price]]),1,0)</f>
        <v>0</v>
      </c>
      <c r="T1914">
        <f>IF(AND(NOT(ISBLANK(ReconciliationData[[#This Row],[End_Date]])),ReconciliationData[[#This Row],[Order_Date]]&gt;ReconciliationData[[#This Row],[End_Date]]),1,0)</f>
        <v>0</v>
      </c>
      <c r="U1914">
        <f>IF(AND(NOT(ISBLANK(ReconciliationData[[#This Row],[last_return_date]])),ReconciliationData[[#This Row],[last_return_date]]&gt;ReconciliationData[[#This Row],[Order_Date]]+60),1,0)</f>
        <v>0</v>
      </c>
      <c r="V1914">
        <f>IF(ReconciliationData[[#This Row],[total_returned_units]]&gt;ReconciliationData[[#This Row],[ordered_units]],1,0)</f>
        <v>0</v>
      </c>
      <c r="W19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14">
        <f>ReconciliationData[[#This Row],[Billed_Units]]*ReconciliationData[[#This Row],[Billed_Price]]</f>
        <v>52268.735999999997</v>
      </c>
      <c r="Y1914">
        <f>ReconciliationData[[#This Row],[ordered_units]]*ReconciliationData[[#This Row],[List_Price]]</f>
        <v>52268.735999999997</v>
      </c>
      <c r="Z1914">
        <f>ReconciliationData[[#This Row],[billed_revenue]]-ReconciliationData[[#This Row],[expected_revenue]]</f>
        <v>0</v>
      </c>
      <c r="AA19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14" t="str">
        <f>IF(ReconciliationData[[#This Row],[severity_score]]=0,"LOW",
 IF(ReconciliationData[[#This Row],[severity_score]]&lt;=5,"MEDIUM","HIGH"))</f>
        <v>LOW</v>
      </c>
      <c r="AC1914" t="str">
        <f>TEXT(ReconciliationData[[#This Row],[Order_Date]],"YYYY-MM")</f>
        <v>2024-06</v>
      </c>
    </row>
    <row r="1915" spans="1:29">
      <c r="A1915" t="s">
        <v>4990</v>
      </c>
      <c r="B1915" s="1">
        <v>45275</v>
      </c>
      <c r="C1915" t="s">
        <v>4991</v>
      </c>
      <c r="D1915" t="s">
        <v>1420</v>
      </c>
      <c r="E1915">
        <v>28</v>
      </c>
      <c r="F1915" t="s">
        <v>4992</v>
      </c>
      <c r="G1915">
        <v>28</v>
      </c>
      <c r="H1915">
        <v>77.178600000000003</v>
      </c>
      <c r="N1915">
        <v>77.178600000000003</v>
      </c>
      <c r="O1915" s="1">
        <v>44975</v>
      </c>
      <c r="P1915">
        <f>IF(ISBLANK(ReconciliationData[[#This Row],[Invoice_ID]]),1,0)</f>
        <v>0</v>
      </c>
      <c r="Q1915">
        <f>IF(AND(NOT(ISBLANK(ReconciliationData[[#This Row],[Billed_Units]])),ReconciliationData[[#This Row],[ordered_units]]&lt;&gt;ReconciliationData[[#This Row],[Billed_Units]]),1,0)</f>
        <v>0</v>
      </c>
      <c r="R19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5">
        <f>IF(AND(NOT(ISBLANK(ReconciliationData[[#This Row],[Contract_Price]])),ReconciliationData[[#This Row],[Billed_Price]]&lt;&gt;ReconciliationData[[#This Row],[Contract_Price]]),1,0)</f>
        <v>0</v>
      </c>
      <c r="T1915">
        <f>IF(AND(NOT(ISBLANK(ReconciliationData[[#This Row],[End_Date]])),ReconciliationData[[#This Row],[Order_Date]]&gt;ReconciliationData[[#This Row],[End_Date]]),1,0)</f>
        <v>0</v>
      </c>
      <c r="U1915">
        <f>IF(AND(NOT(ISBLANK(ReconciliationData[[#This Row],[last_return_date]])),ReconciliationData[[#This Row],[last_return_date]]&gt;ReconciliationData[[#This Row],[Order_Date]]+60),1,0)</f>
        <v>0</v>
      </c>
      <c r="V1915">
        <f>IF(ReconciliationData[[#This Row],[total_returned_units]]&gt;ReconciliationData[[#This Row],[ordered_units]],1,0)</f>
        <v>0</v>
      </c>
      <c r="W19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15">
        <f>ReconciliationData[[#This Row],[Billed_Units]]*ReconciliationData[[#This Row],[Billed_Price]]</f>
        <v>2161.0008000000003</v>
      </c>
      <c r="Y1915">
        <f>ReconciliationData[[#This Row],[ordered_units]]*ReconciliationData[[#This Row],[List_Price]]</f>
        <v>2161.0008000000003</v>
      </c>
      <c r="Z1915">
        <f>ReconciliationData[[#This Row],[billed_revenue]]-ReconciliationData[[#This Row],[expected_revenue]]</f>
        <v>0</v>
      </c>
      <c r="AA19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15" t="str">
        <f>IF(ReconciliationData[[#This Row],[severity_score]]=0,"LOW",
 IF(ReconciliationData[[#This Row],[severity_score]]&lt;=5,"MEDIUM","HIGH"))</f>
        <v>LOW</v>
      </c>
      <c r="AC1915" t="str">
        <f>TEXT(ReconciliationData[[#This Row],[Order_Date]],"YYYY-MM")</f>
        <v>2023-12</v>
      </c>
    </row>
    <row r="1916" spans="1:29">
      <c r="A1916" t="s">
        <v>4993</v>
      </c>
      <c r="B1916" s="1">
        <v>45375</v>
      </c>
      <c r="C1916" t="s">
        <v>258</v>
      </c>
      <c r="D1916" t="s">
        <v>3006</v>
      </c>
      <c r="E1916">
        <v>47</v>
      </c>
      <c r="F1916" t="s">
        <v>4994</v>
      </c>
      <c r="G1916">
        <v>47</v>
      </c>
      <c r="H1916">
        <v>720.47380000000021</v>
      </c>
      <c r="N1916">
        <v>720.47380000000021</v>
      </c>
      <c r="O1916" s="1">
        <v>45026</v>
      </c>
      <c r="P1916">
        <f>IF(ISBLANK(ReconciliationData[[#This Row],[Invoice_ID]]),1,0)</f>
        <v>0</v>
      </c>
      <c r="Q1916">
        <f>IF(AND(NOT(ISBLANK(ReconciliationData[[#This Row],[Billed_Units]])),ReconciliationData[[#This Row],[ordered_units]]&lt;&gt;ReconciliationData[[#This Row],[Billed_Units]]),1,0)</f>
        <v>0</v>
      </c>
      <c r="R19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6">
        <f>IF(AND(NOT(ISBLANK(ReconciliationData[[#This Row],[Contract_Price]])),ReconciliationData[[#This Row],[Billed_Price]]&lt;&gt;ReconciliationData[[#This Row],[Contract_Price]]),1,0)</f>
        <v>0</v>
      </c>
      <c r="T1916">
        <f>IF(AND(NOT(ISBLANK(ReconciliationData[[#This Row],[End_Date]])),ReconciliationData[[#This Row],[Order_Date]]&gt;ReconciliationData[[#This Row],[End_Date]]),1,0)</f>
        <v>0</v>
      </c>
      <c r="U1916">
        <f>IF(AND(NOT(ISBLANK(ReconciliationData[[#This Row],[last_return_date]])),ReconciliationData[[#This Row],[last_return_date]]&gt;ReconciliationData[[#This Row],[Order_Date]]+60),1,0)</f>
        <v>0</v>
      </c>
      <c r="V1916">
        <f>IF(ReconciliationData[[#This Row],[total_returned_units]]&gt;ReconciliationData[[#This Row],[ordered_units]],1,0)</f>
        <v>0</v>
      </c>
      <c r="W19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16">
        <f>ReconciliationData[[#This Row],[Billed_Units]]*ReconciliationData[[#This Row],[Billed_Price]]</f>
        <v>33862.26860000001</v>
      </c>
      <c r="Y1916">
        <f>ReconciliationData[[#This Row],[ordered_units]]*ReconciliationData[[#This Row],[List_Price]]</f>
        <v>33862.26860000001</v>
      </c>
      <c r="Z1916">
        <f>ReconciliationData[[#This Row],[billed_revenue]]-ReconciliationData[[#This Row],[expected_revenue]]</f>
        <v>0</v>
      </c>
      <c r="AA19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16" t="str">
        <f>IF(ReconciliationData[[#This Row],[severity_score]]=0,"LOW",
 IF(ReconciliationData[[#This Row],[severity_score]]&lt;=5,"MEDIUM","HIGH"))</f>
        <v>LOW</v>
      </c>
      <c r="AC1916" t="str">
        <f>TEXT(ReconciliationData[[#This Row],[Order_Date]],"YYYY-MM")</f>
        <v>2024-03</v>
      </c>
    </row>
    <row r="1917" spans="1:29">
      <c r="A1917" t="s">
        <v>4995</v>
      </c>
      <c r="B1917" s="1">
        <v>45293</v>
      </c>
      <c r="C1917" t="s">
        <v>3060</v>
      </c>
      <c r="D1917" t="s">
        <v>722</v>
      </c>
      <c r="E1917">
        <v>171</v>
      </c>
      <c r="F1917" t="s">
        <v>4996</v>
      </c>
      <c r="G1917">
        <v>171</v>
      </c>
      <c r="H1917">
        <v>343.34190000000001</v>
      </c>
      <c r="N1917">
        <v>343.34190000000001</v>
      </c>
      <c r="O1917" s="1">
        <v>45126</v>
      </c>
      <c r="P1917">
        <f>IF(ISBLANK(ReconciliationData[[#This Row],[Invoice_ID]]),1,0)</f>
        <v>0</v>
      </c>
      <c r="Q1917">
        <f>IF(AND(NOT(ISBLANK(ReconciliationData[[#This Row],[Billed_Units]])),ReconciliationData[[#This Row],[ordered_units]]&lt;&gt;ReconciliationData[[#This Row],[Billed_Units]]),1,0)</f>
        <v>0</v>
      </c>
      <c r="R19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7">
        <f>IF(AND(NOT(ISBLANK(ReconciliationData[[#This Row],[Contract_Price]])),ReconciliationData[[#This Row],[Billed_Price]]&lt;&gt;ReconciliationData[[#This Row],[Contract_Price]]),1,0)</f>
        <v>0</v>
      </c>
      <c r="T1917">
        <f>IF(AND(NOT(ISBLANK(ReconciliationData[[#This Row],[End_Date]])),ReconciliationData[[#This Row],[Order_Date]]&gt;ReconciliationData[[#This Row],[End_Date]]),1,0)</f>
        <v>0</v>
      </c>
      <c r="U1917">
        <f>IF(AND(NOT(ISBLANK(ReconciliationData[[#This Row],[last_return_date]])),ReconciliationData[[#This Row],[last_return_date]]&gt;ReconciliationData[[#This Row],[Order_Date]]+60),1,0)</f>
        <v>0</v>
      </c>
      <c r="V1917">
        <f>IF(ReconciliationData[[#This Row],[total_returned_units]]&gt;ReconciliationData[[#This Row],[ordered_units]],1,0)</f>
        <v>0</v>
      </c>
      <c r="W19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17">
        <f>ReconciliationData[[#This Row],[Billed_Units]]*ReconciliationData[[#This Row],[Billed_Price]]</f>
        <v>58711.464899999999</v>
      </c>
      <c r="Y1917">
        <f>ReconciliationData[[#This Row],[ordered_units]]*ReconciliationData[[#This Row],[List_Price]]</f>
        <v>58711.464899999999</v>
      </c>
      <c r="Z1917">
        <f>ReconciliationData[[#This Row],[billed_revenue]]-ReconciliationData[[#This Row],[expected_revenue]]</f>
        <v>0</v>
      </c>
      <c r="AA19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17" t="str">
        <f>IF(ReconciliationData[[#This Row],[severity_score]]=0,"LOW",
 IF(ReconciliationData[[#This Row],[severity_score]]&lt;=5,"MEDIUM","HIGH"))</f>
        <v>LOW</v>
      </c>
      <c r="AC1917" t="str">
        <f>TEXT(ReconciliationData[[#This Row],[Order_Date]],"YYYY-MM")</f>
        <v>2024-01</v>
      </c>
    </row>
    <row r="1918" spans="1:29">
      <c r="A1918" t="s">
        <v>4997</v>
      </c>
      <c r="B1918" s="1">
        <v>44974</v>
      </c>
      <c r="C1918" t="s">
        <v>576</v>
      </c>
      <c r="D1918" t="s">
        <v>2605</v>
      </c>
      <c r="E1918">
        <v>37</v>
      </c>
      <c r="F1918" t="s">
        <v>4998</v>
      </c>
      <c r="G1918">
        <v>37</v>
      </c>
      <c r="H1918">
        <v>703.97</v>
      </c>
      <c r="I1918">
        <v>8</v>
      </c>
      <c r="J1918" s="1">
        <v>45426</v>
      </c>
      <c r="N1918">
        <v>703.97</v>
      </c>
      <c r="O1918" s="1">
        <v>44567</v>
      </c>
      <c r="P1918">
        <f>IF(ISBLANK(ReconciliationData[[#This Row],[Invoice_ID]]),1,0)</f>
        <v>0</v>
      </c>
      <c r="Q1918">
        <f>IF(AND(NOT(ISBLANK(ReconciliationData[[#This Row],[Billed_Units]])),ReconciliationData[[#This Row],[ordered_units]]&lt;&gt;ReconciliationData[[#This Row],[Billed_Units]]),1,0)</f>
        <v>0</v>
      </c>
      <c r="R19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8">
        <f>IF(AND(NOT(ISBLANK(ReconciliationData[[#This Row],[Contract_Price]])),ReconciliationData[[#This Row],[Billed_Price]]&lt;&gt;ReconciliationData[[#This Row],[Contract_Price]]),1,0)</f>
        <v>0</v>
      </c>
      <c r="T1918">
        <f>IF(AND(NOT(ISBLANK(ReconciliationData[[#This Row],[End_Date]])),ReconciliationData[[#This Row],[Order_Date]]&gt;ReconciliationData[[#This Row],[End_Date]]),1,0)</f>
        <v>0</v>
      </c>
      <c r="U1918">
        <f>IF(AND(NOT(ISBLANK(ReconciliationData[[#This Row],[last_return_date]])),ReconciliationData[[#This Row],[last_return_date]]&gt;ReconciliationData[[#This Row],[Order_Date]]+60),1,0)</f>
        <v>1</v>
      </c>
      <c r="V1918">
        <f>IF(ReconciliationData[[#This Row],[total_returned_units]]&gt;ReconciliationData[[#This Row],[ordered_units]],1,0)</f>
        <v>0</v>
      </c>
      <c r="W19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18">
        <f>ReconciliationData[[#This Row],[Billed_Units]]*ReconciliationData[[#This Row],[Billed_Price]]</f>
        <v>26046.89</v>
      </c>
      <c r="Y1918">
        <f>ReconciliationData[[#This Row],[ordered_units]]*ReconciliationData[[#This Row],[List_Price]]</f>
        <v>26046.89</v>
      </c>
      <c r="Z1918">
        <f>ReconciliationData[[#This Row],[billed_revenue]]-ReconciliationData[[#This Row],[expected_revenue]]</f>
        <v>0</v>
      </c>
      <c r="AA19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918" t="str">
        <f>IF(ReconciliationData[[#This Row],[severity_score]]=0,"LOW",
 IF(ReconciliationData[[#This Row],[severity_score]]&lt;=5,"MEDIUM","HIGH"))</f>
        <v>MEDIUM</v>
      </c>
      <c r="AC1918" t="str">
        <f>TEXT(ReconciliationData[[#This Row],[Order_Date]],"YYYY-MM")</f>
        <v>2023-02</v>
      </c>
    </row>
    <row r="1919" spans="1:29">
      <c r="A1919" t="s">
        <v>4999</v>
      </c>
      <c r="B1919" s="1">
        <v>45132</v>
      </c>
      <c r="C1919" t="s">
        <v>866</v>
      </c>
      <c r="D1919" t="s">
        <v>464</v>
      </c>
      <c r="E1919">
        <v>154</v>
      </c>
      <c r="F1919" t="s">
        <v>5000</v>
      </c>
      <c r="G1919">
        <v>154</v>
      </c>
      <c r="H1919">
        <v>709.45920000000001</v>
      </c>
      <c r="N1919">
        <v>709.45920000000001</v>
      </c>
      <c r="O1919" s="1">
        <v>44830</v>
      </c>
      <c r="P1919">
        <f>IF(ISBLANK(ReconciliationData[[#This Row],[Invoice_ID]]),1,0)</f>
        <v>0</v>
      </c>
      <c r="Q1919">
        <f>IF(AND(NOT(ISBLANK(ReconciliationData[[#This Row],[Billed_Units]])),ReconciliationData[[#This Row],[ordered_units]]&lt;&gt;ReconciliationData[[#This Row],[Billed_Units]]),1,0)</f>
        <v>0</v>
      </c>
      <c r="R19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19">
        <f>IF(AND(NOT(ISBLANK(ReconciliationData[[#This Row],[Contract_Price]])),ReconciliationData[[#This Row],[Billed_Price]]&lt;&gt;ReconciliationData[[#This Row],[Contract_Price]]),1,0)</f>
        <v>0</v>
      </c>
      <c r="T1919">
        <f>IF(AND(NOT(ISBLANK(ReconciliationData[[#This Row],[End_Date]])),ReconciliationData[[#This Row],[Order_Date]]&gt;ReconciliationData[[#This Row],[End_Date]]),1,0)</f>
        <v>0</v>
      </c>
      <c r="U1919">
        <f>IF(AND(NOT(ISBLANK(ReconciliationData[[#This Row],[last_return_date]])),ReconciliationData[[#This Row],[last_return_date]]&gt;ReconciliationData[[#This Row],[Order_Date]]+60),1,0)</f>
        <v>0</v>
      </c>
      <c r="V1919">
        <f>IF(ReconciliationData[[#This Row],[total_returned_units]]&gt;ReconciliationData[[#This Row],[ordered_units]],1,0)</f>
        <v>0</v>
      </c>
      <c r="W19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19">
        <f>ReconciliationData[[#This Row],[Billed_Units]]*ReconciliationData[[#This Row],[Billed_Price]]</f>
        <v>109256.71679999999</v>
      </c>
      <c r="Y1919">
        <f>ReconciliationData[[#This Row],[ordered_units]]*ReconciliationData[[#This Row],[List_Price]]</f>
        <v>109256.71679999999</v>
      </c>
      <c r="Z1919">
        <f>ReconciliationData[[#This Row],[billed_revenue]]-ReconciliationData[[#This Row],[expected_revenue]]</f>
        <v>0</v>
      </c>
      <c r="AA19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19" t="str">
        <f>IF(ReconciliationData[[#This Row],[severity_score]]=0,"LOW",
 IF(ReconciliationData[[#This Row],[severity_score]]&lt;=5,"MEDIUM","HIGH"))</f>
        <v>LOW</v>
      </c>
      <c r="AC1919" t="str">
        <f>TEXT(ReconciliationData[[#This Row],[Order_Date]],"YYYY-MM")</f>
        <v>2023-07</v>
      </c>
    </row>
    <row r="1920" spans="1:29">
      <c r="A1920" t="s">
        <v>5001</v>
      </c>
      <c r="B1920" s="1">
        <v>45348</v>
      </c>
      <c r="C1920" t="s">
        <v>1291</v>
      </c>
      <c r="D1920" t="s">
        <v>1794</v>
      </c>
      <c r="E1920">
        <v>55</v>
      </c>
      <c r="F1920" t="s">
        <v>5002</v>
      </c>
      <c r="G1920">
        <v>55</v>
      </c>
      <c r="H1920">
        <v>491.10239999999999</v>
      </c>
      <c r="N1920">
        <v>491.10239999999999</v>
      </c>
      <c r="O1920" s="1">
        <v>45187</v>
      </c>
      <c r="P1920">
        <f>IF(ISBLANK(ReconciliationData[[#This Row],[Invoice_ID]]),1,0)</f>
        <v>0</v>
      </c>
      <c r="Q1920">
        <f>IF(AND(NOT(ISBLANK(ReconciliationData[[#This Row],[Billed_Units]])),ReconciliationData[[#This Row],[ordered_units]]&lt;&gt;ReconciliationData[[#This Row],[Billed_Units]]),1,0)</f>
        <v>0</v>
      </c>
      <c r="R19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0">
        <f>IF(AND(NOT(ISBLANK(ReconciliationData[[#This Row],[Contract_Price]])),ReconciliationData[[#This Row],[Billed_Price]]&lt;&gt;ReconciliationData[[#This Row],[Contract_Price]]),1,0)</f>
        <v>0</v>
      </c>
      <c r="T1920">
        <f>IF(AND(NOT(ISBLANK(ReconciliationData[[#This Row],[End_Date]])),ReconciliationData[[#This Row],[Order_Date]]&gt;ReconciliationData[[#This Row],[End_Date]]),1,0)</f>
        <v>0</v>
      </c>
      <c r="U1920">
        <f>IF(AND(NOT(ISBLANK(ReconciliationData[[#This Row],[last_return_date]])),ReconciliationData[[#This Row],[last_return_date]]&gt;ReconciliationData[[#This Row],[Order_Date]]+60),1,0)</f>
        <v>0</v>
      </c>
      <c r="V1920">
        <f>IF(ReconciliationData[[#This Row],[total_returned_units]]&gt;ReconciliationData[[#This Row],[ordered_units]],1,0)</f>
        <v>0</v>
      </c>
      <c r="W19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20">
        <f>ReconciliationData[[#This Row],[Billed_Units]]*ReconciliationData[[#This Row],[Billed_Price]]</f>
        <v>27010.631999999998</v>
      </c>
      <c r="Y1920">
        <f>ReconciliationData[[#This Row],[ordered_units]]*ReconciliationData[[#This Row],[List_Price]]</f>
        <v>27010.631999999998</v>
      </c>
      <c r="Z1920">
        <f>ReconciliationData[[#This Row],[billed_revenue]]-ReconciliationData[[#This Row],[expected_revenue]]</f>
        <v>0</v>
      </c>
      <c r="AA19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20" t="str">
        <f>IF(ReconciliationData[[#This Row],[severity_score]]=0,"LOW",
 IF(ReconciliationData[[#This Row],[severity_score]]&lt;=5,"MEDIUM","HIGH"))</f>
        <v>LOW</v>
      </c>
      <c r="AC1920" t="str">
        <f>TEXT(ReconciliationData[[#This Row],[Order_Date]],"YYYY-MM")</f>
        <v>2024-02</v>
      </c>
    </row>
    <row r="1921" spans="1:29">
      <c r="A1921" t="s">
        <v>5003</v>
      </c>
      <c r="B1921" s="1">
        <v>45637</v>
      </c>
      <c r="C1921" t="s">
        <v>4192</v>
      </c>
      <c r="D1921" t="s">
        <v>639</v>
      </c>
      <c r="E1921">
        <v>56</v>
      </c>
      <c r="F1921" t="s">
        <v>5004</v>
      </c>
      <c r="G1921">
        <v>56</v>
      </c>
      <c r="H1921">
        <v>945.38850000000002</v>
      </c>
      <c r="N1921">
        <v>945.38850000000002</v>
      </c>
      <c r="O1921" s="1">
        <v>45047</v>
      </c>
      <c r="P1921">
        <f>IF(ISBLANK(ReconciliationData[[#This Row],[Invoice_ID]]),1,0)</f>
        <v>0</v>
      </c>
      <c r="Q1921">
        <f>IF(AND(NOT(ISBLANK(ReconciliationData[[#This Row],[Billed_Units]])),ReconciliationData[[#This Row],[ordered_units]]&lt;&gt;ReconciliationData[[#This Row],[Billed_Units]]),1,0)</f>
        <v>0</v>
      </c>
      <c r="R19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1">
        <f>IF(AND(NOT(ISBLANK(ReconciliationData[[#This Row],[Contract_Price]])),ReconciliationData[[#This Row],[Billed_Price]]&lt;&gt;ReconciliationData[[#This Row],[Contract_Price]]),1,0)</f>
        <v>0</v>
      </c>
      <c r="T1921">
        <f>IF(AND(NOT(ISBLANK(ReconciliationData[[#This Row],[End_Date]])),ReconciliationData[[#This Row],[Order_Date]]&gt;ReconciliationData[[#This Row],[End_Date]]),1,0)</f>
        <v>0</v>
      </c>
      <c r="U1921">
        <f>IF(AND(NOT(ISBLANK(ReconciliationData[[#This Row],[last_return_date]])),ReconciliationData[[#This Row],[last_return_date]]&gt;ReconciliationData[[#This Row],[Order_Date]]+60),1,0)</f>
        <v>0</v>
      </c>
      <c r="V1921">
        <f>IF(ReconciliationData[[#This Row],[total_returned_units]]&gt;ReconciliationData[[#This Row],[ordered_units]],1,0)</f>
        <v>0</v>
      </c>
      <c r="W19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21">
        <f>ReconciliationData[[#This Row],[Billed_Units]]*ReconciliationData[[#This Row],[Billed_Price]]</f>
        <v>52941.756000000001</v>
      </c>
      <c r="Y1921">
        <f>ReconciliationData[[#This Row],[ordered_units]]*ReconciliationData[[#This Row],[List_Price]]</f>
        <v>52941.756000000001</v>
      </c>
      <c r="Z1921">
        <f>ReconciliationData[[#This Row],[billed_revenue]]-ReconciliationData[[#This Row],[expected_revenue]]</f>
        <v>0</v>
      </c>
      <c r="AA19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21" t="str">
        <f>IF(ReconciliationData[[#This Row],[severity_score]]=0,"LOW",
 IF(ReconciliationData[[#This Row],[severity_score]]&lt;=5,"MEDIUM","HIGH"))</f>
        <v>LOW</v>
      </c>
      <c r="AC1921" t="str">
        <f>TEXT(ReconciliationData[[#This Row],[Order_Date]],"YYYY-MM")</f>
        <v>2024-12</v>
      </c>
    </row>
    <row r="1922" spans="1:29">
      <c r="A1922" t="s">
        <v>5005</v>
      </c>
      <c r="B1922" s="1">
        <v>45057</v>
      </c>
      <c r="C1922" t="s">
        <v>1510</v>
      </c>
      <c r="D1922" t="s">
        <v>3530</v>
      </c>
      <c r="E1922">
        <v>122</v>
      </c>
      <c r="F1922" t="s">
        <v>5006</v>
      </c>
      <c r="G1922">
        <v>122</v>
      </c>
      <c r="H1922">
        <v>143.86799999999999</v>
      </c>
      <c r="N1922">
        <v>143.86799999999999</v>
      </c>
      <c r="O1922" s="1">
        <v>45036</v>
      </c>
      <c r="P1922">
        <f>IF(ISBLANK(ReconciliationData[[#This Row],[Invoice_ID]]),1,0)</f>
        <v>0</v>
      </c>
      <c r="Q1922">
        <f>IF(AND(NOT(ISBLANK(ReconciliationData[[#This Row],[Billed_Units]])),ReconciliationData[[#This Row],[ordered_units]]&lt;&gt;ReconciliationData[[#This Row],[Billed_Units]]),1,0)</f>
        <v>0</v>
      </c>
      <c r="R19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2">
        <f>IF(AND(NOT(ISBLANK(ReconciliationData[[#This Row],[Contract_Price]])),ReconciliationData[[#This Row],[Billed_Price]]&lt;&gt;ReconciliationData[[#This Row],[Contract_Price]]),1,0)</f>
        <v>0</v>
      </c>
      <c r="T1922">
        <f>IF(AND(NOT(ISBLANK(ReconciliationData[[#This Row],[End_Date]])),ReconciliationData[[#This Row],[Order_Date]]&gt;ReconciliationData[[#This Row],[End_Date]]),1,0)</f>
        <v>0</v>
      </c>
      <c r="U1922">
        <f>IF(AND(NOT(ISBLANK(ReconciliationData[[#This Row],[last_return_date]])),ReconciliationData[[#This Row],[last_return_date]]&gt;ReconciliationData[[#This Row],[Order_Date]]+60),1,0)</f>
        <v>0</v>
      </c>
      <c r="V1922">
        <f>IF(ReconciliationData[[#This Row],[total_returned_units]]&gt;ReconciliationData[[#This Row],[ordered_units]],1,0)</f>
        <v>0</v>
      </c>
      <c r="W19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22">
        <f>ReconciliationData[[#This Row],[Billed_Units]]*ReconciliationData[[#This Row],[Billed_Price]]</f>
        <v>17551.896000000001</v>
      </c>
      <c r="Y1922">
        <f>ReconciliationData[[#This Row],[ordered_units]]*ReconciliationData[[#This Row],[List_Price]]</f>
        <v>17551.896000000001</v>
      </c>
      <c r="Z1922">
        <f>ReconciliationData[[#This Row],[billed_revenue]]-ReconciliationData[[#This Row],[expected_revenue]]</f>
        <v>0</v>
      </c>
      <c r="AA19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22" t="str">
        <f>IF(ReconciliationData[[#This Row],[severity_score]]=0,"LOW",
 IF(ReconciliationData[[#This Row],[severity_score]]&lt;=5,"MEDIUM","HIGH"))</f>
        <v>LOW</v>
      </c>
      <c r="AC1922" t="str">
        <f>TEXT(ReconciliationData[[#This Row],[Order_Date]],"YYYY-MM")</f>
        <v>2023-05</v>
      </c>
    </row>
    <row r="1923" spans="1:29">
      <c r="A1923" t="s">
        <v>5007</v>
      </c>
      <c r="B1923" s="1">
        <v>45648</v>
      </c>
      <c r="C1923" t="s">
        <v>697</v>
      </c>
      <c r="D1923" t="s">
        <v>333</v>
      </c>
      <c r="E1923">
        <v>114</v>
      </c>
      <c r="F1923" t="s">
        <v>5008</v>
      </c>
      <c r="G1923">
        <v>114</v>
      </c>
      <c r="H1923">
        <v>1144.1684</v>
      </c>
      <c r="N1923">
        <v>1144.1684</v>
      </c>
      <c r="O1923" s="1">
        <v>44955</v>
      </c>
      <c r="P1923">
        <f>IF(ISBLANK(ReconciliationData[[#This Row],[Invoice_ID]]),1,0)</f>
        <v>0</v>
      </c>
      <c r="Q1923">
        <f>IF(AND(NOT(ISBLANK(ReconciliationData[[#This Row],[Billed_Units]])),ReconciliationData[[#This Row],[ordered_units]]&lt;&gt;ReconciliationData[[#This Row],[Billed_Units]]),1,0)</f>
        <v>0</v>
      </c>
      <c r="R19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3">
        <f>IF(AND(NOT(ISBLANK(ReconciliationData[[#This Row],[Contract_Price]])),ReconciliationData[[#This Row],[Billed_Price]]&lt;&gt;ReconciliationData[[#This Row],[Contract_Price]]),1,0)</f>
        <v>0</v>
      </c>
      <c r="T1923">
        <f>IF(AND(NOT(ISBLANK(ReconciliationData[[#This Row],[End_Date]])),ReconciliationData[[#This Row],[Order_Date]]&gt;ReconciliationData[[#This Row],[End_Date]]),1,0)</f>
        <v>0</v>
      </c>
      <c r="U1923">
        <f>IF(AND(NOT(ISBLANK(ReconciliationData[[#This Row],[last_return_date]])),ReconciliationData[[#This Row],[last_return_date]]&gt;ReconciliationData[[#This Row],[Order_Date]]+60),1,0)</f>
        <v>0</v>
      </c>
      <c r="V1923">
        <f>IF(ReconciliationData[[#This Row],[total_returned_units]]&gt;ReconciliationData[[#This Row],[ordered_units]],1,0)</f>
        <v>0</v>
      </c>
      <c r="W19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23">
        <f>ReconciliationData[[#This Row],[Billed_Units]]*ReconciliationData[[#This Row],[Billed_Price]]</f>
        <v>130435.1976</v>
      </c>
      <c r="Y1923">
        <f>ReconciliationData[[#This Row],[ordered_units]]*ReconciliationData[[#This Row],[List_Price]]</f>
        <v>130435.1976</v>
      </c>
      <c r="Z1923">
        <f>ReconciliationData[[#This Row],[billed_revenue]]-ReconciliationData[[#This Row],[expected_revenue]]</f>
        <v>0</v>
      </c>
      <c r="AA19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23" t="str">
        <f>IF(ReconciliationData[[#This Row],[severity_score]]=0,"LOW",
 IF(ReconciliationData[[#This Row],[severity_score]]&lt;=5,"MEDIUM","HIGH"))</f>
        <v>LOW</v>
      </c>
      <c r="AC1923" t="str">
        <f>TEXT(ReconciliationData[[#This Row],[Order_Date]],"YYYY-MM")</f>
        <v>2024-12</v>
      </c>
    </row>
    <row r="1924" spans="1:29">
      <c r="A1924" t="s">
        <v>5009</v>
      </c>
      <c r="B1924" s="1">
        <v>45180</v>
      </c>
      <c r="C1924" t="s">
        <v>5010</v>
      </c>
      <c r="D1924" t="s">
        <v>1580</v>
      </c>
      <c r="E1924">
        <v>117</v>
      </c>
      <c r="F1924" t="s">
        <v>5011</v>
      </c>
      <c r="G1924">
        <v>117</v>
      </c>
      <c r="H1924">
        <v>708.51900000000001</v>
      </c>
      <c r="I1924">
        <v>16</v>
      </c>
      <c r="J1924" s="1">
        <v>45333</v>
      </c>
      <c r="N1924">
        <v>708.51900000000001</v>
      </c>
      <c r="O1924" s="1">
        <v>45063</v>
      </c>
      <c r="P1924">
        <f>IF(ISBLANK(ReconciliationData[[#This Row],[Invoice_ID]]),1,0)</f>
        <v>0</v>
      </c>
      <c r="Q1924">
        <f>IF(AND(NOT(ISBLANK(ReconciliationData[[#This Row],[Billed_Units]])),ReconciliationData[[#This Row],[ordered_units]]&lt;&gt;ReconciliationData[[#This Row],[Billed_Units]]),1,0)</f>
        <v>0</v>
      </c>
      <c r="R19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4">
        <f>IF(AND(NOT(ISBLANK(ReconciliationData[[#This Row],[Contract_Price]])),ReconciliationData[[#This Row],[Billed_Price]]&lt;&gt;ReconciliationData[[#This Row],[Contract_Price]]),1,0)</f>
        <v>0</v>
      </c>
      <c r="T1924">
        <f>IF(AND(NOT(ISBLANK(ReconciliationData[[#This Row],[End_Date]])),ReconciliationData[[#This Row],[Order_Date]]&gt;ReconciliationData[[#This Row],[End_Date]]),1,0)</f>
        <v>0</v>
      </c>
      <c r="U1924">
        <f>IF(AND(NOT(ISBLANK(ReconciliationData[[#This Row],[last_return_date]])),ReconciliationData[[#This Row],[last_return_date]]&gt;ReconciliationData[[#This Row],[Order_Date]]+60),1,0)</f>
        <v>1</v>
      </c>
      <c r="V1924">
        <f>IF(ReconciliationData[[#This Row],[total_returned_units]]&gt;ReconciliationData[[#This Row],[ordered_units]],1,0)</f>
        <v>0</v>
      </c>
      <c r="W19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24">
        <f>ReconciliationData[[#This Row],[Billed_Units]]*ReconciliationData[[#This Row],[Billed_Price]]</f>
        <v>82896.722999999998</v>
      </c>
      <c r="Y1924">
        <f>ReconciliationData[[#This Row],[ordered_units]]*ReconciliationData[[#This Row],[List_Price]]</f>
        <v>82896.722999999998</v>
      </c>
      <c r="Z1924">
        <f>ReconciliationData[[#This Row],[billed_revenue]]-ReconciliationData[[#This Row],[expected_revenue]]</f>
        <v>0</v>
      </c>
      <c r="AA19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924" t="str">
        <f>IF(ReconciliationData[[#This Row],[severity_score]]=0,"LOW",
 IF(ReconciliationData[[#This Row],[severity_score]]&lt;=5,"MEDIUM","HIGH"))</f>
        <v>MEDIUM</v>
      </c>
      <c r="AC1924" t="str">
        <f>TEXT(ReconciliationData[[#This Row],[Order_Date]],"YYYY-MM")</f>
        <v>2023-09</v>
      </c>
    </row>
    <row r="1925" spans="1:29">
      <c r="A1925" t="s">
        <v>5012</v>
      </c>
      <c r="B1925" s="1">
        <v>45646</v>
      </c>
      <c r="C1925" t="s">
        <v>5013</v>
      </c>
      <c r="D1925" t="s">
        <v>1794</v>
      </c>
      <c r="E1925">
        <v>98</v>
      </c>
      <c r="F1925" t="s">
        <v>5014</v>
      </c>
      <c r="G1925">
        <v>98</v>
      </c>
      <c r="H1925">
        <v>491.10239999999999</v>
      </c>
      <c r="N1925">
        <v>491.10239999999999</v>
      </c>
      <c r="O1925" s="1">
        <v>45187</v>
      </c>
      <c r="P1925">
        <f>IF(ISBLANK(ReconciliationData[[#This Row],[Invoice_ID]]),1,0)</f>
        <v>0</v>
      </c>
      <c r="Q1925">
        <f>IF(AND(NOT(ISBLANK(ReconciliationData[[#This Row],[Billed_Units]])),ReconciliationData[[#This Row],[ordered_units]]&lt;&gt;ReconciliationData[[#This Row],[Billed_Units]]),1,0)</f>
        <v>0</v>
      </c>
      <c r="R19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5">
        <f>IF(AND(NOT(ISBLANK(ReconciliationData[[#This Row],[Contract_Price]])),ReconciliationData[[#This Row],[Billed_Price]]&lt;&gt;ReconciliationData[[#This Row],[Contract_Price]]),1,0)</f>
        <v>0</v>
      </c>
      <c r="T1925">
        <f>IF(AND(NOT(ISBLANK(ReconciliationData[[#This Row],[End_Date]])),ReconciliationData[[#This Row],[Order_Date]]&gt;ReconciliationData[[#This Row],[End_Date]]),1,0)</f>
        <v>0</v>
      </c>
      <c r="U1925">
        <f>IF(AND(NOT(ISBLANK(ReconciliationData[[#This Row],[last_return_date]])),ReconciliationData[[#This Row],[last_return_date]]&gt;ReconciliationData[[#This Row],[Order_Date]]+60),1,0)</f>
        <v>0</v>
      </c>
      <c r="V1925">
        <f>IF(ReconciliationData[[#This Row],[total_returned_units]]&gt;ReconciliationData[[#This Row],[ordered_units]],1,0)</f>
        <v>0</v>
      </c>
      <c r="W19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25">
        <f>ReconciliationData[[#This Row],[Billed_Units]]*ReconciliationData[[#This Row],[Billed_Price]]</f>
        <v>48128.035199999998</v>
      </c>
      <c r="Y1925">
        <f>ReconciliationData[[#This Row],[ordered_units]]*ReconciliationData[[#This Row],[List_Price]]</f>
        <v>48128.035199999998</v>
      </c>
      <c r="Z1925">
        <f>ReconciliationData[[#This Row],[billed_revenue]]-ReconciliationData[[#This Row],[expected_revenue]]</f>
        <v>0</v>
      </c>
      <c r="AA19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25" t="str">
        <f>IF(ReconciliationData[[#This Row],[severity_score]]=0,"LOW",
 IF(ReconciliationData[[#This Row],[severity_score]]&lt;=5,"MEDIUM","HIGH"))</f>
        <v>LOW</v>
      </c>
      <c r="AC1925" t="str">
        <f>TEXT(ReconciliationData[[#This Row],[Order_Date]],"YYYY-MM")</f>
        <v>2024-12</v>
      </c>
    </row>
    <row r="1926" spans="1:29">
      <c r="A1926" t="s">
        <v>5015</v>
      </c>
      <c r="B1926" s="1">
        <v>45160</v>
      </c>
      <c r="C1926" t="s">
        <v>3637</v>
      </c>
      <c r="D1926" t="s">
        <v>647</v>
      </c>
      <c r="E1926">
        <v>21</v>
      </c>
      <c r="F1926" t="s">
        <v>5016</v>
      </c>
      <c r="G1926">
        <v>21</v>
      </c>
      <c r="H1926">
        <v>279.42789999999997</v>
      </c>
      <c r="N1926">
        <v>279.42789999999997</v>
      </c>
      <c r="O1926" s="1">
        <v>45103</v>
      </c>
      <c r="P1926">
        <f>IF(ISBLANK(ReconciliationData[[#This Row],[Invoice_ID]]),1,0)</f>
        <v>0</v>
      </c>
      <c r="Q1926">
        <f>IF(AND(NOT(ISBLANK(ReconciliationData[[#This Row],[Billed_Units]])),ReconciliationData[[#This Row],[ordered_units]]&lt;&gt;ReconciliationData[[#This Row],[Billed_Units]]),1,0)</f>
        <v>0</v>
      </c>
      <c r="R19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6">
        <f>IF(AND(NOT(ISBLANK(ReconciliationData[[#This Row],[Contract_Price]])),ReconciliationData[[#This Row],[Billed_Price]]&lt;&gt;ReconciliationData[[#This Row],[Contract_Price]]),1,0)</f>
        <v>0</v>
      </c>
      <c r="T1926">
        <f>IF(AND(NOT(ISBLANK(ReconciliationData[[#This Row],[End_Date]])),ReconciliationData[[#This Row],[Order_Date]]&gt;ReconciliationData[[#This Row],[End_Date]]),1,0)</f>
        <v>0</v>
      </c>
      <c r="U1926">
        <f>IF(AND(NOT(ISBLANK(ReconciliationData[[#This Row],[last_return_date]])),ReconciliationData[[#This Row],[last_return_date]]&gt;ReconciliationData[[#This Row],[Order_Date]]+60),1,0)</f>
        <v>0</v>
      </c>
      <c r="V1926">
        <f>IF(ReconciliationData[[#This Row],[total_returned_units]]&gt;ReconciliationData[[#This Row],[ordered_units]],1,0)</f>
        <v>0</v>
      </c>
      <c r="W19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26">
        <f>ReconciliationData[[#This Row],[Billed_Units]]*ReconciliationData[[#This Row],[Billed_Price]]</f>
        <v>5867.9858999999997</v>
      </c>
      <c r="Y1926">
        <f>ReconciliationData[[#This Row],[ordered_units]]*ReconciliationData[[#This Row],[List_Price]]</f>
        <v>5867.9858999999997</v>
      </c>
      <c r="Z1926">
        <f>ReconciliationData[[#This Row],[billed_revenue]]-ReconciliationData[[#This Row],[expected_revenue]]</f>
        <v>0</v>
      </c>
      <c r="AA19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26" t="str">
        <f>IF(ReconciliationData[[#This Row],[severity_score]]=0,"LOW",
 IF(ReconciliationData[[#This Row],[severity_score]]&lt;=5,"MEDIUM","HIGH"))</f>
        <v>LOW</v>
      </c>
      <c r="AC1926" t="str">
        <f>TEXT(ReconciliationData[[#This Row],[Order_Date]],"YYYY-MM")</f>
        <v>2023-08</v>
      </c>
    </row>
    <row r="1927" spans="1:29">
      <c r="A1927" t="s">
        <v>5017</v>
      </c>
      <c r="B1927" s="1">
        <v>45605</v>
      </c>
      <c r="C1927" t="s">
        <v>418</v>
      </c>
      <c r="D1927" t="s">
        <v>170</v>
      </c>
      <c r="E1927">
        <v>166</v>
      </c>
      <c r="F1927" t="s">
        <v>5018</v>
      </c>
      <c r="G1927">
        <v>166</v>
      </c>
      <c r="H1927">
        <v>397.40159999999997</v>
      </c>
      <c r="N1927">
        <v>397.40159999999997</v>
      </c>
      <c r="O1927" s="1">
        <v>45021</v>
      </c>
      <c r="P1927">
        <f>IF(ISBLANK(ReconciliationData[[#This Row],[Invoice_ID]]),1,0)</f>
        <v>0</v>
      </c>
      <c r="Q1927">
        <f>IF(AND(NOT(ISBLANK(ReconciliationData[[#This Row],[Billed_Units]])),ReconciliationData[[#This Row],[ordered_units]]&lt;&gt;ReconciliationData[[#This Row],[Billed_Units]]),1,0)</f>
        <v>0</v>
      </c>
      <c r="R19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7">
        <f>IF(AND(NOT(ISBLANK(ReconciliationData[[#This Row],[Contract_Price]])),ReconciliationData[[#This Row],[Billed_Price]]&lt;&gt;ReconciliationData[[#This Row],[Contract_Price]]),1,0)</f>
        <v>0</v>
      </c>
      <c r="T1927">
        <f>IF(AND(NOT(ISBLANK(ReconciliationData[[#This Row],[End_Date]])),ReconciliationData[[#This Row],[Order_Date]]&gt;ReconciliationData[[#This Row],[End_Date]]),1,0)</f>
        <v>0</v>
      </c>
      <c r="U1927">
        <f>IF(AND(NOT(ISBLANK(ReconciliationData[[#This Row],[last_return_date]])),ReconciliationData[[#This Row],[last_return_date]]&gt;ReconciliationData[[#This Row],[Order_Date]]+60),1,0)</f>
        <v>0</v>
      </c>
      <c r="V1927">
        <f>IF(ReconciliationData[[#This Row],[total_returned_units]]&gt;ReconciliationData[[#This Row],[ordered_units]],1,0)</f>
        <v>0</v>
      </c>
      <c r="W19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27">
        <f>ReconciliationData[[#This Row],[Billed_Units]]*ReconciliationData[[#This Row],[Billed_Price]]</f>
        <v>65968.665599999993</v>
      </c>
      <c r="Y1927">
        <f>ReconciliationData[[#This Row],[ordered_units]]*ReconciliationData[[#This Row],[List_Price]]</f>
        <v>65968.665599999993</v>
      </c>
      <c r="Z1927">
        <f>ReconciliationData[[#This Row],[billed_revenue]]-ReconciliationData[[#This Row],[expected_revenue]]</f>
        <v>0</v>
      </c>
      <c r="AA19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27" t="str">
        <f>IF(ReconciliationData[[#This Row],[severity_score]]=0,"LOW",
 IF(ReconciliationData[[#This Row],[severity_score]]&lt;=5,"MEDIUM","HIGH"))</f>
        <v>LOW</v>
      </c>
      <c r="AC1927" t="str">
        <f>TEXT(ReconciliationData[[#This Row],[Order_Date]],"YYYY-MM")</f>
        <v>2024-11</v>
      </c>
    </row>
    <row r="1928" spans="1:29">
      <c r="A1928" t="s">
        <v>5019</v>
      </c>
      <c r="B1928" s="1">
        <v>45576</v>
      </c>
      <c r="C1928" t="s">
        <v>2902</v>
      </c>
      <c r="D1928" t="s">
        <v>1057</v>
      </c>
      <c r="E1928">
        <v>59</v>
      </c>
      <c r="F1928" t="s">
        <v>5020</v>
      </c>
      <c r="G1928">
        <v>59</v>
      </c>
      <c r="H1928">
        <v>212.07900000000001</v>
      </c>
      <c r="N1928">
        <v>212.07900000000001</v>
      </c>
      <c r="O1928" s="1">
        <v>45057</v>
      </c>
      <c r="P1928">
        <f>IF(ISBLANK(ReconciliationData[[#This Row],[Invoice_ID]]),1,0)</f>
        <v>0</v>
      </c>
      <c r="Q1928">
        <f>IF(AND(NOT(ISBLANK(ReconciliationData[[#This Row],[Billed_Units]])),ReconciliationData[[#This Row],[ordered_units]]&lt;&gt;ReconciliationData[[#This Row],[Billed_Units]]),1,0)</f>
        <v>0</v>
      </c>
      <c r="R19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8">
        <f>IF(AND(NOT(ISBLANK(ReconciliationData[[#This Row],[Contract_Price]])),ReconciliationData[[#This Row],[Billed_Price]]&lt;&gt;ReconciliationData[[#This Row],[Contract_Price]]),1,0)</f>
        <v>0</v>
      </c>
      <c r="T1928">
        <f>IF(AND(NOT(ISBLANK(ReconciliationData[[#This Row],[End_Date]])),ReconciliationData[[#This Row],[Order_Date]]&gt;ReconciliationData[[#This Row],[End_Date]]),1,0)</f>
        <v>0</v>
      </c>
      <c r="U1928">
        <f>IF(AND(NOT(ISBLANK(ReconciliationData[[#This Row],[last_return_date]])),ReconciliationData[[#This Row],[last_return_date]]&gt;ReconciliationData[[#This Row],[Order_Date]]+60),1,0)</f>
        <v>0</v>
      </c>
      <c r="V1928">
        <f>IF(ReconciliationData[[#This Row],[total_returned_units]]&gt;ReconciliationData[[#This Row],[ordered_units]],1,0)</f>
        <v>0</v>
      </c>
      <c r="W19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28">
        <f>ReconciliationData[[#This Row],[Billed_Units]]*ReconciliationData[[#This Row],[Billed_Price]]</f>
        <v>12512.661</v>
      </c>
      <c r="Y1928">
        <f>ReconciliationData[[#This Row],[ordered_units]]*ReconciliationData[[#This Row],[List_Price]]</f>
        <v>12512.661</v>
      </c>
      <c r="Z1928">
        <f>ReconciliationData[[#This Row],[billed_revenue]]-ReconciliationData[[#This Row],[expected_revenue]]</f>
        <v>0</v>
      </c>
      <c r="AA19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28" t="str">
        <f>IF(ReconciliationData[[#This Row],[severity_score]]=0,"LOW",
 IF(ReconciliationData[[#This Row],[severity_score]]&lt;=5,"MEDIUM","HIGH"))</f>
        <v>LOW</v>
      </c>
      <c r="AC1928" t="str">
        <f>TEXT(ReconciliationData[[#This Row],[Order_Date]],"YYYY-MM")</f>
        <v>2024-10</v>
      </c>
    </row>
    <row r="1929" spans="1:29">
      <c r="A1929" t="s">
        <v>5021</v>
      </c>
      <c r="B1929" s="1">
        <v>45002</v>
      </c>
      <c r="C1929" t="s">
        <v>2848</v>
      </c>
      <c r="D1929" t="s">
        <v>1071</v>
      </c>
      <c r="E1929">
        <v>53</v>
      </c>
      <c r="F1929" t="s">
        <v>5022</v>
      </c>
      <c r="G1929">
        <v>53</v>
      </c>
      <c r="H1929">
        <v>335.39150000000001</v>
      </c>
      <c r="N1929">
        <v>335.39150000000001</v>
      </c>
      <c r="O1929" s="1">
        <v>44986</v>
      </c>
      <c r="P1929">
        <f>IF(ISBLANK(ReconciliationData[[#This Row],[Invoice_ID]]),1,0)</f>
        <v>0</v>
      </c>
      <c r="Q1929">
        <f>IF(AND(NOT(ISBLANK(ReconciliationData[[#This Row],[Billed_Units]])),ReconciliationData[[#This Row],[ordered_units]]&lt;&gt;ReconciliationData[[#This Row],[Billed_Units]]),1,0)</f>
        <v>0</v>
      </c>
      <c r="R19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29">
        <f>IF(AND(NOT(ISBLANK(ReconciliationData[[#This Row],[Contract_Price]])),ReconciliationData[[#This Row],[Billed_Price]]&lt;&gt;ReconciliationData[[#This Row],[Contract_Price]]),1,0)</f>
        <v>0</v>
      </c>
      <c r="T1929">
        <f>IF(AND(NOT(ISBLANK(ReconciliationData[[#This Row],[End_Date]])),ReconciliationData[[#This Row],[Order_Date]]&gt;ReconciliationData[[#This Row],[End_Date]]),1,0)</f>
        <v>0</v>
      </c>
      <c r="U1929">
        <f>IF(AND(NOT(ISBLANK(ReconciliationData[[#This Row],[last_return_date]])),ReconciliationData[[#This Row],[last_return_date]]&gt;ReconciliationData[[#This Row],[Order_Date]]+60),1,0)</f>
        <v>0</v>
      </c>
      <c r="V1929">
        <f>IF(ReconciliationData[[#This Row],[total_returned_units]]&gt;ReconciliationData[[#This Row],[ordered_units]],1,0)</f>
        <v>0</v>
      </c>
      <c r="W19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29">
        <f>ReconciliationData[[#This Row],[Billed_Units]]*ReconciliationData[[#This Row],[Billed_Price]]</f>
        <v>17775.749500000002</v>
      </c>
      <c r="Y1929">
        <f>ReconciliationData[[#This Row],[ordered_units]]*ReconciliationData[[#This Row],[List_Price]]</f>
        <v>17775.749500000002</v>
      </c>
      <c r="Z1929">
        <f>ReconciliationData[[#This Row],[billed_revenue]]-ReconciliationData[[#This Row],[expected_revenue]]</f>
        <v>0</v>
      </c>
      <c r="AA19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29" t="str">
        <f>IF(ReconciliationData[[#This Row],[severity_score]]=0,"LOW",
 IF(ReconciliationData[[#This Row],[severity_score]]&lt;=5,"MEDIUM","HIGH"))</f>
        <v>LOW</v>
      </c>
      <c r="AC1929" t="str">
        <f>TEXT(ReconciliationData[[#This Row],[Order_Date]],"YYYY-MM")</f>
        <v>2023-03</v>
      </c>
    </row>
    <row r="1930" spans="1:29">
      <c r="A1930" t="s">
        <v>5023</v>
      </c>
      <c r="B1930" s="1">
        <v>45059</v>
      </c>
      <c r="C1930" t="s">
        <v>4334</v>
      </c>
      <c r="D1930" t="s">
        <v>1606</v>
      </c>
      <c r="E1930">
        <v>190</v>
      </c>
      <c r="F1930" t="s">
        <v>5024</v>
      </c>
      <c r="G1930">
        <v>190</v>
      </c>
      <c r="H1930">
        <v>579.65</v>
      </c>
      <c r="N1930">
        <v>579.65</v>
      </c>
      <c r="O1930" s="1">
        <v>44837</v>
      </c>
      <c r="P1930">
        <f>IF(ISBLANK(ReconciliationData[[#This Row],[Invoice_ID]]),1,0)</f>
        <v>0</v>
      </c>
      <c r="Q1930">
        <f>IF(AND(NOT(ISBLANK(ReconciliationData[[#This Row],[Billed_Units]])),ReconciliationData[[#This Row],[ordered_units]]&lt;&gt;ReconciliationData[[#This Row],[Billed_Units]]),1,0)</f>
        <v>0</v>
      </c>
      <c r="R19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0">
        <f>IF(AND(NOT(ISBLANK(ReconciliationData[[#This Row],[Contract_Price]])),ReconciliationData[[#This Row],[Billed_Price]]&lt;&gt;ReconciliationData[[#This Row],[Contract_Price]]),1,0)</f>
        <v>0</v>
      </c>
      <c r="T1930">
        <f>IF(AND(NOT(ISBLANK(ReconciliationData[[#This Row],[End_Date]])),ReconciliationData[[#This Row],[Order_Date]]&gt;ReconciliationData[[#This Row],[End_Date]]),1,0)</f>
        <v>0</v>
      </c>
      <c r="U1930">
        <f>IF(AND(NOT(ISBLANK(ReconciliationData[[#This Row],[last_return_date]])),ReconciliationData[[#This Row],[last_return_date]]&gt;ReconciliationData[[#This Row],[Order_Date]]+60),1,0)</f>
        <v>0</v>
      </c>
      <c r="V1930">
        <f>IF(ReconciliationData[[#This Row],[total_returned_units]]&gt;ReconciliationData[[#This Row],[ordered_units]],1,0)</f>
        <v>0</v>
      </c>
      <c r="W19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30">
        <f>ReconciliationData[[#This Row],[Billed_Units]]*ReconciliationData[[#This Row],[Billed_Price]]</f>
        <v>110133.5</v>
      </c>
      <c r="Y1930">
        <f>ReconciliationData[[#This Row],[ordered_units]]*ReconciliationData[[#This Row],[List_Price]]</f>
        <v>110133.5</v>
      </c>
      <c r="Z1930">
        <f>ReconciliationData[[#This Row],[billed_revenue]]-ReconciliationData[[#This Row],[expected_revenue]]</f>
        <v>0</v>
      </c>
      <c r="AA19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30" t="str">
        <f>IF(ReconciliationData[[#This Row],[severity_score]]=0,"LOW",
 IF(ReconciliationData[[#This Row],[severity_score]]&lt;=5,"MEDIUM","HIGH"))</f>
        <v>LOW</v>
      </c>
      <c r="AC1930" t="str">
        <f>TEXT(ReconciliationData[[#This Row],[Order_Date]],"YYYY-MM")</f>
        <v>2023-05</v>
      </c>
    </row>
    <row r="1931" spans="1:29">
      <c r="A1931" t="s">
        <v>5025</v>
      </c>
      <c r="B1931" s="1">
        <v>45174</v>
      </c>
      <c r="C1931" t="s">
        <v>1325</v>
      </c>
      <c r="D1931" t="s">
        <v>1583</v>
      </c>
      <c r="E1931">
        <v>37</v>
      </c>
      <c r="F1931" t="s">
        <v>5026</v>
      </c>
      <c r="G1931">
        <v>37</v>
      </c>
      <c r="H1931">
        <v>1182.1740000000002</v>
      </c>
      <c r="N1931">
        <v>1182.1740000000002</v>
      </c>
      <c r="O1931" s="1">
        <v>45130</v>
      </c>
      <c r="P1931">
        <f>IF(ISBLANK(ReconciliationData[[#This Row],[Invoice_ID]]),1,0)</f>
        <v>0</v>
      </c>
      <c r="Q1931">
        <f>IF(AND(NOT(ISBLANK(ReconciliationData[[#This Row],[Billed_Units]])),ReconciliationData[[#This Row],[ordered_units]]&lt;&gt;ReconciliationData[[#This Row],[Billed_Units]]),1,0)</f>
        <v>0</v>
      </c>
      <c r="R19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1">
        <f>IF(AND(NOT(ISBLANK(ReconciliationData[[#This Row],[Contract_Price]])),ReconciliationData[[#This Row],[Billed_Price]]&lt;&gt;ReconciliationData[[#This Row],[Contract_Price]]),1,0)</f>
        <v>0</v>
      </c>
      <c r="T1931">
        <f>IF(AND(NOT(ISBLANK(ReconciliationData[[#This Row],[End_Date]])),ReconciliationData[[#This Row],[Order_Date]]&gt;ReconciliationData[[#This Row],[End_Date]]),1,0)</f>
        <v>0</v>
      </c>
      <c r="U1931">
        <f>IF(AND(NOT(ISBLANK(ReconciliationData[[#This Row],[last_return_date]])),ReconciliationData[[#This Row],[last_return_date]]&gt;ReconciliationData[[#This Row],[Order_Date]]+60),1,0)</f>
        <v>0</v>
      </c>
      <c r="V1931">
        <f>IF(ReconciliationData[[#This Row],[total_returned_units]]&gt;ReconciliationData[[#This Row],[ordered_units]],1,0)</f>
        <v>0</v>
      </c>
      <c r="W19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31">
        <f>ReconciliationData[[#This Row],[Billed_Units]]*ReconciliationData[[#This Row],[Billed_Price]]</f>
        <v>43740.438000000009</v>
      </c>
      <c r="Y1931">
        <f>ReconciliationData[[#This Row],[ordered_units]]*ReconciliationData[[#This Row],[List_Price]]</f>
        <v>43740.438000000009</v>
      </c>
      <c r="Z1931">
        <f>ReconciliationData[[#This Row],[billed_revenue]]-ReconciliationData[[#This Row],[expected_revenue]]</f>
        <v>0</v>
      </c>
      <c r="AA19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31" t="str">
        <f>IF(ReconciliationData[[#This Row],[severity_score]]=0,"LOW",
 IF(ReconciliationData[[#This Row],[severity_score]]&lt;=5,"MEDIUM","HIGH"))</f>
        <v>LOW</v>
      </c>
      <c r="AC1931" t="str">
        <f>TEXT(ReconciliationData[[#This Row],[Order_Date]],"YYYY-MM")</f>
        <v>2023-09</v>
      </c>
    </row>
    <row r="1932" spans="1:29">
      <c r="A1932" t="s">
        <v>5027</v>
      </c>
      <c r="B1932" s="1">
        <v>45201</v>
      </c>
      <c r="C1932" t="s">
        <v>328</v>
      </c>
      <c r="D1932" t="s">
        <v>468</v>
      </c>
      <c r="E1932">
        <v>188</v>
      </c>
      <c r="F1932" t="s">
        <v>5028</v>
      </c>
      <c r="G1932">
        <v>188</v>
      </c>
      <c r="H1932">
        <v>372.85379999999998</v>
      </c>
      <c r="N1932">
        <v>372.85379999999998</v>
      </c>
      <c r="O1932" s="1">
        <v>45175</v>
      </c>
      <c r="P1932">
        <f>IF(ISBLANK(ReconciliationData[[#This Row],[Invoice_ID]]),1,0)</f>
        <v>0</v>
      </c>
      <c r="Q1932">
        <f>IF(AND(NOT(ISBLANK(ReconciliationData[[#This Row],[Billed_Units]])),ReconciliationData[[#This Row],[ordered_units]]&lt;&gt;ReconciliationData[[#This Row],[Billed_Units]]),1,0)</f>
        <v>0</v>
      </c>
      <c r="R19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2">
        <f>IF(AND(NOT(ISBLANK(ReconciliationData[[#This Row],[Contract_Price]])),ReconciliationData[[#This Row],[Billed_Price]]&lt;&gt;ReconciliationData[[#This Row],[Contract_Price]]),1,0)</f>
        <v>0</v>
      </c>
      <c r="T1932">
        <f>IF(AND(NOT(ISBLANK(ReconciliationData[[#This Row],[End_Date]])),ReconciliationData[[#This Row],[Order_Date]]&gt;ReconciliationData[[#This Row],[End_Date]]),1,0)</f>
        <v>0</v>
      </c>
      <c r="U1932">
        <f>IF(AND(NOT(ISBLANK(ReconciliationData[[#This Row],[last_return_date]])),ReconciliationData[[#This Row],[last_return_date]]&gt;ReconciliationData[[#This Row],[Order_Date]]+60),1,0)</f>
        <v>0</v>
      </c>
      <c r="V1932">
        <f>IF(ReconciliationData[[#This Row],[total_returned_units]]&gt;ReconciliationData[[#This Row],[ordered_units]],1,0)</f>
        <v>0</v>
      </c>
      <c r="W19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32">
        <f>ReconciliationData[[#This Row],[Billed_Units]]*ReconciliationData[[#This Row],[Billed_Price]]</f>
        <v>70096.5144</v>
      </c>
      <c r="Y1932">
        <f>ReconciliationData[[#This Row],[ordered_units]]*ReconciliationData[[#This Row],[List_Price]]</f>
        <v>70096.5144</v>
      </c>
      <c r="Z1932">
        <f>ReconciliationData[[#This Row],[billed_revenue]]-ReconciliationData[[#This Row],[expected_revenue]]</f>
        <v>0</v>
      </c>
      <c r="AA19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32" t="str">
        <f>IF(ReconciliationData[[#This Row],[severity_score]]=0,"LOW",
 IF(ReconciliationData[[#This Row],[severity_score]]&lt;=5,"MEDIUM","HIGH"))</f>
        <v>LOW</v>
      </c>
      <c r="AC1932" t="str">
        <f>TEXT(ReconciliationData[[#This Row],[Order_Date]],"YYYY-MM")</f>
        <v>2023-10</v>
      </c>
    </row>
    <row r="1933" spans="1:29">
      <c r="A1933" t="s">
        <v>5029</v>
      </c>
      <c r="B1933" s="1">
        <v>45190</v>
      </c>
      <c r="C1933" t="s">
        <v>3350</v>
      </c>
      <c r="D1933" t="s">
        <v>2187</v>
      </c>
      <c r="E1933">
        <v>38</v>
      </c>
      <c r="F1933" t="s">
        <v>5030</v>
      </c>
      <c r="G1933">
        <v>38</v>
      </c>
      <c r="H1933">
        <v>223.6044</v>
      </c>
      <c r="I1933">
        <v>15</v>
      </c>
      <c r="J1933" s="1">
        <v>45472</v>
      </c>
      <c r="N1933">
        <v>223.6044</v>
      </c>
      <c r="O1933" s="1">
        <v>45091</v>
      </c>
      <c r="P1933">
        <f>IF(ISBLANK(ReconciliationData[[#This Row],[Invoice_ID]]),1,0)</f>
        <v>0</v>
      </c>
      <c r="Q1933">
        <f>IF(AND(NOT(ISBLANK(ReconciliationData[[#This Row],[Billed_Units]])),ReconciliationData[[#This Row],[ordered_units]]&lt;&gt;ReconciliationData[[#This Row],[Billed_Units]]),1,0)</f>
        <v>0</v>
      </c>
      <c r="R19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3">
        <f>IF(AND(NOT(ISBLANK(ReconciliationData[[#This Row],[Contract_Price]])),ReconciliationData[[#This Row],[Billed_Price]]&lt;&gt;ReconciliationData[[#This Row],[Contract_Price]]),1,0)</f>
        <v>0</v>
      </c>
      <c r="T1933">
        <f>IF(AND(NOT(ISBLANK(ReconciliationData[[#This Row],[End_Date]])),ReconciliationData[[#This Row],[Order_Date]]&gt;ReconciliationData[[#This Row],[End_Date]]),1,0)</f>
        <v>0</v>
      </c>
      <c r="U1933">
        <f>IF(AND(NOT(ISBLANK(ReconciliationData[[#This Row],[last_return_date]])),ReconciliationData[[#This Row],[last_return_date]]&gt;ReconciliationData[[#This Row],[Order_Date]]+60),1,0)</f>
        <v>1</v>
      </c>
      <c r="V1933">
        <f>IF(ReconciliationData[[#This Row],[total_returned_units]]&gt;ReconciliationData[[#This Row],[ordered_units]],1,0)</f>
        <v>0</v>
      </c>
      <c r="W19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33">
        <f>ReconciliationData[[#This Row],[Billed_Units]]*ReconciliationData[[#This Row],[Billed_Price]]</f>
        <v>8496.9671999999991</v>
      </c>
      <c r="Y1933">
        <f>ReconciliationData[[#This Row],[ordered_units]]*ReconciliationData[[#This Row],[List_Price]]</f>
        <v>8496.9671999999991</v>
      </c>
      <c r="Z1933">
        <f>ReconciliationData[[#This Row],[billed_revenue]]-ReconciliationData[[#This Row],[expected_revenue]]</f>
        <v>0</v>
      </c>
      <c r="AA19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933" t="str">
        <f>IF(ReconciliationData[[#This Row],[severity_score]]=0,"LOW",
 IF(ReconciliationData[[#This Row],[severity_score]]&lt;=5,"MEDIUM","HIGH"))</f>
        <v>MEDIUM</v>
      </c>
      <c r="AC1933" t="str">
        <f>TEXT(ReconciliationData[[#This Row],[Order_Date]],"YYYY-MM")</f>
        <v>2023-09</v>
      </c>
    </row>
    <row r="1934" spans="1:29">
      <c r="A1934" t="s">
        <v>5031</v>
      </c>
      <c r="B1934" s="1">
        <v>45160</v>
      </c>
      <c r="C1934" t="s">
        <v>5032</v>
      </c>
      <c r="D1934" t="s">
        <v>2187</v>
      </c>
      <c r="E1934">
        <v>9</v>
      </c>
      <c r="F1934" t="s">
        <v>5033</v>
      </c>
      <c r="G1934">
        <v>9</v>
      </c>
      <c r="H1934">
        <v>223.6044</v>
      </c>
      <c r="N1934">
        <v>223.6044</v>
      </c>
      <c r="O1934" s="1">
        <v>45091</v>
      </c>
      <c r="P1934">
        <f>IF(ISBLANK(ReconciliationData[[#This Row],[Invoice_ID]]),1,0)</f>
        <v>0</v>
      </c>
      <c r="Q1934">
        <f>IF(AND(NOT(ISBLANK(ReconciliationData[[#This Row],[Billed_Units]])),ReconciliationData[[#This Row],[ordered_units]]&lt;&gt;ReconciliationData[[#This Row],[Billed_Units]]),1,0)</f>
        <v>0</v>
      </c>
      <c r="R19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4">
        <f>IF(AND(NOT(ISBLANK(ReconciliationData[[#This Row],[Contract_Price]])),ReconciliationData[[#This Row],[Billed_Price]]&lt;&gt;ReconciliationData[[#This Row],[Contract_Price]]),1,0)</f>
        <v>0</v>
      </c>
      <c r="T1934">
        <f>IF(AND(NOT(ISBLANK(ReconciliationData[[#This Row],[End_Date]])),ReconciliationData[[#This Row],[Order_Date]]&gt;ReconciliationData[[#This Row],[End_Date]]),1,0)</f>
        <v>0</v>
      </c>
      <c r="U1934">
        <f>IF(AND(NOT(ISBLANK(ReconciliationData[[#This Row],[last_return_date]])),ReconciliationData[[#This Row],[last_return_date]]&gt;ReconciliationData[[#This Row],[Order_Date]]+60),1,0)</f>
        <v>0</v>
      </c>
      <c r="V1934">
        <f>IF(ReconciliationData[[#This Row],[total_returned_units]]&gt;ReconciliationData[[#This Row],[ordered_units]],1,0)</f>
        <v>0</v>
      </c>
      <c r="W19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34">
        <f>ReconciliationData[[#This Row],[Billed_Units]]*ReconciliationData[[#This Row],[Billed_Price]]</f>
        <v>2012.4395999999999</v>
      </c>
      <c r="Y1934">
        <f>ReconciliationData[[#This Row],[ordered_units]]*ReconciliationData[[#This Row],[List_Price]]</f>
        <v>2012.4395999999999</v>
      </c>
      <c r="Z1934">
        <f>ReconciliationData[[#This Row],[billed_revenue]]-ReconciliationData[[#This Row],[expected_revenue]]</f>
        <v>0</v>
      </c>
      <c r="AA19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34" t="str">
        <f>IF(ReconciliationData[[#This Row],[severity_score]]=0,"LOW",
 IF(ReconciliationData[[#This Row],[severity_score]]&lt;=5,"MEDIUM","HIGH"))</f>
        <v>LOW</v>
      </c>
      <c r="AC1934" t="str">
        <f>TEXT(ReconciliationData[[#This Row],[Order_Date]],"YYYY-MM")</f>
        <v>2023-08</v>
      </c>
    </row>
    <row r="1935" spans="1:29">
      <c r="A1935" t="s">
        <v>5034</v>
      </c>
      <c r="B1935" s="1">
        <v>45634</v>
      </c>
      <c r="C1935" t="s">
        <v>1336</v>
      </c>
      <c r="D1935" t="s">
        <v>2283</v>
      </c>
      <c r="E1935">
        <v>167</v>
      </c>
      <c r="F1935" t="s">
        <v>5035</v>
      </c>
      <c r="G1935">
        <v>167</v>
      </c>
      <c r="H1935">
        <v>68.942999999999998</v>
      </c>
      <c r="N1935">
        <v>68.942999999999998</v>
      </c>
      <c r="O1935" s="1">
        <v>44998</v>
      </c>
      <c r="P1935">
        <f>IF(ISBLANK(ReconciliationData[[#This Row],[Invoice_ID]]),1,0)</f>
        <v>0</v>
      </c>
      <c r="Q1935">
        <f>IF(AND(NOT(ISBLANK(ReconciliationData[[#This Row],[Billed_Units]])),ReconciliationData[[#This Row],[ordered_units]]&lt;&gt;ReconciliationData[[#This Row],[Billed_Units]]),1,0)</f>
        <v>0</v>
      </c>
      <c r="R19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5">
        <f>IF(AND(NOT(ISBLANK(ReconciliationData[[#This Row],[Contract_Price]])),ReconciliationData[[#This Row],[Billed_Price]]&lt;&gt;ReconciliationData[[#This Row],[Contract_Price]]),1,0)</f>
        <v>0</v>
      </c>
      <c r="T1935">
        <f>IF(AND(NOT(ISBLANK(ReconciliationData[[#This Row],[End_Date]])),ReconciliationData[[#This Row],[Order_Date]]&gt;ReconciliationData[[#This Row],[End_Date]]),1,0)</f>
        <v>0</v>
      </c>
      <c r="U1935">
        <f>IF(AND(NOT(ISBLANK(ReconciliationData[[#This Row],[last_return_date]])),ReconciliationData[[#This Row],[last_return_date]]&gt;ReconciliationData[[#This Row],[Order_Date]]+60),1,0)</f>
        <v>0</v>
      </c>
      <c r="V1935">
        <f>IF(ReconciliationData[[#This Row],[total_returned_units]]&gt;ReconciliationData[[#This Row],[ordered_units]],1,0)</f>
        <v>0</v>
      </c>
      <c r="W19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35">
        <f>ReconciliationData[[#This Row],[Billed_Units]]*ReconciliationData[[#This Row],[Billed_Price]]</f>
        <v>11513.481</v>
      </c>
      <c r="Y1935">
        <f>ReconciliationData[[#This Row],[ordered_units]]*ReconciliationData[[#This Row],[List_Price]]</f>
        <v>11513.481</v>
      </c>
      <c r="Z1935">
        <f>ReconciliationData[[#This Row],[billed_revenue]]-ReconciliationData[[#This Row],[expected_revenue]]</f>
        <v>0</v>
      </c>
      <c r="AA19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35" t="str">
        <f>IF(ReconciliationData[[#This Row],[severity_score]]=0,"LOW",
 IF(ReconciliationData[[#This Row],[severity_score]]&lt;=5,"MEDIUM","HIGH"))</f>
        <v>LOW</v>
      </c>
      <c r="AC1935" t="str">
        <f>TEXT(ReconciliationData[[#This Row],[Order_Date]],"YYYY-MM")</f>
        <v>2024-12</v>
      </c>
    </row>
    <row r="1936" spans="1:29">
      <c r="A1936" t="s">
        <v>5036</v>
      </c>
      <c r="B1936" s="1">
        <v>45496</v>
      </c>
      <c r="C1936" t="s">
        <v>1280</v>
      </c>
      <c r="D1936" t="s">
        <v>600</v>
      </c>
      <c r="E1936">
        <v>3</v>
      </c>
      <c r="F1936" t="s">
        <v>5037</v>
      </c>
      <c r="G1936">
        <v>3</v>
      </c>
      <c r="H1936">
        <v>52.185000000000002</v>
      </c>
      <c r="N1936">
        <v>52.185000000000002</v>
      </c>
      <c r="O1936" s="1">
        <v>44998</v>
      </c>
      <c r="P1936">
        <f>IF(ISBLANK(ReconciliationData[[#This Row],[Invoice_ID]]),1,0)</f>
        <v>0</v>
      </c>
      <c r="Q1936">
        <f>IF(AND(NOT(ISBLANK(ReconciliationData[[#This Row],[Billed_Units]])),ReconciliationData[[#This Row],[ordered_units]]&lt;&gt;ReconciliationData[[#This Row],[Billed_Units]]),1,0)</f>
        <v>0</v>
      </c>
      <c r="R19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6">
        <f>IF(AND(NOT(ISBLANK(ReconciliationData[[#This Row],[Contract_Price]])),ReconciliationData[[#This Row],[Billed_Price]]&lt;&gt;ReconciliationData[[#This Row],[Contract_Price]]),1,0)</f>
        <v>0</v>
      </c>
      <c r="T1936">
        <f>IF(AND(NOT(ISBLANK(ReconciliationData[[#This Row],[End_Date]])),ReconciliationData[[#This Row],[Order_Date]]&gt;ReconciliationData[[#This Row],[End_Date]]),1,0)</f>
        <v>0</v>
      </c>
      <c r="U1936">
        <f>IF(AND(NOT(ISBLANK(ReconciliationData[[#This Row],[last_return_date]])),ReconciliationData[[#This Row],[last_return_date]]&gt;ReconciliationData[[#This Row],[Order_Date]]+60),1,0)</f>
        <v>0</v>
      </c>
      <c r="V1936">
        <f>IF(ReconciliationData[[#This Row],[total_returned_units]]&gt;ReconciliationData[[#This Row],[ordered_units]],1,0)</f>
        <v>0</v>
      </c>
      <c r="W19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36">
        <f>ReconciliationData[[#This Row],[Billed_Units]]*ReconciliationData[[#This Row],[Billed_Price]]</f>
        <v>156.55500000000001</v>
      </c>
      <c r="Y1936">
        <f>ReconciliationData[[#This Row],[ordered_units]]*ReconciliationData[[#This Row],[List_Price]]</f>
        <v>156.55500000000001</v>
      </c>
      <c r="Z1936">
        <f>ReconciliationData[[#This Row],[billed_revenue]]-ReconciliationData[[#This Row],[expected_revenue]]</f>
        <v>0</v>
      </c>
      <c r="AA19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36" t="str">
        <f>IF(ReconciliationData[[#This Row],[severity_score]]=0,"LOW",
 IF(ReconciliationData[[#This Row],[severity_score]]&lt;=5,"MEDIUM","HIGH"))</f>
        <v>LOW</v>
      </c>
      <c r="AC1936" t="str">
        <f>TEXT(ReconciliationData[[#This Row],[Order_Date]],"YYYY-MM")</f>
        <v>2024-07</v>
      </c>
    </row>
    <row r="1937" spans="1:29">
      <c r="A1937" t="s">
        <v>5038</v>
      </c>
      <c r="B1937" s="1">
        <v>45619</v>
      </c>
      <c r="C1937" t="s">
        <v>1149</v>
      </c>
      <c r="D1937" t="s">
        <v>1869</v>
      </c>
      <c r="E1937">
        <v>116</v>
      </c>
      <c r="F1937" t="s">
        <v>5039</v>
      </c>
      <c r="G1937">
        <v>116</v>
      </c>
      <c r="H1937">
        <v>75.504800000000003</v>
      </c>
      <c r="N1937">
        <v>75.504800000000003</v>
      </c>
      <c r="O1937" s="1">
        <v>45080</v>
      </c>
      <c r="P1937">
        <f>IF(ISBLANK(ReconciliationData[[#This Row],[Invoice_ID]]),1,0)</f>
        <v>0</v>
      </c>
      <c r="Q1937">
        <f>IF(AND(NOT(ISBLANK(ReconciliationData[[#This Row],[Billed_Units]])),ReconciliationData[[#This Row],[ordered_units]]&lt;&gt;ReconciliationData[[#This Row],[Billed_Units]]),1,0)</f>
        <v>0</v>
      </c>
      <c r="R19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7">
        <f>IF(AND(NOT(ISBLANK(ReconciliationData[[#This Row],[Contract_Price]])),ReconciliationData[[#This Row],[Billed_Price]]&lt;&gt;ReconciliationData[[#This Row],[Contract_Price]]),1,0)</f>
        <v>0</v>
      </c>
      <c r="T1937">
        <f>IF(AND(NOT(ISBLANK(ReconciliationData[[#This Row],[End_Date]])),ReconciliationData[[#This Row],[Order_Date]]&gt;ReconciliationData[[#This Row],[End_Date]]),1,0)</f>
        <v>0</v>
      </c>
      <c r="U1937">
        <f>IF(AND(NOT(ISBLANK(ReconciliationData[[#This Row],[last_return_date]])),ReconciliationData[[#This Row],[last_return_date]]&gt;ReconciliationData[[#This Row],[Order_Date]]+60),1,0)</f>
        <v>0</v>
      </c>
      <c r="V1937">
        <f>IF(ReconciliationData[[#This Row],[total_returned_units]]&gt;ReconciliationData[[#This Row],[ordered_units]],1,0)</f>
        <v>0</v>
      </c>
      <c r="W19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37">
        <f>ReconciliationData[[#This Row],[Billed_Units]]*ReconciliationData[[#This Row],[Billed_Price]]</f>
        <v>8758.5568000000003</v>
      </c>
      <c r="Y1937">
        <f>ReconciliationData[[#This Row],[ordered_units]]*ReconciliationData[[#This Row],[List_Price]]</f>
        <v>8758.5568000000003</v>
      </c>
      <c r="Z1937">
        <f>ReconciliationData[[#This Row],[billed_revenue]]-ReconciliationData[[#This Row],[expected_revenue]]</f>
        <v>0</v>
      </c>
      <c r="AA19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37" t="str">
        <f>IF(ReconciliationData[[#This Row],[severity_score]]=0,"LOW",
 IF(ReconciliationData[[#This Row],[severity_score]]&lt;=5,"MEDIUM","HIGH"))</f>
        <v>LOW</v>
      </c>
      <c r="AC1937" t="str">
        <f>TEXT(ReconciliationData[[#This Row],[Order_Date]],"YYYY-MM")</f>
        <v>2024-11</v>
      </c>
    </row>
    <row r="1938" spans="1:29">
      <c r="A1938" t="s">
        <v>5040</v>
      </c>
      <c r="B1938" s="1">
        <v>45428</v>
      </c>
      <c r="C1938" t="s">
        <v>4317</v>
      </c>
      <c r="D1938" t="s">
        <v>408</v>
      </c>
      <c r="E1938">
        <v>28</v>
      </c>
      <c r="F1938" t="s">
        <v>5041</v>
      </c>
      <c r="G1938">
        <v>28</v>
      </c>
      <c r="H1938">
        <v>660.96040000000005</v>
      </c>
      <c r="N1938">
        <v>660.96040000000005</v>
      </c>
      <c r="O1938" s="1">
        <v>44947</v>
      </c>
      <c r="P1938">
        <f>IF(ISBLANK(ReconciliationData[[#This Row],[Invoice_ID]]),1,0)</f>
        <v>0</v>
      </c>
      <c r="Q1938">
        <f>IF(AND(NOT(ISBLANK(ReconciliationData[[#This Row],[Billed_Units]])),ReconciliationData[[#This Row],[ordered_units]]&lt;&gt;ReconciliationData[[#This Row],[Billed_Units]]),1,0)</f>
        <v>0</v>
      </c>
      <c r="R19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8">
        <f>IF(AND(NOT(ISBLANK(ReconciliationData[[#This Row],[Contract_Price]])),ReconciliationData[[#This Row],[Billed_Price]]&lt;&gt;ReconciliationData[[#This Row],[Contract_Price]]),1,0)</f>
        <v>0</v>
      </c>
      <c r="T1938">
        <f>IF(AND(NOT(ISBLANK(ReconciliationData[[#This Row],[End_Date]])),ReconciliationData[[#This Row],[Order_Date]]&gt;ReconciliationData[[#This Row],[End_Date]]),1,0)</f>
        <v>0</v>
      </c>
      <c r="U1938">
        <f>IF(AND(NOT(ISBLANK(ReconciliationData[[#This Row],[last_return_date]])),ReconciliationData[[#This Row],[last_return_date]]&gt;ReconciliationData[[#This Row],[Order_Date]]+60),1,0)</f>
        <v>0</v>
      </c>
      <c r="V1938">
        <f>IF(ReconciliationData[[#This Row],[total_returned_units]]&gt;ReconciliationData[[#This Row],[ordered_units]],1,0)</f>
        <v>0</v>
      </c>
      <c r="W19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38">
        <f>ReconciliationData[[#This Row],[Billed_Units]]*ReconciliationData[[#This Row],[Billed_Price]]</f>
        <v>18506.891200000002</v>
      </c>
      <c r="Y1938">
        <f>ReconciliationData[[#This Row],[ordered_units]]*ReconciliationData[[#This Row],[List_Price]]</f>
        <v>18506.891200000002</v>
      </c>
      <c r="Z1938">
        <f>ReconciliationData[[#This Row],[billed_revenue]]-ReconciliationData[[#This Row],[expected_revenue]]</f>
        <v>0</v>
      </c>
      <c r="AA19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38" t="str">
        <f>IF(ReconciliationData[[#This Row],[severity_score]]=0,"LOW",
 IF(ReconciliationData[[#This Row],[severity_score]]&lt;=5,"MEDIUM","HIGH"))</f>
        <v>LOW</v>
      </c>
      <c r="AC1938" t="str">
        <f>TEXT(ReconciliationData[[#This Row],[Order_Date]],"YYYY-MM")</f>
        <v>2024-05</v>
      </c>
    </row>
    <row r="1939" spans="1:29">
      <c r="A1939" t="s">
        <v>5042</v>
      </c>
      <c r="B1939" s="1">
        <v>45212</v>
      </c>
      <c r="C1939" t="s">
        <v>388</v>
      </c>
      <c r="D1939" t="s">
        <v>2245</v>
      </c>
      <c r="E1939">
        <v>58</v>
      </c>
      <c r="F1939" t="s">
        <v>5043</v>
      </c>
      <c r="G1939">
        <v>58</v>
      </c>
      <c r="H1939">
        <v>378.91109999999998</v>
      </c>
      <c r="I1939">
        <v>19</v>
      </c>
      <c r="J1939" s="1">
        <v>45205</v>
      </c>
      <c r="N1939">
        <v>378.91109999999998</v>
      </c>
      <c r="O1939" s="1">
        <v>45117</v>
      </c>
      <c r="P1939">
        <f>IF(ISBLANK(ReconciliationData[[#This Row],[Invoice_ID]]),1,0)</f>
        <v>0</v>
      </c>
      <c r="Q1939">
        <f>IF(AND(NOT(ISBLANK(ReconciliationData[[#This Row],[Billed_Units]])),ReconciliationData[[#This Row],[ordered_units]]&lt;&gt;ReconciliationData[[#This Row],[Billed_Units]]),1,0)</f>
        <v>0</v>
      </c>
      <c r="R19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39">
        <f>IF(AND(NOT(ISBLANK(ReconciliationData[[#This Row],[Contract_Price]])),ReconciliationData[[#This Row],[Billed_Price]]&lt;&gt;ReconciliationData[[#This Row],[Contract_Price]]),1,0)</f>
        <v>0</v>
      </c>
      <c r="T1939">
        <f>IF(AND(NOT(ISBLANK(ReconciliationData[[#This Row],[End_Date]])),ReconciliationData[[#This Row],[Order_Date]]&gt;ReconciliationData[[#This Row],[End_Date]]),1,0)</f>
        <v>0</v>
      </c>
      <c r="U1939">
        <f>IF(AND(NOT(ISBLANK(ReconciliationData[[#This Row],[last_return_date]])),ReconciliationData[[#This Row],[last_return_date]]&gt;ReconciliationData[[#This Row],[Order_Date]]+60),1,0)</f>
        <v>0</v>
      </c>
      <c r="V1939">
        <f>IF(ReconciliationData[[#This Row],[total_returned_units]]&gt;ReconciliationData[[#This Row],[ordered_units]],1,0)</f>
        <v>0</v>
      </c>
      <c r="W19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39">
        <f>ReconciliationData[[#This Row],[Billed_Units]]*ReconciliationData[[#This Row],[Billed_Price]]</f>
        <v>21976.843799999999</v>
      </c>
      <c r="Y1939">
        <f>ReconciliationData[[#This Row],[ordered_units]]*ReconciliationData[[#This Row],[List_Price]]</f>
        <v>21976.843799999999</v>
      </c>
      <c r="Z1939">
        <f>ReconciliationData[[#This Row],[billed_revenue]]-ReconciliationData[[#This Row],[expected_revenue]]</f>
        <v>0</v>
      </c>
      <c r="AA19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39" t="str">
        <f>IF(ReconciliationData[[#This Row],[severity_score]]=0,"LOW",
 IF(ReconciliationData[[#This Row],[severity_score]]&lt;=5,"MEDIUM","HIGH"))</f>
        <v>LOW</v>
      </c>
      <c r="AC1939" t="str">
        <f>TEXT(ReconciliationData[[#This Row],[Order_Date]],"YYYY-MM")</f>
        <v>2023-10</v>
      </c>
    </row>
    <row r="1940" spans="1:29">
      <c r="A1940" t="s">
        <v>5044</v>
      </c>
      <c r="B1940" s="1">
        <v>45162</v>
      </c>
      <c r="C1940" t="s">
        <v>746</v>
      </c>
      <c r="D1940" t="s">
        <v>997</v>
      </c>
      <c r="E1940">
        <v>72</v>
      </c>
      <c r="F1940" t="s">
        <v>5045</v>
      </c>
      <c r="G1940">
        <v>72</v>
      </c>
      <c r="H1940">
        <v>1153.4984999999999</v>
      </c>
      <c r="N1940">
        <v>1153.4984999999999</v>
      </c>
      <c r="O1940" s="1">
        <v>44962</v>
      </c>
      <c r="P1940">
        <f>IF(ISBLANK(ReconciliationData[[#This Row],[Invoice_ID]]),1,0)</f>
        <v>0</v>
      </c>
      <c r="Q1940">
        <f>IF(AND(NOT(ISBLANK(ReconciliationData[[#This Row],[Billed_Units]])),ReconciliationData[[#This Row],[ordered_units]]&lt;&gt;ReconciliationData[[#This Row],[Billed_Units]]),1,0)</f>
        <v>0</v>
      </c>
      <c r="R19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40">
        <f>IF(AND(NOT(ISBLANK(ReconciliationData[[#This Row],[Contract_Price]])),ReconciliationData[[#This Row],[Billed_Price]]&lt;&gt;ReconciliationData[[#This Row],[Contract_Price]]),1,0)</f>
        <v>0</v>
      </c>
      <c r="T1940">
        <f>IF(AND(NOT(ISBLANK(ReconciliationData[[#This Row],[End_Date]])),ReconciliationData[[#This Row],[Order_Date]]&gt;ReconciliationData[[#This Row],[End_Date]]),1,0)</f>
        <v>0</v>
      </c>
      <c r="U1940">
        <f>IF(AND(NOT(ISBLANK(ReconciliationData[[#This Row],[last_return_date]])),ReconciliationData[[#This Row],[last_return_date]]&gt;ReconciliationData[[#This Row],[Order_Date]]+60),1,0)</f>
        <v>0</v>
      </c>
      <c r="V1940">
        <f>IF(ReconciliationData[[#This Row],[total_returned_units]]&gt;ReconciliationData[[#This Row],[ordered_units]],1,0)</f>
        <v>0</v>
      </c>
      <c r="W19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40">
        <f>ReconciliationData[[#This Row],[Billed_Units]]*ReconciliationData[[#This Row],[Billed_Price]]</f>
        <v>83051.891999999993</v>
      </c>
      <c r="Y1940">
        <f>ReconciliationData[[#This Row],[ordered_units]]*ReconciliationData[[#This Row],[List_Price]]</f>
        <v>83051.891999999993</v>
      </c>
      <c r="Z1940">
        <f>ReconciliationData[[#This Row],[billed_revenue]]-ReconciliationData[[#This Row],[expected_revenue]]</f>
        <v>0</v>
      </c>
      <c r="AA19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40" t="str">
        <f>IF(ReconciliationData[[#This Row],[severity_score]]=0,"LOW",
 IF(ReconciliationData[[#This Row],[severity_score]]&lt;=5,"MEDIUM","HIGH"))</f>
        <v>LOW</v>
      </c>
      <c r="AC1940" t="str">
        <f>TEXT(ReconciliationData[[#This Row],[Order_Date]],"YYYY-MM")</f>
        <v>2023-08</v>
      </c>
    </row>
    <row r="1941" spans="1:29">
      <c r="A1941" t="s">
        <v>5046</v>
      </c>
      <c r="B1941" s="1">
        <v>45236</v>
      </c>
      <c r="C1941" t="s">
        <v>3797</v>
      </c>
      <c r="D1941" t="s">
        <v>206</v>
      </c>
      <c r="E1941">
        <v>34</v>
      </c>
      <c r="F1941" t="s">
        <v>5047</v>
      </c>
      <c r="G1941">
        <v>34</v>
      </c>
      <c r="H1941">
        <v>338.6422928082315</v>
      </c>
      <c r="N1941">
        <v>337.47280000000001</v>
      </c>
      <c r="O1941" s="1">
        <v>45171</v>
      </c>
      <c r="P1941">
        <f>IF(ISBLANK(ReconciliationData[[#This Row],[Invoice_ID]]),1,0)</f>
        <v>0</v>
      </c>
      <c r="Q1941">
        <f>IF(AND(NOT(ISBLANK(ReconciliationData[[#This Row],[Billed_Units]])),ReconciliationData[[#This Row],[ordered_units]]&lt;&gt;ReconciliationData[[#This Row],[Billed_Units]]),1,0)</f>
        <v>0</v>
      </c>
      <c r="R1941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941">
        <f>IF(AND(NOT(ISBLANK(ReconciliationData[[#This Row],[Contract_Price]])),ReconciliationData[[#This Row],[Billed_Price]]&lt;&gt;ReconciliationData[[#This Row],[Contract_Price]]),1,0)</f>
        <v>0</v>
      </c>
      <c r="T1941">
        <f>IF(AND(NOT(ISBLANK(ReconciliationData[[#This Row],[End_Date]])),ReconciliationData[[#This Row],[Order_Date]]&gt;ReconciliationData[[#This Row],[End_Date]]),1,0)</f>
        <v>0</v>
      </c>
      <c r="U1941">
        <f>IF(AND(NOT(ISBLANK(ReconciliationData[[#This Row],[last_return_date]])),ReconciliationData[[#This Row],[last_return_date]]&gt;ReconciliationData[[#This Row],[Order_Date]]+60),1,0)</f>
        <v>0</v>
      </c>
      <c r="V1941">
        <f>IF(ReconciliationData[[#This Row],[total_returned_units]]&gt;ReconciliationData[[#This Row],[ordered_units]],1,0)</f>
        <v>0</v>
      </c>
      <c r="W19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41">
        <f>ReconciliationData[[#This Row],[Billed_Units]]*ReconciliationData[[#This Row],[Billed_Price]]</f>
        <v>11513.83795547987</v>
      </c>
      <c r="Y1941">
        <f>ReconciliationData[[#This Row],[ordered_units]]*ReconciliationData[[#This Row],[List_Price]]</f>
        <v>11474.075199999999</v>
      </c>
      <c r="Z1941">
        <f>ReconciliationData[[#This Row],[billed_revenue]]-ReconciliationData[[#This Row],[expected_revenue]]</f>
        <v>39.762755479870975</v>
      </c>
      <c r="AA19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941" t="str">
        <f>IF(ReconciliationData[[#This Row],[severity_score]]=0,"LOW",
 IF(ReconciliationData[[#This Row],[severity_score]]&lt;=5,"MEDIUM","HIGH"))</f>
        <v>MEDIUM</v>
      </c>
      <c r="AC1941" t="str">
        <f>TEXT(ReconciliationData[[#This Row],[Order_Date]],"YYYY-MM")</f>
        <v>2023-11</v>
      </c>
    </row>
    <row r="1942" spans="1:29">
      <c r="A1942" t="s">
        <v>5048</v>
      </c>
      <c r="B1942" s="1">
        <v>45579</v>
      </c>
      <c r="C1942" t="s">
        <v>771</v>
      </c>
      <c r="D1942" t="s">
        <v>419</v>
      </c>
      <c r="E1942">
        <v>101</v>
      </c>
      <c r="F1942" t="s">
        <v>5049</v>
      </c>
      <c r="G1942">
        <v>101</v>
      </c>
      <c r="H1942">
        <v>1016.9848</v>
      </c>
      <c r="N1942">
        <v>1016.9848</v>
      </c>
      <c r="O1942" s="1">
        <v>45033</v>
      </c>
      <c r="P1942">
        <f>IF(ISBLANK(ReconciliationData[[#This Row],[Invoice_ID]]),1,0)</f>
        <v>0</v>
      </c>
      <c r="Q1942">
        <f>IF(AND(NOT(ISBLANK(ReconciliationData[[#This Row],[Billed_Units]])),ReconciliationData[[#This Row],[ordered_units]]&lt;&gt;ReconciliationData[[#This Row],[Billed_Units]]),1,0)</f>
        <v>0</v>
      </c>
      <c r="R19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42">
        <f>IF(AND(NOT(ISBLANK(ReconciliationData[[#This Row],[Contract_Price]])),ReconciliationData[[#This Row],[Billed_Price]]&lt;&gt;ReconciliationData[[#This Row],[Contract_Price]]),1,0)</f>
        <v>0</v>
      </c>
      <c r="T1942">
        <f>IF(AND(NOT(ISBLANK(ReconciliationData[[#This Row],[End_Date]])),ReconciliationData[[#This Row],[Order_Date]]&gt;ReconciliationData[[#This Row],[End_Date]]),1,0)</f>
        <v>0</v>
      </c>
      <c r="U1942">
        <f>IF(AND(NOT(ISBLANK(ReconciliationData[[#This Row],[last_return_date]])),ReconciliationData[[#This Row],[last_return_date]]&gt;ReconciliationData[[#This Row],[Order_Date]]+60),1,0)</f>
        <v>0</v>
      </c>
      <c r="V1942">
        <f>IF(ReconciliationData[[#This Row],[total_returned_units]]&gt;ReconciliationData[[#This Row],[ordered_units]],1,0)</f>
        <v>0</v>
      </c>
      <c r="W19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42">
        <f>ReconciliationData[[#This Row],[Billed_Units]]*ReconciliationData[[#This Row],[Billed_Price]]</f>
        <v>102715.4648</v>
      </c>
      <c r="Y1942">
        <f>ReconciliationData[[#This Row],[ordered_units]]*ReconciliationData[[#This Row],[List_Price]]</f>
        <v>102715.4648</v>
      </c>
      <c r="Z1942">
        <f>ReconciliationData[[#This Row],[billed_revenue]]-ReconciliationData[[#This Row],[expected_revenue]]</f>
        <v>0</v>
      </c>
      <c r="AA19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42" t="str">
        <f>IF(ReconciliationData[[#This Row],[severity_score]]=0,"LOW",
 IF(ReconciliationData[[#This Row],[severity_score]]&lt;=5,"MEDIUM","HIGH"))</f>
        <v>LOW</v>
      </c>
      <c r="AC1942" t="str">
        <f>TEXT(ReconciliationData[[#This Row],[Order_Date]],"YYYY-MM")</f>
        <v>2024-10</v>
      </c>
    </row>
    <row r="1943" spans="1:29">
      <c r="A1943" t="s">
        <v>5050</v>
      </c>
      <c r="B1943" s="1">
        <v>45045</v>
      </c>
      <c r="C1943" t="s">
        <v>161</v>
      </c>
      <c r="D1943" t="s">
        <v>764</v>
      </c>
      <c r="E1943">
        <v>16</v>
      </c>
      <c r="F1943" t="s">
        <v>5051</v>
      </c>
      <c r="G1943">
        <v>16</v>
      </c>
      <c r="H1943">
        <v>1220.5917999999999</v>
      </c>
      <c r="N1943">
        <v>1220.5917999999999</v>
      </c>
      <c r="O1943" s="1">
        <v>45016</v>
      </c>
      <c r="P1943">
        <f>IF(ISBLANK(ReconciliationData[[#This Row],[Invoice_ID]]),1,0)</f>
        <v>0</v>
      </c>
      <c r="Q1943">
        <f>IF(AND(NOT(ISBLANK(ReconciliationData[[#This Row],[Billed_Units]])),ReconciliationData[[#This Row],[ordered_units]]&lt;&gt;ReconciliationData[[#This Row],[Billed_Units]]),1,0)</f>
        <v>0</v>
      </c>
      <c r="R19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43">
        <f>IF(AND(NOT(ISBLANK(ReconciliationData[[#This Row],[Contract_Price]])),ReconciliationData[[#This Row],[Billed_Price]]&lt;&gt;ReconciliationData[[#This Row],[Contract_Price]]),1,0)</f>
        <v>0</v>
      </c>
      <c r="T1943">
        <f>IF(AND(NOT(ISBLANK(ReconciliationData[[#This Row],[End_Date]])),ReconciliationData[[#This Row],[Order_Date]]&gt;ReconciliationData[[#This Row],[End_Date]]),1,0)</f>
        <v>0</v>
      </c>
      <c r="U1943">
        <f>IF(AND(NOT(ISBLANK(ReconciliationData[[#This Row],[last_return_date]])),ReconciliationData[[#This Row],[last_return_date]]&gt;ReconciliationData[[#This Row],[Order_Date]]+60),1,0)</f>
        <v>0</v>
      </c>
      <c r="V1943">
        <f>IF(ReconciliationData[[#This Row],[total_returned_units]]&gt;ReconciliationData[[#This Row],[ordered_units]],1,0)</f>
        <v>0</v>
      </c>
      <c r="W19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43">
        <f>ReconciliationData[[#This Row],[Billed_Units]]*ReconciliationData[[#This Row],[Billed_Price]]</f>
        <v>19529.468799999999</v>
      </c>
      <c r="Y1943">
        <f>ReconciliationData[[#This Row],[ordered_units]]*ReconciliationData[[#This Row],[List_Price]]</f>
        <v>19529.468799999999</v>
      </c>
      <c r="Z1943">
        <f>ReconciliationData[[#This Row],[billed_revenue]]-ReconciliationData[[#This Row],[expected_revenue]]</f>
        <v>0</v>
      </c>
      <c r="AA19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43" t="str">
        <f>IF(ReconciliationData[[#This Row],[severity_score]]=0,"LOW",
 IF(ReconciliationData[[#This Row],[severity_score]]&lt;=5,"MEDIUM","HIGH"))</f>
        <v>LOW</v>
      </c>
      <c r="AC1943" t="str">
        <f>TEXT(ReconciliationData[[#This Row],[Order_Date]],"YYYY-MM")</f>
        <v>2023-04</v>
      </c>
    </row>
    <row r="1944" spans="1:29">
      <c r="A1944" t="s">
        <v>5052</v>
      </c>
      <c r="B1944" s="1">
        <v>45345</v>
      </c>
      <c r="C1944" t="s">
        <v>1391</v>
      </c>
      <c r="D1944" t="s">
        <v>317</v>
      </c>
      <c r="E1944">
        <v>176</v>
      </c>
      <c r="F1944" t="s">
        <v>5053</v>
      </c>
      <c r="G1944">
        <v>176</v>
      </c>
      <c r="H1944">
        <v>1119.3012000000001</v>
      </c>
      <c r="N1944">
        <v>1119.3012000000001</v>
      </c>
      <c r="O1944" s="1">
        <v>45091</v>
      </c>
      <c r="P1944">
        <f>IF(ISBLANK(ReconciliationData[[#This Row],[Invoice_ID]]),1,0)</f>
        <v>0</v>
      </c>
      <c r="Q1944">
        <f>IF(AND(NOT(ISBLANK(ReconciliationData[[#This Row],[Billed_Units]])),ReconciliationData[[#This Row],[ordered_units]]&lt;&gt;ReconciliationData[[#This Row],[Billed_Units]]),1,0)</f>
        <v>0</v>
      </c>
      <c r="R19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44">
        <f>IF(AND(NOT(ISBLANK(ReconciliationData[[#This Row],[Contract_Price]])),ReconciliationData[[#This Row],[Billed_Price]]&lt;&gt;ReconciliationData[[#This Row],[Contract_Price]]),1,0)</f>
        <v>0</v>
      </c>
      <c r="T1944">
        <f>IF(AND(NOT(ISBLANK(ReconciliationData[[#This Row],[End_Date]])),ReconciliationData[[#This Row],[Order_Date]]&gt;ReconciliationData[[#This Row],[End_Date]]),1,0)</f>
        <v>0</v>
      </c>
      <c r="U1944">
        <f>IF(AND(NOT(ISBLANK(ReconciliationData[[#This Row],[last_return_date]])),ReconciliationData[[#This Row],[last_return_date]]&gt;ReconciliationData[[#This Row],[Order_Date]]+60),1,0)</f>
        <v>0</v>
      </c>
      <c r="V1944">
        <f>IF(ReconciliationData[[#This Row],[total_returned_units]]&gt;ReconciliationData[[#This Row],[ordered_units]],1,0)</f>
        <v>0</v>
      </c>
      <c r="W19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44">
        <f>ReconciliationData[[#This Row],[Billed_Units]]*ReconciliationData[[#This Row],[Billed_Price]]</f>
        <v>196997.01120000001</v>
      </c>
      <c r="Y1944">
        <f>ReconciliationData[[#This Row],[ordered_units]]*ReconciliationData[[#This Row],[List_Price]]</f>
        <v>196997.01120000001</v>
      </c>
      <c r="Z1944">
        <f>ReconciliationData[[#This Row],[billed_revenue]]-ReconciliationData[[#This Row],[expected_revenue]]</f>
        <v>0</v>
      </c>
      <c r="AA19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44" t="str">
        <f>IF(ReconciliationData[[#This Row],[severity_score]]=0,"LOW",
 IF(ReconciliationData[[#This Row],[severity_score]]&lt;=5,"MEDIUM","HIGH"))</f>
        <v>LOW</v>
      </c>
      <c r="AC1944" t="str">
        <f>TEXT(ReconciliationData[[#This Row],[Order_Date]],"YYYY-MM")</f>
        <v>2024-02</v>
      </c>
    </row>
    <row r="1945" spans="1:29">
      <c r="A1945" t="s">
        <v>5054</v>
      </c>
      <c r="B1945" s="1">
        <v>45494</v>
      </c>
      <c r="C1945" t="s">
        <v>1789</v>
      </c>
      <c r="D1945" t="s">
        <v>1549</v>
      </c>
      <c r="E1945">
        <v>79</v>
      </c>
      <c r="F1945" t="s">
        <v>5055</v>
      </c>
      <c r="G1945">
        <v>79</v>
      </c>
      <c r="H1945">
        <v>234.87090000000001</v>
      </c>
      <c r="N1945">
        <v>234.87090000000001</v>
      </c>
      <c r="O1945" s="1">
        <v>45150</v>
      </c>
      <c r="P1945">
        <f>IF(ISBLANK(ReconciliationData[[#This Row],[Invoice_ID]]),1,0)</f>
        <v>0</v>
      </c>
      <c r="Q1945">
        <f>IF(AND(NOT(ISBLANK(ReconciliationData[[#This Row],[Billed_Units]])),ReconciliationData[[#This Row],[ordered_units]]&lt;&gt;ReconciliationData[[#This Row],[Billed_Units]]),1,0)</f>
        <v>0</v>
      </c>
      <c r="R19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45">
        <f>IF(AND(NOT(ISBLANK(ReconciliationData[[#This Row],[Contract_Price]])),ReconciliationData[[#This Row],[Billed_Price]]&lt;&gt;ReconciliationData[[#This Row],[Contract_Price]]),1,0)</f>
        <v>0</v>
      </c>
      <c r="T1945">
        <f>IF(AND(NOT(ISBLANK(ReconciliationData[[#This Row],[End_Date]])),ReconciliationData[[#This Row],[Order_Date]]&gt;ReconciliationData[[#This Row],[End_Date]]),1,0)</f>
        <v>0</v>
      </c>
      <c r="U1945">
        <f>IF(AND(NOT(ISBLANK(ReconciliationData[[#This Row],[last_return_date]])),ReconciliationData[[#This Row],[last_return_date]]&gt;ReconciliationData[[#This Row],[Order_Date]]+60),1,0)</f>
        <v>0</v>
      </c>
      <c r="V1945">
        <f>IF(ReconciliationData[[#This Row],[total_returned_units]]&gt;ReconciliationData[[#This Row],[ordered_units]],1,0)</f>
        <v>0</v>
      </c>
      <c r="W19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45">
        <f>ReconciliationData[[#This Row],[Billed_Units]]*ReconciliationData[[#This Row],[Billed_Price]]</f>
        <v>18554.801100000001</v>
      </c>
      <c r="Y1945">
        <f>ReconciliationData[[#This Row],[ordered_units]]*ReconciliationData[[#This Row],[List_Price]]</f>
        <v>18554.801100000001</v>
      </c>
      <c r="Z1945">
        <f>ReconciliationData[[#This Row],[billed_revenue]]-ReconciliationData[[#This Row],[expected_revenue]]</f>
        <v>0</v>
      </c>
      <c r="AA19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45" t="str">
        <f>IF(ReconciliationData[[#This Row],[severity_score]]=0,"LOW",
 IF(ReconciliationData[[#This Row],[severity_score]]&lt;=5,"MEDIUM","HIGH"))</f>
        <v>LOW</v>
      </c>
      <c r="AC1945" t="str">
        <f>TEXT(ReconciliationData[[#This Row],[Order_Date]],"YYYY-MM")</f>
        <v>2024-07</v>
      </c>
    </row>
    <row r="1946" spans="1:29">
      <c r="A1946" t="s">
        <v>5056</v>
      </c>
      <c r="B1946" s="1">
        <v>45467</v>
      </c>
      <c r="C1946" t="s">
        <v>1388</v>
      </c>
      <c r="D1946" t="s">
        <v>3297</v>
      </c>
      <c r="E1946">
        <v>69</v>
      </c>
      <c r="F1946" t="s">
        <v>5057</v>
      </c>
      <c r="G1946">
        <v>69</v>
      </c>
      <c r="H1946">
        <v>933.43190000000004</v>
      </c>
      <c r="I1946">
        <v>15</v>
      </c>
      <c r="J1946" s="1">
        <v>44982</v>
      </c>
      <c r="N1946">
        <v>933.43190000000004</v>
      </c>
      <c r="O1946" s="1">
        <v>45011</v>
      </c>
      <c r="P1946">
        <f>IF(ISBLANK(ReconciliationData[[#This Row],[Invoice_ID]]),1,0)</f>
        <v>0</v>
      </c>
      <c r="Q1946">
        <f>IF(AND(NOT(ISBLANK(ReconciliationData[[#This Row],[Billed_Units]])),ReconciliationData[[#This Row],[ordered_units]]&lt;&gt;ReconciliationData[[#This Row],[Billed_Units]]),1,0)</f>
        <v>0</v>
      </c>
      <c r="R19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46">
        <f>IF(AND(NOT(ISBLANK(ReconciliationData[[#This Row],[Contract_Price]])),ReconciliationData[[#This Row],[Billed_Price]]&lt;&gt;ReconciliationData[[#This Row],[Contract_Price]]),1,0)</f>
        <v>0</v>
      </c>
      <c r="T1946">
        <f>IF(AND(NOT(ISBLANK(ReconciliationData[[#This Row],[End_Date]])),ReconciliationData[[#This Row],[Order_Date]]&gt;ReconciliationData[[#This Row],[End_Date]]),1,0)</f>
        <v>0</v>
      </c>
      <c r="U1946">
        <f>IF(AND(NOT(ISBLANK(ReconciliationData[[#This Row],[last_return_date]])),ReconciliationData[[#This Row],[last_return_date]]&gt;ReconciliationData[[#This Row],[Order_Date]]+60),1,0)</f>
        <v>0</v>
      </c>
      <c r="V1946">
        <f>IF(ReconciliationData[[#This Row],[total_returned_units]]&gt;ReconciliationData[[#This Row],[ordered_units]],1,0)</f>
        <v>0</v>
      </c>
      <c r="W19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46">
        <f>ReconciliationData[[#This Row],[Billed_Units]]*ReconciliationData[[#This Row],[Billed_Price]]</f>
        <v>64406.801100000004</v>
      </c>
      <c r="Y1946">
        <f>ReconciliationData[[#This Row],[ordered_units]]*ReconciliationData[[#This Row],[List_Price]]</f>
        <v>64406.801100000004</v>
      </c>
      <c r="Z1946">
        <f>ReconciliationData[[#This Row],[billed_revenue]]-ReconciliationData[[#This Row],[expected_revenue]]</f>
        <v>0</v>
      </c>
      <c r="AA19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46" t="str">
        <f>IF(ReconciliationData[[#This Row],[severity_score]]=0,"LOW",
 IF(ReconciliationData[[#This Row],[severity_score]]&lt;=5,"MEDIUM","HIGH"))</f>
        <v>LOW</v>
      </c>
      <c r="AC1946" t="str">
        <f>TEXT(ReconciliationData[[#This Row],[Order_Date]],"YYYY-MM")</f>
        <v>2024-06</v>
      </c>
    </row>
    <row r="1947" spans="1:29">
      <c r="A1947" t="s">
        <v>5058</v>
      </c>
      <c r="B1947" s="1">
        <v>45162</v>
      </c>
      <c r="C1947" t="s">
        <v>5013</v>
      </c>
      <c r="D1947" t="s">
        <v>1294</v>
      </c>
      <c r="E1947">
        <v>180</v>
      </c>
      <c r="F1947" t="s">
        <v>5059</v>
      </c>
      <c r="G1947">
        <v>180</v>
      </c>
      <c r="H1947">
        <v>825.40440000000001</v>
      </c>
      <c r="N1947">
        <v>825.40440000000001</v>
      </c>
      <c r="O1947" s="1">
        <v>45105</v>
      </c>
      <c r="P1947">
        <f>IF(ISBLANK(ReconciliationData[[#This Row],[Invoice_ID]]),1,0)</f>
        <v>0</v>
      </c>
      <c r="Q1947">
        <f>IF(AND(NOT(ISBLANK(ReconciliationData[[#This Row],[Billed_Units]])),ReconciliationData[[#This Row],[ordered_units]]&lt;&gt;ReconciliationData[[#This Row],[Billed_Units]]),1,0)</f>
        <v>0</v>
      </c>
      <c r="R19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47">
        <f>IF(AND(NOT(ISBLANK(ReconciliationData[[#This Row],[Contract_Price]])),ReconciliationData[[#This Row],[Billed_Price]]&lt;&gt;ReconciliationData[[#This Row],[Contract_Price]]),1,0)</f>
        <v>0</v>
      </c>
      <c r="T1947">
        <f>IF(AND(NOT(ISBLANK(ReconciliationData[[#This Row],[End_Date]])),ReconciliationData[[#This Row],[Order_Date]]&gt;ReconciliationData[[#This Row],[End_Date]]),1,0)</f>
        <v>0</v>
      </c>
      <c r="U1947">
        <f>IF(AND(NOT(ISBLANK(ReconciliationData[[#This Row],[last_return_date]])),ReconciliationData[[#This Row],[last_return_date]]&gt;ReconciliationData[[#This Row],[Order_Date]]+60),1,0)</f>
        <v>0</v>
      </c>
      <c r="V1947">
        <f>IF(ReconciliationData[[#This Row],[total_returned_units]]&gt;ReconciliationData[[#This Row],[ordered_units]],1,0)</f>
        <v>0</v>
      </c>
      <c r="W19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47">
        <f>ReconciliationData[[#This Row],[Billed_Units]]*ReconciliationData[[#This Row],[Billed_Price]]</f>
        <v>148572.79200000002</v>
      </c>
      <c r="Y1947">
        <f>ReconciliationData[[#This Row],[ordered_units]]*ReconciliationData[[#This Row],[List_Price]]</f>
        <v>148572.79200000002</v>
      </c>
      <c r="Z1947">
        <f>ReconciliationData[[#This Row],[billed_revenue]]-ReconciliationData[[#This Row],[expected_revenue]]</f>
        <v>0</v>
      </c>
      <c r="AA19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47" t="str">
        <f>IF(ReconciliationData[[#This Row],[severity_score]]=0,"LOW",
 IF(ReconciliationData[[#This Row],[severity_score]]&lt;=5,"MEDIUM","HIGH"))</f>
        <v>LOW</v>
      </c>
      <c r="AC1947" t="str">
        <f>TEXT(ReconciliationData[[#This Row],[Order_Date]],"YYYY-MM")</f>
        <v>2023-08</v>
      </c>
    </row>
    <row r="1948" spans="1:29">
      <c r="A1948" t="s">
        <v>5060</v>
      </c>
      <c r="B1948" s="1">
        <v>45310</v>
      </c>
      <c r="C1948" t="s">
        <v>2979</v>
      </c>
      <c r="D1948" t="s">
        <v>1945</v>
      </c>
      <c r="E1948">
        <v>174</v>
      </c>
      <c r="F1948" t="s">
        <v>5061</v>
      </c>
      <c r="G1948">
        <v>174</v>
      </c>
      <c r="H1948">
        <v>1178.6880000000001</v>
      </c>
      <c r="N1948">
        <v>1178.6880000000001</v>
      </c>
      <c r="O1948" s="1">
        <v>44930</v>
      </c>
      <c r="P1948">
        <f>IF(ISBLANK(ReconciliationData[[#This Row],[Invoice_ID]]),1,0)</f>
        <v>0</v>
      </c>
      <c r="Q1948">
        <f>IF(AND(NOT(ISBLANK(ReconciliationData[[#This Row],[Billed_Units]])),ReconciliationData[[#This Row],[ordered_units]]&lt;&gt;ReconciliationData[[#This Row],[Billed_Units]]),1,0)</f>
        <v>0</v>
      </c>
      <c r="R19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48">
        <f>IF(AND(NOT(ISBLANK(ReconciliationData[[#This Row],[Contract_Price]])),ReconciliationData[[#This Row],[Billed_Price]]&lt;&gt;ReconciliationData[[#This Row],[Contract_Price]]),1,0)</f>
        <v>0</v>
      </c>
      <c r="T1948">
        <f>IF(AND(NOT(ISBLANK(ReconciliationData[[#This Row],[End_Date]])),ReconciliationData[[#This Row],[Order_Date]]&gt;ReconciliationData[[#This Row],[End_Date]]),1,0)</f>
        <v>0</v>
      </c>
      <c r="U1948">
        <f>IF(AND(NOT(ISBLANK(ReconciliationData[[#This Row],[last_return_date]])),ReconciliationData[[#This Row],[last_return_date]]&gt;ReconciliationData[[#This Row],[Order_Date]]+60),1,0)</f>
        <v>0</v>
      </c>
      <c r="V1948">
        <f>IF(ReconciliationData[[#This Row],[total_returned_units]]&gt;ReconciliationData[[#This Row],[ordered_units]],1,0)</f>
        <v>0</v>
      </c>
      <c r="W19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48">
        <f>ReconciliationData[[#This Row],[Billed_Units]]*ReconciliationData[[#This Row],[Billed_Price]]</f>
        <v>205091.71200000003</v>
      </c>
      <c r="Y1948">
        <f>ReconciliationData[[#This Row],[ordered_units]]*ReconciliationData[[#This Row],[List_Price]]</f>
        <v>205091.71200000003</v>
      </c>
      <c r="Z1948">
        <f>ReconciliationData[[#This Row],[billed_revenue]]-ReconciliationData[[#This Row],[expected_revenue]]</f>
        <v>0</v>
      </c>
      <c r="AA19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48" t="str">
        <f>IF(ReconciliationData[[#This Row],[severity_score]]=0,"LOW",
 IF(ReconciliationData[[#This Row],[severity_score]]&lt;=5,"MEDIUM","HIGH"))</f>
        <v>LOW</v>
      </c>
      <c r="AC1948" t="str">
        <f>TEXT(ReconciliationData[[#This Row],[Order_Date]],"YYYY-MM")</f>
        <v>2024-01</v>
      </c>
    </row>
    <row r="1949" spans="1:29">
      <c r="A1949" t="s">
        <v>5062</v>
      </c>
      <c r="B1949" s="1">
        <v>45135</v>
      </c>
      <c r="C1949" t="s">
        <v>3993</v>
      </c>
      <c r="D1949" t="s">
        <v>356</v>
      </c>
      <c r="E1949">
        <v>68</v>
      </c>
      <c r="F1949" t="s">
        <v>5063</v>
      </c>
      <c r="G1949">
        <v>68</v>
      </c>
      <c r="H1949">
        <v>413.47289999999998</v>
      </c>
      <c r="N1949">
        <v>413.47289999999998</v>
      </c>
      <c r="O1949" s="1">
        <v>44829</v>
      </c>
      <c r="P1949">
        <f>IF(ISBLANK(ReconciliationData[[#This Row],[Invoice_ID]]),1,0)</f>
        <v>0</v>
      </c>
      <c r="Q1949">
        <f>IF(AND(NOT(ISBLANK(ReconciliationData[[#This Row],[Billed_Units]])),ReconciliationData[[#This Row],[ordered_units]]&lt;&gt;ReconciliationData[[#This Row],[Billed_Units]]),1,0)</f>
        <v>0</v>
      </c>
      <c r="R19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49">
        <f>IF(AND(NOT(ISBLANK(ReconciliationData[[#This Row],[Contract_Price]])),ReconciliationData[[#This Row],[Billed_Price]]&lt;&gt;ReconciliationData[[#This Row],[Contract_Price]]),1,0)</f>
        <v>0</v>
      </c>
      <c r="T1949">
        <f>IF(AND(NOT(ISBLANK(ReconciliationData[[#This Row],[End_Date]])),ReconciliationData[[#This Row],[Order_Date]]&gt;ReconciliationData[[#This Row],[End_Date]]),1,0)</f>
        <v>0</v>
      </c>
      <c r="U1949">
        <f>IF(AND(NOT(ISBLANK(ReconciliationData[[#This Row],[last_return_date]])),ReconciliationData[[#This Row],[last_return_date]]&gt;ReconciliationData[[#This Row],[Order_Date]]+60),1,0)</f>
        <v>0</v>
      </c>
      <c r="V1949">
        <f>IF(ReconciliationData[[#This Row],[total_returned_units]]&gt;ReconciliationData[[#This Row],[ordered_units]],1,0)</f>
        <v>0</v>
      </c>
      <c r="W19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49">
        <f>ReconciliationData[[#This Row],[Billed_Units]]*ReconciliationData[[#This Row],[Billed_Price]]</f>
        <v>28116.157199999998</v>
      </c>
      <c r="Y1949">
        <f>ReconciliationData[[#This Row],[ordered_units]]*ReconciliationData[[#This Row],[List_Price]]</f>
        <v>28116.157199999998</v>
      </c>
      <c r="Z1949">
        <f>ReconciliationData[[#This Row],[billed_revenue]]-ReconciliationData[[#This Row],[expected_revenue]]</f>
        <v>0</v>
      </c>
      <c r="AA19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49" t="str">
        <f>IF(ReconciliationData[[#This Row],[severity_score]]=0,"LOW",
 IF(ReconciliationData[[#This Row],[severity_score]]&lt;=5,"MEDIUM","HIGH"))</f>
        <v>LOW</v>
      </c>
      <c r="AC1949" t="str">
        <f>TEXT(ReconciliationData[[#This Row],[Order_Date]],"YYYY-MM")</f>
        <v>2023-07</v>
      </c>
    </row>
    <row r="1950" spans="1:29">
      <c r="A1950" t="s">
        <v>5064</v>
      </c>
      <c r="B1950" s="1">
        <v>44974</v>
      </c>
      <c r="C1950" t="s">
        <v>3621</v>
      </c>
      <c r="D1950" t="s">
        <v>154</v>
      </c>
      <c r="E1950">
        <v>135</v>
      </c>
      <c r="F1950" t="s">
        <v>5065</v>
      </c>
      <c r="G1950">
        <v>138</v>
      </c>
      <c r="H1950">
        <v>1058.3499999999999</v>
      </c>
      <c r="N1950">
        <v>1058.3499999999999</v>
      </c>
      <c r="O1950" s="1">
        <v>44734</v>
      </c>
      <c r="P1950">
        <f>IF(ISBLANK(ReconciliationData[[#This Row],[Invoice_ID]]),1,0)</f>
        <v>0</v>
      </c>
      <c r="Q1950">
        <f>IF(AND(NOT(ISBLANK(ReconciliationData[[#This Row],[Billed_Units]])),ReconciliationData[[#This Row],[ordered_units]]&lt;&gt;ReconciliationData[[#This Row],[Billed_Units]]),1,0)</f>
        <v>1</v>
      </c>
      <c r="R19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0">
        <f>IF(AND(NOT(ISBLANK(ReconciliationData[[#This Row],[Contract_Price]])),ReconciliationData[[#This Row],[Billed_Price]]&lt;&gt;ReconciliationData[[#This Row],[Contract_Price]]),1,0)</f>
        <v>0</v>
      </c>
      <c r="T1950">
        <f>IF(AND(NOT(ISBLANK(ReconciliationData[[#This Row],[End_Date]])),ReconciliationData[[#This Row],[Order_Date]]&gt;ReconciliationData[[#This Row],[End_Date]]),1,0)</f>
        <v>0</v>
      </c>
      <c r="U1950">
        <f>IF(AND(NOT(ISBLANK(ReconciliationData[[#This Row],[last_return_date]])),ReconciliationData[[#This Row],[last_return_date]]&gt;ReconciliationData[[#This Row],[Order_Date]]+60),1,0)</f>
        <v>0</v>
      </c>
      <c r="V1950">
        <f>IF(ReconciliationData[[#This Row],[total_returned_units]]&gt;ReconciliationData[[#This Row],[ordered_units]],1,0)</f>
        <v>0</v>
      </c>
      <c r="W19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50">
        <f>ReconciliationData[[#This Row],[Billed_Units]]*ReconciliationData[[#This Row],[Billed_Price]]</f>
        <v>146052.29999999999</v>
      </c>
      <c r="Y1950">
        <f>ReconciliationData[[#This Row],[ordered_units]]*ReconciliationData[[#This Row],[List_Price]]</f>
        <v>142877.25</v>
      </c>
      <c r="Z1950">
        <f>ReconciliationData[[#This Row],[billed_revenue]]-ReconciliationData[[#This Row],[expected_revenue]]</f>
        <v>3175.0499999999884</v>
      </c>
      <c r="AA19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950" t="str">
        <f>IF(ReconciliationData[[#This Row],[severity_score]]=0,"LOW",
 IF(ReconciliationData[[#This Row],[severity_score]]&lt;=5,"MEDIUM","HIGH"))</f>
        <v>HIGH</v>
      </c>
      <c r="AC1950" t="str">
        <f>TEXT(ReconciliationData[[#This Row],[Order_Date]],"YYYY-MM")</f>
        <v>2023-02</v>
      </c>
    </row>
    <row r="1951" spans="1:29">
      <c r="A1951" t="s">
        <v>5066</v>
      </c>
      <c r="B1951" s="1">
        <v>45626</v>
      </c>
      <c r="C1951" t="s">
        <v>3073</v>
      </c>
      <c r="D1951" t="s">
        <v>684</v>
      </c>
      <c r="E1951">
        <v>80</v>
      </c>
      <c r="F1951" t="s">
        <v>5067</v>
      </c>
      <c r="G1951">
        <v>80</v>
      </c>
      <c r="H1951">
        <v>75.620999999999995</v>
      </c>
      <c r="N1951">
        <v>75.620999999999995</v>
      </c>
      <c r="O1951" s="1">
        <v>45108</v>
      </c>
      <c r="P1951">
        <f>IF(ISBLANK(ReconciliationData[[#This Row],[Invoice_ID]]),1,0)</f>
        <v>0</v>
      </c>
      <c r="Q1951">
        <f>IF(AND(NOT(ISBLANK(ReconciliationData[[#This Row],[Billed_Units]])),ReconciliationData[[#This Row],[ordered_units]]&lt;&gt;ReconciliationData[[#This Row],[Billed_Units]]),1,0)</f>
        <v>0</v>
      </c>
      <c r="R19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1">
        <f>IF(AND(NOT(ISBLANK(ReconciliationData[[#This Row],[Contract_Price]])),ReconciliationData[[#This Row],[Billed_Price]]&lt;&gt;ReconciliationData[[#This Row],[Contract_Price]]),1,0)</f>
        <v>0</v>
      </c>
      <c r="T1951">
        <f>IF(AND(NOT(ISBLANK(ReconciliationData[[#This Row],[End_Date]])),ReconciliationData[[#This Row],[Order_Date]]&gt;ReconciliationData[[#This Row],[End_Date]]),1,0)</f>
        <v>0</v>
      </c>
      <c r="U1951">
        <f>IF(AND(NOT(ISBLANK(ReconciliationData[[#This Row],[last_return_date]])),ReconciliationData[[#This Row],[last_return_date]]&gt;ReconciliationData[[#This Row],[Order_Date]]+60),1,0)</f>
        <v>0</v>
      </c>
      <c r="V1951">
        <f>IF(ReconciliationData[[#This Row],[total_returned_units]]&gt;ReconciliationData[[#This Row],[ordered_units]],1,0)</f>
        <v>0</v>
      </c>
      <c r="W19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51">
        <f>ReconciliationData[[#This Row],[Billed_Units]]*ReconciliationData[[#This Row],[Billed_Price]]</f>
        <v>6049.6799999999994</v>
      </c>
      <c r="Y1951">
        <f>ReconciliationData[[#This Row],[ordered_units]]*ReconciliationData[[#This Row],[List_Price]]</f>
        <v>6049.6799999999994</v>
      </c>
      <c r="Z1951">
        <f>ReconciliationData[[#This Row],[billed_revenue]]-ReconciliationData[[#This Row],[expected_revenue]]</f>
        <v>0</v>
      </c>
      <c r="AA19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51" t="str">
        <f>IF(ReconciliationData[[#This Row],[severity_score]]=0,"LOW",
 IF(ReconciliationData[[#This Row],[severity_score]]&lt;=5,"MEDIUM","HIGH"))</f>
        <v>LOW</v>
      </c>
      <c r="AC1951" t="str">
        <f>TEXT(ReconciliationData[[#This Row],[Order_Date]],"YYYY-MM")</f>
        <v>2024-11</v>
      </c>
    </row>
    <row r="1952" spans="1:29">
      <c r="A1952" t="s">
        <v>5068</v>
      </c>
      <c r="B1952" s="1">
        <v>45075</v>
      </c>
      <c r="C1952" t="s">
        <v>972</v>
      </c>
      <c r="D1952" t="s">
        <v>370</v>
      </c>
      <c r="E1952">
        <v>113</v>
      </c>
      <c r="F1952" t="s">
        <v>5069</v>
      </c>
      <c r="G1952">
        <v>113</v>
      </c>
      <c r="H1952">
        <v>639.91840000000002</v>
      </c>
      <c r="N1952">
        <v>639.91840000000002</v>
      </c>
      <c r="O1952" s="1">
        <v>44930</v>
      </c>
      <c r="P1952">
        <f>IF(ISBLANK(ReconciliationData[[#This Row],[Invoice_ID]]),1,0)</f>
        <v>0</v>
      </c>
      <c r="Q1952">
        <f>IF(AND(NOT(ISBLANK(ReconciliationData[[#This Row],[Billed_Units]])),ReconciliationData[[#This Row],[ordered_units]]&lt;&gt;ReconciliationData[[#This Row],[Billed_Units]]),1,0)</f>
        <v>0</v>
      </c>
      <c r="R19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2">
        <f>IF(AND(NOT(ISBLANK(ReconciliationData[[#This Row],[Contract_Price]])),ReconciliationData[[#This Row],[Billed_Price]]&lt;&gt;ReconciliationData[[#This Row],[Contract_Price]]),1,0)</f>
        <v>0</v>
      </c>
      <c r="T1952">
        <f>IF(AND(NOT(ISBLANK(ReconciliationData[[#This Row],[End_Date]])),ReconciliationData[[#This Row],[Order_Date]]&gt;ReconciliationData[[#This Row],[End_Date]]),1,0)</f>
        <v>0</v>
      </c>
      <c r="U1952">
        <f>IF(AND(NOT(ISBLANK(ReconciliationData[[#This Row],[last_return_date]])),ReconciliationData[[#This Row],[last_return_date]]&gt;ReconciliationData[[#This Row],[Order_Date]]+60),1,0)</f>
        <v>0</v>
      </c>
      <c r="V1952">
        <f>IF(ReconciliationData[[#This Row],[total_returned_units]]&gt;ReconciliationData[[#This Row],[ordered_units]],1,0)</f>
        <v>0</v>
      </c>
      <c r="W19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52">
        <f>ReconciliationData[[#This Row],[Billed_Units]]*ReconciliationData[[#This Row],[Billed_Price]]</f>
        <v>72310.779200000004</v>
      </c>
      <c r="Y1952">
        <f>ReconciliationData[[#This Row],[ordered_units]]*ReconciliationData[[#This Row],[List_Price]]</f>
        <v>72310.779200000004</v>
      </c>
      <c r="Z1952">
        <f>ReconciliationData[[#This Row],[billed_revenue]]-ReconciliationData[[#This Row],[expected_revenue]]</f>
        <v>0</v>
      </c>
      <c r="AA19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52" t="str">
        <f>IF(ReconciliationData[[#This Row],[severity_score]]=0,"LOW",
 IF(ReconciliationData[[#This Row],[severity_score]]&lt;=5,"MEDIUM","HIGH"))</f>
        <v>LOW</v>
      </c>
      <c r="AC1952" t="str">
        <f>TEXT(ReconciliationData[[#This Row],[Order_Date]],"YYYY-MM")</f>
        <v>2023-05</v>
      </c>
    </row>
    <row r="1953" spans="1:29">
      <c r="A1953" t="s">
        <v>5070</v>
      </c>
      <c r="B1953" s="1">
        <v>45242</v>
      </c>
      <c r="C1953" t="s">
        <v>2768</v>
      </c>
      <c r="D1953" t="s">
        <v>684</v>
      </c>
      <c r="E1953">
        <v>138</v>
      </c>
      <c r="F1953" t="s">
        <v>5071</v>
      </c>
      <c r="G1953">
        <v>138</v>
      </c>
      <c r="H1953">
        <v>75.620999999999995</v>
      </c>
      <c r="N1953">
        <v>75.620999999999995</v>
      </c>
      <c r="O1953" s="1">
        <v>45108</v>
      </c>
      <c r="P1953">
        <f>IF(ISBLANK(ReconciliationData[[#This Row],[Invoice_ID]]),1,0)</f>
        <v>0</v>
      </c>
      <c r="Q1953">
        <f>IF(AND(NOT(ISBLANK(ReconciliationData[[#This Row],[Billed_Units]])),ReconciliationData[[#This Row],[ordered_units]]&lt;&gt;ReconciliationData[[#This Row],[Billed_Units]]),1,0)</f>
        <v>0</v>
      </c>
      <c r="R19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3">
        <f>IF(AND(NOT(ISBLANK(ReconciliationData[[#This Row],[Contract_Price]])),ReconciliationData[[#This Row],[Billed_Price]]&lt;&gt;ReconciliationData[[#This Row],[Contract_Price]]),1,0)</f>
        <v>0</v>
      </c>
      <c r="T1953">
        <f>IF(AND(NOT(ISBLANK(ReconciliationData[[#This Row],[End_Date]])),ReconciliationData[[#This Row],[Order_Date]]&gt;ReconciliationData[[#This Row],[End_Date]]),1,0)</f>
        <v>0</v>
      </c>
      <c r="U1953">
        <f>IF(AND(NOT(ISBLANK(ReconciliationData[[#This Row],[last_return_date]])),ReconciliationData[[#This Row],[last_return_date]]&gt;ReconciliationData[[#This Row],[Order_Date]]+60),1,0)</f>
        <v>0</v>
      </c>
      <c r="V1953">
        <f>IF(ReconciliationData[[#This Row],[total_returned_units]]&gt;ReconciliationData[[#This Row],[ordered_units]],1,0)</f>
        <v>0</v>
      </c>
      <c r="W19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53">
        <f>ReconciliationData[[#This Row],[Billed_Units]]*ReconciliationData[[#This Row],[Billed_Price]]</f>
        <v>10435.697999999999</v>
      </c>
      <c r="Y1953">
        <f>ReconciliationData[[#This Row],[ordered_units]]*ReconciliationData[[#This Row],[List_Price]]</f>
        <v>10435.697999999999</v>
      </c>
      <c r="Z1953">
        <f>ReconciliationData[[#This Row],[billed_revenue]]-ReconciliationData[[#This Row],[expected_revenue]]</f>
        <v>0</v>
      </c>
      <c r="AA19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53" t="str">
        <f>IF(ReconciliationData[[#This Row],[severity_score]]=0,"LOW",
 IF(ReconciliationData[[#This Row],[severity_score]]&lt;=5,"MEDIUM","HIGH"))</f>
        <v>LOW</v>
      </c>
      <c r="AC1953" t="str">
        <f>TEXT(ReconciliationData[[#This Row],[Order_Date]],"YYYY-MM")</f>
        <v>2023-11</v>
      </c>
    </row>
    <row r="1954" spans="1:29">
      <c r="A1954" t="s">
        <v>5072</v>
      </c>
      <c r="B1954" s="1">
        <v>45309</v>
      </c>
      <c r="C1954" t="s">
        <v>1135</v>
      </c>
      <c r="D1954" t="s">
        <v>1549</v>
      </c>
      <c r="E1954">
        <v>60</v>
      </c>
      <c r="F1954" t="s">
        <v>5073</v>
      </c>
      <c r="G1954">
        <v>59</v>
      </c>
      <c r="H1954">
        <v>234.87090000000001</v>
      </c>
      <c r="N1954">
        <v>234.87090000000001</v>
      </c>
      <c r="O1954" s="1">
        <v>45150</v>
      </c>
      <c r="P1954">
        <f>IF(ISBLANK(ReconciliationData[[#This Row],[Invoice_ID]]),1,0)</f>
        <v>0</v>
      </c>
      <c r="Q1954">
        <f>IF(AND(NOT(ISBLANK(ReconciliationData[[#This Row],[Billed_Units]])),ReconciliationData[[#This Row],[ordered_units]]&lt;&gt;ReconciliationData[[#This Row],[Billed_Units]]),1,0)</f>
        <v>1</v>
      </c>
      <c r="R19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4">
        <f>IF(AND(NOT(ISBLANK(ReconciliationData[[#This Row],[Contract_Price]])),ReconciliationData[[#This Row],[Billed_Price]]&lt;&gt;ReconciliationData[[#This Row],[Contract_Price]]),1,0)</f>
        <v>0</v>
      </c>
      <c r="T1954">
        <f>IF(AND(NOT(ISBLANK(ReconciliationData[[#This Row],[End_Date]])),ReconciliationData[[#This Row],[Order_Date]]&gt;ReconciliationData[[#This Row],[End_Date]]),1,0)</f>
        <v>0</v>
      </c>
      <c r="U1954">
        <f>IF(AND(NOT(ISBLANK(ReconciliationData[[#This Row],[last_return_date]])),ReconciliationData[[#This Row],[last_return_date]]&gt;ReconciliationData[[#This Row],[Order_Date]]+60),1,0)</f>
        <v>0</v>
      </c>
      <c r="V1954">
        <f>IF(ReconciliationData[[#This Row],[total_returned_units]]&gt;ReconciliationData[[#This Row],[ordered_units]],1,0)</f>
        <v>0</v>
      </c>
      <c r="W19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54">
        <f>ReconciliationData[[#This Row],[Billed_Units]]*ReconciliationData[[#This Row],[Billed_Price]]</f>
        <v>13857.383100000001</v>
      </c>
      <c r="Y1954">
        <f>ReconciliationData[[#This Row],[ordered_units]]*ReconciliationData[[#This Row],[List_Price]]</f>
        <v>14092.254000000001</v>
      </c>
      <c r="Z1954">
        <f>ReconciliationData[[#This Row],[billed_revenue]]-ReconciliationData[[#This Row],[expected_revenue]]</f>
        <v>-234.87089999999989</v>
      </c>
      <c r="AA19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1954" t="str">
        <f>IF(ReconciliationData[[#This Row],[severity_score]]=0,"LOW",
 IF(ReconciliationData[[#This Row],[severity_score]]&lt;=5,"MEDIUM","HIGH"))</f>
        <v>MEDIUM</v>
      </c>
      <c r="AC1954" t="str">
        <f>TEXT(ReconciliationData[[#This Row],[Order_Date]],"YYYY-MM")</f>
        <v>2024-01</v>
      </c>
    </row>
    <row r="1955" spans="1:29">
      <c r="A1955" t="s">
        <v>5074</v>
      </c>
      <c r="B1955" s="1">
        <v>45506</v>
      </c>
      <c r="C1955" t="s">
        <v>5075</v>
      </c>
      <c r="D1955" t="s">
        <v>271</v>
      </c>
      <c r="E1955">
        <v>121</v>
      </c>
      <c r="F1955" t="s">
        <v>5076</v>
      </c>
      <c r="G1955">
        <v>121</v>
      </c>
      <c r="H1955">
        <v>54.580199999999998</v>
      </c>
      <c r="N1955">
        <v>54.580199999999998</v>
      </c>
      <c r="O1955" s="1">
        <v>44984</v>
      </c>
      <c r="P1955">
        <f>IF(ISBLANK(ReconciliationData[[#This Row],[Invoice_ID]]),1,0)</f>
        <v>0</v>
      </c>
      <c r="Q1955">
        <f>IF(AND(NOT(ISBLANK(ReconciliationData[[#This Row],[Billed_Units]])),ReconciliationData[[#This Row],[ordered_units]]&lt;&gt;ReconciliationData[[#This Row],[Billed_Units]]),1,0)</f>
        <v>0</v>
      </c>
      <c r="R19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5">
        <f>IF(AND(NOT(ISBLANK(ReconciliationData[[#This Row],[Contract_Price]])),ReconciliationData[[#This Row],[Billed_Price]]&lt;&gt;ReconciliationData[[#This Row],[Contract_Price]]),1,0)</f>
        <v>0</v>
      </c>
      <c r="T1955">
        <f>IF(AND(NOT(ISBLANK(ReconciliationData[[#This Row],[End_Date]])),ReconciliationData[[#This Row],[Order_Date]]&gt;ReconciliationData[[#This Row],[End_Date]]),1,0)</f>
        <v>0</v>
      </c>
      <c r="U1955">
        <f>IF(AND(NOT(ISBLANK(ReconciliationData[[#This Row],[last_return_date]])),ReconciliationData[[#This Row],[last_return_date]]&gt;ReconciliationData[[#This Row],[Order_Date]]+60),1,0)</f>
        <v>0</v>
      </c>
      <c r="V1955">
        <f>IF(ReconciliationData[[#This Row],[total_returned_units]]&gt;ReconciliationData[[#This Row],[ordered_units]],1,0)</f>
        <v>0</v>
      </c>
      <c r="W19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55">
        <f>ReconciliationData[[#This Row],[Billed_Units]]*ReconciliationData[[#This Row],[Billed_Price]]</f>
        <v>6604.2042000000001</v>
      </c>
      <c r="Y1955">
        <f>ReconciliationData[[#This Row],[ordered_units]]*ReconciliationData[[#This Row],[List_Price]]</f>
        <v>6604.2042000000001</v>
      </c>
      <c r="Z1955">
        <f>ReconciliationData[[#This Row],[billed_revenue]]-ReconciliationData[[#This Row],[expected_revenue]]</f>
        <v>0</v>
      </c>
      <c r="AA19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55" t="str">
        <f>IF(ReconciliationData[[#This Row],[severity_score]]=0,"LOW",
 IF(ReconciliationData[[#This Row],[severity_score]]&lt;=5,"MEDIUM","HIGH"))</f>
        <v>LOW</v>
      </c>
      <c r="AC1955" t="str">
        <f>TEXT(ReconciliationData[[#This Row],[Order_Date]],"YYYY-MM")</f>
        <v>2024-08</v>
      </c>
    </row>
    <row r="1956" spans="1:29">
      <c r="A1956" t="s">
        <v>5077</v>
      </c>
      <c r="B1956" s="1">
        <v>45650</v>
      </c>
      <c r="C1956" t="s">
        <v>1984</v>
      </c>
      <c r="D1956" t="s">
        <v>987</v>
      </c>
      <c r="E1956">
        <v>72</v>
      </c>
      <c r="F1956" t="s">
        <v>5078</v>
      </c>
      <c r="G1956">
        <v>72</v>
      </c>
      <c r="H1956">
        <v>232.3732</v>
      </c>
      <c r="N1956">
        <v>232.3732</v>
      </c>
      <c r="O1956" s="1">
        <v>45065</v>
      </c>
      <c r="P1956">
        <f>IF(ISBLANK(ReconciliationData[[#This Row],[Invoice_ID]]),1,0)</f>
        <v>0</v>
      </c>
      <c r="Q1956">
        <f>IF(AND(NOT(ISBLANK(ReconciliationData[[#This Row],[Billed_Units]])),ReconciliationData[[#This Row],[ordered_units]]&lt;&gt;ReconciliationData[[#This Row],[Billed_Units]]),1,0)</f>
        <v>0</v>
      </c>
      <c r="R19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6">
        <f>IF(AND(NOT(ISBLANK(ReconciliationData[[#This Row],[Contract_Price]])),ReconciliationData[[#This Row],[Billed_Price]]&lt;&gt;ReconciliationData[[#This Row],[Contract_Price]]),1,0)</f>
        <v>0</v>
      </c>
      <c r="T1956">
        <f>IF(AND(NOT(ISBLANK(ReconciliationData[[#This Row],[End_Date]])),ReconciliationData[[#This Row],[Order_Date]]&gt;ReconciliationData[[#This Row],[End_Date]]),1,0)</f>
        <v>0</v>
      </c>
      <c r="U1956">
        <f>IF(AND(NOT(ISBLANK(ReconciliationData[[#This Row],[last_return_date]])),ReconciliationData[[#This Row],[last_return_date]]&gt;ReconciliationData[[#This Row],[Order_Date]]+60),1,0)</f>
        <v>0</v>
      </c>
      <c r="V1956">
        <f>IF(ReconciliationData[[#This Row],[total_returned_units]]&gt;ReconciliationData[[#This Row],[ordered_units]],1,0)</f>
        <v>0</v>
      </c>
      <c r="W19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56">
        <f>ReconciliationData[[#This Row],[Billed_Units]]*ReconciliationData[[#This Row],[Billed_Price]]</f>
        <v>16730.8704</v>
      </c>
      <c r="Y1956">
        <f>ReconciliationData[[#This Row],[ordered_units]]*ReconciliationData[[#This Row],[List_Price]]</f>
        <v>16730.8704</v>
      </c>
      <c r="Z1956">
        <f>ReconciliationData[[#This Row],[billed_revenue]]-ReconciliationData[[#This Row],[expected_revenue]]</f>
        <v>0</v>
      </c>
      <c r="AA19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56" t="str">
        <f>IF(ReconciliationData[[#This Row],[severity_score]]=0,"LOW",
 IF(ReconciliationData[[#This Row],[severity_score]]&lt;=5,"MEDIUM","HIGH"))</f>
        <v>LOW</v>
      </c>
      <c r="AC1956" t="str">
        <f>TEXT(ReconciliationData[[#This Row],[Order_Date]],"YYYY-MM")</f>
        <v>2024-12</v>
      </c>
    </row>
    <row r="1957" spans="1:29">
      <c r="A1957" t="s">
        <v>5079</v>
      </c>
      <c r="B1957" s="1">
        <v>45516</v>
      </c>
      <c r="C1957" t="s">
        <v>710</v>
      </c>
      <c r="D1957" t="s">
        <v>223</v>
      </c>
      <c r="E1957">
        <v>177</v>
      </c>
      <c r="F1957" t="s">
        <v>5080</v>
      </c>
      <c r="G1957">
        <v>177</v>
      </c>
      <c r="H1957">
        <v>561.4076</v>
      </c>
      <c r="I1957">
        <v>17</v>
      </c>
      <c r="J1957" s="1">
        <v>44992</v>
      </c>
      <c r="N1957">
        <v>561.4076</v>
      </c>
      <c r="O1957" s="1">
        <v>45006</v>
      </c>
      <c r="P1957">
        <f>IF(ISBLANK(ReconciliationData[[#This Row],[Invoice_ID]]),1,0)</f>
        <v>0</v>
      </c>
      <c r="Q1957">
        <f>IF(AND(NOT(ISBLANK(ReconciliationData[[#This Row],[Billed_Units]])),ReconciliationData[[#This Row],[ordered_units]]&lt;&gt;ReconciliationData[[#This Row],[Billed_Units]]),1,0)</f>
        <v>0</v>
      </c>
      <c r="R19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7">
        <f>IF(AND(NOT(ISBLANK(ReconciliationData[[#This Row],[Contract_Price]])),ReconciliationData[[#This Row],[Billed_Price]]&lt;&gt;ReconciliationData[[#This Row],[Contract_Price]]),1,0)</f>
        <v>0</v>
      </c>
      <c r="T1957">
        <f>IF(AND(NOT(ISBLANK(ReconciliationData[[#This Row],[End_Date]])),ReconciliationData[[#This Row],[Order_Date]]&gt;ReconciliationData[[#This Row],[End_Date]]),1,0)</f>
        <v>0</v>
      </c>
      <c r="U1957">
        <f>IF(AND(NOT(ISBLANK(ReconciliationData[[#This Row],[last_return_date]])),ReconciliationData[[#This Row],[last_return_date]]&gt;ReconciliationData[[#This Row],[Order_Date]]+60),1,0)</f>
        <v>0</v>
      </c>
      <c r="V1957">
        <f>IF(ReconciliationData[[#This Row],[total_returned_units]]&gt;ReconciliationData[[#This Row],[ordered_units]],1,0)</f>
        <v>0</v>
      </c>
      <c r="W19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57">
        <f>ReconciliationData[[#This Row],[Billed_Units]]*ReconciliationData[[#This Row],[Billed_Price]]</f>
        <v>99369.145199999999</v>
      </c>
      <c r="Y1957">
        <f>ReconciliationData[[#This Row],[ordered_units]]*ReconciliationData[[#This Row],[List_Price]]</f>
        <v>99369.145199999999</v>
      </c>
      <c r="Z1957">
        <f>ReconciliationData[[#This Row],[billed_revenue]]-ReconciliationData[[#This Row],[expected_revenue]]</f>
        <v>0</v>
      </c>
      <c r="AA19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57" t="str">
        <f>IF(ReconciliationData[[#This Row],[severity_score]]=0,"LOW",
 IF(ReconciliationData[[#This Row],[severity_score]]&lt;=5,"MEDIUM","HIGH"))</f>
        <v>LOW</v>
      </c>
      <c r="AC1957" t="str">
        <f>TEXT(ReconciliationData[[#This Row],[Order_Date]],"YYYY-MM")</f>
        <v>2024-08</v>
      </c>
    </row>
    <row r="1958" spans="1:29">
      <c r="A1958" t="s">
        <v>5081</v>
      </c>
      <c r="B1958" s="1">
        <v>45172</v>
      </c>
      <c r="C1958" t="s">
        <v>5082</v>
      </c>
      <c r="D1958" t="s">
        <v>674</v>
      </c>
      <c r="E1958">
        <v>32</v>
      </c>
      <c r="F1958" t="s">
        <v>5083</v>
      </c>
      <c r="G1958">
        <v>32</v>
      </c>
      <c r="H1958">
        <v>1032.2340000000002</v>
      </c>
      <c r="N1958">
        <v>1032.2340000000002</v>
      </c>
      <c r="O1958" s="1">
        <v>44798</v>
      </c>
      <c r="P1958">
        <f>IF(ISBLANK(ReconciliationData[[#This Row],[Invoice_ID]]),1,0)</f>
        <v>0</v>
      </c>
      <c r="Q1958">
        <f>IF(AND(NOT(ISBLANK(ReconciliationData[[#This Row],[Billed_Units]])),ReconciliationData[[#This Row],[ordered_units]]&lt;&gt;ReconciliationData[[#This Row],[Billed_Units]]),1,0)</f>
        <v>0</v>
      </c>
      <c r="R19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8">
        <f>IF(AND(NOT(ISBLANK(ReconciliationData[[#This Row],[Contract_Price]])),ReconciliationData[[#This Row],[Billed_Price]]&lt;&gt;ReconciliationData[[#This Row],[Contract_Price]]),1,0)</f>
        <v>0</v>
      </c>
      <c r="T1958">
        <f>IF(AND(NOT(ISBLANK(ReconciliationData[[#This Row],[End_Date]])),ReconciliationData[[#This Row],[Order_Date]]&gt;ReconciliationData[[#This Row],[End_Date]]),1,0)</f>
        <v>0</v>
      </c>
      <c r="U1958">
        <f>IF(AND(NOT(ISBLANK(ReconciliationData[[#This Row],[last_return_date]])),ReconciliationData[[#This Row],[last_return_date]]&gt;ReconciliationData[[#This Row],[Order_Date]]+60),1,0)</f>
        <v>0</v>
      </c>
      <c r="V1958">
        <f>IF(ReconciliationData[[#This Row],[total_returned_units]]&gt;ReconciliationData[[#This Row],[ordered_units]],1,0)</f>
        <v>0</v>
      </c>
      <c r="W19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58">
        <f>ReconciliationData[[#This Row],[Billed_Units]]*ReconciliationData[[#This Row],[Billed_Price]]</f>
        <v>33031.488000000005</v>
      </c>
      <c r="Y1958">
        <f>ReconciliationData[[#This Row],[ordered_units]]*ReconciliationData[[#This Row],[List_Price]]</f>
        <v>33031.488000000005</v>
      </c>
      <c r="Z1958">
        <f>ReconciliationData[[#This Row],[billed_revenue]]-ReconciliationData[[#This Row],[expected_revenue]]</f>
        <v>0</v>
      </c>
      <c r="AA19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58" t="str">
        <f>IF(ReconciliationData[[#This Row],[severity_score]]=0,"LOW",
 IF(ReconciliationData[[#This Row],[severity_score]]&lt;=5,"MEDIUM","HIGH"))</f>
        <v>LOW</v>
      </c>
      <c r="AC1958" t="str">
        <f>TEXT(ReconciliationData[[#This Row],[Order_Date]],"YYYY-MM")</f>
        <v>2023-09</v>
      </c>
    </row>
    <row r="1959" spans="1:29">
      <c r="A1959" t="s">
        <v>5084</v>
      </c>
      <c r="B1959" s="1">
        <v>45018</v>
      </c>
      <c r="C1959" t="s">
        <v>788</v>
      </c>
      <c r="D1959" t="s">
        <v>1088</v>
      </c>
      <c r="E1959">
        <v>134</v>
      </c>
      <c r="F1959" t="s">
        <v>5085</v>
      </c>
      <c r="G1959">
        <v>133</v>
      </c>
      <c r="H1959">
        <v>72.63</v>
      </c>
      <c r="N1959">
        <v>72.63</v>
      </c>
      <c r="O1959" s="1">
        <v>44956</v>
      </c>
      <c r="P1959">
        <f>IF(ISBLANK(ReconciliationData[[#This Row],[Invoice_ID]]),1,0)</f>
        <v>0</v>
      </c>
      <c r="Q1959">
        <f>IF(AND(NOT(ISBLANK(ReconciliationData[[#This Row],[Billed_Units]])),ReconciliationData[[#This Row],[ordered_units]]&lt;&gt;ReconciliationData[[#This Row],[Billed_Units]]),1,0)</f>
        <v>1</v>
      </c>
      <c r="R19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59">
        <f>IF(AND(NOT(ISBLANK(ReconciliationData[[#This Row],[Contract_Price]])),ReconciliationData[[#This Row],[Billed_Price]]&lt;&gt;ReconciliationData[[#This Row],[Contract_Price]]),1,0)</f>
        <v>0</v>
      </c>
      <c r="T1959">
        <f>IF(AND(NOT(ISBLANK(ReconciliationData[[#This Row],[End_Date]])),ReconciliationData[[#This Row],[Order_Date]]&gt;ReconciliationData[[#This Row],[End_Date]]),1,0)</f>
        <v>0</v>
      </c>
      <c r="U1959">
        <f>IF(AND(NOT(ISBLANK(ReconciliationData[[#This Row],[last_return_date]])),ReconciliationData[[#This Row],[last_return_date]]&gt;ReconciliationData[[#This Row],[Order_Date]]+60),1,0)</f>
        <v>0</v>
      </c>
      <c r="V1959">
        <f>IF(ReconciliationData[[#This Row],[total_returned_units]]&gt;ReconciliationData[[#This Row],[ordered_units]],1,0)</f>
        <v>0</v>
      </c>
      <c r="W19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59">
        <f>ReconciliationData[[#This Row],[Billed_Units]]*ReconciliationData[[#This Row],[Billed_Price]]</f>
        <v>9659.7899999999991</v>
      </c>
      <c r="Y1959">
        <f>ReconciliationData[[#This Row],[ordered_units]]*ReconciliationData[[#This Row],[List_Price]]</f>
        <v>9732.42</v>
      </c>
      <c r="Z1959">
        <f>ReconciliationData[[#This Row],[billed_revenue]]-ReconciliationData[[#This Row],[expected_revenue]]</f>
        <v>-72.630000000001019</v>
      </c>
      <c r="AA19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1959" t="str">
        <f>IF(ReconciliationData[[#This Row],[severity_score]]=0,"LOW",
 IF(ReconciliationData[[#This Row],[severity_score]]&lt;=5,"MEDIUM","HIGH"))</f>
        <v>MEDIUM</v>
      </c>
      <c r="AC1959" t="str">
        <f>TEXT(ReconciliationData[[#This Row],[Order_Date]],"YYYY-MM")</f>
        <v>2023-04</v>
      </c>
    </row>
    <row r="1960" spans="1:29">
      <c r="A1960" t="s">
        <v>5086</v>
      </c>
      <c r="B1960" s="1">
        <v>45321</v>
      </c>
      <c r="C1960" t="s">
        <v>700</v>
      </c>
      <c r="D1960" t="s">
        <v>825</v>
      </c>
      <c r="E1960">
        <v>169</v>
      </c>
      <c r="F1960" t="s">
        <v>5087</v>
      </c>
      <c r="G1960">
        <v>169</v>
      </c>
      <c r="H1960">
        <v>752.48910000000001</v>
      </c>
      <c r="N1960">
        <v>752.48910000000001</v>
      </c>
      <c r="O1960" s="1">
        <v>44953</v>
      </c>
      <c r="P1960">
        <f>IF(ISBLANK(ReconciliationData[[#This Row],[Invoice_ID]]),1,0)</f>
        <v>0</v>
      </c>
      <c r="Q1960">
        <f>IF(AND(NOT(ISBLANK(ReconciliationData[[#This Row],[Billed_Units]])),ReconciliationData[[#This Row],[ordered_units]]&lt;&gt;ReconciliationData[[#This Row],[Billed_Units]]),1,0)</f>
        <v>0</v>
      </c>
      <c r="R19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0">
        <f>IF(AND(NOT(ISBLANK(ReconciliationData[[#This Row],[Contract_Price]])),ReconciliationData[[#This Row],[Billed_Price]]&lt;&gt;ReconciliationData[[#This Row],[Contract_Price]]),1,0)</f>
        <v>0</v>
      </c>
      <c r="T1960">
        <f>IF(AND(NOT(ISBLANK(ReconciliationData[[#This Row],[End_Date]])),ReconciliationData[[#This Row],[Order_Date]]&gt;ReconciliationData[[#This Row],[End_Date]]),1,0)</f>
        <v>0</v>
      </c>
      <c r="U1960">
        <f>IF(AND(NOT(ISBLANK(ReconciliationData[[#This Row],[last_return_date]])),ReconciliationData[[#This Row],[last_return_date]]&gt;ReconciliationData[[#This Row],[Order_Date]]+60),1,0)</f>
        <v>0</v>
      </c>
      <c r="V1960">
        <f>IF(ReconciliationData[[#This Row],[total_returned_units]]&gt;ReconciliationData[[#This Row],[ordered_units]],1,0)</f>
        <v>0</v>
      </c>
      <c r="W19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0">
        <f>ReconciliationData[[#This Row],[Billed_Units]]*ReconciliationData[[#This Row],[Billed_Price]]</f>
        <v>127170.65790000001</v>
      </c>
      <c r="Y1960">
        <f>ReconciliationData[[#This Row],[ordered_units]]*ReconciliationData[[#This Row],[List_Price]]</f>
        <v>127170.65790000001</v>
      </c>
      <c r="Z1960">
        <f>ReconciliationData[[#This Row],[billed_revenue]]-ReconciliationData[[#This Row],[expected_revenue]]</f>
        <v>0</v>
      </c>
      <c r="AA19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0" t="str">
        <f>IF(ReconciliationData[[#This Row],[severity_score]]=0,"LOW",
 IF(ReconciliationData[[#This Row],[severity_score]]&lt;=5,"MEDIUM","HIGH"))</f>
        <v>LOW</v>
      </c>
      <c r="AC1960" t="str">
        <f>TEXT(ReconciliationData[[#This Row],[Order_Date]],"YYYY-MM")</f>
        <v>2024-01</v>
      </c>
    </row>
    <row r="1961" spans="1:29">
      <c r="A1961" t="s">
        <v>5088</v>
      </c>
      <c r="B1961" s="1">
        <v>45143</v>
      </c>
      <c r="C1961" t="s">
        <v>503</v>
      </c>
      <c r="D1961" t="s">
        <v>3409</v>
      </c>
      <c r="E1961">
        <v>183</v>
      </c>
      <c r="F1961" t="s">
        <v>5089</v>
      </c>
      <c r="G1961">
        <v>183</v>
      </c>
      <c r="H1961">
        <v>104.9652</v>
      </c>
      <c r="N1961">
        <v>104.9652</v>
      </c>
      <c r="O1961" s="1">
        <v>45066</v>
      </c>
      <c r="P1961">
        <f>IF(ISBLANK(ReconciliationData[[#This Row],[Invoice_ID]]),1,0)</f>
        <v>0</v>
      </c>
      <c r="Q1961">
        <f>IF(AND(NOT(ISBLANK(ReconciliationData[[#This Row],[Billed_Units]])),ReconciliationData[[#This Row],[ordered_units]]&lt;&gt;ReconciliationData[[#This Row],[Billed_Units]]),1,0)</f>
        <v>0</v>
      </c>
      <c r="R19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1">
        <f>IF(AND(NOT(ISBLANK(ReconciliationData[[#This Row],[Contract_Price]])),ReconciliationData[[#This Row],[Billed_Price]]&lt;&gt;ReconciliationData[[#This Row],[Contract_Price]]),1,0)</f>
        <v>0</v>
      </c>
      <c r="T1961">
        <f>IF(AND(NOT(ISBLANK(ReconciliationData[[#This Row],[End_Date]])),ReconciliationData[[#This Row],[Order_Date]]&gt;ReconciliationData[[#This Row],[End_Date]]),1,0)</f>
        <v>0</v>
      </c>
      <c r="U1961">
        <f>IF(AND(NOT(ISBLANK(ReconciliationData[[#This Row],[last_return_date]])),ReconciliationData[[#This Row],[last_return_date]]&gt;ReconciliationData[[#This Row],[Order_Date]]+60),1,0)</f>
        <v>0</v>
      </c>
      <c r="V1961">
        <f>IF(ReconciliationData[[#This Row],[total_returned_units]]&gt;ReconciliationData[[#This Row],[ordered_units]],1,0)</f>
        <v>0</v>
      </c>
      <c r="W19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1">
        <f>ReconciliationData[[#This Row],[Billed_Units]]*ReconciliationData[[#This Row],[Billed_Price]]</f>
        <v>19208.631600000001</v>
      </c>
      <c r="Y1961">
        <f>ReconciliationData[[#This Row],[ordered_units]]*ReconciliationData[[#This Row],[List_Price]]</f>
        <v>19208.631600000001</v>
      </c>
      <c r="Z1961">
        <f>ReconciliationData[[#This Row],[billed_revenue]]-ReconciliationData[[#This Row],[expected_revenue]]</f>
        <v>0</v>
      </c>
      <c r="AA19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1" t="str">
        <f>IF(ReconciliationData[[#This Row],[severity_score]]=0,"LOW",
 IF(ReconciliationData[[#This Row],[severity_score]]&lt;=5,"MEDIUM","HIGH"))</f>
        <v>LOW</v>
      </c>
      <c r="AC1961" t="str">
        <f>TEXT(ReconciliationData[[#This Row],[Order_Date]],"YYYY-MM")</f>
        <v>2023-08</v>
      </c>
    </row>
    <row r="1962" spans="1:29">
      <c r="A1962" t="s">
        <v>5090</v>
      </c>
      <c r="B1962" s="1">
        <v>45570</v>
      </c>
      <c r="C1962" t="s">
        <v>1670</v>
      </c>
      <c r="D1962" t="s">
        <v>212</v>
      </c>
      <c r="E1962">
        <v>96</v>
      </c>
      <c r="F1962" t="s">
        <v>5091</v>
      </c>
      <c r="G1962">
        <v>96</v>
      </c>
      <c r="H1962">
        <v>833.41650000000004</v>
      </c>
      <c r="N1962">
        <v>833.41650000000004</v>
      </c>
      <c r="O1962" s="1">
        <v>45194</v>
      </c>
      <c r="P1962">
        <f>IF(ISBLANK(ReconciliationData[[#This Row],[Invoice_ID]]),1,0)</f>
        <v>0</v>
      </c>
      <c r="Q1962">
        <f>IF(AND(NOT(ISBLANK(ReconciliationData[[#This Row],[Billed_Units]])),ReconciliationData[[#This Row],[ordered_units]]&lt;&gt;ReconciliationData[[#This Row],[Billed_Units]]),1,0)</f>
        <v>0</v>
      </c>
      <c r="R19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2">
        <f>IF(AND(NOT(ISBLANK(ReconciliationData[[#This Row],[Contract_Price]])),ReconciliationData[[#This Row],[Billed_Price]]&lt;&gt;ReconciliationData[[#This Row],[Contract_Price]]),1,0)</f>
        <v>0</v>
      </c>
      <c r="T1962">
        <f>IF(AND(NOT(ISBLANK(ReconciliationData[[#This Row],[End_Date]])),ReconciliationData[[#This Row],[Order_Date]]&gt;ReconciliationData[[#This Row],[End_Date]]),1,0)</f>
        <v>0</v>
      </c>
      <c r="U1962">
        <f>IF(AND(NOT(ISBLANK(ReconciliationData[[#This Row],[last_return_date]])),ReconciliationData[[#This Row],[last_return_date]]&gt;ReconciliationData[[#This Row],[Order_Date]]+60),1,0)</f>
        <v>0</v>
      </c>
      <c r="V1962">
        <f>IF(ReconciliationData[[#This Row],[total_returned_units]]&gt;ReconciliationData[[#This Row],[ordered_units]],1,0)</f>
        <v>0</v>
      </c>
      <c r="W19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2">
        <f>ReconciliationData[[#This Row],[Billed_Units]]*ReconciliationData[[#This Row],[Billed_Price]]</f>
        <v>80007.983999999997</v>
      </c>
      <c r="Y1962">
        <f>ReconciliationData[[#This Row],[ordered_units]]*ReconciliationData[[#This Row],[List_Price]]</f>
        <v>80007.983999999997</v>
      </c>
      <c r="Z1962">
        <f>ReconciliationData[[#This Row],[billed_revenue]]-ReconciliationData[[#This Row],[expected_revenue]]</f>
        <v>0</v>
      </c>
      <c r="AA19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2" t="str">
        <f>IF(ReconciliationData[[#This Row],[severity_score]]=0,"LOW",
 IF(ReconciliationData[[#This Row],[severity_score]]&lt;=5,"MEDIUM","HIGH"))</f>
        <v>LOW</v>
      </c>
      <c r="AC1962" t="str">
        <f>TEXT(ReconciliationData[[#This Row],[Order_Date]],"YYYY-MM")</f>
        <v>2024-10</v>
      </c>
    </row>
    <row r="1963" spans="1:29">
      <c r="A1963" t="s">
        <v>5092</v>
      </c>
      <c r="B1963" s="1">
        <v>45232</v>
      </c>
      <c r="C1963" t="s">
        <v>4699</v>
      </c>
      <c r="D1963" t="s">
        <v>313</v>
      </c>
      <c r="E1963">
        <v>92</v>
      </c>
      <c r="F1963" t="s">
        <v>5093</v>
      </c>
      <c r="G1963">
        <v>92</v>
      </c>
      <c r="H1963">
        <v>1190.6054999999999</v>
      </c>
      <c r="N1963">
        <v>1190.6054999999999</v>
      </c>
      <c r="O1963" s="1">
        <v>44984</v>
      </c>
      <c r="P1963">
        <f>IF(ISBLANK(ReconciliationData[[#This Row],[Invoice_ID]]),1,0)</f>
        <v>0</v>
      </c>
      <c r="Q1963">
        <f>IF(AND(NOT(ISBLANK(ReconciliationData[[#This Row],[Billed_Units]])),ReconciliationData[[#This Row],[ordered_units]]&lt;&gt;ReconciliationData[[#This Row],[Billed_Units]]),1,0)</f>
        <v>0</v>
      </c>
      <c r="R19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3">
        <f>IF(AND(NOT(ISBLANK(ReconciliationData[[#This Row],[Contract_Price]])),ReconciliationData[[#This Row],[Billed_Price]]&lt;&gt;ReconciliationData[[#This Row],[Contract_Price]]),1,0)</f>
        <v>0</v>
      </c>
      <c r="T1963">
        <f>IF(AND(NOT(ISBLANK(ReconciliationData[[#This Row],[End_Date]])),ReconciliationData[[#This Row],[Order_Date]]&gt;ReconciliationData[[#This Row],[End_Date]]),1,0)</f>
        <v>0</v>
      </c>
      <c r="U1963">
        <f>IF(AND(NOT(ISBLANK(ReconciliationData[[#This Row],[last_return_date]])),ReconciliationData[[#This Row],[last_return_date]]&gt;ReconciliationData[[#This Row],[Order_Date]]+60),1,0)</f>
        <v>0</v>
      </c>
      <c r="V1963">
        <f>IF(ReconciliationData[[#This Row],[total_returned_units]]&gt;ReconciliationData[[#This Row],[ordered_units]],1,0)</f>
        <v>0</v>
      </c>
      <c r="W19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3">
        <f>ReconciliationData[[#This Row],[Billed_Units]]*ReconciliationData[[#This Row],[Billed_Price]]</f>
        <v>109535.70599999999</v>
      </c>
      <c r="Y1963">
        <f>ReconciliationData[[#This Row],[ordered_units]]*ReconciliationData[[#This Row],[List_Price]]</f>
        <v>109535.70599999999</v>
      </c>
      <c r="Z1963">
        <f>ReconciliationData[[#This Row],[billed_revenue]]-ReconciliationData[[#This Row],[expected_revenue]]</f>
        <v>0</v>
      </c>
      <c r="AA19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3" t="str">
        <f>IF(ReconciliationData[[#This Row],[severity_score]]=0,"LOW",
 IF(ReconciliationData[[#This Row],[severity_score]]&lt;=5,"MEDIUM","HIGH"))</f>
        <v>LOW</v>
      </c>
      <c r="AC1963" t="str">
        <f>TEXT(ReconciliationData[[#This Row],[Order_Date]],"YYYY-MM")</f>
        <v>2023-11</v>
      </c>
    </row>
    <row r="1964" spans="1:29">
      <c r="A1964" t="s">
        <v>5094</v>
      </c>
      <c r="B1964" s="1">
        <v>45167</v>
      </c>
      <c r="C1964" t="s">
        <v>415</v>
      </c>
      <c r="D1964" t="s">
        <v>635</v>
      </c>
      <c r="E1964">
        <v>105</v>
      </c>
      <c r="F1964" t="s">
        <v>5095</v>
      </c>
      <c r="G1964">
        <v>105</v>
      </c>
      <c r="H1964">
        <v>951.54780000000005</v>
      </c>
      <c r="N1964">
        <v>951.54780000000005</v>
      </c>
      <c r="O1964" s="1">
        <v>44964</v>
      </c>
      <c r="P1964">
        <f>IF(ISBLANK(ReconciliationData[[#This Row],[Invoice_ID]]),1,0)</f>
        <v>0</v>
      </c>
      <c r="Q1964">
        <f>IF(AND(NOT(ISBLANK(ReconciliationData[[#This Row],[Billed_Units]])),ReconciliationData[[#This Row],[ordered_units]]&lt;&gt;ReconciliationData[[#This Row],[Billed_Units]]),1,0)</f>
        <v>0</v>
      </c>
      <c r="R19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4">
        <f>IF(AND(NOT(ISBLANK(ReconciliationData[[#This Row],[Contract_Price]])),ReconciliationData[[#This Row],[Billed_Price]]&lt;&gt;ReconciliationData[[#This Row],[Contract_Price]]),1,0)</f>
        <v>0</v>
      </c>
      <c r="T1964">
        <f>IF(AND(NOT(ISBLANK(ReconciliationData[[#This Row],[End_Date]])),ReconciliationData[[#This Row],[Order_Date]]&gt;ReconciliationData[[#This Row],[End_Date]]),1,0)</f>
        <v>0</v>
      </c>
      <c r="U1964">
        <f>IF(AND(NOT(ISBLANK(ReconciliationData[[#This Row],[last_return_date]])),ReconciliationData[[#This Row],[last_return_date]]&gt;ReconciliationData[[#This Row],[Order_Date]]+60),1,0)</f>
        <v>0</v>
      </c>
      <c r="V1964">
        <f>IF(ReconciliationData[[#This Row],[total_returned_units]]&gt;ReconciliationData[[#This Row],[ordered_units]],1,0)</f>
        <v>0</v>
      </c>
      <c r="W19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4">
        <f>ReconciliationData[[#This Row],[Billed_Units]]*ReconciliationData[[#This Row],[Billed_Price]]</f>
        <v>99912.519</v>
      </c>
      <c r="Y1964">
        <f>ReconciliationData[[#This Row],[ordered_units]]*ReconciliationData[[#This Row],[List_Price]]</f>
        <v>99912.519</v>
      </c>
      <c r="Z1964">
        <f>ReconciliationData[[#This Row],[billed_revenue]]-ReconciliationData[[#This Row],[expected_revenue]]</f>
        <v>0</v>
      </c>
      <c r="AA19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4" t="str">
        <f>IF(ReconciliationData[[#This Row],[severity_score]]=0,"LOW",
 IF(ReconciliationData[[#This Row],[severity_score]]&lt;=5,"MEDIUM","HIGH"))</f>
        <v>LOW</v>
      </c>
      <c r="AC1964" t="str">
        <f>TEXT(ReconciliationData[[#This Row],[Order_Date]],"YYYY-MM")</f>
        <v>2023-08</v>
      </c>
    </row>
    <row r="1965" spans="1:29">
      <c r="A1965" t="s">
        <v>5096</v>
      </c>
      <c r="B1965" s="1">
        <v>45219</v>
      </c>
      <c r="C1965" t="s">
        <v>1750</v>
      </c>
      <c r="D1965" t="s">
        <v>1392</v>
      </c>
      <c r="E1965">
        <v>16</v>
      </c>
      <c r="F1965" t="s">
        <v>5097</v>
      </c>
      <c r="G1965">
        <v>16</v>
      </c>
      <c r="H1965">
        <v>107.1605</v>
      </c>
      <c r="N1965">
        <v>107.1605</v>
      </c>
      <c r="O1965" s="1">
        <v>44970</v>
      </c>
      <c r="P1965">
        <f>IF(ISBLANK(ReconciliationData[[#This Row],[Invoice_ID]]),1,0)</f>
        <v>0</v>
      </c>
      <c r="Q1965">
        <f>IF(AND(NOT(ISBLANK(ReconciliationData[[#This Row],[Billed_Units]])),ReconciliationData[[#This Row],[ordered_units]]&lt;&gt;ReconciliationData[[#This Row],[Billed_Units]]),1,0)</f>
        <v>0</v>
      </c>
      <c r="R19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5">
        <f>IF(AND(NOT(ISBLANK(ReconciliationData[[#This Row],[Contract_Price]])),ReconciliationData[[#This Row],[Billed_Price]]&lt;&gt;ReconciliationData[[#This Row],[Contract_Price]]),1,0)</f>
        <v>0</v>
      </c>
      <c r="T1965">
        <f>IF(AND(NOT(ISBLANK(ReconciliationData[[#This Row],[End_Date]])),ReconciliationData[[#This Row],[Order_Date]]&gt;ReconciliationData[[#This Row],[End_Date]]),1,0)</f>
        <v>0</v>
      </c>
      <c r="U1965">
        <f>IF(AND(NOT(ISBLANK(ReconciliationData[[#This Row],[last_return_date]])),ReconciliationData[[#This Row],[last_return_date]]&gt;ReconciliationData[[#This Row],[Order_Date]]+60),1,0)</f>
        <v>0</v>
      </c>
      <c r="V1965">
        <f>IF(ReconciliationData[[#This Row],[total_returned_units]]&gt;ReconciliationData[[#This Row],[ordered_units]],1,0)</f>
        <v>0</v>
      </c>
      <c r="W19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5">
        <f>ReconciliationData[[#This Row],[Billed_Units]]*ReconciliationData[[#This Row],[Billed_Price]]</f>
        <v>1714.568</v>
      </c>
      <c r="Y1965">
        <f>ReconciliationData[[#This Row],[ordered_units]]*ReconciliationData[[#This Row],[List_Price]]</f>
        <v>1714.568</v>
      </c>
      <c r="Z1965">
        <f>ReconciliationData[[#This Row],[billed_revenue]]-ReconciliationData[[#This Row],[expected_revenue]]</f>
        <v>0</v>
      </c>
      <c r="AA19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5" t="str">
        <f>IF(ReconciliationData[[#This Row],[severity_score]]=0,"LOW",
 IF(ReconciliationData[[#This Row],[severity_score]]&lt;=5,"MEDIUM","HIGH"))</f>
        <v>LOW</v>
      </c>
      <c r="AC1965" t="str">
        <f>TEXT(ReconciliationData[[#This Row],[Order_Date]],"YYYY-MM")</f>
        <v>2023-10</v>
      </c>
    </row>
    <row r="1966" spans="1:29">
      <c r="A1966" t="s">
        <v>5098</v>
      </c>
      <c r="B1966" s="1">
        <v>45133</v>
      </c>
      <c r="C1966" t="s">
        <v>2902</v>
      </c>
      <c r="D1966" t="s">
        <v>533</v>
      </c>
      <c r="E1966">
        <v>58</v>
      </c>
      <c r="F1966" t="s">
        <v>5099</v>
      </c>
      <c r="G1966">
        <v>58</v>
      </c>
      <c r="H1966">
        <v>859.25750000000005</v>
      </c>
      <c r="N1966">
        <v>859.25750000000005</v>
      </c>
      <c r="O1966" s="1">
        <v>44782</v>
      </c>
      <c r="P1966">
        <f>IF(ISBLANK(ReconciliationData[[#This Row],[Invoice_ID]]),1,0)</f>
        <v>0</v>
      </c>
      <c r="Q1966">
        <f>IF(AND(NOT(ISBLANK(ReconciliationData[[#This Row],[Billed_Units]])),ReconciliationData[[#This Row],[ordered_units]]&lt;&gt;ReconciliationData[[#This Row],[Billed_Units]]),1,0)</f>
        <v>0</v>
      </c>
      <c r="R19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6">
        <f>IF(AND(NOT(ISBLANK(ReconciliationData[[#This Row],[Contract_Price]])),ReconciliationData[[#This Row],[Billed_Price]]&lt;&gt;ReconciliationData[[#This Row],[Contract_Price]]),1,0)</f>
        <v>0</v>
      </c>
      <c r="T1966">
        <f>IF(AND(NOT(ISBLANK(ReconciliationData[[#This Row],[End_Date]])),ReconciliationData[[#This Row],[Order_Date]]&gt;ReconciliationData[[#This Row],[End_Date]]),1,0)</f>
        <v>0</v>
      </c>
      <c r="U1966">
        <f>IF(AND(NOT(ISBLANK(ReconciliationData[[#This Row],[last_return_date]])),ReconciliationData[[#This Row],[last_return_date]]&gt;ReconciliationData[[#This Row],[Order_Date]]+60),1,0)</f>
        <v>0</v>
      </c>
      <c r="V1966">
        <f>IF(ReconciliationData[[#This Row],[total_returned_units]]&gt;ReconciliationData[[#This Row],[ordered_units]],1,0)</f>
        <v>0</v>
      </c>
      <c r="W19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6">
        <f>ReconciliationData[[#This Row],[Billed_Units]]*ReconciliationData[[#This Row],[Billed_Price]]</f>
        <v>49836.935000000005</v>
      </c>
      <c r="Y1966">
        <f>ReconciliationData[[#This Row],[ordered_units]]*ReconciliationData[[#This Row],[List_Price]]</f>
        <v>49836.935000000005</v>
      </c>
      <c r="Z1966">
        <f>ReconciliationData[[#This Row],[billed_revenue]]-ReconciliationData[[#This Row],[expected_revenue]]</f>
        <v>0</v>
      </c>
      <c r="AA19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6" t="str">
        <f>IF(ReconciliationData[[#This Row],[severity_score]]=0,"LOW",
 IF(ReconciliationData[[#This Row],[severity_score]]&lt;=5,"MEDIUM","HIGH"))</f>
        <v>LOW</v>
      </c>
      <c r="AC1966" t="str">
        <f>TEXT(ReconciliationData[[#This Row],[Order_Date]],"YYYY-MM")</f>
        <v>2023-07</v>
      </c>
    </row>
    <row r="1967" spans="1:29">
      <c r="A1967" t="s">
        <v>5100</v>
      </c>
      <c r="B1967" s="1">
        <v>45229</v>
      </c>
      <c r="C1967" t="s">
        <v>1505</v>
      </c>
      <c r="D1967" t="s">
        <v>309</v>
      </c>
      <c r="E1967">
        <v>105</v>
      </c>
      <c r="F1967" t="s">
        <v>5101</v>
      </c>
      <c r="G1967">
        <v>105</v>
      </c>
      <c r="H1967">
        <v>946.74860000000001</v>
      </c>
      <c r="N1967">
        <v>946.74860000000001</v>
      </c>
      <c r="O1967" s="1">
        <v>45038</v>
      </c>
      <c r="P1967">
        <f>IF(ISBLANK(ReconciliationData[[#This Row],[Invoice_ID]]),1,0)</f>
        <v>0</v>
      </c>
      <c r="Q1967">
        <f>IF(AND(NOT(ISBLANK(ReconciliationData[[#This Row],[Billed_Units]])),ReconciliationData[[#This Row],[ordered_units]]&lt;&gt;ReconciliationData[[#This Row],[Billed_Units]]),1,0)</f>
        <v>0</v>
      </c>
      <c r="R19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7">
        <f>IF(AND(NOT(ISBLANK(ReconciliationData[[#This Row],[Contract_Price]])),ReconciliationData[[#This Row],[Billed_Price]]&lt;&gt;ReconciliationData[[#This Row],[Contract_Price]]),1,0)</f>
        <v>0</v>
      </c>
      <c r="T1967">
        <f>IF(AND(NOT(ISBLANK(ReconciliationData[[#This Row],[End_Date]])),ReconciliationData[[#This Row],[Order_Date]]&gt;ReconciliationData[[#This Row],[End_Date]]),1,0)</f>
        <v>0</v>
      </c>
      <c r="U1967">
        <f>IF(AND(NOT(ISBLANK(ReconciliationData[[#This Row],[last_return_date]])),ReconciliationData[[#This Row],[last_return_date]]&gt;ReconciliationData[[#This Row],[Order_Date]]+60),1,0)</f>
        <v>0</v>
      </c>
      <c r="V1967">
        <f>IF(ReconciliationData[[#This Row],[total_returned_units]]&gt;ReconciliationData[[#This Row],[ordered_units]],1,0)</f>
        <v>0</v>
      </c>
      <c r="W19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7">
        <f>ReconciliationData[[#This Row],[Billed_Units]]*ReconciliationData[[#This Row],[Billed_Price]]</f>
        <v>99408.603000000003</v>
      </c>
      <c r="Y1967">
        <f>ReconciliationData[[#This Row],[ordered_units]]*ReconciliationData[[#This Row],[List_Price]]</f>
        <v>99408.603000000003</v>
      </c>
      <c r="Z1967">
        <f>ReconciliationData[[#This Row],[billed_revenue]]-ReconciliationData[[#This Row],[expected_revenue]]</f>
        <v>0</v>
      </c>
      <c r="AA19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7" t="str">
        <f>IF(ReconciliationData[[#This Row],[severity_score]]=0,"LOW",
 IF(ReconciliationData[[#This Row],[severity_score]]&lt;=5,"MEDIUM","HIGH"))</f>
        <v>LOW</v>
      </c>
      <c r="AC1967" t="str">
        <f>TEXT(ReconciliationData[[#This Row],[Order_Date]],"YYYY-MM")</f>
        <v>2023-10</v>
      </c>
    </row>
    <row r="1968" spans="1:29">
      <c r="A1968" t="s">
        <v>5102</v>
      </c>
      <c r="B1968" s="1">
        <v>45379</v>
      </c>
      <c r="C1968" t="s">
        <v>2497</v>
      </c>
      <c r="D1968" t="s">
        <v>798</v>
      </c>
      <c r="E1968">
        <v>149</v>
      </c>
      <c r="F1968" t="s">
        <v>5103</v>
      </c>
      <c r="G1968">
        <v>149</v>
      </c>
      <c r="H1968">
        <v>153.01650000000001</v>
      </c>
      <c r="N1968">
        <v>153.01650000000001</v>
      </c>
      <c r="O1968" s="1">
        <v>45064</v>
      </c>
      <c r="P1968">
        <f>IF(ISBLANK(ReconciliationData[[#This Row],[Invoice_ID]]),1,0)</f>
        <v>0</v>
      </c>
      <c r="Q1968">
        <f>IF(AND(NOT(ISBLANK(ReconciliationData[[#This Row],[Billed_Units]])),ReconciliationData[[#This Row],[ordered_units]]&lt;&gt;ReconciliationData[[#This Row],[Billed_Units]]),1,0)</f>
        <v>0</v>
      </c>
      <c r="R19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8">
        <f>IF(AND(NOT(ISBLANK(ReconciliationData[[#This Row],[Contract_Price]])),ReconciliationData[[#This Row],[Billed_Price]]&lt;&gt;ReconciliationData[[#This Row],[Contract_Price]]),1,0)</f>
        <v>0</v>
      </c>
      <c r="T1968">
        <f>IF(AND(NOT(ISBLANK(ReconciliationData[[#This Row],[End_Date]])),ReconciliationData[[#This Row],[Order_Date]]&gt;ReconciliationData[[#This Row],[End_Date]]),1,0)</f>
        <v>0</v>
      </c>
      <c r="U1968">
        <f>IF(AND(NOT(ISBLANK(ReconciliationData[[#This Row],[last_return_date]])),ReconciliationData[[#This Row],[last_return_date]]&gt;ReconciliationData[[#This Row],[Order_Date]]+60),1,0)</f>
        <v>0</v>
      </c>
      <c r="V1968">
        <f>IF(ReconciliationData[[#This Row],[total_returned_units]]&gt;ReconciliationData[[#This Row],[ordered_units]],1,0)</f>
        <v>0</v>
      </c>
      <c r="W19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8">
        <f>ReconciliationData[[#This Row],[Billed_Units]]*ReconciliationData[[#This Row],[Billed_Price]]</f>
        <v>22799.458500000001</v>
      </c>
      <c r="Y1968">
        <f>ReconciliationData[[#This Row],[ordered_units]]*ReconciliationData[[#This Row],[List_Price]]</f>
        <v>22799.458500000001</v>
      </c>
      <c r="Z1968">
        <f>ReconciliationData[[#This Row],[billed_revenue]]-ReconciliationData[[#This Row],[expected_revenue]]</f>
        <v>0</v>
      </c>
      <c r="AA19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8" t="str">
        <f>IF(ReconciliationData[[#This Row],[severity_score]]=0,"LOW",
 IF(ReconciliationData[[#This Row],[severity_score]]&lt;=5,"MEDIUM","HIGH"))</f>
        <v>LOW</v>
      </c>
      <c r="AC1968" t="str">
        <f>TEXT(ReconciliationData[[#This Row],[Order_Date]],"YYYY-MM")</f>
        <v>2024-03</v>
      </c>
    </row>
    <row r="1969" spans="1:29">
      <c r="A1969" t="s">
        <v>5104</v>
      </c>
      <c r="B1969" s="1">
        <v>45004</v>
      </c>
      <c r="C1969" t="s">
        <v>396</v>
      </c>
      <c r="D1969" t="s">
        <v>912</v>
      </c>
      <c r="E1969">
        <v>161</v>
      </c>
      <c r="F1969" t="s">
        <v>5105</v>
      </c>
      <c r="G1969">
        <v>161</v>
      </c>
      <c r="H1969">
        <v>376.38049999999998</v>
      </c>
      <c r="N1969">
        <v>376.38049999999998</v>
      </c>
      <c r="O1969" s="1">
        <v>44984</v>
      </c>
      <c r="P1969">
        <f>IF(ISBLANK(ReconciliationData[[#This Row],[Invoice_ID]]),1,0)</f>
        <v>0</v>
      </c>
      <c r="Q1969">
        <f>IF(AND(NOT(ISBLANK(ReconciliationData[[#This Row],[Billed_Units]])),ReconciliationData[[#This Row],[ordered_units]]&lt;&gt;ReconciliationData[[#This Row],[Billed_Units]]),1,0)</f>
        <v>0</v>
      </c>
      <c r="R19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69">
        <f>IF(AND(NOT(ISBLANK(ReconciliationData[[#This Row],[Contract_Price]])),ReconciliationData[[#This Row],[Billed_Price]]&lt;&gt;ReconciliationData[[#This Row],[Contract_Price]]),1,0)</f>
        <v>0</v>
      </c>
      <c r="T1969">
        <f>IF(AND(NOT(ISBLANK(ReconciliationData[[#This Row],[End_Date]])),ReconciliationData[[#This Row],[Order_Date]]&gt;ReconciliationData[[#This Row],[End_Date]]),1,0)</f>
        <v>0</v>
      </c>
      <c r="U1969">
        <f>IF(AND(NOT(ISBLANK(ReconciliationData[[#This Row],[last_return_date]])),ReconciliationData[[#This Row],[last_return_date]]&gt;ReconciliationData[[#This Row],[Order_Date]]+60),1,0)</f>
        <v>0</v>
      </c>
      <c r="V1969">
        <f>IF(ReconciliationData[[#This Row],[total_returned_units]]&gt;ReconciliationData[[#This Row],[ordered_units]],1,0)</f>
        <v>0</v>
      </c>
      <c r="W19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69">
        <f>ReconciliationData[[#This Row],[Billed_Units]]*ReconciliationData[[#This Row],[Billed_Price]]</f>
        <v>60597.260499999997</v>
      </c>
      <c r="Y1969">
        <f>ReconciliationData[[#This Row],[ordered_units]]*ReconciliationData[[#This Row],[List_Price]]</f>
        <v>60597.260499999997</v>
      </c>
      <c r="Z1969">
        <f>ReconciliationData[[#This Row],[billed_revenue]]-ReconciliationData[[#This Row],[expected_revenue]]</f>
        <v>0</v>
      </c>
      <c r="AA19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69" t="str">
        <f>IF(ReconciliationData[[#This Row],[severity_score]]=0,"LOW",
 IF(ReconciliationData[[#This Row],[severity_score]]&lt;=5,"MEDIUM","HIGH"))</f>
        <v>LOW</v>
      </c>
      <c r="AC1969" t="str">
        <f>TEXT(ReconciliationData[[#This Row],[Order_Date]],"YYYY-MM")</f>
        <v>2023-03</v>
      </c>
    </row>
    <row r="1970" spans="1:29">
      <c r="A1970" t="s">
        <v>5106</v>
      </c>
      <c r="B1970" s="1">
        <v>45565</v>
      </c>
      <c r="C1970" t="s">
        <v>2745</v>
      </c>
      <c r="D1970" t="s">
        <v>2370</v>
      </c>
      <c r="E1970">
        <v>93</v>
      </c>
      <c r="F1970" t="s">
        <v>5107</v>
      </c>
      <c r="G1970">
        <v>93</v>
      </c>
      <c r="H1970">
        <v>1247.7911999999999</v>
      </c>
      <c r="I1970">
        <v>15</v>
      </c>
      <c r="J1970" s="1">
        <v>45680</v>
      </c>
      <c r="N1970">
        <v>1247.7911999999999</v>
      </c>
      <c r="O1970" s="1">
        <v>45213</v>
      </c>
      <c r="P1970">
        <f>IF(ISBLANK(ReconciliationData[[#This Row],[Invoice_ID]]),1,0)</f>
        <v>0</v>
      </c>
      <c r="Q1970">
        <f>IF(AND(NOT(ISBLANK(ReconciliationData[[#This Row],[Billed_Units]])),ReconciliationData[[#This Row],[ordered_units]]&lt;&gt;ReconciliationData[[#This Row],[Billed_Units]]),1,0)</f>
        <v>0</v>
      </c>
      <c r="R19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70">
        <f>IF(AND(NOT(ISBLANK(ReconciliationData[[#This Row],[Contract_Price]])),ReconciliationData[[#This Row],[Billed_Price]]&lt;&gt;ReconciliationData[[#This Row],[Contract_Price]]),1,0)</f>
        <v>0</v>
      </c>
      <c r="T1970">
        <f>IF(AND(NOT(ISBLANK(ReconciliationData[[#This Row],[End_Date]])),ReconciliationData[[#This Row],[Order_Date]]&gt;ReconciliationData[[#This Row],[End_Date]]),1,0)</f>
        <v>0</v>
      </c>
      <c r="U1970">
        <f>IF(AND(NOT(ISBLANK(ReconciliationData[[#This Row],[last_return_date]])),ReconciliationData[[#This Row],[last_return_date]]&gt;ReconciliationData[[#This Row],[Order_Date]]+60),1,0)</f>
        <v>1</v>
      </c>
      <c r="V1970">
        <f>IF(ReconciliationData[[#This Row],[total_returned_units]]&gt;ReconciliationData[[#This Row],[ordered_units]],1,0)</f>
        <v>0</v>
      </c>
      <c r="W19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70">
        <f>ReconciliationData[[#This Row],[Billed_Units]]*ReconciliationData[[#This Row],[Billed_Price]]</f>
        <v>116044.58159999999</v>
      </c>
      <c r="Y1970">
        <f>ReconciliationData[[#This Row],[ordered_units]]*ReconciliationData[[#This Row],[List_Price]]</f>
        <v>116044.58159999999</v>
      </c>
      <c r="Z1970">
        <f>ReconciliationData[[#This Row],[billed_revenue]]-ReconciliationData[[#This Row],[expected_revenue]]</f>
        <v>0</v>
      </c>
      <c r="AA19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970" t="str">
        <f>IF(ReconciliationData[[#This Row],[severity_score]]=0,"LOW",
 IF(ReconciliationData[[#This Row],[severity_score]]&lt;=5,"MEDIUM","HIGH"))</f>
        <v>MEDIUM</v>
      </c>
      <c r="AC1970" t="str">
        <f>TEXT(ReconciliationData[[#This Row],[Order_Date]],"YYYY-MM")</f>
        <v>2024-09</v>
      </c>
    </row>
    <row r="1971" spans="1:29">
      <c r="A1971" t="s">
        <v>5108</v>
      </c>
      <c r="B1971" s="1">
        <v>45014</v>
      </c>
      <c r="C1971" t="s">
        <v>5109</v>
      </c>
      <c r="D1971" t="s">
        <v>202</v>
      </c>
      <c r="E1971">
        <v>23</v>
      </c>
      <c r="F1971" t="s">
        <v>5110</v>
      </c>
      <c r="G1971">
        <v>23</v>
      </c>
      <c r="H1971">
        <v>696.84799999999996</v>
      </c>
      <c r="N1971">
        <v>696.84799999999996</v>
      </c>
      <c r="O1971" s="1">
        <v>44773</v>
      </c>
      <c r="P1971">
        <f>IF(ISBLANK(ReconciliationData[[#This Row],[Invoice_ID]]),1,0)</f>
        <v>0</v>
      </c>
      <c r="Q1971">
        <f>IF(AND(NOT(ISBLANK(ReconciliationData[[#This Row],[Billed_Units]])),ReconciliationData[[#This Row],[ordered_units]]&lt;&gt;ReconciliationData[[#This Row],[Billed_Units]]),1,0)</f>
        <v>0</v>
      </c>
      <c r="R19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71">
        <f>IF(AND(NOT(ISBLANK(ReconciliationData[[#This Row],[Contract_Price]])),ReconciliationData[[#This Row],[Billed_Price]]&lt;&gt;ReconciliationData[[#This Row],[Contract_Price]]),1,0)</f>
        <v>0</v>
      </c>
      <c r="T1971">
        <f>IF(AND(NOT(ISBLANK(ReconciliationData[[#This Row],[End_Date]])),ReconciliationData[[#This Row],[Order_Date]]&gt;ReconciliationData[[#This Row],[End_Date]]),1,0)</f>
        <v>0</v>
      </c>
      <c r="U1971">
        <f>IF(AND(NOT(ISBLANK(ReconciliationData[[#This Row],[last_return_date]])),ReconciliationData[[#This Row],[last_return_date]]&gt;ReconciliationData[[#This Row],[Order_Date]]+60),1,0)</f>
        <v>0</v>
      </c>
      <c r="V1971">
        <f>IF(ReconciliationData[[#This Row],[total_returned_units]]&gt;ReconciliationData[[#This Row],[ordered_units]],1,0)</f>
        <v>0</v>
      </c>
      <c r="W19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71">
        <f>ReconciliationData[[#This Row],[Billed_Units]]*ReconciliationData[[#This Row],[Billed_Price]]</f>
        <v>16027.503999999999</v>
      </c>
      <c r="Y1971">
        <f>ReconciliationData[[#This Row],[ordered_units]]*ReconciliationData[[#This Row],[List_Price]]</f>
        <v>16027.503999999999</v>
      </c>
      <c r="Z1971">
        <f>ReconciliationData[[#This Row],[billed_revenue]]-ReconciliationData[[#This Row],[expected_revenue]]</f>
        <v>0</v>
      </c>
      <c r="AA19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71" t="str">
        <f>IF(ReconciliationData[[#This Row],[severity_score]]=0,"LOW",
 IF(ReconciliationData[[#This Row],[severity_score]]&lt;=5,"MEDIUM","HIGH"))</f>
        <v>LOW</v>
      </c>
      <c r="AC1971" t="str">
        <f>TEXT(ReconciliationData[[#This Row],[Order_Date]],"YYYY-MM")</f>
        <v>2023-03</v>
      </c>
    </row>
    <row r="1972" spans="1:29">
      <c r="A1972" t="s">
        <v>5111</v>
      </c>
      <c r="B1972" s="1">
        <v>45418</v>
      </c>
      <c r="C1972" t="s">
        <v>185</v>
      </c>
      <c r="D1972" t="s">
        <v>983</v>
      </c>
      <c r="E1972">
        <v>62</v>
      </c>
      <c r="F1972" t="s">
        <v>5112</v>
      </c>
      <c r="G1972">
        <v>62</v>
      </c>
      <c r="H1972">
        <v>226.1644</v>
      </c>
      <c r="N1972">
        <v>226.1644</v>
      </c>
      <c r="O1972" s="1">
        <v>45139</v>
      </c>
      <c r="P1972">
        <f>IF(ISBLANK(ReconciliationData[[#This Row],[Invoice_ID]]),1,0)</f>
        <v>0</v>
      </c>
      <c r="Q1972">
        <f>IF(AND(NOT(ISBLANK(ReconciliationData[[#This Row],[Billed_Units]])),ReconciliationData[[#This Row],[ordered_units]]&lt;&gt;ReconciliationData[[#This Row],[Billed_Units]]),1,0)</f>
        <v>0</v>
      </c>
      <c r="R19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72">
        <f>IF(AND(NOT(ISBLANK(ReconciliationData[[#This Row],[Contract_Price]])),ReconciliationData[[#This Row],[Billed_Price]]&lt;&gt;ReconciliationData[[#This Row],[Contract_Price]]),1,0)</f>
        <v>0</v>
      </c>
      <c r="T1972">
        <f>IF(AND(NOT(ISBLANK(ReconciliationData[[#This Row],[End_Date]])),ReconciliationData[[#This Row],[Order_Date]]&gt;ReconciliationData[[#This Row],[End_Date]]),1,0)</f>
        <v>0</v>
      </c>
      <c r="U1972">
        <f>IF(AND(NOT(ISBLANK(ReconciliationData[[#This Row],[last_return_date]])),ReconciliationData[[#This Row],[last_return_date]]&gt;ReconciliationData[[#This Row],[Order_Date]]+60),1,0)</f>
        <v>0</v>
      </c>
      <c r="V1972">
        <f>IF(ReconciliationData[[#This Row],[total_returned_units]]&gt;ReconciliationData[[#This Row],[ordered_units]],1,0)</f>
        <v>0</v>
      </c>
      <c r="W19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72">
        <f>ReconciliationData[[#This Row],[Billed_Units]]*ReconciliationData[[#This Row],[Billed_Price]]</f>
        <v>14022.192800000001</v>
      </c>
      <c r="Y1972">
        <f>ReconciliationData[[#This Row],[ordered_units]]*ReconciliationData[[#This Row],[List_Price]]</f>
        <v>14022.192800000001</v>
      </c>
      <c r="Z1972">
        <f>ReconciliationData[[#This Row],[billed_revenue]]-ReconciliationData[[#This Row],[expected_revenue]]</f>
        <v>0</v>
      </c>
      <c r="AA19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72" t="str">
        <f>IF(ReconciliationData[[#This Row],[severity_score]]=0,"LOW",
 IF(ReconciliationData[[#This Row],[severity_score]]&lt;=5,"MEDIUM","HIGH"))</f>
        <v>LOW</v>
      </c>
      <c r="AC1972" t="str">
        <f>TEXT(ReconciliationData[[#This Row],[Order_Date]],"YYYY-MM")</f>
        <v>2024-05</v>
      </c>
    </row>
    <row r="1973" spans="1:29">
      <c r="A1973" t="s">
        <v>5113</v>
      </c>
      <c r="B1973" s="1">
        <v>45538</v>
      </c>
      <c r="C1973" t="s">
        <v>1395</v>
      </c>
      <c r="D1973" t="s">
        <v>643</v>
      </c>
      <c r="E1973">
        <v>16</v>
      </c>
      <c r="F1973" t="s">
        <v>5114</v>
      </c>
      <c r="G1973">
        <v>16</v>
      </c>
      <c r="H1973">
        <v>208.65799999999999</v>
      </c>
      <c r="I1973">
        <v>3</v>
      </c>
      <c r="J1973" s="1">
        <v>45100</v>
      </c>
      <c r="N1973">
        <v>208.65799999999999</v>
      </c>
      <c r="O1973" s="1">
        <v>44971</v>
      </c>
      <c r="P1973">
        <f>IF(ISBLANK(ReconciliationData[[#This Row],[Invoice_ID]]),1,0)</f>
        <v>0</v>
      </c>
      <c r="Q1973">
        <f>IF(AND(NOT(ISBLANK(ReconciliationData[[#This Row],[Billed_Units]])),ReconciliationData[[#This Row],[ordered_units]]&lt;&gt;ReconciliationData[[#This Row],[Billed_Units]]),1,0)</f>
        <v>0</v>
      </c>
      <c r="R19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73">
        <f>IF(AND(NOT(ISBLANK(ReconciliationData[[#This Row],[Contract_Price]])),ReconciliationData[[#This Row],[Billed_Price]]&lt;&gt;ReconciliationData[[#This Row],[Contract_Price]]),1,0)</f>
        <v>0</v>
      </c>
      <c r="T1973">
        <f>IF(AND(NOT(ISBLANK(ReconciliationData[[#This Row],[End_Date]])),ReconciliationData[[#This Row],[Order_Date]]&gt;ReconciliationData[[#This Row],[End_Date]]),1,0)</f>
        <v>0</v>
      </c>
      <c r="U1973">
        <f>IF(AND(NOT(ISBLANK(ReconciliationData[[#This Row],[last_return_date]])),ReconciliationData[[#This Row],[last_return_date]]&gt;ReconciliationData[[#This Row],[Order_Date]]+60),1,0)</f>
        <v>0</v>
      </c>
      <c r="V1973">
        <f>IF(ReconciliationData[[#This Row],[total_returned_units]]&gt;ReconciliationData[[#This Row],[ordered_units]],1,0)</f>
        <v>0</v>
      </c>
      <c r="W19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73">
        <f>ReconciliationData[[#This Row],[Billed_Units]]*ReconciliationData[[#This Row],[Billed_Price]]</f>
        <v>3338.5279999999998</v>
      </c>
      <c r="Y1973">
        <f>ReconciliationData[[#This Row],[ordered_units]]*ReconciliationData[[#This Row],[List_Price]]</f>
        <v>3338.5279999999998</v>
      </c>
      <c r="Z1973">
        <f>ReconciliationData[[#This Row],[billed_revenue]]-ReconciliationData[[#This Row],[expected_revenue]]</f>
        <v>0</v>
      </c>
      <c r="AA19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73" t="str">
        <f>IF(ReconciliationData[[#This Row],[severity_score]]=0,"LOW",
 IF(ReconciliationData[[#This Row],[severity_score]]&lt;=5,"MEDIUM","HIGH"))</f>
        <v>LOW</v>
      </c>
      <c r="AC1973" t="str">
        <f>TEXT(ReconciliationData[[#This Row],[Order_Date]],"YYYY-MM")</f>
        <v>2024-09</v>
      </c>
    </row>
    <row r="1974" spans="1:29">
      <c r="A1974" t="s">
        <v>5115</v>
      </c>
      <c r="B1974" s="1">
        <v>45520</v>
      </c>
      <c r="C1974" t="s">
        <v>1178</v>
      </c>
      <c r="D1974" t="s">
        <v>170</v>
      </c>
      <c r="E1974">
        <v>35</v>
      </c>
      <c r="F1974" t="s">
        <v>5116</v>
      </c>
      <c r="G1974">
        <v>35</v>
      </c>
      <c r="H1974">
        <v>397.40159999999997</v>
      </c>
      <c r="N1974">
        <v>397.40159999999997</v>
      </c>
      <c r="O1974" s="1">
        <v>45021</v>
      </c>
      <c r="P1974">
        <f>IF(ISBLANK(ReconciliationData[[#This Row],[Invoice_ID]]),1,0)</f>
        <v>0</v>
      </c>
      <c r="Q1974">
        <f>IF(AND(NOT(ISBLANK(ReconciliationData[[#This Row],[Billed_Units]])),ReconciliationData[[#This Row],[ordered_units]]&lt;&gt;ReconciliationData[[#This Row],[Billed_Units]]),1,0)</f>
        <v>0</v>
      </c>
      <c r="R19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74">
        <f>IF(AND(NOT(ISBLANK(ReconciliationData[[#This Row],[Contract_Price]])),ReconciliationData[[#This Row],[Billed_Price]]&lt;&gt;ReconciliationData[[#This Row],[Contract_Price]]),1,0)</f>
        <v>0</v>
      </c>
      <c r="T1974">
        <f>IF(AND(NOT(ISBLANK(ReconciliationData[[#This Row],[End_Date]])),ReconciliationData[[#This Row],[Order_Date]]&gt;ReconciliationData[[#This Row],[End_Date]]),1,0)</f>
        <v>0</v>
      </c>
      <c r="U1974">
        <f>IF(AND(NOT(ISBLANK(ReconciliationData[[#This Row],[last_return_date]])),ReconciliationData[[#This Row],[last_return_date]]&gt;ReconciliationData[[#This Row],[Order_Date]]+60),1,0)</f>
        <v>0</v>
      </c>
      <c r="V1974">
        <f>IF(ReconciliationData[[#This Row],[total_returned_units]]&gt;ReconciliationData[[#This Row],[ordered_units]],1,0)</f>
        <v>0</v>
      </c>
      <c r="W19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74">
        <f>ReconciliationData[[#This Row],[Billed_Units]]*ReconciliationData[[#This Row],[Billed_Price]]</f>
        <v>13909.055999999999</v>
      </c>
      <c r="Y1974">
        <f>ReconciliationData[[#This Row],[ordered_units]]*ReconciliationData[[#This Row],[List_Price]]</f>
        <v>13909.055999999999</v>
      </c>
      <c r="Z1974">
        <f>ReconciliationData[[#This Row],[billed_revenue]]-ReconciliationData[[#This Row],[expected_revenue]]</f>
        <v>0</v>
      </c>
      <c r="AA19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74" t="str">
        <f>IF(ReconciliationData[[#This Row],[severity_score]]=0,"LOW",
 IF(ReconciliationData[[#This Row],[severity_score]]&lt;=5,"MEDIUM","HIGH"))</f>
        <v>LOW</v>
      </c>
      <c r="AC1974" t="str">
        <f>TEXT(ReconciliationData[[#This Row],[Order_Date]],"YYYY-MM")</f>
        <v>2024-08</v>
      </c>
    </row>
    <row r="1975" spans="1:29">
      <c r="A1975" t="s">
        <v>5117</v>
      </c>
      <c r="B1975" s="1">
        <v>45467</v>
      </c>
      <c r="C1975" t="s">
        <v>5118</v>
      </c>
      <c r="D1975" t="s">
        <v>243</v>
      </c>
      <c r="E1975">
        <v>17</v>
      </c>
      <c r="F1975" t="s">
        <v>5119</v>
      </c>
      <c r="G1975">
        <v>17</v>
      </c>
      <c r="H1975">
        <v>129.18017788680706</v>
      </c>
      <c r="N1975">
        <v>129.17519999999999</v>
      </c>
      <c r="O1975" s="1">
        <v>45184</v>
      </c>
      <c r="P1975">
        <f>IF(ISBLANK(ReconciliationData[[#This Row],[Invoice_ID]]),1,0)</f>
        <v>0</v>
      </c>
      <c r="Q1975">
        <f>IF(AND(NOT(ISBLANK(ReconciliationData[[#This Row],[Billed_Units]])),ReconciliationData[[#This Row],[ordered_units]]&lt;&gt;ReconciliationData[[#This Row],[Billed_Units]]),1,0)</f>
        <v>0</v>
      </c>
      <c r="R197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1975">
        <f>IF(AND(NOT(ISBLANK(ReconciliationData[[#This Row],[Contract_Price]])),ReconciliationData[[#This Row],[Billed_Price]]&lt;&gt;ReconciliationData[[#This Row],[Contract_Price]]),1,0)</f>
        <v>0</v>
      </c>
      <c r="T1975">
        <f>IF(AND(NOT(ISBLANK(ReconciliationData[[#This Row],[End_Date]])),ReconciliationData[[#This Row],[Order_Date]]&gt;ReconciliationData[[#This Row],[End_Date]]),1,0)</f>
        <v>0</v>
      </c>
      <c r="U1975">
        <f>IF(AND(NOT(ISBLANK(ReconciliationData[[#This Row],[last_return_date]])),ReconciliationData[[#This Row],[last_return_date]]&gt;ReconciliationData[[#This Row],[Order_Date]]+60),1,0)</f>
        <v>0</v>
      </c>
      <c r="V1975">
        <f>IF(ReconciliationData[[#This Row],[total_returned_units]]&gt;ReconciliationData[[#This Row],[ordered_units]],1,0)</f>
        <v>0</v>
      </c>
      <c r="W19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75">
        <f>ReconciliationData[[#This Row],[Billed_Units]]*ReconciliationData[[#This Row],[Billed_Price]]</f>
        <v>2196.06302407572</v>
      </c>
      <c r="Y1975">
        <f>ReconciliationData[[#This Row],[ordered_units]]*ReconciliationData[[#This Row],[List_Price]]</f>
        <v>2195.9784</v>
      </c>
      <c r="Z1975">
        <f>ReconciliationData[[#This Row],[billed_revenue]]-ReconciliationData[[#This Row],[expected_revenue]]</f>
        <v>8.462407572005759E-2</v>
      </c>
      <c r="AA19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1975" t="str">
        <f>IF(ReconciliationData[[#This Row],[severity_score]]=0,"LOW",
 IF(ReconciliationData[[#This Row],[severity_score]]&lt;=5,"MEDIUM","HIGH"))</f>
        <v>MEDIUM</v>
      </c>
      <c r="AC1975" t="str">
        <f>TEXT(ReconciliationData[[#This Row],[Order_Date]],"YYYY-MM")</f>
        <v>2024-06</v>
      </c>
    </row>
    <row r="1976" spans="1:29">
      <c r="A1976" t="s">
        <v>5120</v>
      </c>
      <c r="B1976" s="1">
        <v>45416</v>
      </c>
      <c r="C1976" t="s">
        <v>2242</v>
      </c>
      <c r="D1976" t="s">
        <v>385</v>
      </c>
      <c r="E1976">
        <v>50</v>
      </c>
      <c r="F1976" t="s">
        <v>5121</v>
      </c>
      <c r="G1976">
        <v>50</v>
      </c>
      <c r="H1976">
        <v>1087.8191999999999</v>
      </c>
      <c r="N1976">
        <v>1087.8191999999999</v>
      </c>
      <c r="O1976" s="1">
        <v>45160</v>
      </c>
      <c r="P1976">
        <f>IF(ISBLANK(ReconciliationData[[#This Row],[Invoice_ID]]),1,0)</f>
        <v>0</v>
      </c>
      <c r="Q1976">
        <f>IF(AND(NOT(ISBLANK(ReconciliationData[[#This Row],[Billed_Units]])),ReconciliationData[[#This Row],[ordered_units]]&lt;&gt;ReconciliationData[[#This Row],[Billed_Units]]),1,0)</f>
        <v>0</v>
      </c>
      <c r="R19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76">
        <f>IF(AND(NOT(ISBLANK(ReconciliationData[[#This Row],[Contract_Price]])),ReconciliationData[[#This Row],[Billed_Price]]&lt;&gt;ReconciliationData[[#This Row],[Contract_Price]]),1,0)</f>
        <v>0</v>
      </c>
      <c r="T1976">
        <f>IF(AND(NOT(ISBLANK(ReconciliationData[[#This Row],[End_Date]])),ReconciliationData[[#This Row],[Order_Date]]&gt;ReconciliationData[[#This Row],[End_Date]]),1,0)</f>
        <v>0</v>
      </c>
      <c r="U1976">
        <f>IF(AND(NOT(ISBLANK(ReconciliationData[[#This Row],[last_return_date]])),ReconciliationData[[#This Row],[last_return_date]]&gt;ReconciliationData[[#This Row],[Order_Date]]+60),1,0)</f>
        <v>0</v>
      </c>
      <c r="V1976">
        <f>IF(ReconciliationData[[#This Row],[total_returned_units]]&gt;ReconciliationData[[#This Row],[ordered_units]],1,0)</f>
        <v>0</v>
      </c>
      <c r="W19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76">
        <f>ReconciliationData[[#This Row],[Billed_Units]]*ReconciliationData[[#This Row],[Billed_Price]]</f>
        <v>54390.959999999992</v>
      </c>
      <c r="Y1976">
        <f>ReconciliationData[[#This Row],[ordered_units]]*ReconciliationData[[#This Row],[List_Price]]</f>
        <v>54390.959999999992</v>
      </c>
      <c r="Z1976">
        <f>ReconciliationData[[#This Row],[billed_revenue]]-ReconciliationData[[#This Row],[expected_revenue]]</f>
        <v>0</v>
      </c>
      <c r="AA19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76" t="str">
        <f>IF(ReconciliationData[[#This Row],[severity_score]]=0,"LOW",
 IF(ReconciliationData[[#This Row],[severity_score]]&lt;=5,"MEDIUM","HIGH"))</f>
        <v>LOW</v>
      </c>
      <c r="AC1976" t="str">
        <f>TEXT(ReconciliationData[[#This Row],[Order_Date]],"YYYY-MM")</f>
        <v>2024-05</v>
      </c>
    </row>
    <row r="1977" spans="1:29">
      <c r="A1977" t="s">
        <v>5122</v>
      </c>
      <c r="B1977" s="1">
        <v>45511</v>
      </c>
      <c r="C1977" t="s">
        <v>1490</v>
      </c>
      <c r="D1977" t="s">
        <v>1238</v>
      </c>
      <c r="E1977">
        <v>184</v>
      </c>
      <c r="F1977" t="s">
        <v>5123</v>
      </c>
      <c r="G1977">
        <v>184</v>
      </c>
      <c r="H1977">
        <v>355.32000000000005</v>
      </c>
      <c r="N1977">
        <v>355.32000000000005</v>
      </c>
      <c r="O1977" s="1">
        <v>45058</v>
      </c>
      <c r="P1977">
        <f>IF(ISBLANK(ReconciliationData[[#This Row],[Invoice_ID]]),1,0)</f>
        <v>0</v>
      </c>
      <c r="Q1977">
        <f>IF(AND(NOT(ISBLANK(ReconciliationData[[#This Row],[Billed_Units]])),ReconciliationData[[#This Row],[ordered_units]]&lt;&gt;ReconciliationData[[#This Row],[Billed_Units]]),1,0)</f>
        <v>0</v>
      </c>
      <c r="R19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77">
        <f>IF(AND(NOT(ISBLANK(ReconciliationData[[#This Row],[Contract_Price]])),ReconciliationData[[#This Row],[Billed_Price]]&lt;&gt;ReconciliationData[[#This Row],[Contract_Price]]),1,0)</f>
        <v>0</v>
      </c>
      <c r="T1977">
        <f>IF(AND(NOT(ISBLANK(ReconciliationData[[#This Row],[End_Date]])),ReconciliationData[[#This Row],[Order_Date]]&gt;ReconciliationData[[#This Row],[End_Date]]),1,0)</f>
        <v>0</v>
      </c>
      <c r="U1977">
        <f>IF(AND(NOT(ISBLANK(ReconciliationData[[#This Row],[last_return_date]])),ReconciliationData[[#This Row],[last_return_date]]&gt;ReconciliationData[[#This Row],[Order_Date]]+60),1,0)</f>
        <v>0</v>
      </c>
      <c r="V1977">
        <f>IF(ReconciliationData[[#This Row],[total_returned_units]]&gt;ReconciliationData[[#This Row],[ordered_units]],1,0)</f>
        <v>0</v>
      </c>
      <c r="W19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77">
        <f>ReconciliationData[[#This Row],[Billed_Units]]*ReconciliationData[[#This Row],[Billed_Price]]</f>
        <v>65378.880000000012</v>
      </c>
      <c r="Y1977">
        <f>ReconciliationData[[#This Row],[ordered_units]]*ReconciliationData[[#This Row],[List_Price]]</f>
        <v>65378.880000000012</v>
      </c>
      <c r="Z1977">
        <f>ReconciliationData[[#This Row],[billed_revenue]]-ReconciliationData[[#This Row],[expected_revenue]]</f>
        <v>0</v>
      </c>
      <c r="AA19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77" t="str">
        <f>IF(ReconciliationData[[#This Row],[severity_score]]=0,"LOW",
 IF(ReconciliationData[[#This Row],[severity_score]]&lt;=5,"MEDIUM","HIGH"))</f>
        <v>LOW</v>
      </c>
      <c r="AC1977" t="str">
        <f>TEXT(ReconciliationData[[#This Row],[Order_Date]],"YYYY-MM")</f>
        <v>2024-08</v>
      </c>
    </row>
    <row r="1978" spans="1:29">
      <c r="A1978" t="s">
        <v>5124</v>
      </c>
      <c r="B1978" s="1">
        <v>44947</v>
      </c>
      <c r="C1978" t="s">
        <v>2535</v>
      </c>
      <c r="D1978" t="s">
        <v>381</v>
      </c>
      <c r="E1978">
        <v>106</v>
      </c>
      <c r="F1978" t="s">
        <v>5125</v>
      </c>
      <c r="G1978">
        <v>106</v>
      </c>
      <c r="H1978">
        <v>933.82110000000011</v>
      </c>
      <c r="N1978">
        <v>933.82110000000011</v>
      </c>
      <c r="O1978" s="1">
        <v>44855</v>
      </c>
      <c r="P1978">
        <f>IF(ISBLANK(ReconciliationData[[#This Row],[Invoice_ID]]),1,0)</f>
        <v>0</v>
      </c>
      <c r="Q1978">
        <f>IF(AND(NOT(ISBLANK(ReconciliationData[[#This Row],[Billed_Units]])),ReconciliationData[[#This Row],[ordered_units]]&lt;&gt;ReconciliationData[[#This Row],[Billed_Units]]),1,0)</f>
        <v>0</v>
      </c>
      <c r="R19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78">
        <f>IF(AND(NOT(ISBLANK(ReconciliationData[[#This Row],[Contract_Price]])),ReconciliationData[[#This Row],[Billed_Price]]&lt;&gt;ReconciliationData[[#This Row],[Contract_Price]]),1,0)</f>
        <v>0</v>
      </c>
      <c r="T1978">
        <f>IF(AND(NOT(ISBLANK(ReconciliationData[[#This Row],[End_Date]])),ReconciliationData[[#This Row],[Order_Date]]&gt;ReconciliationData[[#This Row],[End_Date]]),1,0)</f>
        <v>0</v>
      </c>
      <c r="U1978">
        <f>IF(AND(NOT(ISBLANK(ReconciliationData[[#This Row],[last_return_date]])),ReconciliationData[[#This Row],[last_return_date]]&gt;ReconciliationData[[#This Row],[Order_Date]]+60),1,0)</f>
        <v>0</v>
      </c>
      <c r="V1978">
        <f>IF(ReconciliationData[[#This Row],[total_returned_units]]&gt;ReconciliationData[[#This Row],[ordered_units]],1,0)</f>
        <v>0</v>
      </c>
      <c r="W19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78">
        <f>ReconciliationData[[#This Row],[Billed_Units]]*ReconciliationData[[#This Row],[Billed_Price]]</f>
        <v>98985.036600000007</v>
      </c>
      <c r="Y1978">
        <f>ReconciliationData[[#This Row],[ordered_units]]*ReconciliationData[[#This Row],[List_Price]]</f>
        <v>98985.036600000007</v>
      </c>
      <c r="Z1978">
        <f>ReconciliationData[[#This Row],[billed_revenue]]-ReconciliationData[[#This Row],[expected_revenue]]</f>
        <v>0</v>
      </c>
      <c r="AA19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78" t="str">
        <f>IF(ReconciliationData[[#This Row],[severity_score]]=0,"LOW",
 IF(ReconciliationData[[#This Row],[severity_score]]&lt;=5,"MEDIUM","HIGH"))</f>
        <v>LOW</v>
      </c>
      <c r="AC1978" t="str">
        <f>TEXT(ReconciliationData[[#This Row],[Order_Date]],"YYYY-MM")</f>
        <v>2023-01</v>
      </c>
    </row>
    <row r="1979" spans="1:29">
      <c r="A1979" t="s">
        <v>5126</v>
      </c>
      <c r="B1979" s="1">
        <v>45469</v>
      </c>
      <c r="C1979" t="s">
        <v>4848</v>
      </c>
      <c r="D1979" t="s">
        <v>1455</v>
      </c>
      <c r="E1979">
        <v>189</v>
      </c>
      <c r="F1979" t="s">
        <v>5127</v>
      </c>
      <c r="G1979">
        <v>189</v>
      </c>
      <c r="H1979">
        <v>556.99</v>
      </c>
      <c r="N1979">
        <v>556.99</v>
      </c>
      <c r="O1979" s="1">
        <v>45147</v>
      </c>
      <c r="P1979">
        <f>IF(ISBLANK(ReconciliationData[[#This Row],[Invoice_ID]]),1,0)</f>
        <v>0</v>
      </c>
      <c r="Q1979">
        <f>IF(AND(NOT(ISBLANK(ReconciliationData[[#This Row],[Billed_Units]])),ReconciliationData[[#This Row],[ordered_units]]&lt;&gt;ReconciliationData[[#This Row],[Billed_Units]]),1,0)</f>
        <v>0</v>
      </c>
      <c r="R19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79">
        <f>IF(AND(NOT(ISBLANK(ReconciliationData[[#This Row],[Contract_Price]])),ReconciliationData[[#This Row],[Billed_Price]]&lt;&gt;ReconciliationData[[#This Row],[Contract_Price]]),1,0)</f>
        <v>0</v>
      </c>
      <c r="T1979">
        <f>IF(AND(NOT(ISBLANK(ReconciliationData[[#This Row],[End_Date]])),ReconciliationData[[#This Row],[Order_Date]]&gt;ReconciliationData[[#This Row],[End_Date]]),1,0)</f>
        <v>0</v>
      </c>
      <c r="U1979">
        <f>IF(AND(NOT(ISBLANK(ReconciliationData[[#This Row],[last_return_date]])),ReconciliationData[[#This Row],[last_return_date]]&gt;ReconciliationData[[#This Row],[Order_Date]]+60),1,0)</f>
        <v>0</v>
      </c>
      <c r="V1979">
        <f>IF(ReconciliationData[[#This Row],[total_returned_units]]&gt;ReconciliationData[[#This Row],[ordered_units]],1,0)</f>
        <v>0</v>
      </c>
      <c r="W19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79">
        <f>ReconciliationData[[#This Row],[Billed_Units]]*ReconciliationData[[#This Row],[Billed_Price]]</f>
        <v>105271.11</v>
      </c>
      <c r="Y1979">
        <f>ReconciliationData[[#This Row],[ordered_units]]*ReconciliationData[[#This Row],[List_Price]]</f>
        <v>105271.11</v>
      </c>
      <c r="Z1979">
        <f>ReconciliationData[[#This Row],[billed_revenue]]-ReconciliationData[[#This Row],[expected_revenue]]</f>
        <v>0</v>
      </c>
      <c r="AA19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79" t="str">
        <f>IF(ReconciliationData[[#This Row],[severity_score]]=0,"LOW",
 IF(ReconciliationData[[#This Row],[severity_score]]&lt;=5,"MEDIUM","HIGH"))</f>
        <v>LOW</v>
      </c>
      <c r="AC1979" t="str">
        <f>TEXT(ReconciliationData[[#This Row],[Order_Date]],"YYYY-MM")</f>
        <v>2024-06</v>
      </c>
    </row>
    <row r="1980" spans="1:29">
      <c r="A1980" t="s">
        <v>5128</v>
      </c>
      <c r="B1980" s="1">
        <v>45577</v>
      </c>
      <c r="C1980" t="s">
        <v>359</v>
      </c>
      <c r="D1980" t="s">
        <v>2050</v>
      </c>
      <c r="E1980">
        <v>59</v>
      </c>
      <c r="F1980" t="s">
        <v>5129</v>
      </c>
      <c r="G1980">
        <v>59</v>
      </c>
      <c r="H1980">
        <v>994.85640000000001</v>
      </c>
      <c r="N1980">
        <v>994.85640000000001</v>
      </c>
      <c r="O1980" s="1">
        <v>45149</v>
      </c>
      <c r="P1980">
        <f>IF(ISBLANK(ReconciliationData[[#This Row],[Invoice_ID]]),1,0)</f>
        <v>0</v>
      </c>
      <c r="Q1980">
        <f>IF(AND(NOT(ISBLANK(ReconciliationData[[#This Row],[Billed_Units]])),ReconciliationData[[#This Row],[ordered_units]]&lt;&gt;ReconciliationData[[#This Row],[Billed_Units]]),1,0)</f>
        <v>0</v>
      </c>
      <c r="R19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0">
        <f>IF(AND(NOT(ISBLANK(ReconciliationData[[#This Row],[Contract_Price]])),ReconciliationData[[#This Row],[Billed_Price]]&lt;&gt;ReconciliationData[[#This Row],[Contract_Price]]),1,0)</f>
        <v>0</v>
      </c>
      <c r="T1980">
        <f>IF(AND(NOT(ISBLANK(ReconciliationData[[#This Row],[End_Date]])),ReconciliationData[[#This Row],[Order_Date]]&gt;ReconciliationData[[#This Row],[End_Date]]),1,0)</f>
        <v>0</v>
      </c>
      <c r="U1980">
        <f>IF(AND(NOT(ISBLANK(ReconciliationData[[#This Row],[last_return_date]])),ReconciliationData[[#This Row],[last_return_date]]&gt;ReconciliationData[[#This Row],[Order_Date]]+60),1,0)</f>
        <v>0</v>
      </c>
      <c r="V1980">
        <f>IF(ReconciliationData[[#This Row],[total_returned_units]]&gt;ReconciliationData[[#This Row],[ordered_units]],1,0)</f>
        <v>0</v>
      </c>
      <c r="W19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80">
        <f>ReconciliationData[[#This Row],[Billed_Units]]*ReconciliationData[[#This Row],[Billed_Price]]</f>
        <v>58696.527600000001</v>
      </c>
      <c r="Y1980">
        <f>ReconciliationData[[#This Row],[ordered_units]]*ReconciliationData[[#This Row],[List_Price]]</f>
        <v>58696.527600000001</v>
      </c>
      <c r="Z1980">
        <f>ReconciliationData[[#This Row],[billed_revenue]]-ReconciliationData[[#This Row],[expected_revenue]]</f>
        <v>0</v>
      </c>
      <c r="AA19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80" t="str">
        <f>IF(ReconciliationData[[#This Row],[severity_score]]=0,"LOW",
 IF(ReconciliationData[[#This Row],[severity_score]]&lt;=5,"MEDIUM","HIGH"))</f>
        <v>LOW</v>
      </c>
      <c r="AC1980" t="str">
        <f>TEXT(ReconciliationData[[#This Row],[Order_Date]],"YYYY-MM")</f>
        <v>2024-10</v>
      </c>
    </row>
    <row r="1981" spans="1:29">
      <c r="A1981" t="s">
        <v>5130</v>
      </c>
      <c r="B1981" s="1">
        <v>45434</v>
      </c>
      <c r="C1981" t="s">
        <v>2814</v>
      </c>
      <c r="D1981" t="s">
        <v>1179</v>
      </c>
      <c r="E1981">
        <v>16</v>
      </c>
      <c r="F1981" t="s">
        <v>5131</v>
      </c>
      <c r="G1981">
        <v>16</v>
      </c>
      <c r="H1981">
        <v>892.1431</v>
      </c>
      <c r="N1981">
        <v>892.1431</v>
      </c>
      <c r="O1981" s="1">
        <v>45222</v>
      </c>
      <c r="P1981">
        <f>IF(ISBLANK(ReconciliationData[[#This Row],[Invoice_ID]]),1,0)</f>
        <v>0</v>
      </c>
      <c r="Q1981">
        <f>IF(AND(NOT(ISBLANK(ReconciliationData[[#This Row],[Billed_Units]])),ReconciliationData[[#This Row],[ordered_units]]&lt;&gt;ReconciliationData[[#This Row],[Billed_Units]]),1,0)</f>
        <v>0</v>
      </c>
      <c r="R19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1">
        <f>IF(AND(NOT(ISBLANK(ReconciliationData[[#This Row],[Contract_Price]])),ReconciliationData[[#This Row],[Billed_Price]]&lt;&gt;ReconciliationData[[#This Row],[Contract_Price]]),1,0)</f>
        <v>0</v>
      </c>
      <c r="T1981">
        <f>IF(AND(NOT(ISBLANK(ReconciliationData[[#This Row],[End_Date]])),ReconciliationData[[#This Row],[Order_Date]]&gt;ReconciliationData[[#This Row],[End_Date]]),1,0)</f>
        <v>0</v>
      </c>
      <c r="U1981">
        <f>IF(AND(NOT(ISBLANK(ReconciliationData[[#This Row],[last_return_date]])),ReconciliationData[[#This Row],[last_return_date]]&gt;ReconciliationData[[#This Row],[Order_Date]]+60),1,0)</f>
        <v>0</v>
      </c>
      <c r="V1981">
        <f>IF(ReconciliationData[[#This Row],[total_returned_units]]&gt;ReconciliationData[[#This Row],[ordered_units]],1,0)</f>
        <v>0</v>
      </c>
      <c r="W19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81">
        <f>ReconciliationData[[#This Row],[Billed_Units]]*ReconciliationData[[#This Row],[Billed_Price]]</f>
        <v>14274.2896</v>
      </c>
      <c r="Y1981">
        <f>ReconciliationData[[#This Row],[ordered_units]]*ReconciliationData[[#This Row],[List_Price]]</f>
        <v>14274.2896</v>
      </c>
      <c r="Z1981">
        <f>ReconciliationData[[#This Row],[billed_revenue]]-ReconciliationData[[#This Row],[expected_revenue]]</f>
        <v>0</v>
      </c>
      <c r="AA19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81" t="str">
        <f>IF(ReconciliationData[[#This Row],[severity_score]]=0,"LOW",
 IF(ReconciliationData[[#This Row],[severity_score]]&lt;=5,"MEDIUM","HIGH"))</f>
        <v>LOW</v>
      </c>
      <c r="AC1981" t="str">
        <f>TEXT(ReconciliationData[[#This Row],[Order_Date]],"YYYY-MM")</f>
        <v>2024-05</v>
      </c>
    </row>
    <row r="1982" spans="1:29">
      <c r="A1982" t="s">
        <v>5132</v>
      </c>
      <c r="B1982" s="1">
        <v>45511</v>
      </c>
      <c r="C1982" t="s">
        <v>1223</v>
      </c>
      <c r="D1982" t="s">
        <v>1333</v>
      </c>
      <c r="E1982">
        <v>29</v>
      </c>
      <c r="F1982" t="s">
        <v>5133</v>
      </c>
      <c r="G1982">
        <v>29</v>
      </c>
      <c r="H1982">
        <v>418.93040000000002</v>
      </c>
      <c r="N1982">
        <v>418.93040000000002</v>
      </c>
      <c r="O1982" s="1">
        <v>45214</v>
      </c>
      <c r="P1982">
        <f>IF(ISBLANK(ReconciliationData[[#This Row],[Invoice_ID]]),1,0)</f>
        <v>0</v>
      </c>
      <c r="Q1982">
        <f>IF(AND(NOT(ISBLANK(ReconciliationData[[#This Row],[Billed_Units]])),ReconciliationData[[#This Row],[ordered_units]]&lt;&gt;ReconciliationData[[#This Row],[Billed_Units]]),1,0)</f>
        <v>0</v>
      </c>
      <c r="R19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2">
        <f>IF(AND(NOT(ISBLANK(ReconciliationData[[#This Row],[Contract_Price]])),ReconciliationData[[#This Row],[Billed_Price]]&lt;&gt;ReconciliationData[[#This Row],[Contract_Price]]),1,0)</f>
        <v>0</v>
      </c>
      <c r="T1982">
        <f>IF(AND(NOT(ISBLANK(ReconciliationData[[#This Row],[End_Date]])),ReconciliationData[[#This Row],[Order_Date]]&gt;ReconciliationData[[#This Row],[End_Date]]),1,0)</f>
        <v>0</v>
      </c>
      <c r="U1982">
        <f>IF(AND(NOT(ISBLANK(ReconciliationData[[#This Row],[last_return_date]])),ReconciliationData[[#This Row],[last_return_date]]&gt;ReconciliationData[[#This Row],[Order_Date]]+60),1,0)</f>
        <v>0</v>
      </c>
      <c r="V1982">
        <f>IF(ReconciliationData[[#This Row],[total_returned_units]]&gt;ReconciliationData[[#This Row],[ordered_units]],1,0)</f>
        <v>0</v>
      </c>
      <c r="W19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82">
        <f>ReconciliationData[[#This Row],[Billed_Units]]*ReconciliationData[[#This Row],[Billed_Price]]</f>
        <v>12148.981600000001</v>
      </c>
      <c r="Y1982">
        <f>ReconciliationData[[#This Row],[ordered_units]]*ReconciliationData[[#This Row],[List_Price]]</f>
        <v>12148.981600000001</v>
      </c>
      <c r="Z1982">
        <f>ReconciliationData[[#This Row],[billed_revenue]]-ReconciliationData[[#This Row],[expected_revenue]]</f>
        <v>0</v>
      </c>
      <c r="AA19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82" t="str">
        <f>IF(ReconciliationData[[#This Row],[severity_score]]=0,"LOW",
 IF(ReconciliationData[[#This Row],[severity_score]]&lt;=5,"MEDIUM","HIGH"))</f>
        <v>LOW</v>
      </c>
      <c r="AC1982" t="str">
        <f>TEXT(ReconciliationData[[#This Row],[Order_Date]],"YYYY-MM")</f>
        <v>2024-08</v>
      </c>
    </row>
    <row r="1983" spans="1:29">
      <c r="A1983" t="s">
        <v>5134</v>
      </c>
      <c r="B1983" s="1">
        <v>45250</v>
      </c>
      <c r="C1983" t="s">
        <v>940</v>
      </c>
      <c r="D1983" t="s">
        <v>1171</v>
      </c>
      <c r="E1983">
        <v>105</v>
      </c>
      <c r="F1983" t="s">
        <v>5135</v>
      </c>
      <c r="G1983">
        <v>112</v>
      </c>
      <c r="H1983">
        <v>435.57279999999997</v>
      </c>
      <c r="N1983">
        <v>435.57279999999997</v>
      </c>
      <c r="O1983" s="1">
        <v>45159</v>
      </c>
      <c r="P1983">
        <f>IF(ISBLANK(ReconciliationData[[#This Row],[Invoice_ID]]),1,0)</f>
        <v>0</v>
      </c>
      <c r="Q1983">
        <f>IF(AND(NOT(ISBLANK(ReconciliationData[[#This Row],[Billed_Units]])),ReconciliationData[[#This Row],[ordered_units]]&lt;&gt;ReconciliationData[[#This Row],[Billed_Units]]),1,0)</f>
        <v>1</v>
      </c>
      <c r="R19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3">
        <f>IF(AND(NOT(ISBLANK(ReconciliationData[[#This Row],[Contract_Price]])),ReconciliationData[[#This Row],[Billed_Price]]&lt;&gt;ReconciliationData[[#This Row],[Contract_Price]]),1,0)</f>
        <v>0</v>
      </c>
      <c r="T1983">
        <f>IF(AND(NOT(ISBLANK(ReconciliationData[[#This Row],[End_Date]])),ReconciliationData[[#This Row],[Order_Date]]&gt;ReconciliationData[[#This Row],[End_Date]]),1,0)</f>
        <v>0</v>
      </c>
      <c r="U1983">
        <f>IF(AND(NOT(ISBLANK(ReconciliationData[[#This Row],[last_return_date]])),ReconciliationData[[#This Row],[last_return_date]]&gt;ReconciliationData[[#This Row],[Order_Date]]+60),1,0)</f>
        <v>0</v>
      </c>
      <c r="V1983">
        <f>IF(ReconciliationData[[#This Row],[total_returned_units]]&gt;ReconciliationData[[#This Row],[ordered_units]],1,0)</f>
        <v>0</v>
      </c>
      <c r="W19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83">
        <f>ReconciliationData[[#This Row],[Billed_Units]]*ReconciliationData[[#This Row],[Billed_Price]]</f>
        <v>48784.153599999998</v>
      </c>
      <c r="Y1983">
        <f>ReconciliationData[[#This Row],[ordered_units]]*ReconciliationData[[#This Row],[List_Price]]</f>
        <v>45735.144</v>
      </c>
      <c r="Z1983">
        <f>ReconciliationData[[#This Row],[billed_revenue]]-ReconciliationData[[#This Row],[expected_revenue]]</f>
        <v>3049.0095999999976</v>
      </c>
      <c r="AA19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983" t="str">
        <f>IF(ReconciliationData[[#This Row],[severity_score]]=0,"LOW",
 IF(ReconciliationData[[#This Row],[severity_score]]&lt;=5,"MEDIUM","HIGH"))</f>
        <v>HIGH</v>
      </c>
      <c r="AC1983" t="str">
        <f>TEXT(ReconciliationData[[#This Row],[Order_Date]],"YYYY-MM")</f>
        <v>2023-11</v>
      </c>
    </row>
    <row r="1984" spans="1:29">
      <c r="A1984" t="s">
        <v>5136</v>
      </c>
      <c r="B1984" s="1">
        <v>45309</v>
      </c>
      <c r="C1984" t="s">
        <v>499</v>
      </c>
      <c r="D1984" t="s">
        <v>3409</v>
      </c>
      <c r="E1984">
        <v>127</v>
      </c>
      <c r="F1984" t="s">
        <v>5137</v>
      </c>
      <c r="G1984">
        <v>127</v>
      </c>
      <c r="H1984">
        <v>104.9652</v>
      </c>
      <c r="N1984">
        <v>104.9652</v>
      </c>
      <c r="O1984" s="1">
        <v>45066</v>
      </c>
      <c r="P1984">
        <f>IF(ISBLANK(ReconciliationData[[#This Row],[Invoice_ID]]),1,0)</f>
        <v>0</v>
      </c>
      <c r="Q1984">
        <f>IF(AND(NOT(ISBLANK(ReconciliationData[[#This Row],[Billed_Units]])),ReconciliationData[[#This Row],[ordered_units]]&lt;&gt;ReconciliationData[[#This Row],[Billed_Units]]),1,0)</f>
        <v>0</v>
      </c>
      <c r="R19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4">
        <f>IF(AND(NOT(ISBLANK(ReconciliationData[[#This Row],[Contract_Price]])),ReconciliationData[[#This Row],[Billed_Price]]&lt;&gt;ReconciliationData[[#This Row],[Contract_Price]]),1,0)</f>
        <v>0</v>
      </c>
      <c r="T1984">
        <f>IF(AND(NOT(ISBLANK(ReconciliationData[[#This Row],[End_Date]])),ReconciliationData[[#This Row],[Order_Date]]&gt;ReconciliationData[[#This Row],[End_Date]]),1,0)</f>
        <v>0</v>
      </c>
      <c r="U1984">
        <f>IF(AND(NOT(ISBLANK(ReconciliationData[[#This Row],[last_return_date]])),ReconciliationData[[#This Row],[last_return_date]]&gt;ReconciliationData[[#This Row],[Order_Date]]+60),1,0)</f>
        <v>0</v>
      </c>
      <c r="V1984">
        <f>IF(ReconciliationData[[#This Row],[total_returned_units]]&gt;ReconciliationData[[#This Row],[ordered_units]],1,0)</f>
        <v>0</v>
      </c>
      <c r="W19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84">
        <f>ReconciliationData[[#This Row],[Billed_Units]]*ReconciliationData[[#This Row],[Billed_Price]]</f>
        <v>13330.580399999999</v>
      </c>
      <c r="Y1984">
        <f>ReconciliationData[[#This Row],[ordered_units]]*ReconciliationData[[#This Row],[List_Price]]</f>
        <v>13330.580399999999</v>
      </c>
      <c r="Z1984">
        <f>ReconciliationData[[#This Row],[billed_revenue]]-ReconciliationData[[#This Row],[expected_revenue]]</f>
        <v>0</v>
      </c>
      <c r="AA19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84" t="str">
        <f>IF(ReconciliationData[[#This Row],[severity_score]]=0,"LOW",
 IF(ReconciliationData[[#This Row],[severity_score]]&lt;=5,"MEDIUM","HIGH"))</f>
        <v>LOW</v>
      </c>
      <c r="AC1984" t="str">
        <f>TEXT(ReconciliationData[[#This Row],[Order_Date]],"YYYY-MM")</f>
        <v>2024-01</v>
      </c>
    </row>
    <row r="1985" spans="1:29">
      <c r="A1985" t="s">
        <v>5138</v>
      </c>
      <c r="B1985" s="1">
        <v>45321</v>
      </c>
      <c r="C1985" t="s">
        <v>778</v>
      </c>
      <c r="D1985" t="s">
        <v>1146</v>
      </c>
      <c r="E1985">
        <v>22</v>
      </c>
      <c r="F1985" t="s">
        <v>5139</v>
      </c>
      <c r="G1985">
        <v>22</v>
      </c>
      <c r="H1985">
        <v>427.43</v>
      </c>
      <c r="N1985">
        <v>427.43</v>
      </c>
      <c r="O1985" s="1">
        <v>45054</v>
      </c>
      <c r="P1985">
        <f>IF(ISBLANK(ReconciliationData[[#This Row],[Invoice_ID]]),1,0)</f>
        <v>0</v>
      </c>
      <c r="Q1985">
        <f>IF(AND(NOT(ISBLANK(ReconciliationData[[#This Row],[Billed_Units]])),ReconciliationData[[#This Row],[ordered_units]]&lt;&gt;ReconciliationData[[#This Row],[Billed_Units]]),1,0)</f>
        <v>0</v>
      </c>
      <c r="R19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5">
        <f>IF(AND(NOT(ISBLANK(ReconciliationData[[#This Row],[Contract_Price]])),ReconciliationData[[#This Row],[Billed_Price]]&lt;&gt;ReconciliationData[[#This Row],[Contract_Price]]),1,0)</f>
        <v>0</v>
      </c>
      <c r="T1985">
        <f>IF(AND(NOT(ISBLANK(ReconciliationData[[#This Row],[End_Date]])),ReconciliationData[[#This Row],[Order_Date]]&gt;ReconciliationData[[#This Row],[End_Date]]),1,0)</f>
        <v>0</v>
      </c>
      <c r="U1985">
        <f>IF(AND(NOT(ISBLANK(ReconciliationData[[#This Row],[last_return_date]])),ReconciliationData[[#This Row],[last_return_date]]&gt;ReconciliationData[[#This Row],[Order_Date]]+60),1,0)</f>
        <v>0</v>
      </c>
      <c r="V1985">
        <f>IF(ReconciliationData[[#This Row],[total_returned_units]]&gt;ReconciliationData[[#This Row],[ordered_units]],1,0)</f>
        <v>0</v>
      </c>
      <c r="W19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85">
        <f>ReconciliationData[[#This Row],[Billed_Units]]*ReconciliationData[[#This Row],[Billed_Price]]</f>
        <v>9403.4600000000009</v>
      </c>
      <c r="Y1985">
        <f>ReconciliationData[[#This Row],[ordered_units]]*ReconciliationData[[#This Row],[List_Price]]</f>
        <v>9403.4600000000009</v>
      </c>
      <c r="Z1985">
        <f>ReconciliationData[[#This Row],[billed_revenue]]-ReconciliationData[[#This Row],[expected_revenue]]</f>
        <v>0</v>
      </c>
      <c r="AA19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85" t="str">
        <f>IF(ReconciliationData[[#This Row],[severity_score]]=0,"LOW",
 IF(ReconciliationData[[#This Row],[severity_score]]&lt;=5,"MEDIUM","HIGH"))</f>
        <v>LOW</v>
      </c>
      <c r="AC1985" t="str">
        <f>TEXT(ReconciliationData[[#This Row],[Order_Date]],"YYYY-MM")</f>
        <v>2024-01</v>
      </c>
    </row>
    <row r="1986" spans="1:29">
      <c r="A1986" t="s">
        <v>5140</v>
      </c>
      <c r="B1986" s="1">
        <v>45220</v>
      </c>
      <c r="C1986" t="s">
        <v>1478</v>
      </c>
      <c r="D1986" t="s">
        <v>589</v>
      </c>
      <c r="E1986">
        <v>4</v>
      </c>
      <c r="F1986" t="s">
        <v>5141</v>
      </c>
      <c r="G1986">
        <v>4</v>
      </c>
      <c r="H1986">
        <v>1085.8974999999998</v>
      </c>
      <c r="N1986">
        <v>1085.8974999999998</v>
      </c>
      <c r="O1986" s="1">
        <v>45147</v>
      </c>
      <c r="P1986">
        <f>IF(ISBLANK(ReconciliationData[[#This Row],[Invoice_ID]]),1,0)</f>
        <v>0</v>
      </c>
      <c r="Q1986">
        <f>IF(AND(NOT(ISBLANK(ReconciliationData[[#This Row],[Billed_Units]])),ReconciliationData[[#This Row],[ordered_units]]&lt;&gt;ReconciliationData[[#This Row],[Billed_Units]]),1,0)</f>
        <v>0</v>
      </c>
      <c r="R19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6">
        <f>IF(AND(NOT(ISBLANK(ReconciliationData[[#This Row],[Contract_Price]])),ReconciliationData[[#This Row],[Billed_Price]]&lt;&gt;ReconciliationData[[#This Row],[Contract_Price]]),1,0)</f>
        <v>0</v>
      </c>
      <c r="T1986">
        <f>IF(AND(NOT(ISBLANK(ReconciliationData[[#This Row],[End_Date]])),ReconciliationData[[#This Row],[Order_Date]]&gt;ReconciliationData[[#This Row],[End_Date]]),1,0)</f>
        <v>0</v>
      </c>
      <c r="U1986">
        <f>IF(AND(NOT(ISBLANK(ReconciliationData[[#This Row],[last_return_date]])),ReconciliationData[[#This Row],[last_return_date]]&gt;ReconciliationData[[#This Row],[Order_Date]]+60),1,0)</f>
        <v>0</v>
      </c>
      <c r="V1986">
        <f>IF(ReconciliationData[[#This Row],[total_returned_units]]&gt;ReconciliationData[[#This Row],[ordered_units]],1,0)</f>
        <v>0</v>
      </c>
      <c r="W19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86">
        <f>ReconciliationData[[#This Row],[Billed_Units]]*ReconciliationData[[#This Row],[Billed_Price]]</f>
        <v>4343.5899999999992</v>
      </c>
      <c r="Y1986">
        <f>ReconciliationData[[#This Row],[ordered_units]]*ReconciliationData[[#This Row],[List_Price]]</f>
        <v>4343.5899999999992</v>
      </c>
      <c r="Z1986">
        <f>ReconciliationData[[#This Row],[billed_revenue]]-ReconciliationData[[#This Row],[expected_revenue]]</f>
        <v>0</v>
      </c>
      <c r="AA19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86" t="str">
        <f>IF(ReconciliationData[[#This Row],[severity_score]]=0,"LOW",
 IF(ReconciliationData[[#This Row],[severity_score]]&lt;=5,"MEDIUM","HIGH"))</f>
        <v>LOW</v>
      </c>
      <c r="AC1986" t="str">
        <f>TEXT(ReconciliationData[[#This Row],[Order_Date]],"YYYY-MM")</f>
        <v>2023-10</v>
      </c>
    </row>
    <row r="1987" spans="1:29">
      <c r="A1987" t="s">
        <v>5142</v>
      </c>
      <c r="B1987" s="1">
        <v>45218</v>
      </c>
      <c r="C1987" t="s">
        <v>2789</v>
      </c>
      <c r="D1987" t="s">
        <v>166</v>
      </c>
      <c r="E1987">
        <v>163</v>
      </c>
      <c r="F1987" t="s">
        <v>5143</v>
      </c>
      <c r="G1987">
        <v>163</v>
      </c>
      <c r="H1987">
        <v>376.82319999999999</v>
      </c>
      <c r="N1987">
        <v>376.82319999999999</v>
      </c>
      <c r="O1987" s="1">
        <v>45171</v>
      </c>
      <c r="P1987">
        <f>IF(ISBLANK(ReconciliationData[[#This Row],[Invoice_ID]]),1,0)</f>
        <v>0</v>
      </c>
      <c r="Q1987">
        <f>IF(AND(NOT(ISBLANK(ReconciliationData[[#This Row],[Billed_Units]])),ReconciliationData[[#This Row],[ordered_units]]&lt;&gt;ReconciliationData[[#This Row],[Billed_Units]]),1,0)</f>
        <v>0</v>
      </c>
      <c r="R19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7">
        <f>IF(AND(NOT(ISBLANK(ReconciliationData[[#This Row],[Contract_Price]])),ReconciliationData[[#This Row],[Billed_Price]]&lt;&gt;ReconciliationData[[#This Row],[Contract_Price]]),1,0)</f>
        <v>0</v>
      </c>
      <c r="T1987">
        <f>IF(AND(NOT(ISBLANK(ReconciliationData[[#This Row],[End_Date]])),ReconciliationData[[#This Row],[Order_Date]]&gt;ReconciliationData[[#This Row],[End_Date]]),1,0)</f>
        <v>0</v>
      </c>
      <c r="U1987">
        <f>IF(AND(NOT(ISBLANK(ReconciliationData[[#This Row],[last_return_date]])),ReconciliationData[[#This Row],[last_return_date]]&gt;ReconciliationData[[#This Row],[Order_Date]]+60),1,0)</f>
        <v>0</v>
      </c>
      <c r="V1987">
        <f>IF(ReconciliationData[[#This Row],[total_returned_units]]&gt;ReconciliationData[[#This Row],[ordered_units]],1,0)</f>
        <v>0</v>
      </c>
      <c r="W19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87">
        <f>ReconciliationData[[#This Row],[Billed_Units]]*ReconciliationData[[#This Row],[Billed_Price]]</f>
        <v>61422.181599999996</v>
      </c>
      <c r="Y1987">
        <f>ReconciliationData[[#This Row],[ordered_units]]*ReconciliationData[[#This Row],[List_Price]]</f>
        <v>61422.181599999996</v>
      </c>
      <c r="Z1987">
        <f>ReconciliationData[[#This Row],[billed_revenue]]-ReconciliationData[[#This Row],[expected_revenue]]</f>
        <v>0</v>
      </c>
      <c r="AA19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87" t="str">
        <f>IF(ReconciliationData[[#This Row],[severity_score]]=0,"LOW",
 IF(ReconciliationData[[#This Row],[severity_score]]&lt;=5,"MEDIUM","HIGH"))</f>
        <v>LOW</v>
      </c>
      <c r="AC1987" t="str">
        <f>TEXT(ReconciliationData[[#This Row],[Order_Date]],"YYYY-MM")</f>
        <v>2023-10</v>
      </c>
    </row>
    <row r="1988" spans="1:29">
      <c r="A1988" t="s">
        <v>5144</v>
      </c>
      <c r="B1988" s="1">
        <v>45503</v>
      </c>
      <c r="C1988" t="s">
        <v>1728</v>
      </c>
      <c r="D1988" t="s">
        <v>461</v>
      </c>
      <c r="E1988">
        <v>181</v>
      </c>
      <c r="F1988" t="s">
        <v>5145</v>
      </c>
      <c r="G1988">
        <v>181</v>
      </c>
      <c r="H1988">
        <v>1114.2336</v>
      </c>
      <c r="N1988">
        <v>1114.2336</v>
      </c>
      <c r="O1988" s="1">
        <v>45141</v>
      </c>
      <c r="P1988">
        <f>IF(ISBLANK(ReconciliationData[[#This Row],[Invoice_ID]]),1,0)</f>
        <v>0</v>
      </c>
      <c r="Q1988">
        <f>IF(AND(NOT(ISBLANK(ReconciliationData[[#This Row],[Billed_Units]])),ReconciliationData[[#This Row],[ordered_units]]&lt;&gt;ReconciliationData[[#This Row],[Billed_Units]]),1,0)</f>
        <v>0</v>
      </c>
      <c r="R19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8">
        <f>IF(AND(NOT(ISBLANK(ReconciliationData[[#This Row],[Contract_Price]])),ReconciliationData[[#This Row],[Billed_Price]]&lt;&gt;ReconciliationData[[#This Row],[Contract_Price]]),1,0)</f>
        <v>0</v>
      </c>
      <c r="T1988">
        <f>IF(AND(NOT(ISBLANK(ReconciliationData[[#This Row],[End_Date]])),ReconciliationData[[#This Row],[Order_Date]]&gt;ReconciliationData[[#This Row],[End_Date]]),1,0)</f>
        <v>0</v>
      </c>
      <c r="U1988">
        <f>IF(AND(NOT(ISBLANK(ReconciliationData[[#This Row],[last_return_date]])),ReconciliationData[[#This Row],[last_return_date]]&gt;ReconciliationData[[#This Row],[Order_Date]]+60),1,0)</f>
        <v>0</v>
      </c>
      <c r="V1988">
        <f>IF(ReconciliationData[[#This Row],[total_returned_units]]&gt;ReconciliationData[[#This Row],[ordered_units]],1,0)</f>
        <v>0</v>
      </c>
      <c r="W19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88">
        <f>ReconciliationData[[#This Row],[Billed_Units]]*ReconciliationData[[#This Row],[Billed_Price]]</f>
        <v>201676.28160000002</v>
      </c>
      <c r="Y1988">
        <f>ReconciliationData[[#This Row],[ordered_units]]*ReconciliationData[[#This Row],[List_Price]]</f>
        <v>201676.28160000002</v>
      </c>
      <c r="Z1988">
        <f>ReconciliationData[[#This Row],[billed_revenue]]-ReconciliationData[[#This Row],[expected_revenue]]</f>
        <v>0</v>
      </c>
      <c r="AA19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88" t="str">
        <f>IF(ReconciliationData[[#This Row],[severity_score]]=0,"LOW",
 IF(ReconciliationData[[#This Row],[severity_score]]&lt;=5,"MEDIUM","HIGH"))</f>
        <v>LOW</v>
      </c>
      <c r="AC1988" t="str">
        <f>TEXT(ReconciliationData[[#This Row],[Order_Date]],"YYYY-MM")</f>
        <v>2024-07</v>
      </c>
    </row>
    <row r="1989" spans="1:29">
      <c r="A1989" t="s">
        <v>5146</v>
      </c>
      <c r="B1989" s="1">
        <v>45074</v>
      </c>
      <c r="C1989" t="s">
        <v>1357</v>
      </c>
      <c r="D1989" t="s">
        <v>732</v>
      </c>
      <c r="E1989">
        <v>94</v>
      </c>
      <c r="F1989" t="s">
        <v>5147</v>
      </c>
      <c r="G1989">
        <v>94</v>
      </c>
      <c r="H1989">
        <v>440.38799999999998</v>
      </c>
      <c r="N1989">
        <v>440.38799999999998</v>
      </c>
      <c r="O1989" s="1">
        <v>45016</v>
      </c>
      <c r="P1989">
        <f>IF(ISBLANK(ReconciliationData[[#This Row],[Invoice_ID]]),1,0)</f>
        <v>0</v>
      </c>
      <c r="Q1989">
        <f>IF(AND(NOT(ISBLANK(ReconciliationData[[#This Row],[Billed_Units]])),ReconciliationData[[#This Row],[ordered_units]]&lt;&gt;ReconciliationData[[#This Row],[Billed_Units]]),1,0)</f>
        <v>0</v>
      </c>
      <c r="R19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89">
        <f>IF(AND(NOT(ISBLANK(ReconciliationData[[#This Row],[Contract_Price]])),ReconciliationData[[#This Row],[Billed_Price]]&lt;&gt;ReconciliationData[[#This Row],[Contract_Price]]),1,0)</f>
        <v>0</v>
      </c>
      <c r="T1989">
        <f>IF(AND(NOT(ISBLANK(ReconciliationData[[#This Row],[End_Date]])),ReconciliationData[[#This Row],[Order_Date]]&gt;ReconciliationData[[#This Row],[End_Date]]),1,0)</f>
        <v>0</v>
      </c>
      <c r="U1989">
        <f>IF(AND(NOT(ISBLANK(ReconciliationData[[#This Row],[last_return_date]])),ReconciliationData[[#This Row],[last_return_date]]&gt;ReconciliationData[[#This Row],[Order_Date]]+60),1,0)</f>
        <v>0</v>
      </c>
      <c r="V1989">
        <f>IF(ReconciliationData[[#This Row],[total_returned_units]]&gt;ReconciliationData[[#This Row],[ordered_units]],1,0)</f>
        <v>0</v>
      </c>
      <c r="W19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89">
        <f>ReconciliationData[[#This Row],[Billed_Units]]*ReconciliationData[[#This Row],[Billed_Price]]</f>
        <v>41396.471999999994</v>
      </c>
      <c r="Y1989">
        <f>ReconciliationData[[#This Row],[ordered_units]]*ReconciliationData[[#This Row],[List_Price]]</f>
        <v>41396.471999999994</v>
      </c>
      <c r="Z1989">
        <f>ReconciliationData[[#This Row],[billed_revenue]]-ReconciliationData[[#This Row],[expected_revenue]]</f>
        <v>0</v>
      </c>
      <c r="AA19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89" t="str">
        <f>IF(ReconciliationData[[#This Row],[severity_score]]=0,"LOW",
 IF(ReconciliationData[[#This Row],[severity_score]]&lt;=5,"MEDIUM","HIGH"))</f>
        <v>LOW</v>
      </c>
      <c r="AC1989" t="str">
        <f>TEXT(ReconciliationData[[#This Row],[Order_Date]],"YYYY-MM")</f>
        <v>2023-05</v>
      </c>
    </row>
    <row r="1990" spans="1:29">
      <c r="A1990" t="s">
        <v>5148</v>
      </c>
      <c r="B1990" s="1">
        <v>45280</v>
      </c>
      <c r="C1990" t="s">
        <v>2165</v>
      </c>
      <c r="D1990" t="s">
        <v>651</v>
      </c>
      <c r="E1990">
        <v>160</v>
      </c>
      <c r="F1990" t="s">
        <v>5149</v>
      </c>
      <c r="G1990">
        <v>160</v>
      </c>
      <c r="H1990">
        <v>214.6182</v>
      </c>
      <c r="N1990">
        <v>214.6182</v>
      </c>
      <c r="O1990" s="1">
        <v>45116</v>
      </c>
      <c r="P1990">
        <f>IF(ISBLANK(ReconciliationData[[#This Row],[Invoice_ID]]),1,0)</f>
        <v>0</v>
      </c>
      <c r="Q1990">
        <f>IF(AND(NOT(ISBLANK(ReconciliationData[[#This Row],[Billed_Units]])),ReconciliationData[[#This Row],[ordered_units]]&lt;&gt;ReconciliationData[[#This Row],[Billed_Units]]),1,0)</f>
        <v>0</v>
      </c>
      <c r="R19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0">
        <f>IF(AND(NOT(ISBLANK(ReconciliationData[[#This Row],[Contract_Price]])),ReconciliationData[[#This Row],[Billed_Price]]&lt;&gt;ReconciliationData[[#This Row],[Contract_Price]]),1,0)</f>
        <v>0</v>
      </c>
      <c r="T1990">
        <f>IF(AND(NOT(ISBLANK(ReconciliationData[[#This Row],[End_Date]])),ReconciliationData[[#This Row],[Order_Date]]&gt;ReconciliationData[[#This Row],[End_Date]]),1,0)</f>
        <v>0</v>
      </c>
      <c r="U1990">
        <f>IF(AND(NOT(ISBLANK(ReconciliationData[[#This Row],[last_return_date]])),ReconciliationData[[#This Row],[last_return_date]]&gt;ReconciliationData[[#This Row],[Order_Date]]+60),1,0)</f>
        <v>0</v>
      </c>
      <c r="V1990">
        <f>IF(ReconciliationData[[#This Row],[total_returned_units]]&gt;ReconciliationData[[#This Row],[ordered_units]],1,0)</f>
        <v>0</v>
      </c>
      <c r="W19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90">
        <f>ReconciliationData[[#This Row],[Billed_Units]]*ReconciliationData[[#This Row],[Billed_Price]]</f>
        <v>34338.911999999997</v>
      </c>
      <c r="Y1990">
        <f>ReconciliationData[[#This Row],[ordered_units]]*ReconciliationData[[#This Row],[List_Price]]</f>
        <v>34338.911999999997</v>
      </c>
      <c r="Z1990">
        <f>ReconciliationData[[#This Row],[billed_revenue]]-ReconciliationData[[#This Row],[expected_revenue]]</f>
        <v>0</v>
      </c>
      <c r="AA19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90" t="str">
        <f>IF(ReconciliationData[[#This Row],[severity_score]]=0,"LOW",
 IF(ReconciliationData[[#This Row],[severity_score]]&lt;=5,"MEDIUM","HIGH"))</f>
        <v>LOW</v>
      </c>
      <c r="AC1990" t="str">
        <f>TEXT(ReconciliationData[[#This Row],[Order_Date]],"YYYY-MM")</f>
        <v>2023-12</v>
      </c>
    </row>
    <row r="1991" spans="1:29">
      <c r="A1991" t="s">
        <v>5150</v>
      </c>
      <c r="B1991" s="1">
        <v>45461</v>
      </c>
      <c r="C1991" t="s">
        <v>1734</v>
      </c>
      <c r="D1991" t="s">
        <v>366</v>
      </c>
      <c r="E1991">
        <v>93</v>
      </c>
      <c r="F1991" t="s">
        <v>5151</v>
      </c>
      <c r="G1991">
        <v>93</v>
      </c>
      <c r="H1991">
        <v>499.17750000000001</v>
      </c>
      <c r="N1991">
        <v>499.17750000000001</v>
      </c>
      <c r="O1991" s="1">
        <v>45123</v>
      </c>
      <c r="P1991">
        <f>IF(ISBLANK(ReconciliationData[[#This Row],[Invoice_ID]]),1,0)</f>
        <v>0</v>
      </c>
      <c r="Q1991">
        <f>IF(AND(NOT(ISBLANK(ReconciliationData[[#This Row],[Billed_Units]])),ReconciliationData[[#This Row],[ordered_units]]&lt;&gt;ReconciliationData[[#This Row],[Billed_Units]]),1,0)</f>
        <v>0</v>
      </c>
      <c r="R19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1">
        <f>IF(AND(NOT(ISBLANK(ReconciliationData[[#This Row],[Contract_Price]])),ReconciliationData[[#This Row],[Billed_Price]]&lt;&gt;ReconciliationData[[#This Row],[Contract_Price]]),1,0)</f>
        <v>0</v>
      </c>
      <c r="T1991">
        <f>IF(AND(NOT(ISBLANK(ReconciliationData[[#This Row],[End_Date]])),ReconciliationData[[#This Row],[Order_Date]]&gt;ReconciliationData[[#This Row],[End_Date]]),1,0)</f>
        <v>0</v>
      </c>
      <c r="U1991">
        <f>IF(AND(NOT(ISBLANK(ReconciliationData[[#This Row],[last_return_date]])),ReconciliationData[[#This Row],[last_return_date]]&gt;ReconciliationData[[#This Row],[Order_Date]]+60),1,0)</f>
        <v>0</v>
      </c>
      <c r="V1991">
        <f>IF(ReconciliationData[[#This Row],[total_returned_units]]&gt;ReconciliationData[[#This Row],[ordered_units]],1,0)</f>
        <v>0</v>
      </c>
      <c r="W19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91">
        <f>ReconciliationData[[#This Row],[Billed_Units]]*ReconciliationData[[#This Row],[Billed_Price]]</f>
        <v>46423.5075</v>
      </c>
      <c r="Y1991">
        <f>ReconciliationData[[#This Row],[ordered_units]]*ReconciliationData[[#This Row],[List_Price]]</f>
        <v>46423.5075</v>
      </c>
      <c r="Z1991">
        <f>ReconciliationData[[#This Row],[billed_revenue]]-ReconciliationData[[#This Row],[expected_revenue]]</f>
        <v>0</v>
      </c>
      <c r="AA19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91" t="str">
        <f>IF(ReconciliationData[[#This Row],[severity_score]]=0,"LOW",
 IF(ReconciliationData[[#This Row],[severity_score]]&lt;=5,"MEDIUM","HIGH"))</f>
        <v>LOW</v>
      </c>
      <c r="AC1991" t="str">
        <f>TEXT(ReconciliationData[[#This Row],[Order_Date]],"YYYY-MM")</f>
        <v>2024-06</v>
      </c>
    </row>
    <row r="1992" spans="1:29">
      <c r="A1992" t="s">
        <v>5152</v>
      </c>
      <c r="B1992" s="1">
        <v>45140</v>
      </c>
      <c r="C1992" t="s">
        <v>274</v>
      </c>
      <c r="D1992" t="s">
        <v>969</v>
      </c>
      <c r="E1992">
        <v>65</v>
      </c>
      <c r="F1992" t="s">
        <v>5153</v>
      </c>
      <c r="G1992">
        <v>65</v>
      </c>
      <c r="H1992">
        <v>991.99</v>
      </c>
      <c r="N1992">
        <v>991.99</v>
      </c>
      <c r="O1992" s="1">
        <v>44976</v>
      </c>
      <c r="P1992">
        <f>IF(ISBLANK(ReconciliationData[[#This Row],[Invoice_ID]]),1,0)</f>
        <v>0</v>
      </c>
      <c r="Q1992">
        <f>IF(AND(NOT(ISBLANK(ReconciliationData[[#This Row],[Billed_Units]])),ReconciliationData[[#This Row],[ordered_units]]&lt;&gt;ReconciliationData[[#This Row],[Billed_Units]]),1,0)</f>
        <v>0</v>
      </c>
      <c r="R19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2">
        <f>IF(AND(NOT(ISBLANK(ReconciliationData[[#This Row],[Contract_Price]])),ReconciliationData[[#This Row],[Billed_Price]]&lt;&gt;ReconciliationData[[#This Row],[Contract_Price]]),1,0)</f>
        <v>0</v>
      </c>
      <c r="T1992">
        <f>IF(AND(NOT(ISBLANK(ReconciliationData[[#This Row],[End_Date]])),ReconciliationData[[#This Row],[Order_Date]]&gt;ReconciliationData[[#This Row],[End_Date]]),1,0)</f>
        <v>0</v>
      </c>
      <c r="U1992">
        <f>IF(AND(NOT(ISBLANK(ReconciliationData[[#This Row],[last_return_date]])),ReconciliationData[[#This Row],[last_return_date]]&gt;ReconciliationData[[#This Row],[Order_Date]]+60),1,0)</f>
        <v>0</v>
      </c>
      <c r="V1992">
        <f>IF(ReconciliationData[[#This Row],[total_returned_units]]&gt;ReconciliationData[[#This Row],[ordered_units]],1,0)</f>
        <v>0</v>
      </c>
      <c r="W19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92">
        <f>ReconciliationData[[#This Row],[Billed_Units]]*ReconciliationData[[#This Row],[Billed_Price]]</f>
        <v>64479.35</v>
      </c>
      <c r="Y1992">
        <f>ReconciliationData[[#This Row],[ordered_units]]*ReconciliationData[[#This Row],[List_Price]]</f>
        <v>64479.35</v>
      </c>
      <c r="Z1992">
        <f>ReconciliationData[[#This Row],[billed_revenue]]-ReconciliationData[[#This Row],[expected_revenue]]</f>
        <v>0</v>
      </c>
      <c r="AA19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92" t="str">
        <f>IF(ReconciliationData[[#This Row],[severity_score]]=0,"LOW",
 IF(ReconciliationData[[#This Row],[severity_score]]&lt;=5,"MEDIUM","HIGH"))</f>
        <v>LOW</v>
      </c>
      <c r="AC1992" t="str">
        <f>TEXT(ReconciliationData[[#This Row],[Order_Date]],"YYYY-MM")</f>
        <v>2023-08</v>
      </c>
    </row>
    <row r="1993" spans="1:29">
      <c r="A1993" t="s">
        <v>5154</v>
      </c>
      <c r="B1993" s="1">
        <v>45583</v>
      </c>
      <c r="C1993" t="s">
        <v>3986</v>
      </c>
      <c r="D1993" t="s">
        <v>138</v>
      </c>
      <c r="E1993">
        <v>123</v>
      </c>
      <c r="F1993" t="s">
        <v>5155</v>
      </c>
      <c r="G1993">
        <v>123</v>
      </c>
      <c r="H1993">
        <v>444.22</v>
      </c>
      <c r="N1993">
        <v>444.22</v>
      </c>
      <c r="O1993" s="1">
        <v>45074</v>
      </c>
      <c r="P1993">
        <f>IF(ISBLANK(ReconciliationData[[#This Row],[Invoice_ID]]),1,0)</f>
        <v>0</v>
      </c>
      <c r="Q1993">
        <f>IF(AND(NOT(ISBLANK(ReconciliationData[[#This Row],[Billed_Units]])),ReconciliationData[[#This Row],[ordered_units]]&lt;&gt;ReconciliationData[[#This Row],[Billed_Units]]),1,0)</f>
        <v>0</v>
      </c>
      <c r="R19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3">
        <f>IF(AND(NOT(ISBLANK(ReconciliationData[[#This Row],[Contract_Price]])),ReconciliationData[[#This Row],[Billed_Price]]&lt;&gt;ReconciliationData[[#This Row],[Contract_Price]]),1,0)</f>
        <v>0</v>
      </c>
      <c r="T1993">
        <f>IF(AND(NOT(ISBLANK(ReconciliationData[[#This Row],[End_Date]])),ReconciliationData[[#This Row],[Order_Date]]&gt;ReconciliationData[[#This Row],[End_Date]]),1,0)</f>
        <v>0</v>
      </c>
      <c r="U1993">
        <f>IF(AND(NOT(ISBLANK(ReconciliationData[[#This Row],[last_return_date]])),ReconciliationData[[#This Row],[last_return_date]]&gt;ReconciliationData[[#This Row],[Order_Date]]+60),1,0)</f>
        <v>0</v>
      </c>
      <c r="V1993">
        <f>IF(ReconciliationData[[#This Row],[total_returned_units]]&gt;ReconciliationData[[#This Row],[ordered_units]],1,0)</f>
        <v>0</v>
      </c>
      <c r="W19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93">
        <f>ReconciliationData[[#This Row],[Billed_Units]]*ReconciliationData[[#This Row],[Billed_Price]]</f>
        <v>54639.060000000005</v>
      </c>
      <c r="Y1993">
        <f>ReconciliationData[[#This Row],[ordered_units]]*ReconciliationData[[#This Row],[List_Price]]</f>
        <v>54639.060000000005</v>
      </c>
      <c r="Z1993">
        <f>ReconciliationData[[#This Row],[billed_revenue]]-ReconciliationData[[#This Row],[expected_revenue]]</f>
        <v>0</v>
      </c>
      <c r="AA19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93" t="str">
        <f>IF(ReconciliationData[[#This Row],[severity_score]]=0,"LOW",
 IF(ReconciliationData[[#This Row],[severity_score]]&lt;=5,"MEDIUM","HIGH"))</f>
        <v>LOW</v>
      </c>
      <c r="AC1993" t="str">
        <f>TEXT(ReconciliationData[[#This Row],[Order_Date]],"YYYY-MM")</f>
        <v>2024-10</v>
      </c>
    </row>
    <row r="1994" spans="1:29">
      <c r="A1994" t="s">
        <v>5156</v>
      </c>
      <c r="B1994" s="1">
        <v>45577</v>
      </c>
      <c r="C1994" t="s">
        <v>5157</v>
      </c>
      <c r="D1994" t="s">
        <v>325</v>
      </c>
      <c r="E1994">
        <v>88</v>
      </c>
      <c r="F1994" t="s">
        <v>5158</v>
      </c>
      <c r="G1994">
        <v>87</v>
      </c>
      <c r="H1994">
        <v>509.36320000000001</v>
      </c>
      <c r="N1994">
        <v>509.36320000000001</v>
      </c>
      <c r="O1994" s="1">
        <v>45171</v>
      </c>
      <c r="P1994">
        <f>IF(ISBLANK(ReconciliationData[[#This Row],[Invoice_ID]]),1,0)</f>
        <v>0</v>
      </c>
      <c r="Q1994">
        <f>IF(AND(NOT(ISBLANK(ReconciliationData[[#This Row],[Billed_Units]])),ReconciliationData[[#This Row],[ordered_units]]&lt;&gt;ReconciliationData[[#This Row],[Billed_Units]]),1,0)</f>
        <v>1</v>
      </c>
      <c r="R19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4">
        <f>IF(AND(NOT(ISBLANK(ReconciliationData[[#This Row],[Contract_Price]])),ReconciliationData[[#This Row],[Billed_Price]]&lt;&gt;ReconciliationData[[#This Row],[Contract_Price]]),1,0)</f>
        <v>0</v>
      </c>
      <c r="T1994">
        <f>IF(AND(NOT(ISBLANK(ReconciliationData[[#This Row],[End_Date]])),ReconciliationData[[#This Row],[Order_Date]]&gt;ReconciliationData[[#This Row],[End_Date]]),1,0)</f>
        <v>0</v>
      </c>
      <c r="U1994">
        <f>IF(AND(NOT(ISBLANK(ReconciliationData[[#This Row],[last_return_date]])),ReconciliationData[[#This Row],[last_return_date]]&gt;ReconciliationData[[#This Row],[Order_Date]]+60),1,0)</f>
        <v>0</v>
      </c>
      <c r="V1994">
        <f>IF(ReconciliationData[[#This Row],[total_returned_units]]&gt;ReconciliationData[[#This Row],[ordered_units]],1,0)</f>
        <v>0</v>
      </c>
      <c r="W19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94">
        <f>ReconciliationData[[#This Row],[Billed_Units]]*ReconciliationData[[#This Row],[Billed_Price]]</f>
        <v>44314.598400000003</v>
      </c>
      <c r="Y1994">
        <f>ReconciliationData[[#This Row],[ordered_units]]*ReconciliationData[[#This Row],[List_Price]]</f>
        <v>44823.961600000002</v>
      </c>
      <c r="Z1994">
        <f>ReconciliationData[[#This Row],[billed_revenue]]-ReconciliationData[[#This Row],[expected_revenue]]</f>
        <v>-509.36319999999978</v>
      </c>
      <c r="AA19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1994" t="str">
        <f>IF(ReconciliationData[[#This Row],[severity_score]]=0,"LOW",
 IF(ReconciliationData[[#This Row],[severity_score]]&lt;=5,"MEDIUM","HIGH"))</f>
        <v>HIGH</v>
      </c>
      <c r="AC1994" t="str">
        <f>TEXT(ReconciliationData[[#This Row],[Order_Date]],"YYYY-MM")</f>
        <v>2024-10</v>
      </c>
    </row>
    <row r="1995" spans="1:29">
      <c r="A1995" t="s">
        <v>5159</v>
      </c>
      <c r="B1995" s="1">
        <v>45127</v>
      </c>
      <c r="C1995" t="s">
        <v>3805</v>
      </c>
      <c r="D1995" t="s">
        <v>1555</v>
      </c>
      <c r="E1995">
        <v>95</v>
      </c>
      <c r="F1995" t="s">
        <v>5160</v>
      </c>
      <c r="G1995">
        <v>95</v>
      </c>
      <c r="H1995">
        <v>850.16200000000003</v>
      </c>
      <c r="N1995">
        <v>850.16200000000003</v>
      </c>
      <c r="O1995" s="1">
        <v>45099</v>
      </c>
      <c r="P1995">
        <f>IF(ISBLANK(ReconciliationData[[#This Row],[Invoice_ID]]),1,0)</f>
        <v>0</v>
      </c>
      <c r="Q1995">
        <f>IF(AND(NOT(ISBLANK(ReconciliationData[[#This Row],[Billed_Units]])),ReconciliationData[[#This Row],[ordered_units]]&lt;&gt;ReconciliationData[[#This Row],[Billed_Units]]),1,0)</f>
        <v>0</v>
      </c>
      <c r="R19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5">
        <f>IF(AND(NOT(ISBLANK(ReconciliationData[[#This Row],[Contract_Price]])),ReconciliationData[[#This Row],[Billed_Price]]&lt;&gt;ReconciliationData[[#This Row],[Contract_Price]]),1,0)</f>
        <v>0</v>
      </c>
      <c r="T1995">
        <f>IF(AND(NOT(ISBLANK(ReconciliationData[[#This Row],[End_Date]])),ReconciliationData[[#This Row],[Order_Date]]&gt;ReconciliationData[[#This Row],[End_Date]]),1,0)</f>
        <v>0</v>
      </c>
      <c r="U1995">
        <f>IF(AND(NOT(ISBLANK(ReconciliationData[[#This Row],[last_return_date]])),ReconciliationData[[#This Row],[last_return_date]]&gt;ReconciliationData[[#This Row],[Order_Date]]+60),1,0)</f>
        <v>0</v>
      </c>
      <c r="V1995">
        <f>IF(ReconciliationData[[#This Row],[total_returned_units]]&gt;ReconciliationData[[#This Row],[ordered_units]],1,0)</f>
        <v>0</v>
      </c>
      <c r="W19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95">
        <f>ReconciliationData[[#This Row],[Billed_Units]]*ReconciliationData[[#This Row],[Billed_Price]]</f>
        <v>80765.39</v>
      </c>
      <c r="Y1995">
        <f>ReconciliationData[[#This Row],[ordered_units]]*ReconciliationData[[#This Row],[List_Price]]</f>
        <v>80765.39</v>
      </c>
      <c r="Z1995">
        <f>ReconciliationData[[#This Row],[billed_revenue]]-ReconciliationData[[#This Row],[expected_revenue]]</f>
        <v>0</v>
      </c>
      <c r="AA19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95" t="str">
        <f>IF(ReconciliationData[[#This Row],[severity_score]]=0,"LOW",
 IF(ReconciliationData[[#This Row],[severity_score]]&lt;=5,"MEDIUM","HIGH"))</f>
        <v>LOW</v>
      </c>
      <c r="AC1995" t="str">
        <f>TEXT(ReconciliationData[[#This Row],[Order_Date]],"YYYY-MM")</f>
        <v>2023-07</v>
      </c>
    </row>
    <row r="1996" spans="1:29">
      <c r="A1996" t="s">
        <v>5161</v>
      </c>
      <c r="B1996" s="1">
        <v>44977</v>
      </c>
      <c r="C1996" t="s">
        <v>1129</v>
      </c>
      <c r="D1996" t="s">
        <v>279</v>
      </c>
      <c r="E1996">
        <v>168</v>
      </c>
      <c r="F1996" t="s">
        <v>5162</v>
      </c>
      <c r="G1996">
        <v>168</v>
      </c>
      <c r="H1996">
        <v>1131.7511999999999</v>
      </c>
      <c r="I1996">
        <v>19</v>
      </c>
      <c r="J1996" s="1">
        <v>45469</v>
      </c>
      <c r="N1996">
        <v>1131.7511999999999</v>
      </c>
      <c r="O1996" s="1">
        <v>44806</v>
      </c>
      <c r="P1996">
        <f>IF(ISBLANK(ReconciliationData[[#This Row],[Invoice_ID]]),1,0)</f>
        <v>0</v>
      </c>
      <c r="Q1996">
        <f>IF(AND(NOT(ISBLANK(ReconciliationData[[#This Row],[Billed_Units]])),ReconciliationData[[#This Row],[ordered_units]]&lt;&gt;ReconciliationData[[#This Row],[Billed_Units]]),1,0)</f>
        <v>0</v>
      </c>
      <c r="R19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6">
        <f>IF(AND(NOT(ISBLANK(ReconciliationData[[#This Row],[Contract_Price]])),ReconciliationData[[#This Row],[Billed_Price]]&lt;&gt;ReconciliationData[[#This Row],[Contract_Price]]),1,0)</f>
        <v>0</v>
      </c>
      <c r="T1996">
        <f>IF(AND(NOT(ISBLANK(ReconciliationData[[#This Row],[End_Date]])),ReconciliationData[[#This Row],[Order_Date]]&gt;ReconciliationData[[#This Row],[End_Date]]),1,0)</f>
        <v>0</v>
      </c>
      <c r="U1996">
        <f>IF(AND(NOT(ISBLANK(ReconciliationData[[#This Row],[last_return_date]])),ReconciliationData[[#This Row],[last_return_date]]&gt;ReconciliationData[[#This Row],[Order_Date]]+60),1,0)</f>
        <v>1</v>
      </c>
      <c r="V1996">
        <f>IF(ReconciliationData[[#This Row],[total_returned_units]]&gt;ReconciliationData[[#This Row],[ordered_units]],1,0)</f>
        <v>0</v>
      </c>
      <c r="W19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1996">
        <f>ReconciliationData[[#This Row],[Billed_Units]]*ReconciliationData[[#This Row],[Billed_Price]]</f>
        <v>190134.2016</v>
      </c>
      <c r="Y1996">
        <f>ReconciliationData[[#This Row],[ordered_units]]*ReconciliationData[[#This Row],[List_Price]]</f>
        <v>190134.2016</v>
      </c>
      <c r="Z1996">
        <f>ReconciliationData[[#This Row],[billed_revenue]]-ReconciliationData[[#This Row],[expected_revenue]]</f>
        <v>0</v>
      </c>
      <c r="AA19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1996" t="str">
        <f>IF(ReconciliationData[[#This Row],[severity_score]]=0,"LOW",
 IF(ReconciliationData[[#This Row],[severity_score]]&lt;=5,"MEDIUM","HIGH"))</f>
        <v>MEDIUM</v>
      </c>
      <c r="AC1996" t="str">
        <f>TEXT(ReconciliationData[[#This Row],[Order_Date]],"YYYY-MM")</f>
        <v>2023-02</v>
      </c>
    </row>
    <row r="1997" spans="1:29">
      <c r="A1997" t="s">
        <v>5163</v>
      </c>
      <c r="B1997" s="1">
        <v>45003</v>
      </c>
      <c r="C1997" t="s">
        <v>352</v>
      </c>
      <c r="D1997" t="s">
        <v>1449</v>
      </c>
      <c r="E1997">
        <v>177</v>
      </c>
      <c r="F1997" t="s">
        <v>5164</v>
      </c>
      <c r="G1997">
        <v>177</v>
      </c>
      <c r="H1997">
        <v>1011.43</v>
      </c>
      <c r="N1997">
        <v>1011.43</v>
      </c>
      <c r="O1997" s="1">
        <v>44724</v>
      </c>
      <c r="P1997">
        <f>IF(ISBLANK(ReconciliationData[[#This Row],[Invoice_ID]]),1,0)</f>
        <v>0</v>
      </c>
      <c r="Q1997">
        <f>IF(AND(NOT(ISBLANK(ReconciliationData[[#This Row],[Billed_Units]])),ReconciliationData[[#This Row],[ordered_units]]&lt;&gt;ReconciliationData[[#This Row],[Billed_Units]]),1,0)</f>
        <v>0</v>
      </c>
      <c r="R19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7">
        <f>IF(AND(NOT(ISBLANK(ReconciliationData[[#This Row],[Contract_Price]])),ReconciliationData[[#This Row],[Billed_Price]]&lt;&gt;ReconciliationData[[#This Row],[Contract_Price]]),1,0)</f>
        <v>0</v>
      </c>
      <c r="T1997">
        <f>IF(AND(NOT(ISBLANK(ReconciliationData[[#This Row],[End_Date]])),ReconciliationData[[#This Row],[Order_Date]]&gt;ReconciliationData[[#This Row],[End_Date]]),1,0)</f>
        <v>0</v>
      </c>
      <c r="U1997">
        <f>IF(AND(NOT(ISBLANK(ReconciliationData[[#This Row],[last_return_date]])),ReconciliationData[[#This Row],[last_return_date]]&gt;ReconciliationData[[#This Row],[Order_Date]]+60),1,0)</f>
        <v>0</v>
      </c>
      <c r="V1997">
        <f>IF(ReconciliationData[[#This Row],[total_returned_units]]&gt;ReconciliationData[[#This Row],[ordered_units]],1,0)</f>
        <v>0</v>
      </c>
      <c r="W19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97">
        <f>ReconciliationData[[#This Row],[Billed_Units]]*ReconciliationData[[#This Row],[Billed_Price]]</f>
        <v>179023.11</v>
      </c>
      <c r="Y1997">
        <f>ReconciliationData[[#This Row],[ordered_units]]*ReconciliationData[[#This Row],[List_Price]]</f>
        <v>179023.11</v>
      </c>
      <c r="Z1997">
        <f>ReconciliationData[[#This Row],[billed_revenue]]-ReconciliationData[[#This Row],[expected_revenue]]</f>
        <v>0</v>
      </c>
      <c r="AA19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97" t="str">
        <f>IF(ReconciliationData[[#This Row],[severity_score]]=0,"LOW",
 IF(ReconciliationData[[#This Row],[severity_score]]&lt;=5,"MEDIUM","HIGH"))</f>
        <v>LOW</v>
      </c>
      <c r="AC1997" t="str">
        <f>TEXT(ReconciliationData[[#This Row],[Order_Date]],"YYYY-MM")</f>
        <v>2023-03</v>
      </c>
    </row>
    <row r="1998" spans="1:29">
      <c r="A1998" t="s">
        <v>5165</v>
      </c>
      <c r="B1998" s="1">
        <v>44937</v>
      </c>
      <c r="C1998" t="s">
        <v>543</v>
      </c>
      <c r="D1998" t="s">
        <v>271</v>
      </c>
      <c r="E1998">
        <v>80</v>
      </c>
      <c r="F1998" t="s">
        <v>5166</v>
      </c>
      <c r="G1998">
        <v>80</v>
      </c>
      <c r="H1998">
        <v>53.51</v>
      </c>
      <c r="N1998">
        <v>53.51</v>
      </c>
      <c r="O1998" s="1">
        <v>44652</v>
      </c>
      <c r="P1998">
        <f>IF(ISBLANK(ReconciliationData[[#This Row],[Invoice_ID]]),1,0)</f>
        <v>0</v>
      </c>
      <c r="Q1998">
        <f>IF(AND(NOT(ISBLANK(ReconciliationData[[#This Row],[Billed_Units]])),ReconciliationData[[#This Row],[ordered_units]]&lt;&gt;ReconciliationData[[#This Row],[Billed_Units]]),1,0)</f>
        <v>0</v>
      </c>
      <c r="R19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8">
        <f>IF(AND(NOT(ISBLANK(ReconciliationData[[#This Row],[Contract_Price]])),ReconciliationData[[#This Row],[Billed_Price]]&lt;&gt;ReconciliationData[[#This Row],[Contract_Price]]),1,0)</f>
        <v>0</v>
      </c>
      <c r="T1998">
        <f>IF(AND(NOT(ISBLANK(ReconciliationData[[#This Row],[End_Date]])),ReconciliationData[[#This Row],[Order_Date]]&gt;ReconciliationData[[#This Row],[End_Date]]),1,0)</f>
        <v>0</v>
      </c>
      <c r="U1998">
        <f>IF(AND(NOT(ISBLANK(ReconciliationData[[#This Row],[last_return_date]])),ReconciliationData[[#This Row],[last_return_date]]&gt;ReconciliationData[[#This Row],[Order_Date]]+60),1,0)</f>
        <v>0</v>
      </c>
      <c r="V1998">
        <f>IF(ReconciliationData[[#This Row],[total_returned_units]]&gt;ReconciliationData[[#This Row],[ordered_units]],1,0)</f>
        <v>0</v>
      </c>
      <c r="W19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98">
        <f>ReconciliationData[[#This Row],[Billed_Units]]*ReconciliationData[[#This Row],[Billed_Price]]</f>
        <v>4280.8</v>
      </c>
      <c r="Y1998">
        <f>ReconciliationData[[#This Row],[ordered_units]]*ReconciliationData[[#This Row],[List_Price]]</f>
        <v>4280.8</v>
      </c>
      <c r="Z1998">
        <f>ReconciliationData[[#This Row],[billed_revenue]]-ReconciliationData[[#This Row],[expected_revenue]]</f>
        <v>0</v>
      </c>
      <c r="AA19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98" t="str">
        <f>IF(ReconciliationData[[#This Row],[severity_score]]=0,"LOW",
 IF(ReconciliationData[[#This Row],[severity_score]]&lt;=5,"MEDIUM","HIGH"))</f>
        <v>LOW</v>
      </c>
      <c r="AC1998" t="str">
        <f>TEXT(ReconciliationData[[#This Row],[Order_Date]],"YYYY-MM")</f>
        <v>2023-01</v>
      </c>
    </row>
    <row r="1999" spans="1:29">
      <c r="A1999" t="s">
        <v>5167</v>
      </c>
      <c r="B1999" s="1">
        <v>45511</v>
      </c>
      <c r="C1999" t="s">
        <v>2168</v>
      </c>
      <c r="D1999" t="s">
        <v>596</v>
      </c>
      <c r="E1999">
        <v>15</v>
      </c>
      <c r="F1999" t="s">
        <v>5168</v>
      </c>
      <c r="G1999">
        <v>15</v>
      </c>
      <c r="H1999">
        <v>652.1472</v>
      </c>
      <c r="N1999">
        <v>652.1472</v>
      </c>
      <c r="O1999" s="1">
        <v>44959</v>
      </c>
      <c r="P1999">
        <f>IF(ISBLANK(ReconciliationData[[#This Row],[Invoice_ID]]),1,0)</f>
        <v>0</v>
      </c>
      <c r="Q1999">
        <f>IF(AND(NOT(ISBLANK(ReconciliationData[[#This Row],[Billed_Units]])),ReconciliationData[[#This Row],[ordered_units]]&lt;&gt;ReconciliationData[[#This Row],[Billed_Units]]),1,0)</f>
        <v>0</v>
      </c>
      <c r="R19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1999">
        <f>IF(AND(NOT(ISBLANK(ReconciliationData[[#This Row],[Contract_Price]])),ReconciliationData[[#This Row],[Billed_Price]]&lt;&gt;ReconciliationData[[#This Row],[Contract_Price]]),1,0)</f>
        <v>0</v>
      </c>
      <c r="T1999">
        <f>IF(AND(NOT(ISBLANK(ReconciliationData[[#This Row],[End_Date]])),ReconciliationData[[#This Row],[Order_Date]]&gt;ReconciliationData[[#This Row],[End_Date]]),1,0)</f>
        <v>0</v>
      </c>
      <c r="U1999">
        <f>IF(AND(NOT(ISBLANK(ReconciliationData[[#This Row],[last_return_date]])),ReconciliationData[[#This Row],[last_return_date]]&gt;ReconciliationData[[#This Row],[Order_Date]]+60),1,0)</f>
        <v>0</v>
      </c>
      <c r="V1999">
        <f>IF(ReconciliationData[[#This Row],[total_returned_units]]&gt;ReconciliationData[[#This Row],[ordered_units]],1,0)</f>
        <v>0</v>
      </c>
      <c r="W19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1999">
        <f>ReconciliationData[[#This Row],[Billed_Units]]*ReconciliationData[[#This Row],[Billed_Price]]</f>
        <v>9782.2080000000005</v>
      </c>
      <c r="Y1999">
        <f>ReconciliationData[[#This Row],[ordered_units]]*ReconciliationData[[#This Row],[List_Price]]</f>
        <v>9782.2080000000005</v>
      </c>
      <c r="Z1999">
        <f>ReconciliationData[[#This Row],[billed_revenue]]-ReconciliationData[[#This Row],[expected_revenue]]</f>
        <v>0</v>
      </c>
      <c r="AA19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1999" t="str">
        <f>IF(ReconciliationData[[#This Row],[severity_score]]=0,"LOW",
 IF(ReconciliationData[[#This Row],[severity_score]]&lt;=5,"MEDIUM","HIGH"))</f>
        <v>LOW</v>
      </c>
      <c r="AC1999" t="str">
        <f>TEXT(ReconciliationData[[#This Row],[Order_Date]],"YYYY-MM")</f>
        <v>2024-08</v>
      </c>
    </row>
    <row r="2000" spans="1:29">
      <c r="A2000" t="s">
        <v>5169</v>
      </c>
      <c r="B2000" s="1">
        <v>45210</v>
      </c>
      <c r="C2000" t="s">
        <v>3450</v>
      </c>
      <c r="D2000" t="s">
        <v>1994</v>
      </c>
      <c r="E2000">
        <v>192</v>
      </c>
      <c r="F2000" t="s">
        <v>5170</v>
      </c>
      <c r="G2000">
        <v>192</v>
      </c>
      <c r="H2000">
        <v>296.17460000000005</v>
      </c>
      <c r="N2000">
        <v>296.17460000000005</v>
      </c>
      <c r="O2000" s="1">
        <v>45194</v>
      </c>
      <c r="P2000">
        <f>IF(ISBLANK(ReconciliationData[[#This Row],[Invoice_ID]]),1,0)</f>
        <v>0</v>
      </c>
      <c r="Q2000">
        <f>IF(AND(NOT(ISBLANK(ReconciliationData[[#This Row],[Billed_Units]])),ReconciliationData[[#This Row],[ordered_units]]&lt;&gt;ReconciliationData[[#This Row],[Billed_Units]]),1,0)</f>
        <v>0</v>
      </c>
      <c r="R20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0">
        <f>IF(AND(NOT(ISBLANK(ReconciliationData[[#This Row],[Contract_Price]])),ReconciliationData[[#This Row],[Billed_Price]]&lt;&gt;ReconciliationData[[#This Row],[Contract_Price]]),1,0)</f>
        <v>0</v>
      </c>
      <c r="T2000">
        <f>IF(AND(NOT(ISBLANK(ReconciliationData[[#This Row],[End_Date]])),ReconciliationData[[#This Row],[Order_Date]]&gt;ReconciliationData[[#This Row],[End_Date]]),1,0)</f>
        <v>0</v>
      </c>
      <c r="U2000">
        <f>IF(AND(NOT(ISBLANK(ReconciliationData[[#This Row],[last_return_date]])),ReconciliationData[[#This Row],[last_return_date]]&gt;ReconciliationData[[#This Row],[Order_Date]]+60),1,0)</f>
        <v>0</v>
      </c>
      <c r="V2000">
        <f>IF(ReconciliationData[[#This Row],[total_returned_units]]&gt;ReconciliationData[[#This Row],[ordered_units]],1,0)</f>
        <v>0</v>
      </c>
      <c r="W20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00">
        <f>ReconciliationData[[#This Row],[Billed_Units]]*ReconciliationData[[#This Row],[Billed_Price]]</f>
        <v>56865.523200000011</v>
      </c>
      <c r="Y2000">
        <f>ReconciliationData[[#This Row],[ordered_units]]*ReconciliationData[[#This Row],[List_Price]]</f>
        <v>56865.523200000011</v>
      </c>
      <c r="Z2000">
        <f>ReconciliationData[[#This Row],[billed_revenue]]-ReconciliationData[[#This Row],[expected_revenue]]</f>
        <v>0</v>
      </c>
      <c r="AA20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00" t="str">
        <f>IF(ReconciliationData[[#This Row],[severity_score]]=0,"LOW",
 IF(ReconciliationData[[#This Row],[severity_score]]&lt;=5,"MEDIUM","HIGH"))</f>
        <v>LOW</v>
      </c>
      <c r="AC2000" t="str">
        <f>TEXT(ReconciliationData[[#This Row],[Order_Date]],"YYYY-MM")</f>
        <v>2023-10</v>
      </c>
    </row>
    <row r="2001" spans="1:29">
      <c r="A2001" t="s">
        <v>5171</v>
      </c>
      <c r="B2001" s="1">
        <v>45431</v>
      </c>
      <c r="C2001" t="s">
        <v>2758</v>
      </c>
      <c r="D2001" t="s">
        <v>1179</v>
      </c>
      <c r="E2001">
        <v>33</v>
      </c>
      <c r="F2001" t="s">
        <v>5172</v>
      </c>
      <c r="G2001">
        <v>33</v>
      </c>
      <c r="H2001">
        <v>892.1431</v>
      </c>
      <c r="N2001">
        <v>892.1431</v>
      </c>
      <c r="O2001" s="1">
        <v>45222</v>
      </c>
      <c r="P2001">
        <f>IF(ISBLANK(ReconciliationData[[#This Row],[Invoice_ID]]),1,0)</f>
        <v>0</v>
      </c>
      <c r="Q2001">
        <f>IF(AND(NOT(ISBLANK(ReconciliationData[[#This Row],[Billed_Units]])),ReconciliationData[[#This Row],[ordered_units]]&lt;&gt;ReconciliationData[[#This Row],[Billed_Units]]),1,0)</f>
        <v>0</v>
      </c>
      <c r="R20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1">
        <f>IF(AND(NOT(ISBLANK(ReconciliationData[[#This Row],[Contract_Price]])),ReconciliationData[[#This Row],[Billed_Price]]&lt;&gt;ReconciliationData[[#This Row],[Contract_Price]]),1,0)</f>
        <v>0</v>
      </c>
      <c r="T2001">
        <f>IF(AND(NOT(ISBLANK(ReconciliationData[[#This Row],[End_Date]])),ReconciliationData[[#This Row],[Order_Date]]&gt;ReconciliationData[[#This Row],[End_Date]]),1,0)</f>
        <v>0</v>
      </c>
      <c r="U2001">
        <f>IF(AND(NOT(ISBLANK(ReconciliationData[[#This Row],[last_return_date]])),ReconciliationData[[#This Row],[last_return_date]]&gt;ReconciliationData[[#This Row],[Order_Date]]+60),1,0)</f>
        <v>0</v>
      </c>
      <c r="V2001">
        <f>IF(ReconciliationData[[#This Row],[total_returned_units]]&gt;ReconciliationData[[#This Row],[ordered_units]],1,0)</f>
        <v>0</v>
      </c>
      <c r="W20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01">
        <f>ReconciliationData[[#This Row],[Billed_Units]]*ReconciliationData[[#This Row],[Billed_Price]]</f>
        <v>29440.722300000001</v>
      </c>
      <c r="Y2001">
        <f>ReconciliationData[[#This Row],[ordered_units]]*ReconciliationData[[#This Row],[List_Price]]</f>
        <v>29440.722300000001</v>
      </c>
      <c r="Z2001">
        <f>ReconciliationData[[#This Row],[billed_revenue]]-ReconciliationData[[#This Row],[expected_revenue]]</f>
        <v>0</v>
      </c>
      <c r="AA20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01" t="str">
        <f>IF(ReconciliationData[[#This Row],[severity_score]]=0,"LOW",
 IF(ReconciliationData[[#This Row],[severity_score]]&lt;=5,"MEDIUM","HIGH"))</f>
        <v>LOW</v>
      </c>
      <c r="AC2001" t="str">
        <f>TEXT(ReconciliationData[[#This Row],[Order_Date]],"YYYY-MM")</f>
        <v>2024-05</v>
      </c>
    </row>
    <row r="2002" spans="1:29">
      <c r="A2002" t="s">
        <v>5173</v>
      </c>
      <c r="B2002" s="1">
        <v>45158</v>
      </c>
      <c r="C2002" t="s">
        <v>835</v>
      </c>
      <c r="D2002" t="s">
        <v>360</v>
      </c>
      <c r="E2002">
        <v>66</v>
      </c>
      <c r="F2002" t="s">
        <v>5174</v>
      </c>
      <c r="G2002">
        <v>66</v>
      </c>
      <c r="H2002">
        <v>465.21179999999998</v>
      </c>
      <c r="N2002">
        <v>465.21179999999998</v>
      </c>
      <c r="O2002" s="1">
        <v>45137</v>
      </c>
      <c r="P2002">
        <f>IF(ISBLANK(ReconciliationData[[#This Row],[Invoice_ID]]),1,0)</f>
        <v>0</v>
      </c>
      <c r="Q2002">
        <f>IF(AND(NOT(ISBLANK(ReconciliationData[[#This Row],[Billed_Units]])),ReconciliationData[[#This Row],[ordered_units]]&lt;&gt;ReconciliationData[[#This Row],[Billed_Units]]),1,0)</f>
        <v>0</v>
      </c>
      <c r="R20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2">
        <f>IF(AND(NOT(ISBLANK(ReconciliationData[[#This Row],[Contract_Price]])),ReconciliationData[[#This Row],[Billed_Price]]&lt;&gt;ReconciliationData[[#This Row],[Contract_Price]]),1,0)</f>
        <v>0</v>
      </c>
      <c r="T2002">
        <f>IF(AND(NOT(ISBLANK(ReconciliationData[[#This Row],[End_Date]])),ReconciliationData[[#This Row],[Order_Date]]&gt;ReconciliationData[[#This Row],[End_Date]]),1,0)</f>
        <v>0</v>
      </c>
      <c r="U2002">
        <f>IF(AND(NOT(ISBLANK(ReconciliationData[[#This Row],[last_return_date]])),ReconciliationData[[#This Row],[last_return_date]]&gt;ReconciliationData[[#This Row],[Order_Date]]+60),1,0)</f>
        <v>0</v>
      </c>
      <c r="V2002">
        <f>IF(ReconciliationData[[#This Row],[total_returned_units]]&gt;ReconciliationData[[#This Row],[ordered_units]],1,0)</f>
        <v>0</v>
      </c>
      <c r="W20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02">
        <f>ReconciliationData[[#This Row],[Billed_Units]]*ReconciliationData[[#This Row],[Billed_Price]]</f>
        <v>30703.978799999997</v>
      </c>
      <c r="Y2002">
        <f>ReconciliationData[[#This Row],[ordered_units]]*ReconciliationData[[#This Row],[List_Price]]</f>
        <v>30703.978799999997</v>
      </c>
      <c r="Z2002">
        <f>ReconciliationData[[#This Row],[billed_revenue]]-ReconciliationData[[#This Row],[expected_revenue]]</f>
        <v>0</v>
      </c>
      <c r="AA20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02" t="str">
        <f>IF(ReconciliationData[[#This Row],[severity_score]]=0,"LOW",
 IF(ReconciliationData[[#This Row],[severity_score]]&lt;=5,"MEDIUM","HIGH"))</f>
        <v>LOW</v>
      </c>
      <c r="AC2002" t="str">
        <f>TEXT(ReconciliationData[[#This Row],[Order_Date]],"YYYY-MM")</f>
        <v>2023-08</v>
      </c>
    </row>
    <row r="2003" spans="1:29">
      <c r="A2003" t="s">
        <v>5175</v>
      </c>
      <c r="B2003" s="1">
        <v>45447</v>
      </c>
      <c r="C2003" t="s">
        <v>806</v>
      </c>
      <c r="D2003" t="s">
        <v>2682</v>
      </c>
      <c r="E2003">
        <v>16</v>
      </c>
      <c r="F2003" t="s">
        <v>5176</v>
      </c>
      <c r="G2003">
        <v>16</v>
      </c>
      <c r="H2003">
        <v>1032.7408</v>
      </c>
      <c r="N2003">
        <v>1032.7408</v>
      </c>
      <c r="O2003" s="1">
        <v>45077</v>
      </c>
      <c r="P2003">
        <f>IF(ISBLANK(ReconciliationData[[#This Row],[Invoice_ID]]),1,0)</f>
        <v>0</v>
      </c>
      <c r="Q2003">
        <f>IF(AND(NOT(ISBLANK(ReconciliationData[[#This Row],[Billed_Units]])),ReconciliationData[[#This Row],[ordered_units]]&lt;&gt;ReconciliationData[[#This Row],[Billed_Units]]),1,0)</f>
        <v>0</v>
      </c>
      <c r="R20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3">
        <f>IF(AND(NOT(ISBLANK(ReconciliationData[[#This Row],[Contract_Price]])),ReconciliationData[[#This Row],[Billed_Price]]&lt;&gt;ReconciliationData[[#This Row],[Contract_Price]]),1,0)</f>
        <v>0</v>
      </c>
      <c r="T2003">
        <f>IF(AND(NOT(ISBLANK(ReconciliationData[[#This Row],[End_Date]])),ReconciliationData[[#This Row],[Order_Date]]&gt;ReconciliationData[[#This Row],[End_Date]]),1,0)</f>
        <v>0</v>
      </c>
      <c r="U2003">
        <f>IF(AND(NOT(ISBLANK(ReconciliationData[[#This Row],[last_return_date]])),ReconciliationData[[#This Row],[last_return_date]]&gt;ReconciliationData[[#This Row],[Order_Date]]+60),1,0)</f>
        <v>0</v>
      </c>
      <c r="V2003">
        <f>IF(ReconciliationData[[#This Row],[total_returned_units]]&gt;ReconciliationData[[#This Row],[ordered_units]],1,0)</f>
        <v>0</v>
      </c>
      <c r="W20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03">
        <f>ReconciliationData[[#This Row],[Billed_Units]]*ReconciliationData[[#This Row],[Billed_Price]]</f>
        <v>16523.852800000001</v>
      </c>
      <c r="Y2003">
        <f>ReconciliationData[[#This Row],[ordered_units]]*ReconciliationData[[#This Row],[List_Price]]</f>
        <v>16523.852800000001</v>
      </c>
      <c r="Z2003">
        <f>ReconciliationData[[#This Row],[billed_revenue]]-ReconciliationData[[#This Row],[expected_revenue]]</f>
        <v>0</v>
      </c>
      <c r="AA20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03" t="str">
        <f>IF(ReconciliationData[[#This Row],[severity_score]]=0,"LOW",
 IF(ReconciliationData[[#This Row],[severity_score]]&lt;=5,"MEDIUM","HIGH"))</f>
        <v>LOW</v>
      </c>
      <c r="AC2003" t="str">
        <f>TEXT(ReconciliationData[[#This Row],[Order_Date]],"YYYY-MM")</f>
        <v>2024-06</v>
      </c>
    </row>
    <row r="2004" spans="1:29">
      <c r="A2004" t="s">
        <v>5177</v>
      </c>
      <c r="B2004" s="1">
        <v>45176</v>
      </c>
      <c r="C2004" t="s">
        <v>1781</v>
      </c>
      <c r="D2004" t="s">
        <v>1333</v>
      </c>
      <c r="E2004">
        <v>119</v>
      </c>
      <c r="F2004" t="s">
        <v>5178</v>
      </c>
      <c r="G2004">
        <v>119</v>
      </c>
      <c r="H2004">
        <v>414.65559999999999</v>
      </c>
      <c r="N2004">
        <v>414.65559999999999</v>
      </c>
      <c r="O2004" s="1">
        <v>44924</v>
      </c>
      <c r="P2004">
        <f>IF(ISBLANK(ReconciliationData[[#This Row],[Invoice_ID]]),1,0)</f>
        <v>0</v>
      </c>
      <c r="Q2004">
        <f>IF(AND(NOT(ISBLANK(ReconciliationData[[#This Row],[Billed_Units]])),ReconciliationData[[#This Row],[ordered_units]]&lt;&gt;ReconciliationData[[#This Row],[Billed_Units]]),1,0)</f>
        <v>0</v>
      </c>
      <c r="R20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4">
        <f>IF(AND(NOT(ISBLANK(ReconciliationData[[#This Row],[Contract_Price]])),ReconciliationData[[#This Row],[Billed_Price]]&lt;&gt;ReconciliationData[[#This Row],[Contract_Price]]),1,0)</f>
        <v>0</v>
      </c>
      <c r="T2004">
        <f>IF(AND(NOT(ISBLANK(ReconciliationData[[#This Row],[End_Date]])),ReconciliationData[[#This Row],[Order_Date]]&gt;ReconciliationData[[#This Row],[End_Date]]),1,0)</f>
        <v>0</v>
      </c>
      <c r="U2004">
        <f>IF(AND(NOT(ISBLANK(ReconciliationData[[#This Row],[last_return_date]])),ReconciliationData[[#This Row],[last_return_date]]&gt;ReconciliationData[[#This Row],[Order_Date]]+60),1,0)</f>
        <v>0</v>
      </c>
      <c r="V2004">
        <f>IF(ReconciliationData[[#This Row],[total_returned_units]]&gt;ReconciliationData[[#This Row],[ordered_units]],1,0)</f>
        <v>0</v>
      </c>
      <c r="W20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04">
        <f>ReconciliationData[[#This Row],[Billed_Units]]*ReconciliationData[[#This Row],[Billed_Price]]</f>
        <v>49344.0164</v>
      </c>
      <c r="Y2004">
        <f>ReconciliationData[[#This Row],[ordered_units]]*ReconciliationData[[#This Row],[List_Price]]</f>
        <v>49344.0164</v>
      </c>
      <c r="Z2004">
        <f>ReconciliationData[[#This Row],[billed_revenue]]-ReconciliationData[[#This Row],[expected_revenue]]</f>
        <v>0</v>
      </c>
      <c r="AA20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04" t="str">
        <f>IF(ReconciliationData[[#This Row],[severity_score]]=0,"LOW",
 IF(ReconciliationData[[#This Row],[severity_score]]&lt;=5,"MEDIUM","HIGH"))</f>
        <v>LOW</v>
      </c>
      <c r="AC2004" t="str">
        <f>TEXT(ReconciliationData[[#This Row],[Order_Date]],"YYYY-MM")</f>
        <v>2023-09</v>
      </c>
    </row>
    <row r="2005" spans="1:29">
      <c r="A2005" t="s">
        <v>5179</v>
      </c>
      <c r="B2005" s="1">
        <v>45545</v>
      </c>
      <c r="C2005" t="s">
        <v>2389</v>
      </c>
      <c r="D2005" t="s">
        <v>529</v>
      </c>
      <c r="E2005">
        <v>33</v>
      </c>
      <c r="F2005" t="s">
        <v>5180</v>
      </c>
      <c r="G2005">
        <v>33</v>
      </c>
      <c r="H2005">
        <v>560.37830000000008</v>
      </c>
      <c r="N2005">
        <v>560.37830000000008</v>
      </c>
      <c r="O2005" s="1">
        <v>45089</v>
      </c>
      <c r="P2005">
        <f>IF(ISBLANK(ReconciliationData[[#This Row],[Invoice_ID]]),1,0)</f>
        <v>0</v>
      </c>
      <c r="Q2005">
        <f>IF(AND(NOT(ISBLANK(ReconciliationData[[#This Row],[Billed_Units]])),ReconciliationData[[#This Row],[ordered_units]]&lt;&gt;ReconciliationData[[#This Row],[Billed_Units]]),1,0)</f>
        <v>0</v>
      </c>
      <c r="R20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5">
        <f>IF(AND(NOT(ISBLANK(ReconciliationData[[#This Row],[Contract_Price]])),ReconciliationData[[#This Row],[Billed_Price]]&lt;&gt;ReconciliationData[[#This Row],[Contract_Price]]),1,0)</f>
        <v>0</v>
      </c>
      <c r="T2005">
        <f>IF(AND(NOT(ISBLANK(ReconciliationData[[#This Row],[End_Date]])),ReconciliationData[[#This Row],[Order_Date]]&gt;ReconciliationData[[#This Row],[End_Date]]),1,0)</f>
        <v>0</v>
      </c>
      <c r="U2005">
        <f>IF(AND(NOT(ISBLANK(ReconciliationData[[#This Row],[last_return_date]])),ReconciliationData[[#This Row],[last_return_date]]&gt;ReconciliationData[[#This Row],[Order_Date]]+60),1,0)</f>
        <v>0</v>
      </c>
      <c r="V2005">
        <f>IF(ReconciliationData[[#This Row],[total_returned_units]]&gt;ReconciliationData[[#This Row],[ordered_units]],1,0)</f>
        <v>0</v>
      </c>
      <c r="W20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05">
        <f>ReconciliationData[[#This Row],[Billed_Units]]*ReconciliationData[[#This Row],[Billed_Price]]</f>
        <v>18492.483900000003</v>
      </c>
      <c r="Y2005">
        <f>ReconciliationData[[#This Row],[ordered_units]]*ReconciliationData[[#This Row],[List_Price]]</f>
        <v>18492.483900000003</v>
      </c>
      <c r="Z2005">
        <f>ReconciliationData[[#This Row],[billed_revenue]]-ReconciliationData[[#This Row],[expected_revenue]]</f>
        <v>0</v>
      </c>
      <c r="AA20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05" t="str">
        <f>IF(ReconciliationData[[#This Row],[severity_score]]=0,"LOW",
 IF(ReconciliationData[[#This Row],[severity_score]]&lt;=5,"MEDIUM","HIGH"))</f>
        <v>LOW</v>
      </c>
      <c r="AC2005" t="str">
        <f>TEXT(ReconciliationData[[#This Row],[Order_Date]],"YYYY-MM")</f>
        <v>2024-09</v>
      </c>
    </row>
    <row r="2006" spans="1:29">
      <c r="A2006" t="s">
        <v>5181</v>
      </c>
      <c r="B2006" s="1">
        <v>45068</v>
      </c>
      <c r="C2006" t="s">
        <v>788</v>
      </c>
      <c r="D2006" t="s">
        <v>1362</v>
      </c>
      <c r="E2006">
        <v>49</v>
      </c>
      <c r="F2006" t="s">
        <v>5182</v>
      </c>
      <c r="G2006">
        <v>57</v>
      </c>
      <c r="H2006">
        <v>82.749600000000015</v>
      </c>
      <c r="I2006">
        <v>12</v>
      </c>
      <c r="J2006" s="1">
        <v>45675</v>
      </c>
      <c r="N2006">
        <v>82.749600000000015</v>
      </c>
      <c r="O2006" s="1">
        <v>45068</v>
      </c>
      <c r="P2006">
        <f>IF(ISBLANK(ReconciliationData[[#This Row],[Invoice_ID]]),1,0)</f>
        <v>0</v>
      </c>
      <c r="Q2006">
        <f>IF(AND(NOT(ISBLANK(ReconciliationData[[#This Row],[Billed_Units]])),ReconciliationData[[#This Row],[ordered_units]]&lt;&gt;ReconciliationData[[#This Row],[Billed_Units]]),1,0)</f>
        <v>1</v>
      </c>
      <c r="R20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6">
        <f>IF(AND(NOT(ISBLANK(ReconciliationData[[#This Row],[Contract_Price]])),ReconciliationData[[#This Row],[Billed_Price]]&lt;&gt;ReconciliationData[[#This Row],[Contract_Price]]),1,0)</f>
        <v>0</v>
      </c>
      <c r="T2006">
        <f>IF(AND(NOT(ISBLANK(ReconciliationData[[#This Row],[End_Date]])),ReconciliationData[[#This Row],[Order_Date]]&gt;ReconciliationData[[#This Row],[End_Date]]),1,0)</f>
        <v>0</v>
      </c>
      <c r="U2006">
        <f>IF(AND(NOT(ISBLANK(ReconciliationData[[#This Row],[last_return_date]])),ReconciliationData[[#This Row],[last_return_date]]&gt;ReconciliationData[[#This Row],[Order_Date]]+60),1,0)</f>
        <v>1</v>
      </c>
      <c r="V2006">
        <f>IF(ReconciliationData[[#This Row],[total_returned_units]]&gt;ReconciliationData[[#This Row],[ordered_units]],1,0)</f>
        <v>0</v>
      </c>
      <c r="W20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06">
        <f>ReconciliationData[[#This Row],[Billed_Units]]*ReconciliationData[[#This Row],[Billed_Price]]</f>
        <v>4716.7272000000012</v>
      </c>
      <c r="Y2006">
        <f>ReconciliationData[[#This Row],[ordered_units]]*ReconciliationData[[#This Row],[List_Price]]</f>
        <v>4054.7304000000008</v>
      </c>
      <c r="Z2006">
        <f>ReconciliationData[[#This Row],[billed_revenue]]-ReconciliationData[[#This Row],[expected_revenue]]</f>
        <v>661.99680000000035</v>
      </c>
      <c r="AA20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10</v>
      </c>
      <c r="AB2006" t="str">
        <f>IF(ReconciliationData[[#This Row],[severity_score]]=0,"LOW",
 IF(ReconciliationData[[#This Row],[severity_score]]&lt;=5,"MEDIUM","HIGH"))</f>
        <v>HIGH</v>
      </c>
      <c r="AC2006" t="str">
        <f>TEXT(ReconciliationData[[#This Row],[Order_Date]],"YYYY-MM")</f>
        <v>2023-05</v>
      </c>
    </row>
    <row r="2007" spans="1:29">
      <c r="A2007" t="s">
        <v>5183</v>
      </c>
      <c r="B2007" s="1">
        <v>45462</v>
      </c>
      <c r="C2007" t="s">
        <v>3537</v>
      </c>
      <c r="D2007" t="s">
        <v>1088</v>
      </c>
      <c r="E2007">
        <v>88</v>
      </c>
      <c r="F2007" t="s">
        <v>5184</v>
      </c>
      <c r="G2007">
        <v>88</v>
      </c>
      <c r="H2007">
        <v>72.63</v>
      </c>
      <c r="N2007">
        <v>72.63</v>
      </c>
      <c r="O2007" s="1">
        <v>44956</v>
      </c>
      <c r="P2007">
        <f>IF(ISBLANK(ReconciliationData[[#This Row],[Invoice_ID]]),1,0)</f>
        <v>0</v>
      </c>
      <c r="Q2007">
        <f>IF(AND(NOT(ISBLANK(ReconciliationData[[#This Row],[Billed_Units]])),ReconciliationData[[#This Row],[ordered_units]]&lt;&gt;ReconciliationData[[#This Row],[Billed_Units]]),1,0)</f>
        <v>0</v>
      </c>
      <c r="R20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7">
        <f>IF(AND(NOT(ISBLANK(ReconciliationData[[#This Row],[Contract_Price]])),ReconciliationData[[#This Row],[Billed_Price]]&lt;&gt;ReconciliationData[[#This Row],[Contract_Price]]),1,0)</f>
        <v>0</v>
      </c>
      <c r="T2007">
        <f>IF(AND(NOT(ISBLANK(ReconciliationData[[#This Row],[End_Date]])),ReconciliationData[[#This Row],[Order_Date]]&gt;ReconciliationData[[#This Row],[End_Date]]),1,0)</f>
        <v>0</v>
      </c>
      <c r="U2007">
        <f>IF(AND(NOT(ISBLANK(ReconciliationData[[#This Row],[last_return_date]])),ReconciliationData[[#This Row],[last_return_date]]&gt;ReconciliationData[[#This Row],[Order_Date]]+60),1,0)</f>
        <v>0</v>
      </c>
      <c r="V2007">
        <f>IF(ReconciliationData[[#This Row],[total_returned_units]]&gt;ReconciliationData[[#This Row],[ordered_units]],1,0)</f>
        <v>0</v>
      </c>
      <c r="W20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07">
        <f>ReconciliationData[[#This Row],[Billed_Units]]*ReconciliationData[[#This Row],[Billed_Price]]</f>
        <v>6391.44</v>
      </c>
      <c r="Y2007">
        <f>ReconciliationData[[#This Row],[ordered_units]]*ReconciliationData[[#This Row],[List_Price]]</f>
        <v>6391.44</v>
      </c>
      <c r="Z2007">
        <f>ReconciliationData[[#This Row],[billed_revenue]]-ReconciliationData[[#This Row],[expected_revenue]]</f>
        <v>0</v>
      </c>
      <c r="AA20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07" t="str">
        <f>IF(ReconciliationData[[#This Row],[severity_score]]=0,"LOW",
 IF(ReconciliationData[[#This Row],[severity_score]]&lt;=5,"MEDIUM","HIGH"))</f>
        <v>LOW</v>
      </c>
      <c r="AC2007" t="str">
        <f>TEXT(ReconciliationData[[#This Row],[Order_Date]],"YYYY-MM")</f>
        <v>2024-06</v>
      </c>
    </row>
    <row r="2008" spans="1:29">
      <c r="A2008" t="s">
        <v>5185</v>
      </c>
      <c r="B2008" s="1">
        <v>45041</v>
      </c>
      <c r="C2008" t="s">
        <v>5186</v>
      </c>
      <c r="D2008" t="s">
        <v>775</v>
      </c>
      <c r="E2008">
        <v>89</v>
      </c>
      <c r="F2008" t="s">
        <v>5187</v>
      </c>
      <c r="G2008">
        <v>89</v>
      </c>
      <c r="H2008">
        <v>1114.502</v>
      </c>
      <c r="I2008">
        <v>16</v>
      </c>
      <c r="J2008" s="1">
        <v>45436</v>
      </c>
      <c r="N2008">
        <v>1114.502</v>
      </c>
      <c r="O2008" s="1">
        <v>45018</v>
      </c>
      <c r="P2008">
        <f>IF(ISBLANK(ReconciliationData[[#This Row],[Invoice_ID]]),1,0)</f>
        <v>0</v>
      </c>
      <c r="Q2008">
        <f>IF(AND(NOT(ISBLANK(ReconciliationData[[#This Row],[Billed_Units]])),ReconciliationData[[#This Row],[ordered_units]]&lt;&gt;ReconciliationData[[#This Row],[Billed_Units]]),1,0)</f>
        <v>0</v>
      </c>
      <c r="R20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8">
        <f>IF(AND(NOT(ISBLANK(ReconciliationData[[#This Row],[Contract_Price]])),ReconciliationData[[#This Row],[Billed_Price]]&lt;&gt;ReconciliationData[[#This Row],[Contract_Price]]),1,0)</f>
        <v>0</v>
      </c>
      <c r="T2008">
        <f>IF(AND(NOT(ISBLANK(ReconciliationData[[#This Row],[End_Date]])),ReconciliationData[[#This Row],[Order_Date]]&gt;ReconciliationData[[#This Row],[End_Date]]),1,0)</f>
        <v>0</v>
      </c>
      <c r="U2008">
        <f>IF(AND(NOT(ISBLANK(ReconciliationData[[#This Row],[last_return_date]])),ReconciliationData[[#This Row],[last_return_date]]&gt;ReconciliationData[[#This Row],[Order_Date]]+60),1,0)</f>
        <v>1</v>
      </c>
      <c r="V2008">
        <f>IF(ReconciliationData[[#This Row],[total_returned_units]]&gt;ReconciliationData[[#This Row],[ordered_units]],1,0)</f>
        <v>0</v>
      </c>
      <c r="W20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08">
        <f>ReconciliationData[[#This Row],[Billed_Units]]*ReconciliationData[[#This Row],[Billed_Price]]</f>
        <v>99190.678</v>
      </c>
      <c r="Y2008">
        <f>ReconciliationData[[#This Row],[ordered_units]]*ReconciliationData[[#This Row],[List_Price]]</f>
        <v>99190.678</v>
      </c>
      <c r="Z2008">
        <f>ReconciliationData[[#This Row],[billed_revenue]]-ReconciliationData[[#This Row],[expected_revenue]]</f>
        <v>0</v>
      </c>
      <c r="AA20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008" t="str">
        <f>IF(ReconciliationData[[#This Row],[severity_score]]=0,"LOW",
 IF(ReconciliationData[[#This Row],[severity_score]]&lt;=5,"MEDIUM","HIGH"))</f>
        <v>MEDIUM</v>
      </c>
      <c r="AC2008" t="str">
        <f>TEXT(ReconciliationData[[#This Row],[Order_Date]],"YYYY-MM")</f>
        <v>2023-04</v>
      </c>
    </row>
    <row r="2009" spans="1:29">
      <c r="A2009" t="s">
        <v>5188</v>
      </c>
      <c r="B2009" s="1">
        <v>45601</v>
      </c>
      <c r="C2009" t="s">
        <v>683</v>
      </c>
      <c r="D2009" t="s">
        <v>389</v>
      </c>
      <c r="E2009">
        <v>39</v>
      </c>
      <c r="F2009" t="s">
        <v>5189</v>
      </c>
      <c r="G2009">
        <v>39</v>
      </c>
      <c r="H2009">
        <v>759.48969999999997</v>
      </c>
      <c r="I2009">
        <v>2</v>
      </c>
      <c r="J2009" s="1">
        <v>45412</v>
      </c>
      <c r="N2009">
        <v>759.48969999999997</v>
      </c>
      <c r="O2009" s="1">
        <v>45138</v>
      </c>
      <c r="P2009">
        <f>IF(ISBLANK(ReconciliationData[[#This Row],[Invoice_ID]]),1,0)</f>
        <v>0</v>
      </c>
      <c r="Q2009">
        <f>IF(AND(NOT(ISBLANK(ReconciliationData[[#This Row],[Billed_Units]])),ReconciliationData[[#This Row],[ordered_units]]&lt;&gt;ReconciliationData[[#This Row],[Billed_Units]]),1,0)</f>
        <v>0</v>
      </c>
      <c r="R20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09">
        <f>IF(AND(NOT(ISBLANK(ReconciliationData[[#This Row],[Contract_Price]])),ReconciliationData[[#This Row],[Billed_Price]]&lt;&gt;ReconciliationData[[#This Row],[Contract_Price]]),1,0)</f>
        <v>0</v>
      </c>
      <c r="T2009">
        <f>IF(AND(NOT(ISBLANK(ReconciliationData[[#This Row],[End_Date]])),ReconciliationData[[#This Row],[Order_Date]]&gt;ReconciliationData[[#This Row],[End_Date]]),1,0)</f>
        <v>0</v>
      </c>
      <c r="U2009">
        <f>IF(AND(NOT(ISBLANK(ReconciliationData[[#This Row],[last_return_date]])),ReconciliationData[[#This Row],[last_return_date]]&gt;ReconciliationData[[#This Row],[Order_Date]]+60),1,0)</f>
        <v>0</v>
      </c>
      <c r="V2009">
        <f>IF(ReconciliationData[[#This Row],[total_returned_units]]&gt;ReconciliationData[[#This Row],[ordered_units]],1,0)</f>
        <v>0</v>
      </c>
      <c r="W20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09">
        <f>ReconciliationData[[#This Row],[Billed_Units]]*ReconciliationData[[#This Row],[Billed_Price]]</f>
        <v>29620.098299999998</v>
      </c>
      <c r="Y2009">
        <f>ReconciliationData[[#This Row],[ordered_units]]*ReconciliationData[[#This Row],[List_Price]]</f>
        <v>29620.098299999998</v>
      </c>
      <c r="Z2009">
        <f>ReconciliationData[[#This Row],[billed_revenue]]-ReconciliationData[[#This Row],[expected_revenue]]</f>
        <v>0</v>
      </c>
      <c r="AA20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09" t="str">
        <f>IF(ReconciliationData[[#This Row],[severity_score]]=0,"LOW",
 IF(ReconciliationData[[#This Row],[severity_score]]&lt;=5,"MEDIUM","HIGH"))</f>
        <v>LOW</v>
      </c>
      <c r="AC2009" t="str">
        <f>TEXT(ReconciliationData[[#This Row],[Order_Date]],"YYYY-MM")</f>
        <v>2024-11</v>
      </c>
    </row>
    <row r="2010" spans="1:29">
      <c r="A2010" t="s">
        <v>5190</v>
      </c>
      <c r="B2010" s="1">
        <v>45594</v>
      </c>
      <c r="C2010" t="s">
        <v>2971</v>
      </c>
      <c r="D2010" t="s">
        <v>1088</v>
      </c>
      <c r="E2010">
        <v>75</v>
      </c>
      <c r="F2010" t="s">
        <v>5191</v>
      </c>
      <c r="G2010">
        <v>75</v>
      </c>
      <c r="H2010">
        <v>72.63</v>
      </c>
      <c r="N2010">
        <v>72.63</v>
      </c>
      <c r="O2010" s="1">
        <v>44956</v>
      </c>
      <c r="P2010">
        <f>IF(ISBLANK(ReconciliationData[[#This Row],[Invoice_ID]]),1,0)</f>
        <v>0</v>
      </c>
      <c r="Q2010">
        <f>IF(AND(NOT(ISBLANK(ReconciliationData[[#This Row],[Billed_Units]])),ReconciliationData[[#This Row],[ordered_units]]&lt;&gt;ReconciliationData[[#This Row],[Billed_Units]]),1,0)</f>
        <v>0</v>
      </c>
      <c r="R20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10">
        <f>IF(AND(NOT(ISBLANK(ReconciliationData[[#This Row],[Contract_Price]])),ReconciliationData[[#This Row],[Billed_Price]]&lt;&gt;ReconciliationData[[#This Row],[Contract_Price]]),1,0)</f>
        <v>0</v>
      </c>
      <c r="T2010">
        <f>IF(AND(NOT(ISBLANK(ReconciliationData[[#This Row],[End_Date]])),ReconciliationData[[#This Row],[Order_Date]]&gt;ReconciliationData[[#This Row],[End_Date]]),1,0)</f>
        <v>0</v>
      </c>
      <c r="U2010">
        <f>IF(AND(NOT(ISBLANK(ReconciliationData[[#This Row],[last_return_date]])),ReconciliationData[[#This Row],[last_return_date]]&gt;ReconciliationData[[#This Row],[Order_Date]]+60),1,0)</f>
        <v>0</v>
      </c>
      <c r="V2010">
        <f>IF(ReconciliationData[[#This Row],[total_returned_units]]&gt;ReconciliationData[[#This Row],[ordered_units]],1,0)</f>
        <v>0</v>
      </c>
      <c r="W20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10">
        <f>ReconciliationData[[#This Row],[Billed_Units]]*ReconciliationData[[#This Row],[Billed_Price]]</f>
        <v>5447.25</v>
      </c>
      <c r="Y2010">
        <f>ReconciliationData[[#This Row],[ordered_units]]*ReconciliationData[[#This Row],[List_Price]]</f>
        <v>5447.25</v>
      </c>
      <c r="Z2010">
        <f>ReconciliationData[[#This Row],[billed_revenue]]-ReconciliationData[[#This Row],[expected_revenue]]</f>
        <v>0</v>
      </c>
      <c r="AA20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10" t="str">
        <f>IF(ReconciliationData[[#This Row],[severity_score]]=0,"LOW",
 IF(ReconciliationData[[#This Row],[severity_score]]&lt;=5,"MEDIUM","HIGH"))</f>
        <v>LOW</v>
      </c>
      <c r="AC2010" t="str">
        <f>TEXT(ReconciliationData[[#This Row],[Order_Date]],"YYYY-MM")</f>
        <v>2024-10</v>
      </c>
    </row>
    <row r="2011" spans="1:29">
      <c r="A2011" t="s">
        <v>5192</v>
      </c>
      <c r="B2011" s="1">
        <v>45408</v>
      </c>
      <c r="C2011" t="s">
        <v>5193</v>
      </c>
      <c r="D2011" t="s">
        <v>987</v>
      </c>
      <c r="E2011">
        <v>175</v>
      </c>
      <c r="F2011" t="s">
        <v>5194</v>
      </c>
      <c r="G2011">
        <v>175</v>
      </c>
      <c r="H2011">
        <v>232.3732</v>
      </c>
      <c r="N2011">
        <v>232.3732</v>
      </c>
      <c r="O2011" s="1">
        <v>45065</v>
      </c>
      <c r="P2011">
        <f>IF(ISBLANK(ReconciliationData[[#This Row],[Invoice_ID]]),1,0)</f>
        <v>0</v>
      </c>
      <c r="Q2011">
        <f>IF(AND(NOT(ISBLANK(ReconciliationData[[#This Row],[Billed_Units]])),ReconciliationData[[#This Row],[ordered_units]]&lt;&gt;ReconciliationData[[#This Row],[Billed_Units]]),1,0)</f>
        <v>0</v>
      </c>
      <c r="R20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11">
        <f>IF(AND(NOT(ISBLANK(ReconciliationData[[#This Row],[Contract_Price]])),ReconciliationData[[#This Row],[Billed_Price]]&lt;&gt;ReconciliationData[[#This Row],[Contract_Price]]),1,0)</f>
        <v>0</v>
      </c>
      <c r="T2011">
        <f>IF(AND(NOT(ISBLANK(ReconciliationData[[#This Row],[End_Date]])),ReconciliationData[[#This Row],[Order_Date]]&gt;ReconciliationData[[#This Row],[End_Date]]),1,0)</f>
        <v>0</v>
      </c>
      <c r="U2011">
        <f>IF(AND(NOT(ISBLANK(ReconciliationData[[#This Row],[last_return_date]])),ReconciliationData[[#This Row],[last_return_date]]&gt;ReconciliationData[[#This Row],[Order_Date]]+60),1,0)</f>
        <v>0</v>
      </c>
      <c r="V2011">
        <f>IF(ReconciliationData[[#This Row],[total_returned_units]]&gt;ReconciliationData[[#This Row],[ordered_units]],1,0)</f>
        <v>0</v>
      </c>
      <c r="W20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11">
        <f>ReconciliationData[[#This Row],[Billed_Units]]*ReconciliationData[[#This Row],[Billed_Price]]</f>
        <v>40665.31</v>
      </c>
      <c r="Y2011">
        <f>ReconciliationData[[#This Row],[ordered_units]]*ReconciliationData[[#This Row],[List_Price]]</f>
        <v>40665.31</v>
      </c>
      <c r="Z2011">
        <f>ReconciliationData[[#This Row],[billed_revenue]]-ReconciliationData[[#This Row],[expected_revenue]]</f>
        <v>0</v>
      </c>
      <c r="AA20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11" t="str">
        <f>IF(ReconciliationData[[#This Row],[severity_score]]=0,"LOW",
 IF(ReconciliationData[[#This Row],[severity_score]]&lt;=5,"MEDIUM","HIGH"))</f>
        <v>LOW</v>
      </c>
      <c r="AC2011" t="str">
        <f>TEXT(ReconciliationData[[#This Row],[Order_Date]],"YYYY-MM")</f>
        <v>2024-04</v>
      </c>
    </row>
    <row r="2012" spans="1:29">
      <c r="A2012" t="s">
        <v>5195</v>
      </c>
      <c r="B2012" s="1">
        <v>45600</v>
      </c>
      <c r="C2012" t="s">
        <v>521</v>
      </c>
      <c r="D2012" t="s">
        <v>2568</v>
      </c>
      <c r="E2012">
        <v>48</v>
      </c>
      <c r="F2012" t="s">
        <v>5196</v>
      </c>
      <c r="G2012">
        <v>48</v>
      </c>
      <c r="H2012">
        <v>461.00940000000003</v>
      </c>
      <c r="N2012">
        <v>461.00940000000003</v>
      </c>
      <c r="O2012" s="1">
        <v>45036</v>
      </c>
      <c r="P2012">
        <f>IF(ISBLANK(ReconciliationData[[#This Row],[Invoice_ID]]),1,0)</f>
        <v>0</v>
      </c>
      <c r="Q2012">
        <f>IF(AND(NOT(ISBLANK(ReconciliationData[[#This Row],[Billed_Units]])),ReconciliationData[[#This Row],[ordered_units]]&lt;&gt;ReconciliationData[[#This Row],[Billed_Units]]),1,0)</f>
        <v>0</v>
      </c>
      <c r="R20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12">
        <f>IF(AND(NOT(ISBLANK(ReconciliationData[[#This Row],[Contract_Price]])),ReconciliationData[[#This Row],[Billed_Price]]&lt;&gt;ReconciliationData[[#This Row],[Contract_Price]]),1,0)</f>
        <v>0</v>
      </c>
      <c r="T2012">
        <f>IF(AND(NOT(ISBLANK(ReconciliationData[[#This Row],[End_Date]])),ReconciliationData[[#This Row],[Order_Date]]&gt;ReconciliationData[[#This Row],[End_Date]]),1,0)</f>
        <v>0</v>
      </c>
      <c r="U2012">
        <f>IF(AND(NOT(ISBLANK(ReconciliationData[[#This Row],[last_return_date]])),ReconciliationData[[#This Row],[last_return_date]]&gt;ReconciliationData[[#This Row],[Order_Date]]+60),1,0)</f>
        <v>0</v>
      </c>
      <c r="V2012">
        <f>IF(ReconciliationData[[#This Row],[total_returned_units]]&gt;ReconciliationData[[#This Row],[ordered_units]],1,0)</f>
        <v>0</v>
      </c>
      <c r="W20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12">
        <f>ReconciliationData[[#This Row],[Billed_Units]]*ReconciliationData[[#This Row],[Billed_Price]]</f>
        <v>22128.451200000003</v>
      </c>
      <c r="Y2012">
        <f>ReconciliationData[[#This Row],[ordered_units]]*ReconciliationData[[#This Row],[List_Price]]</f>
        <v>22128.451200000003</v>
      </c>
      <c r="Z2012">
        <f>ReconciliationData[[#This Row],[billed_revenue]]-ReconciliationData[[#This Row],[expected_revenue]]</f>
        <v>0</v>
      </c>
      <c r="AA20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12" t="str">
        <f>IF(ReconciliationData[[#This Row],[severity_score]]=0,"LOW",
 IF(ReconciliationData[[#This Row],[severity_score]]&lt;=5,"MEDIUM","HIGH"))</f>
        <v>LOW</v>
      </c>
      <c r="AC2012" t="str">
        <f>TEXT(ReconciliationData[[#This Row],[Order_Date]],"YYYY-MM")</f>
        <v>2024-11</v>
      </c>
    </row>
    <row r="2013" spans="1:29">
      <c r="A2013" t="s">
        <v>5197</v>
      </c>
      <c r="B2013" s="1">
        <v>45364</v>
      </c>
      <c r="C2013" t="s">
        <v>661</v>
      </c>
      <c r="D2013" t="s">
        <v>610</v>
      </c>
      <c r="E2013">
        <v>151</v>
      </c>
      <c r="F2013" t="s">
        <v>5198</v>
      </c>
      <c r="G2013">
        <v>151</v>
      </c>
      <c r="H2013">
        <v>457.65019999999998</v>
      </c>
      <c r="N2013">
        <v>457.65019999999998</v>
      </c>
      <c r="O2013" s="1">
        <v>44950</v>
      </c>
      <c r="P2013">
        <f>IF(ISBLANK(ReconciliationData[[#This Row],[Invoice_ID]]),1,0)</f>
        <v>0</v>
      </c>
      <c r="Q2013">
        <f>IF(AND(NOT(ISBLANK(ReconciliationData[[#This Row],[Billed_Units]])),ReconciliationData[[#This Row],[ordered_units]]&lt;&gt;ReconciliationData[[#This Row],[Billed_Units]]),1,0)</f>
        <v>0</v>
      </c>
      <c r="R20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13">
        <f>IF(AND(NOT(ISBLANK(ReconciliationData[[#This Row],[Contract_Price]])),ReconciliationData[[#This Row],[Billed_Price]]&lt;&gt;ReconciliationData[[#This Row],[Contract_Price]]),1,0)</f>
        <v>0</v>
      </c>
      <c r="T2013">
        <f>IF(AND(NOT(ISBLANK(ReconciliationData[[#This Row],[End_Date]])),ReconciliationData[[#This Row],[Order_Date]]&gt;ReconciliationData[[#This Row],[End_Date]]),1,0)</f>
        <v>0</v>
      </c>
      <c r="U2013">
        <f>IF(AND(NOT(ISBLANK(ReconciliationData[[#This Row],[last_return_date]])),ReconciliationData[[#This Row],[last_return_date]]&gt;ReconciliationData[[#This Row],[Order_Date]]+60),1,0)</f>
        <v>0</v>
      </c>
      <c r="V2013">
        <f>IF(ReconciliationData[[#This Row],[total_returned_units]]&gt;ReconciliationData[[#This Row],[ordered_units]],1,0)</f>
        <v>0</v>
      </c>
      <c r="W20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13">
        <f>ReconciliationData[[#This Row],[Billed_Units]]*ReconciliationData[[#This Row],[Billed_Price]]</f>
        <v>69105.180200000003</v>
      </c>
      <c r="Y2013">
        <f>ReconciliationData[[#This Row],[ordered_units]]*ReconciliationData[[#This Row],[List_Price]]</f>
        <v>69105.180200000003</v>
      </c>
      <c r="Z2013">
        <f>ReconciliationData[[#This Row],[billed_revenue]]-ReconciliationData[[#This Row],[expected_revenue]]</f>
        <v>0</v>
      </c>
      <c r="AA20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13" t="str">
        <f>IF(ReconciliationData[[#This Row],[severity_score]]=0,"LOW",
 IF(ReconciliationData[[#This Row],[severity_score]]&lt;=5,"MEDIUM","HIGH"))</f>
        <v>LOW</v>
      </c>
      <c r="AC2013" t="str">
        <f>TEXT(ReconciliationData[[#This Row],[Order_Date]],"YYYY-MM")</f>
        <v>2024-03</v>
      </c>
    </row>
    <row r="2014" spans="1:29">
      <c r="A2014" t="s">
        <v>5199</v>
      </c>
      <c r="B2014" s="1">
        <v>45279</v>
      </c>
      <c r="C2014" t="s">
        <v>1077</v>
      </c>
      <c r="D2014" t="s">
        <v>1775</v>
      </c>
      <c r="E2014">
        <v>136</v>
      </c>
      <c r="F2014" t="s">
        <v>5200</v>
      </c>
      <c r="G2014">
        <v>136</v>
      </c>
      <c r="H2014">
        <v>908.12130000000002</v>
      </c>
      <c r="N2014">
        <v>908.12130000000002</v>
      </c>
      <c r="O2014" s="1">
        <v>45140</v>
      </c>
      <c r="P2014">
        <f>IF(ISBLANK(ReconciliationData[[#This Row],[Invoice_ID]]),1,0)</f>
        <v>0</v>
      </c>
      <c r="Q2014">
        <f>IF(AND(NOT(ISBLANK(ReconciliationData[[#This Row],[Billed_Units]])),ReconciliationData[[#This Row],[ordered_units]]&lt;&gt;ReconciliationData[[#This Row],[Billed_Units]]),1,0)</f>
        <v>0</v>
      </c>
      <c r="R20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14">
        <f>IF(AND(NOT(ISBLANK(ReconciliationData[[#This Row],[Contract_Price]])),ReconciliationData[[#This Row],[Billed_Price]]&lt;&gt;ReconciliationData[[#This Row],[Contract_Price]]),1,0)</f>
        <v>0</v>
      </c>
      <c r="T2014">
        <f>IF(AND(NOT(ISBLANK(ReconciliationData[[#This Row],[End_Date]])),ReconciliationData[[#This Row],[Order_Date]]&gt;ReconciliationData[[#This Row],[End_Date]]),1,0)</f>
        <v>0</v>
      </c>
      <c r="U2014">
        <f>IF(AND(NOT(ISBLANK(ReconciliationData[[#This Row],[last_return_date]])),ReconciliationData[[#This Row],[last_return_date]]&gt;ReconciliationData[[#This Row],[Order_Date]]+60),1,0)</f>
        <v>0</v>
      </c>
      <c r="V2014">
        <f>IF(ReconciliationData[[#This Row],[total_returned_units]]&gt;ReconciliationData[[#This Row],[ordered_units]],1,0)</f>
        <v>0</v>
      </c>
      <c r="W20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14">
        <f>ReconciliationData[[#This Row],[Billed_Units]]*ReconciliationData[[#This Row],[Billed_Price]]</f>
        <v>123504.49680000001</v>
      </c>
      <c r="Y2014">
        <f>ReconciliationData[[#This Row],[ordered_units]]*ReconciliationData[[#This Row],[List_Price]]</f>
        <v>123504.49680000001</v>
      </c>
      <c r="Z2014">
        <f>ReconciliationData[[#This Row],[billed_revenue]]-ReconciliationData[[#This Row],[expected_revenue]]</f>
        <v>0</v>
      </c>
      <c r="AA20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14" t="str">
        <f>IF(ReconciliationData[[#This Row],[severity_score]]=0,"LOW",
 IF(ReconciliationData[[#This Row],[severity_score]]&lt;=5,"MEDIUM","HIGH"))</f>
        <v>LOW</v>
      </c>
      <c r="AC2014" t="str">
        <f>TEXT(ReconciliationData[[#This Row],[Order_Date]],"YYYY-MM")</f>
        <v>2023-12</v>
      </c>
    </row>
    <row r="2015" spans="1:29">
      <c r="A2015" t="s">
        <v>5201</v>
      </c>
      <c r="B2015" s="1">
        <v>45582</v>
      </c>
      <c r="C2015" t="s">
        <v>1651</v>
      </c>
      <c r="D2015" t="s">
        <v>1848</v>
      </c>
      <c r="E2015">
        <v>35</v>
      </c>
      <c r="F2015" t="s">
        <v>5202</v>
      </c>
      <c r="G2015">
        <v>35</v>
      </c>
      <c r="H2015">
        <v>92.962000000000003</v>
      </c>
      <c r="N2015">
        <v>92.962000000000003</v>
      </c>
      <c r="O2015" s="1">
        <v>45151</v>
      </c>
      <c r="P2015">
        <f>IF(ISBLANK(ReconciliationData[[#This Row],[Invoice_ID]]),1,0)</f>
        <v>0</v>
      </c>
      <c r="Q2015">
        <f>IF(AND(NOT(ISBLANK(ReconciliationData[[#This Row],[Billed_Units]])),ReconciliationData[[#This Row],[ordered_units]]&lt;&gt;ReconciliationData[[#This Row],[Billed_Units]]),1,0)</f>
        <v>0</v>
      </c>
      <c r="R20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15">
        <f>IF(AND(NOT(ISBLANK(ReconciliationData[[#This Row],[Contract_Price]])),ReconciliationData[[#This Row],[Billed_Price]]&lt;&gt;ReconciliationData[[#This Row],[Contract_Price]]),1,0)</f>
        <v>0</v>
      </c>
      <c r="T2015">
        <f>IF(AND(NOT(ISBLANK(ReconciliationData[[#This Row],[End_Date]])),ReconciliationData[[#This Row],[Order_Date]]&gt;ReconciliationData[[#This Row],[End_Date]]),1,0)</f>
        <v>0</v>
      </c>
      <c r="U2015">
        <f>IF(AND(NOT(ISBLANK(ReconciliationData[[#This Row],[last_return_date]])),ReconciliationData[[#This Row],[last_return_date]]&gt;ReconciliationData[[#This Row],[Order_Date]]+60),1,0)</f>
        <v>0</v>
      </c>
      <c r="V2015">
        <f>IF(ReconciliationData[[#This Row],[total_returned_units]]&gt;ReconciliationData[[#This Row],[ordered_units]],1,0)</f>
        <v>0</v>
      </c>
      <c r="W20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15">
        <f>ReconciliationData[[#This Row],[Billed_Units]]*ReconciliationData[[#This Row],[Billed_Price]]</f>
        <v>3253.67</v>
      </c>
      <c r="Y2015">
        <f>ReconciliationData[[#This Row],[ordered_units]]*ReconciliationData[[#This Row],[List_Price]]</f>
        <v>3253.67</v>
      </c>
      <c r="Z2015">
        <f>ReconciliationData[[#This Row],[billed_revenue]]-ReconciliationData[[#This Row],[expected_revenue]]</f>
        <v>0</v>
      </c>
      <c r="AA20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15" t="str">
        <f>IF(ReconciliationData[[#This Row],[severity_score]]=0,"LOW",
 IF(ReconciliationData[[#This Row],[severity_score]]&lt;=5,"MEDIUM","HIGH"))</f>
        <v>LOW</v>
      </c>
      <c r="AC2015" t="str">
        <f>TEXT(ReconciliationData[[#This Row],[Order_Date]],"YYYY-MM")</f>
        <v>2024-10</v>
      </c>
    </row>
    <row r="2016" spans="1:29">
      <c r="A2016" t="s">
        <v>5203</v>
      </c>
      <c r="B2016" s="1">
        <v>45473</v>
      </c>
      <c r="C2016" t="s">
        <v>1259</v>
      </c>
      <c r="D2016" t="s">
        <v>243</v>
      </c>
      <c r="E2016">
        <v>103</v>
      </c>
      <c r="F2016" t="s">
        <v>5204</v>
      </c>
      <c r="G2016">
        <v>103</v>
      </c>
      <c r="H2016">
        <v>129.17519999999999</v>
      </c>
      <c r="N2016">
        <v>129.17519999999999</v>
      </c>
      <c r="O2016" s="1">
        <v>45184</v>
      </c>
      <c r="P2016">
        <f>IF(ISBLANK(ReconciliationData[[#This Row],[Invoice_ID]]),1,0)</f>
        <v>0</v>
      </c>
      <c r="Q2016">
        <f>IF(AND(NOT(ISBLANK(ReconciliationData[[#This Row],[Billed_Units]])),ReconciliationData[[#This Row],[ordered_units]]&lt;&gt;ReconciliationData[[#This Row],[Billed_Units]]),1,0)</f>
        <v>0</v>
      </c>
      <c r="R20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16">
        <f>IF(AND(NOT(ISBLANK(ReconciliationData[[#This Row],[Contract_Price]])),ReconciliationData[[#This Row],[Billed_Price]]&lt;&gt;ReconciliationData[[#This Row],[Contract_Price]]),1,0)</f>
        <v>0</v>
      </c>
      <c r="T2016">
        <f>IF(AND(NOT(ISBLANK(ReconciliationData[[#This Row],[End_Date]])),ReconciliationData[[#This Row],[Order_Date]]&gt;ReconciliationData[[#This Row],[End_Date]]),1,0)</f>
        <v>0</v>
      </c>
      <c r="U2016">
        <f>IF(AND(NOT(ISBLANK(ReconciliationData[[#This Row],[last_return_date]])),ReconciliationData[[#This Row],[last_return_date]]&gt;ReconciliationData[[#This Row],[Order_Date]]+60),1,0)</f>
        <v>0</v>
      </c>
      <c r="V2016">
        <f>IF(ReconciliationData[[#This Row],[total_returned_units]]&gt;ReconciliationData[[#This Row],[ordered_units]],1,0)</f>
        <v>0</v>
      </c>
      <c r="W20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16">
        <f>ReconciliationData[[#This Row],[Billed_Units]]*ReconciliationData[[#This Row],[Billed_Price]]</f>
        <v>13305.045599999999</v>
      </c>
      <c r="Y2016">
        <f>ReconciliationData[[#This Row],[ordered_units]]*ReconciliationData[[#This Row],[List_Price]]</f>
        <v>13305.045599999999</v>
      </c>
      <c r="Z2016">
        <f>ReconciliationData[[#This Row],[billed_revenue]]-ReconciliationData[[#This Row],[expected_revenue]]</f>
        <v>0</v>
      </c>
      <c r="AA20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16" t="str">
        <f>IF(ReconciliationData[[#This Row],[severity_score]]=0,"LOW",
 IF(ReconciliationData[[#This Row],[severity_score]]&lt;=5,"MEDIUM","HIGH"))</f>
        <v>LOW</v>
      </c>
      <c r="AC2016" t="str">
        <f>TEXT(ReconciliationData[[#This Row],[Order_Date]],"YYYY-MM")</f>
        <v>2024-06</v>
      </c>
    </row>
    <row r="2017" spans="1:29">
      <c r="A2017" t="s">
        <v>5205</v>
      </c>
      <c r="B2017" s="1">
        <v>45625</v>
      </c>
      <c r="C2017" t="s">
        <v>897</v>
      </c>
      <c r="D2017" t="s">
        <v>138</v>
      </c>
      <c r="E2017">
        <v>130</v>
      </c>
      <c r="F2017" t="s">
        <v>5206</v>
      </c>
      <c r="G2017">
        <v>130</v>
      </c>
      <c r="H2017">
        <v>444.22</v>
      </c>
      <c r="N2017">
        <v>444.22</v>
      </c>
      <c r="O2017" s="1">
        <v>45074</v>
      </c>
      <c r="P2017">
        <f>IF(ISBLANK(ReconciliationData[[#This Row],[Invoice_ID]]),1,0)</f>
        <v>0</v>
      </c>
      <c r="Q2017">
        <f>IF(AND(NOT(ISBLANK(ReconciliationData[[#This Row],[Billed_Units]])),ReconciliationData[[#This Row],[ordered_units]]&lt;&gt;ReconciliationData[[#This Row],[Billed_Units]]),1,0)</f>
        <v>0</v>
      </c>
      <c r="R20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17">
        <f>IF(AND(NOT(ISBLANK(ReconciliationData[[#This Row],[Contract_Price]])),ReconciliationData[[#This Row],[Billed_Price]]&lt;&gt;ReconciliationData[[#This Row],[Contract_Price]]),1,0)</f>
        <v>0</v>
      </c>
      <c r="T2017">
        <f>IF(AND(NOT(ISBLANK(ReconciliationData[[#This Row],[End_Date]])),ReconciliationData[[#This Row],[Order_Date]]&gt;ReconciliationData[[#This Row],[End_Date]]),1,0)</f>
        <v>0</v>
      </c>
      <c r="U2017">
        <f>IF(AND(NOT(ISBLANK(ReconciliationData[[#This Row],[last_return_date]])),ReconciliationData[[#This Row],[last_return_date]]&gt;ReconciliationData[[#This Row],[Order_Date]]+60),1,0)</f>
        <v>0</v>
      </c>
      <c r="V2017">
        <f>IF(ReconciliationData[[#This Row],[total_returned_units]]&gt;ReconciliationData[[#This Row],[ordered_units]],1,0)</f>
        <v>0</v>
      </c>
      <c r="W20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17">
        <f>ReconciliationData[[#This Row],[Billed_Units]]*ReconciliationData[[#This Row],[Billed_Price]]</f>
        <v>57748.600000000006</v>
      </c>
      <c r="Y2017">
        <f>ReconciliationData[[#This Row],[ordered_units]]*ReconciliationData[[#This Row],[List_Price]]</f>
        <v>57748.600000000006</v>
      </c>
      <c r="Z2017">
        <f>ReconciliationData[[#This Row],[billed_revenue]]-ReconciliationData[[#This Row],[expected_revenue]]</f>
        <v>0</v>
      </c>
      <c r="AA20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17" t="str">
        <f>IF(ReconciliationData[[#This Row],[severity_score]]=0,"LOW",
 IF(ReconciliationData[[#This Row],[severity_score]]&lt;=5,"MEDIUM","HIGH"))</f>
        <v>LOW</v>
      </c>
      <c r="AC2017" t="str">
        <f>TEXT(ReconciliationData[[#This Row],[Order_Date]],"YYYY-MM")</f>
        <v>2024-11</v>
      </c>
    </row>
    <row r="2018" spans="1:29">
      <c r="A2018" t="s">
        <v>5207</v>
      </c>
      <c r="B2018" s="1">
        <v>45184</v>
      </c>
      <c r="C2018" t="s">
        <v>2305</v>
      </c>
      <c r="D2018" t="s">
        <v>216</v>
      </c>
      <c r="E2018">
        <v>79</v>
      </c>
      <c r="F2018" t="s">
        <v>5208</v>
      </c>
      <c r="G2018">
        <v>79</v>
      </c>
      <c r="H2018">
        <v>1046.6099999999999</v>
      </c>
      <c r="N2018">
        <v>1046.6099999999999</v>
      </c>
      <c r="O2018" s="1">
        <v>44940</v>
      </c>
      <c r="P2018">
        <f>IF(ISBLANK(ReconciliationData[[#This Row],[Invoice_ID]]),1,0)</f>
        <v>0</v>
      </c>
      <c r="Q2018">
        <f>IF(AND(NOT(ISBLANK(ReconciliationData[[#This Row],[Billed_Units]])),ReconciliationData[[#This Row],[ordered_units]]&lt;&gt;ReconciliationData[[#This Row],[Billed_Units]]),1,0)</f>
        <v>0</v>
      </c>
      <c r="R20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18">
        <f>IF(AND(NOT(ISBLANK(ReconciliationData[[#This Row],[Contract_Price]])),ReconciliationData[[#This Row],[Billed_Price]]&lt;&gt;ReconciliationData[[#This Row],[Contract_Price]]),1,0)</f>
        <v>0</v>
      </c>
      <c r="T2018">
        <f>IF(AND(NOT(ISBLANK(ReconciliationData[[#This Row],[End_Date]])),ReconciliationData[[#This Row],[Order_Date]]&gt;ReconciliationData[[#This Row],[End_Date]]),1,0)</f>
        <v>0</v>
      </c>
      <c r="U2018">
        <f>IF(AND(NOT(ISBLANK(ReconciliationData[[#This Row],[last_return_date]])),ReconciliationData[[#This Row],[last_return_date]]&gt;ReconciliationData[[#This Row],[Order_Date]]+60),1,0)</f>
        <v>0</v>
      </c>
      <c r="V2018">
        <f>IF(ReconciliationData[[#This Row],[total_returned_units]]&gt;ReconciliationData[[#This Row],[ordered_units]],1,0)</f>
        <v>0</v>
      </c>
      <c r="W20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18">
        <f>ReconciliationData[[#This Row],[Billed_Units]]*ReconciliationData[[#This Row],[Billed_Price]]</f>
        <v>82682.189999999988</v>
      </c>
      <c r="Y2018">
        <f>ReconciliationData[[#This Row],[ordered_units]]*ReconciliationData[[#This Row],[List_Price]]</f>
        <v>82682.189999999988</v>
      </c>
      <c r="Z2018">
        <f>ReconciliationData[[#This Row],[billed_revenue]]-ReconciliationData[[#This Row],[expected_revenue]]</f>
        <v>0</v>
      </c>
      <c r="AA20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18" t="str">
        <f>IF(ReconciliationData[[#This Row],[severity_score]]=0,"LOW",
 IF(ReconciliationData[[#This Row],[severity_score]]&lt;=5,"MEDIUM","HIGH"))</f>
        <v>LOW</v>
      </c>
      <c r="AC2018" t="str">
        <f>TEXT(ReconciliationData[[#This Row],[Order_Date]],"YYYY-MM")</f>
        <v>2023-09</v>
      </c>
    </row>
    <row r="2019" spans="1:29">
      <c r="A2019" t="s">
        <v>5209</v>
      </c>
      <c r="B2019" s="1">
        <v>45254</v>
      </c>
      <c r="C2019" t="s">
        <v>5013</v>
      </c>
      <c r="D2019" t="s">
        <v>782</v>
      </c>
      <c r="E2019">
        <v>160</v>
      </c>
      <c r="F2019" t="s">
        <v>5210</v>
      </c>
      <c r="G2019">
        <v>160</v>
      </c>
      <c r="H2019">
        <v>216.67271108283128</v>
      </c>
      <c r="N2019">
        <v>216.2484</v>
      </c>
      <c r="O2019" s="1">
        <v>44944</v>
      </c>
      <c r="P2019">
        <f>IF(ISBLANK(ReconciliationData[[#This Row],[Invoice_ID]]),1,0)</f>
        <v>0</v>
      </c>
      <c r="Q2019">
        <f>IF(AND(NOT(ISBLANK(ReconciliationData[[#This Row],[Billed_Units]])),ReconciliationData[[#This Row],[ordered_units]]&lt;&gt;ReconciliationData[[#This Row],[Billed_Units]]),1,0)</f>
        <v>0</v>
      </c>
      <c r="R201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019">
        <f>IF(AND(NOT(ISBLANK(ReconciliationData[[#This Row],[Contract_Price]])),ReconciliationData[[#This Row],[Billed_Price]]&lt;&gt;ReconciliationData[[#This Row],[Contract_Price]]),1,0)</f>
        <v>0</v>
      </c>
      <c r="T2019">
        <f>IF(AND(NOT(ISBLANK(ReconciliationData[[#This Row],[End_Date]])),ReconciliationData[[#This Row],[Order_Date]]&gt;ReconciliationData[[#This Row],[End_Date]]),1,0)</f>
        <v>0</v>
      </c>
      <c r="U2019">
        <f>IF(AND(NOT(ISBLANK(ReconciliationData[[#This Row],[last_return_date]])),ReconciliationData[[#This Row],[last_return_date]]&gt;ReconciliationData[[#This Row],[Order_Date]]+60),1,0)</f>
        <v>0</v>
      </c>
      <c r="V2019">
        <f>IF(ReconciliationData[[#This Row],[total_returned_units]]&gt;ReconciliationData[[#This Row],[ordered_units]],1,0)</f>
        <v>0</v>
      </c>
      <c r="W20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19">
        <f>ReconciliationData[[#This Row],[Billed_Units]]*ReconciliationData[[#This Row],[Billed_Price]]</f>
        <v>34667.633773253008</v>
      </c>
      <c r="Y2019">
        <f>ReconciliationData[[#This Row],[ordered_units]]*ReconciliationData[[#This Row],[List_Price]]</f>
        <v>34599.743999999999</v>
      </c>
      <c r="Z2019">
        <f>ReconciliationData[[#This Row],[billed_revenue]]-ReconciliationData[[#This Row],[expected_revenue]]</f>
        <v>67.88977325300948</v>
      </c>
      <c r="AA20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019" t="str">
        <f>IF(ReconciliationData[[#This Row],[severity_score]]=0,"LOW",
 IF(ReconciliationData[[#This Row],[severity_score]]&lt;=5,"MEDIUM","HIGH"))</f>
        <v>MEDIUM</v>
      </c>
      <c r="AC2019" t="str">
        <f>TEXT(ReconciliationData[[#This Row],[Order_Date]],"YYYY-MM")</f>
        <v>2023-11</v>
      </c>
    </row>
    <row r="2020" spans="1:29">
      <c r="A2020" t="s">
        <v>5211</v>
      </c>
      <c r="B2020" s="1">
        <v>45270</v>
      </c>
      <c r="C2020" t="s">
        <v>1953</v>
      </c>
      <c r="D2020" t="s">
        <v>722</v>
      </c>
      <c r="E2020">
        <v>113</v>
      </c>
      <c r="F2020" t="s">
        <v>5212</v>
      </c>
      <c r="G2020">
        <v>113</v>
      </c>
      <c r="H2020">
        <v>343.34190000000001</v>
      </c>
      <c r="N2020">
        <v>343.34190000000001</v>
      </c>
      <c r="O2020" s="1">
        <v>45126</v>
      </c>
      <c r="P2020">
        <f>IF(ISBLANK(ReconciliationData[[#This Row],[Invoice_ID]]),1,0)</f>
        <v>0</v>
      </c>
      <c r="Q2020">
        <f>IF(AND(NOT(ISBLANK(ReconciliationData[[#This Row],[Billed_Units]])),ReconciliationData[[#This Row],[ordered_units]]&lt;&gt;ReconciliationData[[#This Row],[Billed_Units]]),1,0)</f>
        <v>0</v>
      </c>
      <c r="R20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0">
        <f>IF(AND(NOT(ISBLANK(ReconciliationData[[#This Row],[Contract_Price]])),ReconciliationData[[#This Row],[Billed_Price]]&lt;&gt;ReconciliationData[[#This Row],[Contract_Price]]),1,0)</f>
        <v>0</v>
      </c>
      <c r="T2020">
        <f>IF(AND(NOT(ISBLANK(ReconciliationData[[#This Row],[End_Date]])),ReconciliationData[[#This Row],[Order_Date]]&gt;ReconciliationData[[#This Row],[End_Date]]),1,0)</f>
        <v>0</v>
      </c>
      <c r="U2020">
        <f>IF(AND(NOT(ISBLANK(ReconciliationData[[#This Row],[last_return_date]])),ReconciliationData[[#This Row],[last_return_date]]&gt;ReconciliationData[[#This Row],[Order_Date]]+60),1,0)</f>
        <v>0</v>
      </c>
      <c r="V2020">
        <f>IF(ReconciliationData[[#This Row],[total_returned_units]]&gt;ReconciliationData[[#This Row],[ordered_units]],1,0)</f>
        <v>0</v>
      </c>
      <c r="W20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0">
        <f>ReconciliationData[[#This Row],[Billed_Units]]*ReconciliationData[[#This Row],[Billed_Price]]</f>
        <v>38797.634700000002</v>
      </c>
      <c r="Y2020">
        <f>ReconciliationData[[#This Row],[ordered_units]]*ReconciliationData[[#This Row],[List_Price]]</f>
        <v>38797.634700000002</v>
      </c>
      <c r="Z2020">
        <f>ReconciliationData[[#This Row],[billed_revenue]]-ReconciliationData[[#This Row],[expected_revenue]]</f>
        <v>0</v>
      </c>
      <c r="AA20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0" t="str">
        <f>IF(ReconciliationData[[#This Row],[severity_score]]=0,"LOW",
 IF(ReconciliationData[[#This Row],[severity_score]]&lt;=5,"MEDIUM","HIGH"))</f>
        <v>LOW</v>
      </c>
      <c r="AC2020" t="str">
        <f>TEXT(ReconciliationData[[#This Row],[Order_Date]],"YYYY-MM")</f>
        <v>2023-12</v>
      </c>
    </row>
    <row r="2021" spans="1:29">
      <c r="A2021" t="s">
        <v>5213</v>
      </c>
      <c r="B2021" s="1">
        <v>44972</v>
      </c>
      <c r="C2021" t="s">
        <v>503</v>
      </c>
      <c r="D2021" t="s">
        <v>223</v>
      </c>
      <c r="E2021">
        <v>156</v>
      </c>
      <c r="F2021" t="s">
        <v>5214</v>
      </c>
      <c r="G2021">
        <v>156</v>
      </c>
      <c r="H2021">
        <v>514.18639999999994</v>
      </c>
      <c r="N2021">
        <v>514.18639999999994</v>
      </c>
      <c r="O2021" s="1">
        <v>44936</v>
      </c>
      <c r="P2021">
        <f>IF(ISBLANK(ReconciliationData[[#This Row],[Invoice_ID]]),1,0)</f>
        <v>0</v>
      </c>
      <c r="Q2021">
        <f>IF(AND(NOT(ISBLANK(ReconciliationData[[#This Row],[Billed_Units]])),ReconciliationData[[#This Row],[ordered_units]]&lt;&gt;ReconciliationData[[#This Row],[Billed_Units]]),1,0)</f>
        <v>0</v>
      </c>
      <c r="R20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1">
        <f>IF(AND(NOT(ISBLANK(ReconciliationData[[#This Row],[Contract_Price]])),ReconciliationData[[#This Row],[Billed_Price]]&lt;&gt;ReconciliationData[[#This Row],[Contract_Price]]),1,0)</f>
        <v>0</v>
      </c>
      <c r="T2021">
        <f>IF(AND(NOT(ISBLANK(ReconciliationData[[#This Row],[End_Date]])),ReconciliationData[[#This Row],[Order_Date]]&gt;ReconciliationData[[#This Row],[End_Date]]),1,0)</f>
        <v>0</v>
      </c>
      <c r="U2021">
        <f>IF(AND(NOT(ISBLANK(ReconciliationData[[#This Row],[last_return_date]])),ReconciliationData[[#This Row],[last_return_date]]&gt;ReconciliationData[[#This Row],[Order_Date]]+60),1,0)</f>
        <v>0</v>
      </c>
      <c r="V2021">
        <f>IF(ReconciliationData[[#This Row],[total_returned_units]]&gt;ReconciliationData[[#This Row],[ordered_units]],1,0)</f>
        <v>0</v>
      </c>
      <c r="W20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1">
        <f>ReconciliationData[[#This Row],[Billed_Units]]*ReconciliationData[[#This Row],[Billed_Price]]</f>
        <v>80213.078399999984</v>
      </c>
      <c r="Y2021">
        <f>ReconciliationData[[#This Row],[ordered_units]]*ReconciliationData[[#This Row],[List_Price]]</f>
        <v>80213.078399999984</v>
      </c>
      <c r="Z2021">
        <f>ReconciliationData[[#This Row],[billed_revenue]]-ReconciliationData[[#This Row],[expected_revenue]]</f>
        <v>0</v>
      </c>
      <c r="AA20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1" t="str">
        <f>IF(ReconciliationData[[#This Row],[severity_score]]=0,"LOW",
 IF(ReconciliationData[[#This Row],[severity_score]]&lt;=5,"MEDIUM","HIGH"))</f>
        <v>LOW</v>
      </c>
      <c r="AC2021" t="str">
        <f>TEXT(ReconciliationData[[#This Row],[Order_Date]],"YYYY-MM")</f>
        <v>2023-02</v>
      </c>
    </row>
    <row r="2022" spans="1:29">
      <c r="A2022" t="s">
        <v>5215</v>
      </c>
      <c r="B2022" s="1">
        <v>45315</v>
      </c>
      <c r="C2022" t="s">
        <v>894</v>
      </c>
      <c r="D2022" t="s">
        <v>825</v>
      </c>
      <c r="E2022">
        <v>66</v>
      </c>
      <c r="F2022" t="s">
        <v>5216</v>
      </c>
      <c r="G2022">
        <v>66</v>
      </c>
      <c r="H2022">
        <v>752.48910000000001</v>
      </c>
      <c r="N2022">
        <v>752.48910000000001</v>
      </c>
      <c r="O2022" s="1">
        <v>44953</v>
      </c>
      <c r="P2022">
        <f>IF(ISBLANK(ReconciliationData[[#This Row],[Invoice_ID]]),1,0)</f>
        <v>0</v>
      </c>
      <c r="Q2022">
        <f>IF(AND(NOT(ISBLANK(ReconciliationData[[#This Row],[Billed_Units]])),ReconciliationData[[#This Row],[ordered_units]]&lt;&gt;ReconciliationData[[#This Row],[Billed_Units]]),1,0)</f>
        <v>0</v>
      </c>
      <c r="R20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2">
        <f>IF(AND(NOT(ISBLANK(ReconciliationData[[#This Row],[Contract_Price]])),ReconciliationData[[#This Row],[Billed_Price]]&lt;&gt;ReconciliationData[[#This Row],[Contract_Price]]),1,0)</f>
        <v>0</v>
      </c>
      <c r="T2022">
        <f>IF(AND(NOT(ISBLANK(ReconciliationData[[#This Row],[End_Date]])),ReconciliationData[[#This Row],[Order_Date]]&gt;ReconciliationData[[#This Row],[End_Date]]),1,0)</f>
        <v>0</v>
      </c>
      <c r="U2022">
        <f>IF(AND(NOT(ISBLANK(ReconciliationData[[#This Row],[last_return_date]])),ReconciliationData[[#This Row],[last_return_date]]&gt;ReconciliationData[[#This Row],[Order_Date]]+60),1,0)</f>
        <v>0</v>
      </c>
      <c r="V2022">
        <f>IF(ReconciliationData[[#This Row],[total_returned_units]]&gt;ReconciliationData[[#This Row],[ordered_units]],1,0)</f>
        <v>0</v>
      </c>
      <c r="W20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2">
        <f>ReconciliationData[[#This Row],[Billed_Units]]*ReconciliationData[[#This Row],[Billed_Price]]</f>
        <v>49664.280599999998</v>
      </c>
      <c r="Y2022">
        <f>ReconciliationData[[#This Row],[ordered_units]]*ReconciliationData[[#This Row],[List_Price]]</f>
        <v>49664.280599999998</v>
      </c>
      <c r="Z2022">
        <f>ReconciliationData[[#This Row],[billed_revenue]]-ReconciliationData[[#This Row],[expected_revenue]]</f>
        <v>0</v>
      </c>
      <c r="AA20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2" t="str">
        <f>IF(ReconciliationData[[#This Row],[severity_score]]=0,"LOW",
 IF(ReconciliationData[[#This Row],[severity_score]]&lt;=5,"MEDIUM","HIGH"))</f>
        <v>LOW</v>
      </c>
      <c r="AC2022" t="str">
        <f>TEXT(ReconciliationData[[#This Row],[Order_Date]],"YYYY-MM")</f>
        <v>2024-01</v>
      </c>
    </row>
    <row r="2023" spans="1:29">
      <c r="A2023" t="s">
        <v>5217</v>
      </c>
      <c r="B2023" s="1">
        <v>45351</v>
      </c>
      <c r="C2023" t="s">
        <v>1967</v>
      </c>
      <c r="D2023" t="s">
        <v>3409</v>
      </c>
      <c r="E2023">
        <v>165</v>
      </c>
      <c r="F2023" t="s">
        <v>5218</v>
      </c>
      <c r="G2023">
        <v>165</v>
      </c>
      <c r="H2023">
        <v>104.9652</v>
      </c>
      <c r="N2023">
        <v>104.9652</v>
      </c>
      <c r="O2023" s="1">
        <v>45066</v>
      </c>
      <c r="P2023">
        <f>IF(ISBLANK(ReconciliationData[[#This Row],[Invoice_ID]]),1,0)</f>
        <v>0</v>
      </c>
      <c r="Q2023">
        <f>IF(AND(NOT(ISBLANK(ReconciliationData[[#This Row],[Billed_Units]])),ReconciliationData[[#This Row],[ordered_units]]&lt;&gt;ReconciliationData[[#This Row],[Billed_Units]]),1,0)</f>
        <v>0</v>
      </c>
      <c r="R20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3">
        <f>IF(AND(NOT(ISBLANK(ReconciliationData[[#This Row],[Contract_Price]])),ReconciliationData[[#This Row],[Billed_Price]]&lt;&gt;ReconciliationData[[#This Row],[Contract_Price]]),1,0)</f>
        <v>0</v>
      </c>
      <c r="T2023">
        <f>IF(AND(NOT(ISBLANK(ReconciliationData[[#This Row],[End_Date]])),ReconciliationData[[#This Row],[Order_Date]]&gt;ReconciliationData[[#This Row],[End_Date]]),1,0)</f>
        <v>0</v>
      </c>
      <c r="U2023">
        <f>IF(AND(NOT(ISBLANK(ReconciliationData[[#This Row],[last_return_date]])),ReconciliationData[[#This Row],[last_return_date]]&gt;ReconciliationData[[#This Row],[Order_Date]]+60),1,0)</f>
        <v>0</v>
      </c>
      <c r="V2023">
        <f>IF(ReconciliationData[[#This Row],[total_returned_units]]&gt;ReconciliationData[[#This Row],[ordered_units]],1,0)</f>
        <v>0</v>
      </c>
      <c r="W20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3">
        <f>ReconciliationData[[#This Row],[Billed_Units]]*ReconciliationData[[#This Row],[Billed_Price]]</f>
        <v>17319.257999999998</v>
      </c>
      <c r="Y2023">
        <f>ReconciliationData[[#This Row],[ordered_units]]*ReconciliationData[[#This Row],[List_Price]]</f>
        <v>17319.257999999998</v>
      </c>
      <c r="Z2023">
        <f>ReconciliationData[[#This Row],[billed_revenue]]-ReconciliationData[[#This Row],[expected_revenue]]</f>
        <v>0</v>
      </c>
      <c r="AA20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3" t="str">
        <f>IF(ReconciliationData[[#This Row],[severity_score]]=0,"LOW",
 IF(ReconciliationData[[#This Row],[severity_score]]&lt;=5,"MEDIUM","HIGH"))</f>
        <v>LOW</v>
      </c>
      <c r="AC2023" t="str">
        <f>TEXT(ReconciliationData[[#This Row],[Order_Date]],"YYYY-MM")</f>
        <v>2024-02</v>
      </c>
    </row>
    <row r="2024" spans="1:29">
      <c r="A2024" t="s">
        <v>5219</v>
      </c>
      <c r="B2024" s="1">
        <v>45009</v>
      </c>
      <c r="C2024" t="s">
        <v>1395</v>
      </c>
      <c r="D2024" t="s">
        <v>1459</v>
      </c>
      <c r="E2024">
        <v>200</v>
      </c>
      <c r="F2024" t="s">
        <v>5220</v>
      </c>
      <c r="G2024">
        <v>200</v>
      </c>
      <c r="H2024">
        <v>1208.5299</v>
      </c>
      <c r="N2024">
        <v>1208.5299</v>
      </c>
      <c r="O2024" s="1">
        <v>44983</v>
      </c>
      <c r="P2024">
        <f>IF(ISBLANK(ReconciliationData[[#This Row],[Invoice_ID]]),1,0)</f>
        <v>0</v>
      </c>
      <c r="Q2024">
        <f>IF(AND(NOT(ISBLANK(ReconciliationData[[#This Row],[Billed_Units]])),ReconciliationData[[#This Row],[ordered_units]]&lt;&gt;ReconciliationData[[#This Row],[Billed_Units]]),1,0)</f>
        <v>0</v>
      </c>
      <c r="R20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4">
        <f>IF(AND(NOT(ISBLANK(ReconciliationData[[#This Row],[Contract_Price]])),ReconciliationData[[#This Row],[Billed_Price]]&lt;&gt;ReconciliationData[[#This Row],[Contract_Price]]),1,0)</f>
        <v>0</v>
      </c>
      <c r="T2024">
        <f>IF(AND(NOT(ISBLANK(ReconciliationData[[#This Row],[End_Date]])),ReconciliationData[[#This Row],[Order_Date]]&gt;ReconciliationData[[#This Row],[End_Date]]),1,0)</f>
        <v>0</v>
      </c>
      <c r="U2024">
        <f>IF(AND(NOT(ISBLANK(ReconciliationData[[#This Row],[last_return_date]])),ReconciliationData[[#This Row],[last_return_date]]&gt;ReconciliationData[[#This Row],[Order_Date]]+60),1,0)</f>
        <v>0</v>
      </c>
      <c r="V2024">
        <f>IF(ReconciliationData[[#This Row],[total_returned_units]]&gt;ReconciliationData[[#This Row],[ordered_units]],1,0)</f>
        <v>0</v>
      </c>
      <c r="W20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4">
        <f>ReconciliationData[[#This Row],[Billed_Units]]*ReconciliationData[[#This Row],[Billed_Price]]</f>
        <v>241705.98</v>
      </c>
      <c r="Y2024">
        <f>ReconciliationData[[#This Row],[ordered_units]]*ReconciliationData[[#This Row],[List_Price]]</f>
        <v>241705.98</v>
      </c>
      <c r="Z2024">
        <f>ReconciliationData[[#This Row],[billed_revenue]]-ReconciliationData[[#This Row],[expected_revenue]]</f>
        <v>0</v>
      </c>
      <c r="AA20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4" t="str">
        <f>IF(ReconciliationData[[#This Row],[severity_score]]=0,"LOW",
 IF(ReconciliationData[[#This Row],[severity_score]]&lt;=5,"MEDIUM","HIGH"))</f>
        <v>LOW</v>
      </c>
      <c r="AC2024" t="str">
        <f>TEXT(ReconciliationData[[#This Row],[Order_Date]],"YYYY-MM")</f>
        <v>2023-03</v>
      </c>
    </row>
    <row r="2025" spans="1:29">
      <c r="A2025" t="s">
        <v>5221</v>
      </c>
      <c r="B2025" s="1">
        <v>45616</v>
      </c>
      <c r="C2025" t="s">
        <v>169</v>
      </c>
      <c r="D2025" t="s">
        <v>1945</v>
      </c>
      <c r="E2025">
        <v>149</v>
      </c>
      <c r="F2025" t="s">
        <v>5222</v>
      </c>
      <c r="G2025">
        <v>149</v>
      </c>
      <c r="H2025">
        <v>1178.6880000000001</v>
      </c>
      <c r="N2025">
        <v>1178.6880000000001</v>
      </c>
      <c r="O2025" s="1">
        <v>44930</v>
      </c>
      <c r="P2025">
        <f>IF(ISBLANK(ReconciliationData[[#This Row],[Invoice_ID]]),1,0)</f>
        <v>0</v>
      </c>
      <c r="Q2025">
        <f>IF(AND(NOT(ISBLANK(ReconciliationData[[#This Row],[Billed_Units]])),ReconciliationData[[#This Row],[ordered_units]]&lt;&gt;ReconciliationData[[#This Row],[Billed_Units]]),1,0)</f>
        <v>0</v>
      </c>
      <c r="R20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5">
        <f>IF(AND(NOT(ISBLANK(ReconciliationData[[#This Row],[Contract_Price]])),ReconciliationData[[#This Row],[Billed_Price]]&lt;&gt;ReconciliationData[[#This Row],[Contract_Price]]),1,0)</f>
        <v>0</v>
      </c>
      <c r="T2025">
        <f>IF(AND(NOT(ISBLANK(ReconciliationData[[#This Row],[End_Date]])),ReconciliationData[[#This Row],[Order_Date]]&gt;ReconciliationData[[#This Row],[End_Date]]),1,0)</f>
        <v>0</v>
      </c>
      <c r="U2025">
        <f>IF(AND(NOT(ISBLANK(ReconciliationData[[#This Row],[last_return_date]])),ReconciliationData[[#This Row],[last_return_date]]&gt;ReconciliationData[[#This Row],[Order_Date]]+60),1,0)</f>
        <v>0</v>
      </c>
      <c r="V2025">
        <f>IF(ReconciliationData[[#This Row],[total_returned_units]]&gt;ReconciliationData[[#This Row],[ordered_units]],1,0)</f>
        <v>0</v>
      </c>
      <c r="W20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5">
        <f>ReconciliationData[[#This Row],[Billed_Units]]*ReconciliationData[[#This Row],[Billed_Price]]</f>
        <v>175624.51200000002</v>
      </c>
      <c r="Y2025">
        <f>ReconciliationData[[#This Row],[ordered_units]]*ReconciliationData[[#This Row],[List_Price]]</f>
        <v>175624.51200000002</v>
      </c>
      <c r="Z2025">
        <f>ReconciliationData[[#This Row],[billed_revenue]]-ReconciliationData[[#This Row],[expected_revenue]]</f>
        <v>0</v>
      </c>
      <c r="AA20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5" t="str">
        <f>IF(ReconciliationData[[#This Row],[severity_score]]=0,"LOW",
 IF(ReconciliationData[[#This Row],[severity_score]]&lt;=5,"MEDIUM","HIGH"))</f>
        <v>LOW</v>
      </c>
      <c r="AC2025" t="str">
        <f>TEXT(ReconciliationData[[#This Row],[Order_Date]],"YYYY-MM")</f>
        <v>2024-11</v>
      </c>
    </row>
    <row r="2026" spans="1:29">
      <c r="A2026" t="s">
        <v>5223</v>
      </c>
      <c r="B2026" s="1">
        <v>44946</v>
      </c>
      <c r="C2026" t="s">
        <v>4117</v>
      </c>
      <c r="D2026" t="s">
        <v>2444</v>
      </c>
      <c r="E2026">
        <v>61</v>
      </c>
      <c r="F2026" t="s">
        <v>5224</v>
      </c>
      <c r="G2026">
        <v>61</v>
      </c>
      <c r="H2026">
        <v>789.34</v>
      </c>
      <c r="N2026">
        <v>789.34</v>
      </c>
      <c r="O2026" s="1">
        <v>44662</v>
      </c>
      <c r="P2026">
        <f>IF(ISBLANK(ReconciliationData[[#This Row],[Invoice_ID]]),1,0)</f>
        <v>0</v>
      </c>
      <c r="Q2026">
        <f>IF(AND(NOT(ISBLANK(ReconciliationData[[#This Row],[Billed_Units]])),ReconciliationData[[#This Row],[ordered_units]]&lt;&gt;ReconciliationData[[#This Row],[Billed_Units]]),1,0)</f>
        <v>0</v>
      </c>
      <c r="R20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6">
        <f>IF(AND(NOT(ISBLANK(ReconciliationData[[#This Row],[Contract_Price]])),ReconciliationData[[#This Row],[Billed_Price]]&lt;&gt;ReconciliationData[[#This Row],[Contract_Price]]),1,0)</f>
        <v>0</v>
      </c>
      <c r="T2026">
        <f>IF(AND(NOT(ISBLANK(ReconciliationData[[#This Row],[End_Date]])),ReconciliationData[[#This Row],[Order_Date]]&gt;ReconciliationData[[#This Row],[End_Date]]),1,0)</f>
        <v>0</v>
      </c>
      <c r="U2026">
        <f>IF(AND(NOT(ISBLANK(ReconciliationData[[#This Row],[last_return_date]])),ReconciliationData[[#This Row],[last_return_date]]&gt;ReconciliationData[[#This Row],[Order_Date]]+60),1,0)</f>
        <v>0</v>
      </c>
      <c r="V2026">
        <f>IF(ReconciliationData[[#This Row],[total_returned_units]]&gt;ReconciliationData[[#This Row],[ordered_units]],1,0)</f>
        <v>0</v>
      </c>
      <c r="W20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6">
        <f>ReconciliationData[[#This Row],[Billed_Units]]*ReconciliationData[[#This Row],[Billed_Price]]</f>
        <v>48149.740000000005</v>
      </c>
      <c r="Y2026">
        <f>ReconciliationData[[#This Row],[ordered_units]]*ReconciliationData[[#This Row],[List_Price]]</f>
        <v>48149.740000000005</v>
      </c>
      <c r="Z2026">
        <f>ReconciliationData[[#This Row],[billed_revenue]]-ReconciliationData[[#This Row],[expected_revenue]]</f>
        <v>0</v>
      </c>
      <c r="AA20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6" t="str">
        <f>IF(ReconciliationData[[#This Row],[severity_score]]=0,"LOW",
 IF(ReconciliationData[[#This Row],[severity_score]]&lt;=5,"MEDIUM","HIGH"))</f>
        <v>LOW</v>
      </c>
      <c r="AC2026" t="str">
        <f>TEXT(ReconciliationData[[#This Row],[Order_Date]],"YYYY-MM")</f>
        <v>2023-01</v>
      </c>
    </row>
    <row r="2027" spans="1:29">
      <c r="A2027" t="s">
        <v>5225</v>
      </c>
      <c r="B2027" s="1">
        <v>45095</v>
      </c>
      <c r="C2027" t="s">
        <v>817</v>
      </c>
      <c r="D2027" t="s">
        <v>461</v>
      </c>
      <c r="E2027">
        <v>7</v>
      </c>
      <c r="F2027" t="s">
        <v>5226</v>
      </c>
      <c r="G2027">
        <v>7</v>
      </c>
      <c r="H2027">
        <v>1218.6930000000002</v>
      </c>
      <c r="N2027">
        <v>1218.6930000000002</v>
      </c>
      <c r="O2027" s="1">
        <v>44926</v>
      </c>
      <c r="P2027">
        <f>IF(ISBLANK(ReconciliationData[[#This Row],[Invoice_ID]]),1,0)</f>
        <v>0</v>
      </c>
      <c r="Q2027">
        <f>IF(AND(NOT(ISBLANK(ReconciliationData[[#This Row],[Billed_Units]])),ReconciliationData[[#This Row],[ordered_units]]&lt;&gt;ReconciliationData[[#This Row],[Billed_Units]]),1,0)</f>
        <v>0</v>
      </c>
      <c r="R20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7">
        <f>IF(AND(NOT(ISBLANK(ReconciliationData[[#This Row],[Contract_Price]])),ReconciliationData[[#This Row],[Billed_Price]]&lt;&gt;ReconciliationData[[#This Row],[Contract_Price]]),1,0)</f>
        <v>0</v>
      </c>
      <c r="T2027">
        <f>IF(AND(NOT(ISBLANK(ReconciliationData[[#This Row],[End_Date]])),ReconciliationData[[#This Row],[Order_Date]]&gt;ReconciliationData[[#This Row],[End_Date]]),1,0)</f>
        <v>0</v>
      </c>
      <c r="U2027">
        <f>IF(AND(NOT(ISBLANK(ReconciliationData[[#This Row],[last_return_date]])),ReconciliationData[[#This Row],[last_return_date]]&gt;ReconciliationData[[#This Row],[Order_Date]]+60),1,0)</f>
        <v>0</v>
      </c>
      <c r="V2027">
        <f>IF(ReconciliationData[[#This Row],[total_returned_units]]&gt;ReconciliationData[[#This Row],[ordered_units]],1,0)</f>
        <v>0</v>
      </c>
      <c r="W20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7">
        <f>ReconciliationData[[#This Row],[Billed_Units]]*ReconciliationData[[#This Row],[Billed_Price]]</f>
        <v>8530.8510000000024</v>
      </c>
      <c r="Y2027">
        <f>ReconciliationData[[#This Row],[ordered_units]]*ReconciliationData[[#This Row],[List_Price]]</f>
        <v>8530.8510000000024</v>
      </c>
      <c r="Z2027">
        <f>ReconciliationData[[#This Row],[billed_revenue]]-ReconciliationData[[#This Row],[expected_revenue]]</f>
        <v>0</v>
      </c>
      <c r="AA20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7" t="str">
        <f>IF(ReconciliationData[[#This Row],[severity_score]]=0,"LOW",
 IF(ReconciliationData[[#This Row],[severity_score]]&lt;=5,"MEDIUM","HIGH"))</f>
        <v>LOW</v>
      </c>
      <c r="AC2027" t="str">
        <f>TEXT(ReconciliationData[[#This Row],[Order_Date]],"YYYY-MM")</f>
        <v>2023-06</v>
      </c>
    </row>
    <row r="2028" spans="1:29">
      <c r="A2028" t="s">
        <v>5227</v>
      </c>
      <c r="B2028" s="1">
        <v>45118</v>
      </c>
      <c r="C2028" t="s">
        <v>1469</v>
      </c>
      <c r="D2028" t="s">
        <v>825</v>
      </c>
      <c r="E2028">
        <v>101</v>
      </c>
      <c r="F2028" t="s">
        <v>5228</v>
      </c>
      <c r="G2028">
        <v>101</v>
      </c>
      <c r="H2028">
        <v>752.48910000000001</v>
      </c>
      <c r="N2028">
        <v>752.48910000000001</v>
      </c>
      <c r="O2028" s="1">
        <v>44953</v>
      </c>
      <c r="P2028">
        <f>IF(ISBLANK(ReconciliationData[[#This Row],[Invoice_ID]]),1,0)</f>
        <v>0</v>
      </c>
      <c r="Q2028">
        <f>IF(AND(NOT(ISBLANK(ReconciliationData[[#This Row],[Billed_Units]])),ReconciliationData[[#This Row],[ordered_units]]&lt;&gt;ReconciliationData[[#This Row],[Billed_Units]]),1,0)</f>
        <v>0</v>
      </c>
      <c r="R20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8">
        <f>IF(AND(NOT(ISBLANK(ReconciliationData[[#This Row],[Contract_Price]])),ReconciliationData[[#This Row],[Billed_Price]]&lt;&gt;ReconciliationData[[#This Row],[Contract_Price]]),1,0)</f>
        <v>0</v>
      </c>
      <c r="T2028">
        <f>IF(AND(NOT(ISBLANK(ReconciliationData[[#This Row],[End_Date]])),ReconciliationData[[#This Row],[Order_Date]]&gt;ReconciliationData[[#This Row],[End_Date]]),1,0)</f>
        <v>0</v>
      </c>
      <c r="U2028">
        <f>IF(AND(NOT(ISBLANK(ReconciliationData[[#This Row],[last_return_date]])),ReconciliationData[[#This Row],[last_return_date]]&gt;ReconciliationData[[#This Row],[Order_Date]]+60),1,0)</f>
        <v>0</v>
      </c>
      <c r="V2028">
        <f>IF(ReconciliationData[[#This Row],[total_returned_units]]&gt;ReconciliationData[[#This Row],[ordered_units]],1,0)</f>
        <v>0</v>
      </c>
      <c r="W20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8">
        <f>ReconciliationData[[#This Row],[Billed_Units]]*ReconciliationData[[#This Row],[Billed_Price]]</f>
        <v>76001.399099999995</v>
      </c>
      <c r="Y2028">
        <f>ReconciliationData[[#This Row],[ordered_units]]*ReconciliationData[[#This Row],[List_Price]]</f>
        <v>76001.399099999995</v>
      </c>
      <c r="Z2028">
        <f>ReconciliationData[[#This Row],[billed_revenue]]-ReconciliationData[[#This Row],[expected_revenue]]</f>
        <v>0</v>
      </c>
      <c r="AA20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8" t="str">
        <f>IF(ReconciliationData[[#This Row],[severity_score]]=0,"LOW",
 IF(ReconciliationData[[#This Row],[severity_score]]&lt;=5,"MEDIUM","HIGH"))</f>
        <v>LOW</v>
      </c>
      <c r="AC2028" t="str">
        <f>TEXT(ReconciliationData[[#This Row],[Order_Date]],"YYYY-MM")</f>
        <v>2023-07</v>
      </c>
    </row>
    <row r="2029" spans="1:29">
      <c r="A2029" t="s">
        <v>5229</v>
      </c>
      <c r="B2029" s="1">
        <v>45062</v>
      </c>
      <c r="C2029" t="s">
        <v>1651</v>
      </c>
      <c r="D2029" t="s">
        <v>667</v>
      </c>
      <c r="E2029">
        <v>196</v>
      </c>
      <c r="F2029" t="s">
        <v>5230</v>
      </c>
      <c r="G2029">
        <v>196</v>
      </c>
      <c r="H2029">
        <v>989.96579999999994</v>
      </c>
      <c r="N2029">
        <v>989.96579999999994</v>
      </c>
      <c r="O2029" s="1">
        <v>44975</v>
      </c>
      <c r="P2029">
        <f>IF(ISBLANK(ReconciliationData[[#This Row],[Invoice_ID]]),1,0)</f>
        <v>0</v>
      </c>
      <c r="Q2029">
        <f>IF(AND(NOT(ISBLANK(ReconciliationData[[#This Row],[Billed_Units]])),ReconciliationData[[#This Row],[ordered_units]]&lt;&gt;ReconciliationData[[#This Row],[Billed_Units]]),1,0)</f>
        <v>0</v>
      </c>
      <c r="R20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29">
        <f>IF(AND(NOT(ISBLANK(ReconciliationData[[#This Row],[Contract_Price]])),ReconciliationData[[#This Row],[Billed_Price]]&lt;&gt;ReconciliationData[[#This Row],[Contract_Price]]),1,0)</f>
        <v>0</v>
      </c>
      <c r="T2029">
        <f>IF(AND(NOT(ISBLANK(ReconciliationData[[#This Row],[End_Date]])),ReconciliationData[[#This Row],[Order_Date]]&gt;ReconciliationData[[#This Row],[End_Date]]),1,0)</f>
        <v>0</v>
      </c>
      <c r="U2029">
        <f>IF(AND(NOT(ISBLANK(ReconciliationData[[#This Row],[last_return_date]])),ReconciliationData[[#This Row],[last_return_date]]&gt;ReconciliationData[[#This Row],[Order_Date]]+60),1,0)</f>
        <v>0</v>
      </c>
      <c r="V2029">
        <f>IF(ReconciliationData[[#This Row],[total_returned_units]]&gt;ReconciliationData[[#This Row],[ordered_units]],1,0)</f>
        <v>0</v>
      </c>
      <c r="W20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29">
        <f>ReconciliationData[[#This Row],[Billed_Units]]*ReconciliationData[[#This Row],[Billed_Price]]</f>
        <v>194033.29679999998</v>
      </c>
      <c r="Y2029">
        <f>ReconciliationData[[#This Row],[ordered_units]]*ReconciliationData[[#This Row],[List_Price]]</f>
        <v>194033.29679999998</v>
      </c>
      <c r="Z2029">
        <f>ReconciliationData[[#This Row],[billed_revenue]]-ReconciliationData[[#This Row],[expected_revenue]]</f>
        <v>0</v>
      </c>
      <c r="AA20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29" t="str">
        <f>IF(ReconciliationData[[#This Row],[severity_score]]=0,"LOW",
 IF(ReconciliationData[[#This Row],[severity_score]]&lt;=5,"MEDIUM","HIGH"))</f>
        <v>LOW</v>
      </c>
      <c r="AC2029" t="str">
        <f>TEXT(ReconciliationData[[#This Row],[Order_Date]],"YYYY-MM")</f>
        <v>2023-05</v>
      </c>
    </row>
    <row r="2030" spans="1:29">
      <c r="A2030" t="s">
        <v>5231</v>
      </c>
      <c r="B2030" s="1">
        <v>45168</v>
      </c>
      <c r="C2030" t="s">
        <v>1498</v>
      </c>
      <c r="D2030" t="s">
        <v>821</v>
      </c>
      <c r="E2030">
        <v>28</v>
      </c>
      <c r="F2030" t="s">
        <v>5232</v>
      </c>
      <c r="G2030">
        <v>28</v>
      </c>
      <c r="H2030">
        <v>785.89</v>
      </c>
      <c r="N2030">
        <v>785.89</v>
      </c>
      <c r="O2030" s="1">
        <v>44989</v>
      </c>
      <c r="P2030">
        <f>IF(ISBLANK(ReconciliationData[[#This Row],[Invoice_ID]]),1,0)</f>
        <v>0</v>
      </c>
      <c r="Q2030">
        <f>IF(AND(NOT(ISBLANK(ReconciliationData[[#This Row],[Billed_Units]])),ReconciliationData[[#This Row],[ordered_units]]&lt;&gt;ReconciliationData[[#This Row],[Billed_Units]]),1,0)</f>
        <v>0</v>
      </c>
      <c r="R20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30">
        <f>IF(AND(NOT(ISBLANK(ReconciliationData[[#This Row],[Contract_Price]])),ReconciliationData[[#This Row],[Billed_Price]]&lt;&gt;ReconciliationData[[#This Row],[Contract_Price]]),1,0)</f>
        <v>0</v>
      </c>
      <c r="T2030">
        <f>IF(AND(NOT(ISBLANK(ReconciliationData[[#This Row],[End_Date]])),ReconciliationData[[#This Row],[Order_Date]]&gt;ReconciliationData[[#This Row],[End_Date]]),1,0)</f>
        <v>0</v>
      </c>
      <c r="U2030">
        <f>IF(AND(NOT(ISBLANK(ReconciliationData[[#This Row],[last_return_date]])),ReconciliationData[[#This Row],[last_return_date]]&gt;ReconciliationData[[#This Row],[Order_Date]]+60),1,0)</f>
        <v>0</v>
      </c>
      <c r="V2030">
        <f>IF(ReconciliationData[[#This Row],[total_returned_units]]&gt;ReconciliationData[[#This Row],[ordered_units]],1,0)</f>
        <v>0</v>
      </c>
      <c r="W20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30">
        <f>ReconciliationData[[#This Row],[Billed_Units]]*ReconciliationData[[#This Row],[Billed_Price]]</f>
        <v>22004.92</v>
      </c>
      <c r="Y2030">
        <f>ReconciliationData[[#This Row],[ordered_units]]*ReconciliationData[[#This Row],[List_Price]]</f>
        <v>22004.92</v>
      </c>
      <c r="Z2030">
        <f>ReconciliationData[[#This Row],[billed_revenue]]-ReconciliationData[[#This Row],[expected_revenue]]</f>
        <v>0</v>
      </c>
      <c r="AA20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30" t="str">
        <f>IF(ReconciliationData[[#This Row],[severity_score]]=0,"LOW",
 IF(ReconciliationData[[#This Row],[severity_score]]&lt;=5,"MEDIUM","HIGH"))</f>
        <v>LOW</v>
      </c>
      <c r="AC2030" t="str">
        <f>TEXT(ReconciliationData[[#This Row],[Order_Date]],"YYYY-MM")</f>
        <v>2023-08</v>
      </c>
    </row>
    <row r="2031" spans="1:29">
      <c r="A2031" t="s">
        <v>5233</v>
      </c>
      <c r="B2031" s="1">
        <v>45279</v>
      </c>
      <c r="C2031" t="s">
        <v>1699</v>
      </c>
      <c r="D2031" t="s">
        <v>1083</v>
      </c>
      <c r="E2031">
        <v>199</v>
      </c>
      <c r="F2031" t="s">
        <v>5234</v>
      </c>
      <c r="G2031">
        <v>199</v>
      </c>
      <c r="H2031">
        <v>479.40280000000007</v>
      </c>
      <c r="N2031">
        <v>479.40280000000007</v>
      </c>
      <c r="O2031" s="1">
        <v>44941</v>
      </c>
      <c r="P2031">
        <f>IF(ISBLANK(ReconciliationData[[#This Row],[Invoice_ID]]),1,0)</f>
        <v>0</v>
      </c>
      <c r="Q2031">
        <f>IF(AND(NOT(ISBLANK(ReconciliationData[[#This Row],[Billed_Units]])),ReconciliationData[[#This Row],[ordered_units]]&lt;&gt;ReconciliationData[[#This Row],[Billed_Units]]),1,0)</f>
        <v>0</v>
      </c>
      <c r="R20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31">
        <f>IF(AND(NOT(ISBLANK(ReconciliationData[[#This Row],[Contract_Price]])),ReconciliationData[[#This Row],[Billed_Price]]&lt;&gt;ReconciliationData[[#This Row],[Contract_Price]]),1,0)</f>
        <v>0</v>
      </c>
      <c r="T2031">
        <f>IF(AND(NOT(ISBLANK(ReconciliationData[[#This Row],[End_Date]])),ReconciliationData[[#This Row],[Order_Date]]&gt;ReconciliationData[[#This Row],[End_Date]]),1,0)</f>
        <v>0</v>
      </c>
      <c r="U2031">
        <f>IF(AND(NOT(ISBLANK(ReconciliationData[[#This Row],[last_return_date]])),ReconciliationData[[#This Row],[last_return_date]]&gt;ReconciliationData[[#This Row],[Order_Date]]+60),1,0)</f>
        <v>0</v>
      </c>
      <c r="V2031">
        <f>IF(ReconciliationData[[#This Row],[total_returned_units]]&gt;ReconciliationData[[#This Row],[ordered_units]],1,0)</f>
        <v>0</v>
      </c>
      <c r="W20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31">
        <f>ReconciliationData[[#This Row],[Billed_Units]]*ReconciliationData[[#This Row],[Billed_Price]]</f>
        <v>95401.157200000016</v>
      </c>
      <c r="Y2031">
        <f>ReconciliationData[[#This Row],[ordered_units]]*ReconciliationData[[#This Row],[List_Price]]</f>
        <v>95401.157200000016</v>
      </c>
      <c r="Z2031">
        <f>ReconciliationData[[#This Row],[billed_revenue]]-ReconciliationData[[#This Row],[expected_revenue]]</f>
        <v>0</v>
      </c>
      <c r="AA20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31" t="str">
        <f>IF(ReconciliationData[[#This Row],[severity_score]]=0,"LOW",
 IF(ReconciliationData[[#This Row],[severity_score]]&lt;=5,"MEDIUM","HIGH"))</f>
        <v>LOW</v>
      </c>
      <c r="AC2031" t="str">
        <f>TEXT(ReconciliationData[[#This Row],[Order_Date]],"YYYY-MM")</f>
        <v>2023-12</v>
      </c>
    </row>
    <row r="2032" spans="1:29">
      <c r="A2032" t="s">
        <v>5235</v>
      </c>
      <c r="B2032" s="1">
        <v>45098</v>
      </c>
      <c r="C2032" t="s">
        <v>710</v>
      </c>
      <c r="D2032" t="s">
        <v>768</v>
      </c>
      <c r="E2032">
        <v>85</v>
      </c>
      <c r="F2032" t="s">
        <v>5236</v>
      </c>
      <c r="G2032">
        <v>85</v>
      </c>
      <c r="H2032">
        <v>410.3820356625647</v>
      </c>
      <c r="N2032">
        <v>410.02</v>
      </c>
      <c r="O2032" s="1">
        <v>45017</v>
      </c>
      <c r="P2032">
        <f>IF(ISBLANK(ReconciliationData[[#This Row],[Invoice_ID]]),1,0)</f>
        <v>0</v>
      </c>
      <c r="Q2032">
        <f>IF(AND(NOT(ISBLANK(ReconciliationData[[#This Row],[Billed_Units]])),ReconciliationData[[#This Row],[ordered_units]]&lt;&gt;ReconciliationData[[#This Row],[Billed_Units]]),1,0)</f>
        <v>0</v>
      </c>
      <c r="R203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032">
        <f>IF(AND(NOT(ISBLANK(ReconciliationData[[#This Row],[Contract_Price]])),ReconciliationData[[#This Row],[Billed_Price]]&lt;&gt;ReconciliationData[[#This Row],[Contract_Price]]),1,0)</f>
        <v>0</v>
      </c>
      <c r="T2032">
        <f>IF(AND(NOT(ISBLANK(ReconciliationData[[#This Row],[End_Date]])),ReconciliationData[[#This Row],[Order_Date]]&gt;ReconciliationData[[#This Row],[End_Date]]),1,0)</f>
        <v>0</v>
      </c>
      <c r="U2032">
        <f>IF(AND(NOT(ISBLANK(ReconciliationData[[#This Row],[last_return_date]])),ReconciliationData[[#This Row],[last_return_date]]&gt;ReconciliationData[[#This Row],[Order_Date]]+60),1,0)</f>
        <v>0</v>
      </c>
      <c r="V2032">
        <f>IF(ReconciliationData[[#This Row],[total_returned_units]]&gt;ReconciliationData[[#This Row],[ordered_units]],1,0)</f>
        <v>0</v>
      </c>
      <c r="W20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32">
        <f>ReconciliationData[[#This Row],[Billed_Units]]*ReconciliationData[[#This Row],[Billed_Price]]</f>
        <v>34882.473031317997</v>
      </c>
      <c r="Y2032">
        <f>ReconciliationData[[#This Row],[ordered_units]]*ReconciliationData[[#This Row],[List_Price]]</f>
        <v>34851.699999999997</v>
      </c>
      <c r="Z2032">
        <f>ReconciliationData[[#This Row],[billed_revenue]]-ReconciliationData[[#This Row],[expected_revenue]]</f>
        <v>30.773031317999994</v>
      </c>
      <c r="AA20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032" t="str">
        <f>IF(ReconciliationData[[#This Row],[severity_score]]=0,"LOW",
 IF(ReconciliationData[[#This Row],[severity_score]]&lt;=5,"MEDIUM","HIGH"))</f>
        <v>MEDIUM</v>
      </c>
      <c r="AC2032" t="str">
        <f>TEXT(ReconciliationData[[#This Row],[Order_Date]],"YYYY-MM")</f>
        <v>2023-06</v>
      </c>
    </row>
    <row r="2033" spans="1:29">
      <c r="A2033" t="s">
        <v>5237</v>
      </c>
      <c r="B2033" s="1">
        <v>45434</v>
      </c>
      <c r="C2033" t="s">
        <v>4848</v>
      </c>
      <c r="D2033" t="s">
        <v>1571</v>
      </c>
      <c r="E2033">
        <v>182</v>
      </c>
      <c r="F2033" t="s">
        <v>5238</v>
      </c>
      <c r="G2033">
        <v>182</v>
      </c>
      <c r="H2033">
        <v>1226.9154000000001</v>
      </c>
      <c r="N2033">
        <v>1226.9154000000001</v>
      </c>
      <c r="O2033" s="1">
        <v>45032</v>
      </c>
      <c r="P2033">
        <f>IF(ISBLANK(ReconciliationData[[#This Row],[Invoice_ID]]),1,0)</f>
        <v>0</v>
      </c>
      <c r="Q2033">
        <f>IF(AND(NOT(ISBLANK(ReconciliationData[[#This Row],[Billed_Units]])),ReconciliationData[[#This Row],[ordered_units]]&lt;&gt;ReconciliationData[[#This Row],[Billed_Units]]),1,0)</f>
        <v>0</v>
      </c>
      <c r="R20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33">
        <f>IF(AND(NOT(ISBLANK(ReconciliationData[[#This Row],[Contract_Price]])),ReconciliationData[[#This Row],[Billed_Price]]&lt;&gt;ReconciliationData[[#This Row],[Contract_Price]]),1,0)</f>
        <v>0</v>
      </c>
      <c r="T2033">
        <f>IF(AND(NOT(ISBLANK(ReconciliationData[[#This Row],[End_Date]])),ReconciliationData[[#This Row],[Order_Date]]&gt;ReconciliationData[[#This Row],[End_Date]]),1,0)</f>
        <v>0</v>
      </c>
      <c r="U2033">
        <f>IF(AND(NOT(ISBLANK(ReconciliationData[[#This Row],[last_return_date]])),ReconciliationData[[#This Row],[last_return_date]]&gt;ReconciliationData[[#This Row],[Order_Date]]+60),1,0)</f>
        <v>0</v>
      </c>
      <c r="V2033">
        <f>IF(ReconciliationData[[#This Row],[total_returned_units]]&gt;ReconciliationData[[#This Row],[ordered_units]],1,0)</f>
        <v>0</v>
      </c>
      <c r="W20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33">
        <f>ReconciliationData[[#This Row],[Billed_Units]]*ReconciliationData[[#This Row],[Billed_Price]]</f>
        <v>223298.60280000002</v>
      </c>
      <c r="Y2033">
        <f>ReconciliationData[[#This Row],[ordered_units]]*ReconciliationData[[#This Row],[List_Price]]</f>
        <v>223298.60280000002</v>
      </c>
      <c r="Z2033">
        <f>ReconciliationData[[#This Row],[billed_revenue]]-ReconciliationData[[#This Row],[expected_revenue]]</f>
        <v>0</v>
      </c>
      <c r="AA20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33" t="str">
        <f>IF(ReconciliationData[[#This Row],[severity_score]]=0,"LOW",
 IF(ReconciliationData[[#This Row],[severity_score]]&lt;=5,"MEDIUM","HIGH"))</f>
        <v>LOW</v>
      </c>
      <c r="AC2033" t="str">
        <f>TEXT(ReconciliationData[[#This Row],[Order_Date]],"YYYY-MM")</f>
        <v>2024-05</v>
      </c>
    </row>
    <row r="2034" spans="1:29">
      <c r="A2034" t="s">
        <v>5239</v>
      </c>
      <c r="B2034" s="1">
        <v>45256</v>
      </c>
      <c r="C2034" t="s">
        <v>3436</v>
      </c>
      <c r="D2034" t="s">
        <v>1654</v>
      </c>
      <c r="E2034">
        <v>14</v>
      </c>
      <c r="F2034" t="s">
        <v>5240</v>
      </c>
      <c r="G2034">
        <v>14</v>
      </c>
      <c r="H2034">
        <v>1197.9306999999999</v>
      </c>
      <c r="N2034">
        <v>1197.9306999999999</v>
      </c>
      <c r="O2034" s="1">
        <v>45089</v>
      </c>
      <c r="P2034">
        <f>IF(ISBLANK(ReconciliationData[[#This Row],[Invoice_ID]]),1,0)</f>
        <v>0</v>
      </c>
      <c r="Q2034">
        <f>IF(AND(NOT(ISBLANK(ReconciliationData[[#This Row],[Billed_Units]])),ReconciliationData[[#This Row],[ordered_units]]&lt;&gt;ReconciliationData[[#This Row],[Billed_Units]]),1,0)</f>
        <v>0</v>
      </c>
      <c r="R20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34">
        <f>IF(AND(NOT(ISBLANK(ReconciliationData[[#This Row],[Contract_Price]])),ReconciliationData[[#This Row],[Billed_Price]]&lt;&gt;ReconciliationData[[#This Row],[Contract_Price]]),1,0)</f>
        <v>0</v>
      </c>
      <c r="T2034">
        <f>IF(AND(NOT(ISBLANK(ReconciliationData[[#This Row],[End_Date]])),ReconciliationData[[#This Row],[Order_Date]]&gt;ReconciliationData[[#This Row],[End_Date]]),1,0)</f>
        <v>0</v>
      </c>
      <c r="U2034">
        <f>IF(AND(NOT(ISBLANK(ReconciliationData[[#This Row],[last_return_date]])),ReconciliationData[[#This Row],[last_return_date]]&gt;ReconciliationData[[#This Row],[Order_Date]]+60),1,0)</f>
        <v>0</v>
      </c>
      <c r="V2034">
        <f>IF(ReconciliationData[[#This Row],[total_returned_units]]&gt;ReconciliationData[[#This Row],[ordered_units]],1,0)</f>
        <v>0</v>
      </c>
      <c r="W20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34">
        <f>ReconciliationData[[#This Row],[Billed_Units]]*ReconciliationData[[#This Row],[Billed_Price]]</f>
        <v>16771.029799999997</v>
      </c>
      <c r="Y2034">
        <f>ReconciliationData[[#This Row],[ordered_units]]*ReconciliationData[[#This Row],[List_Price]]</f>
        <v>16771.029799999997</v>
      </c>
      <c r="Z2034">
        <f>ReconciliationData[[#This Row],[billed_revenue]]-ReconciliationData[[#This Row],[expected_revenue]]</f>
        <v>0</v>
      </c>
      <c r="AA20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34" t="str">
        <f>IF(ReconciliationData[[#This Row],[severity_score]]=0,"LOW",
 IF(ReconciliationData[[#This Row],[severity_score]]&lt;=5,"MEDIUM","HIGH"))</f>
        <v>LOW</v>
      </c>
      <c r="AC2034" t="str">
        <f>TEXT(ReconciliationData[[#This Row],[Order_Date]],"YYYY-MM")</f>
        <v>2023-11</v>
      </c>
    </row>
    <row r="2035" spans="1:29">
      <c r="A2035" t="s">
        <v>5241</v>
      </c>
      <c r="B2035" s="1">
        <v>45121</v>
      </c>
      <c r="C2035" t="s">
        <v>2134</v>
      </c>
      <c r="D2035" t="s">
        <v>1305</v>
      </c>
      <c r="E2035">
        <v>190</v>
      </c>
      <c r="F2035" t="s">
        <v>5242</v>
      </c>
      <c r="G2035">
        <v>190</v>
      </c>
      <c r="H2035">
        <v>240.40479999999999</v>
      </c>
      <c r="N2035">
        <v>240.40479999999999</v>
      </c>
      <c r="O2035" s="1">
        <v>44854</v>
      </c>
      <c r="P2035">
        <f>IF(ISBLANK(ReconciliationData[[#This Row],[Invoice_ID]]),1,0)</f>
        <v>0</v>
      </c>
      <c r="Q2035">
        <f>IF(AND(NOT(ISBLANK(ReconciliationData[[#This Row],[Billed_Units]])),ReconciliationData[[#This Row],[ordered_units]]&lt;&gt;ReconciliationData[[#This Row],[Billed_Units]]),1,0)</f>
        <v>0</v>
      </c>
      <c r="R20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35">
        <f>IF(AND(NOT(ISBLANK(ReconciliationData[[#This Row],[Contract_Price]])),ReconciliationData[[#This Row],[Billed_Price]]&lt;&gt;ReconciliationData[[#This Row],[Contract_Price]]),1,0)</f>
        <v>0</v>
      </c>
      <c r="T2035">
        <f>IF(AND(NOT(ISBLANK(ReconciliationData[[#This Row],[End_Date]])),ReconciliationData[[#This Row],[Order_Date]]&gt;ReconciliationData[[#This Row],[End_Date]]),1,0)</f>
        <v>0</v>
      </c>
      <c r="U2035">
        <f>IF(AND(NOT(ISBLANK(ReconciliationData[[#This Row],[last_return_date]])),ReconciliationData[[#This Row],[last_return_date]]&gt;ReconciliationData[[#This Row],[Order_Date]]+60),1,0)</f>
        <v>0</v>
      </c>
      <c r="V2035">
        <f>IF(ReconciliationData[[#This Row],[total_returned_units]]&gt;ReconciliationData[[#This Row],[ordered_units]],1,0)</f>
        <v>0</v>
      </c>
      <c r="W20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35">
        <f>ReconciliationData[[#This Row],[Billed_Units]]*ReconciliationData[[#This Row],[Billed_Price]]</f>
        <v>45676.911999999997</v>
      </c>
      <c r="Y2035">
        <f>ReconciliationData[[#This Row],[ordered_units]]*ReconciliationData[[#This Row],[List_Price]]</f>
        <v>45676.911999999997</v>
      </c>
      <c r="Z2035">
        <f>ReconciliationData[[#This Row],[billed_revenue]]-ReconciliationData[[#This Row],[expected_revenue]]</f>
        <v>0</v>
      </c>
      <c r="AA20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35" t="str">
        <f>IF(ReconciliationData[[#This Row],[severity_score]]=0,"LOW",
 IF(ReconciliationData[[#This Row],[severity_score]]&lt;=5,"MEDIUM","HIGH"))</f>
        <v>LOW</v>
      </c>
      <c r="AC2035" t="str">
        <f>TEXT(ReconciliationData[[#This Row],[Order_Date]],"YYYY-MM")</f>
        <v>2023-07</v>
      </c>
    </row>
    <row r="2036" spans="1:29">
      <c r="A2036" t="s">
        <v>5243</v>
      </c>
      <c r="B2036" s="1">
        <v>45419</v>
      </c>
      <c r="C2036" t="s">
        <v>2608</v>
      </c>
      <c r="D2036" t="s">
        <v>150</v>
      </c>
      <c r="E2036">
        <v>152</v>
      </c>
      <c r="F2036" t="s">
        <v>5244</v>
      </c>
      <c r="G2036">
        <v>152</v>
      </c>
      <c r="H2036">
        <v>353.52719999999999</v>
      </c>
      <c r="I2036">
        <v>4</v>
      </c>
      <c r="J2036" s="1">
        <v>45430</v>
      </c>
      <c r="N2036">
        <v>353.52719999999999</v>
      </c>
      <c r="O2036" s="1">
        <v>45182</v>
      </c>
      <c r="P2036">
        <f>IF(ISBLANK(ReconciliationData[[#This Row],[Invoice_ID]]),1,0)</f>
        <v>0</v>
      </c>
      <c r="Q2036">
        <f>IF(AND(NOT(ISBLANK(ReconciliationData[[#This Row],[Billed_Units]])),ReconciliationData[[#This Row],[ordered_units]]&lt;&gt;ReconciliationData[[#This Row],[Billed_Units]]),1,0)</f>
        <v>0</v>
      </c>
      <c r="R20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36">
        <f>IF(AND(NOT(ISBLANK(ReconciliationData[[#This Row],[Contract_Price]])),ReconciliationData[[#This Row],[Billed_Price]]&lt;&gt;ReconciliationData[[#This Row],[Contract_Price]]),1,0)</f>
        <v>0</v>
      </c>
      <c r="T2036">
        <f>IF(AND(NOT(ISBLANK(ReconciliationData[[#This Row],[End_Date]])),ReconciliationData[[#This Row],[Order_Date]]&gt;ReconciliationData[[#This Row],[End_Date]]),1,0)</f>
        <v>0</v>
      </c>
      <c r="U2036">
        <f>IF(AND(NOT(ISBLANK(ReconciliationData[[#This Row],[last_return_date]])),ReconciliationData[[#This Row],[last_return_date]]&gt;ReconciliationData[[#This Row],[Order_Date]]+60),1,0)</f>
        <v>0</v>
      </c>
      <c r="V2036">
        <f>IF(ReconciliationData[[#This Row],[total_returned_units]]&gt;ReconciliationData[[#This Row],[ordered_units]],1,0)</f>
        <v>0</v>
      </c>
      <c r="W20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36">
        <f>ReconciliationData[[#This Row],[Billed_Units]]*ReconciliationData[[#This Row],[Billed_Price]]</f>
        <v>53736.134399999995</v>
      </c>
      <c r="Y2036">
        <f>ReconciliationData[[#This Row],[ordered_units]]*ReconciliationData[[#This Row],[List_Price]]</f>
        <v>53736.134399999995</v>
      </c>
      <c r="Z2036">
        <f>ReconciliationData[[#This Row],[billed_revenue]]-ReconciliationData[[#This Row],[expected_revenue]]</f>
        <v>0</v>
      </c>
      <c r="AA20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36" t="str">
        <f>IF(ReconciliationData[[#This Row],[severity_score]]=0,"LOW",
 IF(ReconciliationData[[#This Row],[severity_score]]&lt;=5,"MEDIUM","HIGH"))</f>
        <v>LOW</v>
      </c>
      <c r="AC2036" t="str">
        <f>TEXT(ReconciliationData[[#This Row],[Order_Date]],"YYYY-MM")</f>
        <v>2024-05</v>
      </c>
    </row>
    <row r="2037" spans="1:29">
      <c r="A2037" t="s">
        <v>5245</v>
      </c>
      <c r="B2037" s="1">
        <v>44929</v>
      </c>
      <c r="C2037" t="s">
        <v>613</v>
      </c>
      <c r="D2037" t="s">
        <v>789</v>
      </c>
      <c r="E2037">
        <v>39</v>
      </c>
      <c r="F2037" t="s">
        <v>5246</v>
      </c>
      <c r="G2037">
        <v>39</v>
      </c>
      <c r="H2037">
        <v>1142.8668</v>
      </c>
      <c r="N2037">
        <v>1142.8668</v>
      </c>
      <c r="O2037" s="1">
        <v>44805</v>
      </c>
      <c r="P2037">
        <f>IF(ISBLANK(ReconciliationData[[#This Row],[Invoice_ID]]),1,0)</f>
        <v>0</v>
      </c>
      <c r="Q2037">
        <f>IF(AND(NOT(ISBLANK(ReconciliationData[[#This Row],[Billed_Units]])),ReconciliationData[[#This Row],[ordered_units]]&lt;&gt;ReconciliationData[[#This Row],[Billed_Units]]),1,0)</f>
        <v>0</v>
      </c>
      <c r="R20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37">
        <f>IF(AND(NOT(ISBLANK(ReconciliationData[[#This Row],[Contract_Price]])),ReconciliationData[[#This Row],[Billed_Price]]&lt;&gt;ReconciliationData[[#This Row],[Contract_Price]]),1,0)</f>
        <v>0</v>
      </c>
      <c r="T2037">
        <f>IF(AND(NOT(ISBLANK(ReconciliationData[[#This Row],[End_Date]])),ReconciliationData[[#This Row],[Order_Date]]&gt;ReconciliationData[[#This Row],[End_Date]]),1,0)</f>
        <v>0</v>
      </c>
      <c r="U2037">
        <f>IF(AND(NOT(ISBLANK(ReconciliationData[[#This Row],[last_return_date]])),ReconciliationData[[#This Row],[last_return_date]]&gt;ReconciliationData[[#This Row],[Order_Date]]+60),1,0)</f>
        <v>0</v>
      </c>
      <c r="V2037">
        <f>IF(ReconciliationData[[#This Row],[total_returned_units]]&gt;ReconciliationData[[#This Row],[ordered_units]],1,0)</f>
        <v>0</v>
      </c>
      <c r="W20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37">
        <f>ReconciliationData[[#This Row],[Billed_Units]]*ReconciliationData[[#This Row],[Billed_Price]]</f>
        <v>44571.805200000003</v>
      </c>
      <c r="Y2037">
        <f>ReconciliationData[[#This Row],[ordered_units]]*ReconciliationData[[#This Row],[List_Price]]</f>
        <v>44571.805200000003</v>
      </c>
      <c r="Z2037">
        <f>ReconciliationData[[#This Row],[billed_revenue]]-ReconciliationData[[#This Row],[expected_revenue]]</f>
        <v>0</v>
      </c>
      <c r="AA20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37" t="str">
        <f>IF(ReconciliationData[[#This Row],[severity_score]]=0,"LOW",
 IF(ReconciliationData[[#This Row],[severity_score]]&lt;=5,"MEDIUM","HIGH"))</f>
        <v>LOW</v>
      </c>
      <c r="AC2037" t="str">
        <f>TEXT(ReconciliationData[[#This Row],[Order_Date]],"YYYY-MM")</f>
        <v>2023-01</v>
      </c>
    </row>
    <row r="2038" spans="1:29">
      <c r="A2038" t="s">
        <v>5247</v>
      </c>
      <c r="B2038" s="1">
        <v>45088</v>
      </c>
      <c r="C2038" t="s">
        <v>1117</v>
      </c>
      <c r="D2038" t="s">
        <v>1007</v>
      </c>
      <c r="E2038">
        <v>158</v>
      </c>
      <c r="F2038" t="s">
        <v>5248</v>
      </c>
      <c r="G2038">
        <v>158</v>
      </c>
      <c r="H2038">
        <v>121.13</v>
      </c>
      <c r="N2038">
        <v>121.13</v>
      </c>
      <c r="O2038" s="1">
        <v>44957</v>
      </c>
      <c r="P2038">
        <f>IF(ISBLANK(ReconciliationData[[#This Row],[Invoice_ID]]),1,0)</f>
        <v>0</v>
      </c>
      <c r="Q2038">
        <f>IF(AND(NOT(ISBLANK(ReconciliationData[[#This Row],[Billed_Units]])),ReconciliationData[[#This Row],[ordered_units]]&lt;&gt;ReconciliationData[[#This Row],[Billed_Units]]),1,0)</f>
        <v>0</v>
      </c>
      <c r="R20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38">
        <f>IF(AND(NOT(ISBLANK(ReconciliationData[[#This Row],[Contract_Price]])),ReconciliationData[[#This Row],[Billed_Price]]&lt;&gt;ReconciliationData[[#This Row],[Contract_Price]]),1,0)</f>
        <v>0</v>
      </c>
      <c r="T2038">
        <f>IF(AND(NOT(ISBLANK(ReconciliationData[[#This Row],[End_Date]])),ReconciliationData[[#This Row],[Order_Date]]&gt;ReconciliationData[[#This Row],[End_Date]]),1,0)</f>
        <v>0</v>
      </c>
      <c r="U2038">
        <f>IF(AND(NOT(ISBLANK(ReconciliationData[[#This Row],[last_return_date]])),ReconciliationData[[#This Row],[last_return_date]]&gt;ReconciliationData[[#This Row],[Order_Date]]+60),1,0)</f>
        <v>0</v>
      </c>
      <c r="V2038">
        <f>IF(ReconciliationData[[#This Row],[total_returned_units]]&gt;ReconciliationData[[#This Row],[ordered_units]],1,0)</f>
        <v>0</v>
      </c>
      <c r="W20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38">
        <f>ReconciliationData[[#This Row],[Billed_Units]]*ReconciliationData[[#This Row],[Billed_Price]]</f>
        <v>19138.54</v>
      </c>
      <c r="Y2038">
        <f>ReconciliationData[[#This Row],[ordered_units]]*ReconciliationData[[#This Row],[List_Price]]</f>
        <v>19138.54</v>
      </c>
      <c r="Z2038">
        <f>ReconciliationData[[#This Row],[billed_revenue]]-ReconciliationData[[#This Row],[expected_revenue]]</f>
        <v>0</v>
      </c>
      <c r="AA20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38" t="str">
        <f>IF(ReconciliationData[[#This Row],[severity_score]]=0,"LOW",
 IF(ReconciliationData[[#This Row],[severity_score]]&lt;=5,"MEDIUM","HIGH"))</f>
        <v>LOW</v>
      </c>
      <c r="AC2038" t="str">
        <f>TEXT(ReconciliationData[[#This Row],[Order_Date]],"YYYY-MM")</f>
        <v>2023-06</v>
      </c>
    </row>
    <row r="2039" spans="1:29">
      <c r="A2039" t="s">
        <v>5249</v>
      </c>
      <c r="B2039" s="1">
        <v>45612</v>
      </c>
      <c r="C2039" t="s">
        <v>5250</v>
      </c>
      <c r="D2039" t="s">
        <v>2421</v>
      </c>
      <c r="E2039">
        <v>65</v>
      </c>
      <c r="F2039" t="s">
        <v>5251</v>
      </c>
      <c r="G2039">
        <v>65</v>
      </c>
      <c r="H2039">
        <v>631.83420000000012</v>
      </c>
      <c r="N2039">
        <v>631.83420000000012</v>
      </c>
      <c r="O2039" s="1">
        <v>45172</v>
      </c>
      <c r="P2039">
        <f>IF(ISBLANK(ReconciliationData[[#This Row],[Invoice_ID]]),1,0)</f>
        <v>0</v>
      </c>
      <c r="Q2039">
        <f>IF(AND(NOT(ISBLANK(ReconciliationData[[#This Row],[Billed_Units]])),ReconciliationData[[#This Row],[ordered_units]]&lt;&gt;ReconciliationData[[#This Row],[Billed_Units]]),1,0)</f>
        <v>0</v>
      </c>
      <c r="R20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39">
        <f>IF(AND(NOT(ISBLANK(ReconciliationData[[#This Row],[Contract_Price]])),ReconciliationData[[#This Row],[Billed_Price]]&lt;&gt;ReconciliationData[[#This Row],[Contract_Price]]),1,0)</f>
        <v>0</v>
      </c>
      <c r="T2039">
        <f>IF(AND(NOT(ISBLANK(ReconciliationData[[#This Row],[End_Date]])),ReconciliationData[[#This Row],[Order_Date]]&gt;ReconciliationData[[#This Row],[End_Date]]),1,0)</f>
        <v>0</v>
      </c>
      <c r="U2039">
        <f>IF(AND(NOT(ISBLANK(ReconciliationData[[#This Row],[last_return_date]])),ReconciliationData[[#This Row],[last_return_date]]&gt;ReconciliationData[[#This Row],[Order_Date]]+60),1,0)</f>
        <v>0</v>
      </c>
      <c r="V2039">
        <f>IF(ReconciliationData[[#This Row],[total_returned_units]]&gt;ReconciliationData[[#This Row],[ordered_units]],1,0)</f>
        <v>0</v>
      </c>
      <c r="W20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39">
        <f>ReconciliationData[[#This Row],[Billed_Units]]*ReconciliationData[[#This Row],[Billed_Price]]</f>
        <v>41069.223000000005</v>
      </c>
      <c r="Y2039">
        <f>ReconciliationData[[#This Row],[ordered_units]]*ReconciliationData[[#This Row],[List_Price]]</f>
        <v>41069.223000000005</v>
      </c>
      <c r="Z2039">
        <f>ReconciliationData[[#This Row],[billed_revenue]]-ReconciliationData[[#This Row],[expected_revenue]]</f>
        <v>0</v>
      </c>
      <c r="AA20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39" t="str">
        <f>IF(ReconciliationData[[#This Row],[severity_score]]=0,"LOW",
 IF(ReconciliationData[[#This Row],[severity_score]]&lt;=5,"MEDIUM","HIGH"))</f>
        <v>LOW</v>
      </c>
      <c r="AC2039" t="str">
        <f>TEXT(ReconciliationData[[#This Row],[Order_Date]],"YYYY-MM")</f>
        <v>2024-11</v>
      </c>
    </row>
    <row r="2040" spans="1:29">
      <c r="A2040" t="s">
        <v>5252</v>
      </c>
      <c r="B2040" s="1">
        <v>45014</v>
      </c>
      <c r="C2040" t="s">
        <v>4265</v>
      </c>
      <c r="D2040" t="s">
        <v>1555</v>
      </c>
      <c r="E2040">
        <v>193</v>
      </c>
      <c r="F2040" t="s">
        <v>5253</v>
      </c>
      <c r="G2040">
        <v>193</v>
      </c>
      <c r="H2040">
        <v>874.92399999999998</v>
      </c>
      <c r="N2040">
        <v>874.92399999999998</v>
      </c>
      <c r="O2040" s="1">
        <v>44966</v>
      </c>
      <c r="P2040">
        <f>IF(ISBLANK(ReconciliationData[[#This Row],[Invoice_ID]]),1,0)</f>
        <v>0</v>
      </c>
      <c r="Q2040">
        <f>IF(AND(NOT(ISBLANK(ReconciliationData[[#This Row],[Billed_Units]])),ReconciliationData[[#This Row],[ordered_units]]&lt;&gt;ReconciliationData[[#This Row],[Billed_Units]]),1,0)</f>
        <v>0</v>
      </c>
      <c r="R20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0">
        <f>IF(AND(NOT(ISBLANK(ReconciliationData[[#This Row],[Contract_Price]])),ReconciliationData[[#This Row],[Billed_Price]]&lt;&gt;ReconciliationData[[#This Row],[Contract_Price]]),1,0)</f>
        <v>0</v>
      </c>
      <c r="T2040">
        <f>IF(AND(NOT(ISBLANK(ReconciliationData[[#This Row],[End_Date]])),ReconciliationData[[#This Row],[Order_Date]]&gt;ReconciliationData[[#This Row],[End_Date]]),1,0)</f>
        <v>0</v>
      </c>
      <c r="U2040">
        <f>IF(AND(NOT(ISBLANK(ReconciliationData[[#This Row],[last_return_date]])),ReconciliationData[[#This Row],[last_return_date]]&gt;ReconciliationData[[#This Row],[Order_Date]]+60),1,0)</f>
        <v>0</v>
      </c>
      <c r="V2040">
        <f>IF(ReconciliationData[[#This Row],[total_returned_units]]&gt;ReconciliationData[[#This Row],[ordered_units]],1,0)</f>
        <v>0</v>
      </c>
      <c r="W20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40">
        <f>ReconciliationData[[#This Row],[Billed_Units]]*ReconciliationData[[#This Row],[Billed_Price]]</f>
        <v>168860.33199999999</v>
      </c>
      <c r="Y2040">
        <f>ReconciliationData[[#This Row],[ordered_units]]*ReconciliationData[[#This Row],[List_Price]]</f>
        <v>168860.33199999999</v>
      </c>
      <c r="Z2040">
        <f>ReconciliationData[[#This Row],[billed_revenue]]-ReconciliationData[[#This Row],[expected_revenue]]</f>
        <v>0</v>
      </c>
      <c r="AA20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40" t="str">
        <f>IF(ReconciliationData[[#This Row],[severity_score]]=0,"LOW",
 IF(ReconciliationData[[#This Row],[severity_score]]&lt;=5,"MEDIUM","HIGH"))</f>
        <v>LOW</v>
      </c>
      <c r="AC2040" t="str">
        <f>TEXT(ReconciliationData[[#This Row],[Order_Date]],"YYYY-MM")</f>
        <v>2023-03</v>
      </c>
    </row>
    <row r="2041" spans="1:29">
      <c r="A2041" t="s">
        <v>5254</v>
      </c>
      <c r="B2041" s="1">
        <v>45440</v>
      </c>
      <c r="C2041" t="s">
        <v>1637</v>
      </c>
      <c r="D2041" t="s">
        <v>610</v>
      </c>
      <c r="E2041">
        <v>109</v>
      </c>
      <c r="F2041" t="s">
        <v>5255</v>
      </c>
      <c r="G2041">
        <v>109</v>
      </c>
      <c r="H2041">
        <v>457.65019999999998</v>
      </c>
      <c r="N2041">
        <v>457.65019999999998</v>
      </c>
      <c r="O2041" s="1">
        <v>44950</v>
      </c>
      <c r="P2041">
        <f>IF(ISBLANK(ReconciliationData[[#This Row],[Invoice_ID]]),1,0)</f>
        <v>0</v>
      </c>
      <c r="Q2041">
        <f>IF(AND(NOT(ISBLANK(ReconciliationData[[#This Row],[Billed_Units]])),ReconciliationData[[#This Row],[ordered_units]]&lt;&gt;ReconciliationData[[#This Row],[Billed_Units]]),1,0)</f>
        <v>0</v>
      </c>
      <c r="R20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1">
        <f>IF(AND(NOT(ISBLANK(ReconciliationData[[#This Row],[Contract_Price]])),ReconciliationData[[#This Row],[Billed_Price]]&lt;&gt;ReconciliationData[[#This Row],[Contract_Price]]),1,0)</f>
        <v>0</v>
      </c>
      <c r="T2041">
        <f>IF(AND(NOT(ISBLANK(ReconciliationData[[#This Row],[End_Date]])),ReconciliationData[[#This Row],[Order_Date]]&gt;ReconciliationData[[#This Row],[End_Date]]),1,0)</f>
        <v>0</v>
      </c>
      <c r="U2041">
        <f>IF(AND(NOT(ISBLANK(ReconciliationData[[#This Row],[last_return_date]])),ReconciliationData[[#This Row],[last_return_date]]&gt;ReconciliationData[[#This Row],[Order_Date]]+60),1,0)</f>
        <v>0</v>
      </c>
      <c r="V2041">
        <f>IF(ReconciliationData[[#This Row],[total_returned_units]]&gt;ReconciliationData[[#This Row],[ordered_units]],1,0)</f>
        <v>0</v>
      </c>
      <c r="W20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41">
        <f>ReconciliationData[[#This Row],[Billed_Units]]*ReconciliationData[[#This Row],[Billed_Price]]</f>
        <v>49883.871800000001</v>
      </c>
      <c r="Y2041">
        <f>ReconciliationData[[#This Row],[ordered_units]]*ReconciliationData[[#This Row],[List_Price]]</f>
        <v>49883.871800000001</v>
      </c>
      <c r="Z2041">
        <f>ReconciliationData[[#This Row],[billed_revenue]]-ReconciliationData[[#This Row],[expected_revenue]]</f>
        <v>0</v>
      </c>
      <c r="AA20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41" t="str">
        <f>IF(ReconciliationData[[#This Row],[severity_score]]=0,"LOW",
 IF(ReconciliationData[[#This Row],[severity_score]]&lt;=5,"MEDIUM","HIGH"))</f>
        <v>LOW</v>
      </c>
      <c r="AC2041" t="str">
        <f>TEXT(ReconciliationData[[#This Row],[Order_Date]],"YYYY-MM")</f>
        <v>2024-05</v>
      </c>
    </row>
    <row r="2042" spans="1:29">
      <c r="A2042" t="s">
        <v>5256</v>
      </c>
      <c r="B2042" s="1">
        <v>45244</v>
      </c>
      <c r="C2042" t="s">
        <v>3011</v>
      </c>
      <c r="D2042" t="s">
        <v>182</v>
      </c>
      <c r="E2042">
        <v>82</v>
      </c>
      <c r="F2042" t="s">
        <v>5257</v>
      </c>
      <c r="G2042">
        <v>82</v>
      </c>
      <c r="H2042">
        <v>689.58720000000005</v>
      </c>
      <c r="N2042">
        <v>689.58720000000005</v>
      </c>
      <c r="O2042" s="1">
        <v>45224</v>
      </c>
      <c r="P2042">
        <f>IF(ISBLANK(ReconciliationData[[#This Row],[Invoice_ID]]),1,0)</f>
        <v>0</v>
      </c>
      <c r="Q2042">
        <f>IF(AND(NOT(ISBLANK(ReconciliationData[[#This Row],[Billed_Units]])),ReconciliationData[[#This Row],[ordered_units]]&lt;&gt;ReconciliationData[[#This Row],[Billed_Units]]),1,0)</f>
        <v>0</v>
      </c>
      <c r="R20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2">
        <f>IF(AND(NOT(ISBLANK(ReconciliationData[[#This Row],[Contract_Price]])),ReconciliationData[[#This Row],[Billed_Price]]&lt;&gt;ReconciliationData[[#This Row],[Contract_Price]]),1,0)</f>
        <v>0</v>
      </c>
      <c r="T2042">
        <f>IF(AND(NOT(ISBLANK(ReconciliationData[[#This Row],[End_Date]])),ReconciliationData[[#This Row],[Order_Date]]&gt;ReconciliationData[[#This Row],[End_Date]]),1,0)</f>
        <v>0</v>
      </c>
      <c r="U2042">
        <f>IF(AND(NOT(ISBLANK(ReconciliationData[[#This Row],[last_return_date]])),ReconciliationData[[#This Row],[last_return_date]]&gt;ReconciliationData[[#This Row],[Order_Date]]+60),1,0)</f>
        <v>0</v>
      </c>
      <c r="V2042">
        <f>IF(ReconciliationData[[#This Row],[total_returned_units]]&gt;ReconciliationData[[#This Row],[ordered_units]],1,0)</f>
        <v>0</v>
      </c>
      <c r="W20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42">
        <f>ReconciliationData[[#This Row],[Billed_Units]]*ReconciliationData[[#This Row],[Billed_Price]]</f>
        <v>56546.150400000006</v>
      </c>
      <c r="Y2042">
        <f>ReconciliationData[[#This Row],[ordered_units]]*ReconciliationData[[#This Row],[List_Price]]</f>
        <v>56546.150400000006</v>
      </c>
      <c r="Z2042">
        <f>ReconciliationData[[#This Row],[billed_revenue]]-ReconciliationData[[#This Row],[expected_revenue]]</f>
        <v>0</v>
      </c>
      <c r="AA20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42" t="str">
        <f>IF(ReconciliationData[[#This Row],[severity_score]]=0,"LOW",
 IF(ReconciliationData[[#This Row],[severity_score]]&lt;=5,"MEDIUM","HIGH"))</f>
        <v>LOW</v>
      </c>
      <c r="AC2042" t="str">
        <f>TEXT(ReconciliationData[[#This Row],[Order_Date]],"YYYY-MM")</f>
        <v>2023-11</v>
      </c>
    </row>
    <row r="2043" spans="1:29">
      <c r="A2043" t="s">
        <v>5258</v>
      </c>
      <c r="B2043" s="1">
        <v>45008</v>
      </c>
      <c r="C2043" t="s">
        <v>197</v>
      </c>
      <c r="D2043" t="s">
        <v>2245</v>
      </c>
      <c r="E2043">
        <v>137</v>
      </c>
      <c r="F2043" t="s">
        <v>5259</v>
      </c>
      <c r="G2043">
        <v>137</v>
      </c>
      <c r="H2043">
        <v>382.81740000000002</v>
      </c>
      <c r="N2043">
        <v>382.81740000000002</v>
      </c>
      <c r="O2043" s="1">
        <v>44878</v>
      </c>
      <c r="P2043">
        <f>IF(ISBLANK(ReconciliationData[[#This Row],[Invoice_ID]]),1,0)</f>
        <v>0</v>
      </c>
      <c r="Q2043">
        <f>IF(AND(NOT(ISBLANK(ReconciliationData[[#This Row],[Billed_Units]])),ReconciliationData[[#This Row],[ordered_units]]&lt;&gt;ReconciliationData[[#This Row],[Billed_Units]]),1,0)</f>
        <v>0</v>
      </c>
      <c r="R20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3">
        <f>IF(AND(NOT(ISBLANK(ReconciliationData[[#This Row],[Contract_Price]])),ReconciliationData[[#This Row],[Billed_Price]]&lt;&gt;ReconciliationData[[#This Row],[Contract_Price]]),1,0)</f>
        <v>0</v>
      </c>
      <c r="T2043">
        <f>IF(AND(NOT(ISBLANK(ReconciliationData[[#This Row],[End_Date]])),ReconciliationData[[#This Row],[Order_Date]]&gt;ReconciliationData[[#This Row],[End_Date]]),1,0)</f>
        <v>0</v>
      </c>
      <c r="U2043">
        <f>IF(AND(NOT(ISBLANK(ReconciliationData[[#This Row],[last_return_date]])),ReconciliationData[[#This Row],[last_return_date]]&gt;ReconciliationData[[#This Row],[Order_Date]]+60),1,0)</f>
        <v>0</v>
      </c>
      <c r="V2043">
        <f>IF(ReconciliationData[[#This Row],[total_returned_units]]&gt;ReconciliationData[[#This Row],[ordered_units]],1,0)</f>
        <v>0</v>
      </c>
      <c r="W20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43">
        <f>ReconciliationData[[#This Row],[Billed_Units]]*ReconciliationData[[#This Row],[Billed_Price]]</f>
        <v>52445.983800000002</v>
      </c>
      <c r="Y2043">
        <f>ReconciliationData[[#This Row],[ordered_units]]*ReconciliationData[[#This Row],[List_Price]]</f>
        <v>52445.983800000002</v>
      </c>
      <c r="Z2043">
        <f>ReconciliationData[[#This Row],[billed_revenue]]-ReconciliationData[[#This Row],[expected_revenue]]</f>
        <v>0</v>
      </c>
      <c r="AA20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43" t="str">
        <f>IF(ReconciliationData[[#This Row],[severity_score]]=0,"LOW",
 IF(ReconciliationData[[#This Row],[severity_score]]&lt;=5,"MEDIUM","HIGH"))</f>
        <v>LOW</v>
      </c>
      <c r="AC2043" t="str">
        <f>TEXT(ReconciliationData[[#This Row],[Order_Date]],"YYYY-MM")</f>
        <v>2023-03</v>
      </c>
    </row>
    <row r="2044" spans="1:29">
      <c r="A2044" t="s">
        <v>5260</v>
      </c>
      <c r="B2044" s="1">
        <v>44928</v>
      </c>
      <c r="C2044" t="s">
        <v>1345</v>
      </c>
      <c r="D2044" t="s">
        <v>445</v>
      </c>
      <c r="E2044">
        <v>55</v>
      </c>
      <c r="F2044" t="s">
        <v>5261</v>
      </c>
      <c r="G2044">
        <v>55</v>
      </c>
      <c r="H2044">
        <v>746.56</v>
      </c>
      <c r="N2044">
        <v>746.56</v>
      </c>
      <c r="O2044" s="1">
        <v>44570</v>
      </c>
      <c r="P2044">
        <f>IF(ISBLANK(ReconciliationData[[#This Row],[Invoice_ID]]),1,0)</f>
        <v>0</v>
      </c>
      <c r="Q2044">
        <f>IF(AND(NOT(ISBLANK(ReconciliationData[[#This Row],[Billed_Units]])),ReconciliationData[[#This Row],[ordered_units]]&lt;&gt;ReconciliationData[[#This Row],[Billed_Units]]),1,0)</f>
        <v>0</v>
      </c>
      <c r="R20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4">
        <f>IF(AND(NOT(ISBLANK(ReconciliationData[[#This Row],[Contract_Price]])),ReconciliationData[[#This Row],[Billed_Price]]&lt;&gt;ReconciliationData[[#This Row],[Contract_Price]]),1,0)</f>
        <v>0</v>
      </c>
      <c r="T2044">
        <f>IF(AND(NOT(ISBLANK(ReconciliationData[[#This Row],[End_Date]])),ReconciliationData[[#This Row],[Order_Date]]&gt;ReconciliationData[[#This Row],[End_Date]]),1,0)</f>
        <v>0</v>
      </c>
      <c r="U2044">
        <f>IF(AND(NOT(ISBLANK(ReconciliationData[[#This Row],[last_return_date]])),ReconciliationData[[#This Row],[last_return_date]]&gt;ReconciliationData[[#This Row],[Order_Date]]+60),1,0)</f>
        <v>0</v>
      </c>
      <c r="V2044">
        <f>IF(ReconciliationData[[#This Row],[total_returned_units]]&gt;ReconciliationData[[#This Row],[ordered_units]],1,0)</f>
        <v>0</v>
      </c>
      <c r="W20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44">
        <f>ReconciliationData[[#This Row],[Billed_Units]]*ReconciliationData[[#This Row],[Billed_Price]]</f>
        <v>41060.799999999996</v>
      </c>
      <c r="Y2044">
        <f>ReconciliationData[[#This Row],[ordered_units]]*ReconciliationData[[#This Row],[List_Price]]</f>
        <v>41060.799999999996</v>
      </c>
      <c r="Z2044">
        <f>ReconciliationData[[#This Row],[billed_revenue]]-ReconciliationData[[#This Row],[expected_revenue]]</f>
        <v>0</v>
      </c>
      <c r="AA20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44" t="str">
        <f>IF(ReconciliationData[[#This Row],[severity_score]]=0,"LOW",
 IF(ReconciliationData[[#This Row],[severity_score]]&lt;=5,"MEDIUM","HIGH"))</f>
        <v>LOW</v>
      </c>
      <c r="AC2044" t="str">
        <f>TEXT(ReconciliationData[[#This Row],[Order_Date]],"YYYY-MM")</f>
        <v>2023-01</v>
      </c>
    </row>
    <row r="2045" spans="1:29">
      <c r="A2045" t="s">
        <v>5262</v>
      </c>
      <c r="B2045" s="1">
        <v>45491</v>
      </c>
      <c r="C2045" t="s">
        <v>5263</v>
      </c>
      <c r="D2045" t="s">
        <v>891</v>
      </c>
      <c r="E2045">
        <v>89</v>
      </c>
      <c r="F2045" t="s">
        <v>5264</v>
      </c>
      <c r="G2045">
        <v>92</v>
      </c>
      <c r="H2045">
        <v>680.30940000000021</v>
      </c>
      <c r="N2045">
        <v>680.30940000000021</v>
      </c>
      <c r="O2045" s="1">
        <v>44934</v>
      </c>
      <c r="P2045">
        <f>IF(ISBLANK(ReconciliationData[[#This Row],[Invoice_ID]]),1,0)</f>
        <v>0</v>
      </c>
      <c r="Q2045">
        <f>IF(AND(NOT(ISBLANK(ReconciliationData[[#This Row],[Billed_Units]])),ReconciliationData[[#This Row],[ordered_units]]&lt;&gt;ReconciliationData[[#This Row],[Billed_Units]]),1,0)</f>
        <v>1</v>
      </c>
      <c r="R20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5">
        <f>IF(AND(NOT(ISBLANK(ReconciliationData[[#This Row],[Contract_Price]])),ReconciliationData[[#This Row],[Billed_Price]]&lt;&gt;ReconciliationData[[#This Row],[Contract_Price]]),1,0)</f>
        <v>0</v>
      </c>
      <c r="T2045">
        <f>IF(AND(NOT(ISBLANK(ReconciliationData[[#This Row],[End_Date]])),ReconciliationData[[#This Row],[Order_Date]]&gt;ReconciliationData[[#This Row],[End_Date]]),1,0)</f>
        <v>0</v>
      </c>
      <c r="U2045">
        <f>IF(AND(NOT(ISBLANK(ReconciliationData[[#This Row],[last_return_date]])),ReconciliationData[[#This Row],[last_return_date]]&gt;ReconciliationData[[#This Row],[Order_Date]]+60),1,0)</f>
        <v>0</v>
      </c>
      <c r="V2045">
        <f>IF(ReconciliationData[[#This Row],[total_returned_units]]&gt;ReconciliationData[[#This Row],[ordered_units]],1,0)</f>
        <v>0</v>
      </c>
      <c r="W20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45">
        <f>ReconciliationData[[#This Row],[Billed_Units]]*ReconciliationData[[#This Row],[Billed_Price]]</f>
        <v>62588.464800000016</v>
      </c>
      <c r="Y2045">
        <f>ReconciliationData[[#This Row],[ordered_units]]*ReconciliationData[[#This Row],[List_Price]]</f>
        <v>60547.536600000021</v>
      </c>
      <c r="Z2045">
        <f>ReconciliationData[[#This Row],[billed_revenue]]-ReconciliationData[[#This Row],[expected_revenue]]</f>
        <v>2040.9281999999948</v>
      </c>
      <c r="AA20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045" t="str">
        <f>IF(ReconciliationData[[#This Row],[severity_score]]=0,"LOW",
 IF(ReconciliationData[[#This Row],[severity_score]]&lt;=5,"MEDIUM","HIGH"))</f>
        <v>HIGH</v>
      </c>
      <c r="AC2045" t="str">
        <f>TEXT(ReconciliationData[[#This Row],[Order_Date]],"YYYY-MM")</f>
        <v>2024-07</v>
      </c>
    </row>
    <row r="2046" spans="1:29">
      <c r="A2046" t="s">
        <v>5265</v>
      </c>
      <c r="B2046" s="1">
        <v>45093</v>
      </c>
      <c r="C2046" t="s">
        <v>415</v>
      </c>
      <c r="D2046" t="s">
        <v>867</v>
      </c>
      <c r="E2046">
        <v>195</v>
      </c>
      <c r="F2046" t="s">
        <v>5266</v>
      </c>
      <c r="G2046">
        <v>195</v>
      </c>
      <c r="H2046">
        <v>1146.7456000000002</v>
      </c>
      <c r="N2046">
        <v>1146.7456000000002</v>
      </c>
      <c r="O2046" s="1">
        <v>44884</v>
      </c>
      <c r="P2046">
        <f>IF(ISBLANK(ReconciliationData[[#This Row],[Invoice_ID]]),1,0)</f>
        <v>0</v>
      </c>
      <c r="Q2046">
        <f>IF(AND(NOT(ISBLANK(ReconciliationData[[#This Row],[Billed_Units]])),ReconciliationData[[#This Row],[ordered_units]]&lt;&gt;ReconciliationData[[#This Row],[Billed_Units]]),1,0)</f>
        <v>0</v>
      </c>
      <c r="R20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6">
        <f>IF(AND(NOT(ISBLANK(ReconciliationData[[#This Row],[Contract_Price]])),ReconciliationData[[#This Row],[Billed_Price]]&lt;&gt;ReconciliationData[[#This Row],[Contract_Price]]),1,0)</f>
        <v>0</v>
      </c>
      <c r="T2046">
        <f>IF(AND(NOT(ISBLANK(ReconciliationData[[#This Row],[End_Date]])),ReconciliationData[[#This Row],[Order_Date]]&gt;ReconciliationData[[#This Row],[End_Date]]),1,0)</f>
        <v>0</v>
      </c>
      <c r="U2046">
        <f>IF(AND(NOT(ISBLANK(ReconciliationData[[#This Row],[last_return_date]])),ReconciliationData[[#This Row],[last_return_date]]&gt;ReconciliationData[[#This Row],[Order_Date]]+60),1,0)</f>
        <v>0</v>
      </c>
      <c r="V2046">
        <f>IF(ReconciliationData[[#This Row],[total_returned_units]]&gt;ReconciliationData[[#This Row],[ordered_units]],1,0)</f>
        <v>0</v>
      </c>
      <c r="W20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46">
        <f>ReconciliationData[[#This Row],[Billed_Units]]*ReconciliationData[[#This Row],[Billed_Price]]</f>
        <v>223615.39200000005</v>
      </c>
      <c r="Y2046">
        <f>ReconciliationData[[#This Row],[ordered_units]]*ReconciliationData[[#This Row],[List_Price]]</f>
        <v>223615.39200000005</v>
      </c>
      <c r="Z2046">
        <f>ReconciliationData[[#This Row],[billed_revenue]]-ReconciliationData[[#This Row],[expected_revenue]]</f>
        <v>0</v>
      </c>
      <c r="AA20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46" t="str">
        <f>IF(ReconciliationData[[#This Row],[severity_score]]=0,"LOW",
 IF(ReconciliationData[[#This Row],[severity_score]]&lt;=5,"MEDIUM","HIGH"))</f>
        <v>LOW</v>
      </c>
      <c r="AC2046" t="str">
        <f>TEXT(ReconciliationData[[#This Row],[Order_Date]],"YYYY-MM")</f>
        <v>2023-06</v>
      </c>
    </row>
    <row r="2047" spans="1:29">
      <c r="A2047" t="s">
        <v>5267</v>
      </c>
      <c r="B2047" s="1">
        <v>45646</v>
      </c>
      <c r="C2047" t="s">
        <v>1123</v>
      </c>
      <c r="D2047" t="s">
        <v>2187</v>
      </c>
      <c r="E2047">
        <v>63</v>
      </c>
      <c r="F2047" t="s">
        <v>5268</v>
      </c>
      <c r="G2047">
        <v>63</v>
      </c>
      <c r="H2047">
        <v>223.6044</v>
      </c>
      <c r="N2047">
        <v>223.6044</v>
      </c>
      <c r="O2047" s="1">
        <v>45091</v>
      </c>
      <c r="P2047">
        <f>IF(ISBLANK(ReconciliationData[[#This Row],[Invoice_ID]]),1,0)</f>
        <v>0</v>
      </c>
      <c r="Q2047">
        <f>IF(AND(NOT(ISBLANK(ReconciliationData[[#This Row],[Billed_Units]])),ReconciliationData[[#This Row],[ordered_units]]&lt;&gt;ReconciliationData[[#This Row],[Billed_Units]]),1,0)</f>
        <v>0</v>
      </c>
      <c r="R20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7">
        <f>IF(AND(NOT(ISBLANK(ReconciliationData[[#This Row],[Contract_Price]])),ReconciliationData[[#This Row],[Billed_Price]]&lt;&gt;ReconciliationData[[#This Row],[Contract_Price]]),1,0)</f>
        <v>0</v>
      </c>
      <c r="T2047">
        <f>IF(AND(NOT(ISBLANK(ReconciliationData[[#This Row],[End_Date]])),ReconciliationData[[#This Row],[Order_Date]]&gt;ReconciliationData[[#This Row],[End_Date]]),1,0)</f>
        <v>0</v>
      </c>
      <c r="U2047">
        <f>IF(AND(NOT(ISBLANK(ReconciliationData[[#This Row],[last_return_date]])),ReconciliationData[[#This Row],[last_return_date]]&gt;ReconciliationData[[#This Row],[Order_Date]]+60),1,0)</f>
        <v>0</v>
      </c>
      <c r="V2047">
        <f>IF(ReconciliationData[[#This Row],[total_returned_units]]&gt;ReconciliationData[[#This Row],[ordered_units]],1,0)</f>
        <v>0</v>
      </c>
      <c r="W20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47">
        <f>ReconciliationData[[#This Row],[Billed_Units]]*ReconciliationData[[#This Row],[Billed_Price]]</f>
        <v>14087.0772</v>
      </c>
      <c r="Y2047">
        <f>ReconciliationData[[#This Row],[ordered_units]]*ReconciliationData[[#This Row],[List_Price]]</f>
        <v>14087.0772</v>
      </c>
      <c r="Z2047">
        <f>ReconciliationData[[#This Row],[billed_revenue]]-ReconciliationData[[#This Row],[expected_revenue]]</f>
        <v>0</v>
      </c>
      <c r="AA20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47" t="str">
        <f>IF(ReconciliationData[[#This Row],[severity_score]]=0,"LOW",
 IF(ReconciliationData[[#This Row],[severity_score]]&lt;=5,"MEDIUM","HIGH"))</f>
        <v>LOW</v>
      </c>
      <c r="AC2047" t="str">
        <f>TEXT(ReconciliationData[[#This Row],[Order_Date]],"YYYY-MM")</f>
        <v>2024-12</v>
      </c>
    </row>
    <row r="2048" spans="1:29">
      <c r="A2048" t="s">
        <v>5269</v>
      </c>
      <c r="B2048" s="1">
        <v>45268</v>
      </c>
      <c r="C2048" t="s">
        <v>4699</v>
      </c>
      <c r="D2048" t="s">
        <v>667</v>
      </c>
      <c r="E2048">
        <v>11</v>
      </c>
      <c r="F2048" t="s">
        <v>5270</v>
      </c>
      <c r="G2048">
        <v>11</v>
      </c>
      <c r="H2048">
        <v>989.96579999999994</v>
      </c>
      <c r="N2048">
        <v>989.96579999999994</v>
      </c>
      <c r="O2048" s="1">
        <v>44975</v>
      </c>
      <c r="P2048">
        <f>IF(ISBLANK(ReconciliationData[[#This Row],[Invoice_ID]]),1,0)</f>
        <v>0</v>
      </c>
      <c r="Q2048">
        <f>IF(AND(NOT(ISBLANK(ReconciliationData[[#This Row],[Billed_Units]])),ReconciliationData[[#This Row],[ordered_units]]&lt;&gt;ReconciliationData[[#This Row],[Billed_Units]]),1,0)</f>
        <v>0</v>
      </c>
      <c r="R20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8">
        <f>IF(AND(NOT(ISBLANK(ReconciliationData[[#This Row],[Contract_Price]])),ReconciliationData[[#This Row],[Billed_Price]]&lt;&gt;ReconciliationData[[#This Row],[Contract_Price]]),1,0)</f>
        <v>0</v>
      </c>
      <c r="T2048">
        <f>IF(AND(NOT(ISBLANK(ReconciliationData[[#This Row],[End_Date]])),ReconciliationData[[#This Row],[Order_Date]]&gt;ReconciliationData[[#This Row],[End_Date]]),1,0)</f>
        <v>0</v>
      </c>
      <c r="U2048">
        <f>IF(AND(NOT(ISBLANK(ReconciliationData[[#This Row],[last_return_date]])),ReconciliationData[[#This Row],[last_return_date]]&gt;ReconciliationData[[#This Row],[Order_Date]]+60),1,0)</f>
        <v>0</v>
      </c>
      <c r="V2048">
        <f>IF(ReconciliationData[[#This Row],[total_returned_units]]&gt;ReconciliationData[[#This Row],[ordered_units]],1,0)</f>
        <v>0</v>
      </c>
      <c r="W20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48">
        <f>ReconciliationData[[#This Row],[Billed_Units]]*ReconciliationData[[#This Row],[Billed_Price]]</f>
        <v>10889.623799999999</v>
      </c>
      <c r="Y2048">
        <f>ReconciliationData[[#This Row],[ordered_units]]*ReconciliationData[[#This Row],[List_Price]]</f>
        <v>10889.623799999999</v>
      </c>
      <c r="Z2048">
        <f>ReconciliationData[[#This Row],[billed_revenue]]-ReconciliationData[[#This Row],[expected_revenue]]</f>
        <v>0</v>
      </c>
      <c r="AA20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48" t="str">
        <f>IF(ReconciliationData[[#This Row],[severity_score]]=0,"LOW",
 IF(ReconciliationData[[#This Row],[severity_score]]&lt;=5,"MEDIUM","HIGH"))</f>
        <v>LOW</v>
      </c>
      <c r="AC2048" t="str">
        <f>TEXT(ReconciliationData[[#This Row],[Order_Date]],"YYYY-MM")</f>
        <v>2023-12</v>
      </c>
    </row>
    <row r="2049" spans="1:29">
      <c r="A2049" t="s">
        <v>5271</v>
      </c>
      <c r="B2049" s="1">
        <v>45447</v>
      </c>
      <c r="C2049" t="s">
        <v>725</v>
      </c>
      <c r="D2049" t="s">
        <v>951</v>
      </c>
      <c r="E2049">
        <v>11</v>
      </c>
      <c r="F2049" t="s">
        <v>5272</v>
      </c>
      <c r="G2049">
        <v>11</v>
      </c>
      <c r="H2049">
        <v>571.32999999999993</v>
      </c>
      <c r="N2049">
        <v>571.32999999999993</v>
      </c>
      <c r="O2049" s="1">
        <v>45206</v>
      </c>
      <c r="P2049">
        <f>IF(ISBLANK(ReconciliationData[[#This Row],[Invoice_ID]]),1,0)</f>
        <v>0</v>
      </c>
      <c r="Q2049">
        <f>IF(AND(NOT(ISBLANK(ReconciliationData[[#This Row],[Billed_Units]])),ReconciliationData[[#This Row],[ordered_units]]&lt;&gt;ReconciliationData[[#This Row],[Billed_Units]]),1,0)</f>
        <v>0</v>
      </c>
      <c r="R20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49">
        <f>IF(AND(NOT(ISBLANK(ReconciliationData[[#This Row],[Contract_Price]])),ReconciliationData[[#This Row],[Billed_Price]]&lt;&gt;ReconciliationData[[#This Row],[Contract_Price]]),1,0)</f>
        <v>0</v>
      </c>
      <c r="T2049">
        <f>IF(AND(NOT(ISBLANK(ReconciliationData[[#This Row],[End_Date]])),ReconciliationData[[#This Row],[Order_Date]]&gt;ReconciliationData[[#This Row],[End_Date]]),1,0)</f>
        <v>0</v>
      </c>
      <c r="U2049">
        <f>IF(AND(NOT(ISBLANK(ReconciliationData[[#This Row],[last_return_date]])),ReconciliationData[[#This Row],[last_return_date]]&gt;ReconciliationData[[#This Row],[Order_Date]]+60),1,0)</f>
        <v>0</v>
      </c>
      <c r="V2049">
        <f>IF(ReconciliationData[[#This Row],[total_returned_units]]&gt;ReconciliationData[[#This Row],[ordered_units]],1,0)</f>
        <v>0</v>
      </c>
      <c r="W20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49">
        <f>ReconciliationData[[#This Row],[Billed_Units]]*ReconciliationData[[#This Row],[Billed_Price]]</f>
        <v>6284.6299999999992</v>
      </c>
      <c r="Y2049">
        <f>ReconciliationData[[#This Row],[ordered_units]]*ReconciliationData[[#This Row],[List_Price]]</f>
        <v>6284.6299999999992</v>
      </c>
      <c r="Z2049">
        <f>ReconciliationData[[#This Row],[billed_revenue]]-ReconciliationData[[#This Row],[expected_revenue]]</f>
        <v>0</v>
      </c>
      <c r="AA20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49" t="str">
        <f>IF(ReconciliationData[[#This Row],[severity_score]]=0,"LOW",
 IF(ReconciliationData[[#This Row],[severity_score]]&lt;=5,"MEDIUM","HIGH"))</f>
        <v>LOW</v>
      </c>
      <c r="AC2049" t="str">
        <f>TEXT(ReconciliationData[[#This Row],[Order_Date]],"YYYY-MM")</f>
        <v>2024-06</v>
      </c>
    </row>
    <row r="2050" spans="1:29">
      <c r="A2050" t="s">
        <v>5273</v>
      </c>
      <c r="B2050" s="1">
        <v>45558</v>
      </c>
      <c r="C2050" t="s">
        <v>1875</v>
      </c>
      <c r="D2050" t="s">
        <v>223</v>
      </c>
      <c r="E2050">
        <v>195</v>
      </c>
      <c r="F2050" t="s">
        <v>5274</v>
      </c>
      <c r="G2050">
        <v>195</v>
      </c>
      <c r="H2050">
        <v>561.4076</v>
      </c>
      <c r="N2050">
        <v>561.4076</v>
      </c>
      <c r="O2050" s="1">
        <v>45006</v>
      </c>
      <c r="P2050">
        <f>IF(ISBLANK(ReconciliationData[[#This Row],[Invoice_ID]]),1,0)</f>
        <v>0</v>
      </c>
      <c r="Q2050">
        <f>IF(AND(NOT(ISBLANK(ReconciliationData[[#This Row],[Billed_Units]])),ReconciliationData[[#This Row],[ordered_units]]&lt;&gt;ReconciliationData[[#This Row],[Billed_Units]]),1,0)</f>
        <v>0</v>
      </c>
      <c r="R20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0">
        <f>IF(AND(NOT(ISBLANK(ReconciliationData[[#This Row],[Contract_Price]])),ReconciliationData[[#This Row],[Billed_Price]]&lt;&gt;ReconciliationData[[#This Row],[Contract_Price]]),1,0)</f>
        <v>0</v>
      </c>
      <c r="T2050">
        <f>IF(AND(NOT(ISBLANK(ReconciliationData[[#This Row],[End_Date]])),ReconciliationData[[#This Row],[Order_Date]]&gt;ReconciliationData[[#This Row],[End_Date]]),1,0)</f>
        <v>0</v>
      </c>
      <c r="U2050">
        <f>IF(AND(NOT(ISBLANK(ReconciliationData[[#This Row],[last_return_date]])),ReconciliationData[[#This Row],[last_return_date]]&gt;ReconciliationData[[#This Row],[Order_Date]]+60),1,0)</f>
        <v>0</v>
      </c>
      <c r="V2050">
        <f>IF(ReconciliationData[[#This Row],[total_returned_units]]&gt;ReconciliationData[[#This Row],[ordered_units]],1,0)</f>
        <v>0</v>
      </c>
      <c r="W20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50">
        <f>ReconciliationData[[#This Row],[Billed_Units]]*ReconciliationData[[#This Row],[Billed_Price]]</f>
        <v>109474.482</v>
      </c>
      <c r="Y2050">
        <f>ReconciliationData[[#This Row],[ordered_units]]*ReconciliationData[[#This Row],[List_Price]]</f>
        <v>109474.482</v>
      </c>
      <c r="Z2050">
        <f>ReconciliationData[[#This Row],[billed_revenue]]-ReconciliationData[[#This Row],[expected_revenue]]</f>
        <v>0</v>
      </c>
      <c r="AA20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50" t="str">
        <f>IF(ReconciliationData[[#This Row],[severity_score]]=0,"LOW",
 IF(ReconciliationData[[#This Row],[severity_score]]&lt;=5,"MEDIUM","HIGH"))</f>
        <v>LOW</v>
      </c>
      <c r="AC2050" t="str">
        <f>TEXT(ReconciliationData[[#This Row],[Order_Date]],"YYYY-MM")</f>
        <v>2024-09</v>
      </c>
    </row>
    <row r="2051" spans="1:29">
      <c r="A2051" t="s">
        <v>5275</v>
      </c>
      <c r="B2051" s="1">
        <v>45024</v>
      </c>
      <c r="C2051" t="s">
        <v>4053</v>
      </c>
      <c r="D2051" t="s">
        <v>651</v>
      </c>
      <c r="E2051">
        <v>162</v>
      </c>
      <c r="F2051" t="s">
        <v>5276</v>
      </c>
      <c r="G2051">
        <v>157</v>
      </c>
      <c r="H2051">
        <v>199.8895</v>
      </c>
      <c r="N2051">
        <v>199.8895</v>
      </c>
      <c r="O2051" s="1">
        <v>44807</v>
      </c>
      <c r="P2051">
        <f>IF(ISBLANK(ReconciliationData[[#This Row],[Invoice_ID]]),1,0)</f>
        <v>0</v>
      </c>
      <c r="Q2051">
        <f>IF(AND(NOT(ISBLANK(ReconciliationData[[#This Row],[Billed_Units]])),ReconciliationData[[#This Row],[ordered_units]]&lt;&gt;ReconciliationData[[#This Row],[Billed_Units]]),1,0)</f>
        <v>1</v>
      </c>
      <c r="R20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1">
        <f>IF(AND(NOT(ISBLANK(ReconciliationData[[#This Row],[Contract_Price]])),ReconciliationData[[#This Row],[Billed_Price]]&lt;&gt;ReconciliationData[[#This Row],[Contract_Price]]),1,0)</f>
        <v>0</v>
      </c>
      <c r="T2051">
        <f>IF(AND(NOT(ISBLANK(ReconciliationData[[#This Row],[End_Date]])),ReconciliationData[[#This Row],[Order_Date]]&gt;ReconciliationData[[#This Row],[End_Date]]),1,0)</f>
        <v>0</v>
      </c>
      <c r="U2051">
        <f>IF(AND(NOT(ISBLANK(ReconciliationData[[#This Row],[last_return_date]])),ReconciliationData[[#This Row],[last_return_date]]&gt;ReconciliationData[[#This Row],[Order_Date]]+60),1,0)</f>
        <v>0</v>
      </c>
      <c r="V2051">
        <f>IF(ReconciliationData[[#This Row],[total_returned_units]]&gt;ReconciliationData[[#This Row],[ordered_units]],1,0)</f>
        <v>0</v>
      </c>
      <c r="W20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51">
        <f>ReconciliationData[[#This Row],[Billed_Units]]*ReconciliationData[[#This Row],[Billed_Price]]</f>
        <v>31382.6515</v>
      </c>
      <c r="Y2051">
        <f>ReconciliationData[[#This Row],[ordered_units]]*ReconciliationData[[#This Row],[List_Price]]</f>
        <v>32382.098999999998</v>
      </c>
      <c r="Z2051">
        <f>ReconciliationData[[#This Row],[billed_revenue]]-ReconciliationData[[#This Row],[expected_revenue]]</f>
        <v>-999.4474999999984</v>
      </c>
      <c r="AA20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051" t="str">
        <f>IF(ReconciliationData[[#This Row],[severity_score]]=0,"LOW",
 IF(ReconciliationData[[#This Row],[severity_score]]&lt;=5,"MEDIUM","HIGH"))</f>
        <v>HIGH</v>
      </c>
      <c r="AC2051" t="str">
        <f>TEXT(ReconciliationData[[#This Row],[Order_Date]],"YYYY-MM")</f>
        <v>2023-04</v>
      </c>
    </row>
    <row r="2052" spans="1:29">
      <c r="A2052" t="s">
        <v>5277</v>
      </c>
      <c r="B2052" s="1">
        <v>45233</v>
      </c>
      <c r="C2052" t="s">
        <v>1223</v>
      </c>
      <c r="D2052" t="s">
        <v>178</v>
      </c>
      <c r="E2052">
        <v>139</v>
      </c>
      <c r="F2052" t="s">
        <v>5278</v>
      </c>
      <c r="G2052">
        <v>139</v>
      </c>
      <c r="H2052">
        <v>687.65840000000003</v>
      </c>
      <c r="N2052">
        <v>687.65840000000003</v>
      </c>
      <c r="O2052" s="1">
        <v>45139</v>
      </c>
      <c r="P2052">
        <f>IF(ISBLANK(ReconciliationData[[#This Row],[Invoice_ID]]),1,0)</f>
        <v>0</v>
      </c>
      <c r="Q2052">
        <f>IF(AND(NOT(ISBLANK(ReconciliationData[[#This Row],[Billed_Units]])),ReconciliationData[[#This Row],[ordered_units]]&lt;&gt;ReconciliationData[[#This Row],[Billed_Units]]),1,0)</f>
        <v>0</v>
      </c>
      <c r="R20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2">
        <f>IF(AND(NOT(ISBLANK(ReconciliationData[[#This Row],[Contract_Price]])),ReconciliationData[[#This Row],[Billed_Price]]&lt;&gt;ReconciliationData[[#This Row],[Contract_Price]]),1,0)</f>
        <v>0</v>
      </c>
      <c r="T2052">
        <f>IF(AND(NOT(ISBLANK(ReconciliationData[[#This Row],[End_Date]])),ReconciliationData[[#This Row],[Order_Date]]&gt;ReconciliationData[[#This Row],[End_Date]]),1,0)</f>
        <v>0</v>
      </c>
      <c r="U2052">
        <f>IF(AND(NOT(ISBLANK(ReconciliationData[[#This Row],[last_return_date]])),ReconciliationData[[#This Row],[last_return_date]]&gt;ReconciliationData[[#This Row],[Order_Date]]+60),1,0)</f>
        <v>0</v>
      </c>
      <c r="V2052">
        <f>IF(ReconciliationData[[#This Row],[total_returned_units]]&gt;ReconciliationData[[#This Row],[ordered_units]],1,0)</f>
        <v>0</v>
      </c>
      <c r="W20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52">
        <f>ReconciliationData[[#This Row],[Billed_Units]]*ReconciliationData[[#This Row],[Billed_Price]]</f>
        <v>95584.517600000006</v>
      </c>
      <c r="Y2052">
        <f>ReconciliationData[[#This Row],[ordered_units]]*ReconciliationData[[#This Row],[List_Price]]</f>
        <v>95584.517600000006</v>
      </c>
      <c r="Z2052">
        <f>ReconciliationData[[#This Row],[billed_revenue]]-ReconciliationData[[#This Row],[expected_revenue]]</f>
        <v>0</v>
      </c>
      <c r="AA20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52" t="str">
        <f>IF(ReconciliationData[[#This Row],[severity_score]]=0,"LOW",
 IF(ReconciliationData[[#This Row],[severity_score]]&lt;=5,"MEDIUM","HIGH"))</f>
        <v>LOW</v>
      </c>
      <c r="AC2052" t="str">
        <f>TEXT(ReconciliationData[[#This Row],[Order_Date]],"YYYY-MM")</f>
        <v>2023-11</v>
      </c>
    </row>
    <row r="2053" spans="1:29">
      <c r="A2053" t="s">
        <v>5279</v>
      </c>
      <c r="B2053" s="1">
        <v>45338</v>
      </c>
      <c r="C2053" t="s">
        <v>746</v>
      </c>
      <c r="D2053" t="s">
        <v>2353</v>
      </c>
      <c r="E2053">
        <v>118</v>
      </c>
      <c r="F2053" t="s">
        <v>5280</v>
      </c>
      <c r="G2053">
        <v>118</v>
      </c>
      <c r="H2053">
        <v>358.33919999999995</v>
      </c>
      <c r="I2053">
        <v>11</v>
      </c>
      <c r="J2053" s="1">
        <v>45578</v>
      </c>
      <c r="N2053">
        <v>358.33919999999995</v>
      </c>
      <c r="O2053" s="1">
        <v>45108</v>
      </c>
      <c r="P2053">
        <f>IF(ISBLANK(ReconciliationData[[#This Row],[Invoice_ID]]),1,0)</f>
        <v>0</v>
      </c>
      <c r="Q2053">
        <f>IF(AND(NOT(ISBLANK(ReconciliationData[[#This Row],[Billed_Units]])),ReconciliationData[[#This Row],[ordered_units]]&lt;&gt;ReconciliationData[[#This Row],[Billed_Units]]),1,0)</f>
        <v>0</v>
      </c>
      <c r="R20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3">
        <f>IF(AND(NOT(ISBLANK(ReconciliationData[[#This Row],[Contract_Price]])),ReconciliationData[[#This Row],[Billed_Price]]&lt;&gt;ReconciliationData[[#This Row],[Contract_Price]]),1,0)</f>
        <v>0</v>
      </c>
      <c r="T2053">
        <f>IF(AND(NOT(ISBLANK(ReconciliationData[[#This Row],[End_Date]])),ReconciliationData[[#This Row],[Order_Date]]&gt;ReconciliationData[[#This Row],[End_Date]]),1,0)</f>
        <v>0</v>
      </c>
      <c r="U2053">
        <f>IF(AND(NOT(ISBLANK(ReconciliationData[[#This Row],[last_return_date]])),ReconciliationData[[#This Row],[last_return_date]]&gt;ReconciliationData[[#This Row],[Order_Date]]+60),1,0)</f>
        <v>1</v>
      </c>
      <c r="V2053">
        <f>IF(ReconciliationData[[#This Row],[total_returned_units]]&gt;ReconciliationData[[#This Row],[ordered_units]],1,0)</f>
        <v>0</v>
      </c>
      <c r="W20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53">
        <f>ReconciliationData[[#This Row],[Billed_Units]]*ReconciliationData[[#This Row],[Billed_Price]]</f>
        <v>42284.025599999994</v>
      </c>
      <c r="Y2053">
        <f>ReconciliationData[[#This Row],[ordered_units]]*ReconciliationData[[#This Row],[List_Price]]</f>
        <v>42284.025599999994</v>
      </c>
      <c r="Z2053">
        <f>ReconciliationData[[#This Row],[billed_revenue]]-ReconciliationData[[#This Row],[expected_revenue]]</f>
        <v>0</v>
      </c>
      <c r="AA20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053" t="str">
        <f>IF(ReconciliationData[[#This Row],[severity_score]]=0,"LOW",
 IF(ReconciliationData[[#This Row],[severity_score]]&lt;=5,"MEDIUM","HIGH"))</f>
        <v>MEDIUM</v>
      </c>
      <c r="AC2053" t="str">
        <f>TEXT(ReconciliationData[[#This Row],[Order_Date]],"YYYY-MM")</f>
        <v>2024-02</v>
      </c>
    </row>
    <row r="2054" spans="1:29">
      <c r="A2054" t="s">
        <v>5281</v>
      </c>
      <c r="B2054" s="1">
        <v>45412</v>
      </c>
      <c r="C2054" t="s">
        <v>1301</v>
      </c>
      <c r="D2054" t="s">
        <v>1235</v>
      </c>
      <c r="E2054">
        <v>38</v>
      </c>
      <c r="F2054" t="s">
        <v>5282</v>
      </c>
      <c r="G2054">
        <v>33</v>
      </c>
      <c r="H2054">
        <v>892.55520000000013</v>
      </c>
      <c r="N2054">
        <v>892.55520000000013</v>
      </c>
      <c r="O2054" s="1">
        <v>44985</v>
      </c>
      <c r="P2054">
        <f>IF(ISBLANK(ReconciliationData[[#This Row],[Invoice_ID]]),1,0)</f>
        <v>0</v>
      </c>
      <c r="Q2054">
        <f>IF(AND(NOT(ISBLANK(ReconciliationData[[#This Row],[Billed_Units]])),ReconciliationData[[#This Row],[ordered_units]]&lt;&gt;ReconciliationData[[#This Row],[Billed_Units]]),1,0)</f>
        <v>1</v>
      </c>
      <c r="R20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4">
        <f>IF(AND(NOT(ISBLANK(ReconciliationData[[#This Row],[Contract_Price]])),ReconciliationData[[#This Row],[Billed_Price]]&lt;&gt;ReconciliationData[[#This Row],[Contract_Price]]),1,0)</f>
        <v>0</v>
      </c>
      <c r="T2054">
        <f>IF(AND(NOT(ISBLANK(ReconciliationData[[#This Row],[End_Date]])),ReconciliationData[[#This Row],[Order_Date]]&gt;ReconciliationData[[#This Row],[End_Date]]),1,0)</f>
        <v>0</v>
      </c>
      <c r="U2054">
        <f>IF(AND(NOT(ISBLANK(ReconciliationData[[#This Row],[last_return_date]])),ReconciliationData[[#This Row],[last_return_date]]&gt;ReconciliationData[[#This Row],[Order_Date]]+60),1,0)</f>
        <v>0</v>
      </c>
      <c r="V2054">
        <f>IF(ReconciliationData[[#This Row],[total_returned_units]]&gt;ReconciliationData[[#This Row],[ordered_units]],1,0)</f>
        <v>0</v>
      </c>
      <c r="W20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54">
        <f>ReconciliationData[[#This Row],[Billed_Units]]*ReconciliationData[[#This Row],[Billed_Price]]</f>
        <v>29454.321600000003</v>
      </c>
      <c r="Y2054">
        <f>ReconciliationData[[#This Row],[ordered_units]]*ReconciliationData[[#This Row],[List_Price]]</f>
        <v>33917.097600000008</v>
      </c>
      <c r="Z2054">
        <f>ReconciliationData[[#This Row],[billed_revenue]]-ReconciliationData[[#This Row],[expected_revenue]]</f>
        <v>-4462.7760000000053</v>
      </c>
      <c r="AA20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054" t="str">
        <f>IF(ReconciliationData[[#This Row],[severity_score]]=0,"LOW",
 IF(ReconciliationData[[#This Row],[severity_score]]&lt;=5,"MEDIUM","HIGH"))</f>
        <v>HIGH</v>
      </c>
      <c r="AC2054" t="str">
        <f>TEXT(ReconciliationData[[#This Row],[Order_Date]],"YYYY-MM")</f>
        <v>2024-04</v>
      </c>
    </row>
    <row r="2055" spans="1:29">
      <c r="A2055" t="s">
        <v>5283</v>
      </c>
      <c r="B2055" s="1">
        <v>45196</v>
      </c>
      <c r="C2055" t="s">
        <v>266</v>
      </c>
      <c r="D2055" t="s">
        <v>1238</v>
      </c>
      <c r="E2055">
        <v>84</v>
      </c>
      <c r="F2055" t="s">
        <v>5284</v>
      </c>
      <c r="G2055">
        <v>84</v>
      </c>
      <c r="H2055">
        <v>355.32000000000005</v>
      </c>
      <c r="N2055">
        <v>355.32000000000005</v>
      </c>
      <c r="O2055" s="1">
        <v>45058</v>
      </c>
      <c r="P2055">
        <f>IF(ISBLANK(ReconciliationData[[#This Row],[Invoice_ID]]),1,0)</f>
        <v>0</v>
      </c>
      <c r="Q2055">
        <f>IF(AND(NOT(ISBLANK(ReconciliationData[[#This Row],[Billed_Units]])),ReconciliationData[[#This Row],[ordered_units]]&lt;&gt;ReconciliationData[[#This Row],[Billed_Units]]),1,0)</f>
        <v>0</v>
      </c>
      <c r="R20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5">
        <f>IF(AND(NOT(ISBLANK(ReconciliationData[[#This Row],[Contract_Price]])),ReconciliationData[[#This Row],[Billed_Price]]&lt;&gt;ReconciliationData[[#This Row],[Contract_Price]]),1,0)</f>
        <v>0</v>
      </c>
      <c r="T2055">
        <f>IF(AND(NOT(ISBLANK(ReconciliationData[[#This Row],[End_Date]])),ReconciliationData[[#This Row],[Order_Date]]&gt;ReconciliationData[[#This Row],[End_Date]]),1,0)</f>
        <v>0</v>
      </c>
      <c r="U2055">
        <f>IF(AND(NOT(ISBLANK(ReconciliationData[[#This Row],[last_return_date]])),ReconciliationData[[#This Row],[last_return_date]]&gt;ReconciliationData[[#This Row],[Order_Date]]+60),1,0)</f>
        <v>0</v>
      </c>
      <c r="V2055">
        <f>IF(ReconciliationData[[#This Row],[total_returned_units]]&gt;ReconciliationData[[#This Row],[ordered_units]],1,0)</f>
        <v>0</v>
      </c>
      <c r="W20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55">
        <f>ReconciliationData[[#This Row],[Billed_Units]]*ReconciliationData[[#This Row],[Billed_Price]]</f>
        <v>29846.880000000005</v>
      </c>
      <c r="Y2055">
        <f>ReconciliationData[[#This Row],[ordered_units]]*ReconciliationData[[#This Row],[List_Price]]</f>
        <v>29846.880000000005</v>
      </c>
      <c r="Z2055">
        <f>ReconciliationData[[#This Row],[billed_revenue]]-ReconciliationData[[#This Row],[expected_revenue]]</f>
        <v>0</v>
      </c>
      <c r="AA20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55" t="str">
        <f>IF(ReconciliationData[[#This Row],[severity_score]]=0,"LOW",
 IF(ReconciliationData[[#This Row],[severity_score]]&lt;=5,"MEDIUM","HIGH"))</f>
        <v>LOW</v>
      </c>
      <c r="AC2055" t="str">
        <f>TEXT(ReconciliationData[[#This Row],[Order_Date]],"YYYY-MM")</f>
        <v>2023-09</v>
      </c>
    </row>
    <row r="2056" spans="1:29">
      <c r="A2056" t="s">
        <v>5285</v>
      </c>
      <c r="B2056" s="1">
        <v>45347</v>
      </c>
      <c r="C2056" t="s">
        <v>3051</v>
      </c>
      <c r="D2056" t="s">
        <v>1071</v>
      </c>
      <c r="E2056">
        <v>142</v>
      </c>
      <c r="F2056" t="s">
        <v>5286</v>
      </c>
      <c r="G2056">
        <v>142</v>
      </c>
      <c r="H2056">
        <v>335.39150000000001</v>
      </c>
      <c r="N2056">
        <v>335.39150000000001</v>
      </c>
      <c r="O2056" s="1">
        <v>45151</v>
      </c>
      <c r="P2056">
        <f>IF(ISBLANK(ReconciliationData[[#This Row],[Invoice_ID]]),1,0)</f>
        <v>0</v>
      </c>
      <c r="Q2056">
        <f>IF(AND(NOT(ISBLANK(ReconciliationData[[#This Row],[Billed_Units]])),ReconciliationData[[#This Row],[ordered_units]]&lt;&gt;ReconciliationData[[#This Row],[Billed_Units]]),1,0)</f>
        <v>0</v>
      </c>
      <c r="R20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6">
        <f>IF(AND(NOT(ISBLANK(ReconciliationData[[#This Row],[Contract_Price]])),ReconciliationData[[#This Row],[Billed_Price]]&lt;&gt;ReconciliationData[[#This Row],[Contract_Price]]),1,0)</f>
        <v>0</v>
      </c>
      <c r="T2056">
        <f>IF(AND(NOT(ISBLANK(ReconciliationData[[#This Row],[End_Date]])),ReconciliationData[[#This Row],[Order_Date]]&gt;ReconciliationData[[#This Row],[End_Date]]),1,0)</f>
        <v>0</v>
      </c>
      <c r="U2056">
        <f>IF(AND(NOT(ISBLANK(ReconciliationData[[#This Row],[last_return_date]])),ReconciliationData[[#This Row],[last_return_date]]&gt;ReconciliationData[[#This Row],[Order_Date]]+60),1,0)</f>
        <v>0</v>
      </c>
      <c r="V2056">
        <f>IF(ReconciliationData[[#This Row],[total_returned_units]]&gt;ReconciliationData[[#This Row],[ordered_units]],1,0)</f>
        <v>0</v>
      </c>
      <c r="W20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56">
        <f>ReconciliationData[[#This Row],[Billed_Units]]*ReconciliationData[[#This Row],[Billed_Price]]</f>
        <v>47625.593000000001</v>
      </c>
      <c r="Y2056">
        <f>ReconciliationData[[#This Row],[ordered_units]]*ReconciliationData[[#This Row],[List_Price]]</f>
        <v>47625.593000000001</v>
      </c>
      <c r="Z2056">
        <f>ReconciliationData[[#This Row],[billed_revenue]]-ReconciliationData[[#This Row],[expected_revenue]]</f>
        <v>0</v>
      </c>
      <c r="AA20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56" t="str">
        <f>IF(ReconciliationData[[#This Row],[severity_score]]=0,"LOW",
 IF(ReconciliationData[[#This Row],[severity_score]]&lt;=5,"MEDIUM","HIGH"))</f>
        <v>LOW</v>
      </c>
      <c r="AC2056" t="str">
        <f>TEXT(ReconciliationData[[#This Row],[Order_Date]],"YYYY-MM")</f>
        <v>2024-02</v>
      </c>
    </row>
    <row r="2057" spans="1:29">
      <c r="A2057" t="s">
        <v>5287</v>
      </c>
      <c r="B2057" s="1">
        <v>45293</v>
      </c>
      <c r="C2057" t="s">
        <v>1129</v>
      </c>
      <c r="D2057" t="s">
        <v>445</v>
      </c>
      <c r="E2057">
        <v>21</v>
      </c>
      <c r="F2057" t="s">
        <v>5288</v>
      </c>
      <c r="G2057">
        <v>21</v>
      </c>
      <c r="H2057">
        <v>791.35360000000003</v>
      </c>
      <c r="N2057">
        <v>791.35360000000003</v>
      </c>
      <c r="O2057" s="1">
        <v>45097</v>
      </c>
      <c r="P2057">
        <f>IF(ISBLANK(ReconciliationData[[#This Row],[Invoice_ID]]),1,0)</f>
        <v>0</v>
      </c>
      <c r="Q2057">
        <f>IF(AND(NOT(ISBLANK(ReconciliationData[[#This Row],[Billed_Units]])),ReconciliationData[[#This Row],[ordered_units]]&lt;&gt;ReconciliationData[[#This Row],[Billed_Units]]),1,0)</f>
        <v>0</v>
      </c>
      <c r="R20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7">
        <f>IF(AND(NOT(ISBLANK(ReconciliationData[[#This Row],[Contract_Price]])),ReconciliationData[[#This Row],[Billed_Price]]&lt;&gt;ReconciliationData[[#This Row],[Contract_Price]]),1,0)</f>
        <v>0</v>
      </c>
      <c r="T2057">
        <f>IF(AND(NOT(ISBLANK(ReconciliationData[[#This Row],[End_Date]])),ReconciliationData[[#This Row],[Order_Date]]&gt;ReconciliationData[[#This Row],[End_Date]]),1,0)</f>
        <v>0</v>
      </c>
      <c r="U2057">
        <f>IF(AND(NOT(ISBLANK(ReconciliationData[[#This Row],[last_return_date]])),ReconciliationData[[#This Row],[last_return_date]]&gt;ReconciliationData[[#This Row],[Order_Date]]+60),1,0)</f>
        <v>0</v>
      </c>
      <c r="V2057">
        <f>IF(ReconciliationData[[#This Row],[total_returned_units]]&gt;ReconciliationData[[#This Row],[ordered_units]],1,0)</f>
        <v>0</v>
      </c>
      <c r="W20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57">
        <f>ReconciliationData[[#This Row],[Billed_Units]]*ReconciliationData[[#This Row],[Billed_Price]]</f>
        <v>16618.425600000002</v>
      </c>
      <c r="Y2057">
        <f>ReconciliationData[[#This Row],[ordered_units]]*ReconciliationData[[#This Row],[List_Price]]</f>
        <v>16618.425600000002</v>
      </c>
      <c r="Z2057">
        <f>ReconciliationData[[#This Row],[billed_revenue]]-ReconciliationData[[#This Row],[expected_revenue]]</f>
        <v>0</v>
      </c>
      <c r="AA20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57" t="str">
        <f>IF(ReconciliationData[[#This Row],[severity_score]]=0,"LOW",
 IF(ReconciliationData[[#This Row],[severity_score]]&lt;=5,"MEDIUM","HIGH"))</f>
        <v>LOW</v>
      </c>
      <c r="AC2057" t="str">
        <f>TEXT(ReconciliationData[[#This Row],[Order_Date]],"YYYY-MM")</f>
        <v>2024-01</v>
      </c>
    </row>
    <row r="2058" spans="1:29">
      <c r="A2058" t="s">
        <v>5289</v>
      </c>
      <c r="B2058" s="1">
        <v>45254</v>
      </c>
      <c r="C2058" t="s">
        <v>693</v>
      </c>
      <c r="D2058" t="s">
        <v>170</v>
      </c>
      <c r="E2058">
        <v>193</v>
      </c>
      <c r="F2058" t="s">
        <v>5290</v>
      </c>
      <c r="G2058">
        <v>193</v>
      </c>
      <c r="H2058">
        <v>397.40159999999997</v>
      </c>
      <c r="N2058">
        <v>397.40159999999997</v>
      </c>
      <c r="O2058" s="1">
        <v>45021</v>
      </c>
      <c r="P2058">
        <f>IF(ISBLANK(ReconciliationData[[#This Row],[Invoice_ID]]),1,0)</f>
        <v>0</v>
      </c>
      <c r="Q2058">
        <f>IF(AND(NOT(ISBLANK(ReconciliationData[[#This Row],[Billed_Units]])),ReconciliationData[[#This Row],[ordered_units]]&lt;&gt;ReconciliationData[[#This Row],[Billed_Units]]),1,0)</f>
        <v>0</v>
      </c>
      <c r="R20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8">
        <f>IF(AND(NOT(ISBLANK(ReconciliationData[[#This Row],[Contract_Price]])),ReconciliationData[[#This Row],[Billed_Price]]&lt;&gt;ReconciliationData[[#This Row],[Contract_Price]]),1,0)</f>
        <v>0</v>
      </c>
      <c r="T2058">
        <f>IF(AND(NOT(ISBLANK(ReconciliationData[[#This Row],[End_Date]])),ReconciliationData[[#This Row],[Order_Date]]&gt;ReconciliationData[[#This Row],[End_Date]]),1,0)</f>
        <v>0</v>
      </c>
      <c r="U2058">
        <f>IF(AND(NOT(ISBLANK(ReconciliationData[[#This Row],[last_return_date]])),ReconciliationData[[#This Row],[last_return_date]]&gt;ReconciliationData[[#This Row],[Order_Date]]+60),1,0)</f>
        <v>0</v>
      </c>
      <c r="V2058">
        <f>IF(ReconciliationData[[#This Row],[total_returned_units]]&gt;ReconciliationData[[#This Row],[ordered_units]],1,0)</f>
        <v>0</v>
      </c>
      <c r="W20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58">
        <f>ReconciliationData[[#This Row],[Billed_Units]]*ReconciliationData[[#This Row],[Billed_Price]]</f>
        <v>76698.508799999996</v>
      </c>
      <c r="Y2058">
        <f>ReconciliationData[[#This Row],[ordered_units]]*ReconciliationData[[#This Row],[List_Price]]</f>
        <v>76698.508799999996</v>
      </c>
      <c r="Z2058">
        <f>ReconciliationData[[#This Row],[billed_revenue]]-ReconciliationData[[#This Row],[expected_revenue]]</f>
        <v>0</v>
      </c>
      <c r="AA20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58" t="str">
        <f>IF(ReconciliationData[[#This Row],[severity_score]]=0,"LOW",
 IF(ReconciliationData[[#This Row],[severity_score]]&lt;=5,"MEDIUM","HIGH"))</f>
        <v>LOW</v>
      </c>
      <c r="AC2058" t="str">
        <f>TEXT(ReconciliationData[[#This Row],[Order_Date]],"YYYY-MM")</f>
        <v>2023-11</v>
      </c>
    </row>
    <row r="2059" spans="1:29">
      <c r="A2059" t="s">
        <v>5291</v>
      </c>
      <c r="B2059" s="1">
        <v>45032</v>
      </c>
      <c r="C2059" t="s">
        <v>3314</v>
      </c>
      <c r="D2059" t="s">
        <v>635</v>
      </c>
      <c r="E2059">
        <v>66</v>
      </c>
      <c r="F2059" t="s">
        <v>5292</v>
      </c>
      <c r="G2059">
        <v>66</v>
      </c>
      <c r="H2059">
        <v>951.54780000000005</v>
      </c>
      <c r="N2059">
        <v>951.54780000000005</v>
      </c>
      <c r="O2059" s="1">
        <v>44964</v>
      </c>
      <c r="P2059">
        <f>IF(ISBLANK(ReconciliationData[[#This Row],[Invoice_ID]]),1,0)</f>
        <v>0</v>
      </c>
      <c r="Q2059">
        <f>IF(AND(NOT(ISBLANK(ReconciliationData[[#This Row],[Billed_Units]])),ReconciliationData[[#This Row],[ordered_units]]&lt;&gt;ReconciliationData[[#This Row],[Billed_Units]]),1,0)</f>
        <v>0</v>
      </c>
      <c r="R20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59">
        <f>IF(AND(NOT(ISBLANK(ReconciliationData[[#This Row],[Contract_Price]])),ReconciliationData[[#This Row],[Billed_Price]]&lt;&gt;ReconciliationData[[#This Row],[Contract_Price]]),1,0)</f>
        <v>0</v>
      </c>
      <c r="T2059">
        <f>IF(AND(NOT(ISBLANK(ReconciliationData[[#This Row],[End_Date]])),ReconciliationData[[#This Row],[Order_Date]]&gt;ReconciliationData[[#This Row],[End_Date]]),1,0)</f>
        <v>0</v>
      </c>
      <c r="U2059">
        <f>IF(AND(NOT(ISBLANK(ReconciliationData[[#This Row],[last_return_date]])),ReconciliationData[[#This Row],[last_return_date]]&gt;ReconciliationData[[#This Row],[Order_Date]]+60),1,0)</f>
        <v>0</v>
      </c>
      <c r="V2059">
        <f>IF(ReconciliationData[[#This Row],[total_returned_units]]&gt;ReconciliationData[[#This Row],[ordered_units]],1,0)</f>
        <v>0</v>
      </c>
      <c r="W20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59">
        <f>ReconciliationData[[#This Row],[Billed_Units]]*ReconciliationData[[#This Row],[Billed_Price]]</f>
        <v>62802.154800000004</v>
      </c>
      <c r="Y2059">
        <f>ReconciliationData[[#This Row],[ordered_units]]*ReconciliationData[[#This Row],[List_Price]]</f>
        <v>62802.154800000004</v>
      </c>
      <c r="Z2059">
        <f>ReconciliationData[[#This Row],[billed_revenue]]-ReconciliationData[[#This Row],[expected_revenue]]</f>
        <v>0</v>
      </c>
      <c r="AA20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59" t="str">
        <f>IF(ReconciliationData[[#This Row],[severity_score]]=0,"LOW",
 IF(ReconciliationData[[#This Row],[severity_score]]&lt;=5,"MEDIUM","HIGH"))</f>
        <v>LOW</v>
      </c>
      <c r="AC2059" t="str">
        <f>TEXT(ReconciliationData[[#This Row],[Order_Date]],"YYYY-MM")</f>
        <v>2023-04</v>
      </c>
    </row>
    <row r="2060" spans="1:29">
      <c r="A2060" t="s">
        <v>5293</v>
      </c>
      <c r="B2060" s="1">
        <v>45315</v>
      </c>
      <c r="C2060" t="s">
        <v>2830</v>
      </c>
      <c r="D2060" t="s">
        <v>825</v>
      </c>
      <c r="E2060">
        <v>113</v>
      </c>
      <c r="F2060" t="s">
        <v>5294</v>
      </c>
      <c r="G2060">
        <v>113</v>
      </c>
      <c r="H2060">
        <v>752.48910000000001</v>
      </c>
      <c r="N2060">
        <v>752.48910000000001</v>
      </c>
      <c r="O2060" s="1">
        <v>44953</v>
      </c>
      <c r="P2060">
        <f>IF(ISBLANK(ReconciliationData[[#This Row],[Invoice_ID]]),1,0)</f>
        <v>0</v>
      </c>
      <c r="Q2060">
        <f>IF(AND(NOT(ISBLANK(ReconciliationData[[#This Row],[Billed_Units]])),ReconciliationData[[#This Row],[ordered_units]]&lt;&gt;ReconciliationData[[#This Row],[Billed_Units]]),1,0)</f>
        <v>0</v>
      </c>
      <c r="R20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0">
        <f>IF(AND(NOT(ISBLANK(ReconciliationData[[#This Row],[Contract_Price]])),ReconciliationData[[#This Row],[Billed_Price]]&lt;&gt;ReconciliationData[[#This Row],[Contract_Price]]),1,0)</f>
        <v>0</v>
      </c>
      <c r="T2060">
        <f>IF(AND(NOT(ISBLANK(ReconciliationData[[#This Row],[End_Date]])),ReconciliationData[[#This Row],[Order_Date]]&gt;ReconciliationData[[#This Row],[End_Date]]),1,0)</f>
        <v>0</v>
      </c>
      <c r="U2060">
        <f>IF(AND(NOT(ISBLANK(ReconciliationData[[#This Row],[last_return_date]])),ReconciliationData[[#This Row],[last_return_date]]&gt;ReconciliationData[[#This Row],[Order_Date]]+60),1,0)</f>
        <v>0</v>
      </c>
      <c r="V2060">
        <f>IF(ReconciliationData[[#This Row],[total_returned_units]]&gt;ReconciliationData[[#This Row],[ordered_units]],1,0)</f>
        <v>0</v>
      </c>
      <c r="W20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0">
        <f>ReconciliationData[[#This Row],[Billed_Units]]*ReconciliationData[[#This Row],[Billed_Price]]</f>
        <v>85031.268299999996</v>
      </c>
      <c r="Y2060">
        <f>ReconciliationData[[#This Row],[ordered_units]]*ReconciliationData[[#This Row],[List_Price]]</f>
        <v>85031.268299999996</v>
      </c>
      <c r="Z2060">
        <f>ReconciliationData[[#This Row],[billed_revenue]]-ReconciliationData[[#This Row],[expected_revenue]]</f>
        <v>0</v>
      </c>
      <c r="AA20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0" t="str">
        <f>IF(ReconciliationData[[#This Row],[severity_score]]=0,"LOW",
 IF(ReconciliationData[[#This Row],[severity_score]]&lt;=5,"MEDIUM","HIGH"))</f>
        <v>LOW</v>
      </c>
      <c r="AC2060" t="str">
        <f>TEXT(ReconciliationData[[#This Row],[Order_Date]],"YYYY-MM")</f>
        <v>2024-01</v>
      </c>
    </row>
    <row r="2061" spans="1:29">
      <c r="A2061" t="s">
        <v>5295</v>
      </c>
      <c r="B2061" s="1">
        <v>45521</v>
      </c>
      <c r="C2061" t="s">
        <v>1765</v>
      </c>
      <c r="D2061" t="s">
        <v>533</v>
      </c>
      <c r="E2061">
        <v>112</v>
      </c>
      <c r="F2061" t="s">
        <v>5296</v>
      </c>
      <c r="G2061">
        <v>112</v>
      </c>
      <c r="H2061">
        <v>833.73500000000001</v>
      </c>
      <c r="N2061">
        <v>833.73500000000001</v>
      </c>
      <c r="O2061" s="1">
        <v>45167</v>
      </c>
      <c r="P2061">
        <f>IF(ISBLANK(ReconciliationData[[#This Row],[Invoice_ID]]),1,0)</f>
        <v>0</v>
      </c>
      <c r="Q2061">
        <f>IF(AND(NOT(ISBLANK(ReconciliationData[[#This Row],[Billed_Units]])),ReconciliationData[[#This Row],[ordered_units]]&lt;&gt;ReconciliationData[[#This Row],[Billed_Units]]),1,0)</f>
        <v>0</v>
      </c>
      <c r="R20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1">
        <f>IF(AND(NOT(ISBLANK(ReconciliationData[[#This Row],[Contract_Price]])),ReconciliationData[[#This Row],[Billed_Price]]&lt;&gt;ReconciliationData[[#This Row],[Contract_Price]]),1,0)</f>
        <v>0</v>
      </c>
      <c r="T2061">
        <f>IF(AND(NOT(ISBLANK(ReconciliationData[[#This Row],[End_Date]])),ReconciliationData[[#This Row],[Order_Date]]&gt;ReconciliationData[[#This Row],[End_Date]]),1,0)</f>
        <v>0</v>
      </c>
      <c r="U2061">
        <f>IF(AND(NOT(ISBLANK(ReconciliationData[[#This Row],[last_return_date]])),ReconciliationData[[#This Row],[last_return_date]]&gt;ReconciliationData[[#This Row],[Order_Date]]+60),1,0)</f>
        <v>0</v>
      </c>
      <c r="V2061">
        <f>IF(ReconciliationData[[#This Row],[total_returned_units]]&gt;ReconciliationData[[#This Row],[ordered_units]],1,0)</f>
        <v>0</v>
      </c>
      <c r="W20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1">
        <f>ReconciliationData[[#This Row],[Billed_Units]]*ReconciliationData[[#This Row],[Billed_Price]]</f>
        <v>93378.32</v>
      </c>
      <c r="Y2061">
        <f>ReconciliationData[[#This Row],[ordered_units]]*ReconciliationData[[#This Row],[List_Price]]</f>
        <v>93378.32</v>
      </c>
      <c r="Z2061">
        <f>ReconciliationData[[#This Row],[billed_revenue]]-ReconciliationData[[#This Row],[expected_revenue]]</f>
        <v>0</v>
      </c>
      <c r="AA20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1" t="str">
        <f>IF(ReconciliationData[[#This Row],[severity_score]]=0,"LOW",
 IF(ReconciliationData[[#This Row],[severity_score]]&lt;=5,"MEDIUM","HIGH"))</f>
        <v>LOW</v>
      </c>
      <c r="AC2061" t="str">
        <f>TEXT(ReconciliationData[[#This Row],[Order_Date]],"YYYY-MM")</f>
        <v>2024-08</v>
      </c>
    </row>
    <row r="2062" spans="1:29">
      <c r="A2062" t="s">
        <v>5297</v>
      </c>
      <c r="B2062" s="1">
        <v>45229</v>
      </c>
      <c r="C2062" t="s">
        <v>433</v>
      </c>
      <c r="D2062" t="s">
        <v>186</v>
      </c>
      <c r="E2062">
        <v>131</v>
      </c>
      <c r="F2062" t="s">
        <v>5298</v>
      </c>
      <c r="G2062">
        <v>131</v>
      </c>
      <c r="H2062">
        <v>248.24449999999999</v>
      </c>
      <c r="N2062">
        <v>248.24449999999999</v>
      </c>
      <c r="O2062" s="1">
        <v>44933</v>
      </c>
      <c r="P2062">
        <f>IF(ISBLANK(ReconciliationData[[#This Row],[Invoice_ID]]),1,0)</f>
        <v>0</v>
      </c>
      <c r="Q2062">
        <f>IF(AND(NOT(ISBLANK(ReconciliationData[[#This Row],[Billed_Units]])),ReconciliationData[[#This Row],[ordered_units]]&lt;&gt;ReconciliationData[[#This Row],[Billed_Units]]),1,0)</f>
        <v>0</v>
      </c>
      <c r="R20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2">
        <f>IF(AND(NOT(ISBLANK(ReconciliationData[[#This Row],[Contract_Price]])),ReconciliationData[[#This Row],[Billed_Price]]&lt;&gt;ReconciliationData[[#This Row],[Contract_Price]]),1,0)</f>
        <v>0</v>
      </c>
      <c r="T2062">
        <f>IF(AND(NOT(ISBLANK(ReconciliationData[[#This Row],[End_Date]])),ReconciliationData[[#This Row],[Order_Date]]&gt;ReconciliationData[[#This Row],[End_Date]]),1,0)</f>
        <v>0</v>
      </c>
      <c r="U2062">
        <f>IF(AND(NOT(ISBLANK(ReconciliationData[[#This Row],[last_return_date]])),ReconciliationData[[#This Row],[last_return_date]]&gt;ReconciliationData[[#This Row],[Order_Date]]+60),1,0)</f>
        <v>0</v>
      </c>
      <c r="V2062">
        <f>IF(ReconciliationData[[#This Row],[total_returned_units]]&gt;ReconciliationData[[#This Row],[ordered_units]],1,0)</f>
        <v>0</v>
      </c>
      <c r="W20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2">
        <f>ReconciliationData[[#This Row],[Billed_Units]]*ReconciliationData[[#This Row],[Billed_Price]]</f>
        <v>32520.029499999997</v>
      </c>
      <c r="Y2062">
        <f>ReconciliationData[[#This Row],[ordered_units]]*ReconciliationData[[#This Row],[List_Price]]</f>
        <v>32520.029499999997</v>
      </c>
      <c r="Z2062">
        <f>ReconciliationData[[#This Row],[billed_revenue]]-ReconciliationData[[#This Row],[expected_revenue]]</f>
        <v>0</v>
      </c>
      <c r="AA20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2" t="str">
        <f>IF(ReconciliationData[[#This Row],[severity_score]]=0,"LOW",
 IF(ReconciliationData[[#This Row],[severity_score]]&lt;=5,"MEDIUM","HIGH"))</f>
        <v>LOW</v>
      </c>
      <c r="AC2062" t="str">
        <f>TEXT(ReconciliationData[[#This Row],[Order_Date]],"YYYY-MM")</f>
        <v>2023-10</v>
      </c>
    </row>
    <row r="2063" spans="1:29">
      <c r="A2063" t="s">
        <v>5299</v>
      </c>
      <c r="B2063" s="1">
        <v>45122</v>
      </c>
      <c r="C2063" t="s">
        <v>5300</v>
      </c>
      <c r="D2063" t="s">
        <v>867</v>
      </c>
      <c r="E2063">
        <v>4</v>
      </c>
      <c r="F2063" t="s">
        <v>5301</v>
      </c>
      <c r="G2063">
        <v>4</v>
      </c>
      <c r="H2063">
        <v>1146.7456000000002</v>
      </c>
      <c r="N2063">
        <v>1146.7456000000002</v>
      </c>
      <c r="O2063" s="1">
        <v>44884</v>
      </c>
      <c r="P2063">
        <f>IF(ISBLANK(ReconciliationData[[#This Row],[Invoice_ID]]),1,0)</f>
        <v>0</v>
      </c>
      <c r="Q2063">
        <f>IF(AND(NOT(ISBLANK(ReconciliationData[[#This Row],[Billed_Units]])),ReconciliationData[[#This Row],[ordered_units]]&lt;&gt;ReconciliationData[[#This Row],[Billed_Units]]),1,0)</f>
        <v>0</v>
      </c>
      <c r="R20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3">
        <f>IF(AND(NOT(ISBLANK(ReconciliationData[[#This Row],[Contract_Price]])),ReconciliationData[[#This Row],[Billed_Price]]&lt;&gt;ReconciliationData[[#This Row],[Contract_Price]]),1,0)</f>
        <v>0</v>
      </c>
      <c r="T2063">
        <f>IF(AND(NOT(ISBLANK(ReconciliationData[[#This Row],[End_Date]])),ReconciliationData[[#This Row],[Order_Date]]&gt;ReconciliationData[[#This Row],[End_Date]]),1,0)</f>
        <v>0</v>
      </c>
      <c r="U2063">
        <f>IF(AND(NOT(ISBLANK(ReconciliationData[[#This Row],[last_return_date]])),ReconciliationData[[#This Row],[last_return_date]]&gt;ReconciliationData[[#This Row],[Order_Date]]+60),1,0)</f>
        <v>0</v>
      </c>
      <c r="V2063">
        <f>IF(ReconciliationData[[#This Row],[total_returned_units]]&gt;ReconciliationData[[#This Row],[ordered_units]],1,0)</f>
        <v>0</v>
      </c>
      <c r="W20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3">
        <f>ReconciliationData[[#This Row],[Billed_Units]]*ReconciliationData[[#This Row],[Billed_Price]]</f>
        <v>4586.9824000000008</v>
      </c>
      <c r="Y2063">
        <f>ReconciliationData[[#This Row],[ordered_units]]*ReconciliationData[[#This Row],[List_Price]]</f>
        <v>4586.9824000000008</v>
      </c>
      <c r="Z2063">
        <f>ReconciliationData[[#This Row],[billed_revenue]]-ReconciliationData[[#This Row],[expected_revenue]]</f>
        <v>0</v>
      </c>
      <c r="AA20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3" t="str">
        <f>IF(ReconciliationData[[#This Row],[severity_score]]=0,"LOW",
 IF(ReconciliationData[[#This Row],[severity_score]]&lt;=5,"MEDIUM","HIGH"))</f>
        <v>LOW</v>
      </c>
      <c r="AC2063" t="str">
        <f>TEXT(ReconciliationData[[#This Row],[Order_Date]],"YYYY-MM")</f>
        <v>2023-07</v>
      </c>
    </row>
    <row r="2064" spans="1:29">
      <c r="A2064" t="s">
        <v>5302</v>
      </c>
      <c r="B2064" s="1">
        <v>45427</v>
      </c>
      <c r="C2064" t="s">
        <v>3087</v>
      </c>
      <c r="D2064" t="s">
        <v>1037</v>
      </c>
      <c r="E2064">
        <v>136</v>
      </c>
      <c r="F2064" t="s">
        <v>5303</v>
      </c>
      <c r="G2064">
        <v>136</v>
      </c>
      <c r="H2064">
        <v>539.57150000000001</v>
      </c>
      <c r="N2064">
        <v>539.57150000000001</v>
      </c>
      <c r="O2064" s="1">
        <v>45191</v>
      </c>
      <c r="P2064">
        <f>IF(ISBLANK(ReconciliationData[[#This Row],[Invoice_ID]]),1,0)</f>
        <v>0</v>
      </c>
      <c r="Q2064">
        <f>IF(AND(NOT(ISBLANK(ReconciliationData[[#This Row],[Billed_Units]])),ReconciliationData[[#This Row],[ordered_units]]&lt;&gt;ReconciliationData[[#This Row],[Billed_Units]]),1,0)</f>
        <v>0</v>
      </c>
      <c r="R20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4">
        <f>IF(AND(NOT(ISBLANK(ReconciliationData[[#This Row],[Contract_Price]])),ReconciliationData[[#This Row],[Billed_Price]]&lt;&gt;ReconciliationData[[#This Row],[Contract_Price]]),1,0)</f>
        <v>0</v>
      </c>
      <c r="T2064">
        <f>IF(AND(NOT(ISBLANK(ReconciliationData[[#This Row],[End_Date]])),ReconciliationData[[#This Row],[Order_Date]]&gt;ReconciliationData[[#This Row],[End_Date]]),1,0)</f>
        <v>0</v>
      </c>
      <c r="U2064">
        <f>IF(AND(NOT(ISBLANK(ReconciliationData[[#This Row],[last_return_date]])),ReconciliationData[[#This Row],[last_return_date]]&gt;ReconciliationData[[#This Row],[Order_Date]]+60),1,0)</f>
        <v>0</v>
      </c>
      <c r="V2064">
        <f>IF(ReconciliationData[[#This Row],[total_returned_units]]&gt;ReconciliationData[[#This Row],[ordered_units]],1,0)</f>
        <v>0</v>
      </c>
      <c r="W20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4">
        <f>ReconciliationData[[#This Row],[Billed_Units]]*ReconciliationData[[#This Row],[Billed_Price]]</f>
        <v>73381.724000000002</v>
      </c>
      <c r="Y2064">
        <f>ReconciliationData[[#This Row],[ordered_units]]*ReconciliationData[[#This Row],[List_Price]]</f>
        <v>73381.724000000002</v>
      </c>
      <c r="Z2064">
        <f>ReconciliationData[[#This Row],[billed_revenue]]-ReconciliationData[[#This Row],[expected_revenue]]</f>
        <v>0</v>
      </c>
      <c r="AA20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4" t="str">
        <f>IF(ReconciliationData[[#This Row],[severity_score]]=0,"LOW",
 IF(ReconciliationData[[#This Row],[severity_score]]&lt;=5,"MEDIUM","HIGH"))</f>
        <v>LOW</v>
      </c>
      <c r="AC2064" t="str">
        <f>TEXT(ReconciliationData[[#This Row],[Order_Date]],"YYYY-MM")</f>
        <v>2024-05</v>
      </c>
    </row>
    <row r="2065" spans="1:29">
      <c r="A2065" t="s">
        <v>5304</v>
      </c>
      <c r="B2065" s="1">
        <v>44962</v>
      </c>
      <c r="C2065" t="s">
        <v>3060</v>
      </c>
      <c r="D2065" t="s">
        <v>1424</v>
      </c>
      <c r="E2065">
        <v>152</v>
      </c>
      <c r="F2065" t="s">
        <v>5305</v>
      </c>
      <c r="G2065">
        <v>152</v>
      </c>
      <c r="H2065">
        <v>167.62</v>
      </c>
      <c r="N2065">
        <v>167.62</v>
      </c>
      <c r="O2065" s="1">
        <v>44733</v>
      </c>
      <c r="P2065">
        <f>IF(ISBLANK(ReconciliationData[[#This Row],[Invoice_ID]]),1,0)</f>
        <v>0</v>
      </c>
      <c r="Q2065">
        <f>IF(AND(NOT(ISBLANK(ReconciliationData[[#This Row],[Billed_Units]])),ReconciliationData[[#This Row],[ordered_units]]&lt;&gt;ReconciliationData[[#This Row],[Billed_Units]]),1,0)</f>
        <v>0</v>
      </c>
      <c r="R20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5">
        <f>IF(AND(NOT(ISBLANK(ReconciliationData[[#This Row],[Contract_Price]])),ReconciliationData[[#This Row],[Billed_Price]]&lt;&gt;ReconciliationData[[#This Row],[Contract_Price]]),1,0)</f>
        <v>0</v>
      </c>
      <c r="T2065">
        <f>IF(AND(NOT(ISBLANK(ReconciliationData[[#This Row],[End_Date]])),ReconciliationData[[#This Row],[Order_Date]]&gt;ReconciliationData[[#This Row],[End_Date]]),1,0)</f>
        <v>0</v>
      </c>
      <c r="U2065">
        <f>IF(AND(NOT(ISBLANK(ReconciliationData[[#This Row],[last_return_date]])),ReconciliationData[[#This Row],[last_return_date]]&gt;ReconciliationData[[#This Row],[Order_Date]]+60),1,0)</f>
        <v>0</v>
      </c>
      <c r="V2065">
        <f>IF(ReconciliationData[[#This Row],[total_returned_units]]&gt;ReconciliationData[[#This Row],[ordered_units]],1,0)</f>
        <v>0</v>
      </c>
      <c r="W20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5">
        <f>ReconciliationData[[#This Row],[Billed_Units]]*ReconciliationData[[#This Row],[Billed_Price]]</f>
        <v>25478.240000000002</v>
      </c>
      <c r="Y2065">
        <f>ReconciliationData[[#This Row],[ordered_units]]*ReconciliationData[[#This Row],[List_Price]]</f>
        <v>25478.240000000002</v>
      </c>
      <c r="Z2065">
        <f>ReconciliationData[[#This Row],[billed_revenue]]-ReconciliationData[[#This Row],[expected_revenue]]</f>
        <v>0</v>
      </c>
      <c r="AA20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5" t="str">
        <f>IF(ReconciliationData[[#This Row],[severity_score]]=0,"LOW",
 IF(ReconciliationData[[#This Row],[severity_score]]&lt;=5,"MEDIUM","HIGH"))</f>
        <v>LOW</v>
      </c>
      <c r="AC2065" t="str">
        <f>TEXT(ReconciliationData[[#This Row],[Order_Date]],"YYYY-MM")</f>
        <v>2023-02</v>
      </c>
    </row>
    <row r="2066" spans="1:29">
      <c r="A2066" t="s">
        <v>5306</v>
      </c>
      <c r="B2066" s="1">
        <v>45338</v>
      </c>
      <c r="C2066" t="s">
        <v>1161</v>
      </c>
      <c r="D2066" t="s">
        <v>1945</v>
      </c>
      <c r="E2066">
        <v>194</v>
      </c>
      <c r="F2066" t="s">
        <v>5307</v>
      </c>
      <c r="G2066">
        <v>194</v>
      </c>
      <c r="H2066">
        <v>1178.6880000000001</v>
      </c>
      <c r="N2066">
        <v>1178.6880000000001</v>
      </c>
      <c r="O2066" s="1">
        <v>44930</v>
      </c>
      <c r="P2066">
        <f>IF(ISBLANK(ReconciliationData[[#This Row],[Invoice_ID]]),1,0)</f>
        <v>0</v>
      </c>
      <c r="Q2066">
        <f>IF(AND(NOT(ISBLANK(ReconciliationData[[#This Row],[Billed_Units]])),ReconciliationData[[#This Row],[ordered_units]]&lt;&gt;ReconciliationData[[#This Row],[Billed_Units]]),1,0)</f>
        <v>0</v>
      </c>
      <c r="R20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6">
        <f>IF(AND(NOT(ISBLANK(ReconciliationData[[#This Row],[Contract_Price]])),ReconciliationData[[#This Row],[Billed_Price]]&lt;&gt;ReconciliationData[[#This Row],[Contract_Price]]),1,0)</f>
        <v>0</v>
      </c>
      <c r="T2066">
        <f>IF(AND(NOT(ISBLANK(ReconciliationData[[#This Row],[End_Date]])),ReconciliationData[[#This Row],[Order_Date]]&gt;ReconciliationData[[#This Row],[End_Date]]),1,0)</f>
        <v>0</v>
      </c>
      <c r="U2066">
        <f>IF(AND(NOT(ISBLANK(ReconciliationData[[#This Row],[last_return_date]])),ReconciliationData[[#This Row],[last_return_date]]&gt;ReconciliationData[[#This Row],[Order_Date]]+60),1,0)</f>
        <v>0</v>
      </c>
      <c r="V2066">
        <f>IF(ReconciliationData[[#This Row],[total_returned_units]]&gt;ReconciliationData[[#This Row],[ordered_units]],1,0)</f>
        <v>0</v>
      </c>
      <c r="W20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6">
        <f>ReconciliationData[[#This Row],[Billed_Units]]*ReconciliationData[[#This Row],[Billed_Price]]</f>
        <v>228665.47200000001</v>
      </c>
      <c r="Y2066">
        <f>ReconciliationData[[#This Row],[ordered_units]]*ReconciliationData[[#This Row],[List_Price]]</f>
        <v>228665.47200000001</v>
      </c>
      <c r="Z2066">
        <f>ReconciliationData[[#This Row],[billed_revenue]]-ReconciliationData[[#This Row],[expected_revenue]]</f>
        <v>0</v>
      </c>
      <c r="AA20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6" t="str">
        <f>IF(ReconciliationData[[#This Row],[severity_score]]=0,"LOW",
 IF(ReconciliationData[[#This Row],[severity_score]]&lt;=5,"MEDIUM","HIGH"))</f>
        <v>LOW</v>
      </c>
      <c r="AC2066" t="str">
        <f>TEXT(ReconciliationData[[#This Row],[Order_Date]],"YYYY-MM")</f>
        <v>2024-02</v>
      </c>
    </row>
    <row r="2067" spans="1:29">
      <c r="A2067" t="s">
        <v>5308</v>
      </c>
      <c r="B2067" s="1">
        <v>45187</v>
      </c>
      <c r="C2067" t="s">
        <v>246</v>
      </c>
      <c r="D2067" t="s">
        <v>3954</v>
      </c>
      <c r="E2067">
        <v>165</v>
      </c>
      <c r="F2067" t="s">
        <v>5309</v>
      </c>
      <c r="G2067">
        <v>165</v>
      </c>
      <c r="H2067">
        <v>269.95269999999999</v>
      </c>
      <c r="N2067">
        <v>269.95269999999999</v>
      </c>
      <c r="O2067" s="1">
        <v>44781</v>
      </c>
      <c r="P2067">
        <f>IF(ISBLANK(ReconciliationData[[#This Row],[Invoice_ID]]),1,0)</f>
        <v>0</v>
      </c>
      <c r="Q2067">
        <f>IF(AND(NOT(ISBLANK(ReconciliationData[[#This Row],[Billed_Units]])),ReconciliationData[[#This Row],[ordered_units]]&lt;&gt;ReconciliationData[[#This Row],[Billed_Units]]),1,0)</f>
        <v>0</v>
      </c>
      <c r="R20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7">
        <f>IF(AND(NOT(ISBLANK(ReconciliationData[[#This Row],[Contract_Price]])),ReconciliationData[[#This Row],[Billed_Price]]&lt;&gt;ReconciliationData[[#This Row],[Contract_Price]]),1,0)</f>
        <v>0</v>
      </c>
      <c r="T2067">
        <f>IF(AND(NOT(ISBLANK(ReconciliationData[[#This Row],[End_Date]])),ReconciliationData[[#This Row],[Order_Date]]&gt;ReconciliationData[[#This Row],[End_Date]]),1,0)</f>
        <v>0</v>
      </c>
      <c r="U2067">
        <f>IF(AND(NOT(ISBLANK(ReconciliationData[[#This Row],[last_return_date]])),ReconciliationData[[#This Row],[last_return_date]]&gt;ReconciliationData[[#This Row],[Order_Date]]+60),1,0)</f>
        <v>0</v>
      </c>
      <c r="V2067">
        <f>IF(ReconciliationData[[#This Row],[total_returned_units]]&gt;ReconciliationData[[#This Row],[ordered_units]],1,0)</f>
        <v>0</v>
      </c>
      <c r="W20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7">
        <f>ReconciliationData[[#This Row],[Billed_Units]]*ReconciliationData[[#This Row],[Billed_Price]]</f>
        <v>44542.195500000002</v>
      </c>
      <c r="Y2067">
        <f>ReconciliationData[[#This Row],[ordered_units]]*ReconciliationData[[#This Row],[List_Price]]</f>
        <v>44542.195500000002</v>
      </c>
      <c r="Z2067">
        <f>ReconciliationData[[#This Row],[billed_revenue]]-ReconciliationData[[#This Row],[expected_revenue]]</f>
        <v>0</v>
      </c>
      <c r="AA20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7" t="str">
        <f>IF(ReconciliationData[[#This Row],[severity_score]]=0,"LOW",
 IF(ReconciliationData[[#This Row],[severity_score]]&lt;=5,"MEDIUM","HIGH"))</f>
        <v>LOW</v>
      </c>
      <c r="AC2067" t="str">
        <f>TEXT(ReconciliationData[[#This Row],[Order_Date]],"YYYY-MM")</f>
        <v>2023-09</v>
      </c>
    </row>
    <row r="2068" spans="1:29">
      <c r="A2068" t="s">
        <v>5310</v>
      </c>
      <c r="B2068" s="1">
        <v>44929</v>
      </c>
      <c r="C2068" t="s">
        <v>1117</v>
      </c>
      <c r="D2068" t="s">
        <v>2283</v>
      </c>
      <c r="E2068">
        <v>27</v>
      </c>
      <c r="F2068" t="s">
        <v>5311</v>
      </c>
      <c r="G2068">
        <v>27</v>
      </c>
      <c r="H2068">
        <v>68.942999999999998</v>
      </c>
      <c r="N2068">
        <v>68.942999999999998</v>
      </c>
      <c r="O2068" s="1">
        <v>44905</v>
      </c>
      <c r="P2068">
        <f>IF(ISBLANK(ReconciliationData[[#This Row],[Invoice_ID]]),1,0)</f>
        <v>0</v>
      </c>
      <c r="Q2068">
        <f>IF(AND(NOT(ISBLANK(ReconciliationData[[#This Row],[Billed_Units]])),ReconciliationData[[#This Row],[ordered_units]]&lt;&gt;ReconciliationData[[#This Row],[Billed_Units]]),1,0)</f>
        <v>0</v>
      </c>
      <c r="R20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8">
        <f>IF(AND(NOT(ISBLANK(ReconciliationData[[#This Row],[Contract_Price]])),ReconciliationData[[#This Row],[Billed_Price]]&lt;&gt;ReconciliationData[[#This Row],[Contract_Price]]),1,0)</f>
        <v>0</v>
      </c>
      <c r="T2068">
        <f>IF(AND(NOT(ISBLANK(ReconciliationData[[#This Row],[End_Date]])),ReconciliationData[[#This Row],[Order_Date]]&gt;ReconciliationData[[#This Row],[End_Date]]),1,0)</f>
        <v>0</v>
      </c>
      <c r="U2068">
        <f>IF(AND(NOT(ISBLANK(ReconciliationData[[#This Row],[last_return_date]])),ReconciliationData[[#This Row],[last_return_date]]&gt;ReconciliationData[[#This Row],[Order_Date]]+60),1,0)</f>
        <v>0</v>
      </c>
      <c r="V2068">
        <f>IF(ReconciliationData[[#This Row],[total_returned_units]]&gt;ReconciliationData[[#This Row],[ordered_units]],1,0)</f>
        <v>0</v>
      </c>
      <c r="W20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8">
        <f>ReconciliationData[[#This Row],[Billed_Units]]*ReconciliationData[[#This Row],[Billed_Price]]</f>
        <v>1861.461</v>
      </c>
      <c r="Y2068">
        <f>ReconciliationData[[#This Row],[ordered_units]]*ReconciliationData[[#This Row],[List_Price]]</f>
        <v>1861.461</v>
      </c>
      <c r="Z2068">
        <f>ReconciliationData[[#This Row],[billed_revenue]]-ReconciliationData[[#This Row],[expected_revenue]]</f>
        <v>0</v>
      </c>
      <c r="AA20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8" t="str">
        <f>IF(ReconciliationData[[#This Row],[severity_score]]=0,"LOW",
 IF(ReconciliationData[[#This Row],[severity_score]]&lt;=5,"MEDIUM","HIGH"))</f>
        <v>LOW</v>
      </c>
      <c r="AC2068" t="str">
        <f>TEXT(ReconciliationData[[#This Row],[Order_Date]],"YYYY-MM")</f>
        <v>2023-01</v>
      </c>
    </row>
    <row r="2069" spans="1:29">
      <c r="A2069" t="s">
        <v>5312</v>
      </c>
      <c r="B2069" s="1">
        <v>45649</v>
      </c>
      <c r="C2069" t="s">
        <v>4297</v>
      </c>
      <c r="D2069" t="s">
        <v>1315</v>
      </c>
      <c r="E2069">
        <v>196</v>
      </c>
      <c r="F2069" t="s">
        <v>5313</v>
      </c>
      <c r="G2069">
        <v>196</v>
      </c>
      <c r="H2069">
        <v>334.24649999999997</v>
      </c>
      <c r="N2069">
        <v>334.24649999999997</v>
      </c>
      <c r="O2069" s="1">
        <v>45125</v>
      </c>
      <c r="P2069">
        <f>IF(ISBLANK(ReconciliationData[[#This Row],[Invoice_ID]]),1,0)</f>
        <v>0</v>
      </c>
      <c r="Q2069">
        <f>IF(AND(NOT(ISBLANK(ReconciliationData[[#This Row],[Billed_Units]])),ReconciliationData[[#This Row],[ordered_units]]&lt;&gt;ReconciliationData[[#This Row],[Billed_Units]]),1,0)</f>
        <v>0</v>
      </c>
      <c r="R20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69">
        <f>IF(AND(NOT(ISBLANK(ReconciliationData[[#This Row],[Contract_Price]])),ReconciliationData[[#This Row],[Billed_Price]]&lt;&gt;ReconciliationData[[#This Row],[Contract_Price]]),1,0)</f>
        <v>0</v>
      </c>
      <c r="T2069">
        <f>IF(AND(NOT(ISBLANK(ReconciliationData[[#This Row],[End_Date]])),ReconciliationData[[#This Row],[Order_Date]]&gt;ReconciliationData[[#This Row],[End_Date]]),1,0)</f>
        <v>0</v>
      </c>
      <c r="U2069">
        <f>IF(AND(NOT(ISBLANK(ReconciliationData[[#This Row],[last_return_date]])),ReconciliationData[[#This Row],[last_return_date]]&gt;ReconciliationData[[#This Row],[Order_Date]]+60),1,0)</f>
        <v>0</v>
      </c>
      <c r="V2069">
        <f>IF(ReconciliationData[[#This Row],[total_returned_units]]&gt;ReconciliationData[[#This Row],[ordered_units]],1,0)</f>
        <v>0</v>
      </c>
      <c r="W20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69">
        <f>ReconciliationData[[#This Row],[Billed_Units]]*ReconciliationData[[#This Row],[Billed_Price]]</f>
        <v>65512.313999999991</v>
      </c>
      <c r="Y2069">
        <f>ReconciliationData[[#This Row],[ordered_units]]*ReconciliationData[[#This Row],[List_Price]]</f>
        <v>65512.313999999991</v>
      </c>
      <c r="Z2069">
        <f>ReconciliationData[[#This Row],[billed_revenue]]-ReconciliationData[[#This Row],[expected_revenue]]</f>
        <v>0</v>
      </c>
      <c r="AA20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69" t="str">
        <f>IF(ReconciliationData[[#This Row],[severity_score]]=0,"LOW",
 IF(ReconciliationData[[#This Row],[severity_score]]&lt;=5,"MEDIUM","HIGH"))</f>
        <v>LOW</v>
      </c>
      <c r="AC2069" t="str">
        <f>TEXT(ReconciliationData[[#This Row],[Order_Date]],"YYYY-MM")</f>
        <v>2024-12</v>
      </c>
    </row>
    <row r="2070" spans="1:29">
      <c r="A2070" t="s">
        <v>5314</v>
      </c>
      <c r="B2070" s="1">
        <v>44985</v>
      </c>
      <c r="C2070" t="s">
        <v>5315</v>
      </c>
      <c r="D2070" t="s">
        <v>146</v>
      </c>
      <c r="E2070">
        <v>168</v>
      </c>
      <c r="F2070" t="s">
        <v>5316</v>
      </c>
      <c r="G2070">
        <v>168</v>
      </c>
      <c r="H2070">
        <v>817.07989999999995</v>
      </c>
      <c r="N2070">
        <v>817.07989999999995</v>
      </c>
      <c r="O2070" s="1">
        <v>44951</v>
      </c>
      <c r="P2070">
        <f>IF(ISBLANK(ReconciliationData[[#This Row],[Invoice_ID]]),1,0)</f>
        <v>0</v>
      </c>
      <c r="Q2070">
        <f>IF(AND(NOT(ISBLANK(ReconciliationData[[#This Row],[Billed_Units]])),ReconciliationData[[#This Row],[ordered_units]]&lt;&gt;ReconciliationData[[#This Row],[Billed_Units]]),1,0)</f>
        <v>0</v>
      </c>
      <c r="R20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0">
        <f>IF(AND(NOT(ISBLANK(ReconciliationData[[#This Row],[Contract_Price]])),ReconciliationData[[#This Row],[Billed_Price]]&lt;&gt;ReconciliationData[[#This Row],[Contract_Price]]),1,0)</f>
        <v>0</v>
      </c>
      <c r="T2070">
        <f>IF(AND(NOT(ISBLANK(ReconciliationData[[#This Row],[End_Date]])),ReconciliationData[[#This Row],[Order_Date]]&gt;ReconciliationData[[#This Row],[End_Date]]),1,0)</f>
        <v>0</v>
      </c>
      <c r="U2070">
        <f>IF(AND(NOT(ISBLANK(ReconciliationData[[#This Row],[last_return_date]])),ReconciliationData[[#This Row],[last_return_date]]&gt;ReconciliationData[[#This Row],[Order_Date]]+60),1,0)</f>
        <v>0</v>
      </c>
      <c r="V2070">
        <f>IF(ReconciliationData[[#This Row],[total_returned_units]]&gt;ReconciliationData[[#This Row],[ordered_units]],1,0)</f>
        <v>0</v>
      </c>
      <c r="W20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70">
        <f>ReconciliationData[[#This Row],[Billed_Units]]*ReconciliationData[[#This Row],[Billed_Price]]</f>
        <v>137269.42319999999</v>
      </c>
      <c r="Y2070">
        <f>ReconciliationData[[#This Row],[ordered_units]]*ReconciliationData[[#This Row],[List_Price]]</f>
        <v>137269.42319999999</v>
      </c>
      <c r="Z2070">
        <f>ReconciliationData[[#This Row],[billed_revenue]]-ReconciliationData[[#This Row],[expected_revenue]]</f>
        <v>0</v>
      </c>
      <c r="AA20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70" t="str">
        <f>IF(ReconciliationData[[#This Row],[severity_score]]=0,"LOW",
 IF(ReconciliationData[[#This Row],[severity_score]]&lt;=5,"MEDIUM","HIGH"))</f>
        <v>LOW</v>
      </c>
      <c r="AC2070" t="str">
        <f>TEXT(ReconciliationData[[#This Row],[Order_Date]],"YYYY-MM")</f>
        <v>2023-02</v>
      </c>
    </row>
    <row r="2071" spans="1:29">
      <c r="A2071" t="s">
        <v>5317</v>
      </c>
      <c r="B2071" s="1">
        <v>45331</v>
      </c>
      <c r="C2071" t="s">
        <v>2015</v>
      </c>
      <c r="D2071" t="s">
        <v>825</v>
      </c>
      <c r="E2071">
        <v>97</v>
      </c>
      <c r="F2071" t="s">
        <v>5318</v>
      </c>
      <c r="G2071">
        <v>100</v>
      </c>
      <c r="H2071">
        <v>752.48910000000001</v>
      </c>
      <c r="N2071">
        <v>752.48910000000001</v>
      </c>
      <c r="O2071" s="1">
        <v>44953</v>
      </c>
      <c r="P2071">
        <f>IF(ISBLANK(ReconciliationData[[#This Row],[Invoice_ID]]),1,0)</f>
        <v>0</v>
      </c>
      <c r="Q2071">
        <f>IF(AND(NOT(ISBLANK(ReconciliationData[[#This Row],[Billed_Units]])),ReconciliationData[[#This Row],[ordered_units]]&lt;&gt;ReconciliationData[[#This Row],[Billed_Units]]),1,0)</f>
        <v>1</v>
      </c>
      <c r="R20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1">
        <f>IF(AND(NOT(ISBLANK(ReconciliationData[[#This Row],[Contract_Price]])),ReconciliationData[[#This Row],[Billed_Price]]&lt;&gt;ReconciliationData[[#This Row],[Contract_Price]]),1,0)</f>
        <v>0</v>
      </c>
      <c r="T2071">
        <f>IF(AND(NOT(ISBLANK(ReconciliationData[[#This Row],[End_Date]])),ReconciliationData[[#This Row],[Order_Date]]&gt;ReconciliationData[[#This Row],[End_Date]]),1,0)</f>
        <v>0</v>
      </c>
      <c r="U2071">
        <f>IF(AND(NOT(ISBLANK(ReconciliationData[[#This Row],[last_return_date]])),ReconciliationData[[#This Row],[last_return_date]]&gt;ReconciliationData[[#This Row],[Order_Date]]+60),1,0)</f>
        <v>0</v>
      </c>
      <c r="V2071">
        <f>IF(ReconciliationData[[#This Row],[total_returned_units]]&gt;ReconciliationData[[#This Row],[ordered_units]],1,0)</f>
        <v>0</v>
      </c>
      <c r="W20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71">
        <f>ReconciliationData[[#This Row],[Billed_Units]]*ReconciliationData[[#This Row],[Billed_Price]]</f>
        <v>75248.91</v>
      </c>
      <c r="Y2071">
        <f>ReconciliationData[[#This Row],[ordered_units]]*ReconciliationData[[#This Row],[List_Price]]</f>
        <v>72991.4427</v>
      </c>
      <c r="Z2071">
        <f>ReconciliationData[[#This Row],[billed_revenue]]-ReconciliationData[[#This Row],[expected_revenue]]</f>
        <v>2257.4673000000039</v>
      </c>
      <c r="AA20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071" t="str">
        <f>IF(ReconciliationData[[#This Row],[severity_score]]=0,"LOW",
 IF(ReconciliationData[[#This Row],[severity_score]]&lt;=5,"MEDIUM","HIGH"))</f>
        <v>HIGH</v>
      </c>
      <c r="AC2071" t="str">
        <f>TEXT(ReconciliationData[[#This Row],[Order_Date]],"YYYY-MM")</f>
        <v>2024-02</v>
      </c>
    </row>
    <row r="2072" spans="1:29">
      <c r="A2072" t="s">
        <v>5319</v>
      </c>
      <c r="B2072" s="1">
        <v>45088</v>
      </c>
      <c r="C2072" t="s">
        <v>2451</v>
      </c>
      <c r="D2072" t="s">
        <v>1146</v>
      </c>
      <c r="E2072">
        <v>7</v>
      </c>
      <c r="F2072" t="s">
        <v>5320</v>
      </c>
      <c r="G2072">
        <v>7</v>
      </c>
      <c r="H2072">
        <v>427.43</v>
      </c>
      <c r="N2072">
        <v>427.43</v>
      </c>
      <c r="O2072" s="1">
        <v>45054</v>
      </c>
      <c r="P2072">
        <f>IF(ISBLANK(ReconciliationData[[#This Row],[Invoice_ID]]),1,0)</f>
        <v>0</v>
      </c>
      <c r="Q2072">
        <f>IF(AND(NOT(ISBLANK(ReconciliationData[[#This Row],[Billed_Units]])),ReconciliationData[[#This Row],[ordered_units]]&lt;&gt;ReconciliationData[[#This Row],[Billed_Units]]),1,0)</f>
        <v>0</v>
      </c>
      <c r="R20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2">
        <f>IF(AND(NOT(ISBLANK(ReconciliationData[[#This Row],[Contract_Price]])),ReconciliationData[[#This Row],[Billed_Price]]&lt;&gt;ReconciliationData[[#This Row],[Contract_Price]]),1,0)</f>
        <v>0</v>
      </c>
      <c r="T2072">
        <f>IF(AND(NOT(ISBLANK(ReconciliationData[[#This Row],[End_Date]])),ReconciliationData[[#This Row],[Order_Date]]&gt;ReconciliationData[[#This Row],[End_Date]]),1,0)</f>
        <v>0</v>
      </c>
      <c r="U2072">
        <f>IF(AND(NOT(ISBLANK(ReconciliationData[[#This Row],[last_return_date]])),ReconciliationData[[#This Row],[last_return_date]]&gt;ReconciliationData[[#This Row],[Order_Date]]+60),1,0)</f>
        <v>0</v>
      </c>
      <c r="V2072">
        <f>IF(ReconciliationData[[#This Row],[total_returned_units]]&gt;ReconciliationData[[#This Row],[ordered_units]],1,0)</f>
        <v>0</v>
      </c>
      <c r="W20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72">
        <f>ReconciliationData[[#This Row],[Billed_Units]]*ReconciliationData[[#This Row],[Billed_Price]]</f>
        <v>2992.01</v>
      </c>
      <c r="Y2072">
        <f>ReconciliationData[[#This Row],[ordered_units]]*ReconciliationData[[#This Row],[List_Price]]</f>
        <v>2992.01</v>
      </c>
      <c r="Z2072">
        <f>ReconciliationData[[#This Row],[billed_revenue]]-ReconciliationData[[#This Row],[expected_revenue]]</f>
        <v>0</v>
      </c>
      <c r="AA20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72" t="str">
        <f>IF(ReconciliationData[[#This Row],[severity_score]]=0,"LOW",
 IF(ReconciliationData[[#This Row],[severity_score]]&lt;=5,"MEDIUM","HIGH"))</f>
        <v>LOW</v>
      </c>
      <c r="AC2072" t="str">
        <f>TEXT(ReconciliationData[[#This Row],[Order_Date]],"YYYY-MM")</f>
        <v>2023-06</v>
      </c>
    </row>
    <row r="2073" spans="1:29">
      <c r="A2073" t="s">
        <v>5321</v>
      </c>
      <c r="B2073" s="1">
        <v>45390</v>
      </c>
      <c r="C2073" t="s">
        <v>2305</v>
      </c>
      <c r="D2073" t="s">
        <v>1414</v>
      </c>
      <c r="E2073">
        <v>199</v>
      </c>
      <c r="F2073" t="s">
        <v>5322</v>
      </c>
      <c r="G2073">
        <v>199</v>
      </c>
      <c r="H2073">
        <v>872.7808</v>
      </c>
      <c r="N2073">
        <v>872.7808</v>
      </c>
      <c r="O2073" s="1">
        <v>45225</v>
      </c>
      <c r="P2073">
        <f>IF(ISBLANK(ReconciliationData[[#This Row],[Invoice_ID]]),1,0)</f>
        <v>0</v>
      </c>
      <c r="Q2073">
        <f>IF(AND(NOT(ISBLANK(ReconciliationData[[#This Row],[Billed_Units]])),ReconciliationData[[#This Row],[ordered_units]]&lt;&gt;ReconciliationData[[#This Row],[Billed_Units]]),1,0)</f>
        <v>0</v>
      </c>
      <c r="R20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3">
        <f>IF(AND(NOT(ISBLANK(ReconciliationData[[#This Row],[Contract_Price]])),ReconciliationData[[#This Row],[Billed_Price]]&lt;&gt;ReconciliationData[[#This Row],[Contract_Price]]),1,0)</f>
        <v>0</v>
      </c>
      <c r="T2073">
        <f>IF(AND(NOT(ISBLANK(ReconciliationData[[#This Row],[End_Date]])),ReconciliationData[[#This Row],[Order_Date]]&gt;ReconciliationData[[#This Row],[End_Date]]),1,0)</f>
        <v>0</v>
      </c>
      <c r="U2073">
        <f>IF(AND(NOT(ISBLANK(ReconciliationData[[#This Row],[last_return_date]])),ReconciliationData[[#This Row],[last_return_date]]&gt;ReconciliationData[[#This Row],[Order_Date]]+60),1,0)</f>
        <v>0</v>
      </c>
      <c r="V2073">
        <f>IF(ReconciliationData[[#This Row],[total_returned_units]]&gt;ReconciliationData[[#This Row],[ordered_units]],1,0)</f>
        <v>0</v>
      </c>
      <c r="W20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73">
        <f>ReconciliationData[[#This Row],[Billed_Units]]*ReconciliationData[[#This Row],[Billed_Price]]</f>
        <v>173683.3792</v>
      </c>
      <c r="Y2073">
        <f>ReconciliationData[[#This Row],[ordered_units]]*ReconciliationData[[#This Row],[List_Price]]</f>
        <v>173683.3792</v>
      </c>
      <c r="Z2073">
        <f>ReconciliationData[[#This Row],[billed_revenue]]-ReconciliationData[[#This Row],[expected_revenue]]</f>
        <v>0</v>
      </c>
      <c r="AA20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73" t="str">
        <f>IF(ReconciliationData[[#This Row],[severity_score]]=0,"LOW",
 IF(ReconciliationData[[#This Row],[severity_score]]&lt;=5,"MEDIUM","HIGH"))</f>
        <v>LOW</v>
      </c>
      <c r="AC2073" t="str">
        <f>TEXT(ReconciliationData[[#This Row],[Order_Date]],"YYYY-MM")</f>
        <v>2024-04</v>
      </c>
    </row>
    <row r="2074" spans="1:29">
      <c r="A2074" t="s">
        <v>5323</v>
      </c>
      <c r="B2074" s="1">
        <v>44969</v>
      </c>
      <c r="C2074" t="s">
        <v>551</v>
      </c>
      <c r="D2074" t="s">
        <v>337</v>
      </c>
      <c r="E2074">
        <v>54</v>
      </c>
      <c r="F2074" t="s">
        <v>5324</v>
      </c>
      <c r="G2074">
        <v>54</v>
      </c>
      <c r="H2074">
        <v>982.02</v>
      </c>
      <c r="N2074">
        <v>982.02</v>
      </c>
      <c r="O2074" s="1">
        <v>44731</v>
      </c>
      <c r="P2074">
        <f>IF(ISBLANK(ReconciliationData[[#This Row],[Invoice_ID]]),1,0)</f>
        <v>0</v>
      </c>
      <c r="Q2074">
        <f>IF(AND(NOT(ISBLANK(ReconciliationData[[#This Row],[Billed_Units]])),ReconciliationData[[#This Row],[ordered_units]]&lt;&gt;ReconciliationData[[#This Row],[Billed_Units]]),1,0)</f>
        <v>0</v>
      </c>
      <c r="R20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4">
        <f>IF(AND(NOT(ISBLANK(ReconciliationData[[#This Row],[Contract_Price]])),ReconciliationData[[#This Row],[Billed_Price]]&lt;&gt;ReconciliationData[[#This Row],[Contract_Price]]),1,0)</f>
        <v>0</v>
      </c>
      <c r="T2074">
        <f>IF(AND(NOT(ISBLANK(ReconciliationData[[#This Row],[End_Date]])),ReconciliationData[[#This Row],[Order_Date]]&gt;ReconciliationData[[#This Row],[End_Date]]),1,0)</f>
        <v>0</v>
      </c>
      <c r="U2074">
        <f>IF(AND(NOT(ISBLANK(ReconciliationData[[#This Row],[last_return_date]])),ReconciliationData[[#This Row],[last_return_date]]&gt;ReconciliationData[[#This Row],[Order_Date]]+60),1,0)</f>
        <v>0</v>
      </c>
      <c r="V2074">
        <f>IF(ReconciliationData[[#This Row],[total_returned_units]]&gt;ReconciliationData[[#This Row],[ordered_units]],1,0)</f>
        <v>0</v>
      </c>
      <c r="W20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74">
        <f>ReconciliationData[[#This Row],[Billed_Units]]*ReconciliationData[[#This Row],[Billed_Price]]</f>
        <v>53029.08</v>
      </c>
      <c r="Y2074">
        <f>ReconciliationData[[#This Row],[ordered_units]]*ReconciliationData[[#This Row],[List_Price]]</f>
        <v>53029.08</v>
      </c>
      <c r="Z2074">
        <f>ReconciliationData[[#This Row],[billed_revenue]]-ReconciliationData[[#This Row],[expected_revenue]]</f>
        <v>0</v>
      </c>
      <c r="AA20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74" t="str">
        <f>IF(ReconciliationData[[#This Row],[severity_score]]=0,"LOW",
 IF(ReconciliationData[[#This Row],[severity_score]]&lt;=5,"MEDIUM","HIGH"))</f>
        <v>LOW</v>
      </c>
      <c r="AC2074" t="str">
        <f>TEXT(ReconciliationData[[#This Row],[Order_Date]],"YYYY-MM")</f>
        <v>2023-02</v>
      </c>
    </row>
    <row r="2075" spans="1:29">
      <c r="A2075" t="s">
        <v>5325</v>
      </c>
      <c r="B2075" s="1">
        <v>45414</v>
      </c>
      <c r="C2075" t="s">
        <v>1452</v>
      </c>
      <c r="D2075" t="s">
        <v>158</v>
      </c>
      <c r="E2075">
        <v>138</v>
      </c>
      <c r="F2075" t="s">
        <v>5326</v>
      </c>
      <c r="G2075">
        <v>138</v>
      </c>
      <c r="H2075">
        <v>700.93560000000002</v>
      </c>
      <c r="N2075">
        <v>700.93560000000002</v>
      </c>
      <c r="O2075" s="1">
        <v>45077</v>
      </c>
      <c r="P2075">
        <f>IF(ISBLANK(ReconciliationData[[#This Row],[Invoice_ID]]),1,0)</f>
        <v>0</v>
      </c>
      <c r="Q2075">
        <f>IF(AND(NOT(ISBLANK(ReconciliationData[[#This Row],[Billed_Units]])),ReconciliationData[[#This Row],[ordered_units]]&lt;&gt;ReconciliationData[[#This Row],[Billed_Units]]),1,0)</f>
        <v>0</v>
      </c>
      <c r="R20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5">
        <f>IF(AND(NOT(ISBLANK(ReconciliationData[[#This Row],[Contract_Price]])),ReconciliationData[[#This Row],[Billed_Price]]&lt;&gt;ReconciliationData[[#This Row],[Contract_Price]]),1,0)</f>
        <v>0</v>
      </c>
      <c r="T2075">
        <f>IF(AND(NOT(ISBLANK(ReconciliationData[[#This Row],[End_Date]])),ReconciliationData[[#This Row],[Order_Date]]&gt;ReconciliationData[[#This Row],[End_Date]]),1,0)</f>
        <v>0</v>
      </c>
      <c r="U2075">
        <f>IF(AND(NOT(ISBLANK(ReconciliationData[[#This Row],[last_return_date]])),ReconciliationData[[#This Row],[last_return_date]]&gt;ReconciliationData[[#This Row],[Order_Date]]+60),1,0)</f>
        <v>0</v>
      </c>
      <c r="V2075">
        <f>IF(ReconciliationData[[#This Row],[total_returned_units]]&gt;ReconciliationData[[#This Row],[ordered_units]],1,0)</f>
        <v>0</v>
      </c>
      <c r="W20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75">
        <f>ReconciliationData[[#This Row],[Billed_Units]]*ReconciliationData[[#This Row],[Billed_Price]]</f>
        <v>96729.112800000003</v>
      </c>
      <c r="Y2075">
        <f>ReconciliationData[[#This Row],[ordered_units]]*ReconciliationData[[#This Row],[List_Price]]</f>
        <v>96729.112800000003</v>
      </c>
      <c r="Z2075">
        <f>ReconciliationData[[#This Row],[billed_revenue]]-ReconciliationData[[#This Row],[expected_revenue]]</f>
        <v>0</v>
      </c>
      <c r="AA20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75" t="str">
        <f>IF(ReconciliationData[[#This Row],[severity_score]]=0,"LOW",
 IF(ReconciliationData[[#This Row],[severity_score]]&lt;=5,"MEDIUM","HIGH"))</f>
        <v>LOW</v>
      </c>
      <c r="AC2075" t="str">
        <f>TEXT(ReconciliationData[[#This Row],[Order_Date]],"YYYY-MM")</f>
        <v>2024-05</v>
      </c>
    </row>
    <row r="2076" spans="1:29">
      <c r="A2076" t="s">
        <v>5327</v>
      </c>
      <c r="B2076" s="1">
        <v>44956</v>
      </c>
      <c r="C2076" t="s">
        <v>767</v>
      </c>
      <c r="D2076" t="s">
        <v>856</v>
      </c>
      <c r="E2076">
        <v>50</v>
      </c>
      <c r="F2076" t="s">
        <v>5328</v>
      </c>
      <c r="G2076">
        <v>50</v>
      </c>
      <c r="H2076">
        <v>1138.74</v>
      </c>
      <c r="N2076">
        <v>1138.74</v>
      </c>
      <c r="O2076" s="1">
        <v>44954</v>
      </c>
      <c r="P2076">
        <f>IF(ISBLANK(ReconciliationData[[#This Row],[Invoice_ID]]),1,0)</f>
        <v>0</v>
      </c>
      <c r="Q2076">
        <f>IF(AND(NOT(ISBLANK(ReconciliationData[[#This Row],[Billed_Units]])),ReconciliationData[[#This Row],[ordered_units]]&lt;&gt;ReconciliationData[[#This Row],[Billed_Units]]),1,0)</f>
        <v>0</v>
      </c>
      <c r="R20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6">
        <f>IF(AND(NOT(ISBLANK(ReconciliationData[[#This Row],[Contract_Price]])),ReconciliationData[[#This Row],[Billed_Price]]&lt;&gt;ReconciliationData[[#This Row],[Contract_Price]]),1,0)</f>
        <v>0</v>
      </c>
      <c r="T2076">
        <f>IF(AND(NOT(ISBLANK(ReconciliationData[[#This Row],[End_Date]])),ReconciliationData[[#This Row],[Order_Date]]&gt;ReconciliationData[[#This Row],[End_Date]]),1,0)</f>
        <v>0</v>
      </c>
      <c r="U2076">
        <f>IF(AND(NOT(ISBLANK(ReconciliationData[[#This Row],[last_return_date]])),ReconciliationData[[#This Row],[last_return_date]]&gt;ReconciliationData[[#This Row],[Order_Date]]+60),1,0)</f>
        <v>0</v>
      </c>
      <c r="V2076">
        <f>IF(ReconciliationData[[#This Row],[total_returned_units]]&gt;ReconciliationData[[#This Row],[ordered_units]],1,0)</f>
        <v>0</v>
      </c>
      <c r="W20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76">
        <f>ReconciliationData[[#This Row],[Billed_Units]]*ReconciliationData[[#This Row],[Billed_Price]]</f>
        <v>56937</v>
      </c>
      <c r="Y2076">
        <f>ReconciliationData[[#This Row],[ordered_units]]*ReconciliationData[[#This Row],[List_Price]]</f>
        <v>56937</v>
      </c>
      <c r="Z2076">
        <f>ReconciliationData[[#This Row],[billed_revenue]]-ReconciliationData[[#This Row],[expected_revenue]]</f>
        <v>0</v>
      </c>
      <c r="AA20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76" t="str">
        <f>IF(ReconciliationData[[#This Row],[severity_score]]=0,"LOW",
 IF(ReconciliationData[[#This Row],[severity_score]]&lt;=5,"MEDIUM","HIGH"))</f>
        <v>LOW</v>
      </c>
      <c r="AC2076" t="str">
        <f>TEXT(ReconciliationData[[#This Row],[Order_Date]],"YYYY-MM")</f>
        <v>2023-01</v>
      </c>
    </row>
    <row r="2077" spans="1:29">
      <c r="A2077" t="s">
        <v>5329</v>
      </c>
      <c r="B2077" s="1">
        <v>45367</v>
      </c>
      <c r="C2077" t="s">
        <v>1024</v>
      </c>
      <c r="D2077" t="s">
        <v>2353</v>
      </c>
      <c r="E2077">
        <v>170</v>
      </c>
      <c r="F2077" t="s">
        <v>5330</v>
      </c>
      <c r="G2077">
        <v>170</v>
      </c>
      <c r="H2077">
        <v>358.33919999999995</v>
      </c>
      <c r="N2077">
        <v>358.33919999999995</v>
      </c>
      <c r="O2077" s="1">
        <v>45108</v>
      </c>
      <c r="P2077">
        <f>IF(ISBLANK(ReconciliationData[[#This Row],[Invoice_ID]]),1,0)</f>
        <v>0</v>
      </c>
      <c r="Q2077">
        <f>IF(AND(NOT(ISBLANK(ReconciliationData[[#This Row],[Billed_Units]])),ReconciliationData[[#This Row],[ordered_units]]&lt;&gt;ReconciliationData[[#This Row],[Billed_Units]]),1,0)</f>
        <v>0</v>
      </c>
      <c r="R20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7">
        <f>IF(AND(NOT(ISBLANK(ReconciliationData[[#This Row],[Contract_Price]])),ReconciliationData[[#This Row],[Billed_Price]]&lt;&gt;ReconciliationData[[#This Row],[Contract_Price]]),1,0)</f>
        <v>0</v>
      </c>
      <c r="T2077">
        <f>IF(AND(NOT(ISBLANK(ReconciliationData[[#This Row],[End_Date]])),ReconciliationData[[#This Row],[Order_Date]]&gt;ReconciliationData[[#This Row],[End_Date]]),1,0)</f>
        <v>0</v>
      </c>
      <c r="U2077">
        <f>IF(AND(NOT(ISBLANK(ReconciliationData[[#This Row],[last_return_date]])),ReconciliationData[[#This Row],[last_return_date]]&gt;ReconciliationData[[#This Row],[Order_Date]]+60),1,0)</f>
        <v>0</v>
      </c>
      <c r="V2077">
        <f>IF(ReconciliationData[[#This Row],[total_returned_units]]&gt;ReconciliationData[[#This Row],[ordered_units]],1,0)</f>
        <v>0</v>
      </c>
      <c r="W20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77">
        <f>ReconciliationData[[#This Row],[Billed_Units]]*ReconciliationData[[#This Row],[Billed_Price]]</f>
        <v>60917.66399999999</v>
      </c>
      <c r="Y2077">
        <f>ReconciliationData[[#This Row],[ordered_units]]*ReconciliationData[[#This Row],[List_Price]]</f>
        <v>60917.66399999999</v>
      </c>
      <c r="Z2077">
        <f>ReconciliationData[[#This Row],[billed_revenue]]-ReconciliationData[[#This Row],[expected_revenue]]</f>
        <v>0</v>
      </c>
      <c r="AA20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77" t="str">
        <f>IF(ReconciliationData[[#This Row],[severity_score]]=0,"LOW",
 IF(ReconciliationData[[#This Row],[severity_score]]&lt;=5,"MEDIUM","HIGH"))</f>
        <v>LOW</v>
      </c>
      <c r="AC2077" t="str">
        <f>TEXT(ReconciliationData[[#This Row],[Order_Date]],"YYYY-MM")</f>
        <v>2024-03</v>
      </c>
    </row>
    <row r="2078" spans="1:29">
      <c r="A2078" t="s">
        <v>5331</v>
      </c>
      <c r="B2078" s="1">
        <v>45287</v>
      </c>
      <c r="C2078" t="s">
        <v>3516</v>
      </c>
      <c r="D2078" t="s">
        <v>908</v>
      </c>
      <c r="E2078">
        <v>68</v>
      </c>
      <c r="F2078" t="s">
        <v>5332</v>
      </c>
      <c r="G2078">
        <v>68</v>
      </c>
      <c r="H2078">
        <v>565.82459999999992</v>
      </c>
      <c r="I2078">
        <v>5</v>
      </c>
      <c r="J2078" s="1">
        <v>45029</v>
      </c>
      <c r="N2078">
        <v>565.82459999999992</v>
      </c>
      <c r="O2078" s="1">
        <v>45013</v>
      </c>
      <c r="P2078">
        <f>IF(ISBLANK(ReconciliationData[[#This Row],[Invoice_ID]]),1,0)</f>
        <v>0</v>
      </c>
      <c r="Q2078">
        <f>IF(AND(NOT(ISBLANK(ReconciliationData[[#This Row],[Billed_Units]])),ReconciliationData[[#This Row],[ordered_units]]&lt;&gt;ReconciliationData[[#This Row],[Billed_Units]]),1,0)</f>
        <v>0</v>
      </c>
      <c r="R20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8">
        <f>IF(AND(NOT(ISBLANK(ReconciliationData[[#This Row],[Contract_Price]])),ReconciliationData[[#This Row],[Billed_Price]]&lt;&gt;ReconciliationData[[#This Row],[Contract_Price]]),1,0)</f>
        <v>0</v>
      </c>
      <c r="T2078">
        <f>IF(AND(NOT(ISBLANK(ReconciliationData[[#This Row],[End_Date]])),ReconciliationData[[#This Row],[Order_Date]]&gt;ReconciliationData[[#This Row],[End_Date]]),1,0)</f>
        <v>0</v>
      </c>
      <c r="U2078">
        <f>IF(AND(NOT(ISBLANK(ReconciliationData[[#This Row],[last_return_date]])),ReconciliationData[[#This Row],[last_return_date]]&gt;ReconciliationData[[#This Row],[Order_Date]]+60),1,0)</f>
        <v>0</v>
      </c>
      <c r="V2078">
        <f>IF(ReconciliationData[[#This Row],[total_returned_units]]&gt;ReconciliationData[[#This Row],[ordered_units]],1,0)</f>
        <v>0</v>
      </c>
      <c r="W20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78">
        <f>ReconciliationData[[#This Row],[Billed_Units]]*ReconciliationData[[#This Row],[Billed_Price]]</f>
        <v>38476.072799999994</v>
      </c>
      <c r="Y2078">
        <f>ReconciliationData[[#This Row],[ordered_units]]*ReconciliationData[[#This Row],[List_Price]]</f>
        <v>38476.072799999994</v>
      </c>
      <c r="Z2078">
        <f>ReconciliationData[[#This Row],[billed_revenue]]-ReconciliationData[[#This Row],[expected_revenue]]</f>
        <v>0</v>
      </c>
      <c r="AA20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78" t="str">
        <f>IF(ReconciliationData[[#This Row],[severity_score]]=0,"LOW",
 IF(ReconciliationData[[#This Row],[severity_score]]&lt;=5,"MEDIUM","HIGH"))</f>
        <v>LOW</v>
      </c>
      <c r="AC2078" t="str">
        <f>TEXT(ReconciliationData[[#This Row],[Order_Date]],"YYYY-MM")</f>
        <v>2023-12</v>
      </c>
    </row>
    <row r="2079" spans="1:29">
      <c r="A2079" t="s">
        <v>5333</v>
      </c>
      <c r="B2079" s="1">
        <v>45306</v>
      </c>
      <c r="C2079" t="s">
        <v>897</v>
      </c>
      <c r="D2079" t="s">
        <v>1003</v>
      </c>
      <c r="E2079">
        <v>179</v>
      </c>
      <c r="F2079" t="s">
        <v>5334</v>
      </c>
      <c r="G2079">
        <v>179</v>
      </c>
      <c r="H2079">
        <v>825.13580000000002</v>
      </c>
      <c r="N2079">
        <v>825.13580000000002</v>
      </c>
      <c r="O2079" s="1">
        <v>44998</v>
      </c>
      <c r="P2079">
        <f>IF(ISBLANK(ReconciliationData[[#This Row],[Invoice_ID]]),1,0)</f>
        <v>0</v>
      </c>
      <c r="Q2079">
        <f>IF(AND(NOT(ISBLANK(ReconciliationData[[#This Row],[Billed_Units]])),ReconciliationData[[#This Row],[ordered_units]]&lt;&gt;ReconciliationData[[#This Row],[Billed_Units]]),1,0)</f>
        <v>0</v>
      </c>
      <c r="R20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79">
        <f>IF(AND(NOT(ISBLANK(ReconciliationData[[#This Row],[Contract_Price]])),ReconciliationData[[#This Row],[Billed_Price]]&lt;&gt;ReconciliationData[[#This Row],[Contract_Price]]),1,0)</f>
        <v>0</v>
      </c>
      <c r="T2079">
        <f>IF(AND(NOT(ISBLANK(ReconciliationData[[#This Row],[End_Date]])),ReconciliationData[[#This Row],[Order_Date]]&gt;ReconciliationData[[#This Row],[End_Date]]),1,0)</f>
        <v>0</v>
      </c>
      <c r="U2079">
        <f>IF(AND(NOT(ISBLANK(ReconciliationData[[#This Row],[last_return_date]])),ReconciliationData[[#This Row],[last_return_date]]&gt;ReconciliationData[[#This Row],[Order_Date]]+60),1,0)</f>
        <v>0</v>
      </c>
      <c r="V2079">
        <f>IF(ReconciliationData[[#This Row],[total_returned_units]]&gt;ReconciliationData[[#This Row],[ordered_units]],1,0)</f>
        <v>0</v>
      </c>
      <c r="W20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79">
        <f>ReconciliationData[[#This Row],[Billed_Units]]*ReconciliationData[[#This Row],[Billed_Price]]</f>
        <v>147699.3082</v>
      </c>
      <c r="Y2079">
        <f>ReconciliationData[[#This Row],[ordered_units]]*ReconciliationData[[#This Row],[List_Price]]</f>
        <v>147699.3082</v>
      </c>
      <c r="Z2079">
        <f>ReconciliationData[[#This Row],[billed_revenue]]-ReconciliationData[[#This Row],[expected_revenue]]</f>
        <v>0</v>
      </c>
      <c r="AA20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79" t="str">
        <f>IF(ReconciliationData[[#This Row],[severity_score]]=0,"LOW",
 IF(ReconciliationData[[#This Row],[severity_score]]&lt;=5,"MEDIUM","HIGH"))</f>
        <v>LOW</v>
      </c>
      <c r="AC2079" t="str">
        <f>TEXT(ReconciliationData[[#This Row],[Order_Date]],"YYYY-MM")</f>
        <v>2024-01</v>
      </c>
    </row>
    <row r="2080" spans="1:29">
      <c r="A2080" t="s">
        <v>5335</v>
      </c>
      <c r="B2080" s="1">
        <v>45457</v>
      </c>
      <c r="C2080" t="s">
        <v>3637</v>
      </c>
      <c r="D2080" t="s">
        <v>1037</v>
      </c>
      <c r="E2080">
        <v>122</v>
      </c>
      <c r="F2080" t="s">
        <v>5336</v>
      </c>
      <c r="G2080">
        <v>122</v>
      </c>
      <c r="H2080">
        <v>539.57150000000001</v>
      </c>
      <c r="N2080">
        <v>539.57150000000001</v>
      </c>
      <c r="O2080" s="1">
        <v>45191</v>
      </c>
      <c r="P2080">
        <f>IF(ISBLANK(ReconciliationData[[#This Row],[Invoice_ID]]),1,0)</f>
        <v>0</v>
      </c>
      <c r="Q2080">
        <f>IF(AND(NOT(ISBLANK(ReconciliationData[[#This Row],[Billed_Units]])),ReconciliationData[[#This Row],[ordered_units]]&lt;&gt;ReconciliationData[[#This Row],[Billed_Units]]),1,0)</f>
        <v>0</v>
      </c>
      <c r="R20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0">
        <f>IF(AND(NOT(ISBLANK(ReconciliationData[[#This Row],[Contract_Price]])),ReconciliationData[[#This Row],[Billed_Price]]&lt;&gt;ReconciliationData[[#This Row],[Contract_Price]]),1,0)</f>
        <v>0</v>
      </c>
      <c r="T2080">
        <f>IF(AND(NOT(ISBLANK(ReconciliationData[[#This Row],[End_Date]])),ReconciliationData[[#This Row],[Order_Date]]&gt;ReconciliationData[[#This Row],[End_Date]]),1,0)</f>
        <v>0</v>
      </c>
      <c r="U2080">
        <f>IF(AND(NOT(ISBLANK(ReconciliationData[[#This Row],[last_return_date]])),ReconciliationData[[#This Row],[last_return_date]]&gt;ReconciliationData[[#This Row],[Order_Date]]+60),1,0)</f>
        <v>0</v>
      </c>
      <c r="V2080">
        <f>IF(ReconciliationData[[#This Row],[total_returned_units]]&gt;ReconciliationData[[#This Row],[ordered_units]],1,0)</f>
        <v>0</v>
      </c>
      <c r="W20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0">
        <f>ReconciliationData[[#This Row],[Billed_Units]]*ReconciliationData[[#This Row],[Billed_Price]]</f>
        <v>65827.722999999998</v>
      </c>
      <c r="Y2080">
        <f>ReconciliationData[[#This Row],[ordered_units]]*ReconciliationData[[#This Row],[List_Price]]</f>
        <v>65827.722999999998</v>
      </c>
      <c r="Z2080">
        <f>ReconciliationData[[#This Row],[billed_revenue]]-ReconciliationData[[#This Row],[expected_revenue]]</f>
        <v>0</v>
      </c>
      <c r="AA20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0" t="str">
        <f>IF(ReconciliationData[[#This Row],[severity_score]]=0,"LOW",
 IF(ReconciliationData[[#This Row],[severity_score]]&lt;=5,"MEDIUM","HIGH"))</f>
        <v>LOW</v>
      </c>
      <c r="AC2080" t="str">
        <f>TEXT(ReconciliationData[[#This Row],[Order_Date]],"YYYY-MM")</f>
        <v>2024-06</v>
      </c>
    </row>
    <row r="2081" spans="1:29">
      <c r="A2081" t="s">
        <v>5337</v>
      </c>
      <c r="B2081" s="1">
        <v>45454</v>
      </c>
      <c r="C2081" t="s">
        <v>2917</v>
      </c>
      <c r="D2081" t="s">
        <v>1470</v>
      </c>
      <c r="E2081">
        <v>119</v>
      </c>
      <c r="F2081" t="s">
        <v>5338</v>
      </c>
      <c r="G2081">
        <v>119</v>
      </c>
      <c r="H2081">
        <v>690.05370000000005</v>
      </c>
      <c r="N2081">
        <v>690.05370000000005</v>
      </c>
      <c r="O2081" s="1">
        <v>44976</v>
      </c>
      <c r="P2081">
        <f>IF(ISBLANK(ReconciliationData[[#This Row],[Invoice_ID]]),1,0)</f>
        <v>0</v>
      </c>
      <c r="Q2081">
        <f>IF(AND(NOT(ISBLANK(ReconciliationData[[#This Row],[Billed_Units]])),ReconciliationData[[#This Row],[ordered_units]]&lt;&gt;ReconciliationData[[#This Row],[Billed_Units]]),1,0)</f>
        <v>0</v>
      </c>
      <c r="R20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1">
        <f>IF(AND(NOT(ISBLANK(ReconciliationData[[#This Row],[Contract_Price]])),ReconciliationData[[#This Row],[Billed_Price]]&lt;&gt;ReconciliationData[[#This Row],[Contract_Price]]),1,0)</f>
        <v>0</v>
      </c>
      <c r="T2081">
        <f>IF(AND(NOT(ISBLANK(ReconciliationData[[#This Row],[End_Date]])),ReconciliationData[[#This Row],[Order_Date]]&gt;ReconciliationData[[#This Row],[End_Date]]),1,0)</f>
        <v>0</v>
      </c>
      <c r="U2081">
        <f>IF(AND(NOT(ISBLANK(ReconciliationData[[#This Row],[last_return_date]])),ReconciliationData[[#This Row],[last_return_date]]&gt;ReconciliationData[[#This Row],[Order_Date]]+60),1,0)</f>
        <v>0</v>
      </c>
      <c r="V2081">
        <f>IF(ReconciliationData[[#This Row],[total_returned_units]]&gt;ReconciliationData[[#This Row],[ordered_units]],1,0)</f>
        <v>0</v>
      </c>
      <c r="W20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1">
        <f>ReconciliationData[[#This Row],[Billed_Units]]*ReconciliationData[[#This Row],[Billed_Price]]</f>
        <v>82116.390299999999</v>
      </c>
      <c r="Y2081">
        <f>ReconciliationData[[#This Row],[ordered_units]]*ReconciliationData[[#This Row],[List_Price]]</f>
        <v>82116.390299999999</v>
      </c>
      <c r="Z2081">
        <f>ReconciliationData[[#This Row],[billed_revenue]]-ReconciliationData[[#This Row],[expected_revenue]]</f>
        <v>0</v>
      </c>
      <c r="AA20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1" t="str">
        <f>IF(ReconciliationData[[#This Row],[severity_score]]=0,"LOW",
 IF(ReconciliationData[[#This Row],[severity_score]]&lt;=5,"MEDIUM","HIGH"))</f>
        <v>LOW</v>
      </c>
      <c r="AC2081" t="str">
        <f>TEXT(ReconciliationData[[#This Row],[Order_Date]],"YYYY-MM")</f>
        <v>2024-06</v>
      </c>
    </row>
    <row r="2082" spans="1:29">
      <c r="A2082" t="s">
        <v>5339</v>
      </c>
      <c r="B2082" s="1">
        <v>45397</v>
      </c>
      <c r="C2082" t="s">
        <v>1000</v>
      </c>
      <c r="D2082" t="s">
        <v>1449</v>
      </c>
      <c r="E2082">
        <v>157</v>
      </c>
      <c r="F2082" t="s">
        <v>5340</v>
      </c>
      <c r="G2082">
        <v>157</v>
      </c>
      <c r="H2082">
        <v>960.85850000000005</v>
      </c>
      <c r="N2082">
        <v>960.85850000000005</v>
      </c>
      <c r="O2082" s="1">
        <v>45049</v>
      </c>
      <c r="P2082">
        <f>IF(ISBLANK(ReconciliationData[[#This Row],[Invoice_ID]]),1,0)</f>
        <v>0</v>
      </c>
      <c r="Q2082">
        <f>IF(AND(NOT(ISBLANK(ReconciliationData[[#This Row],[Billed_Units]])),ReconciliationData[[#This Row],[ordered_units]]&lt;&gt;ReconciliationData[[#This Row],[Billed_Units]]),1,0)</f>
        <v>0</v>
      </c>
      <c r="R20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2">
        <f>IF(AND(NOT(ISBLANK(ReconciliationData[[#This Row],[Contract_Price]])),ReconciliationData[[#This Row],[Billed_Price]]&lt;&gt;ReconciliationData[[#This Row],[Contract_Price]]),1,0)</f>
        <v>0</v>
      </c>
      <c r="T2082">
        <f>IF(AND(NOT(ISBLANK(ReconciliationData[[#This Row],[End_Date]])),ReconciliationData[[#This Row],[Order_Date]]&gt;ReconciliationData[[#This Row],[End_Date]]),1,0)</f>
        <v>0</v>
      </c>
      <c r="U2082">
        <f>IF(AND(NOT(ISBLANK(ReconciliationData[[#This Row],[last_return_date]])),ReconciliationData[[#This Row],[last_return_date]]&gt;ReconciliationData[[#This Row],[Order_Date]]+60),1,0)</f>
        <v>0</v>
      </c>
      <c r="V2082">
        <f>IF(ReconciliationData[[#This Row],[total_returned_units]]&gt;ReconciliationData[[#This Row],[ordered_units]],1,0)</f>
        <v>0</v>
      </c>
      <c r="W20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2">
        <f>ReconciliationData[[#This Row],[Billed_Units]]*ReconciliationData[[#This Row],[Billed_Price]]</f>
        <v>150854.78450000001</v>
      </c>
      <c r="Y2082">
        <f>ReconciliationData[[#This Row],[ordered_units]]*ReconciliationData[[#This Row],[List_Price]]</f>
        <v>150854.78450000001</v>
      </c>
      <c r="Z2082">
        <f>ReconciliationData[[#This Row],[billed_revenue]]-ReconciliationData[[#This Row],[expected_revenue]]</f>
        <v>0</v>
      </c>
      <c r="AA20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2" t="str">
        <f>IF(ReconciliationData[[#This Row],[severity_score]]=0,"LOW",
 IF(ReconciliationData[[#This Row],[severity_score]]&lt;=5,"MEDIUM","HIGH"))</f>
        <v>LOW</v>
      </c>
      <c r="AC2082" t="str">
        <f>TEXT(ReconciliationData[[#This Row],[Order_Date]],"YYYY-MM")</f>
        <v>2024-04</v>
      </c>
    </row>
    <row r="2083" spans="1:29">
      <c r="A2083" t="s">
        <v>5341</v>
      </c>
      <c r="B2083" s="1">
        <v>45350</v>
      </c>
      <c r="C2083" t="s">
        <v>2231</v>
      </c>
      <c r="D2083" t="s">
        <v>962</v>
      </c>
      <c r="E2083">
        <v>140</v>
      </c>
      <c r="F2083" t="s">
        <v>5342</v>
      </c>
      <c r="G2083">
        <v>140</v>
      </c>
      <c r="H2083">
        <v>709.52</v>
      </c>
      <c r="N2083">
        <v>709.52</v>
      </c>
      <c r="O2083" s="1">
        <v>44952</v>
      </c>
      <c r="P2083">
        <f>IF(ISBLANK(ReconciliationData[[#This Row],[Invoice_ID]]),1,0)</f>
        <v>0</v>
      </c>
      <c r="Q2083">
        <f>IF(AND(NOT(ISBLANK(ReconciliationData[[#This Row],[Billed_Units]])),ReconciliationData[[#This Row],[ordered_units]]&lt;&gt;ReconciliationData[[#This Row],[Billed_Units]]),1,0)</f>
        <v>0</v>
      </c>
      <c r="R20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3">
        <f>IF(AND(NOT(ISBLANK(ReconciliationData[[#This Row],[Contract_Price]])),ReconciliationData[[#This Row],[Billed_Price]]&lt;&gt;ReconciliationData[[#This Row],[Contract_Price]]),1,0)</f>
        <v>0</v>
      </c>
      <c r="T2083">
        <f>IF(AND(NOT(ISBLANK(ReconciliationData[[#This Row],[End_Date]])),ReconciliationData[[#This Row],[Order_Date]]&gt;ReconciliationData[[#This Row],[End_Date]]),1,0)</f>
        <v>0</v>
      </c>
      <c r="U2083">
        <f>IF(AND(NOT(ISBLANK(ReconciliationData[[#This Row],[last_return_date]])),ReconciliationData[[#This Row],[last_return_date]]&gt;ReconciliationData[[#This Row],[Order_Date]]+60),1,0)</f>
        <v>0</v>
      </c>
      <c r="V2083">
        <f>IF(ReconciliationData[[#This Row],[total_returned_units]]&gt;ReconciliationData[[#This Row],[ordered_units]],1,0)</f>
        <v>0</v>
      </c>
      <c r="W20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3">
        <f>ReconciliationData[[#This Row],[Billed_Units]]*ReconciliationData[[#This Row],[Billed_Price]]</f>
        <v>99332.800000000003</v>
      </c>
      <c r="Y2083">
        <f>ReconciliationData[[#This Row],[ordered_units]]*ReconciliationData[[#This Row],[List_Price]]</f>
        <v>99332.800000000003</v>
      </c>
      <c r="Z2083">
        <f>ReconciliationData[[#This Row],[billed_revenue]]-ReconciliationData[[#This Row],[expected_revenue]]</f>
        <v>0</v>
      </c>
      <c r="AA20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3" t="str">
        <f>IF(ReconciliationData[[#This Row],[severity_score]]=0,"LOW",
 IF(ReconciliationData[[#This Row],[severity_score]]&lt;=5,"MEDIUM","HIGH"))</f>
        <v>LOW</v>
      </c>
      <c r="AC2083" t="str">
        <f>TEXT(ReconciliationData[[#This Row],[Order_Date]],"YYYY-MM")</f>
        <v>2024-02</v>
      </c>
    </row>
    <row r="2084" spans="1:29">
      <c r="A2084" t="s">
        <v>5343</v>
      </c>
      <c r="B2084" s="1">
        <v>45224</v>
      </c>
      <c r="C2084" t="s">
        <v>2608</v>
      </c>
      <c r="D2084" t="s">
        <v>775</v>
      </c>
      <c r="E2084">
        <v>188</v>
      </c>
      <c r="F2084" t="s">
        <v>5344</v>
      </c>
      <c r="G2084">
        <v>188</v>
      </c>
      <c r="H2084">
        <v>1231.8180000000002</v>
      </c>
      <c r="N2084">
        <v>1231.8180000000002</v>
      </c>
      <c r="O2084" s="1">
        <v>45048</v>
      </c>
      <c r="P2084">
        <f>IF(ISBLANK(ReconciliationData[[#This Row],[Invoice_ID]]),1,0)</f>
        <v>0</v>
      </c>
      <c r="Q2084">
        <f>IF(AND(NOT(ISBLANK(ReconciliationData[[#This Row],[Billed_Units]])),ReconciliationData[[#This Row],[ordered_units]]&lt;&gt;ReconciliationData[[#This Row],[Billed_Units]]),1,0)</f>
        <v>0</v>
      </c>
      <c r="R20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4">
        <f>IF(AND(NOT(ISBLANK(ReconciliationData[[#This Row],[Contract_Price]])),ReconciliationData[[#This Row],[Billed_Price]]&lt;&gt;ReconciliationData[[#This Row],[Contract_Price]]),1,0)</f>
        <v>0</v>
      </c>
      <c r="T2084">
        <f>IF(AND(NOT(ISBLANK(ReconciliationData[[#This Row],[End_Date]])),ReconciliationData[[#This Row],[Order_Date]]&gt;ReconciliationData[[#This Row],[End_Date]]),1,0)</f>
        <v>0</v>
      </c>
      <c r="U2084">
        <f>IF(AND(NOT(ISBLANK(ReconciliationData[[#This Row],[last_return_date]])),ReconciliationData[[#This Row],[last_return_date]]&gt;ReconciliationData[[#This Row],[Order_Date]]+60),1,0)</f>
        <v>0</v>
      </c>
      <c r="V2084">
        <f>IF(ReconciliationData[[#This Row],[total_returned_units]]&gt;ReconciliationData[[#This Row],[ordered_units]],1,0)</f>
        <v>0</v>
      </c>
      <c r="W20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4">
        <f>ReconciliationData[[#This Row],[Billed_Units]]*ReconciliationData[[#This Row],[Billed_Price]]</f>
        <v>231581.78400000004</v>
      </c>
      <c r="Y2084">
        <f>ReconciliationData[[#This Row],[ordered_units]]*ReconciliationData[[#This Row],[List_Price]]</f>
        <v>231581.78400000004</v>
      </c>
      <c r="Z2084">
        <f>ReconciliationData[[#This Row],[billed_revenue]]-ReconciliationData[[#This Row],[expected_revenue]]</f>
        <v>0</v>
      </c>
      <c r="AA20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4" t="str">
        <f>IF(ReconciliationData[[#This Row],[severity_score]]=0,"LOW",
 IF(ReconciliationData[[#This Row],[severity_score]]&lt;=5,"MEDIUM","HIGH"))</f>
        <v>LOW</v>
      </c>
      <c r="AC2084" t="str">
        <f>TEXT(ReconciliationData[[#This Row],[Order_Date]],"YYYY-MM")</f>
        <v>2023-10</v>
      </c>
    </row>
    <row r="2085" spans="1:29">
      <c r="A2085" t="s">
        <v>5345</v>
      </c>
      <c r="B2085" s="1">
        <v>45087</v>
      </c>
      <c r="C2085" t="s">
        <v>1828</v>
      </c>
      <c r="D2085" t="s">
        <v>170</v>
      </c>
      <c r="E2085">
        <v>51</v>
      </c>
      <c r="F2085" t="s">
        <v>5346</v>
      </c>
      <c r="G2085">
        <v>51</v>
      </c>
      <c r="H2085">
        <v>397.40159999999997</v>
      </c>
      <c r="N2085">
        <v>397.40159999999997</v>
      </c>
      <c r="O2085" s="1">
        <v>45021</v>
      </c>
      <c r="P2085">
        <f>IF(ISBLANK(ReconciliationData[[#This Row],[Invoice_ID]]),1,0)</f>
        <v>0</v>
      </c>
      <c r="Q2085">
        <f>IF(AND(NOT(ISBLANK(ReconciliationData[[#This Row],[Billed_Units]])),ReconciliationData[[#This Row],[ordered_units]]&lt;&gt;ReconciliationData[[#This Row],[Billed_Units]]),1,0)</f>
        <v>0</v>
      </c>
      <c r="R20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5">
        <f>IF(AND(NOT(ISBLANK(ReconciliationData[[#This Row],[Contract_Price]])),ReconciliationData[[#This Row],[Billed_Price]]&lt;&gt;ReconciliationData[[#This Row],[Contract_Price]]),1,0)</f>
        <v>0</v>
      </c>
      <c r="T2085">
        <f>IF(AND(NOT(ISBLANK(ReconciliationData[[#This Row],[End_Date]])),ReconciliationData[[#This Row],[Order_Date]]&gt;ReconciliationData[[#This Row],[End_Date]]),1,0)</f>
        <v>0</v>
      </c>
      <c r="U2085">
        <f>IF(AND(NOT(ISBLANK(ReconciliationData[[#This Row],[last_return_date]])),ReconciliationData[[#This Row],[last_return_date]]&gt;ReconciliationData[[#This Row],[Order_Date]]+60),1,0)</f>
        <v>0</v>
      </c>
      <c r="V2085">
        <f>IF(ReconciliationData[[#This Row],[total_returned_units]]&gt;ReconciliationData[[#This Row],[ordered_units]],1,0)</f>
        <v>0</v>
      </c>
      <c r="W20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5">
        <f>ReconciliationData[[#This Row],[Billed_Units]]*ReconciliationData[[#This Row],[Billed_Price]]</f>
        <v>20267.481599999999</v>
      </c>
      <c r="Y2085">
        <f>ReconciliationData[[#This Row],[ordered_units]]*ReconciliationData[[#This Row],[List_Price]]</f>
        <v>20267.481599999999</v>
      </c>
      <c r="Z2085">
        <f>ReconciliationData[[#This Row],[billed_revenue]]-ReconciliationData[[#This Row],[expected_revenue]]</f>
        <v>0</v>
      </c>
      <c r="AA20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5" t="str">
        <f>IF(ReconciliationData[[#This Row],[severity_score]]=0,"LOW",
 IF(ReconciliationData[[#This Row],[severity_score]]&lt;=5,"MEDIUM","HIGH"))</f>
        <v>LOW</v>
      </c>
      <c r="AC2085" t="str">
        <f>TEXT(ReconciliationData[[#This Row],[Order_Date]],"YYYY-MM")</f>
        <v>2023-06</v>
      </c>
    </row>
    <row r="2086" spans="1:29">
      <c r="A2086" t="s">
        <v>5347</v>
      </c>
      <c r="B2086" s="1">
        <v>45351</v>
      </c>
      <c r="C2086" t="s">
        <v>429</v>
      </c>
      <c r="D2086" t="s">
        <v>283</v>
      </c>
      <c r="E2086">
        <v>8</v>
      </c>
      <c r="F2086" t="s">
        <v>5348</v>
      </c>
      <c r="G2086">
        <v>8</v>
      </c>
      <c r="H2086">
        <v>415.70589999999999</v>
      </c>
      <c r="N2086">
        <v>415.70589999999999</v>
      </c>
      <c r="O2086" s="1">
        <v>44989</v>
      </c>
      <c r="P2086">
        <f>IF(ISBLANK(ReconciliationData[[#This Row],[Invoice_ID]]),1,0)</f>
        <v>0</v>
      </c>
      <c r="Q2086">
        <f>IF(AND(NOT(ISBLANK(ReconciliationData[[#This Row],[Billed_Units]])),ReconciliationData[[#This Row],[ordered_units]]&lt;&gt;ReconciliationData[[#This Row],[Billed_Units]]),1,0)</f>
        <v>0</v>
      </c>
      <c r="R20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6">
        <f>IF(AND(NOT(ISBLANK(ReconciliationData[[#This Row],[Contract_Price]])),ReconciliationData[[#This Row],[Billed_Price]]&lt;&gt;ReconciliationData[[#This Row],[Contract_Price]]),1,0)</f>
        <v>0</v>
      </c>
      <c r="T2086">
        <f>IF(AND(NOT(ISBLANK(ReconciliationData[[#This Row],[End_Date]])),ReconciliationData[[#This Row],[Order_Date]]&gt;ReconciliationData[[#This Row],[End_Date]]),1,0)</f>
        <v>0</v>
      </c>
      <c r="U2086">
        <f>IF(AND(NOT(ISBLANK(ReconciliationData[[#This Row],[last_return_date]])),ReconciliationData[[#This Row],[last_return_date]]&gt;ReconciliationData[[#This Row],[Order_Date]]+60),1,0)</f>
        <v>0</v>
      </c>
      <c r="V2086">
        <f>IF(ReconciliationData[[#This Row],[total_returned_units]]&gt;ReconciliationData[[#This Row],[ordered_units]],1,0)</f>
        <v>0</v>
      </c>
      <c r="W20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6">
        <f>ReconciliationData[[#This Row],[Billed_Units]]*ReconciliationData[[#This Row],[Billed_Price]]</f>
        <v>3325.6471999999999</v>
      </c>
      <c r="Y2086">
        <f>ReconciliationData[[#This Row],[ordered_units]]*ReconciliationData[[#This Row],[List_Price]]</f>
        <v>3325.6471999999999</v>
      </c>
      <c r="Z2086">
        <f>ReconciliationData[[#This Row],[billed_revenue]]-ReconciliationData[[#This Row],[expected_revenue]]</f>
        <v>0</v>
      </c>
      <c r="AA20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6" t="str">
        <f>IF(ReconciliationData[[#This Row],[severity_score]]=0,"LOW",
 IF(ReconciliationData[[#This Row],[severity_score]]&lt;=5,"MEDIUM","HIGH"))</f>
        <v>LOW</v>
      </c>
      <c r="AC2086" t="str">
        <f>TEXT(ReconciliationData[[#This Row],[Order_Date]],"YYYY-MM")</f>
        <v>2024-02</v>
      </c>
    </row>
    <row r="2087" spans="1:29">
      <c r="A2087" t="s">
        <v>5349</v>
      </c>
      <c r="B2087" s="1">
        <v>45574</v>
      </c>
      <c r="C2087" t="s">
        <v>222</v>
      </c>
      <c r="D2087" t="s">
        <v>828</v>
      </c>
      <c r="E2087">
        <v>185</v>
      </c>
      <c r="F2087" t="s">
        <v>5350</v>
      </c>
      <c r="G2087">
        <v>185</v>
      </c>
      <c r="H2087">
        <v>893.8972</v>
      </c>
      <c r="N2087">
        <v>893.8972</v>
      </c>
      <c r="O2087" s="1">
        <v>45049</v>
      </c>
      <c r="P2087">
        <f>IF(ISBLANK(ReconciliationData[[#This Row],[Invoice_ID]]),1,0)</f>
        <v>0</v>
      </c>
      <c r="Q2087">
        <f>IF(AND(NOT(ISBLANK(ReconciliationData[[#This Row],[Billed_Units]])),ReconciliationData[[#This Row],[ordered_units]]&lt;&gt;ReconciliationData[[#This Row],[Billed_Units]]),1,0)</f>
        <v>0</v>
      </c>
      <c r="R20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7">
        <f>IF(AND(NOT(ISBLANK(ReconciliationData[[#This Row],[Contract_Price]])),ReconciliationData[[#This Row],[Billed_Price]]&lt;&gt;ReconciliationData[[#This Row],[Contract_Price]]),1,0)</f>
        <v>0</v>
      </c>
      <c r="T2087">
        <f>IF(AND(NOT(ISBLANK(ReconciliationData[[#This Row],[End_Date]])),ReconciliationData[[#This Row],[Order_Date]]&gt;ReconciliationData[[#This Row],[End_Date]]),1,0)</f>
        <v>0</v>
      </c>
      <c r="U2087">
        <f>IF(AND(NOT(ISBLANK(ReconciliationData[[#This Row],[last_return_date]])),ReconciliationData[[#This Row],[last_return_date]]&gt;ReconciliationData[[#This Row],[Order_Date]]+60),1,0)</f>
        <v>0</v>
      </c>
      <c r="V2087">
        <f>IF(ReconciliationData[[#This Row],[total_returned_units]]&gt;ReconciliationData[[#This Row],[ordered_units]],1,0)</f>
        <v>0</v>
      </c>
      <c r="W20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7">
        <f>ReconciliationData[[#This Row],[Billed_Units]]*ReconciliationData[[#This Row],[Billed_Price]]</f>
        <v>165370.98199999999</v>
      </c>
      <c r="Y2087">
        <f>ReconciliationData[[#This Row],[ordered_units]]*ReconciliationData[[#This Row],[List_Price]]</f>
        <v>165370.98199999999</v>
      </c>
      <c r="Z2087">
        <f>ReconciliationData[[#This Row],[billed_revenue]]-ReconciliationData[[#This Row],[expected_revenue]]</f>
        <v>0</v>
      </c>
      <c r="AA20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7" t="str">
        <f>IF(ReconciliationData[[#This Row],[severity_score]]=0,"LOW",
 IF(ReconciliationData[[#This Row],[severity_score]]&lt;=5,"MEDIUM","HIGH"))</f>
        <v>LOW</v>
      </c>
      <c r="AC2087" t="str">
        <f>TEXT(ReconciliationData[[#This Row],[Order_Date]],"YYYY-MM")</f>
        <v>2024-10</v>
      </c>
    </row>
    <row r="2088" spans="1:29">
      <c r="A2088" t="s">
        <v>5351</v>
      </c>
      <c r="B2088" s="1">
        <v>45086</v>
      </c>
      <c r="C2088" t="s">
        <v>547</v>
      </c>
      <c r="D2088" t="s">
        <v>1878</v>
      </c>
      <c r="E2088">
        <v>8</v>
      </c>
      <c r="F2088" t="s">
        <v>5352</v>
      </c>
      <c r="G2088">
        <v>8</v>
      </c>
      <c r="H2088">
        <v>752.34559999999999</v>
      </c>
      <c r="N2088">
        <v>752.34559999999999</v>
      </c>
      <c r="O2088" s="1">
        <v>44900</v>
      </c>
      <c r="P2088">
        <f>IF(ISBLANK(ReconciliationData[[#This Row],[Invoice_ID]]),1,0)</f>
        <v>0</v>
      </c>
      <c r="Q2088">
        <f>IF(AND(NOT(ISBLANK(ReconciliationData[[#This Row],[Billed_Units]])),ReconciliationData[[#This Row],[ordered_units]]&lt;&gt;ReconciliationData[[#This Row],[Billed_Units]]),1,0)</f>
        <v>0</v>
      </c>
      <c r="R20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8">
        <f>IF(AND(NOT(ISBLANK(ReconciliationData[[#This Row],[Contract_Price]])),ReconciliationData[[#This Row],[Billed_Price]]&lt;&gt;ReconciliationData[[#This Row],[Contract_Price]]),1,0)</f>
        <v>0</v>
      </c>
      <c r="T2088">
        <f>IF(AND(NOT(ISBLANK(ReconciliationData[[#This Row],[End_Date]])),ReconciliationData[[#This Row],[Order_Date]]&gt;ReconciliationData[[#This Row],[End_Date]]),1,0)</f>
        <v>0</v>
      </c>
      <c r="U2088">
        <f>IF(AND(NOT(ISBLANK(ReconciliationData[[#This Row],[last_return_date]])),ReconciliationData[[#This Row],[last_return_date]]&gt;ReconciliationData[[#This Row],[Order_Date]]+60),1,0)</f>
        <v>0</v>
      </c>
      <c r="V2088">
        <f>IF(ReconciliationData[[#This Row],[total_returned_units]]&gt;ReconciliationData[[#This Row],[ordered_units]],1,0)</f>
        <v>0</v>
      </c>
      <c r="W20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8">
        <f>ReconciliationData[[#This Row],[Billed_Units]]*ReconciliationData[[#This Row],[Billed_Price]]</f>
        <v>6018.7647999999999</v>
      </c>
      <c r="Y2088">
        <f>ReconciliationData[[#This Row],[ordered_units]]*ReconciliationData[[#This Row],[List_Price]]</f>
        <v>6018.7647999999999</v>
      </c>
      <c r="Z2088">
        <f>ReconciliationData[[#This Row],[billed_revenue]]-ReconciliationData[[#This Row],[expected_revenue]]</f>
        <v>0</v>
      </c>
      <c r="AA20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8" t="str">
        <f>IF(ReconciliationData[[#This Row],[severity_score]]=0,"LOW",
 IF(ReconciliationData[[#This Row],[severity_score]]&lt;=5,"MEDIUM","HIGH"))</f>
        <v>LOW</v>
      </c>
      <c r="AC2088" t="str">
        <f>TEXT(ReconciliationData[[#This Row],[Order_Date]],"YYYY-MM")</f>
        <v>2023-06</v>
      </c>
    </row>
    <row r="2089" spans="1:29">
      <c r="A2089" t="s">
        <v>5353</v>
      </c>
      <c r="B2089" s="1">
        <v>45040</v>
      </c>
      <c r="C2089" t="s">
        <v>3553</v>
      </c>
      <c r="D2089" t="s">
        <v>445</v>
      </c>
      <c r="E2089">
        <v>125</v>
      </c>
      <c r="F2089" t="s">
        <v>5354</v>
      </c>
      <c r="G2089">
        <v>125</v>
      </c>
      <c r="H2089">
        <v>754.02560000000005</v>
      </c>
      <c r="N2089">
        <v>754.02560000000005</v>
      </c>
      <c r="O2089" s="1">
        <v>44949</v>
      </c>
      <c r="P2089">
        <f>IF(ISBLANK(ReconciliationData[[#This Row],[Invoice_ID]]),1,0)</f>
        <v>0</v>
      </c>
      <c r="Q2089">
        <f>IF(AND(NOT(ISBLANK(ReconciliationData[[#This Row],[Billed_Units]])),ReconciliationData[[#This Row],[ordered_units]]&lt;&gt;ReconciliationData[[#This Row],[Billed_Units]]),1,0)</f>
        <v>0</v>
      </c>
      <c r="R20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89">
        <f>IF(AND(NOT(ISBLANK(ReconciliationData[[#This Row],[Contract_Price]])),ReconciliationData[[#This Row],[Billed_Price]]&lt;&gt;ReconciliationData[[#This Row],[Contract_Price]]),1,0)</f>
        <v>0</v>
      </c>
      <c r="T2089">
        <f>IF(AND(NOT(ISBLANK(ReconciliationData[[#This Row],[End_Date]])),ReconciliationData[[#This Row],[Order_Date]]&gt;ReconciliationData[[#This Row],[End_Date]]),1,0)</f>
        <v>0</v>
      </c>
      <c r="U2089">
        <f>IF(AND(NOT(ISBLANK(ReconciliationData[[#This Row],[last_return_date]])),ReconciliationData[[#This Row],[last_return_date]]&gt;ReconciliationData[[#This Row],[Order_Date]]+60),1,0)</f>
        <v>0</v>
      </c>
      <c r="V2089">
        <f>IF(ReconciliationData[[#This Row],[total_returned_units]]&gt;ReconciliationData[[#This Row],[ordered_units]],1,0)</f>
        <v>0</v>
      </c>
      <c r="W20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89">
        <f>ReconciliationData[[#This Row],[Billed_Units]]*ReconciliationData[[#This Row],[Billed_Price]]</f>
        <v>94253.200000000012</v>
      </c>
      <c r="Y2089">
        <f>ReconciliationData[[#This Row],[ordered_units]]*ReconciliationData[[#This Row],[List_Price]]</f>
        <v>94253.200000000012</v>
      </c>
      <c r="Z2089">
        <f>ReconciliationData[[#This Row],[billed_revenue]]-ReconciliationData[[#This Row],[expected_revenue]]</f>
        <v>0</v>
      </c>
      <c r="AA20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89" t="str">
        <f>IF(ReconciliationData[[#This Row],[severity_score]]=0,"LOW",
 IF(ReconciliationData[[#This Row],[severity_score]]&lt;=5,"MEDIUM","HIGH"))</f>
        <v>LOW</v>
      </c>
      <c r="AC2089" t="str">
        <f>TEXT(ReconciliationData[[#This Row],[Order_Date]],"YYYY-MM")</f>
        <v>2023-04</v>
      </c>
    </row>
    <row r="2090" spans="1:29">
      <c r="A2090" t="s">
        <v>5355</v>
      </c>
      <c r="B2090" s="1">
        <v>45329</v>
      </c>
      <c r="C2090" t="s">
        <v>262</v>
      </c>
      <c r="D2090" t="s">
        <v>275</v>
      </c>
      <c r="E2090">
        <v>17</v>
      </c>
      <c r="F2090" t="s">
        <v>5356</v>
      </c>
      <c r="G2090">
        <v>17</v>
      </c>
      <c r="H2090">
        <v>397.19560000000001</v>
      </c>
      <c r="N2090">
        <v>397.19560000000001</v>
      </c>
      <c r="O2090" s="1">
        <v>44932</v>
      </c>
      <c r="P2090">
        <f>IF(ISBLANK(ReconciliationData[[#This Row],[Invoice_ID]]),1,0)</f>
        <v>0</v>
      </c>
      <c r="Q2090">
        <f>IF(AND(NOT(ISBLANK(ReconciliationData[[#This Row],[Billed_Units]])),ReconciliationData[[#This Row],[ordered_units]]&lt;&gt;ReconciliationData[[#This Row],[Billed_Units]]),1,0)</f>
        <v>0</v>
      </c>
      <c r="R20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0">
        <f>IF(AND(NOT(ISBLANK(ReconciliationData[[#This Row],[Contract_Price]])),ReconciliationData[[#This Row],[Billed_Price]]&lt;&gt;ReconciliationData[[#This Row],[Contract_Price]]),1,0)</f>
        <v>0</v>
      </c>
      <c r="T2090">
        <f>IF(AND(NOT(ISBLANK(ReconciliationData[[#This Row],[End_Date]])),ReconciliationData[[#This Row],[Order_Date]]&gt;ReconciliationData[[#This Row],[End_Date]]),1,0)</f>
        <v>0</v>
      </c>
      <c r="U2090">
        <f>IF(AND(NOT(ISBLANK(ReconciliationData[[#This Row],[last_return_date]])),ReconciliationData[[#This Row],[last_return_date]]&gt;ReconciliationData[[#This Row],[Order_Date]]+60),1,0)</f>
        <v>0</v>
      </c>
      <c r="V2090">
        <f>IF(ReconciliationData[[#This Row],[total_returned_units]]&gt;ReconciliationData[[#This Row],[ordered_units]],1,0)</f>
        <v>0</v>
      </c>
      <c r="W20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90">
        <f>ReconciliationData[[#This Row],[Billed_Units]]*ReconciliationData[[#This Row],[Billed_Price]]</f>
        <v>6752.3252000000002</v>
      </c>
      <c r="Y2090">
        <f>ReconciliationData[[#This Row],[ordered_units]]*ReconciliationData[[#This Row],[List_Price]]</f>
        <v>6752.3252000000002</v>
      </c>
      <c r="Z2090">
        <f>ReconciliationData[[#This Row],[billed_revenue]]-ReconciliationData[[#This Row],[expected_revenue]]</f>
        <v>0</v>
      </c>
      <c r="AA20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90" t="str">
        <f>IF(ReconciliationData[[#This Row],[severity_score]]=0,"LOW",
 IF(ReconciliationData[[#This Row],[severity_score]]&lt;=5,"MEDIUM","HIGH"))</f>
        <v>LOW</v>
      </c>
      <c r="AC2090" t="str">
        <f>TEXT(ReconciliationData[[#This Row],[Order_Date]],"YYYY-MM")</f>
        <v>2024-02</v>
      </c>
    </row>
    <row r="2091" spans="1:29">
      <c r="A2091" t="s">
        <v>5357</v>
      </c>
      <c r="B2091" s="1">
        <v>45222</v>
      </c>
      <c r="C2091" t="s">
        <v>1958</v>
      </c>
      <c r="D2091" t="s">
        <v>560</v>
      </c>
      <c r="E2091">
        <v>98</v>
      </c>
      <c r="F2091" t="s">
        <v>5358</v>
      </c>
      <c r="G2091">
        <v>98</v>
      </c>
      <c r="H2091">
        <v>1119.6587000000002</v>
      </c>
      <c r="N2091">
        <v>1119.6587000000002</v>
      </c>
      <c r="O2091" s="1">
        <v>45147</v>
      </c>
      <c r="P2091">
        <f>IF(ISBLANK(ReconciliationData[[#This Row],[Invoice_ID]]),1,0)</f>
        <v>0</v>
      </c>
      <c r="Q2091">
        <f>IF(AND(NOT(ISBLANK(ReconciliationData[[#This Row],[Billed_Units]])),ReconciliationData[[#This Row],[ordered_units]]&lt;&gt;ReconciliationData[[#This Row],[Billed_Units]]),1,0)</f>
        <v>0</v>
      </c>
      <c r="R20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1">
        <f>IF(AND(NOT(ISBLANK(ReconciliationData[[#This Row],[Contract_Price]])),ReconciliationData[[#This Row],[Billed_Price]]&lt;&gt;ReconciliationData[[#This Row],[Contract_Price]]),1,0)</f>
        <v>0</v>
      </c>
      <c r="T2091">
        <f>IF(AND(NOT(ISBLANK(ReconciliationData[[#This Row],[End_Date]])),ReconciliationData[[#This Row],[Order_Date]]&gt;ReconciliationData[[#This Row],[End_Date]]),1,0)</f>
        <v>0</v>
      </c>
      <c r="U2091">
        <f>IF(AND(NOT(ISBLANK(ReconciliationData[[#This Row],[last_return_date]])),ReconciliationData[[#This Row],[last_return_date]]&gt;ReconciliationData[[#This Row],[Order_Date]]+60),1,0)</f>
        <v>0</v>
      </c>
      <c r="V2091">
        <f>IF(ReconciliationData[[#This Row],[total_returned_units]]&gt;ReconciliationData[[#This Row],[ordered_units]],1,0)</f>
        <v>0</v>
      </c>
      <c r="W20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91">
        <f>ReconciliationData[[#This Row],[Billed_Units]]*ReconciliationData[[#This Row],[Billed_Price]]</f>
        <v>109726.55260000002</v>
      </c>
      <c r="Y2091">
        <f>ReconciliationData[[#This Row],[ordered_units]]*ReconciliationData[[#This Row],[List_Price]]</f>
        <v>109726.55260000002</v>
      </c>
      <c r="Z2091">
        <f>ReconciliationData[[#This Row],[billed_revenue]]-ReconciliationData[[#This Row],[expected_revenue]]</f>
        <v>0</v>
      </c>
      <c r="AA20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91" t="str">
        <f>IF(ReconciliationData[[#This Row],[severity_score]]=0,"LOW",
 IF(ReconciliationData[[#This Row],[severity_score]]&lt;=5,"MEDIUM","HIGH"))</f>
        <v>LOW</v>
      </c>
      <c r="AC2091" t="str">
        <f>TEXT(ReconciliationData[[#This Row],[Order_Date]],"YYYY-MM")</f>
        <v>2023-10</v>
      </c>
    </row>
    <row r="2092" spans="1:29">
      <c r="A2092" t="s">
        <v>5359</v>
      </c>
      <c r="B2092" s="1">
        <v>44986</v>
      </c>
      <c r="C2092" t="s">
        <v>1801</v>
      </c>
      <c r="D2092" t="s">
        <v>2421</v>
      </c>
      <c r="E2092">
        <v>84</v>
      </c>
      <c r="F2092" t="s">
        <v>5360</v>
      </c>
      <c r="G2092">
        <v>84</v>
      </c>
      <c r="H2092">
        <v>596.07000000000005</v>
      </c>
      <c r="N2092">
        <v>596.07000000000005</v>
      </c>
      <c r="O2092" s="1">
        <v>44984</v>
      </c>
      <c r="P2092">
        <f>IF(ISBLANK(ReconciliationData[[#This Row],[Invoice_ID]]),1,0)</f>
        <v>0</v>
      </c>
      <c r="Q2092">
        <f>IF(AND(NOT(ISBLANK(ReconciliationData[[#This Row],[Billed_Units]])),ReconciliationData[[#This Row],[ordered_units]]&lt;&gt;ReconciliationData[[#This Row],[Billed_Units]]),1,0)</f>
        <v>0</v>
      </c>
      <c r="R20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2">
        <f>IF(AND(NOT(ISBLANK(ReconciliationData[[#This Row],[Contract_Price]])),ReconciliationData[[#This Row],[Billed_Price]]&lt;&gt;ReconciliationData[[#This Row],[Contract_Price]]),1,0)</f>
        <v>0</v>
      </c>
      <c r="T2092">
        <f>IF(AND(NOT(ISBLANK(ReconciliationData[[#This Row],[End_Date]])),ReconciliationData[[#This Row],[Order_Date]]&gt;ReconciliationData[[#This Row],[End_Date]]),1,0)</f>
        <v>0</v>
      </c>
      <c r="U2092">
        <f>IF(AND(NOT(ISBLANK(ReconciliationData[[#This Row],[last_return_date]])),ReconciliationData[[#This Row],[last_return_date]]&gt;ReconciliationData[[#This Row],[Order_Date]]+60),1,0)</f>
        <v>0</v>
      </c>
      <c r="V2092">
        <f>IF(ReconciliationData[[#This Row],[total_returned_units]]&gt;ReconciliationData[[#This Row],[ordered_units]],1,0)</f>
        <v>0</v>
      </c>
      <c r="W20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92">
        <f>ReconciliationData[[#This Row],[Billed_Units]]*ReconciliationData[[#This Row],[Billed_Price]]</f>
        <v>50069.880000000005</v>
      </c>
      <c r="Y2092">
        <f>ReconciliationData[[#This Row],[ordered_units]]*ReconciliationData[[#This Row],[List_Price]]</f>
        <v>50069.880000000005</v>
      </c>
      <c r="Z2092">
        <f>ReconciliationData[[#This Row],[billed_revenue]]-ReconciliationData[[#This Row],[expected_revenue]]</f>
        <v>0</v>
      </c>
      <c r="AA20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92" t="str">
        <f>IF(ReconciliationData[[#This Row],[severity_score]]=0,"LOW",
 IF(ReconciliationData[[#This Row],[severity_score]]&lt;=5,"MEDIUM","HIGH"))</f>
        <v>LOW</v>
      </c>
      <c r="AC2092" t="str">
        <f>TEXT(ReconciliationData[[#This Row],[Order_Date]],"YYYY-MM")</f>
        <v>2023-03</v>
      </c>
    </row>
    <row r="2093" spans="1:29">
      <c r="A2093" t="s">
        <v>5361</v>
      </c>
      <c r="B2093" s="1">
        <v>45292</v>
      </c>
      <c r="C2093" t="s">
        <v>3462</v>
      </c>
      <c r="D2093" t="s">
        <v>3770</v>
      </c>
      <c r="E2093">
        <v>148</v>
      </c>
      <c r="F2093" t="s">
        <v>5362</v>
      </c>
      <c r="G2093">
        <v>148</v>
      </c>
      <c r="H2093">
        <v>724.16120000000001</v>
      </c>
      <c r="I2093">
        <v>7</v>
      </c>
      <c r="J2093" s="1">
        <v>45677</v>
      </c>
      <c r="N2093">
        <v>724.16120000000001</v>
      </c>
      <c r="O2093" s="1">
        <v>45044</v>
      </c>
      <c r="P2093">
        <f>IF(ISBLANK(ReconciliationData[[#This Row],[Invoice_ID]]),1,0)</f>
        <v>0</v>
      </c>
      <c r="Q2093">
        <f>IF(AND(NOT(ISBLANK(ReconciliationData[[#This Row],[Billed_Units]])),ReconciliationData[[#This Row],[ordered_units]]&lt;&gt;ReconciliationData[[#This Row],[Billed_Units]]),1,0)</f>
        <v>0</v>
      </c>
      <c r="R20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3">
        <f>IF(AND(NOT(ISBLANK(ReconciliationData[[#This Row],[Contract_Price]])),ReconciliationData[[#This Row],[Billed_Price]]&lt;&gt;ReconciliationData[[#This Row],[Contract_Price]]),1,0)</f>
        <v>0</v>
      </c>
      <c r="T2093">
        <f>IF(AND(NOT(ISBLANK(ReconciliationData[[#This Row],[End_Date]])),ReconciliationData[[#This Row],[Order_Date]]&gt;ReconciliationData[[#This Row],[End_Date]]),1,0)</f>
        <v>0</v>
      </c>
      <c r="U2093">
        <f>IF(AND(NOT(ISBLANK(ReconciliationData[[#This Row],[last_return_date]])),ReconciliationData[[#This Row],[last_return_date]]&gt;ReconciliationData[[#This Row],[Order_Date]]+60),1,0)</f>
        <v>1</v>
      </c>
      <c r="V2093">
        <f>IF(ReconciliationData[[#This Row],[total_returned_units]]&gt;ReconciliationData[[#This Row],[ordered_units]],1,0)</f>
        <v>0</v>
      </c>
      <c r="W20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093">
        <f>ReconciliationData[[#This Row],[Billed_Units]]*ReconciliationData[[#This Row],[Billed_Price]]</f>
        <v>107175.8576</v>
      </c>
      <c r="Y2093">
        <f>ReconciliationData[[#This Row],[ordered_units]]*ReconciliationData[[#This Row],[List_Price]]</f>
        <v>107175.8576</v>
      </c>
      <c r="Z2093">
        <f>ReconciliationData[[#This Row],[billed_revenue]]-ReconciliationData[[#This Row],[expected_revenue]]</f>
        <v>0</v>
      </c>
      <c r="AA20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093" t="str">
        <f>IF(ReconciliationData[[#This Row],[severity_score]]=0,"LOW",
 IF(ReconciliationData[[#This Row],[severity_score]]&lt;=5,"MEDIUM","HIGH"))</f>
        <v>MEDIUM</v>
      </c>
      <c r="AC2093" t="str">
        <f>TEXT(ReconciliationData[[#This Row],[Order_Date]],"YYYY-MM")</f>
        <v>2024-01</v>
      </c>
    </row>
    <row r="2094" spans="1:29">
      <c r="A2094" t="s">
        <v>5363</v>
      </c>
      <c r="B2094" s="1">
        <v>45452</v>
      </c>
      <c r="C2094" t="s">
        <v>1941</v>
      </c>
      <c r="D2094" t="s">
        <v>2682</v>
      </c>
      <c r="E2094">
        <v>110</v>
      </c>
      <c r="F2094" t="s">
        <v>5364</v>
      </c>
      <c r="G2094">
        <v>110</v>
      </c>
      <c r="H2094">
        <v>1032.7408</v>
      </c>
      <c r="N2094">
        <v>1032.7408</v>
      </c>
      <c r="O2094" s="1">
        <v>45077</v>
      </c>
      <c r="P2094">
        <f>IF(ISBLANK(ReconciliationData[[#This Row],[Invoice_ID]]),1,0)</f>
        <v>0</v>
      </c>
      <c r="Q2094">
        <f>IF(AND(NOT(ISBLANK(ReconciliationData[[#This Row],[Billed_Units]])),ReconciliationData[[#This Row],[ordered_units]]&lt;&gt;ReconciliationData[[#This Row],[Billed_Units]]),1,0)</f>
        <v>0</v>
      </c>
      <c r="R20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4">
        <f>IF(AND(NOT(ISBLANK(ReconciliationData[[#This Row],[Contract_Price]])),ReconciliationData[[#This Row],[Billed_Price]]&lt;&gt;ReconciliationData[[#This Row],[Contract_Price]]),1,0)</f>
        <v>0</v>
      </c>
      <c r="T2094">
        <f>IF(AND(NOT(ISBLANK(ReconciliationData[[#This Row],[End_Date]])),ReconciliationData[[#This Row],[Order_Date]]&gt;ReconciliationData[[#This Row],[End_Date]]),1,0)</f>
        <v>0</v>
      </c>
      <c r="U2094">
        <f>IF(AND(NOT(ISBLANK(ReconciliationData[[#This Row],[last_return_date]])),ReconciliationData[[#This Row],[last_return_date]]&gt;ReconciliationData[[#This Row],[Order_Date]]+60),1,0)</f>
        <v>0</v>
      </c>
      <c r="V2094">
        <f>IF(ReconciliationData[[#This Row],[total_returned_units]]&gt;ReconciliationData[[#This Row],[ordered_units]],1,0)</f>
        <v>0</v>
      </c>
      <c r="W20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94">
        <f>ReconciliationData[[#This Row],[Billed_Units]]*ReconciliationData[[#This Row],[Billed_Price]]</f>
        <v>113601.488</v>
      </c>
      <c r="Y2094">
        <f>ReconciliationData[[#This Row],[ordered_units]]*ReconciliationData[[#This Row],[List_Price]]</f>
        <v>113601.488</v>
      </c>
      <c r="Z2094">
        <f>ReconciliationData[[#This Row],[billed_revenue]]-ReconciliationData[[#This Row],[expected_revenue]]</f>
        <v>0</v>
      </c>
      <c r="AA20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94" t="str">
        <f>IF(ReconciliationData[[#This Row],[severity_score]]=0,"LOW",
 IF(ReconciliationData[[#This Row],[severity_score]]&lt;=5,"MEDIUM","HIGH"))</f>
        <v>LOW</v>
      </c>
      <c r="AC2094" t="str">
        <f>TEXT(ReconciliationData[[#This Row],[Order_Date]],"YYYY-MM")</f>
        <v>2024-06</v>
      </c>
    </row>
    <row r="2095" spans="1:29">
      <c r="A2095" t="s">
        <v>5365</v>
      </c>
      <c r="B2095" s="1">
        <v>45269</v>
      </c>
      <c r="C2095" t="s">
        <v>2920</v>
      </c>
      <c r="D2095" t="s">
        <v>162</v>
      </c>
      <c r="E2095">
        <v>30</v>
      </c>
      <c r="F2095" t="s">
        <v>5366</v>
      </c>
      <c r="G2095">
        <v>30</v>
      </c>
      <c r="H2095">
        <v>510.91840000000002</v>
      </c>
      <c r="N2095">
        <v>510.91840000000002</v>
      </c>
      <c r="O2095" s="1">
        <v>44981</v>
      </c>
      <c r="P2095">
        <f>IF(ISBLANK(ReconciliationData[[#This Row],[Invoice_ID]]),1,0)</f>
        <v>0</v>
      </c>
      <c r="Q2095">
        <f>IF(AND(NOT(ISBLANK(ReconciliationData[[#This Row],[Billed_Units]])),ReconciliationData[[#This Row],[ordered_units]]&lt;&gt;ReconciliationData[[#This Row],[Billed_Units]]),1,0)</f>
        <v>0</v>
      </c>
      <c r="R20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5">
        <f>IF(AND(NOT(ISBLANK(ReconciliationData[[#This Row],[Contract_Price]])),ReconciliationData[[#This Row],[Billed_Price]]&lt;&gt;ReconciliationData[[#This Row],[Contract_Price]]),1,0)</f>
        <v>0</v>
      </c>
      <c r="T2095">
        <f>IF(AND(NOT(ISBLANK(ReconciliationData[[#This Row],[End_Date]])),ReconciliationData[[#This Row],[Order_Date]]&gt;ReconciliationData[[#This Row],[End_Date]]),1,0)</f>
        <v>0</v>
      </c>
      <c r="U2095">
        <f>IF(AND(NOT(ISBLANK(ReconciliationData[[#This Row],[last_return_date]])),ReconciliationData[[#This Row],[last_return_date]]&gt;ReconciliationData[[#This Row],[Order_Date]]+60),1,0)</f>
        <v>0</v>
      </c>
      <c r="V2095">
        <f>IF(ReconciliationData[[#This Row],[total_returned_units]]&gt;ReconciliationData[[#This Row],[ordered_units]],1,0)</f>
        <v>0</v>
      </c>
      <c r="W20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95">
        <f>ReconciliationData[[#This Row],[Billed_Units]]*ReconciliationData[[#This Row],[Billed_Price]]</f>
        <v>15327.552</v>
      </c>
      <c r="Y2095">
        <f>ReconciliationData[[#This Row],[ordered_units]]*ReconciliationData[[#This Row],[List_Price]]</f>
        <v>15327.552</v>
      </c>
      <c r="Z2095">
        <f>ReconciliationData[[#This Row],[billed_revenue]]-ReconciliationData[[#This Row],[expected_revenue]]</f>
        <v>0</v>
      </c>
      <c r="AA20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95" t="str">
        <f>IF(ReconciliationData[[#This Row],[severity_score]]=0,"LOW",
 IF(ReconciliationData[[#This Row],[severity_score]]&lt;=5,"MEDIUM","HIGH"))</f>
        <v>LOW</v>
      </c>
      <c r="AC2095" t="str">
        <f>TEXT(ReconciliationData[[#This Row],[Order_Date]],"YYYY-MM")</f>
        <v>2023-12</v>
      </c>
    </row>
    <row r="2096" spans="1:29">
      <c r="A2096" t="s">
        <v>5367</v>
      </c>
      <c r="B2096" s="1">
        <v>44993</v>
      </c>
      <c r="C2096" t="s">
        <v>3309</v>
      </c>
      <c r="D2096" t="s">
        <v>944</v>
      </c>
      <c r="E2096">
        <v>11</v>
      </c>
      <c r="F2096" t="s">
        <v>5368</v>
      </c>
      <c r="G2096">
        <v>11</v>
      </c>
      <c r="H2096">
        <v>1016.7027</v>
      </c>
      <c r="N2096">
        <v>1016.7027</v>
      </c>
      <c r="O2096" s="1">
        <v>44955</v>
      </c>
      <c r="P2096">
        <f>IF(ISBLANK(ReconciliationData[[#This Row],[Invoice_ID]]),1,0)</f>
        <v>0</v>
      </c>
      <c r="Q2096">
        <f>IF(AND(NOT(ISBLANK(ReconciliationData[[#This Row],[Billed_Units]])),ReconciliationData[[#This Row],[ordered_units]]&lt;&gt;ReconciliationData[[#This Row],[Billed_Units]]),1,0)</f>
        <v>0</v>
      </c>
      <c r="R20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6">
        <f>IF(AND(NOT(ISBLANK(ReconciliationData[[#This Row],[Contract_Price]])),ReconciliationData[[#This Row],[Billed_Price]]&lt;&gt;ReconciliationData[[#This Row],[Contract_Price]]),1,0)</f>
        <v>0</v>
      </c>
      <c r="T2096">
        <f>IF(AND(NOT(ISBLANK(ReconciliationData[[#This Row],[End_Date]])),ReconciliationData[[#This Row],[Order_Date]]&gt;ReconciliationData[[#This Row],[End_Date]]),1,0)</f>
        <v>0</v>
      </c>
      <c r="U2096">
        <f>IF(AND(NOT(ISBLANK(ReconciliationData[[#This Row],[last_return_date]])),ReconciliationData[[#This Row],[last_return_date]]&gt;ReconciliationData[[#This Row],[Order_Date]]+60),1,0)</f>
        <v>0</v>
      </c>
      <c r="V2096">
        <f>IF(ReconciliationData[[#This Row],[total_returned_units]]&gt;ReconciliationData[[#This Row],[ordered_units]],1,0)</f>
        <v>0</v>
      </c>
      <c r="W20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96">
        <f>ReconciliationData[[#This Row],[Billed_Units]]*ReconciliationData[[#This Row],[Billed_Price]]</f>
        <v>11183.7297</v>
      </c>
      <c r="Y2096">
        <f>ReconciliationData[[#This Row],[ordered_units]]*ReconciliationData[[#This Row],[List_Price]]</f>
        <v>11183.7297</v>
      </c>
      <c r="Z2096">
        <f>ReconciliationData[[#This Row],[billed_revenue]]-ReconciliationData[[#This Row],[expected_revenue]]</f>
        <v>0</v>
      </c>
      <c r="AA20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96" t="str">
        <f>IF(ReconciliationData[[#This Row],[severity_score]]=0,"LOW",
 IF(ReconciliationData[[#This Row],[severity_score]]&lt;=5,"MEDIUM","HIGH"))</f>
        <v>LOW</v>
      </c>
      <c r="AC2096" t="str">
        <f>TEXT(ReconciliationData[[#This Row],[Order_Date]],"YYYY-MM")</f>
        <v>2023-03</v>
      </c>
    </row>
    <row r="2097" spans="1:29">
      <c r="A2097" t="s">
        <v>5369</v>
      </c>
      <c r="B2097" s="1">
        <v>45321</v>
      </c>
      <c r="C2097" t="s">
        <v>2420</v>
      </c>
      <c r="D2097" t="s">
        <v>1845</v>
      </c>
      <c r="E2097">
        <v>188</v>
      </c>
      <c r="F2097" t="s">
        <v>5370</v>
      </c>
      <c r="G2097">
        <v>188</v>
      </c>
      <c r="H2097">
        <v>901.84500000000003</v>
      </c>
      <c r="N2097">
        <v>901.84500000000003</v>
      </c>
      <c r="O2097" s="1">
        <v>45216</v>
      </c>
      <c r="P2097">
        <f>IF(ISBLANK(ReconciliationData[[#This Row],[Invoice_ID]]),1,0)</f>
        <v>0</v>
      </c>
      <c r="Q2097">
        <f>IF(AND(NOT(ISBLANK(ReconciliationData[[#This Row],[Billed_Units]])),ReconciliationData[[#This Row],[ordered_units]]&lt;&gt;ReconciliationData[[#This Row],[Billed_Units]]),1,0)</f>
        <v>0</v>
      </c>
      <c r="R20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7">
        <f>IF(AND(NOT(ISBLANK(ReconciliationData[[#This Row],[Contract_Price]])),ReconciliationData[[#This Row],[Billed_Price]]&lt;&gt;ReconciliationData[[#This Row],[Contract_Price]]),1,0)</f>
        <v>0</v>
      </c>
      <c r="T2097">
        <f>IF(AND(NOT(ISBLANK(ReconciliationData[[#This Row],[End_Date]])),ReconciliationData[[#This Row],[Order_Date]]&gt;ReconciliationData[[#This Row],[End_Date]]),1,0)</f>
        <v>0</v>
      </c>
      <c r="U2097">
        <f>IF(AND(NOT(ISBLANK(ReconciliationData[[#This Row],[last_return_date]])),ReconciliationData[[#This Row],[last_return_date]]&gt;ReconciliationData[[#This Row],[Order_Date]]+60),1,0)</f>
        <v>0</v>
      </c>
      <c r="V2097">
        <f>IF(ReconciliationData[[#This Row],[total_returned_units]]&gt;ReconciliationData[[#This Row],[ordered_units]],1,0)</f>
        <v>0</v>
      </c>
      <c r="W20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97">
        <f>ReconciliationData[[#This Row],[Billed_Units]]*ReconciliationData[[#This Row],[Billed_Price]]</f>
        <v>169546.86000000002</v>
      </c>
      <c r="Y2097">
        <f>ReconciliationData[[#This Row],[ordered_units]]*ReconciliationData[[#This Row],[List_Price]]</f>
        <v>169546.86000000002</v>
      </c>
      <c r="Z2097">
        <f>ReconciliationData[[#This Row],[billed_revenue]]-ReconciliationData[[#This Row],[expected_revenue]]</f>
        <v>0</v>
      </c>
      <c r="AA20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97" t="str">
        <f>IF(ReconciliationData[[#This Row],[severity_score]]=0,"LOW",
 IF(ReconciliationData[[#This Row],[severity_score]]&lt;=5,"MEDIUM","HIGH"))</f>
        <v>LOW</v>
      </c>
      <c r="AC2097" t="str">
        <f>TEXT(ReconciliationData[[#This Row],[Order_Date]],"YYYY-MM")</f>
        <v>2024-01</v>
      </c>
    </row>
    <row r="2098" spans="1:29">
      <c r="A2098" t="s">
        <v>5371</v>
      </c>
      <c r="B2098" s="1">
        <v>45570</v>
      </c>
      <c r="C2098" t="s">
        <v>2186</v>
      </c>
      <c r="D2098" t="s">
        <v>856</v>
      </c>
      <c r="E2098">
        <v>65</v>
      </c>
      <c r="F2098" t="s">
        <v>5372</v>
      </c>
      <c r="G2098">
        <v>65</v>
      </c>
      <c r="H2098">
        <v>1195.6769999999999</v>
      </c>
      <c r="N2098">
        <v>1195.6769999999999</v>
      </c>
      <c r="O2098" s="1">
        <v>45010</v>
      </c>
      <c r="P2098">
        <f>IF(ISBLANK(ReconciliationData[[#This Row],[Invoice_ID]]),1,0)</f>
        <v>0</v>
      </c>
      <c r="Q2098">
        <f>IF(AND(NOT(ISBLANK(ReconciliationData[[#This Row],[Billed_Units]])),ReconciliationData[[#This Row],[ordered_units]]&lt;&gt;ReconciliationData[[#This Row],[Billed_Units]]),1,0)</f>
        <v>0</v>
      </c>
      <c r="R20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8">
        <f>IF(AND(NOT(ISBLANK(ReconciliationData[[#This Row],[Contract_Price]])),ReconciliationData[[#This Row],[Billed_Price]]&lt;&gt;ReconciliationData[[#This Row],[Contract_Price]]),1,0)</f>
        <v>0</v>
      </c>
      <c r="T2098">
        <f>IF(AND(NOT(ISBLANK(ReconciliationData[[#This Row],[End_Date]])),ReconciliationData[[#This Row],[Order_Date]]&gt;ReconciliationData[[#This Row],[End_Date]]),1,0)</f>
        <v>0</v>
      </c>
      <c r="U2098">
        <f>IF(AND(NOT(ISBLANK(ReconciliationData[[#This Row],[last_return_date]])),ReconciliationData[[#This Row],[last_return_date]]&gt;ReconciliationData[[#This Row],[Order_Date]]+60),1,0)</f>
        <v>0</v>
      </c>
      <c r="V2098">
        <f>IF(ReconciliationData[[#This Row],[total_returned_units]]&gt;ReconciliationData[[#This Row],[ordered_units]],1,0)</f>
        <v>0</v>
      </c>
      <c r="W20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98">
        <f>ReconciliationData[[#This Row],[Billed_Units]]*ReconciliationData[[#This Row],[Billed_Price]]</f>
        <v>77719.00499999999</v>
      </c>
      <c r="Y2098">
        <f>ReconciliationData[[#This Row],[ordered_units]]*ReconciliationData[[#This Row],[List_Price]]</f>
        <v>77719.00499999999</v>
      </c>
      <c r="Z2098">
        <f>ReconciliationData[[#This Row],[billed_revenue]]-ReconciliationData[[#This Row],[expected_revenue]]</f>
        <v>0</v>
      </c>
      <c r="AA20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98" t="str">
        <f>IF(ReconciliationData[[#This Row],[severity_score]]=0,"LOW",
 IF(ReconciliationData[[#This Row],[severity_score]]&lt;=5,"MEDIUM","HIGH"))</f>
        <v>LOW</v>
      </c>
      <c r="AC2098" t="str">
        <f>TEXT(ReconciliationData[[#This Row],[Order_Date]],"YYYY-MM")</f>
        <v>2024-10</v>
      </c>
    </row>
    <row r="2099" spans="1:29">
      <c r="A2099" t="s">
        <v>5373</v>
      </c>
      <c r="B2099" s="1">
        <v>45243</v>
      </c>
      <c r="C2099" t="s">
        <v>165</v>
      </c>
      <c r="D2099" t="s">
        <v>951</v>
      </c>
      <c r="E2099">
        <v>173</v>
      </c>
      <c r="F2099" t="s">
        <v>5374</v>
      </c>
      <c r="G2099">
        <v>173</v>
      </c>
      <c r="H2099">
        <v>571.32999999999993</v>
      </c>
      <c r="N2099">
        <v>571.32999999999993</v>
      </c>
      <c r="O2099" s="1">
        <v>45206</v>
      </c>
      <c r="P2099">
        <f>IF(ISBLANK(ReconciliationData[[#This Row],[Invoice_ID]]),1,0)</f>
        <v>0</v>
      </c>
      <c r="Q2099">
        <f>IF(AND(NOT(ISBLANK(ReconciliationData[[#This Row],[Billed_Units]])),ReconciliationData[[#This Row],[ordered_units]]&lt;&gt;ReconciliationData[[#This Row],[Billed_Units]]),1,0)</f>
        <v>0</v>
      </c>
      <c r="R20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099">
        <f>IF(AND(NOT(ISBLANK(ReconciliationData[[#This Row],[Contract_Price]])),ReconciliationData[[#This Row],[Billed_Price]]&lt;&gt;ReconciliationData[[#This Row],[Contract_Price]]),1,0)</f>
        <v>0</v>
      </c>
      <c r="T2099">
        <f>IF(AND(NOT(ISBLANK(ReconciliationData[[#This Row],[End_Date]])),ReconciliationData[[#This Row],[Order_Date]]&gt;ReconciliationData[[#This Row],[End_Date]]),1,0)</f>
        <v>0</v>
      </c>
      <c r="U2099">
        <f>IF(AND(NOT(ISBLANK(ReconciliationData[[#This Row],[last_return_date]])),ReconciliationData[[#This Row],[last_return_date]]&gt;ReconciliationData[[#This Row],[Order_Date]]+60),1,0)</f>
        <v>0</v>
      </c>
      <c r="V2099">
        <f>IF(ReconciliationData[[#This Row],[total_returned_units]]&gt;ReconciliationData[[#This Row],[ordered_units]],1,0)</f>
        <v>0</v>
      </c>
      <c r="W20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099">
        <f>ReconciliationData[[#This Row],[Billed_Units]]*ReconciliationData[[#This Row],[Billed_Price]]</f>
        <v>98840.089999999982</v>
      </c>
      <c r="Y2099">
        <f>ReconciliationData[[#This Row],[ordered_units]]*ReconciliationData[[#This Row],[List_Price]]</f>
        <v>98840.089999999982</v>
      </c>
      <c r="Z2099">
        <f>ReconciliationData[[#This Row],[billed_revenue]]-ReconciliationData[[#This Row],[expected_revenue]]</f>
        <v>0</v>
      </c>
      <c r="AA20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099" t="str">
        <f>IF(ReconciliationData[[#This Row],[severity_score]]=0,"LOW",
 IF(ReconciliationData[[#This Row],[severity_score]]&lt;=5,"MEDIUM","HIGH"))</f>
        <v>LOW</v>
      </c>
      <c r="AC2099" t="str">
        <f>TEXT(ReconciliationData[[#This Row],[Order_Date]],"YYYY-MM")</f>
        <v>2023-11</v>
      </c>
    </row>
    <row r="2100" spans="1:29">
      <c r="A2100" t="s">
        <v>5375</v>
      </c>
      <c r="B2100" s="1">
        <v>44934</v>
      </c>
      <c r="C2100" t="s">
        <v>943</v>
      </c>
      <c r="D2100" t="s">
        <v>166</v>
      </c>
      <c r="E2100">
        <v>30</v>
      </c>
      <c r="F2100" t="s">
        <v>5376</v>
      </c>
      <c r="G2100">
        <v>30</v>
      </c>
      <c r="H2100">
        <v>365.95330000000001</v>
      </c>
      <c r="N2100">
        <v>365.95330000000001</v>
      </c>
      <c r="O2100" s="1">
        <v>44824</v>
      </c>
      <c r="P2100">
        <f>IF(ISBLANK(ReconciliationData[[#This Row],[Invoice_ID]]),1,0)</f>
        <v>0</v>
      </c>
      <c r="Q2100">
        <f>IF(AND(NOT(ISBLANK(ReconciliationData[[#This Row],[Billed_Units]])),ReconciliationData[[#This Row],[ordered_units]]&lt;&gt;ReconciliationData[[#This Row],[Billed_Units]]),1,0)</f>
        <v>0</v>
      </c>
      <c r="R21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00">
        <f>IF(AND(NOT(ISBLANK(ReconciliationData[[#This Row],[Contract_Price]])),ReconciliationData[[#This Row],[Billed_Price]]&lt;&gt;ReconciliationData[[#This Row],[Contract_Price]]),1,0)</f>
        <v>0</v>
      </c>
      <c r="T2100">
        <f>IF(AND(NOT(ISBLANK(ReconciliationData[[#This Row],[End_Date]])),ReconciliationData[[#This Row],[Order_Date]]&gt;ReconciliationData[[#This Row],[End_Date]]),1,0)</f>
        <v>0</v>
      </c>
      <c r="U2100">
        <f>IF(AND(NOT(ISBLANK(ReconciliationData[[#This Row],[last_return_date]])),ReconciliationData[[#This Row],[last_return_date]]&gt;ReconciliationData[[#This Row],[Order_Date]]+60),1,0)</f>
        <v>0</v>
      </c>
      <c r="V2100">
        <f>IF(ReconciliationData[[#This Row],[total_returned_units]]&gt;ReconciliationData[[#This Row],[ordered_units]],1,0)</f>
        <v>0</v>
      </c>
      <c r="W21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00">
        <f>ReconciliationData[[#This Row],[Billed_Units]]*ReconciliationData[[#This Row],[Billed_Price]]</f>
        <v>10978.599</v>
      </c>
      <c r="Y2100">
        <f>ReconciliationData[[#This Row],[ordered_units]]*ReconciliationData[[#This Row],[List_Price]]</f>
        <v>10978.599</v>
      </c>
      <c r="Z2100">
        <f>ReconciliationData[[#This Row],[billed_revenue]]-ReconciliationData[[#This Row],[expected_revenue]]</f>
        <v>0</v>
      </c>
      <c r="AA21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00" t="str">
        <f>IF(ReconciliationData[[#This Row],[severity_score]]=0,"LOW",
 IF(ReconciliationData[[#This Row],[severity_score]]&lt;=5,"MEDIUM","HIGH"))</f>
        <v>LOW</v>
      </c>
      <c r="AC2100" t="str">
        <f>TEXT(ReconciliationData[[#This Row],[Order_Date]],"YYYY-MM")</f>
        <v>2023-01</v>
      </c>
    </row>
    <row r="2101" spans="1:29">
      <c r="A2101" t="s">
        <v>5377</v>
      </c>
      <c r="B2101" s="1">
        <v>45181</v>
      </c>
      <c r="C2101" t="s">
        <v>1141</v>
      </c>
      <c r="D2101" t="s">
        <v>782</v>
      </c>
      <c r="E2101">
        <v>103</v>
      </c>
      <c r="F2101" t="s">
        <v>5378</v>
      </c>
      <c r="G2101">
        <v>112</v>
      </c>
      <c r="H2101">
        <v>216.2484</v>
      </c>
      <c r="N2101">
        <v>216.2484</v>
      </c>
      <c r="O2101" s="1">
        <v>44944</v>
      </c>
      <c r="P2101">
        <f>IF(ISBLANK(ReconciliationData[[#This Row],[Invoice_ID]]),1,0)</f>
        <v>0</v>
      </c>
      <c r="Q2101">
        <f>IF(AND(NOT(ISBLANK(ReconciliationData[[#This Row],[Billed_Units]])),ReconciliationData[[#This Row],[ordered_units]]&lt;&gt;ReconciliationData[[#This Row],[Billed_Units]]),1,0)</f>
        <v>1</v>
      </c>
      <c r="R21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01">
        <f>IF(AND(NOT(ISBLANK(ReconciliationData[[#This Row],[Contract_Price]])),ReconciliationData[[#This Row],[Billed_Price]]&lt;&gt;ReconciliationData[[#This Row],[Contract_Price]]),1,0)</f>
        <v>0</v>
      </c>
      <c r="T2101">
        <f>IF(AND(NOT(ISBLANK(ReconciliationData[[#This Row],[End_Date]])),ReconciliationData[[#This Row],[Order_Date]]&gt;ReconciliationData[[#This Row],[End_Date]]),1,0)</f>
        <v>0</v>
      </c>
      <c r="U2101">
        <f>IF(AND(NOT(ISBLANK(ReconciliationData[[#This Row],[last_return_date]])),ReconciliationData[[#This Row],[last_return_date]]&gt;ReconciliationData[[#This Row],[Order_Date]]+60),1,0)</f>
        <v>0</v>
      </c>
      <c r="V2101">
        <f>IF(ReconciliationData[[#This Row],[total_returned_units]]&gt;ReconciliationData[[#This Row],[ordered_units]],1,0)</f>
        <v>0</v>
      </c>
      <c r="W21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01">
        <f>ReconciliationData[[#This Row],[Billed_Units]]*ReconciliationData[[#This Row],[Billed_Price]]</f>
        <v>24219.820800000001</v>
      </c>
      <c r="Y2101">
        <f>ReconciliationData[[#This Row],[ordered_units]]*ReconciliationData[[#This Row],[List_Price]]</f>
        <v>22273.585200000001</v>
      </c>
      <c r="Z2101">
        <f>ReconciliationData[[#This Row],[billed_revenue]]-ReconciliationData[[#This Row],[expected_revenue]]</f>
        <v>1946.2356</v>
      </c>
      <c r="AA21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101" t="str">
        <f>IF(ReconciliationData[[#This Row],[severity_score]]=0,"LOW",
 IF(ReconciliationData[[#This Row],[severity_score]]&lt;=5,"MEDIUM","HIGH"))</f>
        <v>HIGH</v>
      </c>
      <c r="AC2101" t="str">
        <f>TEXT(ReconciliationData[[#This Row],[Order_Date]],"YYYY-MM")</f>
        <v>2023-09</v>
      </c>
    </row>
    <row r="2102" spans="1:29">
      <c r="A2102" t="s">
        <v>5379</v>
      </c>
      <c r="B2102" s="1">
        <v>44970</v>
      </c>
      <c r="C2102" t="s">
        <v>4300</v>
      </c>
      <c r="D2102" t="s">
        <v>3297</v>
      </c>
      <c r="E2102">
        <v>10</v>
      </c>
      <c r="F2102" t="s">
        <v>5380</v>
      </c>
      <c r="G2102">
        <v>10</v>
      </c>
      <c r="H2102">
        <v>998.12520000000018</v>
      </c>
      <c r="N2102">
        <v>998.12520000000018</v>
      </c>
      <c r="O2102" s="1">
        <v>44963</v>
      </c>
      <c r="P2102">
        <f>IF(ISBLANK(ReconciliationData[[#This Row],[Invoice_ID]]),1,0)</f>
        <v>0</v>
      </c>
      <c r="Q2102">
        <f>IF(AND(NOT(ISBLANK(ReconciliationData[[#This Row],[Billed_Units]])),ReconciliationData[[#This Row],[ordered_units]]&lt;&gt;ReconciliationData[[#This Row],[Billed_Units]]),1,0)</f>
        <v>0</v>
      </c>
      <c r="R21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02">
        <f>IF(AND(NOT(ISBLANK(ReconciliationData[[#This Row],[Contract_Price]])),ReconciliationData[[#This Row],[Billed_Price]]&lt;&gt;ReconciliationData[[#This Row],[Contract_Price]]),1,0)</f>
        <v>0</v>
      </c>
      <c r="T2102">
        <f>IF(AND(NOT(ISBLANK(ReconciliationData[[#This Row],[End_Date]])),ReconciliationData[[#This Row],[Order_Date]]&gt;ReconciliationData[[#This Row],[End_Date]]),1,0)</f>
        <v>0</v>
      </c>
      <c r="U2102">
        <f>IF(AND(NOT(ISBLANK(ReconciliationData[[#This Row],[last_return_date]])),ReconciliationData[[#This Row],[last_return_date]]&gt;ReconciliationData[[#This Row],[Order_Date]]+60),1,0)</f>
        <v>0</v>
      </c>
      <c r="V2102">
        <f>IF(ReconciliationData[[#This Row],[total_returned_units]]&gt;ReconciliationData[[#This Row],[ordered_units]],1,0)</f>
        <v>0</v>
      </c>
      <c r="W21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02">
        <f>ReconciliationData[[#This Row],[Billed_Units]]*ReconciliationData[[#This Row],[Billed_Price]]</f>
        <v>9981.2520000000022</v>
      </c>
      <c r="Y2102">
        <f>ReconciliationData[[#This Row],[ordered_units]]*ReconciliationData[[#This Row],[List_Price]]</f>
        <v>9981.2520000000022</v>
      </c>
      <c r="Z2102">
        <f>ReconciliationData[[#This Row],[billed_revenue]]-ReconciliationData[[#This Row],[expected_revenue]]</f>
        <v>0</v>
      </c>
      <c r="AA21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02" t="str">
        <f>IF(ReconciliationData[[#This Row],[severity_score]]=0,"LOW",
 IF(ReconciliationData[[#This Row],[severity_score]]&lt;=5,"MEDIUM","HIGH"))</f>
        <v>LOW</v>
      </c>
      <c r="AC2102" t="str">
        <f>TEXT(ReconciliationData[[#This Row],[Order_Date]],"YYYY-MM")</f>
        <v>2023-02</v>
      </c>
    </row>
    <row r="2103" spans="1:29">
      <c r="A2103" t="s">
        <v>5381</v>
      </c>
      <c r="B2103" s="1">
        <v>44971</v>
      </c>
      <c r="C2103" t="s">
        <v>2378</v>
      </c>
      <c r="D2103" t="s">
        <v>360</v>
      </c>
      <c r="E2103">
        <v>14</v>
      </c>
      <c r="F2103" t="s">
        <v>5382</v>
      </c>
      <c r="G2103">
        <v>14</v>
      </c>
      <c r="H2103">
        <v>456.09</v>
      </c>
      <c r="N2103">
        <v>456.09</v>
      </c>
      <c r="O2103" s="1">
        <v>44678</v>
      </c>
      <c r="P2103">
        <f>IF(ISBLANK(ReconciliationData[[#This Row],[Invoice_ID]]),1,0)</f>
        <v>0</v>
      </c>
      <c r="Q2103">
        <f>IF(AND(NOT(ISBLANK(ReconciliationData[[#This Row],[Billed_Units]])),ReconciliationData[[#This Row],[ordered_units]]&lt;&gt;ReconciliationData[[#This Row],[Billed_Units]]),1,0)</f>
        <v>0</v>
      </c>
      <c r="R21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03">
        <f>IF(AND(NOT(ISBLANK(ReconciliationData[[#This Row],[Contract_Price]])),ReconciliationData[[#This Row],[Billed_Price]]&lt;&gt;ReconciliationData[[#This Row],[Contract_Price]]),1,0)</f>
        <v>0</v>
      </c>
      <c r="T2103">
        <f>IF(AND(NOT(ISBLANK(ReconciliationData[[#This Row],[End_Date]])),ReconciliationData[[#This Row],[Order_Date]]&gt;ReconciliationData[[#This Row],[End_Date]]),1,0)</f>
        <v>0</v>
      </c>
      <c r="U2103">
        <f>IF(AND(NOT(ISBLANK(ReconciliationData[[#This Row],[last_return_date]])),ReconciliationData[[#This Row],[last_return_date]]&gt;ReconciliationData[[#This Row],[Order_Date]]+60),1,0)</f>
        <v>0</v>
      </c>
      <c r="V2103">
        <f>IF(ReconciliationData[[#This Row],[total_returned_units]]&gt;ReconciliationData[[#This Row],[ordered_units]],1,0)</f>
        <v>0</v>
      </c>
      <c r="W21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03">
        <f>ReconciliationData[[#This Row],[Billed_Units]]*ReconciliationData[[#This Row],[Billed_Price]]</f>
        <v>6385.2599999999993</v>
      </c>
      <c r="Y2103">
        <f>ReconciliationData[[#This Row],[ordered_units]]*ReconciliationData[[#This Row],[List_Price]]</f>
        <v>6385.2599999999993</v>
      </c>
      <c r="Z2103">
        <f>ReconciliationData[[#This Row],[billed_revenue]]-ReconciliationData[[#This Row],[expected_revenue]]</f>
        <v>0</v>
      </c>
      <c r="AA21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03" t="str">
        <f>IF(ReconciliationData[[#This Row],[severity_score]]=0,"LOW",
 IF(ReconciliationData[[#This Row],[severity_score]]&lt;=5,"MEDIUM","HIGH"))</f>
        <v>LOW</v>
      </c>
      <c r="AC2103" t="str">
        <f>TEXT(ReconciliationData[[#This Row],[Order_Date]],"YYYY-MM")</f>
        <v>2023-02</v>
      </c>
    </row>
    <row r="2104" spans="1:29">
      <c r="A2104" t="s">
        <v>5383</v>
      </c>
      <c r="B2104" s="1">
        <v>45146</v>
      </c>
      <c r="C2104" t="s">
        <v>1040</v>
      </c>
      <c r="D2104" t="s">
        <v>533</v>
      </c>
      <c r="E2104">
        <v>107</v>
      </c>
      <c r="F2104" t="s">
        <v>5384</v>
      </c>
      <c r="G2104">
        <v>107</v>
      </c>
      <c r="H2104">
        <v>859.25750000000005</v>
      </c>
      <c r="N2104">
        <v>859.25750000000005</v>
      </c>
      <c r="O2104" s="1">
        <v>44782</v>
      </c>
      <c r="P2104">
        <f>IF(ISBLANK(ReconciliationData[[#This Row],[Invoice_ID]]),1,0)</f>
        <v>0</v>
      </c>
      <c r="Q2104">
        <f>IF(AND(NOT(ISBLANK(ReconciliationData[[#This Row],[Billed_Units]])),ReconciliationData[[#This Row],[ordered_units]]&lt;&gt;ReconciliationData[[#This Row],[Billed_Units]]),1,0)</f>
        <v>0</v>
      </c>
      <c r="R21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04">
        <f>IF(AND(NOT(ISBLANK(ReconciliationData[[#This Row],[Contract_Price]])),ReconciliationData[[#This Row],[Billed_Price]]&lt;&gt;ReconciliationData[[#This Row],[Contract_Price]]),1,0)</f>
        <v>0</v>
      </c>
      <c r="T2104">
        <f>IF(AND(NOT(ISBLANK(ReconciliationData[[#This Row],[End_Date]])),ReconciliationData[[#This Row],[Order_Date]]&gt;ReconciliationData[[#This Row],[End_Date]]),1,0)</f>
        <v>0</v>
      </c>
      <c r="U2104">
        <f>IF(AND(NOT(ISBLANK(ReconciliationData[[#This Row],[last_return_date]])),ReconciliationData[[#This Row],[last_return_date]]&gt;ReconciliationData[[#This Row],[Order_Date]]+60),1,0)</f>
        <v>0</v>
      </c>
      <c r="V2104">
        <f>IF(ReconciliationData[[#This Row],[total_returned_units]]&gt;ReconciliationData[[#This Row],[ordered_units]],1,0)</f>
        <v>0</v>
      </c>
      <c r="W21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04">
        <f>ReconciliationData[[#This Row],[Billed_Units]]*ReconciliationData[[#This Row],[Billed_Price]]</f>
        <v>91940.552500000005</v>
      </c>
      <c r="Y2104">
        <f>ReconciliationData[[#This Row],[ordered_units]]*ReconciliationData[[#This Row],[List_Price]]</f>
        <v>91940.552500000005</v>
      </c>
      <c r="Z2104">
        <f>ReconciliationData[[#This Row],[billed_revenue]]-ReconciliationData[[#This Row],[expected_revenue]]</f>
        <v>0</v>
      </c>
      <c r="AA21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04" t="str">
        <f>IF(ReconciliationData[[#This Row],[severity_score]]=0,"LOW",
 IF(ReconciliationData[[#This Row],[severity_score]]&lt;=5,"MEDIUM","HIGH"))</f>
        <v>LOW</v>
      </c>
      <c r="AC2104" t="str">
        <f>TEXT(ReconciliationData[[#This Row],[Order_Date]],"YYYY-MM")</f>
        <v>2023-08</v>
      </c>
    </row>
    <row r="2105" spans="1:29">
      <c r="A2105" t="s">
        <v>5385</v>
      </c>
      <c r="B2105" s="1">
        <v>45320</v>
      </c>
      <c r="C2105" t="s">
        <v>1064</v>
      </c>
      <c r="D2105" t="s">
        <v>757</v>
      </c>
      <c r="E2105">
        <v>94</v>
      </c>
      <c r="F2105" t="s">
        <v>5386</v>
      </c>
      <c r="G2105">
        <v>94</v>
      </c>
      <c r="H2105">
        <v>744.44590000000005</v>
      </c>
      <c r="N2105">
        <v>744.44590000000005</v>
      </c>
      <c r="O2105" s="1">
        <v>45008</v>
      </c>
      <c r="P2105">
        <f>IF(ISBLANK(ReconciliationData[[#This Row],[Invoice_ID]]),1,0)</f>
        <v>0</v>
      </c>
      <c r="Q2105">
        <f>IF(AND(NOT(ISBLANK(ReconciliationData[[#This Row],[Billed_Units]])),ReconciliationData[[#This Row],[ordered_units]]&lt;&gt;ReconciliationData[[#This Row],[Billed_Units]]),1,0)</f>
        <v>0</v>
      </c>
      <c r="R21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05">
        <f>IF(AND(NOT(ISBLANK(ReconciliationData[[#This Row],[Contract_Price]])),ReconciliationData[[#This Row],[Billed_Price]]&lt;&gt;ReconciliationData[[#This Row],[Contract_Price]]),1,0)</f>
        <v>0</v>
      </c>
      <c r="T2105">
        <f>IF(AND(NOT(ISBLANK(ReconciliationData[[#This Row],[End_Date]])),ReconciliationData[[#This Row],[Order_Date]]&gt;ReconciliationData[[#This Row],[End_Date]]),1,0)</f>
        <v>0</v>
      </c>
      <c r="U2105">
        <f>IF(AND(NOT(ISBLANK(ReconciliationData[[#This Row],[last_return_date]])),ReconciliationData[[#This Row],[last_return_date]]&gt;ReconciliationData[[#This Row],[Order_Date]]+60),1,0)</f>
        <v>0</v>
      </c>
      <c r="V2105">
        <f>IF(ReconciliationData[[#This Row],[total_returned_units]]&gt;ReconciliationData[[#This Row],[ordered_units]],1,0)</f>
        <v>0</v>
      </c>
      <c r="W21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05">
        <f>ReconciliationData[[#This Row],[Billed_Units]]*ReconciliationData[[#This Row],[Billed_Price]]</f>
        <v>69977.914600000004</v>
      </c>
      <c r="Y2105">
        <f>ReconciliationData[[#This Row],[ordered_units]]*ReconciliationData[[#This Row],[List_Price]]</f>
        <v>69977.914600000004</v>
      </c>
      <c r="Z2105">
        <f>ReconciliationData[[#This Row],[billed_revenue]]-ReconciliationData[[#This Row],[expected_revenue]]</f>
        <v>0</v>
      </c>
      <c r="AA21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05" t="str">
        <f>IF(ReconciliationData[[#This Row],[severity_score]]=0,"LOW",
 IF(ReconciliationData[[#This Row],[severity_score]]&lt;=5,"MEDIUM","HIGH"))</f>
        <v>LOW</v>
      </c>
      <c r="AC2105" t="str">
        <f>TEXT(ReconciliationData[[#This Row],[Order_Date]],"YYYY-MM")</f>
        <v>2024-01</v>
      </c>
    </row>
    <row r="2106" spans="1:29">
      <c r="A2106" t="s">
        <v>5387</v>
      </c>
      <c r="B2106" s="1">
        <v>45163</v>
      </c>
      <c r="C2106" t="s">
        <v>1108</v>
      </c>
      <c r="D2106" t="s">
        <v>2444</v>
      </c>
      <c r="E2106">
        <v>86</v>
      </c>
      <c r="F2106" t="s">
        <v>5388</v>
      </c>
      <c r="G2106">
        <v>86</v>
      </c>
      <c r="H2106">
        <v>797.23339999999996</v>
      </c>
      <c r="N2106">
        <v>797.23339999999996</v>
      </c>
      <c r="O2106" s="1">
        <v>45085</v>
      </c>
      <c r="P2106">
        <f>IF(ISBLANK(ReconciliationData[[#This Row],[Invoice_ID]]),1,0)</f>
        <v>0</v>
      </c>
      <c r="Q2106">
        <f>IF(AND(NOT(ISBLANK(ReconciliationData[[#This Row],[Billed_Units]])),ReconciliationData[[#This Row],[ordered_units]]&lt;&gt;ReconciliationData[[#This Row],[Billed_Units]]),1,0)</f>
        <v>0</v>
      </c>
      <c r="R21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06">
        <f>IF(AND(NOT(ISBLANK(ReconciliationData[[#This Row],[Contract_Price]])),ReconciliationData[[#This Row],[Billed_Price]]&lt;&gt;ReconciliationData[[#This Row],[Contract_Price]]),1,0)</f>
        <v>0</v>
      </c>
      <c r="T2106">
        <f>IF(AND(NOT(ISBLANK(ReconciliationData[[#This Row],[End_Date]])),ReconciliationData[[#This Row],[Order_Date]]&gt;ReconciliationData[[#This Row],[End_Date]]),1,0)</f>
        <v>0</v>
      </c>
      <c r="U2106">
        <f>IF(AND(NOT(ISBLANK(ReconciliationData[[#This Row],[last_return_date]])),ReconciliationData[[#This Row],[last_return_date]]&gt;ReconciliationData[[#This Row],[Order_Date]]+60),1,0)</f>
        <v>0</v>
      </c>
      <c r="V2106">
        <f>IF(ReconciliationData[[#This Row],[total_returned_units]]&gt;ReconciliationData[[#This Row],[ordered_units]],1,0)</f>
        <v>0</v>
      </c>
      <c r="W21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06">
        <f>ReconciliationData[[#This Row],[Billed_Units]]*ReconciliationData[[#This Row],[Billed_Price]]</f>
        <v>68562.07239999999</v>
      </c>
      <c r="Y2106">
        <f>ReconciliationData[[#This Row],[ordered_units]]*ReconciliationData[[#This Row],[List_Price]]</f>
        <v>68562.07239999999</v>
      </c>
      <c r="Z2106">
        <f>ReconciliationData[[#This Row],[billed_revenue]]-ReconciliationData[[#This Row],[expected_revenue]]</f>
        <v>0</v>
      </c>
      <c r="AA21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06" t="str">
        <f>IF(ReconciliationData[[#This Row],[severity_score]]=0,"LOW",
 IF(ReconciliationData[[#This Row],[severity_score]]&lt;=5,"MEDIUM","HIGH"))</f>
        <v>LOW</v>
      </c>
      <c r="AC2106" t="str">
        <f>TEXT(ReconciliationData[[#This Row],[Order_Date]],"YYYY-MM")</f>
        <v>2023-08</v>
      </c>
    </row>
    <row r="2107" spans="1:29">
      <c r="A2107" t="s">
        <v>5389</v>
      </c>
      <c r="B2107" s="1">
        <v>45367</v>
      </c>
      <c r="C2107" t="s">
        <v>2814</v>
      </c>
      <c r="D2107" t="s">
        <v>457</v>
      </c>
      <c r="E2107">
        <v>169</v>
      </c>
      <c r="F2107" t="s">
        <v>5390</v>
      </c>
      <c r="G2107">
        <v>169</v>
      </c>
      <c r="H2107">
        <v>492.38400000000001</v>
      </c>
      <c r="N2107">
        <v>492.38400000000001</v>
      </c>
      <c r="O2107" s="1">
        <v>44966</v>
      </c>
      <c r="P2107">
        <f>IF(ISBLANK(ReconciliationData[[#This Row],[Invoice_ID]]),1,0)</f>
        <v>0</v>
      </c>
      <c r="Q2107">
        <f>IF(AND(NOT(ISBLANK(ReconciliationData[[#This Row],[Billed_Units]])),ReconciliationData[[#This Row],[ordered_units]]&lt;&gt;ReconciliationData[[#This Row],[Billed_Units]]),1,0)</f>
        <v>0</v>
      </c>
      <c r="R21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07">
        <f>IF(AND(NOT(ISBLANK(ReconciliationData[[#This Row],[Contract_Price]])),ReconciliationData[[#This Row],[Billed_Price]]&lt;&gt;ReconciliationData[[#This Row],[Contract_Price]]),1,0)</f>
        <v>0</v>
      </c>
      <c r="T2107">
        <f>IF(AND(NOT(ISBLANK(ReconciliationData[[#This Row],[End_Date]])),ReconciliationData[[#This Row],[Order_Date]]&gt;ReconciliationData[[#This Row],[End_Date]]),1,0)</f>
        <v>0</v>
      </c>
      <c r="U2107">
        <f>IF(AND(NOT(ISBLANK(ReconciliationData[[#This Row],[last_return_date]])),ReconciliationData[[#This Row],[last_return_date]]&gt;ReconciliationData[[#This Row],[Order_Date]]+60),1,0)</f>
        <v>0</v>
      </c>
      <c r="V2107">
        <f>IF(ReconciliationData[[#This Row],[total_returned_units]]&gt;ReconciliationData[[#This Row],[ordered_units]],1,0)</f>
        <v>0</v>
      </c>
      <c r="W21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07">
        <f>ReconciliationData[[#This Row],[Billed_Units]]*ReconciliationData[[#This Row],[Billed_Price]]</f>
        <v>83212.896000000008</v>
      </c>
      <c r="Y2107">
        <f>ReconciliationData[[#This Row],[ordered_units]]*ReconciliationData[[#This Row],[List_Price]]</f>
        <v>83212.896000000008</v>
      </c>
      <c r="Z2107">
        <f>ReconciliationData[[#This Row],[billed_revenue]]-ReconciliationData[[#This Row],[expected_revenue]]</f>
        <v>0</v>
      </c>
      <c r="AA21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07" t="str">
        <f>IF(ReconciliationData[[#This Row],[severity_score]]=0,"LOW",
 IF(ReconciliationData[[#This Row],[severity_score]]&lt;=5,"MEDIUM","HIGH"))</f>
        <v>LOW</v>
      </c>
      <c r="AC2107" t="str">
        <f>TEXT(ReconciliationData[[#This Row],[Order_Date]],"YYYY-MM")</f>
        <v>2024-03</v>
      </c>
    </row>
    <row r="2108" spans="1:29">
      <c r="A2108" t="s">
        <v>5391</v>
      </c>
      <c r="B2108" s="1">
        <v>45507</v>
      </c>
      <c r="C2108" t="s">
        <v>5392</v>
      </c>
      <c r="D2108" t="s">
        <v>1449</v>
      </c>
      <c r="E2108">
        <v>127</v>
      </c>
      <c r="F2108" t="s">
        <v>5393</v>
      </c>
      <c r="G2108">
        <v>127</v>
      </c>
      <c r="H2108">
        <v>960.85850000000005</v>
      </c>
      <c r="N2108">
        <v>960.85850000000005</v>
      </c>
      <c r="O2108" s="1">
        <v>45049</v>
      </c>
      <c r="P2108">
        <f>IF(ISBLANK(ReconciliationData[[#This Row],[Invoice_ID]]),1,0)</f>
        <v>0</v>
      </c>
      <c r="Q2108">
        <f>IF(AND(NOT(ISBLANK(ReconciliationData[[#This Row],[Billed_Units]])),ReconciliationData[[#This Row],[ordered_units]]&lt;&gt;ReconciliationData[[#This Row],[Billed_Units]]),1,0)</f>
        <v>0</v>
      </c>
      <c r="R21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08">
        <f>IF(AND(NOT(ISBLANK(ReconciliationData[[#This Row],[Contract_Price]])),ReconciliationData[[#This Row],[Billed_Price]]&lt;&gt;ReconciliationData[[#This Row],[Contract_Price]]),1,0)</f>
        <v>0</v>
      </c>
      <c r="T2108">
        <f>IF(AND(NOT(ISBLANK(ReconciliationData[[#This Row],[End_Date]])),ReconciliationData[[#This Row],[Order_Date]]&gt;ReconciliationData[[#This Row],[End_Date]]),1,0)</f>
        <v>0</v>
      </c>
      <c r="U2108">
        <f>IF(AND(NOT(ISBLANK(ReconciliationData[[#This Row],[last_return_date]])),ReconciliationData[[#This Row],[last_return_date]]&gt;ReconciliationData[[#This Row],[Order_Date]]+60),1,0)</f>
        <v>0</v>
      </c>
      <c r="V2108">
        <f>IF(ReconciliationData[[#This Row],[total_returned_units]]&gt;ReconciliationData[[#This Row],[ordered_units]],1,0)</f>
        <v>0</v>
      </c>
      <c r="W21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08">
        <f>ReconciliationData[[#This Row],[Billed_Units]]*ReconciliationData[[#This Row],[Billed_Price]]</f>
        <v>122029.0295</v>
      </c>
      <c r="Y2108">
        <f>ReconciliationData[[#This Row],[ordered_units]]*ReconciliationData[[#This Row],[List_Price]]</f>
        <v>122029.0295</v>
      </c>
      <c r="Z2108">
        <f>ReconciliationData[[#This Row],[billed_revenue]]-ReconciliationData[[#This Row],[expected_revenue]]</f>
        <v>0</v>
      </c>
      <c r="AA21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08" t="str">
        <f>IF(ReconciliationData[[#This Row],[severity_score]]=0,"LOW",
 IF(ReconciliationData[[#This Row],[severity_score]]&lt;=5,"MEDIUM","HIGH"))</f>
        <v>LOW</v>
      </c>
      <c r="AC2108" t="str">
        <f>TEXT(ReconciliationData[[#This Row],[Order_Date]],"YYYY-MM")</f>
        <v>2024-08</v>
      </c>
    </row>
    <row r="2109" spans="1:29">
      <c r="A2109" t="s">
        <v>5394</v>
      </c>
      <c r="B2109" s="1">
        <v>45232</v>
      </c>
      <c r="C2109" t="s">
        <v>2367</v>
      </c>
      <c r="D2109" t="s">
        <v>667</v>
      </c>
      <c r="E2109">
        <v>152</v>
      </c>
      <c r="F2109" t="s">
        <v>5395</v>
      </c>
      <c r="G2109">
        <v>152</v>
      </c>
      <c r="H2109">
        <v>990.40954436083621</v>
      </c>
      <c r="N2109">
        <v>989.96579999999994</v>
      </c>
      <c r="O2109" s="1">
        <v>44975</v>
      </c>
      <c r="P2109">
        <f>IF(ISBLANK(ReconciliationData[[#This Row],[Invoice_ID]]),1,0)</f>
        <v>0</v>
      </c>
      <c r="Q2109">
        <f>IF(AND(NOT(ISBLANK(ReconciliationData[[#This Row],[Billed_Units]])),ReconciliationData[[#This Row],[ordered_units]]&lt;&gt;ReconciliationData[[#This Row],[Billed_Units]]),1,0)</f>
        <v>0</v>
      </c>
      <c r="R210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109">
        <f>IF(AND(NOT(ISBLANK(ReconciliationData[[#This Row],[Contract_Price]])),ReconciliationData[[#This Row],[Billed_Price]]&lt;&gt;ReconciliationData[[#This Row],[Contract_Price]]),1,0)</f>
        <v>0</v>
      </c>
      <c r="T2109">
        <f>IF(AND(NOT(ISBLANK(ReconciliationData[[#This Row],[End_Date]])),ReconciliationData[[#This Row],[Order_Date]]&gt;ReconciliationData[[#This Row],[End_Date]]),1,0)</f>
        <v>0</v>
      </c>
      <c r="U2109">
        <f>IF(AND(NOT(ISBLANK(ReconciliationData[[#This Row],[last_return_date]])),ReconciliationData[[#This Row],[last_return_date]]&gt;ReconciliationData[[#This Row],[Order_Date]]+60),1,0)</f>
        <v>0</v>
      </c>
      <c r="V2109">
        <f>IF(ReconciliationData[[#This Row],[total_returned_units]]&gt;ReconciliationData[[#This Row],[ordered_units]],1,0)</f>
        <v>0</v>
      </c>
      <c r="W21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09">
        <f>ReconciliationData[[#This Row],[Billed_Units]]*ReconciliationData[[#This Row],[Billed_Price]]</f>
        <v>150542.2507428471</v>
      </c>
      <c r="Y2109">
        <f>ReconciliationData[[#This Row],[ordered_units]]*ReconciliationData[[#This Row],[List_Price]]</f>
        <v>150474.80160000001</v>
      </c>
      <c r="Z2109">
        <f>ReconciliationData[[#This Row],[billed_revenue]]-ReconciliationData[[#This Row],[expected_revenue]]</f>
        <v>67.449142847093754</v>
      </c>
      <c r="AA21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109" t="str">
        <f>IF(ReconciliationData[[#This Row],[severity_score]]=0,"LOW",
 IF(ReconciliationData[[#This Row],[severity_score]]&lt;=5,"MEDIUM","HIGH"))</f>
        <v>MEDIUM</v>
      </c>
      <c r="AC2109" t="str">
        <f>TEXT(ReconciliationData[[#This Row],[Order_Date]],"YYYY-MM")</f>
        <v>2023-11</v>
      </c>
    </row>
    <row r="2110" spans="1:29">
      <c r="A2110" t="s">
        <v>5396</v>
      </c>
      <c r="B2110" s="1">
        <v>44975</v>
      </c>
      <c r="C2110" t="s">
        <v>332</v>
      </c>
      <c r="D2110" t="s">
        <v>1717</v>
      </c>
      <c r="E2110">
        <v>166</v>
      </c>
      <c r="F2110" t="s">
        <v>5397</v>
      </c>
      <c r="G2110">
        <v>166</v>
      </c>
      <c r="H2110">
        <v>1110.93</v>
      </c>
      <c r="N2110">
        <v>1110.93</v>
      </c>
      <c r="O2110" s="1">
        <v>44727</v>
      </c>
      <c r="P2110">
        <f>IF(ISBLANK(ReconciliationData[[#This Row],[Invoice_ID]]),1,0)</f>
        <v>0</v>
      </c>
      <c r="Q2110">
        <f>IF(AND(NOT(ISBLANK(ReconciliationData[[#This Row],[Billed_Units]])),ReconciliationData[[#This Row],[ordered_units]]&lt;&gt;ReconciliationData[[#This Row],[Billed_Units]]),1,0)</f>
        <v>0</v>
      </c>
      <c r="R21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0">
        <f>IF(AND(NOT(ISBLANK(ReconciliationData[[#This Row],[Contract_Price]])),ReconciliationData[[#This Row],[Billed_Price]]&lt;&gt;ReconciliationData[[#This Row],[Contract_Price]]),1,0)</f>
        <v>0</v>
      </c>
      <c r="T2110">
        <f>IF(AND(NOT(ISBLANK(ReconciliationData[[#This Row],[End_Date]])),ReconciliationData[[#This Row],[Order_Date]]&gt;ReconciliationData[[#This Row],[End_Date]]),1,0)</f>
        <v>0</v>
      </c>
      <c r="U2110">
        <f>IF(AND(NOT(ISBLANK(ReconciliationData[[#This Row],[last_return_date]])),ReconciliationData[[#This Row],[last_return_date]]&gt;ReconciliationData[[#This Row],[Order_Date]]+60),1,0)</f>
        <v>0</v>
      </c>
      <c r="V2110">
        <f>IF(ReconciliationData[[#This Row],[total_returned_units]]&gt;ReconciliationData[[#This Row],[ordered_units]],1,0)</f>
        <v>0</v>
      </c>
      <c r="W21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10">
        <f>ReconciliationData[[#This Row],[Billed_Units]]*ReconciliationData[[#This Row],[Billed_Price]]</f>
        <v>184414.38</v>
      </c>
      <c r="Y2110">
        <f>ReconciliationData[[#This Row],[ordered_units]]*ReconciliationData[[#This Row],[List_Price]]</f>
        <v>184414.38</v>
      </c>
      <c r="Z2110">
        <f>ReconciliationData[[#This Row],[billed_revenue]]-ReconciliationData[[#This Row],[expected_revenue]]</f>
        <v>0</v>
      </c>
      <c r="AA21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10" t="str">
        <f>IF(ReconciliationData[[#This Row],[severity_score]]=0,"LOW",
 IF(ReconciliationData[[#This Row],[severity_score]]&lt;=5,"MEDIUM","HIGH"))</f>
        <v>LOW</v>
      </c>
      <c r="AC2110" t="str">
        <f>TEXT(ReconciliationData[[#This Row],[Order_Date]],"YYYY-MM")</f>
        <v>2023-02</v>
      </c>
    </row>
    <row r="2111" spans="1:29">
      <c r="A2111" t="s">
        <v>5398</v>
      </c>
      <c r="B2111" s="1">
        <v>45611</v>
      </c>
      <c r="C2111" t="s">
        <v>3203</v>
      </c>
      <c r="D2111" t="s">
        <v>287</v>
      </c>
      <c r="E2111">
        <v>106</v>
      </c>
      <c r="F2111" t="s">
        <v>5399</v>
      </c>
      <c r="G2111">
        <v>106</v>
      </c>
      <c r="H2111">
        <v>637.18399999999997</v>
      </c>
      <c r="N2111">
        <v>637.18399999999997</v>
      </c>
      <c r="O2111" s="1">
        <v>45175</v>
      </c>
      <c r="P2111">
        <f>IF(ISBLANK(ReconciliationData[[#This Row],[Invoice_ID]]),1,0)</f>
        <v>0</v>
      </c>
      <c r="Q2111">
        <f>IF(AND(NOT(ISBLANK(ReconciliationData[[#This Row],[Billed_Units]])),ReconciliationData[[#This Row],[ordered_units]]&lt;&gt;ReconciliationData[[#This Row],[Billed_Units]]),1,0)</f>
        <v>0</v>
      </c>
      <c r="R21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1">
        <f>IF(AND(NOT(ISBLANK(ReconciliationData[[#This Row],[Contract_Price]])),ReconciliationData[[#This Row],[Billed_Price]]&lt;&gt;ReconciliationData[[#This Row],[Contract_Price]]),1,0)</f>
        <v>0</v>
      </c>
      <c r="T2111">
        <f>IF(AND(NOT(ISBLANK(ReconciliationData[[#This Row],[End_Date]])),ReconciliationData[[#This Row],[Order_Date]]&gt;ReconciliationData[[#This Row],[End_Date]]),1,0)</f>
        <v>0</v>
      </c>
      <c r="U2111">
        <f>IF(AND(NOT(ISBLANK(ReconciliationData[[#This Row],[last_return_date]])),ReconciliationData[[#This Row],[last_return_date]]&gt;ReconciliationData[[#This Row],[Order_Date]]+60),1,0)</f>
        <v>0</v>
      </c>
      <c r="V2111">
        <f>IF(ReconciliationData[[#This Row],[total_returned_units]]&gt;ReconciliationData[[#This Row],[ordered_units]],1,0)</f>
        <v>0</v>
      </c>
      <c r="W21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11">
        <f>ReconciliationData[[#This Row],[Billed_Units]]*ReconciliationData[[#This Row],[Billed_Price]]</f>
        <v>67541.504000000001</v>
      </c>
      <c r="Y2111">
        <f>ReconciliationData[[#This Row],[ordered_units]]*ReconciliationData[[#This Row],[List_Price]]</f>
        <v>67541.504000000001</v>
      </c>
      <c r="Z2111">
        <f>ReconciliationData[[#This Row],[billed_revenue]]-ReconciliationData[[#This Row],[expected_revenue]]</f>
        <v>0</v>
      </c>
      <c r="AA21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11" t="str">
        <f>IF(ReconciliationData[[#This Row],[severity_score]]=0,"LOW",
 IF(ReconciliationData[[#This Row],[severity_score]]&lt;=5,"MEDIUM","HIGH"))</f>
        <v>LOW</v>
      </c>
      <c r="AC2111" t="str">
        <f>TEXT(ReconciliationData[[#This Row],[Order_Date]],"YYYY-MM")</f>
        <v>2024-11</v>
      </c>
    </row>
    <row r="2112" spans="1:29">
      <c r="A2112" t="s">
        <v>5400</v>
      </c>
      <c r="B2112" s="1">
        <v>45362</v>
      </c>
      <c r="C2112" t="s">
        <v>1905</v>
      </c>
      <c r="D2112" t="s">
        <v>2097</v>
      </c>
      <c r="E2112">
        <v>69</v>
      </c>
      <c r="F2112" t="s">
        <v>5401</v>
      </c>
      <c r="G2112">
        <v>69</v>
      </c>
      <c r="H2112">
        <v>599.90620000000001</v>
      </c>
      <c r="N2112">
        <v>599.90620000000001</v>
      </c>
      <c r="O2112" s="1">
        <v>45060</v>
      </c>
      <c r="P2112">
        <f>IF(ISBLANK(ReconciliationData[[#This Row],[Invoice_ID]]),1,0)</f>
        <v>0</v>
      </c>
      <c r="Q2112">
        <f>IF(AND(NOT(ISBLANK(ReconciliationData[[#This Row],[Billed_Units]])),ReconciliationData[[#This Row],[ordered_units]]&lt;&gt;ReconciliationData[[#This Row],[Billed_Units]]),1,0)</f>
        <v>0</v>
      </c>
      <c r="R21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2">
        <f>IF(AND(NOT(ISBLANK(ReconciliationData[[#This Row],[Contract_Price]])),ReconciliationData[[#This Row],[Billed_Price]]&lt;&gt;ReconciliationData[[#This Row],[Contract_Price]]),1,0)</f>
        <v>0</v>
      </c>
      <c r="T2112">
        <f>IF(AND(NOT(ISBLANK(ReconciliationData[[#This Row],[End_Date]])),ReconciliationData[[#This Row],[Order_Date]]&gt;ReconciliationData[[#This Row],[End_Date]]),1,0)</f>
        <v>0</v>
      </c>
      <c r="U2112">
        <f>IF(AND(NOT(ISBLANK(ReconciliationData[[#This Row],[last_return_date]])),ReconciliationData[[#This Row],[last_return_date]]&gt;ReconciliationData[[#This Row],[Order_Date]]+60),1,0)</f>
        <v>0</v>
      </c>
      <c r="V2112">
        <f>IF(ReconciliationData[[#This Row],[total_returned_units]]&gt;ReconciliationData[[#This Row],[ordered_units]],1,0)</f>
        <v>0</v>
      </c>
      <c r="W21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12">
        <f>ReconciliationData[[#This Row],[Billed_Units]]*ReconciliationData[[#This Row],[Billed_Price]]</f>
        <v>41393.527800000003</v>
      </c>
      <c r="Y2112">
        <f>ReconciliationData[[#This Row],[ordered_units]]*ReconciliationData[[#This Row],[List_Price]]</f>
        <v>41393.527800000003</v>
      </c>
      <c r="Z2112">
        <f>ReconciliationData[[#This Row],[billed_revenue]]-ReconciliationData[[#This Row],[expected_revenue]]</f>
        <v>0</v>
      </c>
      <c r="AA21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12" t="str">
        <f>IF(ReconciliationData[[#This Row],[severity_score]]=0,"LOW",
 IF(ReconciliationData[[#This Row],[severity_score]]&lt;=5,"MEDIUM","HIGH"))</f>
        <v>LOW</v>
      </c>
      <c r="AC2112" t="str">
        <f>TEXT(ReconciliationData[[#This Row],[Order_Date]],"YYYY-MM")</f>
        <v>2024-03</v>
      </c>
    </row>
    <row r="2113" spans="1:29">
      <c r="A2113" t="s">
        <v>5402</v>
      </c>
      <c r="B2113" s="1">
        <v>45052</v>
      </c>
      <c r="C2113" t="s">
        <v>2871</v>
      </c>
      <c r="D2113" t="s">
        <v>849</v>
      </c>
      <c r="E2113">
        <v>19</v>
      </c>
      <c r="F2113" t="s">
        <v>5403</v>
      </c>
      <c r="G2113">
        <v>19</v>
      </c>
      <c r="H2113">
        <v>436.9466000000001</v>
      </c>
      <c r="N2113">
        <v>436.9466000000001</v>
      </c>
      <c r="O2113" s="1">
        <v>44764</v>
      </c>
      <c r="P2113">
        <f>IF(ISBLANK(ReconciliationData[[#This Row],[Invoice_ID]]),1,0)</f>
        <v>0</v>
      </c>
      <c r="Q2113">
        <f>IF(AND(NOT(ISBLANK(ReconciliationData[[#This Row],[Billed_Units]])),ReconciliationData[[#This Row],[ordered_units]]&lt;&gt;ReconciliationData[[#This Row],[Billed_Units]]),1,0)</f>
        <v>0</v>
      </c>
      <c r="R21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3">
        <f>IF(AND(NOT(ISBLANK(ReconciliationData[[#This Row],[Contract_Price]])),ReconciliationData[[#This Row],[Billed_Price]]&lt;&gt;ReconciliationData[[#This Row],[Contract_Price]]),1,0)</f>
        <v>0</v>
      </c>
      <c r="T2113">
        <f>IF(AND(NOT(ISBLANK(ReconciliationData[[#This Row],[End_Date]])),ReconciliationData[[#This Row],[Order_Date]]&gt;ReconciliationData[[#This Row],[End_Date]]),1,0)</f>
        <v>0</v>
      </c>
      <c r="U2113">
        <f>IF(AND(NOT(ISBLANK(ReconciliationData[[#This Row],[last_return_date]])),ReconciliationData[[#This Row],[last_return_date]]&gt;ReconciliationData[[#This Row],[Order_Date]]+60),1,0)</f>
        <v>0</v>
      </c>
      <c r="V2113">
        <f>IF(ReconciliationData[[#This Row],[total_returned_units]]&gt;ReconciliationData[[#This Row],[ordered_units]],1,0)</f>
        <v>0</v>
      </c>
      <c r="W21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13">
        <f>ReconciliationData[[#This Row],[Billed_Units]]*ReconciliationData[[#This Row],[Billed_Price]]</f>
        <v>8301.9854000000014</v>
      </c>
      <c r="Y2113">
        <f>ReconciliationData[[#This Row],[ordered_units]]*ReconciliationData[[#This Row],[List_Price]]</f>
        <v>8301.9854000000014</v>
      </c>
      <c r="Z2113">
        <f>ReconciliationData[[#This Row],[billed_revenue]]-ReconciliationData[[#This Row],[expected_revenue]]</f>
        <v>0</v>
      </c>
      <c r="AA21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13" t="str">
        <f>IF(ReconciliationData[[#This Row],[severity_score]]=0,"LOW",
 IF(ReconciliationData[[#This Row],[severity_score]]&lt;=5,"MEDIUM","HIGH"))</f>
        <v>LOW</v>
      </c>
      <c r="AC2113" t="str">
        <f>TEXT(ReconciliationData[[#This Row],[Order_Date]],"YYYY-MM")</f>
        <v>2023-05</v>
      </c>
    </row>
    <row r="2114" spans="1:29">
      <c r="A2114" t="s">
        <v>5404</v>
      </c>
      <c r="B2114" s="1">
        <v>45314</v>
      </c>
      <c r="C2114" t="s">
        <v>1975</v>
      </c>
      <c r="D2114" t="s">
        <v>782</v>
      </c>
      <c r="E2114">
        <v>94</v>
      </c>
      <c r="F2114" t="s">
        <v>5405</v>
      </c>
      <c r="G2114">
        <v>94</v>
      </c>
      <c r="H2114">
        <v>216.2484</v>
      </c>
      <c r="N2114">
        <v>216.2484</v>
      </c>
      <c r="O2114" s="1">
        <v>44944</v>
      </c>
      <c r="P2114">
        <f>IF(ISBLANK(ReconciliationData[[#This Row],[Invoice_ID]]),1,0)</f>
        <v>0</v>
      </c>
      <c r="Q2114">
        <f>IF(AND(NOT(ISBLANK(ReconciliationData[[#This Row],[Billed_Units]])),ReconciliationData[[#This Row],[ordered_units]]&lt;&gt;ReconciliationData[[#This Row],[Billed_Units]]),1,0)</f>
        <v>0</v>
      </c>
      <c r="R21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4">
        <f>IF(AND(NOT(ISBLANK(ReconciliationData[[#This Row],[Contract_Price]])),ReconciliationData[[#This Row],[Billed_Price]]&lt;&gt;ReconciliationData[[#This Row],[Contract_Price]]),1,0)</f>
        <v>0</v>
      </c>
      <c r="T2114">
        <f>IF(AND(NOT(ISBLANK(ReconciliationData[[#This Row],[End_Date]])),ReconciliationData[[#This Row],[Order_Date]]&gt;ReconciliationData[[#This Row],[End_Date]]),1,0)</f>
        <v>0</v>
      </c>
      <c r="U2114">
        <f>IF(AND(NOT(ISBLANK(ReconciliationData[[#This Row],[last_return_date]])),ReconciliationData[[#This Row],[last_return_date]]&gt;ReconciliationData[[#This Row],[Order_Date]]+60),1,0)</f>
        <v>0</v>
      </c>
      <c r="V2114">
        <f>IF(ReconciliationData[[#This Row],[total_returned_units]]&gt;ReconciliationData[[#This Row],[ordered_units]],1,0)</f>
        <v>0</v>
      </c>
      <c r="W21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14">
        <f>ReconciliationData[[#This Row],[Billed_Units]]*ReconciliationData[[#This Row],[Billed_Price]]</f>
        <v>20327.349600000001</v>
      </c>
      <c r="Y2114">
        <f>ReconciliationData[[#This Row],[ordered_units]]*ReconciliationData[[#This Row],[List_Price]]</f>
        <v>20327.349600000001</v>
      </c>
      <c r="Z2114">
        <f>ReconciliationData[[#This Row],[billed_revenue]]-ReconciliationData[[#This Row],[expected_revenue]]</f>
        <v>0</v>
      </c>
      <c r="AA21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14" t="str">
        <f>IF(ReconciliationData[[#This Row],[severity_score]]=0,"LOW",
 IF(ReconciliationData[[#This Row],[severity_score]]&lt;=5,"MEDIUM","HIGH"))</f>
        <v>LOW</v>
      </c>
      <c r="AC2114" t="str">
        <f>TEXT(ReconciliationData[[#This Row],[Order_Date]],"YYYY-MM")</f>
        <v>2024-01</v>
      </c>
    </row>
    <row r="2115" spans="1:29">
      <c r="A2115" t="s">
        <v>5406</v>
      </c>
      <c r="B2115" s="1">
        <v>45340</v>
      </c>
      <c r="C2115" t="s">
        <v>646</v>
      </c>
      <c r="D2115" t="s">
        <v>255</v>
      </c>
      <c r="E2115">
        <v>74</v>
      </c>
      <c r="F2115" t="s">
        <v>5407</v>
      </c>
      <c r="G2115">
        <v>74</v>
      </c>
      <c r="H2115">
        <v>1103.0465999999999</v>
      </c>
      <c r="N2115">
        <v>1103.0465999999999</v>
      </c>
      <c r="O2115" s="1">
        <v>45214</v>
      </c>
      <c r="P2115">
        <f>IF(ISBLANK(ReconciliationData[[#This Row],[Invoice_ID]]),1,0)</f>
        <v>0</v>
      </c>
      <c r="Q2115">
        <f>IF(AND(NOT(ISBLANK(ReconciliationData[[#This Row],[Billed_Units]])),ReconciliationData[[#This Row],[ordered_units]]&lt;&gt;ReconciliationData[[#This Row],[Billed_Units]]),1,0)</f>
        <v>0</v>
      </c>
      <c r="R21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5">
        <f>IF(AND(NOT(ISBLANK(ReconciliationData[[#This Row],[Contract_Price]])),ReconciliationData[[#This Row],[Billed_Price]]&lt;&gt;ReconciliationData[[#This Row],[Contract_Price]]),1,0)</f>
        <v>0</v>
      </c>
      <c r="T2115">
        <f>IF(AND(NOT(ISBLANK(ReconciliationData[[#This Row],[End_Date]])),ReconciliationData[[#This Row],[Order_Date]]&gt;ReconciliationData[[#This Row],[End_Date]]),1,0)</f>
        <v>0</v>
      </c>
      <c r="U2115">
        <f>IF(AND(NOT(ISBLANK(ReconciliationData[[#This Row],[last_return_date]])),ReconciliationData[[#This Row],[last_return_date]]&gt;ReconciliationData[[#This Row],[Order_Date]]+60),1,0)</f>
        <v>0</v>
      </c>
      <c r="V2115">
        <f>IF(ReconciliationData[[#This Row],[total_returned_units]]&gt;ReconciliationData[[#This Row],[ordered_units]],1,0)</f>
        <v>0</v>
      </c>
      <c r="W21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15">
        <f>ReconciliationData[[#This Row],[Billed_Units]]*ReconciliationData[[#This Row],[Billed_Price]]</f>
        <v>81625.448399999994</v>
      </c>
      <c r="Y2115">
        <f>ReconciliationData[[#This Row],[ordered_units]]*ReconciliationData[[#This Row],[List_Price]]</f>
        <v>81625.448399999994</v>
      </c>
      <c r="Z2115">
        <f>ReconciliationData[[#This Row],[billed_revenue]]-ReconciliationData[[#This Row],[expected_revenue]]</f>
        <v>0</v>
      </c>
      <c r="AA21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15" t="str">
        <f>IF(ReconciliationData[[#This Row],[severity_score]]=0,"LOW",
 IF(ReconciliationData[[#This Row],[severity_score]]&lt;=5,"MEDIUM","HIGH"))</f>
        <v>LOW</v>
      </c>
      <c r="AC2115" t="str">
        <f>TEXT(ReconciliationData[[#This Row],[Order_Date]],"YYYY-MM")</f>
        <v>2024-02</v>
      </c>
    </row>
    <row r="2116" spans="1:29">
      <c r="A2116" t="s">
        <v>5408</v>
      </c>
      <c r="B2116" s="1">
        <v>44975</v>
      </c>
      <c r="C2116" t="s">
        <v>1016</v>
      </c>
      <c r="D2116" t="s">
        <v>1502</v>
      </c>
      <c r="E2116">
        <v>125</v>
      </c>
      <c r="F2116" t="s">
        <v>5409</v>
      </c>
      <c r="G2116">
        <v>125</v>
      </c>
      <c r="H2116">
        <v>302.05259999999998</v>
      </c>
      <c r="N2116">
        <v>302.05259999999998</v>
      </c>
      <c r="O2116" s="1">
        <v>44945</v>
      </c>
      <c r="P2116">
        <f>IF(ISBLANK(ReconciliationData[[#This Row],[Invoice_ID]]),1,0)</f>
        <v>0</v>
      </c>
      <c r="Q2116">
        <f>IF(AND(NOT(ISBLANK(ReconciliationData[[#This Row],[Billed_Units]])),ReconciliationData[[#This Row],[ordered_units]]&lt;&gt;ReconciliationData[[#This Row],[Billed_Units]]),1,0)</f>
        <v>0</v>
      </c>
      <c r="R21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6">
        <f>IF(AND(NOT(ISBLANK(ReconciliationData[[#This Row],[Contract_Price]])),ReconciliationData[[#This Row],[Billed_Price]]&lt;&gt;ReconciliationData[[#This Row],[Contract_Price]]),1,0)</f>
        <v>0</v>
      </c>
      <c r="T2116">
        <f>IF(AND(NOT(ISBLANK(ReconciliationData[[#This Row],[End_Date]])),ReconciliationData[[#This Row],[Order_Date]]&gt;ReconciliationData[[#This Row],[End_Date]]),1,0)</f>
        <v>0</v>
      </c>
      <c r="U2116">
        <f>IF(AND(NOT(ISBLANK(ReconciliationData[[#This Row],[last_return_date]])),ReconciliationData[[#This Row],[last_return_date]]&gt;ReconciliationData[[#This Row],[Order_Date]]+60),1,0)</f>
        <v>0</v>
      </c>
      <c r="V2116">
        <f>IF(ReconciliationData[[#This Row],[total_returned_units]]&gt;ReconciliationData[[#This Row],[ordered_units]],1,0)</f>
        <v>0</v>
      </c>
      <c r="W21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16">
        <f>ReconciliationData[[#This Row],[Billed_Units]]*ReconciliationData[[#This Row],[Billed_Price]]</f>
        <v>37756.574999999997</v>
      </c>
      <c r="Y2116">
        <f>ReconciliationData[[#This Row],[ordered_units]]*ReconciliationData[[#This Row],[List_Price]]</f>
        <v>37756.574999999997</v>
      </c>
      <c r="Z2116">
        <f>ReconciliationData[[#This Row],[billed_revenue]]-ReconciliationData[[#This Row],[expected_revenue]]</f>
        <v>0</v>
      </c>
      <c r="AA21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16" t="str">
        <f>IF(ReconciliationData[[#This Row],[severity_score]]=0,"LOW",
 IF(ReconciliationData[[#This Row],[severity_score]]&lt;=5,"MEDIUM","HIGH"))</f>
        <v>LOW</v>
      </c>
      <c r="AC2116" t="str">
        <f>TEXT(ReconciliationData[[#This Row],[Order_Date]],"YYYY-MM")</f>
        <v>2023-02</v>
      </c>
    </row>
    <row r="2117" spans="1:29">
      <c r="A2117" t="s">
        <v>5410</v>
      </c>
      <c r="B2117" s="1">
        <v>45308</v>
      </c>
      <c r="C2117" t="s">
        <v>1831</v>
      </c>
      <c r="D2117" t="s">
        <v>381</v>
      </c>
      <c r="E2117">
        <v>56</v>
      </c>
      <c r="F2117" t="s">
        <v>5411</v>
      </c>
      <c r="G2117">
        <v>56</v>
      </c>
      <c r="H2117">
        <v>942.54840000000013</v>
      </c>
      <c r="I2117">
        <v>2</v>
      </c>
      <c r="J2117" s="1">
        <v>45451</v>
      </c>
      <c r="N2117">
        <v>942.54840000000013</v>
      </c>
      <c r="O2117" s="1">
        <v>45086</v>
      </c>
      <c r="P2117">
        <f>IF(ISBLANK(ReconciliationData[[#This Row],[Invoice_ID]]),1,0)</f>
        <v>0</v>
      </c>
      <c r="Q2117">
        <f>IF(AND(NOT(ISBLANK(ReconciliationData[[#This Row],[Billed_Units]])),ReconciliationData[[#This Row],[ordered_units]]&lt;&gt;ReconciliationData[[#This Row],[Billed_Units]]),1,0)</f>
        <v>0</v>
      </c>
      <c r="R21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7">
        <f>IF(AND(NOT(ISBLANK(ReconciliationData[[#This Row],[Contract_Price]])),ReconciliationData[[#This Row],[Billed_Price]]&lt;&gt;ReconciliationData[[#This Row],[Contract_Price]]),1,0)</f>
        <v>0</v>
      </c>
      <c r="T2117">
        <f>IF(AND(NOT(ISBLANK(ReconciliationData[[#This Row],[End_Date]])),ReconciliationData[[#This Row],[Order_Date]]&gt;ReconciliationData[[#This Row],[End_Date]]),1,0)</f>
        <v>0</v>
      </c>
      <c r="U2117">
        <f>IF(AND(NOT(ISBLANK(ReconciliationData[[#This Row],[last_return_date]])),ReconciliationData[[#This Row],[last_return_date]]&gt;ReconciliationData[[#This Row],[Order_Date]]+60),1,0)</f>
        <v>1</v>
      </c>
      <c r="V2117">
        <f>IF(ReconciliationData[[#This Row],[total_returned_units]]&gt;ReconciliationData[[#This Row],[ordered_units]],1,0)</f>
        <v>0</v>
      </c>
      <c r="W21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17">
        <f>ReconciliationData[[#This Row],[Billed_Units]]*ReconciliationData[[#This Row],[Billed_Price]]</f>
        <v>52782.710400000011</v>
      </c>
      <c r="Y2117">
        <f>ReconciliationData[[#This Row],[ordered_units]]*ReconciliationData[[#This Row],[List_Price]]</f>
        <v>52782.710400000011</v>
      </c>
      <c r="Z2117">
        <f>ReconciliationData[[#This Row],[billed_revenue]]-ReconciliationData[[#This Row],[expected_revenue]]</f>
        <v>0</v>
      </c>
      <c r="AA21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117" t="str">
        <f>IF(ReconciliationData[[#This Row],[severity_score]]=0,"LOW",
 IF(ReconciliationData[[#This Row],[severity_score]]&lt;=5,"MEDIUM","HIGH"))</f>
        <v>MEDIUM</v>
      </c>
      <c r="AC2117" t="str">
        <f>TEXT(ReconciliationData[[#This Row],[Order_Date]],"YYYY-MM")</f>
        <v>2024-01</v>
      </c>
    </row>
    <row r="2118" spans="1:29">
      <c r="A2118" t="s">
        <v>5412</v>
      </c>
      <c r="B2118" s="1">
        <v>45379</v>
      </c>
      <c r="C2118" t="s">
        <v>1475</v>
      </c>
      <c r="D2118" t="s">
        <v>1105</v>
      </c>
      <c r="E2118">
        <v>40</v>
      </c>
      <c r="F2118" t="s">
        <v>5413</v>
      </c>
      <c r="G2118">
        <v>40</v>
      </c>
      <c r="H2118">
        <v>796.53</v>
      </c>
      <c r="N2118">
        <v>796.53</v>
      </c>
      <c r="O2118" s="1">
        <v>45172</v>
      </c>
      <c r="P2118">
        <f>IF(ISBLANK(ReconciliationData[[#This Row],[Invoice_ID]]),1,0)</f>
        <v>0</v>
      </c>
      <c r="Q2118">
        <f>IF(AND(NOT(ISBLANK(ReconciliationData[[#This Row],[Billed_Units]])),ReconciliationData[[#This Row],[ordered_units]]&lt;&gt;ReconciliationData[[#This Row],[Billed_Units]]),1,0)</f>
        <v>0</v>
      </c>
      <c r="R21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8">
        <f>IF(AND(NOT(ISBLANK(ReconciliationData[[#This Row],[Contract_Price]])),ReconciliationData[[#This Row],[Billed_Price]]&lt;&gt;ReconciliationData[[#This Row],[Contract_Price]]),1,0)</f>
        <v>0</v>
      </c>
      <c r="T2118">
        <f>IF(AND(NOT(ISBLANK(ReconciliationData[[#This Row],[End_Date]])),ReconciliationData[[#This Row],[Order_Date]]&gt;ReconciliationData[[#This Row],[End_Date]]),1,0)</f>
        <v>0</v>
      </c>
      <c r="U2118">
        <f>IF(AND(NOT(ISBLANK(ReconciliationData[[#This Row],[last_return_date]])),ReconciliationData[[#This Row],[last_return_date]]&gt;ReconciliationData[[#This Row],[Order_Date]]+60),1,0)</f>
        <v>0</v>
      </c>
      <c r="V2118">
        <f>IF(ReconciliationData[[#This Row],[total_returned_units]]&gt;ReconciliationData[[#This Row],[ordered_units]],1,0)</f>
        <v>0</v>
      </c>
      <c r="W21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18">
        <f>ReconciliationData[[#This Row],[Billed_Units]]*ReconciliationData[[#This Row],[Billed_Price]]</f>
        <v>31861.199999999997</v>
      </c>
      <c r="Y2118">
        <f>ReconciliationData[[#This Row],[ordered_units]]*ReconciliationData[[#This Row],[List_Price]]</f>
        <v>31861.199999999997</v>
      </c>
      <c r="Z2118">
        <f>ReconciliationData[[#This Row],[billed_revenue]]-ReconciliationData[[#This Row],[expected_revenue]]</f>
        <v>0</v>
      </c>
      <c r="AA21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18" t="str">
        <f>IF(ReconciliationData[[#This Row],[severity_score]]=0,"LOW",
 IF(ReconciliationData[[#This Row],[severity_score]]&lt;=5,"MEDIUM","HIGH"))</f>
        <v>LOW</v>
      </c>
      <c r="AC2118" t="str">
        <f>TEXT(ReconciliationData[[#This Row],[Order_Date]],"YYYY-MM")</f>
        <v>2024-03</v>
      </c>
    </row>
    <row r="2119" spans="1:29">
      <c r="A2119" t="s">
        <v>5414</v>
      </c>
      <c r="B2119" s="1">
        <v>45517</v>
      </c>
      <c r="C2119" t="s">
        <v>3986</v>
      </c>
      <c r="D2119" t="s">
        <v>279</v>
      </c>
      <c r="E2119">
        <v>54</v>
      </c>
      <c r="F2119" t="s">
        <v>5415</v>
      </c>
      <c r="G2119">
        <v>54</v>
      </c>
      <c r="H2119">
        <v>1120.6556</v>
      </c>
      <c r="N2119">
        <v>1120.6556</v>
      </c>
      <c r="O2119" s="1">
        <v>45026</v>
      </c>
      <c r="P2119">
        <f>IF(ISBLANK(ReconciliationData[[#This Row],[Invoice_ID]]),1,0)</f>
        <v>0</v>
      </c>
      <c r="Q2119">
        <f>IF(AND(NOT(ISBLANK(ReconciliationData[[#This Row],[Billed_Units]])),ReconciliationData[[#This Row],[ordered_units]]&lt;&gt;ReconciliationData[[#This Row],[Billed_Units]]),1,0)</f>
        <v>0</v>
      </c>
      <c r="R21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19">
        <f>IF(AND(NOT(ISBLANK(ReconciliationData[[#This Row],[Contract_Price]])),ReconciliationData[[#This Row],[Billed_Price]]&lt;&gt;ReconciliationData[[#This Row],[Contract_Price]]),1,0)</f>
        <v>0</v>
      </c>
      <c r="T2119">
        <f>IF(AND(NOT(ISBLANK(ReconciliationData[[#This Row],[End_Date]])),ReconciliationData[[#This Row],[Order_Date]]&gt;ReconciliationData[[#This Row],[End_Date]]),1,0)</f>
        <v>0</v>
      </c>
      <c r="U2119">
        <f>IF(AND(NOT(ISBLANK(ReconciliationData[[#This Row],[last_return_date]])),ReconciliationData[[#This Row],[last_return_date]]&gt;ReconciliationData[[#This Row],[Order_Date]]+60),1,0)</f>
        <v>0</v>
      </c>
      <c r="V2119">
        <f>IF(ReconciliationData[[#This Row],[total_returned_units]]&gt;ReconciliationData[[#This Row],[ordered_units]],1,0)</f>
        <v>0</v>
      </c>
      <c r="W21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19">
        <f>ReconciliationData[[#This Row],[Billed_Units]]*ReconciliationData[[#This Row],[Billed_Price]]</f>
        <v>60515.402400000006</v>
      </c>
      <c r="Y2119">
        <f>ReconciliationData[[#This Row],[ordered_units]]*ReconciliationData[[#This Row],[List_Price]]</f>
        <v>60515.402400000006</v>
      </c>
      <c r="Z2119">
        <f>ReconciliationData[[#This Row],[billed_revenue]]-ReconciliationData[[#This Row],[expected_revenue]]</f>
        <v>0</v>
      </c>
      <c r="AA21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19" t="str">
        <f>IF(ReconciliationData[[#This Row],[severity_score]]=0,"LOW",
 IF(ReconciliationData[[#This Row],[severity_score]]&lt;=5,"MEDIUM","HIGH"))</f>
        <v>LOW</v>
      </c>
      <c r="AC2119" t="str">
        <f>TEXT(ReconciliationData[[#This Row],[Order_Date]],"YYYY-MM")</f>
        <v>2024-08</v>
      </c>
    </row>
    <row r="2120" spans="1:29">
      <c r="A2120" t="s">
        <v>5416</v>
      </c>
      <c r="B2120" s="1">
        <v>44968</v>
      </c>
      <c r="C2120" t="s">
        <v>774</v>
      </c>
      <c r="D2120" t="s">
        <v>408</v>
      </c>
      <c r="E2120">
        <v>51</v>
      </c>
      <c r="F2120" t="s">
        <v>5417</v>
      </c>
      <c r="G2120">
        <v>51</v>
      </c>
      <c r="H2120">
        <v>660.96040000000005</v>
      </c>
      <c r="I2120">
        <v>20</v>
      </c>
      <c r="J2120" s="1">
        <v>45345</v>
      </c>
      <c r="N2120">
        <v>660.96040000000005</v>
      </c>
      <c r="O2120" s="1">
        <v>44947</v>
      </c>
      <c r="P2120">
        <f>IF(ISBLANK(ReconciliationData[[#This Row],[Invoice_ID]]),1,0)</f>
        <v>0</v>
      </c>
      <c r="Q2120">
        <f>IF(AND(NOT(ISBLANK(ReconciliationData[[#This Row],[Billed_Units]])),ReconciliationData[[#This Row],[ordered_units]]&lt;&gt;ReconciliationData[[#This Row],[Billed_Units]]),1,0)</f>
        <v>0</v>
      </c>
      <c r="R21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0">
        <f>IF(AND(NOT(ISBLANK(ReconciliationData[[#This Row],[Contract_Price]])),ReconciliationData[[#This Row],[Billed_Price]]&lt;&gt;ReconciliationData[[#This Row],[Contract_Price]]),1,0)</f>
        <v>0</v>
      </c>
      <c r="T2120">
        <f>IF(AND(NOT(ISBLANK(ReconciliationData[[#This Row],[End_Date]])),ReconciliationData[[#This Row],[Order_Date]]&gt;ReconciliationData[[#This Row],[End_Date]]),1,0)</f>
        <v>0</v>
      </c>
      <c r="U2120">
        <f>IF(AND(NOT(ISBLANK(ReconciliationData[[#This Row],[last_return_date]])),ReconciliationData[[#This Row],[last_return_date]]&gt;ReconciliationData[[#This Row],[Order_Date]]+60),1,0)</f>
        <v>1</v>
      </c>
      <c r="V2120">
        <f>IF(ReconciliationData[[#This Row],[total_returned_units]]&gt;ReconciliationData[[#This Row],[ordered_units]],1,0)</f>
        <v>0</v>
      </c>
      <c r="W21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20">
        <f>ReconciliationData[[#This Row],[Billed_Units]]*ReconciliationData[[#This Row],[Billed_Price]]</f>
        <v>33708.9804</v>
      </c>
      <c r="Y2120">
        <f>ReconciliationData[[#This Row],[ordered_units]]*ReconciliationData[[#This Row],[List_Price]]</f>
        <v>33708.9804</v>
      </c>
      <c r="Z2120">
        <f>ReconciliationData[[#This Row],[billed_revenue]]-ReconciliationData[[#This Row],[expected_revenue]]</f>
        <v>0</v>
      </c>
      <c r="AA21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120" t="str">
        <f>IF(ReconciliationData[[#This Row],[severity_score]]=0,"LOW",
 IF(ReconciliationData[[#This Row],[severity_score]]&lt;=5,"MEDIUM","HIGH"))</f>
        <v>MEDIUM</v>
      </c>
      <c r="AC2120" t="str">
        <f>TEXT(ReconciliationData[[#This Row],[Order_Date]],"YYYY-MM")</f>
        <v>2023-02</v>
      </c>
    </row>
    <row r="2121" spans="1:29">
      <c r="A2121" t="s">
        <v>5418</v>
      </c>
      <c r="B2121" s="1">
        <v>45213</v>
      </c>
      <c r="C2121" t="s">
        <v>547</v>
      </c>
      <c r="D2121" t="s">
        <v>434</v>
      </c>
      <c r="E2121">
        <v>118</v>
      </c>
      <c r="F2121" t="s">
        <v>5419</v>
      </c>
      <c r="G2121">
        <v>118</v>
      </c>
      <c r="H2121">
        <v>68.572800000000001</v>
      </c>
      <c r="N2121">
        <v>68.572800000000001</v>
      </c>
      <c r="O2121" s="1">
        <v>45098</v>
      </c>
      <c r="P2121">
        <f>IF(ISBLANK(ReconciliationData[[#This Row],[Invoice_ID]]),1,0)</f>
        <v>0</v>
      </c>
      <c r="Q2121">
        <f>IF(AND(NOT(ISBLANK(ReconciliationData[[#This Row],[Billed_Units]])),ReconciliationData[[#This Row],[ordered_units]]&lt;&gt;ReconciliationData[[#This Row],[Billed_Units]]),1,0)</f>
        <v>0</v>
      </c>
      <c r="R21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1">
        <f>IF(AND(NOT(ISBLANK(ReconciliationData[[#This Row],[Contract_Price]])),ReconciliationData[[#This Row],[Billed_Price]]&lt;&gt;ReconciliationData[[#This Row],[Contract_Price]]),1,0)</f>
        <v>0</v>
      </c>
      <c r="T2121">
        <f>IF(AND(NOT(ISBLANK(ReconciliationData[[#This Row],[End_Date]])),ReconciliationData[[#This Row],[Order_Date]]&gt;ReconciliationData[[#This Row],[End_Date]]),1,0)</f>
        <v>0</v>
      </c>
      <c r="U2121">
        <f>IF(AND(NOT(ISBLANK(ReconciliationData[[#This Row],[last_return_date]])),ReconciliationData[[#This Row],[last_return_date]]&gt;ReconciliationData[[#This Row],[Order_Date]]+60),1,0)</f>
        <v>0</v>
      </c>
      <c r="V2121">
        <f>IF(ReconciliationData[[#This Row],[total_returned_units]]&gt;ReconciliationData[[#This Row],[ordered_units]],1,0)</f>
        <v>0</v>
      </c>
      <c r="W21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21">
        <f>ReconciliationData[[#This Row],[Billed_Units]]*ReconciliationData[[#This Row],[Billed_Price]]</f>
        <v>8091.5904</v>
      </c>
      <c r="Y2121">
        <f>ReconciliationData[[#This Row],[ordered_units]]*ReconciliationData[[#This Row],[List_Price]]</f>
        <v>8091.5904</v>
      </c>
      <c r="Z2121">
        <f>ReconciliationData[[#This Row],[billed_revenue]]-ReconciliationData[[#This Row],[expected_revenue]]</f>
        <v>0</v>
      </c>
      <c r="AA21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21" t="str">
        <f>IF(ReconciliationData[[#This Row],[severity_score]]=0,"LOW",
 IF(ReconciliationData[[#This Row],[severity_score]]&lt;=5,"MEDIUM","HIGH"))</f>
        <v>LOW</v>
      </c>
      <c r="AC2121" t="str">
        <f>TEXT(ReconciliationData[[#This Row],[Order_Date]],"YYYY-MM")</f>
        <v>2023-10</v>
      </c>
    </row>
    <row r="2122" spans="1:29">
      <c r="A2122" t="s">
        <v>5420</v>
      </c>
      <c r="B2122" s="1">
        <v>45363</v>
      </c>
      <c r="C2122" t="s">
        <v>493</v>
      </c>
      <c r="D2122" t="s">
        <v>461</v>
      </c>
      <c r="E2122">
        <v>124</v>
      </c>
      <c r="F2122" t="s">
        <v>5421</v>
      </c>
      <c r="G2122">
        <v>124</v>
      </c>
      <c r="H2122">
        <v>1114.2336</v>
      </c>
      <c r="N2122">
        <v>1114.2336</v>
      </c>
      <c r="O2122" s="1">
        <v>45141</v>
      </c>
      <c r="P2122">
        <f>IF(ISBLANK(ReconciliationData[[#This Row],[Invoice_ID]]),1,0)</f>
        <v>0</v>
      </c>
      <c r="Q2122">
        <f>IF(AND(NOT(ISBLANK(ReconciliationData[[#This Row],[Billed_Units]])),ReconciliationData[[#This Row],[ordered_units]]&lt;&gt;ReconciliationData[[#This Row],[Billed_Units]]),1,0)</f>
        <v>0</v>
      </c>
      <c r="R21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2">
        <f>IF(AND(NOT(ISBLANK(ReconciliationData[[#This Row],[Contract_Price]])),ReconciliationData[[#This Row],[Billed_Price]]&lt;&gt;ReconciliationData[[#This Row],[Contract_Price]]),1,0)</f>
        <v>0</v>
      </c>
      <c r="T2122">
        <f>IF(AND(NOT(ISBLANK(ReconciliationData[[#This Row],[End_Date]])),ReconciliationData[[#This Row],[Order_Date]]&gt;ReconciliationData[[#This Row],[End_Date]]),1,0)</f>
        <v>0</v>
      </c>
      <c r="U2122">
        <f>IF(AND(NOT(ISBLANK(ReconciliationData[[#This Row],[last_return_date]])),ReconciliationData[[#This Row],[last_return_date]]&gt;ReconciliationData[[#This Row],[Order_Date]]+60),1,0)</f>
        <v>0</v>
      </c>
      <c r="V2122">
        <f>IF(ReconciliationData[[#This Row],[total_returned_units]]&gt;ReconciliationData[[#This Row],[ordered_units]],1,0)</f>
        <v>0</v>
      </c>
      <c r="W21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22">
        <f>ReconciliationData[[#This Row],[Billed_Units]]*ReconciliationData[[#This Row],[Billed_Price]]</f>
        <v>138164.9664</v>
      </c>
      <c r="Y2122">
        <f>ReconciliationData[[#This Row],[ordered_units]]*ReconciliationData[[#This Row],[List_Price]]</f>
        <v>138164.9664</v>
      </c>
      <c r="Z2122">
        <f>ReconciliationData[[#This Row],[billed_revenue]]-ReconciliationData[[#This Row],[expected_revenue]]</f>
        <v>0</v>
      </c>
      <c r="AA21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22" t="str">
        <f>IF(ReconciliationData[[#This Row],[severity_score]]=0,"LOW",
 IF(ReconciliationData[[#This Row],[severity_score]]&lt;=5,"MEDIUM","HIGH"))</f>
        <v>LOW</v>
      </c>
      <c r="AC2122" t="str">
        <f>TEXT(ReconciliationData[[#This Row],[Order_Date]],"YYYY-MM")</f>
        <v>2024-03</v>
      </c>
    </row>
    <row r="2123" spans="1:29">
      <c r="A2123" t="s">
        <v>5422</v>
      </c>
      <c r="B2123" s="1">
        <v>44989</v>
      </c>
      <c r="C2123" t="s">
        <v>2165</v>
      </c>
      <c r="D2123" t="s">
        <v>393</v>
      </c>
      <c r="E2123">
        <v>26</v>
      </c>
      <c r="F2123" t="s">
        <v>5423</v>
      </c>
      <c r="G2123">
        <v>26</v>
      </c>
      <c r="H2123">
        <v>1136.92</v>
      </c>
      <c r="N2123">
        <v>1136.92</v>
      </c>
      <c r="O2123" s="1">
        <v>44626</v>
      </c>
      <c r="P2123">
        <f>IF(ISBLANK(ReconciliationData[[#This Row],[Invoice_ID]]),1,0)</f>
        <v>0</v>
      </c>
      <c r="Q2123">
        <f>IF(AND(NOT(ISBLANK(ReconciliationData[[#This Row],[Billed_Units]])),ReconciliationData[[#This Row],[ordered_units]]&lt;&gt;ReconciliationData[[#This Row],[Billed_Units]]),1,0)</f>
        <v>0</v>
      </c>
      <c r="R21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3">
        <f>IF(AND(NOT(ISBLANK(ReconciliationData[[#This Row],[Contract_Price]])),ReconciliationData[[#This Row],[Billed_Price]]&lt;&gt;ReconciliationData[[#This Row],[Contract_Price]]),1,0)</f>
        <v>0</v>
      </c>
      <c r="T2123">
        <f>IF(AND(NOT(ISBLANK(ReconciliationData[[#This Row],[End_Date]])),ReconciliationData[[#This Row],[Order_Date]]&gt;ReconciliationData[[#This Row],[End_Date]]),1,0)</f>
        <v>0</v>
      </c>
      <c r="U2123">
        <f>IF(AND(NOT(ISBLANK(ReconciliationData[[#This Row],[last_return_date]])),ReconciliationData[[#This Row],[last_return_date]]&gt;ReconciliationData[[#This Row],[Order_Date]]+60),1,0)</f>
        <v>0</v>
      </c>
      <c r="V2123">
        <f>IF(ReconciliationData[[#This Row],[total_returned_units]]&gt;ReconciliationData[[#This Row],[ordered_units]],1,0)</f>
        <v>0</v>
      </c>
      <c r="W21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23">
        <f>ReconciliationData[[#This Row],[Billed_Units]]*ReconciliationData[[#This Row],[Billed_Price]]</f>
        <v>29559.920000000002</v>
      </c>
      <c r="Y2123">
        <f>ReconciliationData[[#This Row],[ordered_units]]*ReconciliationData[[#This Row],[List_Price]]</f>
        <v>29559.920000000002</v>
      </c>
      <c r="Z2123">
        <f>ReconciliationData[[#This Row],[billed_revenue]]-ReconciliationData[[#This Row],[expected_revenue]]</f>
        <v>0</v>
      </c>
      <c r="AA21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23" t="str">
        <f>IF(ReconciliationData[[#This Row],[severity_score]]=0,"LOW",
 IF(ReconciliationData[[#This Row],[severity_score]]&lt;=5,"MEDIUM","HIGH"))</f>
        <v>LOW</v>
      </c>
      <c r="AC2123" t="str">
        <f>TEXT(ReconciliationData[[#This Row],[Order_Date]],"YYYY-MM")</f>
        <v>2023-03</v>
      </c>
    </row>
    <row r="2124" spans="1:29">
      <c r="A2124" t="s">
        <v>5424</v>
      </c>
      <c r="B2124" s="1">
        <v>45276</v>
      </c>
      <c r="C2124" t="s">
        <v>5425</v>
      </c>
      <c r="D2124" t="s">
        <v>916</v>
      </c>
      <c r="E2124">
        <v>67</v>
      </c>
      <c r="F2124" t="s">
        <v>5426</v>
      </c>
      <c r="G2124">
        <v>67</v>
      </c>
      <c r="H2124">
        <v>1158.2643</v>
      </c>
      <c r="N2124">
        <v>1158.2643</v>
      </c>
      <c r="O2124" s="1">
        <v>45119</v>
      </c>
      <c r="P2124">
        <f>IF(ISBLANK(ReconciliationData[[#This Row],[Invoice_ID]]),1,0)</f>
        <v>0</v>
      </c>
      <c r="Q2124">
        <f>IF(AND(NOT(ISBLANK(ReconciliationData[[#This Row],[Billed_Units]])),ReconciliationData[[#This Row],[ordered_units]]&lt;&gt;ReconciliationData[[#This Row],[Billed_Units]]),1,0)</f>
        <v>0</v>
      </c>
      <c r="R21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4">
        <f>IF(AND(NOT(ISBLANK(ReconciliationData[[#This Row],[Contract_Price]])),ReconciliationData[[#This Row],[Billed_Price]]&lt;&gt;ReconciliationData[[#This Row],[Contract_Price]]),1,0)</f>
        <v>0</v>
      </c>
      <c r="T2124">
        <f>IF(AND(NOT(ISBLANK(ReconciliationData[[#This Row],[End_Date]])),ReconciliationData[[#This Row],[Order_Date]]&gt;ReconciliationData[[#This Row],[End_Date]]),1,0)</f>
        <v>0</v>
      </c>
      <c r="U2124">
        <f>IF(AND(NOT(ISBLANK(ReconciliationData[[#This Row],[last_return_date]])),ReconciliationData[[#This Row],[last_return_date]]&gt;ReconciliationData[[#This Row],[Order_Date]]+60),1,0)</f>
        <v>0</v>
      </c>
      <c r="V2124">
        <f>IF(ReconciliationData[[#This Row],[total_returned_units]]&gt;ReconciliationData[[#This Row],[ordered_units]],1,0)</f>
        <v>0</v>
      </c>
      <c r="W21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24">
        <f>ReconciliationData[[#This Row],[Billed_Units]]*ReconciliationData[[#This Row],[Billed_Price]]</f>
        <v>77603.708100000003</v>
      </c>
      <c r="Y2124">
        <f>ReconciliationData[[#This Row],[ordered_units]]*ReconciliationData[[#This Row],[List_Price]]</f>
        <v>77603.708100000003</v>
      </c>
      <c r="Z2124">
        <f>ReconciliationData[[#This Row],[billed_revenue]]-ReconciliationData[[#This Row],[expected_revenue]]</f>
        <v>0</v>
      </c>
      <c r="AA21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24" t="str">
        <f>IF(ReconciliationData[[#This Row],[severity_score]]=0,"LOW",
 IF(ReconciliationData[[#This Row],[severity_score]]&lt;=5,"MEDIUM","HIGH"))</f>
        <v>LOW</v>
      </c>
      <c r="AC2124" t="str">
        <f>TEXT(ReconciliationData[[#This Row],[Order_Date]],"YYYY-MM")</f>
        <v>2023-12</v>
      </c>
    </row>
    <row r="2125" spans="1:29">
      <c r="A2125" t="s">
        <v>5427</v>
      </c>
      <c r="B2125" s="1">
        <v>44973</v>
      </c>
      <c r="C2125" t="s">
        <v>418</v>
      </c>
      <c r="D2125" t="s">
        <v>166</v>
      </c>
      <c r="E2125">
        <v>189</v>
      </c>
      <c r="F2125" t="s">
        <v>5428</v>
      </c>
      <c r="G2125">
        <v>189</v>
      </c>
      <c r="H2125">
        <v>365.95330000000001</v>
      </c>
      <c r="N2125">
        <v>365.95330000000001</v>
      </c>
      <c r="O2125" s="1">
        <v>44824</v>
      </c>
      <c r="P2125">
        <f>IF(ISBLANK(ReconciliationData[[#This Row],[Invoice_ID]]),1,0)</f>
        <v>0</v>
      </c>
      <c r="Q2125">
        <f>IF(AND(NOT(ISBLANK(ReconciliationData[[#This Row],[Billed_Units]])),ReconciliationData[[#This Row],[ordered_units]]&lt;&gt;ReconciliationData[[#This Row],[Billed_Units]]),1,0)</f>
        <v>0</v>
      </c>
      <c r="R21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5">
        <f>IF(AND(NOT(ISBLANK(ReconciliationData[[#This Row],[Contract_Price]])),ReconciliationData[[#This Row],[Billed_Price]]&lt;&gt;ReconciliationData[[#This Row],[Contract_Price]]),1,0)</f>
        <v>0</v>
      </c>
      <c r="T2125">
        <f>IF(AND(NOT(ISBLANK(ReconciliationData[[#This Row],[End_Date]])),ReconciliationData[[#This Row],[Order_Date]]&gt;ReconciliationData[[#This Row],[End_Date]]),1,0)</f>
        <v>0</v>
      </c>
      <c r="U2125">
        <f>IF(AND(NOT(ISBLANK(ReconciliationData[[#This Row],[last_return_date]])),ReconciliationData[[#This Row],[last_return_date]]&gt;ReconciliationData[[#This Row],[Order_Date]]+60),1,0)</f>
        <v>0</v>
      </c>
      <c r="V2125">
        <f>IF(ReconciliationData[[#This Row],[total_returned_units]]&gt;ReconciliationData[[#This Row],[ordered_units]],1,0)</f>
        <v>0</v>
      </c>
      <c r="W21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25">
        <f>ReconciliationData[[#This Row],[Billed_Units]]*ReconciliationData[[#This Row],[Billed_Price]]</f>
        <v>69165.173699999999</v>
      </c>
      <c r="Y2125">
        <f>ReconciliationData[[#This Row],[ordered_units]]*ReconciliationData[[#This Row],[List_Price]]</f>
        <v>69165.173699999999</v>
      </c>
      <c r="Z2125">
        <f>ReconciliationData[[#This Row],[billed_revenue]]-ReconciliationData[[#This Row],[expected_revenue]]</f>
        <v>0</v>
      </c>
      <c r="AA21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25" t="str">
        <f>IF(ReconciliationData[[#This Row],[severity_score]]=0,"LOW",
 IF(ReconciliationData[[#This Row],[severity_score]]&lt;=5,"MEDIUM","HIGH"))</f>
        <v>LOW</v>
      </c>
      <c r="AC2125" t="str">
        <f>TEXT(ReconciliationData[[#This Row],[Order_Date]],"YYYY-MM")</f>
        <v>2023-02</v>
      </c>
    </row>
    <row r="2126" spans="1:29">
      <c r="A2126" t="s">
        <v>5429</v>
      </c>
      <c r="B2126" s="1">
        <v>44960</v>
      </c>
      <c r="C2126" t="s">
        <v>2415</v>
      </c>
      <c r="D2126" t="s">
        <v>2064</v>
      </c>
      <c r="E2126">
        <v>88</v>
      </c>
      <c r="F2126" t="s">
        <v>5430</v>
      </c>
      <c r="G2126">
        <v>88</v>
      </c>
      <c r="H2126">
        <v>249.22</v>
      </c>
      <c r="N2126">
        <v>249.22</v>
      </c>
      <c r="O2126" s="1">
        <v>44837</v>
      </c>
      <c r="P2126">
        <f>IF(ISBLANK(ReconciliationData[[#This Row],[Invoice_ID]]),1,0)</f>
        <v>0</v>
      </c>
      <c r="Q2126">
        <f>IF(AND(NOT(ISBLANK(ReconciliationData[[#This Row],[Billed_Units]])),ReconciliationData[[#This Row],[ordered_units]]&lt;&gt;ReconciliationData[[#This Row],[Billed_Units]]),1,0)</f>
        <v>0</v>
      </c>
      <c r="R21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6">
        <f>IF(AND(NOT(ISBLANK(ReconciliationData[[#This Row],[Contract_Price]])),ReconciliationData[[#This Row],[Billed_Price]]&lt;&gt;ReconciliationData[[#This Row],[Contract_Price]]),1,0)</f>
        <v>0</v>
      </c>
      <c r="T2126">
        <f>IF(AND(NOT(ISBLANK(ReconciliationData[[#This Row],[End_Date]])),ReconciliationData[[#This Row],[Order_Date]]&gt;ReconciliationData[[#This Row],[End_Date]]),1,0)</f>
        <v>0</v>
      </c>
      <c r="U2126">
        <f>IF(AND(NOT(ISBLANK(ReconciliationData[[#This Row],[last_return_date]])),ReconciliationData[[#This Row],[last_return_date]]&gt;ReconciliationData[[#This Row],[Order_Date]]+60),1,0)</f>
        <v>0</v>
      </c>
      <c r="V2126">
        <f>IF(ReconciliationData[[#This Row],[total_returned_units]]&gt;ReconciliationData[[#This Row],[ordered_units]],1,0)</f>
        <v>0</v>
      </c>
      <c r="W21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26">
        <f>ReconciliationData[[#This Row],[Billed_Units]]*ReconciliationData[[#This Row],[Billed_Price]]</f>
        <v>21931.360000000001</v>
      </c>
      <c r="Y2126">
        <f>ReconciliationData[[#This Row],[ordered_units]]*ReconciliationData[[#This Row],[List_Price]]</f>
        <v>21931.360000000001</v>
      </c>
      <c r="Z2126">
        <f>ReconciliationData[[#This Row],[billed_revenue]]-ReconciliationData[[#This Row],[expected_revenue]]</f>
        <v>0</v>
      </c>
      <c r="AA21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26" t="str">
        <f>IF(ReconciliationData[[#This Row],[severity_score]]=0,"LOW",
 IF(ReconciliationData[[#This Row],[severity_score]]&lt;=5,"MEDIUM","HIGH"))</f>
        <v>LOW</v>
      </c>
      <c r="AC2126" t="str">
        <f>TEXT(ReconciliationData[[#This Row],[Order_Date]],"YYYY-MM")</f>
        <v>2023-02</v>
      </c>
    </row>
    <row r="2127" spans="1:29">
      <c r="A2127" t="s">
        <v>5431</v>
      </c>
      <c r="B2127" s="1">
        <v>44948</v>
      </c>
      <c r="C2127" t="s">
        <v>2104</v>
      </c>
      <c r="D2127" t="s">
        <v>194</v>
      </c>
      <c r="E2127">
        <v>140</v>
      </c>
      <c r="F2127" t="s">
        <v>5432</v>
      </c>
      <c r="G2127">
        <v>140</v>
      </c>
      <c r="H2127">
        <v>999.09</v>
      </c>
      <c r="N2127">
        <v>999.09</v>
      </c>
      <c r="O2127" s="1">
        <v>44744</v>
      </c>
      <c r="P2127">
        <f>IF(ISBLANK(ReconciliationData[[#This Row],[Invoice_ID]]),1,0)</f>
        <v>0</v>
      </c>
      <c r="Q2127">
        <f>IF(AND(NOT(ISBLANK(ReconciliationData[[#This Row],[Billed_Units]])),ReconciliationData[[#This Row],[ordered_units]]&lt;&gt;ReconciliationData[[#This Row],[Billed_Units]]),1,0)</f>
        <v>0</v>
      </c>
      <c r="R21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7">
        <f>IF(AND(NOT(ISBLANK(ReconciliationData[[#This Row],[Contract_Price]])),ReconciliationData[[#This Row],[Billed_Price]]&lt;&gt;ReconciliationData[[#This Row],[Contract_Price]]),1,0)</f>
        <v>0</v>
      </c>
      <c r="T2127">
        <f>IF(AND(NOT(ISBLANK(ReconciliationData[[#This Row],[End_Date]])),ReconciliationData[[#This Row],[Order_Date]]&gt;ReconciliationData[[#This Row],[End_Date]]),1,0)</f>
        <v>0</v>
      </c>
      <c r="U2127">
        <f>IF(AND(NOT(ISBLANK(ReconciliationData[[#This Row],[last_return_date]])),ReconciliationData[[#This Row],[last_return_date]]&gt;ReconciliationData[[#This Row],[Order_Date]]+60),1,0)</f>
        <v>0</v>
      </c>
      <c r="V2127">
        <f>IF(ReconciliationData[[#This Row],[total_returned_units]]&gt;ReconciliationData[[#This Row],[ordered_units]],1,0)</f>
        <v>0</v>
      </c>
      <c r="W21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27">
        <f>ReconciliationData[[#This Row],[Billed_Units]]*ReconciliationData[[#This Row],[Billed_Price]]</f>
        <v>139872.6</v>
      </c>
      <c r="Y2127">
        <f>ReconciliationData[[#This Row],[ordered_units]]*ReconciliationData[[#This Row],[List_Price]]</f>
        <v>139872.6</v>
      </c>
      <c r="Z2127">
        <f>ReconciliationData[[#This Row],[billed_revenue]]-ReconciliationData[[#This Row],[expected_revenue]]</f>
        <v>0</v>
      </c>
      <c r="AA21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27" t="str">
        <f>IF(ReconciliationData[[#This Row],[severity_score]]=0,"LOW",
 IF(ReconciliationData[[#This Row],[severity_score]]&lt;=5,"MEDIUM","HIGH"))</f>
        <v>LOW</v>
      </c>
      <c r="AC2127" t="str">
        <f>TEXT(ReconciliationData[[#This Row],[Order_Date]],"YYYY-MM")</f>
        <v>2023-01</v>
      </c>
    </row>
    <row r="2128" spans="1:29">
      <c r="A2128" t="s">
        <v>5433</v>
      </c>
      <c r="B2128" s="1">
        <v>45055</v>
      </c>
      <c r="C2128" t="s">
        <v>161</v>
      </c>
      <c r="D2128" t="s">
        <v>537</v>
      </c>
      <c r="E2128">
        <v>129</v>
      </c>
      <c r="F2128" t="s">
        <v>5434</v>
      </c>
      <c r="G2128">
        <v>129</v>
      </c>
      <c r="H2128">
        <v>432.839</v>
      </c>
      <c r="N2128">
        <v>432.839</v>
      </c>
      <c r="O2128" s="1">
        <v>45048</v>
      </c>
      <c r="P2128">
        <f>IF(ISBLANK(ReconciliationData[[#This Row],[Invoice_ID]]),1,0)</f>
        <v>0</v>
      </c>
      <c r="Q2128">
        <f>IF(AND(NOT(ISBLANK(ReconciliationData[[#This Row],[Billed_Units]])),ReconciliationData[[#This Row],[ordered_units]]&lt;&gt;ReconciliationData[[#This Row],[Billed_Units]]),1,0)</f>
        <v>0</v>
      </c>
      <c r="R21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8">
        <f>IF(AND(NOT(ISBLANK(ReconciliationData[[#This Row],[Contract_Price]])),ReconciliationData[[#This Row],[Billed_Price]]&lt;&gt;ReconciliationData[[#This Row],[Contract_Price]]),1,0)</f>
        <v>0</v>
      </c>
      <c r="T2128">
        <f>IF(AND(NOT(ISBLANK(ReconciliationData[[#This Row],[End_Date]])),ReconciliationData[[#This Row],[Order_Date]]&gt;ReconciliationData[[#This Row],[End_Date]]),1,0)</f>
        <v>0</v>
      </c>
      <c r="U2128">
        <f>IF(AND(NOT(ISBLANK(ReconciliationData[[#This Row],[last_return_date]])),ReconciliationData[[#This Row],[last_return_date]]&gt;ReconciliationData[[#This Row],[Order_Date]]+60),1,0)</f>
        <v>0</v>
      </c>
      <c r="V2128">
        <f>IF(ReconciliationData[[#This Row],[total_returned_units]]&gt;ReconciliationData[[#This Row],[ordered_units]],1,0)</f>
        <v>0</v>
      </c>
      <c r="W21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28">
        <f>ReconciliationData[[#This Row],[Billed_Units]]*ReconciliationData[[#This Row],[Billed_Price]]</f>
        <v>55836.231</v>
      </c>
      <c r="Y2128">
        <f>ReconciliationData[[#This Row],[ordered_units]]*ReconciliationData[[#This Row],[List_Price]]</f>
        <v>55836.231</v>
      </c>
      <c r="Z2128">
        <f>ReconciliationData[[#This Row],[billed_revenue]]-ReconciliationData[[#This Row],[expected_revenue]]</f>
        <v>0</v>
      </c>
      <c r="AA21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28" t="str">
        <f>IF(ReconciliationData[[#This Row],[severity_score]]=0,"LOW",
 IF(ReconciliationData[[#This Row],[severity_score]]&lt;=5,"MEDIUM","HIGH"))</f>
        <v>LOW</v>
      </c>
      <c r="AC2128" t="str">
        <f>TEXT(ReconciliationData[[#This Row],[Order_Date]],"YYYY-MM")</f>
        <v>2023-05</v>
      </c>
    </row>
    <row r="2129" spans="1:29">
      <c r="A2129" t="s">
        <v>5435</v>
      </c>
      <c r="B2129" s="1">
        <v>45236</v>
      </c>
      <c r="C2129" t="s">
        <v>161</v>
      </c>
      <c r="D2129" t="s">
        <v>1542</v>
      </c>
      <c r="E2129">
        <v>123</v>
      </c>
      <c r="F2129" t="s">
        <v>5436</v>
      </c>
      <c r="G2129">
        <v>123</v>
      </c>
      <c r="H2129">
        <v>402.05340000000001</v>
      </c>
      <c r="N2129">
        <v>402.05340000000001</v>
      </c>
      <c r="O2129" s="1">
        <v>45214</v>
      </c>
      <c r="P2129">
        <f>IF(ISBLANK(ReconciliationData[[#This Row],[Invoice_ID]]),1,0)</f>
        <v>0</v>
      </c>
      <c r="Q2129">
        <f>IF(AND(NOT(ISBLANK(ReconciliationData[[#This Row],[Billed_Units]])),ReconciliationData[[#This Row],[ordered_units]]&lt;&gt;ReconciliationData[[#This Row],[Billed_Units]]),1,0)</f>
        <v>0</v>
      </c>
      <c r="R21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29">
        <f>IF(AND(NOT(ISBLANK(ReconciliationData[[#This Row],[Contract_Price]])),ReconciliationData[[#This Row],[Billed_Price]]&lt;&gt;ReconciliationData[[#This Row],[Contract_Price]]),1,0)</f>
        <v>0</v>
      </c>
      <c r="T2129">
        <f>IF(AND(NOT(ISBLANK(ReconciliationData[[#This Row],[End_Date]])),ReconciliationData[[#This Row],[Order_Date]]&gt;ReconciliationData[[#This Row],[End_Date]]),1,0)</f>
        <v>0</v>
      </c>
      <c r="U2129">
        <f>IF(AND(NOT(ISBLANK(ReconciliationData[[#This Row],[last_return_date]])),ReconciliationData[[#This Row],[last_return_date]]&gt;ReconciliationData[[#This Row],[Order_Date]]+60),1,0)</f>
        <v>0</v>
      </c>
      <c r="V2129">
        <f>IF(ReconciliationData[[#This Row],[total_returned_units]]&gt;ReconciliationData[[#This Row],[ordered_units]],1,0)</f>
        <v>0</v>
      </c>
      <c r="W21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29">
        <f>ReconciliationData[[#This Row],[Billed_Units]]*ReconciliationData[[#This Row],[Billed_Price]]</f>
        <v>49452.568200000002</v>
      </c>
      <c r="Y2129">
        <f>ReconciliationData[[#This Row],[ordered_units]]*ReconciliationData[[#This Row],[List_Price]]</f>
        <v>49452.568200000002</v>
      </c>
      <c r="Z2129">
        <f>ReconciliationData[[#This Row],[billed_revenue]]-ReconciliationData[[#This Row],[expected_revenue]]</f>
        <v>0</v>
      </c>
      <c r="AA21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29" t="str">
        <f>IF(ReconciliationData[[#This Row],[severity_score]]=0,"LOW",
 IF(ReconciliationData[[#This Row],[severity_score]]&lt;=5,"MEDIUM","HIGH"))</f>
        <v>LOW</v>
      </c>
      <c r="AC2129" t="str">
        <f>TEXT(ReconciliationData[[#This Row],[Order_Date]],"YYYY-MM")</f>
        <v>2023-11</v>
      </c>
    </row>
    <row r="2130" spans="1:29">
      <c r="A2130" t="s">
        <v>5437</v>
      </c>
      <c r="B2130" s="1">
        <v>45041</v>
      </c>
      <c r="C2130" t="s">
        <v>1936</v>
      </c>
      <c r="D2130" t="s">
        <v>655</v>
      </c>
      <c r="E2130">
        <v>195</v>
      </c>
      <c r="F2130" t="s">
        <v>5438</v>
      </c>
      <c r="G2130">
        <v>195</v>
      </c>
      <c r="H2130">
        <v>134.64880000000002</v>
      </c>
      <c r="N2130">
        <v>134.64880000000002</v>
      </c>
      <c r="O2130" s="1">
        <v>44991</v>
      </c>
      <c r="P2130">
        <f>IF(ISBLANK(ReconciliationData[[#This Row],[Invoice_ID]]),1,0)</f>
        <v>0</v>
      </c>
      <c r="Q2130">
        <f>IF(AND(NOT(ISBLANK(ReconciliationData[[#This Row],[Billed_Units]])),ReconciliationData[[#This Row],[ordered_units]]&lt;&gt;ReconciliationData[[#This Row],[Billed_Units]]),1,0)</f>
        <v>0</v>
      </c>
      <c r="R21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0">
        <f>IF(AND(NOT(ISBLANK(ReconciliationData[[#This Row],[Contract_Price]])),ReconciliationData[[#This Row],[Billed_Price]]&lt;&gt;ReconciliationData[[#This Row],[Contract_Price]]),1,0)</f>
        <v>0</v>
      </c>
      <c r="T2130">
        <f>IF(AND(NOT(ISBLANK(ReconciliationData[[#This Row],[End_Date]])),ReconciliationData[[#This Row],[Order_Date]]&gt;ReconciliationData[[#This Row],[End_Date]]),1,0)</f>
        <v>0</v>
      </c>
      <c r="U2130">
        <f>IF(AND(NOT(ISBLANK(ReconciliationData[[#This Row],[last_return_date]])),ReconciliationData[[#This Row],[last_return_date]]&gt;ReconciliationData[[#This Row],[Order_Date]]+60),1,0)</f>
        <v>0</v>
      </c>
      <c r="V2130">
        <f>IF(ReconciliationData[[#This Row],[total_returned_units]]&gt;ReconciliationData[[#This Row],[ordered_units]],1,0)</f>
        <v>0</v>
      </c>
      <c r="W21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30">
        <f>ReconciliationData[[#This Row],[Billed_Units]]*ReconciliationData[[#This Row],[Billed_Price]]</f>
        <v>26256.516000000003</v>
      </c>
      <c r="Y2130">
        <f>ReconciliationData[[#This Row],[ordered_units]]*ReconciliationData[[#This Row],[List_Price]]</f>
        <v>26256.516000000003</v>
      </c>
      <c r="Z2130">
        <f>ReconciliationData[[#This Row],[billed_revenue]]-ReconciliationData[[#This Row],[expected_revenue]]</f>
        <v>0</v>
      </c>
      <c r="AA21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30" t="str">
        <f>IF(ReconciliationData[[#This Row],[severity_score]]=0,"LOW",
 IF(ReconciliationData[[#This Row],[severity_score]]&lt;=5,"MEDIUM","HIGH"))</f>
        <v>LOW</v>
      </c>
      <c r="AC2130" t="str">
        <f>TEXT(ReconciliationData[[#This Row],[Order_Date]],"YYYY-MM")</f>
        <v>2023-04</v>
      </c>
    </row>
    <row r="2131" spans="1:29">
      <c r="A2131" t="s">
        <v>5439</v>
      </c>
      <c r="B2131" s="1">
        <v>45470</v>
      </c>
      <c r="C2131" t="s">
        <v>731</v>
      </c>
      <c r="D2131" t="s">
        <v>162</v>
      </c>
      <c r="E2131">
        <v>19</v>
      </c>
      <c r="F2131" t="s">
        <v>5440</v>
      </c>
      <c r="G2131">
        <v>27</v>
      </c>
      <c r="H2131">
        <v>510.91840000000002</v>
      </c>
      <c r="N2131">
        <v>510.91840000000002</v>
      </c>
      <c r="O2131" s="1">
        <v>44981</v>
      </c>
      <c r="P2131">
        <f>IF(ISBLANK(ReconciliationData[[#This Row],[Invoice_ID]]),1,0)</f>
        <v>0</v>
      </c>
      <c r="Q2131">
        <f>IF(AND(NOT(ISBLANK(ReconciliationData[[#This Row],[Billed_Units]])),ReconciliationData[[#This Row],[ordered_units]]&lt;&gt;ReconciliationData[[#This Row],[Billed_Units]]),1,0)</f>
        <v>1</v>
      </c>
      <c r="R21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1">
        <f>IF(AND(NOT(ISBLANK(ReconciliationData[[#This Row],[Contract_Price]])),ReconciliationData[[#This Row],[Billed_Price]]&lt;&gt;ReconciliationData[[#This Row],[Contract_Price]]),1,0)</f>
        <v>0</v>
      </c>
      <c r="T2131">
        <f>IF(AND(NOT(ISBLANK(ReconciliationData[[#This Row],[End_Date]])),ReconciliationData[[#This Row],[Order_Date]]&gt;ReconciliationData[[#This Row],[End_Date]]),1,0)</f>
        <v>0</v>
      </c>
      <c r="U2131">
        <f>IF(AND(NOT(ISBLANK(ReconciliationData[[#This Row],[last_return_date]])),ReconciliationData[[#This Row],[last_return_date]]&gt;ReconciliationData[[#This Row],[Order_Date]]+60),1,0)</f>
        <v>0</v>
      </c>
      <c r="V2131">
        <f>IF(ReconciliationData[[#This Row],[total_returned_units]]&gt;ReconciliationData[[#This Row],[ordered_units]],1,0)</f>
        <v>0</v>
      </c>
      <c r="W21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31">
        <f>ReconciliationData[[#This Row],[Billed_Units]]*ReconciliationData[[#This Row],[Billed_Price]]</f>
        <v>13794.7968</v>
      </c>
      <c r="Y2131">
        <f>ReconciliationData[[#This Row],[ordered_units]]*ReconciliationData[[#This Row],[List_Price]]</f>
        <v>9707.4495999999999</v>
      </c>
      <c r="Z2131">
        <f>ReconciliationData[[#This Row],[billed_revenue]]-ReconciliationData[[#This Row],[expected_revenue]]</f>
        <v>4087.3472000000002</v>
      </c>
      <c r="AA21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131" t="str">
        <f>IF(ReconciliationData[[#This Row],[severity_score]]=0,"LOW",
 IF(ReconciliationData[[#This Row],[severity_score]]&lt;=5,"MEDIUM","HIGH"))</f>
        <v>HIGH</v>
      </c>
      <c r="AC2131" t="str">
        <f>TEXT(ReconciliationData[[#This Row],[Order_Date]],"YYYY-MM")</f>
        <v>2024-06</v>
      </c>
    </row>
    <row r="2132" spans="1:29">
      <c r="A2132" t="s">
        <v>5441</v>
      </c>
      <c r="B2132" s="1">
        <v>45146</v>
      </c>
      <c r="C2132" t="s">
        <v>1403</v>
      </c>
      <c r="D2132" t="s">
        <v>291</v>
      </c>
      <c r="E2132">
        <v>102</v>
      </c>
      <c r="F2132" t="s">
        <v>5442</v>
      </c>
      <c r="G2132">
        <v>102</v>
      </c>
      <c r="H2132">
        <v>454.98379999999997</v>
      </c>
      <c r="N2132">
        <v>454.98379999999997</v>
      </c>
      <c r="O2132" s="1">
        <v>45011</v>
      </c>
      <c r="P2132">
        <f>IF(ISBLANK(ReconciliationData[[#This Row],[Invoice_ID]]),1,0)</f>
        <v>0</v>
      </c>
      <c r="Q2132">
        <f>IF(AND(NOT(ISBLANK(ReconciliationData[[#This Row],[Billed_Units]])),ReconciliationData[[#This Row],[ordered_units]]&lt;&gt;ReconciliationData[[#This Row],[Billed_Units]]),1,0)</f>
        <v>0</v>
      </c>
      <c r="R21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2">
        <f>IF(AND(NOT(ISBLANK(ReconciliationData[[#This Row],[Contract_Price]])),ReconciliationData[[#This Row],[Billed_Price]]&lt;&gt;ReconciliationData[[#This Row],[Contract_Price]]),1,0)</f>
        <v>0</v>
      </c>
      <c r="T2132">
        <f>IF(AND(NOT(ISBLANK(ReconciliationData[[#This Row],[End_Date]])),ReconciliationData[[#This Row],[Order_Date]]&gt;ReconciliationData[[#This Row],[End_Date]]),1,0)</f>
        <v>0</v>
      </c>
      <c r="U2132">
        <f>IF(AND(NOT(ISBLANK(ReconciliationData[[#This Row],[last_return_date]])),ReconciliationData[[#This Row],[last_return_date]]&gt;ReconciliationData[[#This Row],[Order_Date]]+60),1,0)</f>
        <v>0</v>
      </c>
      <c r="V2132">
        <f>IF(ReconciliationData[[#This Row],[total_returned_units]]&gt;ReconciliationData[[#This Row],[ordered_units]],1,0)</f>
        <v>0</v>
      </c>
      <c r="W21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32">
        <f>ReconciliationData[[#This Row],[Billed_Units]]*ReconciliationData[[#This Row],[Billed_Price]]</f>
        <v>46408.347599999994</v>
      </c>
      <c r="Y2132">
        <f>ReconciliationData[[#This Row],[ordered_units]]*ReconciliationData[[#This Row],[List_Price]]</f>
        <v>46408.347599999994</v>
      </c>
      <c r="Z2132">
        <f>ReconciliationData[[#This Row],[billed_revenue]]-ReconciliationData[[#This Row],[expected_revenue]]</f>
        <v>0</v>
      </c>
      <c r="AA21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32" t="str">
        <f>IF(ReconciliationData[[#This Row],[severity_score]]=0,"LOW",
 IF(ReconciliationData[[#This Row],[severity_score]]&lt;=5,"MEDIUM","HIGH"))</f>
        <v>LOW</v>
      </c>
      <c r="AC2132" t="str">
        <f>TEXT(ReconciliationData[[#This Row],[Order_Date]],"YYYY-MM")</f>
        <v>2023-08</v>
      </c>
    </row>
    <row r="2133" spans="1:29">
      <c r="A2133" t="s">
        <v>5443</v>
      </c>
      <c r="B2133" s="1">
        <v>45500</v>
      </c>
      <c r="C2133" t="s">
        <v>4212</v>
      </c>
      <c r="D2133" t="s">
        <v>1061</v>
      </c>
      <c r="E2133">
        <v>145</v>
      </c>
      <c r="F2133" t="s">
        <v>5444</v>
      </c>
      <c r="G2133">
        <v>145</v>
      </c>
      <c r="H2133">
        <v>79.105599999999995</v>
      </c>
      <c r="N2133">
        <v>79.105599999999995</v>
      </c>
      <c r="O2133" s="1">
        <v>45204</v>
      </c>
      <c r="P2133">
        <f>IF(ISBLANK(ReconciliationData[[#This Row],[Invoice_ID]]),1,0)</f>
        <v>0</v>
      </c>
      <c r="Q2133">
        <f>IF(AND(NOT(ISBLANK(ReconciliationData[[#This Row],[Billed_Units]])),ReconciliationData[[#This Row],[ordered_units]]&lt;&gt;ReconciliationData[[#This Row],[Billed_Units]]),1,0)</f>
        <v>0</v>
      </c>
      <c r="R21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3">
        <f>IF(AND(NOT(ISBLANK(ReconciliationData[[#This Row],[Contract_Price]])),ReconciliationData[[#This Row],[Billed_Price]]&lt;&gt;ReconciliationData[[#This Row],[Contract_Price]]),1,0)</f>
        <v>0</v>
      </c>
      <c r="T2133">
        <f>IF(AND(NOT(ISBLANK(ReconciliationData[[#This Row],[End_Date]])),ReconciliationData[[#This Row],[Order_Date]]&gt;ReconciliationData[[#This Row],[End_Date]]),1,0)</f>
        <v>0</v>
      </c>
      <c r="U2133">
        <f>IF(AND(NOT(ISBLANK(ReconciliationData[[#This Row],[last_return_date]])),ReconciliationData[[#This Row],[last_return_date]]&gt;ReconciliationData[[#This Row],[Order_Date]]+60),1,0)</f>
        <v>0</v>
      </c>
      <c r="V2133">
        <f>IF(ReconciliationData[[#This Row],[total_returned_units]]&gt;ReconciliationData[[#This Row],[ordered_units]],1,0)</f>
        <v>0</v>
      </c>
      <c r="W21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33">
        <f>ReconciliationData[[#This Row],[Billed_Units]]*ReconciliationData[[#This Row],[Billed_Price]]</f>
        <v>11470.312</v>
      </c>
      <c r="Y2133">
        <f>ReconciliationData[[#This Row],[ordered_units]]*ReconciliationData[[#This Row],[List_Price]]</f>
        <v>11470.312</v>
      </c>
      <c r="Z2133">
        <f>ReconciliationData[[#This Row],[billed_revenue]]-ReconciliationData[[#This Row],[expected_revenue]]</f>
        <v>0</v>
      </c>
      <c r="AA21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33" t="str">
        <f>IF(ReconciliationData[[#This Row],[severity_score]]=0,"LOW",
 IF(ReconciliationData[[#This Row],[severity_score]]&lt;=5,"MEDIUM","HIGH"))</f>
        <v>LOW</v>
      </c>
      <c r="AC2133" t="str">
        <f>TEXT(ReconciliationData[[#This Row],[Order_Date]],"YYYY-MM")</f>
        <v>2024-07</v>
      </c>
    </row>
    <row r="2134" spans="1:29">
      <c r="A2134" t="s">
        <v>5445</v>
      </c>
      <c r="B2134" s="1">
        <v>45076</v>
      </c>
      <c r="C2134" t="s">
        <v>181</v>
      </c>
      <c r="D2134" t="s">
        <v>3297</v>
      </c>
      <c r="E2134">
        <v>11</v>
      </c>
      <c r="F2134" t="s">
        <v>5446</v>
      </c>
      <c r="G2134">
        <v>11</v>
      </c>
      <c r="H2134">
        <v>933.43190000000004</v>
      </c>
      <c r="N2134">
        <v>933.43190000000004</v>
      </c>
      <c r="O2134" s="1">
        <v>45011</v>
      </c>
      <c r="P2134">
        <f>IF(ISBLANK(ReconciliationData[[#This Row],[Invoice_ID]]),1,0)</f>
        <v>0</v>
      </c>
      <c r="Q2134">
        <f>IF(AND(NOT(ISBLANK(ReconciliationData[[#This Row],[Billed_Units]])),ReconciliationData[[#This Row],[ordered_units]]&lt;&gt;ReconciliationData[[#This Row],[Billed_Units]]),1,0)</f>
        <v>0</v>
      </c>
      <c r="R21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4">
        <f>IF(AND(NOT(ISBLANK(ReconciliationData[[#This Row],[Contract_Price]])),ReconciliationData[[#This Row],[Billed_Price]]&lt;&gt;ReconciliationData[[#This Row],[Contract_Price]]),1,0)</f>
        <v>0</v>
      </c>
      <c r="T2134">
        <f>IF(AND(NOT(ISBLANK(ReconciliationData[[#This Row],[End_Date]])),ReconciliationData[[#This Row],[Order_Date]]&gt;ReconciliationData[[#This Row],[End_Date]]),1,0)</f>
        <v>0</v>
      </c>
      <c r="U2134">
        <f>IF(AND(NOT(ISBLANK(ReconciliationData[[#This Row],[last_return_date]])),ReconciliationData[[#This Row],[last_return_date]]&gt;ReconciliationData[[#This Row],[Order_Date]]+60),1,0)</f>
        <v>0</v>
      </c>
      <c r="V2134">
        <f>IF(ReconciliationData[[#This Row],[total_returned_units]]&gt;ReconciliationData[[#This Row],[ordered_units]],1,0)</f>
        <v>0</v>
      </c>
      <c r="W21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34">
        <f>ReconciliationData[[#This Row],[Billed_Units]]*ReconciliationData[[#This Row],[Billed_Price]]</f>
        <v>10267.750900000001</v>
      </c>
      <c r="Y2134">
        <f>ReconciliationData[[#This Row],[ordered_units]]*ReconciliationData[[#This Row],[List_Price]]</f>
        <v>10267.750900000001</v>
      </c>
      <c r="Z2134">
        <f>ReconciliationData[[#This Row],[billed_revenue]]-ReconciliationData[[#This Row],[expected_revenue]]</f>
        <v>0</v>
      </c>
      <c r="AA21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34" t="str">
        <f>IF(ReconciliationData[[#This Row],[severity_score]]=0,"LOW",
 IF(ReconciliationData[[#This Row],[severity_score]]&lt;=5,"MEDIUM","HIGH"))</f>
        <v>LOW</v>
      </c>
      <c r="AC2134" t="str">
        <f>TEXT(ReconciliationData[[#This Row],[Order_Date]],"YYYY-MM")</f>
        <v>2023-05</v>
      </c>
    </row>
    <row r="2135" spans="1:29">
      <c r="A2135" t="s">
        <v>5447</v>
      </c>
      <c r="B2135" s="1">
        <v>45372</v>
      </c>
      <c r="C2135" t="s">
        <v>1747</v>
      </c>
      <c r="D2135" t="s">
        <v>1459</v>
      </c>
      <c r="E2135">
        <v>22</v>
      </c>
      <c r="F2135" t="s">
        <v>5448</v>
      </c>
      <c r="G2135">
        <v>22</v>
      </c>
      <c r="H2135">
        <v>1149.8634</v>
      </c>
      <c r="N2135">
        <v>1149.8634</v>
      </c>
      <c r="O2135" s="1">
        <v>45135</v>
      </c>
      <c r="P2135">
        <f>IF(ISBLANK(ReconciliationData[[#This Row],[Invoice_ID]]),1,0)</f>
        <v>0</v>
      </c>
      <c r="Q2135">
        <f>IF(AND(NOT(ISBLANK(ReconciliationData[[#This Row],[Billed_Units]])),ReconciliationData[[#This Row],[ordered_units]]&lt;&gt;ReconciliationData[[#This Row],[Billed_Units]]),1,0)</f>
        <v>0</v>
      </c>
      <c r="R21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5">
        <f>IF(AND(NOT(ISBLANK(ReconciliationData[[#This Row],[Contract_Price]])),ReconciliationData[[#This Row],[Billed_Price]]&lt;&gt;ReconciliationData[[#This Row],[Contract_Price]]),1,0)</f>
        <v>0</v>
      </c>
      <c r="T2135">
        <f>IF(AND(NOT(ISBLANK(ReconciliationData[[#This Row],[End_Date]])),ReconciliationData[[#This Row],[Order_Date]]&gt;ReconciliationData[[#This Row],[End_Date]]),1,0)</f>
        <v>0</v>
      </c>
      <c r="U2135">
        <f>IF(AND(NOT(ISBLANK(ReconciliationData[[#This Row],[last_return_date]])),ReconciliationData[[#This Row],[last_return_date]]&gt;ReconciliationData[[#This Row],[Order_Date]]+60),1,0)</f>
        <v>0</v>
      </c>
      <c r="V2135">
        <f>IF(ReconciliationData[[#This Row],[total_returned_units]]&gt;ReconciliationData[[#This Row],[ordered_units]],1,0)</f>
        <v>0</v>
      </c>
      <c r="W21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35">
        <f>ReconciliationData[[#This Row],[Billed_Units]]*ReconciliationData[[#This Row],[Billed_Price]]</f>
        <v>25296.9948</v>
      </c>
      <c r="Y2135">
        <f>ReconciliationData[[#This Row],[ordered_units]]*ReconciliationData[[#This Row],[List_Price]]</f>
        <v>25296.9948</v>
      </c>
      <c r="Z2135">
        <f>ReconciliationData[[#This Row],[billed_revenue]]-ReconciliationData[[#This Row],[expected_revenue]]</f>
        <v>0</v>
      </c>
      <c r="AA21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35" t="str">
        <f>IF(ReconciliationData[[#This Row],[severity_score]]=0,"LOW",
 IF(ReconciliationData[[#This Row],[severity_score]]&lt;=5,"MEDIUM","HIGH"))</f>
        <v>LOW</v>
      </c>
      <c r="AC2135" t="str">
        <f>TEXT(ReconciliationData[[#This Row],[Order_Date]],"YYYY-MM")</f>
        <v>2024-03</v>
      </c>
    </row>
    <row r="2136" spans="1:29">
      <c r="A2136" t="s">
        <v>5449</v>
      </c>
      <c r="B2136" s="1">
        <v>45013</v>
      </c>
      <c r="C2136" t="s">
        <v>1997</v>
      </c>
      <c r="D2136" t="s">
        <v>1530</v>
      </c>
      <c r="E2136">
        <v>42</v>
      </c>
      <c r="F2136" t="s">
        <v>5450</v>
      </c>
      <c r="G2136">
        <v>42</v>
      </c>
      <c r="H2136">
        <v>1131.7711000000002</v>
      </c>
      <c r="N2136">
        <v>1131.7711000000002</v>
      </c>
      <c r="O2136" s="1">
        <v>44869</v>
      </c>
      <c r="P2136">
        <f>IF(ISBLANK(ReconciliationData[[#This Row],[Invoice_ID]]),1,0)</f>
        <v>0</v>
      </c>
      <c r="Q2136">
        <f>IF(AND(NOT(ISBLANK(ReconciliationData[[#This Row],[Billed_Units]])),ReconciliationData[[#This Row],[ordered_units]]&lt;&gt;ReconciliationData[[#This Row],[Billed_Units]]),1,0)</f>
        <v>0</v>
      </c>
      <c r="R21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6">
        <f>IF(AND(NOT(ISBLANK(ReconciliationData[[#This Row],[Contract_Price]])),ReconciliationData[[#This Row],[Billed_Price]]&lt;&gt;ReconciliationData[[#This Row],[Contract_Price]]),1,0)</f>
        <v>0</v>
      </c>
      <c r="T2136">
        <f>IF(AND(NOT(ISBLANK(ReconciliationData[[#This Row],[End_Date]])),ReconciliationData[[#This Row],[Order_Date]]&gt;ReconciliationData[[#This Row],[End_Date]]),1,0)</f>
        <v>0</v>
      </c>
      <c r="U2136">
        <f>IF(AND(NOT(ISBLANK(ReconciliationData[[#This Row],[last_return_date]])),ReconciliationData[[#This Row],[last_return_date]]&gt;ReconciliationData[[#This Row],[Order_Date]]+60),1,0)</f>
        <v>0</v>
      </c>
      <c r="V2136">
        <f>IF(ReconciliationData[[#This Row],[total_returned_units]]&gt;ReconciliationData[[#This Row],[ordered_units]],1,0)</f>
        <v>0</v>
      </c>
      <c r="W21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36">
        <f>ReconciliationData[[#This Row],[Billed_Units]]*ReconciliationData[[#This Row],[Billed_Price]]</f>
        <v>47534.386200000008</v>
      </c>
      <c r="Y2136">
        <f>ReconciliationData[[#This Row],[ordered_units]]*ReconciliationData[[#This Row],[List_Price]]</f>
        <v>47534.386200000008</v>
      </c>
      <c r="Z2136">
        <f>ReconciliationData[[#This Row],[billed_revenue]]-ReconciliationData[[#This Row],[expected_revenue]]</f>
        <v>0</v>
      </c>
      <c r="AA21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36" t="str">
        <f>IF(ReconciliationData[[#This Row],[severity_score]]=0,"LOW",
 IF(ReconciliationData[[#This Row],[severity_score]]&lt;=5,"MEDIUM","HIGH"))</f>
        <v>LOW</v>
      </c>
      <c r="AC2136" t="str">
        <f>TEXT(ReconciliationData[[#This Row],[Order_Date]],"YYYY-MM")</f>
        <v>2023-03</v>
      </c>
    </row>
    <row r="2137" spans="1:29">
      <c r="A2137" t="s">
        <v>5451</v>
      </c>
      <c r="B2137" s="1">
        <v>45231</v>
      </c>
      <c r="C2137" t="s">
        <v>2152</v>
      </c>
      <c r="D2137" t="s">
        <v>1754</v>
      </c>
      <c r="E2137">
        <v>120</v>
      </c>
      <c r="F2137" t="s">
        <v>5452</v>
      </c>
      <c r="G2137">
        <v>120</v>
      </c>
      <c r="H2137">
        <v>1072.2954</v>
      </c>
      <c r="N2137">
        <v>1072.2954</v>
      </c>
      <c r="O2137" s="1">
        <v>45120</v>
      </c>
      <c r="P2137">
        <f>IF(ISBLANK(ReconciliationData[[#This Row],[Invoice_ID]]),1,0)</f>
        <v>0</v>
      </c>
      <c r="Q2137">
        <f>IF(AND(NOT(ISBLANK(ReconciliationData[[#This Row],[Billed_Units]])),ReconciliationData[[#This Row],[ordered_units]]&lt;&gt;ReconciliationData[[#This Row],[Billed_Units]]),1,0)</f>
        <v>0</v>
      </c>
      <c r="R21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7">
        <f>IF(AND(NOT(ISBLANK(ReconciliationData[[#This Row],[Contract_Price]])),ReconciliationData[[#This Row],[Billed_Price]]&lt;&gt;ReconciliationData[[#This Row],[Contract_Price]]),1,0)</f>
        <v>0</v>
      </c>
      <c r="T2137">
        <f>IF(AND(NOT(ISBLANK(ReconciliationData[[#This Row],[End_Date]])),ReconciliationData[[#This Row],[Order_Date]]&gt;ReconciliationData[[#This Row],[End_Date]]),1,0)</f>
        <v>0</v>
      </c>
      <c r="U2137">
        <f>IF(AND(NOT(ISBLANK(ReconciliationData[[#This Row],[last_return_date]])),ReconciliationData[[#This Row],[last_return_date]]&gt;ReconciliationData[[#This Row],[Order_Date]]+60),1,0)</f>
        <v>0</v>
      </c>
      <c r="V2137">
        <f>IF(ReconciliationData[[#This Row],[total_returned_units]]&gt;ReconciliationData[[#This Row],[ordered_units]],1,0)</f>
        <v>0</v>
      </c>
      <c r="W21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37">
        <f>ReconciliationData[[#This Row],[Billed_Units]]*ReconciliationData[[#This Row],[Billed_Price]]</f>
        <v>128675.448</v>
      </c>
      <c r="Y2137">
        <f>ReconciliationData[[#This Row],[ordered_units]]*ReconciliationData[[#This Row],[List_Price]]</f>
        <v>128675.448</v>
      </c>
      <c r="Z2137">
        <f>ReconciliationData[[#This Row],[billed_revenue]]-ReconciliationData[[#This Row],[expected_revenue]]</f>
        <v>0</v>
      </c>
      <c r="AA21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37" t="str">
        <f>IF(ReconciliationData[[#This Row],[severity_score]]=0,"LOW",
 IF(ReconciliationData[[#This Row],[severity_score]]&lt;=5,"MEDIUM","HIGH"))</f>
        <v>LOW</v>
      </c>
      <c r="AC2137" t="str">
        <f>TEXT(ReconciliationData[[#This Row],[Order_Date]],"YYYY-MM")</f>
        <v>2023-11</v>
      </c>
    </row>
    <row r="2138" spans="1:29">
      <c r="A2138" t="s">
        <v>5453</v>
      </c>
      <c r="B2138" s="1">
        <v>45561</v>
      </c>
      <c r="C2138" t="s">
        <v>3450</v>
      </c>
      <c r="D2138" t="s">
        <v>711</v>
      </c>
      <c r="E2138">
        <v>114</v>
      </c>
      <c r="F2138" t="s">
        <v>5454</v>
      </c>
      <c r="G2138">
        <v>114</v>
      </c>
      <c r="H2138">
        <v>405.98</v>
      </c>
      <c r="N2138">
        <v>405.98</v>
      </c>
      <c r="O2138" s="1">
        <v>45152</v>
      </c>
      <c r="P2138">
        <f>IF(ISBLANK(ReconciliationData[[#This Row],[Invoice_ID]]),1,0)</f>
        <v>0</v>
      </c>
      <c r="Q2138">
        <f>IF(AND(NOT(ISBLANK(ReconciliationData[[#This Row],[Billed_Units]])),ReconciliationData[[#This Row],[ordered_units]]&lt;&gt;ReconciliationData[[#This Row],[Billed_Units]]),1,0)</f>
        <v>0</v>
      </c>
      <c r="R21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8">
        <f>IF(AND(NOT(ISBLANK(ReconciliationData[[#This Row],[Contract_Price]])),ReconciliationData[[#This Row],[Billed_Price]]&lt;&gt;ReconciliationData[[#This Row],[Contract_Price]]),1,0)</f>
        <v>0</v>
      </c>
      <c r="T2138">
        <f>IF(AND(NOT(ISBLANK(ReconciliationData[[#This Row],[End_Date]])),ReconciliationData[[#This Row],[Order_Date]]&gt;ReconciliationData[[#This Row],[End_Date]]),1,0)</f>
        <v>0</v>
      </c>
      <c r="U2138">
        <f>IF(AND(NOT(ISBLANK(ReconciliationData[[#This Row],[last_return_date]])),ReconciliationData[[#This Row],[last_return_date]]&gt;ReconciliationData[[#This Row],[Order_Date]]+60),1,0)</f>
        <v>0</v>
      </c>
      <c r="V2138">
        <f>IF(ReconciliationData[[#This Row],[total_returned_units]]&gt;ReconciliationData[[#This Row],[ordered_units]],1,0)</f>
        <v>0</v>
      </c>
      <c r="W21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38">
        <f>ReconciliationData[[#This Row],[Billed_Units]]*ReconciliationData[[#This Row],[Billed_Price]]</f>
        <v>46281.72</v>
      </c>
      <c r="Y2138">
        <f>ReconciliationData[[#This Row],[ordered_units]]*ReconciliationData[[#This Row],[List_Price]]</f>
        <v>46281.72</v>
      </c>
      <c r="Z2138">
        <f>ReconciliationData[[#This Row],[billed_revenue]]-ReconciliationData[[#This Row],[expected_revenue]]</f>
        <v>0</v>
      </c>
      <c r="AA21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38" t="str">
        <f>IF(ReconciliationData[[#This Row],[severity_score]]=0,"LOW",
 IF(ReconciliationData[[#This Row],[severity_score]]&lt;=5,"MEDIUM","HIGH"))</f>
        <v>LOW</v>
      </c>
      <c r="AC2138" t="str">
        <f>TEXT(ReconciliationData[[#This Row],[Order_Date]],"YYYY-MM")</f>
        <v>2024-09</v>
      </c>
    </row>
    <row r="2139" spans="1:29">
      <c r="A2139" t="s">
        <v>5455</v>
      </c>
      <c r="B2139" s="1">
        <v>44973</v>
      </c>
      <c r="C2139" t="s">
        <v>803</v>
      </c>
      <c r="D2139" t="s">
        <v>309</v>
      </c>
      <c r="E2139">
        <v>158</v>
      </c>
      <c r="F2139" t="s">
        <v>5456</v>
      </c>
      <c r="G2139">
        <v>158</v>
      </c>
      <c r="H2139">
        <v>1043.3556000000001</v>
      </c>
      <c r="N2139">
        <v>1043.3556000000001</v>
      </c>
      <c r="O2139" s="1">
        <v>44882</v>
      </c>
      <c r="P2139">
        <f>IF(ISBLANK(ReconciliationData[[#This Row],[Invoice_ID]]),1,0)</f>
        <v>0</v>
      </c>
      <c r="Q2139">
        <f>IF(AND(NOT(ISBLANK(ReconciliationData[[#This Row],[Billed_Units]])),ReconciliationData[[#This Row],[ordered_units]]&lt;&gt;ReconciliationData[[#This Row],[Billed_Units]]),1,0)</f>
        <v>0</v>
      </c>
      <c r="R21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39">
        <f>IF(AND(NOT(ISBLANK(ReconciliationData[[#This Row],[Contract_Price]])),ReconciliationData[[#This Row],[Billed_Price]]&lt;&gt;ReconciliationData[[#This Row],[Contract_Price]]),1,0)</f>
        <v>0</v>
      </c>
      <c r="T2139">
        <f>IF(AND(NOT(ISBLANK(ReconciliationData[[#This Row],[End_Date]])),ReconciliationData[[#This Row],[Order_Date]]&gt;ReconciliationData[[#This Row],[End_Date]]),1,0)</f>
        <v>0</v>
      </c>
      <c r="U2139">
        <f>IF(AND(NOT(ISBLANK(ReconciliationData[[#This Row],[last_return_date]])),ReconciliationData[[#This Row],[last_return_date]]&gt;ReconciliationData[[#This Row],[Order_Date]]+60),1,0)</f>
        <v>0</v>
      </c>
      <c r="V2139">
        <f>IF(ReconciliationData[[#This Row],[total_returned_units]]&gt;ReconciliationData[[#This Row],[ordered_units]],1,0)</f>
        <v>0</v>
      </c>
      <c r="W21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39">
        <f>ReconciliationData[[#This Row],[Billed_Units]]*ReconciliationData[[#This Row],[Billed_Price]]</f>
        <v>164850.18480000002</v>
      </c>
      <c r="Y2139">
        <f>ReconciliationData[[#This Row],[ordered_units]]*ReconciliationData[[#This Row],[List_Price]]</f>
        <v>164850.18480000002</v>
      </c>
      <c r="Z2139">
        <f>ReconciliationData[[#This Row],[billed_revenue]]-ReconciliationData[[#This Row],[expected_revenue]]</f>
        <v>0</v>
      </c>
      <c r="AA21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39" t="str">
        <f>IF(ReconciliationData[[#This Row],[severity_score]]=0,"LOW",
 IF(ReconciliationData[[#This Row],[severity_score]]&lt;=5,"MEDIUM","HIGH"))</f>
        <v>LOW</v>
      </c>
      <c r="AC2139" t="str">
        <f>TEXT(ReconciliationData[[#This Row],[Order_Date]],"YYYY-MM")</f>
        <v>2023-02</v>
      </c>
    </row>
    <row r="2140" spans="1:29">
      <c r="A2140" t="s">
        <v>5457</v>
      </c>
      <c r="B2140" s="1">
        <v>45067</v>
      </c>
      <c r="C2140" t="s">
        <v>1889</v>
      </c>
      <c r="D2140" t="s">
        <v>1845</v>
      </c>
      <c r="E2140">
        <v>110</v>
      </c>
      <c r="F2140" t="s">
        <v>5458</v>
      </c>
      <c r="G2140">
        <v>110</v>
      </c>
      <c r="H2140">
        <v>833.13300000000004</v>
      </c>
      <c r="I2140">
        <v>6</v>
      </c>
      <c r="J2140" s="1">
        <v>45176</v>
      </c>
      <c r="N2140">
        <v>833.13300000000004</v>
      </c>
      <c r="O2140" s="1">
        <v>44920</v>
      </c>
      <c r="P2140">
        <f>IF(ISBLANK(ReconciliationData[[#This Row],[Invoice_ID]]),1,0)</f>
        <v>0</v>
      </c>
      <c r="Q2140">
        <f>IF(AND(NOT(ISBLANK(ReconciliationData[[#This Row],[Billed_Units]])),ReconciliationData[[#This Row],[ordered_units]]&lt;&gt;ReconciliationData[[#This Row],[Billed_Units]]),1,0)</f>
        <v>0</v>
      </c>
      <c r="R21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40">
        <f>IF(AND(NOT(ISBLANK(ReconciliationData[[#This Row],[Contract_Price]])),ReconciliationData[[#This Row],[Billed_Price]]&lt;&gt;ReconciliationData[[#This Row],[Contract_Price]]),1,0)</f>
        <v>0</v>
      </c>
      <c r="T2140">
        <f>IF(AND(NOT(ISBLANK(ReconciliationData[[#This Row],[End_Date]])),ReconciliationData[[#This Row],[Order_Date]]&gt;ReconciliationData[[#This Row],[End_Date]]),1,0)</f>
        <v>0</v>
      </c>
      <c r="U2140">
        <f>IF(AND(NOT(ISBLANK(ReconciliationData[[#This Row],[last_return_date]])),ReconciliationData[[#This Row],[last_return_date]]&gt;ReconciliationData[[#This Row],[Order_Date]]+60),1,0)</f>
        <v>1</v>
      </c>
      <c r="V2140">
        <f>IF(ReconciliationData[[#This Row],[total_returned_units]]&gt;ReconciliationData[[#This Row],[ordered_units]],1,0)</f>
        <v>0</v>
      </c>
      <c r="W21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40">
        <f>ReconciliationData[[#This Row],[Billed_Units]]*ReconciliationData[[#This Row],[Billed_Price]]</f>
        <v>91644.63</v>
      </c>
      <c r="Y2140">
        <f>ReconciliationData[[#This Row],[ordered_units]]*ReconciliationData[[#This Row],[List_Price]]</f>
        <v>91644.63</v>
      </c>
      <c r="Z2140">
        <f>ReconciliationData[[#This Row],[billed_revenue]]-ReconciliationData[[#This Row],[expected_revenue]]</f>
        <v>0</v>
      </c>
      <c r="AA21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140" t="str">
        <f>IF(ReconciliationData[[#This Row],[severity_score]]=0,"LOW",
 IF(ReconciliationData[[#This Row],[severity_score]]&lt;=5,"MEDIUM","HIGH"))</f>
        <v>MEDIUM</v>
      </c>
      <c r="AC2140" t="str">
        <f>TEXT(ReconciliationData[[#This Row],[Order_Date]],"YYYY-MM")</f>
        <v>2023-05</v>
      </c>
    </row>
    <row r="2141" spans="1:29">
      <c r="A2141" t="s">
        <v>5459</v>
      </c>
      <c r="B2141" s="1">
        <v>45161</v>
      </c>
      <c r="C2141" t="s">
        <v>3525</v>
      </c>
      <c r="D2141" t="s">
        <v>1802</v>
      </c>
      <c r="E2141">
        <v>8</v>
      </c>
      <c r="F2141" t="s">
        <v>5460</v>
      </c>
      <c r="G2141">
        <v>8</v>
      </c>
      <c r="H2141">
        <v>648.86940000000004</v>
      </c>
      <c r="N2141">
        <v>648.86940000000004</v>
      </c>
      <c r="O2141" s="1">
        <v>45064</v>
      </c>
      <c r="P2141">
        <f>IF(ISBLANK(ReconciliationData[[#This Row],[Invoice_ID]]),1,0)</f>
        <v>0</v>
      </c>
      <c r="Q2141">
        <f>IF(AND(NOT(ISBLANK(ReconciliationData[[#This Row],[Billed_Units]])),ReconciliationData[[#This Row],[ordered_units]]&lt;&gt;ReconciliationData[[#This Row],[Billed_Units]]),1,0)</f>
        <v>0</v>
      </c>
      <c r="R21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41">
        <f>IF(AND(NOT(ISBLANK(ReconciliationData[[#This Row],[Contract_Price]])),ReconciliationData[[#This Row],[Billed_Price]]&lt;&gt;ReconciliationData[[#This Row],[Contract_Price]]),1,0)</f>
        <v>0</v>
      </c>
      <c r="T2141">
        <f>IF(AND(NOT(ISBLANK(ReconciliationData[[#This Row],[End_Date]])),ReconciliationData[[#This Row],[Order_Date]]&gt;ReconciliationData[[#This Row],[End_Date]]),1,0)</f>
        <v>0</v>
      </c>
      <c r="U2141">
        <f>IF(AND(NOT(ISBLANK(ReconciliationData[[#This Row],[last_return_date]])),ReconciliationData[[#This Row],[last_return_date]]&gt;ReconciliationData[[#This Row],[Order_Date]]+60),1,0)</f>
        <v>0</v>
      </c>
      <c r="V2141">
        <f>IF(ReconciliationData[[#This Row],[total_returned_units]]&gt;ReconciliationData[[#This Row],[ordered_units]],1,0)</f>
        <v>0</v>
      </c>
      <c r="W21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41">
        <f>ReconciliationData[[#This Row],[Billed_Units]]*ReconciliationData[[#This Row],[Billed_Price]]</f>
        <v>5190.9552000000003</v>
      </c>
      <c r="Y2141">
        <f>ReconciliationData[[#This Row],[ordered_units]]*ReconciliationData[[#This Row],[List_Price]]</f>
        <v>5190.9552000000003</v>
      </c>
      <c r="Z2141">
        <f>ReconciliationData[[#This Row],[billed_revenue]]-ReconciliationData[[#This Row],[expected_revenue]]</f>
        <v>0</v>
      </c>
      <c r="AA21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41" t="str">
        <f>IF(ReconciliationData[[#This Row],[severity_score]]=0,"LOW",
 IF(ReconciliationData[[#This Row],[severity_score]]&lt;=5,"MEDIUM","HIGH"))</f>
        <v>LOW</v>
      </c>
      <c r="AC2141" t="str">
        <f>TEXT(ReconciliationData[[#This Row],[Order_Date]],"YYYY-MM")</f>
        <v>2023-08</v>
      </c>
    </row>
    <row r="2142" spans="1:29">
      <c r="A2142" t="s">
        <v>5461</v>
      </c>
      <c r="B2142" s="1">
        <v>45637</v>
      </c>
      <c r="C2142" t="s">
        <v>697</v>
      </c>
      <c r="D2142" t="s">
        <v>2605</v>
      </c>
      <c r="E2142">
        <v>116</v>
      </c>
      <c r="F2142" t="s">
        <v>5462</v>
      </c>
      <c r="G2142">
        <v>116</v>
      </c>
      <c r="H2142">
        <v>697.22459290062136</v>
      </c>
      <c r="N2142">
        <v>696.93029999999999</v>
      </c>
      <c r="O2142" s="1">
        <v>45150</v>
      </c>
      <c r="P2142">
        <f>IF(ISBLANK(ReconciliationData[[#This Row],[Invoice_ID]]),1,0)</f>
        <v>0</v>
      </c>
      <c r="Q2142">
        <f>IF(AND(NOT(ISBLANK(ReconciliationData[[#This Row],[Billed_Units]])),ReconciliationData[[#This Row],[ordered_units]]&lt;&gt;ReconciliationData[[#This Row],[Billed_Units]]),1,0)</f>
        <v>0</v>
      </c>
      <c r="R214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142">
        <f>IF(AND(NOT(ISBLANK(ReconciliationData[[#This Row],[Contract_Price]])),ReconciliationData[[#This Row],[Billed_Price]]&lt;&gt;ReconciliationData[[#This Row],[Contract_Price]]),1,0)</f>
        <v>0</v>
      </c>
      <c r="T2142">
        <f>IF(AND(NOT(ISBLANK(ReconciliationData[[#This Row],[End_Date]])),ReconciliationData[[#This Row],[Order_Date]]&gt;ReconciliationData[[#This Row],[End_Date]]),1,0)</f>
        <v>0</v>
      </c>
      <c r="U2142">
        <f>IF(AND(NOT(ISBLANK(ReconciliationData[[#This Row],[last_return_date]])),ReconciliationData[[#This Row],[last_return_date]]&gt;ReconciliationData[[#This Row],[Order_Date]]+60),1,0)</f>
        <v>0</v>
      </c>
      <c r="V2142">
        <f>IF(ReconciliationData[[#This Row],[total_returned_units]]&gt;ReconciliationData[[#This Row],[ordered_units]],1,0)</f>
        <v>0</v>
      </c>
      <c r="W21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42">
        <f>ReconciliationData[[#This Row],[Billed_Units]]*ReconciliationData[[#This Row],[Billed_Price]]</f>
        <v>80878.052776472075</v>
      </c>
      <c r="Y2142">
        <f>ReconciliationData[[#This Row],[ordered_units]]*ReconciliationData[[#This Row],[List_Price]]</f>
        <v>80843.914799999999</v>
      </c>
      <c r="Z2142">
        <f>ReconciliationData[[#This Row],[billed_revenue]]-ReconciliationData[[#This Row],[expected_revenue]]</f>
        <v>34.137976472076843</v>
      </c>
      <c r="AA21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142" t="str">
        <f>IF(ReconciliationData[[#This Row],[severity_score]]=0,"LOW",
 IF(ReconciliationData[[#This Row],[severity_score]]&lt;=5,"MEDIUM","HIGH"))</f>
        <v>MEDIUM</v>
      </c>
      <c r="AC2142" t="str">
        <f>TEXT(ReconciliationData[[#This Row],[Order_Date]],"YYYY-MM")</f>
        <v>2024-12</v>
      </c>
    </row>
    <row r="2143" spans="1:29">
      <c r="A2143" t="s">
        <v>5463</v>
      </c>
      <c r="B2143" s="1">
        <v>45297</v>
      </c>
      <c r="C2143" t="s">
        <v>5464</v>
      </c>
      <c r="D2143" t="s">
        <v>154</v>
      </c>
      <c r="E2143">
        <v>40</v>
      </c>
      <c r="F2143" t="s">
        <v>5465</v>
      </c>
      <c r="G2143">
        <v>40</v>
      </c>
      <c r="H2143">
        <v>1058.3499999999999</v>
      </c>
      <c r="N2143">
        <v>1058.3499999999999</v>
      </c>
      <c r="O2143" s="1">
        <v>45136</v>
      </c>
      <c r="P2143">
        <f>IF(ISBLANK(ReconciliationData[[#This Row],[Invoice_ID]]),1,0)</f>
        <v>0</v>
      </c>
      <c r="Q2143">
        <f>IF(AND(NOT(ISBLANK(ReconciliationData[[#This Row],[Billed_Units]])),ReconciliationData[[#This Row],[ordered_units]]&lt;&gt;ReconciliationData[[#This Row],[Billed_Units]]),1,0)</f>
        <v>0</v>
      </c>
      <c r="R21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43">
        <f>IF(AND(NOT(ISBLANK(ReconciliationData[[#This Row],[Contract_Price]])),ReconciliationData[[#This Row],[Billed_Price]]&lt;&gt;ReconciliationData[[#This Row],[Contract_Price]]),1,0)</f>
        <v>0</v>
      </c>
      <c r="T2143">
        <f>IF(AND(NOT(ISBLANK(ReconciliationData[[#This Row],[End_Date]])),ReconciliationData[[#This Row],[Order_Date]]&gt;ReconciliationData[[#This Row],[End_Date]]),1,0)</f>
        <v>0</v>
      </c>
      <c r="U2143">
        <f>IF(AND(NOT(ISBLANK(ReconciliationData[[#This Row],[last_return_date]])),ReconciliationData[[#This Row],[last_return_date]]&gt;ReconciliationData[[#This Row],[Order_Date]]+60),1,0)</f>
        <v>0</v>
      </c>
      <c r="V2143">
        <f>IF(ReconciliationData[[#This Row],[total_returned_units]]&gt;ReconciliationData[[#This Row],[ordered_units]],1,0)</f>
        <v>0</v>
      </c>
      <c r="W21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43">
        <f>ReconciliationData[[#This Row],[Billed_Units]]*ReconciliationData[[#This Row],[Billed_Price]]</f>
        <v>42334</v>
      </c>
      <c r="Y2143">
        <f>ReconciliationData[[#This Row],[ordered_units]]*ReconciliationData[[#This Row],[List_Price]]</f>
        <v>42334</v>
      </c>
      <c r="Z2143">
        <f>ReconciliationData[[#This Row],[billed_revenue]]-ReconciliationData[[#This Row],[expected_revenue]]</f>
        <v>0</v>
      </c>
      <c r="AA21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43" t="str">
        <f>IF(ReconciliationData[[#This Row],[severity_score]]=0,"LOW",
 IF(ReconciliationData[[#This Row],[severity_score]]&lt;=5,"MEDIUM","HIGH"))</f>
        <v>LOW</v>
      </c>
      <c r="AC2143" t="str">
        <f>TEXT(ReconciliationData[[#This Row],[Order_Date]],"YYYY-MM")</f>
        <v>2024-01</v>
      </c>
    </row>
    <row r="2144" spans="1:29">
      <c r="A2144" t="s">
        <v>5466</v>
      </c>
      <c r="B2144" s="1">
        <v>44941</v>
      </c>
      <c r="C2144" t="s">
        <v>2186</v>
      </c>
      <c r="D2144" t="s">
        <v>1420</v>
      </c>
      <c r="E2144">
        <v>163</v>
      </c>
      <c r="F2144" t="s">
        <v>5467</v>
      </c>
      <c r="G2144">
        <v>163</v>
      </c>
      <c r="H2144">
        <v>77.178600000000003</v>
      </c>
      <c r="N2144">
        <v>77.178600000000003</v>
      </c>
      <c r="O2144" s="1">
        <v>44878</v>
      </c>
      <c r="P2144">
        <f>IF(ISBLANK(ReconciliationData[[#This Row],[Invoice_ID]]),1,0)</f>
        <v>0</v>
      </c>
      <c r="Q2144">
        <f>IF(AND(NOT(ISBLANK(ReconciliationData[[#This Row],[Billed_Units]])),ReconciliationData[[#This Row],[ordered_units]]&lt;&gt;ReconciliationData[[#This Row],[Billed_Units]]),1,0)</f>
        <v>0</v>
      </c>
      <c r="R21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44">
        <f>IF(AND(NOT(ISBLANK(ReconciliationData[[#This Row],[Contract_Price]])),ReconciliationData[[#This Row],[Billed_Price]]&lt;&gt;ReconciliationData[[#This Row],[Contract_Price]]),1,0)</f>
        <v>0</v>
      </c>
      <c r="T2144">
        <f>IF(AND(NOT(ISBLANK(ReconciliationData[[#This Row],[End_Date]])),ReconciliationData[[#This Row],[Order_Date]]&gt;ReconciliationData[[#This Row],[End_Date]]),1,0)</f>
        <v>0</v>
      </c>
      <c r="U2144">
        <f>IF(AND(NOT(ISBLANK(ReconciliationData[[#This Row],[last_return_date]])),ReconciliationData[[#This Row],[last_return_date]]&gt;ReconciliationData[[#This Row],[Order_Date]]+60),1,0)</f>
        <v>0</v>
      </c>
      <c r="V2144">
        <f>IF(ReconciliationData[[#This Row],[total_returned_units]]&gt;ReconciliationData[[#This Row],[ordered_units]],1,0)</f>
        <v>0</v>
      </c>
      <c r="W21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44">
        <f>ReconciliationData[[#This Row],[Billed_Units]]*ReconciliationData[[#This Row],[Billed_Price]]</f>
        <v>12580.111800000001</v>
      </c>
      <c r="Y2144">
        <f>ReconciliationData[[#This Row],[ordered_units]]*ReconciliationData[[#This Row],[List_Price]]</f>
        <v>12580.111800000001</v>
      </c>
      <c r="Z2144">
        <f>ReconciliationData[[#This Row],[billed_revenue]]-ReconciliationData[[#This Row],[expected_revenue]]</f>
        <v>0</v>
      </c>
      <c r="AA21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44" t="str">
        <f>IF(ReconciliationData[[#This Row],[severity_score]]=0,"LOW",
 IF(ReconciliationData[[#This Row],[severity_score]]&lt;=5,"MEDIUM","HIGH"))</f>
        <v>LOW</v>
      </c>
      <c r="AC2144" t="str">
        <f>TEXT(ReconciliationData[[#This Row],[Order_Date]],"YYYY-MM")</f>
        <v>2023-01</v>
      </c>
    </row>
    <row r="2145" spans="1:29">
      <c r="A2145" t="s">
        <v>5468</v>
      </c>
      <c r="B2145" s="1">
        <v>45539</v>
      </c>
      <c r="C2145" t="s">
        <v>2343</v>
      </c>
      <c r="D2145" t="s">
        <v>983</v>
      </c>
      <c r="E2145">
        <v>156</v>
      </c>
      <c r="F2145" t="s">
        <v>5469</v>
      </c>
      <c r="G2145">
        <v>156</v>
      </c>
      <c r="H2145">
        <v>226.1644</v>
      </c>
      <c r="N2145">
        <v>226.1644</v>
      </c>
      <c r="O2145" s="1">
        <v>45139</v>
      </c>
      <c r="P2145">
        <f>IF(ISBLANK(ReconciliationData[[#This Row],[Invoice_ID]]),1,0)</f>
        <v>0</v>
      </c>
      <c r="Q2145">
        <f>IF(AND(NOT(ISBLANK(ReconciliationData[[#This Row],[Billed_Units]])),ReconciliationData[[#This Row],[ordered_units]]&lt;&gt;ReconciliationData[[#This Row],[Billed_Units]]),1,0)</f>
        <v>0</v>
      </c>
      <c r="R21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45">
        <f>IF(AND(NOT(ISBLANK(ReconciliationData[[#This Row],[Contract_Price]])),ReconciliationData[[#This Row],[Billed_Price]]&lt;&gt;ReconciliationData[[#This Row],[Contract_Price]]),1,0)</f>
        <v>0</v>
      </c>
      <c r="T2145">
        <f>IF(AND(NOT(ISBLANK(ReconciliationData[[#This Row],[End_Date]])),ReconciliationData[[#This Row],[Order_Date]]&gt;ReconciliationData[[#This Row],[End_Date]]),1,0)</f>
        <v>0</v>
      </c>
      <c r="U2145">
        <f>IF(AND(NOT(ISBLANK(ReconciliationData[[#This Row],[last_return_date]])),ReconciliationData[[#This Row],[last_return_date]]&gt;ReconciliationData[[#This Row],[Order_Date]]+60),1,0)</f>
        <v>0</v>
      </c>
      <c r="V2145">
        <f>IF(ReconciliationData[[#This Row],[total_returned_units]]&gt;ReconciliationData[[#This Row],[ordered_units]],1,0)</f>
        <v>0</v>
      </c>
      <c r="W21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45">
        <f>ReconciliationData[[#This Row],[Billed_Units]]*ReconciliationData[[#This Row],[Billed_Price]]</f>
        <v>35281.646399999998</v>
      </c>
      <c r="Y2145">
        <f>ReconciliationData[[#This Row],[ordered_units]]*ReconciliationData[[#This Row],[List_Price]]</f>
        <v>35281.646399999998</v>
      </c>
      <c r="Z2145">
        <f>ReconciliationData[[#This Row],[billed_revenue]]-ReconciliationData[[#This Row],[expected_revenue]]</f>
        <v>0</v>
      </c>
      <c r="AA21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45" t="str">
        <f>IF(ReconciliationData[[#This Row],[severity_score]]=0,"LOW",
 IF(ReconciliationData[[#This Row],[severity_score]]&lt;=5,"MEDIUM","HIGH"))</f>
        <v>LOW</v>
      </c>
      <c r="AC2145" t="str">
        <f>TEXT(ReconciliationData[[#This Row],[Order_Date]],"YYYY-MM")</f>
        <v>2024-09</v>
      </c>
    </row>
    <row r="2146" spans="1:29">
      <c r="A2146" t="s">
        <v>5470</v>
      </c>
      <c r="B2146" s="1">
        <v>45464</v>
      </c>
      <c r="C2146" t="s">
        <v>1601</v>
      </c>
      <c r="D2146" t="s">
        <v>333</v>
      </c>
      <c r="E2146">
        <v>9</v>
      </c>
      <c r="F2146" t="s">
        <v>5471</v>
      </c>
      <c r="G2146">
        <v>9</v>
      </c>
      <c r="H2146">
        <v>1144.1684</v>
      </c>
      <c r="I2146">
        <v>23</v>
      </c>
      <c r="J2146" s="1">
        <v>45369</v>
      </c>
      <c r="N2146">
        <v>1144.1684</v>
      </c>
      <c r="O2146" s="1">
        <v>44955</v>
      </c>
      <c r="P2146">
        <f>IF(ISBLANK(ReconciliationData[[#This Row],[Invoice_ID]]),1,0)</f>
        <v>0</v>
      </c>
      <c r="Q2146">
        <f>IF(AND(NOT(ISBLANK(ReconciliationData[[#This Row],[Billed_Units]])),ReconciliationData[[#This Row],[ordered_units]]&lt;&gt;ReconciliationData[[#This Row],[Billed_Units]]),1,0)</f>
        <v>0</v>
      </c>
      <c r="R21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46">
        <f>IF(AND(NOT(ISBLANK(ReconciliationData[[#This Row],[Contract_Price]])),ReconciliationData[[#This Row],[Billed_Price]]&lt;&gt;ReconciliationData[[#This Row],[Contract_Price]]),1,0)</f>
        <v>0</v>
      </c>
      <c r="T2146">
        <f>IF(AND(NOT(ISBLANK(ReconciliationData[[#This Row],[End_Date]])),ReconciliationData[[#This Row],[Order_Date]]&gt;ReconciliationData[[#This Row],[End_Date]]),1,0)</f>
        <v>0</v>
      </c>
      <c r="U2146">
        <f>IF(AND(NOT(ISBLANK(ReconciliationData[[#This Row],[last_return_date]])),ReconciliationData[[#This Row],[last_return_date]]&gt;ReconciliationData[[#This Row],[Order_Date]]+60),1,0)</f>
        <v>0</v>
      </c>
      <c r="V2146">
        <f>IF(ReconciliationData[[#This Row],[total_returned_units]]&gt;ReconciliationData[[#This Row],[ordered_units]],1,0)</f>
        <v>1</v>
      </c>
      <c r="W21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46">
        <f>ReconciliationData[[#This Row],[Billed_Units]]*ReconciliationData[[#This Row],[Billed_Price]]</f>
        <v>10297.515600000001</v>
      </c>
      <c r="Y2146">
        <f>ReconciliationData[[#This Row],[ordered_units]]*ReconciliationData[[#This Row],[List_Price]]</f>
        <v>10297.515600000001</v>
      </c>
      <c r="Z2146">
        <f>ReconciliationData[[#This Row],[billed_revenue]]-ReconciliationData[[#This Row],[expected_revenue]]</f>
        <v>0</v>
      </c>
      <c r="AA21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2146" t="str">
        <f>IF(ReconciliationData[[#This Row],[severity_score]]=0,"LOW",
 IF(ReconciliationData[[#This Row],[severity_score]]&lt;=5,"MEDIUM","HIGH"))</f>
        <v>MEDIUM</v>
      </c>
      <c r="AC2146" t="str">
        <f>TEXT(ReconciliationData[[#This Row],[Order_Date]],"YYYY-MM")</f>
        <v>2024-06</v>
      </c>
    </row>
    <row r="2147" spans="1:29">
      <c r="A2147" t="s">
        <v>5472</v>
      </c>
      <c r="B2147" s="1">
        <v>45429</v>
      </c>
      <c r="C2147" t="s">
        <v>1734</v>
      </c>
      <c r="D2147" t="s">
        <v>2050</v>
      </c>
      <c r="E2147">
        <v>64</v>
      </c>
      <c r="F2147" t="s">
        <v>5473</v>
      </c>
      <c r="G2147">
        <v>64</v>
      </c>
      <c r="H2147">
        <v>994.85640000000001</v>
      </c>
      <c r="N2147">
        <v>994.85640000000001</v>
      </c>
      <c r="O2147" s="1">
        <v>45149</v>
      </c>
      <c r="P2147">
        <f>IF(ISBLANK(ReconciliationData[[#This Row],[Invoice_ID]]),1,0)</f>
        <v>0</v>
      </c>
      <c r="Q2147">
        <f>IF(AND(NOT(ISBLANK(ReconciliationData[[#This Row],[Billed_Units]])),ReconciliationData[[#This Row],[ordered_units]]&lt;&gt;ReconciliationData[[#This Row],[Billed_Units]]),1,0)</f>
        <v>0</v>
      </c>
      <c r="R21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47">
        <f>IF(AND(NOT(ISBLANK(ReconciliationData[[#This Row],[Contract_Price]])),ReconciliationData[[#This Row],[Billed_Price]]&lt;&gt;ReconciliationData[[#This Row],[Contract_Price]]),1,0)</f>
        <v>0</v>
      </c>
      <c r="T2147">
        <f>IF(AND(NOT(ISBLANK(ReconciliationData[[#This Row],[End_Date]])),ReconciliationData[[#This Row],[Order_Date]]&gt;ReconciliationData[[#This Row],[End_Date]]),1,0)</f>
        <v>0</v>
      </c>
      <c r="U2147">
        <f>IF(AND(NOT(ISBLANK(ReconciliationData[[#This Row],[last_return_date]])),ReconciliationData[[#This Row],[last_return_date]]&gt;ReconciliationData[[#This Row],[Order_Date]]+60),1,0)</f>
        <v>0</v>
      </c>
      <c r="V2147">
        <f>IF(ReconciliationData[[#This Row],[total_returned_units]]&gt;ReconciliationData[[#This Row],[ordered_units]],1,0)</f>
        <v>0</v>
      </c>
      <c r="W21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47">
        <f>ReconciliationData[[#This Row],[Billed_Units]]*ReconciliationData[[#This Row],[Billed_Price]]</f>
        <v>63670.809600000001</v>
      </c>
      <c r="Y2147">
        <f>ReconciliationData[[#This Row],[ordered_units]]*ReconciliationData[[#This Row],[List_Price]]</f>
        <v>63670.809600000001</v>
      </c>
      <c r="Z2147">
        <f>ReconciliationData[[#This Row],[billed_revenue]]-ReconciliationData[[#This Row],[expected_revenue]]</f>
        <v>0</v>
      </c>
      <c r="AA21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47" t="str">
        <f>IF(ReconciliationData[[#This Row],[severity_score]]=0,"LOW",
 IF(ReconciliationData[[#This Row],[severity_score]]&lt;=5,"MEDIUM","HIGH"))</f>
        <v>LOW</v>
      </c>
      <c r="AC2147" t="str">
        <f>TEXT(ReconciliationData[[#This Row],[Order_Date]],"YYYY-MM")</f>
        <v>2024-05</v>
      </c>
    </row>
    <row r="2148" spans="1:29">
      <c r="A2148" t="s">
        <v>5474</v>
      </c>
      <c r="B2148" s="1">
        <v>45410</v>
      </c>
      <c r="C2148" t="s">
        <v>4381</v>
      </c>
      <c r="D2148" t="s">
        <v>1003</v>
      </c>
      <c r="E2148">
        <v>79</v>
      </c>
      <c r="F2148" t="s">
        <v>5475</v>
      </c>
      <c r="G2148">
        <v>79</v>
      </c>
      <c r="H2148">
        <v>825.13580000000002</v>
      </c>
      <c r="N2148">
        <v>825.13580000000002</v>
      </c>
      <c r="O2148" s="1">
        <v>44998</v>
      </c>
      <c r="P2148">
        <f>IF(ISBLANK(ReconciliationData[[#This Row],[Invoice_ID]]),1,0)</f>
        <v>0</v>
      </c>
      <c r="Q2148">
        <f>IF(AND(NOT(ISBLANK(ReconciliationData[[#This Row],[Billed_Units]])),ReconciliationData[[#This Row],[ordered_units]]&lt;&gt;ReconciliationData[[#This Row],[Billed_Units]]),1,0)</f>
        <v>0</v>
      </c>
      <c r="R21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48">
        <f>IF(AND(NOT(ISBLANK(ReconciliationData[[#This Row],[Contract_Price]])),ReconciliationData[[#This Row],[Billed_Price]]&lt;&gt;ReconciliationData[[#This Row],[Contract_Price]]),1,0)</f>
        <v>0</v>
      </c>
      <c r="T2148">
        <f>IF(AND(NOT(ISBLANK(ReconciliationData[[#This Row],[End_Date]])),ReconciliationData[[#This Row],[Order_Date]]&gt;ReconciliationData[[#This Row],[End_Date]]),1,0)</f>
        <v>0</v>
      </c>
      <c r="U2148">
        <f>IF(AND(NOT(ISBLANK(ReconciliationData[[#This Row],[last_return_date]])),ReconciliationData[[#This Row],[last_return_date]]&gt;ReconciliationData[[#This Row],[Order_Date]]+60),1,0)</f>
        <v>0</v>
      </c>
      <c r="V2148">
        <f>IF(ReconciliationData[[#This Row],[total_returned_units]]&gt;ReconciliationData[[#This Row],[ordered_units]],1,0)</f>
        <v>0</v>
      </c>
      <c r="W21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48">
        <f>ReconciliationData[[#This Row],[Billed_Units]]*ReconciliationData[[#This Row],[Billed_Price]]</f>
        <v>65185.728199999998</v>
      </c>
      <c r="Y2148">
        <f>ReconciliationData[[#This Row],[ordered_units]]*ReconciliationData[[#This Row],[List_Price]]</f>
        <v>65185.728199999998</v>
      </c>
      <c r="Z2148">
        <f>ReconciliationData[[#This Row],[billed_revenue]]-ReconciliationData[[#This Row],[expected_revenue]]</f>
        <v>0</v>
      </c>
      <c r="AA21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48" t="str">
        <f>IF(ReconciliationData[[#This Row],[severity_score]]=0,"LOW",
 IF(ReconciliationData[[#This Row],[severity_score]]&lt;=5,"MEDIUM","HIGH"))</f>
        <v>LOW</v>
      </c>
      <c r="AC2148" t="str">
        <f>TEXT(ReconciliationData[[#This Row],[Order_Date]],"YYYY-MM")</f>
        <v>2024-04</v>
      </c>
    </row>
    <row r="2149" spans="1:29">
      <c r="A2149" t="s">
        <v>5476</v>
      </c>
      <c r="B2149" s="1">
        <v>45514</v>
      </c>
      <c r="C2149" t="s">
        <v>2687</v>
      </c>
      <c r="D2149" t="s">
        <v>1886</v>
      </c>
      <c r="E2149">
        <v>76</v>
      </c>
      <c r="F2149" t="s">
        <v>5477</v>
      </c>
      <c r="G2149">
        <v>76</v>
      </c>
      <c r="H2149">
        <v>1092.5376000000001</v>
      </c>
      <c r="N2149">
        <v>1092.5376000000001</v>
      </c>
      <c r="O2149" s="1">
        <v>44996</v>
      </c>
      <c r="P2149">
        <f>IF(ISBLANK(ReconciliationData[[#This Row],[Invoice_ID]]),1,0)</f>
        <v>0</v>
      </c>
      <c r="Q2149">
        <f>IF(AND(NOT(ISBLANK(ReconciliationData[[#This Row],[Billed_Units]])),ReconciliationData[[#This Row],[ordered_units]]&lt;&gt;ReconciliationData[[#This Row],[Billed_Units]]),1,0)</f>
        <v>0</v>
      </c>
      <c r="R21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49">
        <f>IF(AND(NOT(ISBLANK(ReconciliationData[[#This Row],[Contract_Price]])),ReconciliationData[[#This Row],[Billed_Price]]&lt;&gt;ReconciliationData[[#This Row],[Contract_Price]]),1,0)</f>
        <v>0</v>
      </c>
      <c r="T2149">
        <f>IF(AND(NOT(ISBLANK(ReconciliationData[[#This Row],[End_Date]])),ReconciliationData[[#This Row],[Order_Date]]&gt;ReconciliationData[[#This Row],[End_Date]]),1,0)</f>
        <v>0</v>
      </c>
      <c r="U2149">
        <f>IF(AND(NOT(ISBLANK(ReconciliationData[[#This Row],[last_return_date]])),ReconciliationData[[#This Row],[last_return_date]]&gt;ReconciliationData[[#This Row],[Order_Date]]+60),1,0)</f>
        <v>0</v>
      </c>
      <c r="V2149">
        <f>IF(ReconciliationData[[#This Row],[total_returned_units]]&gt;ReconciliationData[[#This Row],[ordered_units]],1,0)</f>
        <v>0</v>
      </c>
      <c r="W21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49">
        <f>ReconciliationData[[#This Row],[Billed_Units]]*ReconciliationData[[#This Row],[Billed_Price]]</f>
        <v>83032.857600000003</v>
      </c>
      <c r="Y2149">
        <f>ReconciliationData[[#This Row],[ordered_units]]*ReconciliationData[[#This Row],[List_Price]]</f>
        <v>83032.857600000003</v>
      </c>
      <c r="Z2149">
        <f>ReconciliationData[[#This Row],[billed_revenue]]-ReconciliationData[[#This Row],[expected_revenue]]</f>
        <v>0</v>
      </c>
      <c r="AA21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49" t="str">
        <f>IF(ReconciliationData[[#This Row],[severity_score]]=0,"LOW",
 IF(ReconciliationData[[#This Row],[severity_score]]&lt;=5,"MEDIUM","HIGH"))</f>
        <v>LOW</v>
      </c>
      <c r="AC2149" t="str">
        <f>TEXT(ReconciliationData[[#This Row],[Order_Date]],"YYYY-MM")</f>
        <v>2024-08</v>
      </c>
    </row>
    <row r="2150" spans="1:29">
      <c r="A2150" t="s">
        <v>5478</v>
      </c>
      <c r="B2150" s="1">
        <v>45135</v>
      </c>
      <c r="C2150" t="s">
        <v>1141</v>
      </c>
      <c r="D2150" t="s">
        <v>658</v>
      </c>
      <c r="E2150">
        <v>161</v>
      </c>
      <c r="F2150" t="s">
        <v>5479</v>
      </c>
      <c r="G2150">
        <v>161</v>
      </c>
      <c r="H2150">
        <v>88.578000000000003</v>
      </c>
      <c r="N2150">
        <v>88.578000000000003</v>
      </c>
      <c r="O2150" s="1">
        <v>45107</v>
      </c>
      <c r="P2150">
        <f>IF(ISBLANK(ReconciliationData[[#This Row],[Invoice_ID]]),1,0)</f>
        <v>0</v>
      </c>
      <c r="Q2150">
        <f>IF(AND(NOT(ISBLANK(ReconciliationData[[#This Row],[Billed_Units]])),ReconciliationData[[#This Row],[ordered_units]]&lt;&gt;ReconciliationData[[#This Row],[Billed_Units]]),1,0)</f>
        <v>0</v>
      </c>
      <c r="R21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50">
        <f>IF(AND(NOT(ISBLANK(ReconciliationData[[#This Row],[Contract_Price]])),ReconciliationData[[#This Row],[Billed_Price]]&lt;&gt;ReconciliationData[[#This Row],[Contract_Price]]),1,0)</f>
        <v>0</v>
      </c>
      <c r="T2150">
        <f>IF(AND(NOT(ISBLANK(ReconciliationData[[#This Row],[End_Date]])),ReconciliationData[[#This Row],[Order_Date]]&gt;ReconciliationData[[#This Row],[End_Date]]),1,0)</f>
        <v>0</v>
      </c>
      <c r="U2150">
        <f>IF(AND(NOT(ISBLANK(ReconciliationData[[#This Row],[last_return_date]])),ReconciliationData[[#This Row],[last_return_date]]&gt;ReconciliationData[[#This Row],[Order_Date]]+60),1,0)</f>
        <v>0</v>
      </c>
      <c r="V2150">
        <f>IF(ReconciliationData[[#This Row],[total_returned_units]]&gt;ReconciliationData[[#This Row],[ordered_units]],1,0)</f>
        <v>0</v>
      </c>
      <c r="W21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50">
        <f>ReconciliationData[[#This Row],[Billed_Units]]*ReconciliationData[[#This Row],[Billed_Price]]</f>
        <v>14261.058000000001</v>
      </c>
      <c r="Y2150">
        <f>ReconciliationData[[#This Row],[ordered_units]]*ReconciliationData[[#This Row],[List_Price]]</f>
        <v>14261.058000000001</v>
      </c>
      <c r="Z2150">
        <f>ReconciliationData[[#This Row],[billed_revenue]]-ReconciliationData[[#This Row],[expected_revenue]]</f>
        <v>0</v>
      </c>
      <c r="AA21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50" t="str">
        <f>IF(ReconciliationData[[#This Row],[severity_score]]=0,"LOW",
 IF(ReconciliationData[[#This Row],[severity_score]]&lt;=5,"MEDIUM","HIGH"))</f>
        <v>LOW</v>
      </c>
      <c r="AC2150" t="str">
        <f>TEXT(ReconciliationData[[#This Row],[Order_Date]],"YYYY-MM")</f>
        <v>2023-07</v>
      </c>
    </row>
    <row r="2151" spans="1:29">
      <c r="A2151" t="s">
        <v>5480</v>
      </c>
      <c r="B2151" s="1">
        <v>45184</v>
      </c>
      <c r="C2151" t="s">
        <v>4231</v>
      </c>
      <c r="D2151" t="s">
        <v>655</v>
      </c>
      <c r="E2151">
        <v>165</v>
      </c>
      <c r="F2151" t="s">
        <v>5481</v>
      </c>
      <c r="G2151">
        <v>165</v>
      </c>
      <c r="H2151">
        <v>130.87360000000001</v>
      </c>
      <c r="N2151">
        <v>130.87360000000001</v>
      </c>
      <c r="O2151" s="1">
        <v>45074</v>
      </c>
      <c r="P2151">
        <f>IF(ISBLANK(ReconciliationData[[#This Row],[Invoice_ID]]),1,0)</f>
        <v>0</v>
      </c>
      <c r="Q2151">
        <f>IF(AND(NOT(ISBLANK(ReconciliationData[[#This Row],[Billed_Units]])),ReconciliationData[[#This Row],[ordered_units]]&lt;&gt;ReconciliationData[[#This Row],[Billed_Units]]),1,0)</f>
        <v>0</v>
      </c>
      <c r="R21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51">
        <f>IF(AND(NOT(ISBLANK(ReconciliationData[[#This Row],[Contract_Price]])),ReconciliationData[[#This Row],[Billed_Price]]&lt;&gt;ReconciliationData[[#This Row],[Contract_Price]]),1,0)</f>
        <v>0</v>
      </c>
      <c r="T2151">
        <f>IF(AND(NOT(ISBLANK(ReconciliationData[[#This Row],[End_Date]])),ReconciliationData[[#This Row],[Order_Date]]&gt;ReconciliationData[[#This Row],[End_Date]]),1,0)</f>
        <v>0</v>
      </c>
      <c r="U2151">
        <f>IF(AND(NOT(ISBLANK(ReconciliationData[[#This Row],[last_return_date]])),ReconciliationData[[#This Row],[last_return_date]]&gt;ReconciliationData[[#This Row],[Order_Date]]+60),1,0)</f>
        <v>0</v>
      </c>
      <c r="V2151">
        <f>IF(ReconciliationData[[#This Row],[total_returned_units]]&gt;ReconciliationData[[#This Row],[ordered_units]],1,0)</f>
        <v>0</v>
      </c>
      <c r="W21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51">
        <f>ReconciliationData[[#This Row],[Billed_Units]]*ReconciliationData[[#This Row],[Billed_Price]]</f>
        <v>21594.144</v>
      </c>
      <c r="Y2151">
        <f>ReconciliationData[[#This Row],[ordered_units]]*ReconciliationData[[#This Row],[List_Price]]</f>
        <v>21594.144</v>
      </c>
      <c r="Z2151">
        <f>ReconciliationData[[#This Row],[billed_revenue]]-ReconciliationData[[#This Row],[expected_revenue]]</f>
        <v>0</v>
      </c>
      <c r="AA21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51" t="str">
        <f>IF(ReconciliationData[[#This Row],[severity_score]]=0,"LOW",
 IF(ReconciliationData[[#This Row],[severity_score]]&lt;=5,"MEDIUM","HIGH"))</f>
        <v>LOW</v>
      </c>
      <c r="AC2151" t="str">
        <f>TEXT(ReconciliationData[[#This Row],[Order_Date]],"YYYY-MM")</f>
        <v>2023-09</v>
      </c>
    </row>
    <row r="2152" spans="1:29">
      <c r="A2152" t="s">
        <v>5482</v>
      </c>
      <c r="B2152" s="1">
        <v>45238</v>
      </c>
      <c r="C2152" t="s">
        <v>1357</v>
      </c>
      <c r="D2152" t="s">
        <v>997</v>
      </c>
      <c r="E2152">
        <v>29</v>
      </c>
      <c r="F2152" t="s">
        <v>5483</v>
      </c>
      <c r="G2152">
        <v>29</v>
      </c>
      <c r="H2152">
        <v>1153.9935634718181</v>
      </c>
      <c r="N2152">
        <v>1153.4984999999999</v>
      </c>
      <c r="O2152" s="1">
        <v>44962</v>
      </c>
      <c r="P2152">
        <f>IF(ISBLANK(ReconciliationData[[#This Row],[Invoice_ID]]),1,0)</f>
        <v>0</v>
      </c>
      <c r="Q2152">
        <f>IF(AND(NOT(ISBLANK(ReconciliationData[[#This Row],[Billed_Units]])),ReconciliationData[[#This Row],[ordered_units]]&lt;&gt;ReconciliationData[[#This Row],[Billed_Units]]),1,0)</f>
        <v>0</v>
      </c>
      <c r="R215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152">
        <f>IF(AND(NOT(ISBLANK(ReconciliationData[[#This Row],[Contract_Price]])),ReconciliationData[[#This Row],[Billed_Price]]&lt;&gt;ReconciliationData[[#This Row],[Contract_Price]]),1,0)</f>
        <v>0</v>
      </c>
      <c r="T2152">
        <f>IF(AND(NOT(ISBLANK(ReconciliationData[[#This Row],[End_Date]])),ReconciliationData[[#This Row],[Order_Date]]&gt;ReconciliationData[[#This Row],[End_Date]]),1,0)</f>
        <v>0</v>
      </c>
      <c r="U2152">
        <f>IF(AND(NOT(ISBLANK(ReconciliationData[[#This Row],[last_return_date]])),ReconciliationData[[#This Row],[last_return_date]]&gt;ReconciliationData[[#This Row],[Order_Date]]+60),1,0)</f>
        <v>0</v>
      </c>
      <c r="V2152">
        <f>IF(ReconciliationData[[#This Row],[total_returned_units]]&gt;ReconciliationData[[#This Row],[ordered_units]],1,0)</f>
        <v>0</v>
      </c>
      <c r="W21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52">
        <f>ReconciliationData[[#This Row],[Billed_Units]]*ReconciliationData[[#This Row],[Billed_Price]]</f>
        <v>33465.813340682726</v>
      </c>
      <c r="Y2152">
        <f>ReconciliationData[[#This Row],[ordered_units]]*ReconciliationData[[#This Row],[List_Price]]</f>
        <v>33451.4565</v>
      </c>
      <c r="Z2152">
        <f>ReconciliationData[[#This Row],[billed_revenue]]-ReconciliationData[[#This Row],[expected_revenue]]</f>
        <v>14.356840682725306</v>
      </c>
      <c r="AA21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152" t="str">
        <f>IF(ReconciliationData[[#This Row],[severity_score]]=0,"LOW",
 IF(ReconciliationData[[#This Row],[severity_score]]&lt;=5,"MEDIUM","HIGH"))</f>
        <v>MEDIUM</v>
      </c>
      <c r="AC2152" t="str">
        <f>TEXT(ReconciliationData[[#This Row],[Order_Date]],"YYYY-MM")</f>
        <v>2023-11</v>
      </c>
    </row>
    <row r="2153" spans="1:29">
      <c r="A2153" t="s">
        <v>5484</v>
      </c>
      <c r="B2153" s="1">
        <v>45148</v>
      </c>
      <c r="C2153" t="s">
        <v>965</v>
      </c>
      <c r="D2153" t="s">
        <v>291</v>
      </c>
      <c r="E2153">
        <v>126</v>
      </c>
      <c r="F2153" t="s">
        <v>5485</v>
      </c>
      <c r="G2153">
        <v>126</v>
      </c>
      <c r="H2153">
        <v>454.98379999999997</v>
      </c>
      <c r="N2153">
        <v>454.98379999999997</v>
      </c>
      <c r="O2153" s="1">
        <v>45011</v>
      </c>
      <c r="P2153">
        <f>IF(ISBLANK(ReconciliationData[[#This Row],[Invoice_ID]]),1,0)</f>
        <v>0</v>
      </c>
      <c r="Q2153">
        <f>IF(AND(NOT(ISBLANK(ReconciliationData[[#This Row],[Billed_Units]])),ReconciliationData[[#This Row],[ordered_units]]&lt;&gt;ReconciliationData[[#This Row],[Billed_Units]]),1,0)</f>
        <v>0</v>
      </c>
      <c r="R21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53">
        <f>IF(AND(NOT(ISBLANK(ReconciliationData[[#This Row],[Contract_Price]])),ReconciliationData[[#This Row],[Billed_Price]]&lt;&gt;ReconciliationData[[#This Row],[Contract_Price]]),1,0)</f>
        <v>0</v>
      </c>
      <c r="T2153">
        <f>IF(AND(NOT(ISBLANK(ReconciliationData[[#This Row],[End_Date]])),ReconciliationData[[#This Row],[Order_Date]]&gt;ReconciliationData[[#This Row],[End_Date]]),1,0)</f>
        <v>0</v>
      </c>
      <c r="U2153">
        <f>IF(AND(NOT(ISBLANK(ReconciliationData[[#This Row],[last_return_date]])),ReconciliationData[[#This Row],[last_return_date]]&gt;ReconciliationData[[#This Row],[Order_Date]]+60),1,0)</f>
        <v>0</v>
      </c>
      <c r="V2153">
        <f>IF(ReconciliationData[[#This Row],[total_returned_units]]&gt;ReconciliationData[[#This Row],[ordered_units]],1,0)</f>
        <v>0</v>
      </c>
      <c r="W21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53">
        <f>ReconciliationData[[#This Row],[Billed_Units]]*ReconciliationData[[#This Row],[Billed_Price]]</f>
        <v>57327.958799999993</v>
      </c>
      <c r="Y2153">
        <f>ReconciliationData[[#This Row],[ordered_units]]*ReconciliationData[[#This Row],[List_Price]]</f>
        <v>57327.958799999993</v>
      </c>
      <c r="Z2153">
        <f>ReconciliationData[[#This Row],[billed_revenue]]-ReconciliationData[[#This Row],[expected_revenue]]</f>
        <v>0</v>
      </c>
      <c r="AA21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53" t="str">
        <f>IF(ReconciliationData[[#This Row],[severity_score]]=0,"LOW",
 IF(ReconciliationData[[#This Row],[severity_score]]&lt;=5,"MEDIUM","HIGH"))</f>
        <v>LOW</v>
      </c>
      <c r="AC2153" t="str">
        <f>TEXT(ReconciliationData[[#This Row],[Order_Date]],"YYYY-MM")</f>
        <v>2023-08</v>
      </c>
    </row>
    <row r="2154" spans="1:29">
      <c r="A2154" t="s">
        <v>5486</v>
      </c>
      <c r="B2154" s="1">
        <v>45074</v>
      </c>
      <c r="C2154" t="s">
        <v>996</v>
      </c>
      <c r="D2154" t="s">
        <v>2245</v>
      </c>
      <c r="E2154">
        <v>26</v>
      </c>
      <c r="F2154" t="s">
        <v>5487</v>
      </c>
      <c r="G2154">
        <v>26</v>
      </c>
      <c r="H2154">
        <v>382.81740000000002</v>
      </c>
      <c r="N2154">
        <v>382.81740000000002</v>
      </c>
      <c r="O2154" s="1">
        <v>44878</v>
      </c>
      <c r="P2154">
        <f>IF(ISBLANK(ReconciliationData[[#This Row],[Invoice_ID]]),1,0)</f>
        <v>0</v>
      </c>
      <c r="Q2154">
        <f>IF(AND(NOT(ISBLANK(ReconciliationData[[#This Row],[Billed_Units]])),ReconciliationData[[#This Row],[ordered_units]]&lt;&gt;ReconciliationData[[#This Row],[Billed_Units]]),1,0)</f>
        <v>0</v>
      </c>
      <c r="R21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54">
        <f>IF(AND(NOT(ISBLANK(ReconciliationData[[#This Row],[Contract_Price]])),ReconciliationData[[#This Row],[Billed_Price]]&lt;&gt;ReconciliationData[[#This Row],[Contract_Price]]),1,0)</f>
        <v>0</v>
      </c>
      <c r="T2154">
        <f>IF(AND(NOT(ISBLANK(ReconciliationData[[#This Row],[End_Date]])),ReconciliationData[[#This Row],[Order_Date]]&gt;ReconciliationData[[#This Row],[End_Date]]),1,0)</f>
        <v>0</v>
      </c>
      <c r="U2154">
        <f>IF(AND(NOT(ISBLANK(ReconciliationData[[#This Row],[last_return_date]])),ReconciliationData[[#This Row],[last_return_date]]&gt;ReconciliationData[[#This Row],[Order_Date]]+60),1,0)</f>
        <v>0</v>
      </c>
      <c r="V2154">
        <f>IF(ReconciliationData[[#This Row],[total_returned_units]]&gt;ReconciliationData[[#This Row],[ordered_units]],1,0)</f>
        <v>0</v>
      </c>
      <c r="W21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54">
        <f>ReconciliationData[[#This Row],[Billed_Units]]*ReconciliationData[[#This Row],[Billed_Price]]</f>
        <v>9953.2524000000012</v>
      </c>
      <c r="Y2154">
        <f>ReconciliationData[[#This Row],[ordered_units]]*ReconciliationData[[#This Row],[List_Price]]</f>
        <v>9953.2524000000012</v>
      </c>
      <c r="Z2154">
        <f>ReconciliationData[[#This Row],[billed_revenue]]-ReconciliationData[[#This Row],[expected_revenue]]</f>
        <v>0</v>
      </c>
      <c r="AA21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54" t="str">
        <f>IF(ReconciliationData[[#This Row],[severity_score]]=0,"LOW",
 IF(ReconciliationData[[#This Row],[severity_score]]&lt;=5,"MEDIUM","HIGH"))</f>
        <v>LOW</v>
      </c>
      <c r="AC2154" t="str">
        <f>TEXT(ReconciliationData[[#This Row],[Order_Date]],"YYYY-MM")</f>
        <v>2023-05</v>
      </c>
    </row>
    <row r="2155" spans="1:29">
      <c r="A2155" t="s">
        <v>5488</v>
      </c>
      <c r="B2155" s="1">
        <v>45158</v>
      </c>
      <c r="C2155" t="s">
        <v>580</v>
      </c>
      <c r="D2155" t="s">
        <v>1848</v>
      </c>
      <c r="E2155">
        <v>28</v>
      </c>
      <c r="F2155" t="s">
        <v>5489</v>
      </c>
      <c r="G2155">
        <v>28</v>
      </c>
      <c r="H2155">
        <v>92.962000000000003</v>
      </c>
      <c r="N2155">
        <v>92.962000000000003</v>
      </c>
      <c r="O2155" s="1">
        <v>45151</v>
      </c>
      <c r="P2155">
        <f>IF(ISBLANK(ReconciliationData[[#This Row],[Invoice_ID]]),1,0)</f>
        <v>0</v>
      </c>
      <c r="Q2155">
        <f>IF(AND(NOT(ISBLANK(ReconciliationData[[#This Row],[Billed_Units]])),ReconciliationData[[#This Row],[ordered_units]]&lt;&gt;ReconciliationData[[#This Row],[Billed_Units]]),1,0)</f>
        <v>0</v>
      </c>
      <c r="R21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55">
        <f>IF(AND(NOT(ISBLANK(ReconciliationData[[#This Row],[Contract_Price]])),ReconciliationData[[#This Row],[Billed_Price]]&lt;&gt;ReconciliationData[[#This Row],[Contract_Price]]),1,0)</f>
        <v>0</v>
      </c>
      <c r="T2155">
        <f>IF(AND(NOT(ISBLANK(ReconciliationData[[#This Row],[End_Date]])),ReconciliationData[[#This Row],[Order_Date]]&gt;ReconciliationData[[#This Row],[End_Date]]),1,0)</f>
        <v>0</v>
      </c>
      <c r="U2155">
        <f>IF(AND(NOT(ISBLANK(ReconciliationData[[#This Row],[last_return_date]])),ReconciliationData[[#This Row],[last_return_date]]&gt;ReconciliationData[[#This Row],[Order_Date]]+60),1,0)</f>
        <v>0</v>
      </c>
      <c r="V2155">
        <f>IF(ReconciliationData[[#This Row],[total_returned_units]]&gt;ReconciliationData[[#This Row],[ordered_units]],1,0)</f>
        <v>0</v>
      </c>
      <c r="W21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55">
        <f>ReconciliationData[[#This Row],[Billed_Units]]*ReconciliationData[[#This Row],[Billed_Price]]</f>
        <v>2602.9360000000001</v>
      </c>
      <c r="Y2155">
        <f>ReconciliationData[[#This Row],[ordered_units]]*ReconciliationData[[#This Row],[List_Price]]</f>
        <v>2602.9360000000001</v>
      </c>
      <c r="Z2155">
        <f>ReconciliationData[[#This Row],[billed_revenue]]-ReconciliationData[[#This Row],[expected_revenue]]</f>
        <v>0</v>
      </c>
      <c r="AA21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55" t="str">
        <f>IF(ReconciliationData[[#This Row],[severity_score]]=0,"LOW",
 IF(ReconciliationData[[#This Row],[severity_score]]&lt;=5,"MEDIUM","HIGH"))</f>
        <v>LOW</v>
      </c>
      <c r="AC2155" t="str">
        <f>TEXT(ReconciliationData[[#This Row],[Order_Date]],"YYYY-MM")</f>
        <v>2023-08</v>
      </c>
    </row>
    <row r="2156" spans="1:29">
      <c r="A2156" t="s">
        <v>5490</v>
      </c>
      <c r="B2156" s="1">
        <v>44935</v>
      </c>
      <c r="C2156" t="s">
        <v>4771</v>
      </c>
      <c r="D2156" t="s">
        <v>841</v>
      </c>
      <c r="E2156">
        <v>118</v>
      </c>
      <c r="F2156" t="s">
        <v>5491</v>
      </c>
      <c r="G2156">
        <v>118</v>
      </c>
      <c r="H2156">
        <v>171.78</v>
      </c>
      <c r="N2156">
        <v>171.78</v>
      </c>
      <c r="O2156" s="1">
        <v>44598</v>
      </c>
      <c r="P2156">
        <f>IF(ISBLANK(ReconciliationData[[#This Row],[Invoice_ID]]),1,0)</f>
        <v>0</v>
      </c>
      <c r="Q2156">
        <f>IF(AND(NOT(ISBLANK(ReconciliationData[[#This Row],[Billed_Units]])),ReconciliationData[[#This Row],[ordered_units]]&lt;&gt;ReconciliationData[[#This Row],[Billed_Units]]),1,0)</f>
        <v>0</v>
      </c>
      <c r="R21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56">
        <f>IF(AND(NOT(ISBLANK(ReconciliationData[[#This Row],[Contract_Price]])),ReconciliationData[[#This Row],[Billed_Price]]&lt;&gt;ReconciliationData[[#This Row],[Contract_Price]]),1,0)</f>
        <v>0</v>
      </c>
      <c r="T2156">
        <f>IF(AND(NOT(ISBLANK(ReconciliationData[[#This Row],[End_Date]])),ReconciliationData[[#This Row],[Order_Date]]&gt;ReconciliationData[[#This Row],[End_Date]]),1,0)</f>
        <v>0</v>
      </c>
      <c r="U2156">
        <f>IF(AND(NOT(ISBLANK(ReconciliationData[[#This Row],[last_return_date]])),ReconciliationData[[#This Row],[last_return_date]]&gt;ReconciliationData[[#This Row],[Order_Date]]+60),1,0)</f>
        <v>0</v>
      </c>
      <c r="V2156">
        <f>IF(ReconciliationData[[#This Row],[total_returned_units]]&gt;ReconciliationData[[#This Row],[ordered_units]],1,0)</f>
        <v>0</v>
      </c>
      <c r="W21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56">
        <f>ReconciliationData[[#This Row],[Billed_Units]]*ReconciliationData[[#This Row],[Billed_Price]]</f>
        <v>20270.04</v>
      </c>
      <c r="Y2156">
        <f>ReconciliationData[[#This Row],[ordered_units]]*ReconciliationData[[#This Row],[List_Price]]</f>
        <v>20270.04</v>
      </c>
      <c r="Z2156">
        <f>ReconciliationData[[#This Row],[billed_revenue]]-ReconciliationData[[#This Row],[expected_revenue]]</f>
        <v>0</v>
      </c>
      <c r="AA21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56" t="str">
        <f>IF(ReconciliationData[[#This Row],[severity_score]]=0,"LOW",
 IF(ReconciliationData[[#This Row],[severity_score]]&lt;=5,"MEDIUM","HIGH"))</f>
        <v>LOW</v>
      </c>
      <c r="AC2156" t="str">
        <f>TEXT(ReconciliationData[[#This Row],[Order_Date]],"YYYY-MM")</f>
        <v>2023-01</v>
      </c>
    </row>
    <row r="2157" spans="1:29">
      <c r="A2157" t="s">
        <v>5492</v>
      </c>
      <c r="B2157" s="1">
        <v>45510</v>
      </c>
      <c r="C2157" t="s">
        <v>5118</v>
      </c>
      <c r="D2157" t="s">
        <v>2360</v>
      </c>
      <c r="E2157">
        <v>111</v>
      </c>
      <c r="F2157" t="s">
        <v>5493</v>
      </c>
      <c r="G2157">
        <v>111</v>
      </c>
      <c r="H2157">
        <v>852.46560000000011</v>
      </c>
      <c r="N2157">
        <v>852.46560000000011</v>
      </c>
      <c r="O2157" s="1">
        <v>44996</v>
      </c>
      <c r="P2157">
        <f>IF(ISBLANK(ReconciliationData[[#This Row],[Invoice_ID]]),1,0)</f>
        <v>0</v>
      </c>
      <c r="Q2157">
        <f>IF(AND(NOT(ISBLANK(ReconciliationData[[#This Row],[Billed_Units]])),ReconciliationData[[#This Row],[ordered_units]]&lt;&gt;ReconciliationData[[#This Row],[Billed_Units]]),1,0)</f>
        <v>0</v>
      </c>
      <c r="R21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57">
        <f>IF(AND(NOT(ISBLANK(ReconciliationData[[#This Row],[Contract_Price]])),ReconciliationData[[#This Row],[Billed_Price]]&lt;&gt;ReconciliationData[[#This Row],[Contract_Price]]),1,0)</f>
        <v>0</v>
      </c>
      <c r="T2157">
        <f>IF(AND(NOT(ISBLANK(ReconciliationData[[#This Row],[End_Date]])),ReconciliationData[[#This Row],[Order_Date]]&gt;ReconciliationData[[#This Row],[End_Date]]),1,0)</f>
        <v>0</v>
      </c>
      <c r="U2157">
        <f>IF(AND(NOT(ISBLANK(ReconciliationData[[#This Row],[last_return_date]])),ReconciliationData[[#This Row],[last_return_date]]&gt;ReconciliationData[[#This Row],[Order_Date]]+60),1,0)</f>
        <v>0</v>
      </c>
      <c r="V2157">
        <f>IF(ReconciliationData[[#This Row],[total_returned_units]]&gt;ReconciliationData[[#This Row],[ordered_units]],1,0)</f>
        <v>0</v>
      </c>
      <c r="W21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57">
        <f>ReconciliationData[[#This Row],[Billed_Units]]*ReconciliationData[[#This Row],[Billed_Price]]</f>
        <v>94623.681600000011</v>
      </c>
      <c r="Y2157">
        <f>ReconciliationData[[#This Row],[ordered_units]]*ReconciliationData[[#This Row],[List_Price]]</f>
        <v>94623.681600000011</v>
      </c>
      <c r="Z2157">
        <f>ReconciliationData[[#This Row],[billed_revenue]]-ReconciliationData[[#This Row],[expected_revenue]]</f>
        <v>0</v>
      </c>
      <c r="AA21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57" t="str">
        <f>IF(ReconciliationData[[#This Row],[severity_score]]=0,"LOW",
 IF(ReconciliationData[[#This Row],[severity_score]]&lt;=5,"MEDIUM","HIGH"))</f>
        <v>LOW</v>
      </c>
      <c r="AC2157" t="str">
        <f>TEXT(ReconciliationData[[#This Row],[Order_Date]],"YYYY-MM")</f>
        <v>2024-08</v>
      </c>
    </row>
    <row r="2158" spans="1:29">
      <c r="A2158" t="s">
        <v>5494</v>
      </c>
      <c r="B2158" s="1">
        <v>45378</v>
      </c>
      <c r="C2158" t="s">
        <v>1579</v>
      </c>
      <c r="D2158" t="s">
        <v>923</v>
      </c>
      <c r="E2158">
        <v>40</v>
      </c>
      <c r="F2158" t="s">
        <v>5495</v>
      </c>
      <c r="G2158">
        <v>40</v>
      </c>
      <c r="H2158">
        <v>754.20799999999997</v>
      </c>
      <c r="N2158">
        <v>754.20799999999997</v>
      </c>
      <c r="O2158" s="1">
        <v>45069</v>
      </c>
      <c r="P2158">
        <f>IF(ISBLANK(ReconciliationData[[#This Row],[Invoice_ID]]),1,0)</f>
        <v>0</v>
      </c>
      <c r="Q2158">
        <f>IF(AND(NOT(ISBLANK(ReconciliationData[[#This Row],[Billed_Units]])),ReconciliationData[[#This Row],[ordered_units]]&lt;&gt;ReconciliationData[[#This Row],[Billed_Units]]),1,0)</f>
        <v>0</v>
      </c>
      <c r="R21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58">
        <f>IF(AND(NOT(ISBLANK(ReconciliationData[[#This Row],[Contract_Price]])),ReconciliationData[[#This Row],[Billed_Price]]&lt;&gt;ReconciliationData[[#This Row],[Contract_Price]]),1,0)</f>
        <v>0</v>
      </c>
      <c r="T2158">
        <f>IF(AND(NOT(ISBLANK(ReconciliationData[[#This Row],[End_Date]])),ReconciliationData[[#This Row],[Order_Date]]&gt;ReconciliationData[[#This Row],[End_Date]]),1,0)</f>
        <v>0</v>
      </c>
      <c r="U2158">
        <f>IF(AND(NOT(ISBLANK(ReconciliationData[[#This Row],[last_return_date]])),ReconciliationData[[#This Row],[last_return_date]]&gt;ReconciliationData[[#This Row],[Order_Date]]+60),1,0)</f>
        <v>0</v>
      </c>
      <c r="V2158">
        <f>IF(ReconciliationData[[#This Row],[total_returned_units]]&gt;ReconciliationData[[#This Row],[ordered_units]],1,0)</f>
        <v>0</v>
      </c>
      <c r="W21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58">
        <f>ReconciliationData[[#This Row],[Billed_Units]]*ReconciliationData[[#This Row],[Billed_Price]]</f>
        <v>30168.32</v>
      </c>
      <c r="Y2158">
        <f>ReconciliationData[[#This Row],[ordered_units]]*ReconciliationData[[#This Row],[List_Price]]</f>
        <v>30168.32</v>
      </c>
      <c r="Z2158">
        <f>ReconciliationData[[#This Row],[billed_revenue]]-ReconciliationData[[#This Row],[expected_revenue]]</f>
        <v>0</v>
      </c>
      <c r="AA21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58" t="str">
        <f>IF(ReconciliationData[[#This Row],[severity_score]]=0,"LOW",
 IF(ReconciliationData[[#This Row],[severity_score]]&lt;=5,"MEDIUM","HIGH"))</f>
        <v>LOW</v>
      </c>
      <c r="AC2158" t="str">
        <f>TEXT(ReconciliationData[[#This Row],[Order_Date]],"YYYY-MM")</f>
        <v>2024-03</v>
      </c>
    </row>
    <row r="2159" spans="1:29">
      <c r="A2159" t="s">
        <v>5496</v>
      </c>
      <c r="B2159" s="1">
        <v>45070</v>
      </c>
      <c r="C2159" t="s">
        <v>3979</v>
      </c>
      <c r="D2159" t="s">
        <v>1449</v>
      </c>
      <c r="E2159">
        <v>130</v>
      </c>
      <c r="F2159" t="s">
        <v>5497</v>
      </c>
      <c r="G2159">
        <v>130</v>
      </c>
      <c r="H2159">
        <v>960.85850000000005</v>
      </c>
      <c r="N2159">
        <v>960.85850000000005</v>
      </c>
      <c r="O2159" s="1">
        <v>45049</v>
      </c>
      <c r="P2159">
        <f>IF(ISBLANK(ReconciliationData[[#This Row],[Invoice_ID]]),1,0)</f>
        <v>0</v>
      </c>
      <c r="Q2159">
        <f>IF(AND(NOT(ISBLANK(ReconciliationData[[#This Row],[Billed_Units]])),ReconciliationData[[#This Row],[ordered_units]]&lt;&gt;ReconciliationData[[#This Row],[Billed_Units]]),1,0)</f>
        <v>0</v>
      </c>
      <c r="R21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59">
        <f>IF(AND(NOT(ISBLANK(ReconciliationData[[#This Row],[Contract_Price]])),ReconciliationData[[#This Row],[Billed_Price]]&lt;&gt;ReconciliationData[[#This Row],[Contract_Price]]),1,0)</f>
        <v>0</v>
      </c>
      <c r="T2159">
        <f>IF(AND(NOT(ISBLANK(ReconciliationData[[#This Row],[End_Date]])),ReconciliationData[[#This Row],[Order_Date]]&gt;ReconciliationData[[#This Row],[End_Date]]),1,0)</f>
        <v>0</v>
      </c>
      <c r="U2159">
        <f>IF(AND(NOT(ISBLANK(ReconciliationData[[#This Row],[last_return_date]])),ReconciliationData[[#This Row],[last_return_date]]&gt;ReconciliationData[[#This Row],[Order_Date]]+60),1,0)</f>
        <v>0</v>
      </c>
      <c r="V2159">
        <f>IF(ReconciliationData[[#This Row],[total_returned_units]]&gt;ReconciliationData[[#This Row],[ordered_units]],1,0)</f>
        <v>0</v>
      </c>
      <c r="W21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59">
        <f>ReconciliationData[[#This Row],[Billed_Units]]*ReconciliationData[[#This Row],[Billed_Price]]</f>
        <v>124911.60500000001</v>
      </c>
      <c r="Y2159">
        <f>ReconciliationData[[#This Row],[ordered_units]]*ReconciliationData[[#This Row],[List_Price]]</f>
        <v>124911.60500000001</v>
      </c>
      <c r="Z2159">
        <f>ReconciliationData[[#This Row],[billed_revenue]]-ReconciliationData[[#This Row],[expected_revenue]]</f>
        <v>0</v>
      </c>
      <c r="AA21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59" t="str">
        <f>IF(ReconciliationData[[#This Row],[severity_score]]=0,"LOW",
 IF(ReconciliationData[[#This Row],[severity_score]]&lt;=5,"MEDIUM","HIGH"))</f>
        <v>LOW</v>
      </c>
      <c r="AC2159" t="str">
        <f>TEXT(ReconciliationData[[#This Row],[Order_Date]],"YYYY-MM")</f>
        <v>2023-05</v>
      </c>
    </row>
    <row r="2160" spans="1:29">
      <c r="A2160" t="s">
        <v>5498</v>
      </c>
      <c r="B2160" s="1">
        <v>45577</v>
      </c>
      <c r="C2160" t="s">
        <v>3206</v>
      </c>
      <c r="D2160" t="s">
        <v>639</v>
      </c>
      <c r="E2160">
        <v>31</v>
      </c>
      <c r="F2160" t="s">
        <v>5499</v>
      </c>
      <c r="G2160">
        <v>31</v>
      </c>
      <c r="H2160">
        <v>945.47868399503022</v>
      </c>
      <c r="I2160">
        <v>5</v>
      </c>
      <c r="J2160" s="1">
        <v>45207</v>
      </c>
      <c r="N2160">
        <v>945.38850000000002</v>
      </c>
      <c r="O2160" s="1">
        <v>45047</v>
      </c>
      <c r="P2160">
        <f>IF(ISBLANK(ReconciliationData[[#This Row],[Invoice_ID]]),1,0)</f>
        <v>0</v>
      </c>
      <c r="Q2160">
        <f>IF(AND(NOT(ISBLANK(ReconciliationData[[#This Row],[Billed_Units]])),ReconciliationData[[#This Row],[ordered_units]]&lt;&gt;ReconciliationData[[#This Row],[Billed_Units]]),1,0)</f>
        <v>0</v>
      </c>
      <c r="R2160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160">
        <f>IF(AND(NOT(ISBLANK(ReconciliationData[[#This Row],[Contract_Price]])),ReconciliationData[[#This Row],[Billed_Price]]&lt;&gt;ReconciliationData[[#This Row],[Contract_Price]]),1,0)</f>
        <v>0</v>
      </c>
      <c r="T2160">
        <f>IF(AND(NOT(ISBLANK(ReconciliationData[[#This Row],[End_Date]])),ReconciliationData[[#This Row],[Order_Date]]&gt;ReconciliationData[[#This Row],[End_Date]]),1,0)</f>
        <v>0</v>
      </c>
      <c r="U2160">
        <f>IF(AND(NOT(ISBLANK(ReconciliationData[[#This Row],[last_return_date]])),ReconciliationData[[#This Row],[last_return_date]]&gt;ReconciliationData[[#This Row],[Order_Date]]+60),1,0)</f>
        <v>0</v>
      </c>
      <c r="V2160">
        <f>IF(ReconciliationData[[#This Row],[total_returned_units]]&gt;ReconciliationData[[#This Row],[ordered_units]],1,0)</f>
        <v>0</v>
      </c>
      <c r="W21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60">
        <f>ReconciliationData[[#This Row],[Billed_Units]]*ReconciliationData[[#This Row],[Billed_Price]]</f>
        <v>29309.839203845935</v>
      </c>
      <c r="Y2160">
        <f>ReconciliationData[[#This Row],[ordered_units]]*ReconciliationData[[#This Row],[List_Price]]</f>
        <v>29307.0435</v>
      </c>
      <c r="Z2160">
        <f>ReconciliationData[[#This Row],[billed_revenue]]-ReconciliationData[[#This Row],[expected_revenue]]</f>
        <v>2.7957038459353498</v>
      </c>
      <c r="AA21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160" t="str">
        <f>IF(ReconciliationData[[#This Row],[severity_score]]=0,"LOW",
 IF(ReconciliationData[[#This Row],[severity_score]]&lt;=5,"MEDIUM","HIGH"))</f>
        <v>MEDIUM</v>
      </c>
      <c r="AC2160" t="str">
        <f>TEXT(ReconciliationData[[#This Row],[Order_Date]],"YYYY-MM")</f>
        <v>2024-10</v>
      </c>
    </row>
    <row r="2161" spans="1:29">
      <c r="A2161" t="s">
        <v>5500</v>
      </c>
      <c r="B2161" s="1">
        <v>45302</v>
      </c>
      <c r="C2161" t="s">
        <v>1208</v>
      </c>
      <c r="D2161" t="s">
        <v>987</v>
      </c>
      <c r="E2161">
        <v>137</v>
      </c>
      <c r="F2161" t="s">
        <v>5501</v>
      </c>
      <c r="G2161">
        <v>137</v>
      </c>
      <c r="H2161">
        <v>232.3732</v>
      </c>
      <c r="N2161">
        <v>232.3732</v>
      </c>
      <c r="O2161" s="1">
        <v>45065</v>
      </c>
      <c r="P2161">
        <f>IF(ISBLANK(ReconciliationData[[#This Row],[Invoice_ID]]),1,0)</f>
        <v>0</v>
      </c>
      <c r="Q2161">
        <f>IF(AND(NOT(ISBLANK(ReconciliationData[[#This Row],[Billed_Units]])),ReconciliationData[[#This Row],[ordered_units]]&lt;&gt;ReconciliationData[[#This Row],[Billed_Units]]),1,0)</f>
        <v>0</v>
      </c>
      <c r="R21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61">
        <f>IF(AND(NOT(ISBLANK(ReconciliationData[[#This Row],[Contract_Price]])),ReconciliationData[[#This Row],[Billed_Price]]&lt;&gt;ReconciliationData[[#This Row],[Contract_Price]]),1,0)</f>
        <v>0</v>
      </c>
      <c r="T2161">
        <f>IF(AND(NOT(ISBLANK(ReconciliationData[[#This Row],[End_Date]])),ReconciliationData[[#This Row],[Order_Date]]&gt;ReconciliationData[[#This Row],[End_Date]]),1,0)</f>
        <v>0</v>
      </c>
      <c r="U2161">
        <f>IF(AND(NOT(ISBLANK(ReconciliationData[[#This Row],[last_return_date]])),ReconciliationData[[#This Row],[last_return_date]]&gt;ReconciliationData[[#This Row],[Order_Date]]+60),1,0)</f>
        <v>0</v>
      </c>
      <c r="V2161">
        <f>IF(ReconciliationData[[#This Row],[total_returned_units]]&gt;ReconciliationData[[#This Row],[ordered_units]],1,0)</f>
        <v>0</v>
      </c>
      <c r="W21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61">
        <f>ReconciliationData[[#This Row],[Billed_Units]]*ReconciliationData[[#This Row],[Billed_Price]]</f>
        <v>31835.128400000001</v>
      </c>
      <c r="Y2161">
        <f>ReconciliationData[[#This Row],[ordered_units]]*ReconciliationData[[#This Row],[List_Price]]</f>
        <v>31835.128400000001</v>
      </c>
      <c r="Z2161">
        <f>ReconciliationData[[#This Row],[billed_revenue]]-ReconciliationData[[#This Row],[expected_revenue]]</f>
        <v>0</v>
      </c>
      <c r="AA21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61" t="str">
        <f>IF(ReconciliationData[[#This Row],[severity_score]]=0,"LOW",
 IF(ReconciliationData[[#This Row],[severity_score]]&lt;=5,"MEDIUM","HIGH"))</f>
        <v>LOW</v>
      </c>
      <c r="AC2161" t="str">
        <f>TEXT(ReconciliationData[[#This Row],[Order_Date]],"YYYY-MM")</f>
        <v>2024-01</v>
      </c>
    </row>
    <row r="2162" spans="1:29">
      <c r="A2162" t="s">
        <v>5502</v>
      </c>
      <c r="B2162" s="1">
        <v>45325</v>
      </c>
      <c r="C2162" t="s">
        <v>2356</v>
      </c>
      <c r="D2162" t="s">
        <v>944</v>
      </c>
      <c r="E2162">
        <v>187</v>
      </c>
      <c r="F2162" t="s">
        <v>5503</v>
      </c>
      <c r="G2162">
        <v>187</v>
      </c>
      <c r="H2162">
        <v>1006.8318</v>
      </c>
      <c r="N2162">
        <v>1006.8318</v>
      </c>
      <c r="O2162" s="1">
        <v>45204</v>
      </c>
      <c r="P2162">
        <f>IF(ISBLANK(ReconciliationData[[#This Row],[Invoice_ID]]),1,0)</f>
        <v>0</v>
      </c>
      <c r="Q2162">
        <f>IF(AND(NOT(ISBLANK(ReconciliationData[[#This Row],[Billed_Units]])),ReconciliationData[[#This Row],[ordered_units]]&lt;&gt;ReconciliationData[[#This Row],[Billed_Units]]),1,0)</f>
        <v>0</v>
      </c>
      <c r="R21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62">
        <f>IF(AND(NOT(ISBLANK(ReconciliationData[[#This Row],[Contract_Price]])),ReconciliationData[[#This Row],[Billed_Price]]&lt;&gt;ReconciliationData[[#This Row],[Contract_Price]]),1,0)</f>
        <v>0</v>
      </c>
      <c r="T2162">
        <f>IF(AND(NOT(ISBLANK(ReconciliationData[[#This Row],[End_Date]])),ReconciliationData[[#This Row],[Order_Date]]&gt;ReconciliationData[[#This Row],[End_Date]]),1,0)</f>
        <v>0</v>
      </c>
      <c r="U2162">
        <f>IF(AND(NOT(ISBLANK(ReconciliationData[[#This Row],[last_return_date]])),ReconciliationData[[#This Row],[last_return_date]]&gt;ReconciliationData[[#This Row],[Order_Date]]+60),1,0)</f>
        <v>0</v>
      </c>
      <c r="V2162">
        <f>IF(ReconciliationData[[#This Row],[total_returned_units]]&gt;ReconciliationData[[#This Row],[ordered_units]],1,0)</f>
        <v>0</v>
      </c>
      <c r="W21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62">
        <f>ReconciliationData[[#This Row],[Billed_Units]]*ReconciliationData[[#This Row],[Billed_Price]]</f>
        <v>188277.5466</v>
      </c>
      <c r="Y2162">
        <f>ReconciliationData[[#This Row],[ordered_units]]*ReconciliationData[[#This Row],[List_Price]]</f>
        <v>188277.5466</v>
      </c>
      <c r="Z2162">
        <f>ReconciliationData[[#This Row],[billed_revenue]]-ReconciliationData[[#This Row],[expected_revenue]]</f>
        <v>0</v>
      </c>
      <c r="AA21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62" t="str">
        <f>IF(ReconciliationData[[#This Row],[severity_score]]=0,"LOW",
 IF(ReconciliationData[[#This Row],[severity_score]]&lt;=5,"MEDIUM","HIGH"))</f>
        <v>LOW</v>
      </c>
      <c r="AC2162" t="str">
        <f>TEXT(ReconciliationData[[#This Row],[Order_Date]],"YYYY-MM")</f>
        <v>2024-02</v>
      </c>
    </row>
    <row r="2163" spans="1:29">
      <c r="A2163" t="s">
        <v>5504</v>
      </c>
      <c r="B2163" s="1">
        <v>44961</v>
      </c>
      <c r="C2163" t="s">
        <v>1841</v>
      </c>
      <c r="D2163" t="s">
        <v>552</v>
      </c>
      <c r="E2163">
        <v>15</v>
      </c>
      <c r="F2163" t="s">
        <v>5505</v>
      </c>
      <c r="G2163">
        <v>15</v>
      </c>
      <c r="H2163">
        <v>442.15679999999998</v>
      </c>
      <c r="N2163">
        <v>442.15679999999998</v>
      </c>
      <c r="O2163" s="1">
        <v>44832</v>
      </c>
      <c r="P2163">
        <f>IF(ISBLANK(ReconciliationData[[#This Row],[Invoice_ID]]),1,0)</f>
        <v>0</v>
      </c>
      <c r="Q2163">
        <f>IF(AND(NOT(ISBLANK(ReconciliationData[[#This Row],[Billed_Units]])),ReconciliationData[[#This Row],[ordered_units]]&lt;&gt;ReconciliationData[[#This Row],[Billed_Units]]),1,0)</f>
        <v>0</v>
      </c>
      <c r="R21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63">
        <f>IF(AND(NOT(ISBLANK(ReconciliationData[[#This Row],[Contract_Price]])),ReconciliationData[[#This Row],[Billed_Price]]&lt;&gt;ReconciliationData[[#This Row],[Contract_Price]]),1,0)</f>
        <v>0</v>
      </c>
      <c r="T2163">
        <f>IF(AND(NOT(ISBLANK(ReconciliationData[[#This Row],[End_Date]])),ReconciliationData[[#This Row],[Order_Date]]&gt;ReconciliationData[[#This Row],[End_Date]]),1,0)</f>
        <v>0</v>
      </c>
      <c r="U2163">
        <f>IF(AND(NOT(ISBLANK(ReconciliationData[[#This Row],[last_return_date]])),ReconciliationData[[#This Row],[last_return_date]]&gt;ReconciliationData[[#This Row],[Order_Date]]+60),1,0)</f>
        <v>0</v>
      </c>
      <c r="V2163">
        <f>IF(ReconciliationData[[#This Row],[total_returned_units]]&gt;ReconciliationData[[#This Row],[ordered_units]],1,0)</f>
        <v>0</v>
      </c>
      <c r="W21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63">
        <f>ReconciliationData[[#This Row],[Billed_Units]]*ReconciliationData[[#This Row],[Billed_Price]]</f>
        <v>6632.3519999999999</v>
      </c>
      <c r="Y2163">
        <f>ReconciliationData[[#This Row],[ordered_units]]*ReconciliationData[[#This Row],[List_Price]]</f>
        <v>6632.3519999999999</v>
      </c>
      <c r="Z2163">
        <f>ReconciliationData[[#This Row],[billed_revenue]]-ReconciliationData[[#This Row],[expected_revenue]]</f>
        <v>0</v>
      </c>
      <c r="AA21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63" t="str">
        <f>IF(ReconciliationData[[#This Row],[severity_score]]=0,"LOW",
 IF(ReconciliationData[[#This Row],[severity_score]]&lt;=5,"MEDIUM","HIGH"))</f>
        <v>LOW</v>
      </c>
      <c r="AC2163" t="str">
        <f>TEXT(ReconciliationData[[#This Row],[Order_Date]],"YYYY-MM")</f>
        <v>2023-02</v>
      </c>
    </row>
    <row r="2164" spans="1:29">
      <c r="A2164" t="s">
        <v>5506</v>
      </c>
      <c r="B2164" s="1">
        <v>45180</v>
      </c>
      <c r="C2164" t="s">
        <v>230</v>
      </c>
      <c r="D2164" t="s">
        <v>1459</v>
      </c>
      <c r="E2164">
        <v>94</v>
      </c>
      <c r="F2164" t="s">
        <v>5507</v>
      </c>
      <c r="G2164">
        <v>94</v>
      </c>
      <c r="H2164">
        <v>1149.8634</v>
      </c>
      <c r="N2164">
        <v>1149.8634</v>
      </c>
      <c r="O2164" s="1">
        <v>45135</v>
      </c>
      <c r="P2164">
        <f>IF(ISBLANK(ReconciliationData[[#This Row],[Invoice_ID]]),1,0)</f>
        <v>0</v>
      </c>
      <c r="Q2164">
        <f>IF(AND(NOT(ISBLANK(ReconciliationData[[#This Row],[Billed_Units]])),ReconciliationData[[#This Row],[ordered_units]]&lt;&gt;ReconciliationData[[#This Row],[Billed_Units]]),1,0)</f>
        <v>0</v>
      </c>
      <c r="R21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64">
        <f>IF(AND(NOT(ISBLANK(ReconciliationData[[#This Row],[Contract_Price]])),ReconciliationData[[#This Row],[Billed_Price]]&lt;&gt;ReconciliationData[[#This Row],[Contract_Price]]),1,0)</f>
        <v>0</v>
      </c>
      <c r="T2164">
        <f>IF(AND(NOT(ISBLANK(ReconciliationData[[#This Row],[End_Date]])),ReconciliationData[[#This Row],[Order_Date]]&gt;ReconciliationData[[#This Row],[End_Date]]),1,0)</f>
        <v>0</v>
      </c>
      <c r="U2164">
        <f>IF(AND(NOT(ISBLANK(ReconciliationData[[#This Row],[last_return_date]])),ReconciliationData[[#This Row],[last_return_date]]&gt;ReconciliationData[[#This Row],[Order_Date]]+60),1,0)</f>
        <v>0</v>
      </c>
      <c r="V2164">
        <f>IF(ReconciliationData[[#This Row],[total_returned_units]]&gt;ReconciliationData[[#This Row],[ordered_units]],1,0)</f>
        <v>0</v>
      </c>
      <c r="W21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64">
        <f>ReconciliationData[[#This Row],[Billed_Units]]*ReconciliationData[[#This Row],[Billed_Price]]</f>
        <v>108087.1596</v>
      </c>
      <c r="Y2164">
        <f>ReconciliationData[[#This Row],[ordered_units]]*ReconciliationData[[#This Row],[List_Price]]</f>
        <v>108087.1596</v>
      </c>
      <c r="Z2164">
        <f>ReconciliationData[[#This Row],[billed_revenue]]-ReconciliationData[[#This Row],[expected_revenue]]</f>
        <v>0</v>
      </c>
      <c r="AA21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64" t="str">
        <f>IF(ReconciliationData[[#This Row],[severity_score]]=0,"LOW",
 IF(ReconciliationData[[#This Row],[severity_score]]&lt;=5,"MEDIUM","HIGH"))</f>
        <v>LOW</v>
      </c>
      <c r="AC2164" t="str">
        <f>TEXT(ReconciliationData[[#This Row],[Order_Date]],"YYYY-MM")</f>
        <v>2023-09</v>
      </c>
    </row>
    <row r="2165" spans="1:29">
      <c r="A2165" t="s">
        <v>5508</v>
      </c>
      <c r="B2165" s="1">
        <v>45169</v>
      </c>
      <c r="C2165" t="s">
        <v>2028</v>
      </c>
      <c r="D2165" t="s">
        <v>856</v>
      </c>
      <c r="E2165">
        <v>177</v>
      </c>
      <c r="F2165" t="s">
        <v>5509</v>
      </c>
      <c r="G2165">
        <v>177</v>
      </c>
      <c r="H2165">
        <v>1195.6769999999999</v>
      </c>
      <c r="N2165">
        <v>1195.6769999999999</v>
      </c>
      <c r="O2165" s="1">
        <v>45010</v>
      </c>
      <c r="P2165">
        <f>IF(ISBLANK(ReconciliationData[[#This Row],[Invoice_ID]]),1,0)</f>
        <v>0</v>
      </c>
      <c r="Q2165">
        <f>IF(AND(NOT(ISBLANK(ReconciliationData[[#This Row],[Billed_Units]])),ReconciliationData[[#This Row],[ordered_units]]&lt;&gt;ReconciliationData[[#This Row],[Billed_Units]]),1,0)</f>
        <v>0</v>
      </c>
      <c r="R21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65">
        <f>IF(AND(NOT(ISBLANK(ReconciliationData[[#This Row],[Contract_Price]])),ReconciliationData[[#This Row],[Billed_Price]]&lt;&gt;ReconciliationData[[#This Row],[Contract_Price]]),1,0)</f>
        <v>0</v>
      </c>
      <c r="T2165">
        <f>IF(AND(NOT(ISBLANK(ReconciliationData[[#This Row],[End_Date]])),ReconciliationData[[#This Row],[Order_Date]]&gt;ReconciliationData[[#This Row],[End_Date]]),1,0)</f>
        <v>0</v>
      </c>
      <c r="U2165">
        <f>IF(AND(NOT(ISBLANK(ReconciliationData[[#This Row],[last_return_date]])),ReconciliationData[[#This Row],[last_return_date]]&gt;ReconciliationData[[#This Row],[Order_Date]]+60),1,0)</f>
        <v>0</v>
      </c>
      <c r="V2165">
        <f>IF(ReconciliationData[[#This Row],[total_returned_units]]&gt;ReconciliationData[[#This Row],[ordered_units]],1,0)</f>
        <v>0</v>
      </c>
      <c r="W21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65">
        <f>ReconciliationData[[#This Row],[Billed_Units]]*ReconciliationData[[#This Row],[Billed_Price]]</f>
        <v>211634.829</v>
      </c>
      <c r="Y2165">
        <f>ReconciliationData[[#This Row],[ordered_units]]*ReconciliationData[[#This Row],[List_Price]]</f>
        <v>211634.829</v>
      </c>
      <c r="Z2165">
        <f>ReconciliationData[[#This Row],[billed_revenue]]-ReconciliationData[[#This Row],[expected_revenue]]</f>
        <v>0</v>
      </c>
      <c r="AA21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65" t="str">
        <f>IF(ReconciliationData[[#This Row],[severity_score]]=0,"LOW",
 IF(ReconciliationData[[#This Row],[severity_score]]&lt;=5,"MEDIUM","HIGH"))</f>
        <v>LOW</v>
      </c>
      <c r="AC2165" t="str">
        <f>TEXT(ReconciliationData[[#This Row],[Order_Date]],"YYYY-MM")</f>
        <v>2023-08</v>
      </c>
    </row>
    <row r="2166" spans="1:29">
      <c r="A2166" t="s">
        <v>5510</v>
      </c>
      <c r="B2166" s="1">
        <v>45194</v>
      </c>
      <c r="C2166" t="s">
        <v>3885</v>
      </c>
      <c r="D2166" t="s">
        <v>3954</v>
      </c>
      <c r="E2166">
        <v>117</v>
      </c>
      <c r="F2166" t="s">
        <v>5511</v>
      </c>
      <c r="G2166">
        <v>117</v>
      </c>
      <c r="H2166">
        <v>269.95269999999999</v>
      </c>
      <c r="N2166">
        <v>269.95269999999999</v>
      </c>
      <c r="O2166" s="1">
        <v>44781</v>
      </c>
      <c r="P2166">
        <f>IF(ISBLANK(ReconciliationData[[#This Row],[Invoice_ID]]),1,0)</f>
        <v>0</v>
      </c>
      <c r="Q2166">
        <f>IF(AND(NOT(ISBLANK(ReconciliationData[[#This Row],[Billed_Units]])),ReconciliationData[[#This Row],[ordered_units]]&lt;&gt;ReconciliationData[[#This Row],[Billed_Units]]),1,0)</f>
        <v>0</v>
      </c>
      <c r="R21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66">
        <f>IF(AND(NOT(ISBLANK(ReconciliationData[[#This Row],[Contract_Price]])),ReconciliationData[[#This Row],[Billed_Price]]&lt;&gt;ReconciliationData[[#This Row],[Contract_Price]]),1,0)</f>
        <v>0</v>
      </c>
      <c r="T2166">
        <f>IF(AND(NOT(ISBLANK(ReconciliationData[[#This Row],[End_Date]])),ReconciliationData[[#This Row],[Order_Date]]&gt;ReconciliationData[[#This Row],[End_Date]]),1,0)</f>
        <v>0</v>
      </c>
      <c r="U2166">
        <f>IF(AND(NOT(ISBLANK(ReconciliationData[[#This Row],[last_return_date]])),ReconciliationData[[#This Row],[last_return_date]]&gt;ReconciliationData[[#This Row],[Order_Date]]+60),1,0)</f>
        <v>0</v>
      </c>
      <c r="V2166">
        <f>IF(ReconciliationData[[#This Row],[total_returned_units]]&gt;ReconciliationData[[#This Row],[ordered_units]],1,0)</f>
        <v>0</v>
      </c>
      <c r="W21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66">
        <f>ReconciliationData[[#This Row],[Billed_Units]]*ReconciliationData[[#This Row],[Billed_Price]]</f>
        <v>31584.465899999999</v>
      </c>
      <c r="Y2166">
        <f>ReconciliationData[[#This Row],[ordered_units]]*ReconciliationData[[#This Row],[List_Price]]</f>
        <v>31584.465899999999</v>
      </c>
      <c r="Z2166">
        <f>ReconciliationData[[#This Row],[billed_revenue]]-ReconciliationData[[#This Row],[expected_revenue]]</f>
        <v>0</v>
      </c>
      <c r="AA21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66" t="str">
        <f>IF(ReconciliationData[[#This Row],[severity_score]]=0,"LOW",
 IF(ReconciliationData[[#This Row],[severity_score]]&lt;=5,"MEDIUM","HIGH"))</f>
        <v>LOW</v>
      </c>
      <c r="AC2166" t="str">
        <f>TEXT(ReconciliationData[[#This Row],[Order_Date]],"YYYY-MM")</f>
        <v>2023-09</v>
      </c>
    </row>
    <row r="2167" spans="1:29">
      <c r="A2167" t="s">
        <v>5512</v>
      </c>
      <c r="B2167" s="1">
        <v>45210</v>
      </c>
      <c r="C2167" t="s">
        <v>936</v>
      </c>
      <c r="D2167" t="s">
        <v>916</v>
      </c>
      <c r="E2167">
        <v>175</v>
      </c>
      <c r="F2167" t="s">
        <v>5513</v>
      </c>
      <c r="G2167">
        <v>175</v>
      </c>
      <c r="H2167">
        <v>1158.2643</v>
      </c>
      <c r="N2167">
        <v>1158.2643</v>
      </c>
      <c r="O2167" s="1">
        <v>45119</v>
      </c>
      <c r="P2167">
        <f>IF(ISBLANK(ReconciliationData[[#This Row],[Invoice_ID]]),1,0)</f>
        <v>0</v>
      </c>
      <c r="Q2167">
        <f>IF(AND(NOT(ISBLANK(ReconciliationData[[#This Row],[Billed_Units]])),ReconciliationData[[#This Row],[ordered_units]]&lt;&gt;ReconciliationData[[#This Row],[Billed_Units]]),1,0)</f>
        <v>0</v>
      </c>
      <c r="R21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67">
        <f>IF(AND(NOT(ISBLANK(ReconciliationData[[#This Row],[Contract_Price]])),ReconciliationData[[#This Row],[Billed_Price]]&lt;&gt;ReconciliationData[[#This Row],[Contract_Price]]),1,0)</f>
        <v>0</v>
      </c>
      <c r="T2167">
        <f>IF(AND(NOT(ISBLANK(ReconciliationData[[#This Row],[End_Date]])),ReconciliationData[[#This Row],[Order_Date]]&gt;ReconciliationData[[#This Row],[End_Date]]),1,0)</f>
        <v>0</v>
      </c>
      <c r="U2167">
        <f>IF(AND(NOT(ISBLANK(ReconciliationData[[#This Row],[last_return_date]])),ReconciliationData[[#This Row],[last_return_date]]&gt;ReconciliationData[[#This Row],[Order_Date]]+60),1,0)</f>
        <v>0</v>
      </c>
      <c r="V2167">
        <f>IF(ReconciliationData[[#This Row],[total_returned_units]]&gt;ReconciliationData[[#This Row],[ordered_units]],1,0)</f>
        <v>0</v>
      </c>
      <c r="W21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67">
        <f>ReconciliationData[[#This Row],[Billed_Units]]*ReconciliationData[[#This Row],[Billed_Price]]</f>
        <v>202696.2525</v>
      </c>
      <c r="Y2167">
        <f>ReconciliationData[[#This Row],[ordered_units]]*ReconciliationData[[#This Row],[List_Price]]</f>
        <v>202696.2525</v>
      </c>
      <c r="Z2167">
        <f>ReconciliationData[[#This Row],[billed_revenue]]-ReconciliationData[[#This Row],[expected_revenue]]</f>
        <v>0</v>
      </c>
      <c r="AA21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67" t="str">
        <f>IF(ReconciliationData[[#This Row],[severity_score]]=0,"LOW",
 IF(ReconciliationData[[#This Row],[severity_score]]&lt;=5,"MEDIUM","HIGH"))</f>
        <v>LOW</v>
      </c>
      <c r="AC2167" t="str">
        <f>TEXT(ReconciliationData[[#This Row],[Order_Date]],"YYYY-MM")</f>
        <v>2023-10</v>
      </c>
    </row>
    <row r="2168" spans="1:29">
      <c r="A2168" t="s">
        <v>5514</v>
      </c>
      <c r="B2168" s="1">
        <v>44987</v>
      </c>
      <c r="C2168" t="s">
        <v>3519</v>
      </c>
      <c r="D2168" t="s">
        <v>863</v>
      </c>
      <c r="E2168">
        <v>178</v>
      </c>
      <c r="F2168" t="s">
        <v>5515</v>
      </c>
      <c r="G2168">
        <v>178</v>
      </c>
      <c r="H2168">
        <v>724.52160000000003</v>
      </c>
      <c r="N2168">
        <v>724.52160000000003</v>
      </c>
      <c r="O2168" s="1">
        <v>44837</v>
      </c>
      <c r="P2168">
        <f>IF(ISBLANK(ReconciliationData[[#This Row],[Invoice_ID]]),1,0)</f>
        <v>0</v>
      </c>
      <c r="Q2168">
        <f>IF(AND(NOT(ISBLANK(ReconciliationData[[#This Row],[Billed_Units]])),ReconciliationData[[#This Row],[ordered_units]]&lt;&gt;ReconciliationData[[#This Row],[Billed_Units]]),1,0)</f>
        <v>0</v>
      </c>
      <c r="R21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68">
        <f>IF(AND(NOT(ISBLANK(ReconciliationData[[#This Row],[Contract_Price]])),ReconciliationData[[#This Row],[Billed_Price]]&lt;&gt;ReconciliationData[[#This Row],[Contract_Price]]),1,0)</f>
        <v>0</v>
      </c>
      <c r="T2168">
        <f>IF(AND(NOT(ISBLANK(ReconciliationData[[#This Row],[End_Date]])),ReconciliationData[[#This Row],[Order_Date]]&gt;ReconciliationData[[#This Row],[End_Date]]),1,0)</f>
        <v>0</v>
      </c>
      <c r="U2168">
        <f>IF(AND(NOT(ISBLANK(ReconciliationData[[#This Row],[last_return_date]])),ReconciliationData[[#This Row],[last_return_date]]&gt;ReconciliationData[[#This Row],[Order_Date]]+60),1,0)</f>
        <v>0</v>
      </c>
      <c r="V2168">
        <f>IF(ReconciliationData[[#This Row],[total_returned_units]]&gt;ReconciliationData[[#This Row],[ordered_units]],1,0)</f>
        <v>0</v>
      </c>
      <c r="W21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68">
        <f>ReconciliationData[[#This Row],[Billed_Units]]*ReconciliationData[[#This Row],[Billed_Price]]</f>
        <v>128964.84480000001</v>
      </c>
      <c r="Y2168">
        <f>ReconciliationData[[#This Row],[ordered_units]]*ReconciliationData[[#This Row],[List_Price]]</f>
        <v>128964.84480000001</v>
      </c>
      <c r="Z2168">
        <f>ReconciliationData[[#This Row],[billed_revenue]]-ReconciliationData[[#This Row],[expected_revenue]]</f>
        <v>0</v>
      </c>
      <c r="AA21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68" t="str">
        <f>IF(ReconciliationData[[#This Row],[severity_score]]=0,"LOW",
 IF(ReconciliationData[[#This Row],[severity_score]]&lt;=5,"MEDIUM","HIGH"))</f>
        <v>LOW</v>
      </c>
      <c r="AC2168" t="str">
        <f>TEXT(ReconciliationData[[#This Row],[Order_Date]],"YYYY-MM")</f>
        <v>2023-03</v>
      </c>
    </row>
    <row r="2169" spans="1:29">
      <c r="A2169" t="s">
        <v>5516</v>
      </c>
      <c r="B2169" s="1">
        <v>45208</v>
      </c>
      <c r="C2169" t="s">
        <v>2902</v>
      </c>
      <c r="D2169" t="s">
        <v>360</v>
      </c>
      <c r="E2169">
        <v>9</v>
      </c>
      <c r="F2169" t="s">
        <v>5517</v>
      </c>
      <c r="G2169">
        <v>9</v>
      </c>
      <c r="H2169">
        <v>465.21179999999998</v>
      </c>
      <c r="N2169">
        <v>465.21179999999998</v>
      </c>
      <c r="O2169" s="1">
        <v>45137</v>
      </c>
      <c r="P2169">
        <f>IF(ISBLANK(ReconciliationData[[#This Row],[Invoice_ID]]),1,0)</f>
        <v>0</v>
      </c>
      <c r="Q2169">
        <f>IF(AND(NOT(ISBLANK(ReconciliationData[[#This Row],[Billed_Units]])),ReconciliationData[[#This Row],[ordered_units]]&lt;&gt;ReconciliationData[[#This Row],[Billed_Units]]),1,0)</f>
        <v>0</v>
      </c>
      <c r="R21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69">
        <f>IF(AND(NOT(ISBLANK(ReconciliationData[[#This Row],[Contract_Price]])),ReconciliationData[[#This Row],[Billed_Price]]&lt;&gt;ReconciliationData[[#This Row],[Contract_Price]]),1,0)</f>
        <v>0</v>
      </c>
      <c r="T2169">
        <f>IF(AND(NOT(ISBLANK(ReconciliationData[[#This Row],[End_Date]])),ReconciliationData[[#This Row],[Order_Date]]&gt;ReconciliationData[[#This Row],[End_Date]]),1,0)</f>
        <v>0</v>
      </c>
      <c r="U2169">
        <f>IF(AND(NOT(ISBLANK(ReconciliationData[[#This Row],[last_return_date]])),ReconciliationData[[#This Row],[last_return_date]]&gt;ReconciliationData[[#This Row],[Order_Date]]+60),1,0)</f>
        <v>0</v>
      </c>
      <c r="V2169">
        <f>IF(ReconciliationData[[#This Row],[total_returned_units]]&gt;ReconciliationData[[#This Row],[ordered_units]],1,0)</f>
        <v>0</v>
      </c>
      <c r="W21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69">
        <f>ReconciliationData[[#This Row],[Billed_Units]]*ReconciliationData[[#This Row],[Billed_Price]]</f>
        <v>4186.9061999999994</v>
      </c>
      <c r="Y2169">
        <f>ReconciliationData[[#This Row],[ordered_units]]*ReconciliationData[[#This Row],[List_Price]]</f>
        <v>4186.9061999999994</v>
      </c>
      <c r="Z2169">
        <f>ReconciliationData[[#This Row],[billed_revenue]]-ReconciliationData[[#This Row],[expected_revenue]]</f>
        <v>0</v>
      </c>
      <c r="AA21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69" t="str">
        <f>IF(ReconciliationData[[#This Row],[severity_score]]=0,"LOW",
 IF(ReconciliationData[[#This Row],[severity_score]]&lt;=5,"MEDIUM","HIGH"))</f>
        <v>LOW</v>
      </c>
      <c r="AC2169" t="str">
        <f>TEXT(ReconciliationData[[#This Row],[Order_Date]],"YYYY-MM")</f>
        <v>2023-10</v>
      </c>
    </row>
    <row r="2170" spans="1:29">
      <c r="A2170" t="s">
        <v>5518</v>
      </c>
      <c r="B2170" s="1">
        <v>45464</v>
      </c>
      <c r="C2170" t="s">
        <v>2010</v>
      </c>
      <c r="D2170" t="s">
        <v>775</v>
      </c>
      <c r="E2170">
        <v>74</v>
      </c>
      <c r="F2170" t="s">
        <v>5519</v>
      </c>
      <c r="G2170">
        <v>74</v>
      </c>
      <c r="H2170">
        <v>1231.8180000000002</v>
      </c>
      <c r="N2170">
        <v>1231.8180000000002</v>
      </c>
      <c r="O2170" s="1">
        <v>45048</v>
      </c>
      <c r="P2170">
        <f>IF(ISBLANK(ReconciliationData[[#This Row],[Invoice_ID]]),1,0)</f>
        <v>0</v>
      </c>
      <c r="Q2170">
        <f>IF(AND(NOT(ISBLANK(ReconciliationData[[#This Row],[Billed_Units]])),ReconciliationData[[#This Row],[ordered_units]]&lt;&gt;ReconciliationData[[#This Row],[Billed_Units]]),1,0)</f>
        <v>0</v>
      </c>
      <c r="R21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0">
        <f>IF(AND(NOT(ISBLANK(ReconciliationData[[#This Row],[Contract_Price]])),ReconciliationData[[#This Row],[Billed_Price]]&lt;&gt;ReconciliationData[[#This Row],[Contract_Price]]),1,0)</f>
        <v>0</v>
      </c>
      <c r="T2170">
        <f>IF(AND(NOT(ISBLANK(ReconciliationData[[#This Row],[End_Date]])),ReconciliationData[[#This Row],[Order_Date]]&gt;ReconciliationData[[#This Row],[End_Date]]),1,0)</f>
        <v>0</v>
      </c>
      <c r="U2170">
        <f>IF(AND(NOT(ISBLANK(ReconciliationData[[#This Row],[last_return_date]])),ReconciliationData[[#This Row],[last_return_date]]&gt;ReconciliationData[[#This Row],[Order_Date]]+60),1,0)</f>
        <v>0</v>
      </c>
      <c r="V2170">
        <f>IF(ReconciliationData[[#This Row],[total_returned_units]]&gt;ReconciliationData[[#This Row],[ordered_units]],1,0)</f>
        <v>0</v>
      </c>
      <c r="W21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70">
        <f>ReconciliationData[[#This Row],[Billed_Units]]*ReconciliationData[[#This Row],[Billed_Price]]</f>
        <v>91154.532000000021</v>
      </c>
      <c r="Y2170">
        <f>ReconciliationData[[#This Row],[ordered_units]]*ReconciliationData[[#This Row],[List_Price]]</f>
        <v>91154.532000000021</v>
      </c>
      <c r="Z2170">
        <f>ReconciliationData[[#This Row],[billed_revenue]]-ReconciliationData[[#This Row],[expected_revenue]]</f>
        <v>0</v>
      </c>
      <c r="AA21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70" t="str">
        <f>IF(ReconciliationData[[#This Row],[severity_score]]=0,"LOW",
 IF(ReconciliationData[[#This Row],[severity_score]]&lt;=5,"MEDIUM","HIGH"))</f>
        <v>LOW</v>
      </c>
      <c r="AC2170" t="str">
        <f>TEXT(ReconciliationData[[#This Row],[Order_Date]],"YYYY-MM")</f>
        <v>2024-06</v>
      </c>
    </row>
    <row r="2171" spans="1:29">
      <c r="A2171" t="s">
        <v>5520</v>
      </c>
      <c r="B2171" s="1">
        <v>45320</v>
      </c>
      <c r="C2171" t="s">
        <v>1709</v>
      </c>
      <c r="D2171" t="s">
        <v>1309</v>
      </c>
      <c r="E2171">
        <v>17</v>
      </c>
      <c r="F2171" t="s">
        <v>5521</v>
      </c>
      <c r="G2171">
        <v>17</v>
      </c>
      <c r="H2171">
        <v>906.88919999999996</v>
      </c>
      <c r="N2171">
        <v>906.88919999999996</v>
      </c>
      <c r="O2171" s="1">
        <v>44991</v>
      </c>
      <c r="P2171">
        <f>IF(ISBLANK(ReconciliationData[[#This Row],[Invoice_ID]]),1,0)</f>
        <v>0</v>
      </c>
      <c r="Q2171">
        <f>IF(AND(NOT(ISBLANK(ReconciliationData[[#This Row],[Billed_Units]])),ReconciliationData[[#This Row],[ordered_units]]&lt;&gt;ReconciliationData[[#This Row],[Billed_Units]]),1,0)</f>
        <v>0</v>
      </c>
      <c r="R21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1">
        <f>IF(AND(NOT(ISBLANK(ReconciliationData[[#This Row],[Contract_Price]])),ReconciliationData[[#This Row],[Billed_Price]]&lt;&gt;ReconciliationData[[#This Row],[Contract_Price]]),1,0)</f>
        <v>0</v>
      </c>
      <c r="T2171">
        <f>IF(AND(NOT(ISBLANK(ReconciliationData[[#This Row],[End_Date]])),ReconciliationData[[#This Row],[Order_Date]]&gt;ReconciliationData[[#This Row],[End_Date]]),1,0)</f>
        <v>0</v>
      </c>
      <c r="U2171">
        <f>IF(AND(NOT(ISBLANK(ReconciliationData[[#This Row],[last_return_date]])),ReconciliationData[[#This Row],[last_return_date]]&gt;ReconciliationData[[#This Row],[Order_Date]]+60),1,0)</f>
        <v>0</v>
      </c>
      <c r="V2171">
        <f>IF(ReconciliationData[[#This Row],[total_returned_units]]&gt;ReconciliationData[[#This Row],[ordered_units]],1,0)</f>
        <v>0</v>
      </c>
      <c r="W21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71">
        <f>ReconciliationData[[#This Row],[Billed_Units]]*ReconciliationData[[#This Row],[Billed_Price]]</f>
        <v>15417.116399999999</v>
      </c>
      <c r="Y2171">
        <f>ReconciliationData[[#This Row],[ordered_units]]*ReconciliationData[[#This Row],[List_Price]]</f>
        <v>15417.116399999999</v>
      </c>
      <c r="Z2171">
        <f>ReconciliationData[[#This Row],[billed_revenue]]-ReconciliationData[[#This Row],[expected_revenue]]</f>
        <v>0</v>
      </c>
      <c r="AA21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71" t="str">
        <f>IF(ReconciliationData[[#This Row],[severity_score]]=0,"LOW",
 IF(ReconciliationData[[#This Row],[severity_score]]&lt;=5,"MEDIUM","HIGH"))</f>
        <v>LOW</v>
      </c>
      <c r="AC2171" t="str">
        <f>TEXT(ReconciliationData[[#This Row],[Order_Date]],"YYYY-MM")</f>
        <v>2024-01</v>
      </c>
    </row>
    <row r="2172" spans="1:29">
      <c r="A2172" t="s">
        <v>5522</v>
      </c>
      <c r="B2172" s="1">
        <v>45266</v>
      </c>
      <c r="C2172" t="s">
        <v>1330</v>
      </c>
      <c r="D2172" t="s">
        <v>2187</v>
      </c>
      <c r="E2172">
        <v>184</v>
      </c>
      <c r="F2172" t="s">
        <v>5523</v>
      </c>
      <c r="G2172">
        <v>184</v>
      </c>
      <c r="H2172">
        <v>223.6044</v>
      </c>
      <c r="N2172">
        <v>223.6044</v>
      </c>
      <c r="O2172" s="1">
        <v>45091</v>
      </c>
      <c r="P2172">
        <f>IF(ISBLANK(ReconciliationData[[#This Row],[Invoice_ID]]),1,0)</f>
        <v>0</v>
      </c>
      <c r="Q2172">
        <f>IF(AND(NOT(ISBLANK(ReconciliationData[[#This Row],[Billed_Units]])),ReconciliationData[[#This Row],[ordered_units]]&lt;&gt;ReconciliationData[[#This Row],[Billed_Units]]),1,0)</f>
        <v>0</v>
      </c>
      <c r="R21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2">
        <f>IF(AND(NOT(ISBLANK(ReconciliationData[[#This Row],[Contract_Price]])),ReconciliationData[[#This Row],[Billed_Price]]&lt;&gt;ReconciliationData[[#This Row],[Contract_Price]]),1,0)</f>
        <v>0</v>
      </c>
      <c r="T2172">
        <f>IF(AND(NOT(ISBLANK(ReconciliationData[[#This Row],[End_Date]])),ReconciliationData[[#This Row],[Order_Date]]&gt;ReconciliationData[[#This Row],[End_Date]]),1,0)</f>
        <v>0</v>
      </c>
      <c r="U2172">
        <f>IF(AND(NOT(ISBLANK(ReconciliationData[[#This Row],[last_return_date]])),ReconciliationData[[#This Row],[last_return_date]]&gt;ReconciliationData[[#This Row],[Order_Date]]+60),1,0)</f>
        <v>0</v>
      </c>
      <c r="V2172">
        <f>IF(ReconciliationData[[#This Row],[total_returned_units]]&gt;ReconciliationData[[#This Row],[ordered_units]],1,0)</f>
        <v>0</v>
      </c>
      <c r="W21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72">
        <f>ReconciliationData[[#This Row],[Billed_Units]]*ReconciliationData[[#This Row],[Billed_Price]]</f>
        <v>41143.209600000002</v>
      </c>
      <c r="Y2172">
        <f>ReconciliationData[[#This Row],[ordered_units]]*ReconciliationData[[#This Row],[List_Price]]</f>
        <v>41143.209600000002</v>
      </c>
      <c r="Z2172">
        <f>ReconciliationData[[#This Row],[billed_revenue]]-ReconciliationData[[#This Row],[expected_revenue]]</f>
        <v>0</v>
      </c>
      <c r="AA21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72" t="str">
        <f>IF(ReconciliationData[[#This Row],[severity_score]]=0,"LOW",
 IF(ReconciliationData[[#This Row],[severity_score]]&lt;=5,"MEDIUM","HIGH"))</f>
        <v>LOW</v>
      </c>
      <c r="AC2172" t="str">
        <f>TEXT(ReconciliationData[[#This Row],[Order_Date]],"YYYY-MM")</f>
        <v>2023-12</v>
      </c>
    </row>
    <row r="2173" spans="1:29">
      <c r="A2173" t="s">
        <v>5524</v>
      </c>
      <c r="B2173" s="1">
        <v>45449</v>
      </c>
      <c r="C2173" t="s">
        <v>2207</v>
      </c>
      <c r="D2173" t="s">
        <v>973</v>
      </c>
      <c r="E2173">
        <v>194</v>
      </c>
      <c r="F2173" t="s">
        <v>5525</v>
      </c>
      <c r="G2173">
        <v>194</v>
      </c>
      <c r="H2173">
        <v>156.37459999999999</v>
      </c>
      <c r="N2173">
        <v>156.37459999999999</v>
      </c>
      <c r="O2173" s="1">
        <v>45090</v>
      </c>
      <c r="P2173">
        <f>IF(ISBLANK(ReconciliationData[[#This Row],[Invoice_ID]]),1,0)</f>
        <v>0</v>
      </c>
      <c r="Q2173">
        <f>IF(AND(NOT(ISBLANK(ReconciliationData[[#This Row],[Billed_Units]])),ReconciliationData[[#This Row],[ordered_units]]&lt;&gt;ReconciliationData[[#This Row],[Billed_Units]]),1,0)</f>
        <v>0</v>
      </c>
      <c r="R21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3">
        <f>IF(AND(NOT(ISBLANK(ReconciliationData[[#This Row],[Contract_Price]])),ReconciliationData[[#This Row],[Billed_Price]]&lt;&gt;ReconciliationData[[#This Row],[Contract_Price]]),1,0)</f>
        <v>0</v>
      </c>
      <c r="T2173">
        <f>IF(AND(NOT(ISBLANK(ReconciliationData[[#This Row],[End_Date]])),ReconciliationData[[#This Row],[Order_Date]]&gt;ReconciliationData[[#This Row],[End_Date]]),1,0)</f>
        <v>0</v>
      </c>
      <c r="U2173">
        <f>IF(AND(NOT(ISBLANK(ReconciliationData[[#This Row],[last_return_date]])),ReconciliationData[[#This Row],[last_return_date]]&gt;ReconciliationData[[#This Row],[Order_Date]]+60),1,0)</f>
        <v>0</v>
      </c>
      <c r="V2173">
        <f>IF(ReconciliationData[[#This Row],[total_returned_units]]&gt;ReconciliationData[[#This Row],[ordered_units]],1,0)</f>
        <v>0</v>
      </c>
      <c r="W21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73">
        <f>ReconciliationData[[#This Row],[Billed_Units]]*ReconciliationData[[#This Row],[Billed_Price]]</f>
        <v>30336.672399999996</v>
      </c>
      <c r="Y2173">
        <f>ReconciliationData[[#This Row],[ordered_units]]*ReconciliationData[[#This Row],[List_Price]]</f>
        <v>30336.672399999996</v>
      </c>
      <c r="Z2173">
        <f>ReconciliationData[[#This Row],[billed_revenue]]-ReconciliationData[[#This Row],[expected_revenue]]</f>
        <v>0</v>
      </c>
      <c r="AA21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73" t="str">
        <f>IF(ReconciliationData[[#This Row],[severity_score]]=0,"LOW",
 IF(ReconciliationData[[#This Row],[severity_score]]&lt;=5,"MEDIUM","HIGH"))</f>
        <v>LOW</v>
      </c>
      <c r="AC2173" t="str">
        <f>TEXT(ReconciliationData[[#This Row],[Order_Date]],"YYYY-MM")</f>
        <v>2024-06</v>
      </c>
    </row>
    <row r="2174" spans="1:29">
      <c r="A2174" t="s">
        <v>5526</v>
      </c>
      <c r="B2174" s="1">
        <v>45109</v>
      </c>
      <c r="C2174" t="s">
        <v>3314</v>
      </c>
      <c r="D2174" t="s">
        <v>1088</v>
      </c>
      <c r="E2174">
        <v>118</v>
      </c>
      <c r="F2174" t="s">
        <v>5527</v>
      </c>
      <c r="G2174">
        <v>118</v>
      </c>
      <c r="H2174">
        <v>72.63</v>
      </c>
      <c r="N2174">
        <v>72.63</v>
      </c>
      <c r="O2174" s="1">
        <v>44956</v>
      </c>
      <c r="P2174">
        <f>IF(ISBLANK(ReconciliationData[[#This Row],[Invoice_ID]]),1,0)</f>
        <v>0</v>
      </c>
      <c r="Q2174">
        <f>IF(AND(NOT(ISBLANK(ReconciliationData[[#This Row],[Billed_Units]])),ReconciliationData[[#This Row],[ordered_units]]&lt;&gt;ReconciliationData[[#This Row],[Billed_Units]]),1,0)</f>
        <v>0</v>
      </c>
      <c r="R21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4">
        <f>IF(AND(NOT(ISBLANK(ReconciliationData[[#This Row],[Contract_Price]])),ReconciliationData[[#This Row],[Billed_Price]]&lt;&gt;ReconciliationData[[#This Row],[Contract_Price]]),1,0)</f>
        <v>0</v>
      </c>
      <c r="T2174">
        <f>IF(AND(NOT(ISBLANK(ReconciliationData[[#This Row],[End_Date]])),ReconciliationData[[#This Row],[Order_Date]]&gt;ReconciliationData[[#This Row],[End_Date]]),1,0)</f>
        <v>0</v>
      </c>
      <c r="U2174">
        <f>IF(AND(NOT(ISBLANK(ReconciliationData[[#This Row],[last_return_date]])),ReconciliationData[[#This Row],[last_return_date]]&gt;ReconciliationData[[#This Row],[Order_Date]]+60),1,0)</f>
        <v>0</v>
      </c>
      <c r="V2174">
        <f>IF(ReconciliationData[[#This Row],[total_returned_units]]&gt;ReconciliationData[[#This Row],[ordered_units]],1,0)</f>
        <v>0</v>
      </c>
      <c r="W21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74">
        <f>ReconciliationData[[#This Row],[Billed_Units]]*ReconciliationData[[#This Row],[Billed_Price]]</f>
        <v>8570.34</v>
      </c>
      <c r="Y2174">
        <f>ReconciliationData[[#This Row],[ordered_units]]*ReconciliationData[[#This Row],[List_Price]]</f>
        <v>8570.34</v>
      </c>
      <c r="Z2174">
        <f>ReconciliationData[[#This Row],[billed_revenue]]-ReconciliationData[[#This Row],[expected_revenue]]</f>
        <v>0</v>
      </c>
      <c r="AA21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74" t="str">
        <f>IF(ReconciliationData[[#This Row],[severity_score]]=0,"LOW",
 IF(ReconciliationData[[#This Row],[severity_score]]&lt;=5,"MEDIUM","HIGH"))</f>
        <v>LOW</v>
      </c>
      <c r="AC2174" t="str">
        <f>TEXT(ReconciliationData[[#This Row],[Order_Date]],"YYYY-MM")</f>
        <v>2023-07</v>
      </c>
    </row>
    <row r="2175" spans="1:29">
      <c r="A2175" t="s">
        <v>5528</v>
      </c>
      <c r="B2175" s="1">
        <v>45027</v>
      </c>
      <c r="C2175" t="s">
        <v>1811</v>
      </c>
      <c r="D2175" t="s">
        <v>533</v>
      </c>
      <c r="E2175">
        <v>118</v>
      </c>
      <c r="F2175" t="s">
        <v>5529</v>
      </c>
      <c r="G2175">
        <v>118</v>
      </c>
      <c r="H2175">
        <v>859.25750000000005</v>
      </c>
      <c r="I2175">
        <v>19</v>
      </c>
      <c r="J2175" s="1">
        <v>45647</v>
      </c>
      <c r="N2175">
        <v>859.25750000000005</v>
      </c>
      <c r="O2175" s="1">
        <v>44782</v>
      </c>
      <c r="P2175">
        <f>IF(ISBLANK(ReconciliationData[[#This Row],[Invoice_ID]]),1,0)</f>
        <v>0</v>
      </c>
      <c r="Q2175">
        <f>IF(AND(NOT(ISBLANK(ReconciliationData[[#This Row],[Billed_Units]])),ReconciliationData[[#This Row],[ordered_units]]&lt;&gt;ReconciliationData[[#This Row],[Billed_Units]]),1,0)</f>
        <v>0</v>
      </c>
      <c r="R21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5">
        <f>IF(AND(NOT(ISBLANK(ReconciliationData[[#This Row],[Contract_Price]])),ReconciliationData[[#This Row],[Billed_Price]]&lt;&gt;ReconciliationData[[#This Row],[Contract_Price]]),1,0)</f>
        <v>0</v>
      </c>
      <c r="T2175">
        <f>IF(AND(NOT(ISBLANK(ReconciliationData[[#This Row],[End_Date]])),ReconciliationData[[#This Row],[Order_Date]]&gt;ReconciliationData[[#This Row],[End_Date]]),1,0)</f>
        <v>0</v>
      </c>
      <c r="U2175">
        <f>IF(AND(NOT(ISBLANK(ReconciliationData[[#This Row],[last_return_date]])),ReconciliationData[[#This Row],[last_return_date]]&gt;ReconciliationData[[#This Row],[Order_Date]]+60),1,0)</f>
        <v>1</v>
      </c>
      <c r="V2175">
        <f>IF(ReconciliationData[[#This Row],[total_returned_units]]&gt;ReconciliationData[[#This Row],[ordered_units]],1,0)</f>
        <v>0</v>
      </c>
      <c r="W21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75">
        <f>ReconciliationData[[#This Row],[Billed_Units]]*ReconciliationData[[#This Row],[Billed_Price]]</f>
        <v>101392.38500000001</v>
      </c>
      <c r="Y2175">
        <f>ReconciliationData[[#This Row],[ordered_units]]*ReconciliationData[[#This Row],[List_Price]]</f>
        <v>101392.38500000001</v>
      </c>
      <c r="Z2175">
        <f>ReconciliationData[[#This Row],[billed_revenue]]-ReconciliationData[[#This Row],[expected_revenue]]</f>
        <v>0</v>
      </c>
      <c r="AA21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175" t="str">
        <f>IF(ReconciliationData[[#This Row],[severity_score]]=0,"LOW",
 IF(ReconciliationData[[#This Row],[severity_score]]&lt;=5,"MEDIUM","HIGH"))</f>
        <v>MEDIUM</v>
      </c>
      <c r="AC2175" t="str">
        <f>TEXT(ReconciliationData[[#This Row],[Order_Date]],"YYYY-MM")</f>
        <v>2023-04</v>
      </c>
    </row>
    <row r="2176" spans="1:29">
      <c r="A2176" t="s">
        <v>5530</v>
      </c>
      <c r="B2176" s="1">
        <v>45564</v>
      </c>
      <c r="C2176" t="s">
        <v>1345</v>
      </c>
      <c r="D2176" t="s">
        <v>378</v>
      </c>
      <c r="E2176">
        <v>28</v>
      </c>
      <c r="F2176" t="s">
        <v>5531</v>
      </c>
      <c r="G2176">
        <v>28</v>
      </c>
      <c r="H2176">
        <v>601.32929999999999</v>
      </c>
      <c r="N2176">
        <v>601.32929999999999</v>
      </c>
      <c r="O2176" s="1">
        <v>44962</v>
      </c>
      <c r="P2176">
        <f>IF(ISBLANK(ReconciliationData[[#This Row],[Invoice_ID]]),1,0)</f>
        <v>0</v>
      </c>
      <c r="Q2176">
        <f>IF(AND(NOT(ISBLANK(ReconciliationData[[#This Row],[Billed_Units]])),ReconciliationData[[#This Row],[ordered_units]]&lt;&gt;ReconciliationData[[#This Row],[Billed_Units]]),1,0)</f>
        <v>0</v>
      </c>
      <c r="R21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6">
        <f>IF(AND(NOT(ISBLANK(ReconciliationData[[#This Row],[Contract_Price]])),ReconciliationData[[#This Row],[Billed_Price]]&lt;&gt;ReconciliationData[[#This Row],[Contract_Price]]),1,0)</f>
        <v>0</v>
      </c>
      <c r="T2176">
        <f>IF(AND(NOT(ISBLANK(ReconciliationData[[#This Row],[End_Date]])),ReconciliationData[[#This Row],[Order_Date]]&gt;ReconciliationData[[#This Row],[End_Date]]),1,0)</f>
        <v>0</v>
      </c>
      <c r="U2176">
        <f>IF(AND(NOT(ISBLANK(ReconciliationData[[#This Row],[last_return_date]])),ReconciliationData[[#This Row],[last_return_date]]&gt;ReconciliationData[[#This Row],[Order_Date]]+60),1,0)</f>
        <v>0</v>
      </c>
      <c r="V2176">
        <f>IF(ReconciliationData[[#This Row],[total_returned_units]]&gt;ReconciliationData[[#This Row],[ordered_units]],1,0)</f>
        <v>0</v>
      </c>
      <c r="W21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76">
        <f>ReconciliationData[[#This Row],[Billed_Units]]*ReconciliationData[[#This Row],[Billed_Price]]</f>
        <v>16837.220399999998</v>
      </c>
      <c r="Y2176">
        <f>ReconciliationData[[#This Row],[ordered_units]]*ReconciliationData[[#This Row],[List_Price]]</f>
        <v>16837.220399999998</v>
      </c>
      <c r="Z2176">
        <f>ReconciliationData[[#This Row],[billed_revenue]]-ReconciliationData[[#This Row],[expected_revenue]]</f>
        <v>0</v>
      </c>
      <c r="AA21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76" t="str">
        <f>IF(ReconciliationData[[#This Row],[severity_score]]=0,"LOW",
 IF(ReconciliationData[[#This Row],[severity_score]]&lt;=5,"MEDIUM","HIGH"))</f>
        <v>LOW</v>
      </c>
      <c r="AC2176" t="str">
        <f>TEXT(ReconciliationData[[#This Row],[Order_Date]],"YYYY-MM")</f>
        <v>2024-09</v>
      </c>
    </row>
    <row r="2177" spans="1:29">
      <c r="A2177" t="s">
        <v>5532</v>
      </c>
      <c r="B2177" s="1">
        <v>44944</v>
      </c>
      <c r="C2177" t="s">
        <v>1478</v>
      </c>
      <c r="D2177" t="s">
        <v>345</v>
      </c>
      <c r="E2177">
        <v>177</v>
      </c>
      <c r="F2177" t="s">
        <v>5533</v>
      </c>
      <c r="G2177">
        <v>177</v>
      </c>
      <c r="H2177">
        <v>574.3415</v>
      </c>
      <c r="N2177">
        <v>574.3415</v>
      </c>
      <c r="O2177" s="1">
        <v>44806</v>
      </c>
      <c r="P2177">
        <f>IF(ISBLANK(ReconciliationData[[#This Row],[Invoice_ID]]),1,0)</f>
        <v>0</v>
      </c>
      <c r="Q2177">
        <f>IF(AND(NOT(ISBLANK(ReconciliationData[[#This Row],[Billed_Units]])),ReconciliationData[[#This Row],[ordered_units]]&lt;&gt;ReconciliationData[[#This Row],[Billed_Units]]),1,0)</f>
        <v>0</v>
      </c>
      <c r="R21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7">
        <f>IF(AND(NOT(ISBLANK(ReconciliationData[[#This Row],[Contract_Price]])),ReconciliationData[[#This Row],[Billed_Price]]&lt;&gt;ReconciliationData[[#This Row],[Contract_Price]]),1,0)</f>
        <v>0</v>
      </c>
      <c r="T2177">
        <f>IF(AND(NOT(ISBLANK(ReconciliationData[[#This Row],[End_Date]])),ReconciliationData[[#This Row],[Order_Date]]&gt;ReconciliationData[[#This Row],[End_Date]]),1,0)</f>
        <v>0</v>
      </c>
      <c r="U2177">
        <f>IF(AND(NOT(ISBLANK(ReconciliationData[[#This Row],[last_return_date]])),ReconciliationData[[#This Row],[last_return_date]]&gt;ReconciliationData[[#This Row],[Order_Date]]+60),1,0)</f>
        <v>0</v>
      </c>
      <c r="V2177">
        <f>IF(ReconciliationData[[#This Row],[total_returned_units]]&gt;ReconciliationData[[#This Row],[ordered_units]],1,0)</f>
        <v>0</v>
      </c>
      <c r="W21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77">
        <f>ReconciliationData[[#This Row],[Billed_Units]]*ReconciliationData[[#This Row],[Billed_Price]]</f>
        <v>101658.4455</v>
      </c>
      <c r="Y2177">
        <f>ReconciliationData[[#This Row],[ordered_units]]*ReconciliationData[[#This Row],[List_Price]]</f>
        <v>101658.4455</v>
      </c>
      <c r="Z2177">
        <f>ReconciliationData[[#This Row],[billed_revenue]]-ReconciliationData[[#This Row],[expected_revenue]]</f>
        <v>0</v>
      </c>
      <c r="AA21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77" t="str">
        <f>IF(ReconciliationData[[#This Row],[severity_score]]=0,"LOW",
 IF(ReconciliationData[[#This Row],[severity_score]]&lt;=5,"MEDIUM","HIGH"))</f>
        <v>LOW</v>
      </c>
      <c r="AC2177" t="str">
        <f>TEXT(ReconciliationData[[#This Row],[Order_Date]],"YYYY-MM")</f>
        <v>2023-01</v>
      </c>
    </row>
    <row r="2178" spans="1:29">
      <c r="A2178" t="s">
        <v>5534</v>
      </c>
      <c r="B2178" s="1">
        <v>45240</v>
      </c>
      <c r="C2178" t="s">
        <v>3664</v>
      </c>
      <c r="D2178" t="s">
        <v>2444</v>
      </c>
      <c r="E2178">
        <v>73</v>
      </c>
      <c r="F2178" t="s">
        <v>5535</v>
      </c>
      <c r="G2178">
        <v>73</v>
      </c>
      <c r="H2178">
        <v>797.23339999999996</v>
      </c>
      <c r="N2178">
        <v>797.23339999999996</v>
      </c>
      <c r="O2178" s="1">
        <v>45085</v>
      </c>
      <c r="P2178">
        <f>IF(ISBLANK(ReconciliationData[[#This Row],[Invoice_ID]]),1,0)</f>
        <v>0</v>
      </c>
      <c r="Q2178">
        <f>IF(AND(NOT(ISBLANK(ReconciliationData[[#This Row],[Billed_Units]])),ReconciliationData[[#This Row],[ordered_units]]&lt;&gt;ReconciliationData[[#This Row],[Billed_Units]]),1,0)</f>
        <v>0</v>
      </c>
      <c r="R21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8">
        <f>IF(AND(NOT(ISBLANK(ReconciliationData[[#This Row],[Contract_Price]])),ReconciliationData[[#This Row],[Billed_Price]]&lt;&gt;ReconciliationData[[#This Row],[Contract_Price]]),1,0)</f>
        <v>0</v>
      </c>
      <c r="T2178">
        <f>IF(AND(NOT(ISBLANK(ReconciliationData[[#This Row],[End_Date]])),ReconciliationData[[#This Row],[Order_Date]]&gt;ReconciliationData[[#This Row],[End_Date]]),1,0)</f>
        <v>0</v>
      </c>
      <c r="U2178">
        <f>IF(AND(NOT(ISBLANK(ReconciliationData[[#This Row],[last_return_date]])),ReconciliationData[[#This Row],[last_return_date]]&gt;ReconciliationData[[#This Row],[Order_Date]]+60),1,0)</f>
        <v>0</v>
      </c>
      <c r="V2178">
        <f>IF(ReconciliationData[[#This Row],[total_returned_units]]&gt;ReconciliationData[[#This Row],[ordered_units]],1,0)</f>
        <v>0</v>
      </c>
      <c r="W21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78">
        <f>ReconciliationData[[#This Row],[Billed_Units]]*ReconciliationData[[#This Row],[Billed_Price]]</f>
        <v>58198.038199999995</v>
      </c>
      <c r="Y2178">
        <f>ReconciliationData[[#This Row],[ordered_units]]*ReconciliationData[[#This Row],[List_Price]]</f>
        <v>58198.038199999995</v>
      </c>
      <c r="Z2178">
        <f>ReconciliationData[[#This Row],[billed_revenue]]-ReconciliationData[[#This Row],[expected_revenue]]</f>
        <v>0</v>
      </c>
      <c r="AA21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78" t="str">
        <f>IF(ReconciliationData[[#This Row],[severity_score]]=0,"LOW",
 IF(ReconciliationData[[#This Row],[severity_score]]&lt;=5,"MEDIUM","HIGH"))</f>
        <v>LOW</v>
      </c>
      <c r="AC2178" t="str">
        <f>TEXT(ReconciliationData[[#This Row],[Order_Date]],"YYYY-MM")</f>
        <v>2023-11</v>
      </c>
    </row>
    <row r="2179" spans="1:29">
      <c r="A2179" t="s">
        <v>5536</v>
      </c>
      <c r="B2179" s="1">
        <v>44971</v>
      </c>
      <c r="C2179" t="s">
        <v>4878</v>
      </c>
      <c r="D2179" t="s">
        <v>1411</v>
      </c>
      <c r="E2179">
        <v>59</v>
      </c>
      <c r="F2179" t="s">
        <v>5537</v>
      </c>
      <c r="G2179">
        <v>59</v>
      </c>
      <c r="H2179">
        <v>1092.2140000000002</v>
      </c>
      <c r="N2179">
        <v>1092.2140000000002</v>
      </c>
      <c r="O2179" s="1">
        <v>44811</v>
      </c>
      <c r="P2179">
        <f>IF(ISBLANK(ReconciliationData[[#This Row],[Invoice_ID]]),1,0)</f>
        <v>0</v>
      </c>
      <c r="Q2179">
        <f>IF(AND(NOT(ISBLANK(ReconciliationData[[#This Row],[Billed_Units]])),ReconciliationData[[#This Row],[ordered_units]]&lt;&gt;ReconciliationData[[#This Row],[Billed_Units]]),1,0)</f>
        <v>0</v>
      </c>
      <c r="R21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79">
        <f>IF(AND(NOT(ISBLANK(ReconciliationData[[#This Row],[Contract_Price]])),ReconciliationData[[#This Row],[Billed_Price]]&lt;&gt;ReconciliationData[[#This Row],[Contract_Price]]),1,0)</f>
        <v>0</v>
      </c>
      <c r="T2179">
        <f>IF(AND(NOT(ISBLANK(ReconciliationData[[#This Row],[End_Date]])),ReconciliationData[[#This Row],[Order_Date]]&gt;ReconciliationData[[#This Row],[End_Date]]),1,0)</f>
        <v>0</v>
      </c>
      <c r="U2179">
        <f>IF(AND(NOT(ISBLANK(ReconciliationData[[#This Row],[last_return_date]])),ReconciliationData[[#This Row],[last_return_date]]&gt;ReconciliationData[[#This Row],[Order_Date]]+60),1,0)</f>
        <v>0</v>
      </c>
      <c r="V2179">
        <f>IF(ReconciliationData[[#This Row],[total_returned_units]]&gt;ReconciliationData[[#This Row],[ordered_units]],1,0)</f>
        <v>0</v>
      </c>
      <c r="W21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79">
        <f>ReconciliationData[[#This Row],[Billed_Units]]*ReconciliationData[[#This Row],[Billed_Price]]</f>
        <v>64440.626000000011</v>
      </c>
      <c r="Y2179">
        <f>ReconciliationData[[#This Row],[ordered_units]]*ReconciliationData[[#This Row],[List_Price]]</f>
        <v>64440.626000000011</v>
      </c>
      <c r="Z2179">
        <f>ReconciliationData[[#This Row],[billed_revenue]]-ReconciliationData[[#This Row],[expected_revenue]]</f>
        <v>0</v>
      </c>
      <c r="AA21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79" t="str">
        <f>IF(ReconciliationData[[#This Row],[severity_score]]=0,"LOW",
 IF(ReconciliationData[[#This Row],[severity_score]]&lt;=5,"MEDIUM","HIGH"))</f>
        <v>LOW</v>
      </c>
      <c r="AC2179" t="str">
        <f>TEXT(ReconciliationData[[#This Row],[Order_Date]],"YYYY-MM")</f>
        <v>2023-02</v>
      </c>
    </row>
    <row r="2180" spans="1:29">
      <c r="A2180" t="s">
        <v>5538</v>
      </c>
      <c r="B2180" s="1">
        <v>45001</v>
      </c>
      <c r="C2180" t="s">
        <v>1588</v>
      </c>
      <c r="D2180" t="s">
        <v>1933</v>
      </c>
      <c r="E2180">
        <v>107</v>
      </c>
      <c r="F2180" t="s">
        <v>5539</v>
      </c>
      <c r="G2180">
        <v>107</v>
      </c>
      <c r="H2180">
        <v>582.8152</v>
      </c>
      <c r="N2180">
        <v>582.8152</v>
      </c>
      <c r="O2180" s="1">
        <v>44834</v>
      </c>
      <c r="P2180">
        <f>IF(ISBLANK(ReconciliationData[[#This Row],[Invoice_ID]]),1,0)</f>
        <v>0</v>
      </c>
      <c r="Q2180">
        <f>IF(AND(NOT(ISBLANK(ReconciliationData[[#This Row],[Billed_Units]])),ReconciliationData[[#This Row],[ordered_units]]&lt;&gt;ReconciliationData[[#This Row],[Billed_Units]]),1,0)</f>
        <v>0</v>
      </c>
      <c r="R21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0">
        <f>IF(AND(NOT(ISBLANK(ReconciliationData[[#This Row],[Contract_Price]])),ReconciliationData[[#This Row],[Billed_Price]]&lt;&gt;ReconciliationData[[#This Row],[Contract_Price]]),1,0)</f>
        <v>0</v>
      </c>
      <c r="T2180">
        <f>IF(AND(NOT(ISBLANK(ReconciliationData[[#This Row],[End_Date]])),ReconciliationData[[#This Row],[Order_Date]]&gt;ReconciliationData[[#This Row],[End_Date]]),1,0)</f>
        <v>0</v>
      </c>
      <c r="U2180">
        <f>IF(AND(NOT(ISBLANK(ReconciliationData[[#This Row],[last_return_date]])),ReconciliationData[[#This Row],[last_return_date]]&gt;ReconciliationData[[#This Row],[Order_Date]]+60),1,0)</f>
        <v>0</v>
      </c>
      <c r="V2180">
        <f>IF(ReconciliationData[[#This Row],[total_returned_units]]&gt;ReconciliationData[[#This Row],[ordered_units]],1,0)</f>
        <v>0</v>
      </c>
      <c r="W21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80">
        <f>ReconciliationData[[#This Row],[Billed_Units]]*ReconciliationData[[#This Row],[Billed_Price]]</f>
        <v>62361.2264</v>
      </c>
      <c r="Y2180">
        <f>ReconciliationData[[#This Row],[ordered_units]]*ReconciliationData[[#This Row],[List_Price]]</f>
        <v>62361.2264</v>
      </c>
      <c r="Z2180">
        <f>ReconciliationData[[#This Row],[billed_revenue]]-ReconciliationData[[#This Row],[expected_revenue]]</f>
        <v>0</v>
      </c>
      <c r="AA21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80" t="str">
        <f>IF(ReconciliationData[[#This Row],[severity_score]]=0,"LOW",
 IF(ReconciliationData[[#This Row],[severity_score]]&lt;=5,"MEDIUM","HIGH"))</f>
        <v>LOW</v>
      </c>
      <c r="AC2180" t="str">
        <f>TEXT(ReconciliationData[[#This Row],[Order_Date]],"YYYY-MM")</f>
        <v>2023-03</v>
      </c>
    </row>
    <row r="2181" spans="1:29">
      <c r="A2181" t="s">
        <v>5540</v>
      </c>
      <c r="B2181" s="1">
        <v>45295</v>
      </c>
      <c r="C2181" t="s">
        <v>467</v>
      </c>
      <c r="D2181" t="s">
        <v>1362</v>
      </c>
      <c r="E2181">
        <v>118</v>
      </c>
      <c r="F2181" t="s">
        <v>5541</v>
      </c>
      <c r="G2181">
        <v>118</v>
      </c>
      <c r="H2181">
        <v>82.749600000000015</v>
      </c>
      <c r="N2181">
        <v>82.749600000000015</v>
      </c>
      <c r="O2181" s="1">
        <v>45068</v>
      </c>
      <c r="P2181">
        <f>IF(ISBLANK(ReconciliationData[[#This Row],[Invoice_ID]]),1,0)</f>
        <v>0</v>
      </c>
      <c r="Q2181">
        <f>IF(AND(NOT(ISBLANK(ReconciliationData[[#This Row],[Billed_Units]])),ReconciliationData[[#This Row],[ordered_units]]&lt;&gt;ReconciliationData[[#This Row],[Billed_Units]]),1,0)</f>
        <v>0</v>
      </c>
      <c r="R21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1">
        <f>IF(AND(NOT(ISBLANK(ReconciliationData[[#This Row],[Contract_Price]])),ReconciliationData[[#This Row],[Billed_Price]]&lt;&gt;ReconciliationData[[#This Row],[Contract_Price]]),1,0)</f>
        <v>0</v>
      </c>
      <c r="T2181">
        <f>IF(AND(NOT(ISBLANK(ReconciliationData[[#This Row],[End_Date]])),ReconciliationData[[#This Row],[Order_Date]]&gt;ReconciliationData[[#This Row],[End_Date]]),1,0)</f>
        <v>0</v>
      </c>
      <c r="U2181">
        <f>IF(AND(NOT(ISBLANK(ReconciliationData[[#This Row],[last_return_date]])),ReconciliationData[[#This Row],[last_return_date]]&gt;ReconciliationData[[#This Row],[Order_Date]]+60),1,0)</f>
        <v>0</v>
      </c>
      <c r="V2181">
        <f>IF(ReconciliationData[[#This Row],[total_returned_units]]&gt;ReconciliationData[[#This Row],[ordered_units]],1,0)</f>
        <v>0</v>
      </c>
      <c r="W21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81">
        <f>ReconciliationData[[#This Row],[Billed_Units]]*ReconciliationData[[#This Row],[Billed_Price]]</f>
        <v>9764.4528000000009</v>
      </c>
      <c r="Y2181">
        <f>ReconciliationData[[#This Row],[ordered_units]]*ReconciliationData[[#This Row],[List_Price]]</f>
        <v>9764.4528000000009</v>
      </c>
      <c r="Z2181">
        <f>ReconciliationData[[#This Row],[billed_revenue]]-ReconciliationData[[#This Row],[expected_revenue]]</f>
        <v>0</v>
      </c>
      <c r="AA21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81" t="str">
        <f>IF(ReconciliationData[[#This Row],[severity_score]]=0,"LOW",
 IF(ReconciliationData[[#This Row],[severity_score]]&lt;=5,"MEDIUM","HIGH"))</f>
        <v>LOW</v>
      </c>
      <c r="AC2181" t="str">
        <f>TEXT(ReconciliationData[[#This Row],[Order_Date]],"YYYY-MM")</f>
        <v>2024-01</v>
      </c>
    </row>
    <row r="2182" spans="1:29">
      <c r="A2182" t="s">
        <v>5542</v>
      </c>
      <c r="B2182" s="1">
        <v>45450</v>
      </c>
      <c r="C2182" t="s">
        <v>781</v>
      </c>
      <c r="D2182" t="s">
        <v>263</v>
      </c>
      <c r="E2182">
        <v>165</v>
      </c>
      <c r="F2182" t="s">
        <v>5543</v>
      </c>
      <c r="G2182">
        <v>165</v>
      </c>
      <c r="H2182">
        <v>1147.3289</v>
      </c>
      <c r="N2182">
        <v>1147.3289</v>
      </c>
      <c r="O2182" s="1">
        <v>44945</v>
      </c>
      <c r="P2182">
        <f>IF(ISBLANK(ReconciliationData[[#This Row],[Invoice_ID]]),1,0)</f>
        <v>0</v>
      </c>
      <c r="Q2182">
        <f>IF(AND(NOT(ISBLANK(ReconciliationData[[#This Row],[Billed_Units]])),ReconciliationData[[#This Row],[ordered_units]]&lt;&gt;ReconciliationData[[#This Row],[Billed_Units]]),1,0)</f>
        <v>0</v>
      </c>
      <c r="R21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2">
        <f>IF(AND(NOT(ISBLANK(ReconciliationData[[#This Row],[Contract_Price]])),ReconciliationData[[#This Row],[Billed_Price]]&lt;&gt;ReconciliationData[[#This Row],[Contract_Price]]),1,0)</f>
        <v>0</v>
      </c>
      <c r="T2182">
        <f>IF(AND(NOT(ISBLANK(ReconciliationData[[#This Row],[End_Date]])),ReconciliationData[[#This Row],[Order_Date]]&gt;ReconciliationData[[#This Row],[End_Date]]),1,0)</f>
        <v>0</v>
      </c>
      <c r="U2182">
        <f>IF(AND(NOT(ISBLANK(ReconciliationData[[#This Row],[last_return_date]])),ReconciliationData[[#This Row],[last_return_date]]&gt;ReconciliationData[[#This Row],[Order_Date]]+60),1,0)</f>
        <v>0</v>
      </c>
      <c r="V2182">
        <f>IF(ReconciliationData[[#This Row],[total_returned_units]]&gt;ReconciliationData[[#This Row],[ordered_units]],1,0)</f>
        <v>0</v>
      </c>
      <c r="W21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82">
        <f>ReconciliationData[[#This Row],[Billed_Units]]*ReconciliationData[[#This Row],[Billed_Price]]</f>
        <v>189309.26850000001</v>
      </c>
      <c r="Y2182">
        <f>ReconciliationData[[#This Row],[ordered_units]]*ReconciliationData[[#This Row],[List_Price]]</f>
        <v>189309.26850000001</v>
      </c>
      <c r="Z2182">
        <f>ReconciliationData[[#This Row],[billed_revenue]]-ReconciliationData[[#This Row],[expected_revenue]]</f>
        <v>0</v>
      </c>
      <c r="AA21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82" t="str">
        <f>IF(ReconciliationData[[#This Row],[severity_score]]=0,"LOW",
 IF(ReconciliationData[[#This Row],[severity_score]]&lt;=5,"MEDIUM","HIGH"))</f>
        <v>LOW</v>
      </c>
      <c r="AC2182" t="str">
        <f>TEXT(ReconciliationData[[#This Row],[Order_Date]],"YYYY-MM")</f>
        <v>2024-06</v>
      </c>
    </row>
    <row r="2183" spans="1:29">
      <c r="A2183" t="s">
        <v>5544</v>
      </c>
      <c r="B2183" s="1">
        <v>45609</v>
      </c>
      <c r="C2183" t="s">
        <v>2678</v>
      </c>
      <c r="D2183" t="s">
        <v>684</v>
      </c>
      <c r="E2183">
        <v>40</v>
      </c>
      <c r="F2183" t="s">
        <v>5545</v>
      </c>
      <c r="G2183">
        <v>40</v>
      </c>
      <c r="H2183">
        <v>75.620999999999995</v>
      </c>
      <c r="N2183">
        <v>75.620999999999995</v>
      </c>
      <c r="O2183" s="1">
        <v>45108</v>
      </c>
      <c r="P2183">
        <f>IF(ISBLANK(ReconciliationData[[#This Row],[Invoice_ID]]),1,0)</f>
        <v>0</v>
      </c>
      <c r="Q2183">
        <f>IF(AND(NOT(ISBLANK(ReconciliationData[[#This Row],[Billed_Units]])),ReconciliationData[[#This Row],[ordered_units]]&lt;&gt;ReconciliationData[[#This Row],[Billed_Units]]),1,0)</f>
        <v>0</v>
      </c>
      <c r="R21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3">
        <f>IF(AND(NOT(ISBLANK(ReconciliationData[[#This Row],[Contract_Price]])),ReconciliationData[[#This Row],[Billed_Price]]&lt;&gt;ReconciliationData[[#This Row],[Contract_Price]]),1,0)</f>
        <v>0</v>
      </c>
      <c r="T2183">
        <f>IF(AND(NOT(ISBLANK(ReconciliationData[[#This Row],[End_Date]])),ReconciliationData[[#This Row],[Order_Date]]&gt;ReconciliationData[[#This Row],[End_Date]]),1,0)</f>
        <v>0</v>
      </c>
      <c r="U2183">
        <f>IF(AND(NOT(ISBLANK(ReconciliationData[[#This Row],[last_return_date]])),ReconciliationData[[#This Row],[last_return_date]]&gt;ReconciliationData[[#This Row],[Order_Date]]+60),1,0)</f>
        <v>0</v>
      </c>
      <c r="V2183">
        <f>IF(ReconciliationData[[#This Row],[total_returned_units]]&gt;ReconciliationData[[#This Row],[ordered_units]],1,0)</f>
        <v>0</v>
      </c>
      <c r="W21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83">
        <f>ReconciliationData[[#This Row],[Billed_Units]]*ReconciliationData[[#This Row],[Billed_Price]]</f>
        <v>3024.8399999999997</v>
      </c>
      <c r="Y2183">
        <f>ReconciliationData[[#This Row],[ordered_units]]*ReconciliationData[[#This Row],[List_Price]]</f>
        <v>3024.8399999999997</v>
      </c>
      <c r="Z2183">
        <f>ReconciliationData[[#This Row],[billed_revenue]]-ReconciliationData[[#This Row],[expected_revenue]]</f>
        <v>0</v>
      </c>
      <c r="AA21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83" t="str">
        <f>IF(ReconciliationData[[#This Row],[severity_score]]=0,"LOW",
 IF(ReconciliationData[[#This Row],[severity_score]]&lt;=5,"MEDIUM","HIGH"))</f>
        <v>LOW</v>
      </c>
      <c r="AC2183" t="str">
        <f>TEXT(ReconciliationData[[#This Row],[Order_Date]],"YYYY-MM")</f>
        <v>2024-11</v>
      </c>
    </row>
    <row r="2184" spans="1:29">
      <c r="A2184" t="s">
        <v>5546</v>
      </c>
      <c r="B2184" s="1">
        <v>45583</v>
      </c>
      <c r="C2184" t="s">
        <v>456</v>
      </c>
      <c r="D2184" t="s">
        <v>275</v>
      </c>
      <c r="E2184">
        <v>104</v>
      </c>
      <c r="F2184" t="s">
        <v>5547</v>
      </c>
      <c r="G2184">
        <v>104</v>
      </c>
      <c r="H2184">
        <v>397.19560000000001</v>
      </c>
      <c r="N2184">
        <v>397.19560000000001</v>
      </c>
      <c r="O2184" s="1">
        <v>44932</v>
      </c>
      <c r="P2184">
        <f>IF(ISBLANK(ReconciliationData[[#This Row],[Invoice_ID]]),1,0)</f>
        <v>0</v>
      </c>
      <c r="Q2184">
        <f>IF(AND(NOT(ISBLANK(ReconciliationData[[#This Row],[Billed_Units]])),ReconciliationData[[#This Row],[ordered_units]]&lt;&gt;ReconciliationData[[#This Row],[Billed_Units]]),1,0)</f>
        <v>0</v>
      </c>
      <c r="R21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4">
        <f>IF(AND(NOT(ISBLANK(ReconciliationData[[#This Row],[Contract_Price]])),ReconciliationData[[#This Row],[Billed_Price]]&lt;&gt;ReconciliationData[[#This Row],[Contract_Price]]),1,0)</f>
        <v>0</v>
      </c>
      <c r="T2184">
        <f>IF(AND(NOT(ISBLANK(ReconciliationData[[#This Row],[End_Date]])),ReconciliationData[[#This Row],[Order_Date]]&gt;ReconciliationData[[#This Row],[End_Date]]),1,0)</f>
        <v>0</v>
      </c>
      <c r="U2184">
        <f>IF(AND(NOT(ISBLANK(ReconciliationData[[#This Row],[last_return_date]])),ReconciliationData[[#This Row],[last_return_date]]&gt;ReconciliationData[[#This Row],[Order_Date]]+60),1,0)</f>
        <v>0</v>
      </c>
      <c r="V2184">
        <f>IF(ReconciliationData[[#This Row],[total_returned_units]]&gt;ReconciliationData[[#This Row],[ordered_units]],1,0)</f>
        <v>0</v>
      </c>
      <c r="W21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84">
        <f>ReconciliationData[[#This Row],[Billed_Units]]*ReconciliationData[[#This Row],[Billed_Price]]</f>
        <v>41308.342400000001</v>
      </c>
      <c r="Y2184">
        <f>ReconciliationData[[#This Row],[ordered_units]]*ReconciliationData[[#This Row],[List_Price]]</f>
        <v>41308.342400000001</v>
      </c>
      <c r="Z2184">
        <f>ReconciliationData[[#This Row],[billed_revenue]]-ReconciliationData[[#This Row],[expected_revenue]]</f>
        <v>0</v>
      </c>
      <c r="AA21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84" t="str">
        <f>IF(ReconciliationData[[#This Row],[severity_score]]=0,"LOW",
 IF(ReconciliationData[[#This Row],[severity_score]]&lt;=5,"MEDIUM","HIGH"))</f>
        <v>LOW</v>
      </c>
      <c r="AC2184" t="str">
        <f>TEXT(ReconciliationData[[#This Row],[Order_Date]],"YYYY-MM")</f>
        <v>2024-10</v>
      </c>
    </row>
    <row r="2185" spans="1:29">
      <c r="A2185" t="s">
        <v>5548</v>
      </c>
      <c r="B2185" s="1">
        <v>45425</v>
      </c>
      <c r="C2185" t="s">
        <v>1651</v>
      </c>
      <c r="D2185" t="s">
        <v>3256</v>
      </c>
      <c r="E2185">
        <v>145</v>
      </c>
      <c r="F2185" t="s">
        <v>5549</v>
      </c>
      <c r="G2185">
        <v>145</v>
      </c>
      <c r="H2185">
        <v>1159.732</v>
      </c>
      <c r="N2185">
        <v>1159.732</v>
      </c>
      <c r="O2185" s="1">
        <v>45032</v>
      </c>
      <c r="P2185">
        <f>IF(ISBLANK(ReconciliationData[[#This Row],[Invoice_ID]]),1,0)</f>
        <v>0</v>
      </c>
      <c r="Q2185">
        <f>IF(AND(NOT(ISBLANK(ReconciliationData[[#This Row],[Billed_Units]])),ReconciliationData[[#This Row],[ordered_units]]&lt;&gt;ReconciliationData[[#This Row],[Billed_Units]]),1,0)</f>
        <v>0</v>
      </c>
      <c r="R21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5">
        <f>IF(AND(NOT(ISBLANK(ReconciliationData[[#This Row],[Contract_Price]])),ReconciliationData[[#This Row],[Billed_Price]]&lt;&gt;ReconciliationData[[#This Row],[Contract_Price]]),1,0)</f>
        <v>0</v>
      </c>
      <c r="T2185">
        <f>IF(AND(NOT(ISBLANK(ReconciliationData[[#This Row],[End_Date]])),ReconciliationData[[#This Row],[Order_Date]]&gt;ReconciliationData[[#This Row],[End_Date]]),1,0)</f>
        <v>0</v>
      </c>
      <c r="U2185">
        <f>IF(AND(NOT(ISBLANK(ReconciliationData[[#This Row],[last_return_date]])),ReconciliationData[[#This Row],[last_return_date]]&gt;ReconciliationData[[#This Row],[Order_Date]]+60),1,0)</f>
        <v>0</v>
      </c>
      <c r="V2185">
        <f>IF(ReconciliationData[[#This Row],[total_returned_units]]&gt;ReconciliationData[[#This Row],[ordered_units]],1,0)</f>
        <v>0</v>
      </c>
      <c r="W21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85">
        <f>ReconciliationData[[#This Row],[Billed_Units]]*ReconciliationData[[#This Row],[Billed_Price]]</f>
        <v>168161.13999999998</v>
      </c>
      <c r="Y2185">
        <f>ReconciliationData[[#This Row],[ordered_units]]*ReconciliationData[[#This Row],[List_Price]]</f>
        <v>168161.13999999998</v>
      </c>
      <c r="Z2185">
        <f>ReconciliationData[[#This Row],[billed_revenue]]-ReconciliationData[[#This Row],[expected_revenue]]</f>
        <v>0</v>
      </c>
      <c r="AA21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85" t="str">
        <f>IF(ReconciliationData[[#This Row],[severity_score]]=0,"LOW",
 IF(ReconciliationData[[#This Row],[severity_score]]&lt;=5,"MEDIUM","HIGH"))</f>
        <v>LOW</v>
      </c>
      <c r="AC2185" t="str">
        <f>TEXT(ReconciliationData[[#This Row],[Order_Date]],"YYYY-MM")</f>
        <v>2024-05</v>
      </c>
    </row>
    <row r="2186" spans="1:29">
      <c r="A2186" t="s">
        <v>5550</v>
      </c>
      <c r="B2186" s="1">
        <v>45610</v>
      </c>
      <c r="C2186" t="s">
        <v>3011</v>
      </c>
      <c r="D2186" t="s">
        <v>370</v>
      </c>
      <c r="E2186">
        <v>101</v>
      </c>
      <c r="F2186" t="s">
        <v>5551</v>
      </c>
      <c r="G2186">
        <v>101</v>
      </c>
      <c r="H2186">
        <v>639.91840000000002</v>
      </c>
      <c r="N2186">
        <v>639.91840000000002</v>
      </c>
      <c r="O2186" s="1">
        <v>44930</v>
      </c>
      <c r="P2186">
        <f>IF(ISBLANK(ReconciliationData[[#This Row],[Invoice_ID]]),1,0)</f>
        <v>0</v>
      </c>
      <c r="Q2186">
        <f>IF(AND(NOT(ISBLANK(ReconciliationData[[#This Row],[Billed_Units]])),ReconciliationData[[#This Row],[ordered_units]]&lt;&gt;ReconciliationData[[#This Row],[Billed_Units]]),1,0)</f>
        <v>0</v>
      </c>
      <c r="R21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6">
        <f>IF(AND(NOT(ISBLANK(ReconciliationData[[#This Row],[Contract_Price]])),ReconciliationData[[#This Row],[Billed_Price]]&lt;&gt;ReconciliationData[[#This Row],[Contract_Price]]),1,0)</f>
        <v>0</v>
      </c>
      <c r="T2186">
        <f>IF(AND(NOT(ISBLANK(ReconciliationData[[#This Row],[End_Date]])),ReconciliationData[[#This Row],[Order_Date]]&gt;ReconciliationData[[#This Row],[End_Date]]),1,0)</f>
        <v>0</v>
      </c>
      <c r="U2186">
        <f>IF(AND(NOT(ISBLANK(ReconciliationData[[#This Row],[last_return_date]])),ReconciliationData[[#This Row],[last_return_date]]&gt;ReconciliationData[[#This Row],[Order_Date]]+60),1,0)</f>
        <v>0</v>
      </c>
      <c r="V2186">
        <f>IF(ReconciliationData[[#This Row],[total_returned_units]]&gt;ReconciliationData[[#This Row],[ordered_units]],1,0)</f>
        <v>0</v>
      </c>
      <c r="W21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86">
        <f>ReconciliationData[[#This Row],[Billed_Units]]*ReconciliationData[[#This Row],[Billed_Price]]</f>
        <v>64631.758399999999</v>
      </c>
      <c r="Y2186">
        <f>ReconciliationData[[#This Row],[ordered_units]]*ReconciliationData[[#This Row],[List_Price]]</f>
        <v>64631.758399999999</v>
      </c>
      <c r="Z2186">
        <f>ReconciliationData[[#This Row],[billed_revenue]]-ReconciliationData[[#This Row],[expected_revenue]]</f>
        <v>0</v>
      </c>
      <c r="AA21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86" t="str">
        <f>IF(ReconciliationData[[#This Row],[severity_score]]=0,"LOW",
 IF(ReconciliationData[[#This Row],[severity_score]]&lt;=5,"MEDIUM","HIGH"))</f>
        <v>LOW</v>
      </c>
      <c r="AC2186" t="str">
        <f>TEXT(ReconciliationData[[#This Row],[Order_Date]],"YYYY-MM")</f>
        <v>2024-11</v>
      </c>
    </row>
    <row r="2187" spans="1:29">
      <c r="A2187" t="s">
        <v>5552</v>
      </c>
      <c r="B2187" s="1">
        <v>45271</v>
      </c>
      <c r="C2187" t="s">
        <v>2619</v>
      </c>
      <c r="D2187" t="s">
        <v>504</v>
      </c>
      <c r="E2187">
        <v>10</v>
      </c>
      <c r="F2187" t="s">
        <v>5553</v>
      </c>
      <c r="G2187">
        <v>10</v>
      </c>
      <c r="H2187">
        <v>245.8853</v>
      </c>
      <c r="N2187">
        <v>245.8853</v>
      </c>
      <c r="O2187" s="1">
        <v>45025</v>
      </c>
      <c r="P2187">
        <f>IF(ISBLANK(ReconciliationData[[#This Row],[Invoice_ID]]),1,0)</f>
        <v>0</v>
      </c>
      <c r="Q2187">
        <f>IF(AND(NOT(ISBLANK(ReconciliationData[[#This Row],[Billed_Units]])),ReconciliationData[[#This Row],[ordered_units]]&lt;&gt;ReconciliationData[[#This Row],[Billed_Units]]),1,0)</f>
        <v>0</v>
      </c>
      <c r="R21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7">
        <f>IF(AND(NOT(ISBLANK(ReconciliationData[[#This Row],[Contract_Price]])),ReconciliationData[[#This Row],[Billed_Price]]&lt;&gt;ReconciliationData[[#This Row],[Contract_Price]]),1,0)</f>
        <v>0</v>
      </c>
      <c r="T2187">
        <f>IF(AND(NOT(ISBLANK(ReconciliationData[[#This Row],[End_Date]])),ReconciliationData[[#This Row],[Order_Date]]&gt;ReconciliationData[[#This Row],[End_Date]]),1,0)</f>
        <v>0</v>
      </c>
      <c r="U2187">
        <f>IF(AND(NOT(ISBLANK(ReconciliationData[[#This Row],[last_return_date]])),ReconciliationData[[#This Row],[last_return_date]]&gt;ReconciliationData[[#This Row],[Order_Date]]+60),1,0)</f>
        <v>0</v>
      </c>
      <c r="V2187">
        <f>IF(ReconciliationData[[#This Row],[total_returned_units]]&gt;ReconciliationData[[#This Row],[ordered_units]],1,0)</f>
        <v>0</v>
      </c>
      <c r="W21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87">
        <f>ReconciliationData[[#This Row],[Billed_Units]]*ReconciliationData[[#This Row],[Billed_Price]]</f>
        <v>2458.8530000000001</v>
      </c>
      <c r="Y2187">
        <f>ReconciliationData[[#This Row],[ordered_units]]*ReconciliationData[[#This Row],[List_Price]]</f>
        <v>2458.8530000000001</v>
      </c>
      <c r="Z2187">
        <f>ReconciliationData[[#This Row],[billed_revenue]]-ReconciliationData[[#This Row],[expected_revenue]]</f>
        <v>0</v>
      </c>
      <c r="AA21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87" t="str">
        <f>IF(ReconciliationData[[#This Row],[severity_score]]=0,"LOW",
 IF(ReconciliationData[[#This Row],[severity_score]]&lt;=5,"MEDIUM","HIGH"))</f>
        <v>LOW</v>
      </c>
      <c r="AC2187" t="str">
        <f>TEXT(ReconciliationData[[#This Row],[Order_Date]],"YYYY-MM")</f>
        <v>2023-12</v>
      </c>
    </row>
    <row r="2188" spans="1:29">
      <c r="A2188" t="s">
        <v>5554</v>
      </c>
      <c r="B2188" s="1">
        <v>45441</v>
      </c>
      <c r="C2188" t="s">
        <v>3337</v>
      </c>
      <c r="D2188" t="s">
        <v>212</v>
      </c>
      <c r="E2188">
        <v>61</v>
      </c>
      <c r="F2188" t="s">
        <v>5555</v>
      </c>
      <c r="G2188">
        <v>65</v>
      </c>
      <c r="H2188">
        <v>833.41650000000004</v>
      </c>
      <c r="N2188">
        <v>833.41650000000004</v>
      </c>
      <c r="O2188" s="1">
        <v>45194</v>
      </c>
      <c r="P2188">
        <f>IF(ISBLANK(ReconciliationData[[#This Row],[Invoice_ID]]),1,0)</f>
        <v>0</v>
      </c>
      <c r="Q2188">
        <f>IF(AND(NOT(ISBLANK(ReconciliationData[[#This Row],[Billed_Units]])),ReconciliationData[[#This Row],[ordered_units]]&lt;&gt;ReconciliationData[[#This Row],[Billed_Units]]),1,0)</f>
        <v>1</v>
      </c>
      <c r="R21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8">
        <f>IF(AND(NOT(ISBLANK(ReconciliationData[[#This Row],[Contract_Price]])),ReconciliationData[[#This Row],[Billed_Price]]&lt;&gt;ReconciliationData[[#This Row],[Contract_Price]]),1,0)</f>
        <v>0</v>
      </c>
      <c r="T2188">
        <f>IF(AND(NOT(ISBLANK(ReconciliationData[[#This Row],[End_Date]])),ReconciliationData[[#This Row],[Order_Date]]&gt;ReconciliationData[[#This Row],[End_Date]]),1,0)</f>
        <v>0</v>
      </c>
      <c r="U2188">
        <f>IF(AND(NOT(ISBLANK(ReconciliationData[[#This Row],[last_return_date]])),ReconciliationData[[#This Row],[last_return_date]]&gt;ReconciliationData[[#This Row],[Order_Date]]+60),1,0)</f>
        <v>0</v>
      </c>
      <c r="V2188">
        <f>IF(ReconciliationData[[#This Row],[total_returned_units]]&gt;ReconciliationData[[#This Row],[ordered_units]],1,0)</f>
        <v>0</v>
      </c>
      <c r="W21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88">
        <f>ReconciliationData[[#This Row],[Billed_Units]]*ReconciliationData[[#This Row],[Billed_Price]]</f>
        <v>54172.072500000002</v>
      </c>
      <c r="Y2188">
        <f>ReconciliationData[[#This Row],[ordered_units]]*ReconciliationData[[#This Row],[List_Price]]</f>
        <v>50838.406500000005</v>
      </c>
      <c r="Z2188">
        <f>ReconciliationData[[#This Row],[billed_revenue]]-ReconciliationData[[#This Row],[expected_revenue]]</f>
        <v>3333.6659999999974</v>
      </c>
      <c r="AA21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188" t="str">
        <f>IF(ReconciliationData[[#This Row],[severity_score]]=0,"LOW",
 IF(ReconciliationData[[#This Row],[severity_score]]&lt;=5,"MEDIUM","HIGH"))</f>
        <v>HIGH</v>
      </c>
      <c r="AC2188" t="str">
        <f>TEXT(ReconciliationData[[#This Row],[Order_Date]],"YYYY-MM")</f>
        <v>2024-05</v>
      </c>
    </row>
    <row r="2189" spans="1:29">
      <c r="A2189" t="s">
        <v>5556</v>
      </c>
      <c r="B2189" s="1">
        <v>45643</v>
      </c>
      <c r="C2189" t="s">
        <v>1648</v>
      </c>
      <c r="D2189" t="s">
        <v>291</v>
      </c>
      <c r="E2189">
        <v>134</v>
      </c>
      <c r="F2189" t="s">
        <v>5557</v>
      </c>
      <c r="G2189">
        <v>134</v>
      </c>
      <c r="H2189">
        <v>454.98379999999997</v>
      </c>
      <c r="N2189">
        <v>454.98379999999997</v>
      </c>
      <c r="O2189" s="1">
        <v>45011</v>
      </c>
      <c r="P2189">
        <f>IF(ISBLANK(ReconciliationData[[#This Row],[Invoice_ID]]),1,0)</f>
        <v>0</v>
      </c>
      <c r="Q2189">
        <f>IF(AND(NOT(ISBLANK(ReconciliationData[[#This Row],[Billed_Units]])),ReconciliationData[[#This Row],[ordered_units]]&lt;&gt;ReconciliationData[[#This Row],[Billed_Units]]),1,0)</f>
        <v>0</v>
      </c>
      <c r="R21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89">
        <f>IF(AND(NOT(ISBLANK(ReconciliationData[[#This Row],[Contract_Price]])),ReconciliationData[[#This Row],[Billed_Price]]&lt;&gt;ReconciliationData[[#This Row],[Contract_Price]]),1,0)</f>
        <v>0</v>
      </c>
      <c r="T2189">
        <f>IF(AND(NOT(ISBLANK(ReconciliationData[[#This Row],[End_Date]])),ReconciliationData[[#This Row],[Order_Date]]&gt;ReconciliationData[[#This Row],[End_Date]]),1,0)</f>
        <v>0</v>
      </c>
      <c r="U2189">
        <f>IF(AND(NOT(ISBLANK(ReconciliationData[[#This Row],[last_return_date]])),ReconciliationData[[#This Row],[last_return_date]]&gt;ReconciliationData[[#This Row],[Order_Date]]+60),1,0)</f>
        <v>0</v>
      </c>
      <c r="V2189">
        <f>IF(ReconciliationData[[#This Row],[total_returned_units]]&gt;ReconciliationData[[#This Row],[ordered_units]],1,0)</f>
        <v>0</v>
      </c>
      <c r="W21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89">
        <f>ReconciliationData[[#This Row],[Billed_Units]]*ReconciliationData[[#This Row],[Billed_Price]]</f>
        <v>60967.829199999993</v>
      </c>
      <c r="Y2189">
        <f>ReconciliationData[[#This Row],[ordered_units]]*ReconciliationData[[#This Row],[List_Price]]</f>
        <v>60967.829199999993</v>
      </c>
      <c r="Z2189">
        <f>ReconciliationData[[#This Row],[billed_revenue]]-ReconciliationData[[#This Row],[expected_revenue]]</f>
        <v>0</v>
      </c>
      <c r="AA21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89" t="str">
        <f>IF(ReconciliationData[[#This Row],[severity_score]]=0,"LOW",
 IF(ReconciliationData[[#This Row],[severity_score]]&lt;=5,"MEDIUM","HIGH"))</f>
        <v>LOW</v>
      </c>
      <c r="AC2189" t="str">
        <f>TEXT(ReconciliationData[[#This Row],[Order_Date]],"YYYY-MM")</f>
        <v>2024-12</v>
      </c>
    </row>
    <row r="2190" spans="1:29">
      <c r="A2190" t="s">
        <v>5558</v>
      </c>
      <c r="B2190" s="1">
        <v>45493</v>
      </c>
      <c r="C2190" t="s">
        <v>3646</v>
      </c>
      <c r="D2190" t="s">
        <v>275</v>
      </c>
      <c r="E2190">
        <v>32</v>
      </c>
      <c r="F2190" t="s">
        <v>5559</v>
      </c>
      <c r="G2190">
        <v>32</v>
      </c>
      <c r="H2190">
        <v>397.19560000000001</v>
      </c>
      <c r="N2190">
        <v>397.19560000000001</v>
      </c>
      <c r="O2190" s="1">
        <v>44932</v>
      </c>
      <c r="P2190">
        <f>IF(ISBLANK(ReconciliationData[[#This Row],[Invoice_ID]]),1,0)</f>
        <v>0</v>
      </c>
      <c r="Q2190">
        <f>IF(AND(NOT(ISBLANK(ReconciliationData[[#This Row],[Billed_Units]])),ReconciliationData[[#This Row],[ordered_units]]&lt;&gt;ReconciliationData[[#This Row],[Billed_Units]]),1,0)</f>
        <v>0</v>
      </c>
      <c r="R21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0">
        <f>IF(AND(NOT(ISBLANK(ReconciliationData[[#This Row],[Contract_Price]])),ReconciliationData[[#This Row],[Billed_Price]]&lt;&gt;ReconciliationData[[#This Row],[Contract_Price]]),1,0)</f>
        <v>0</v>
      </c>
      <c r="T2190">
        <f>IF(AND(NOT(ISBLANK(ReconciliationData[[#This Row],[End_Date]])),ReconciliationData[[#This Row],[Order_Date]]&gt;ReconciliationData[[#This Row],[End_Date]]),1,0)</f>
        <v>0</v>
      </c>
      <c r="U2190">
        <f>IF(AND(NOT(ISBLANK(ReconciliationData[[#This Row],[last_return_date]])),ReconciliationData[[#This Row],[last_return_date]]&gt;ReconciliationData[[#This Row],[Order_Date]]+60),1,0)</f>
        <v>0</v>
      </c>
      <c r="V2190">
        <f>IF(ReconciliationData[[#This Row],[total_returned_units]]&gt;ReconciliationData[[#This Row],[ordered_units]],1,0)</f>
        <v>0</v>
      </c>
      <c r="W21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90">
        <f>ReconciliationData[[#This Row],[Billed_Units]]*ReconciliationData[[#This Row],[Billed_Price]]</f>
        <v>12710.2592</v>
      </c>
      <c r="Y2190">
        <f>ReconciliationData[[#This Row],[ordered_units]]*ReconciliationData[[#This Row],[List_Price]]</f>
        <v>12710.2592</v>
      </c>
      <c r="Z2190">
        <f>ReconciliationData[[#This Row],[billed_revenue]]-ReconciliationData[[#This Row],[expected_revenue]]</f>
        <v>0</v>
      </c>
      <c r="AA21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90" t="str">
        <f>IF(ReconciliationData[[#This Row],[severity_score]]=0,"LOW",
 IF(ReconciliationData[[#This Row],[severity_score]]&lt;=5,"MEDIUM","HIGH"))</f>
        <v>LOW</v>
      </c>
      <c r="AC2190" t="str">
        <f>TEXT(ReconciliationData[[#This Row],[Order_Date]],"YYYY-MM")</f>
        <v>2024-07</v>
      </c>
    </row>
    <row r="2191" spans="1:29">
      <c r="A2191" t="s">
        <v>5560</v>
      </c>
      <c r="B2191" s="1">
        <v>45339</v>
      </c>
      <c r="C2191" t="s">
        <v>2091</v>
      </c>
      <c r="D2191" t="s">
        <v>821</v>
      </c>
      <c r="E2191">
        <v>47</v>
      </c>
      <c r="F2191" t="s">
        <v>5561</v>
      </c>
      <c r="G2191">
        <v>47</v>
      </c>
      <c r="H2191">
        <v>785.89</v>
      </c>
      <c r="I2191">
        <v>19</v>
      </c>
      <c r="J2191" s="1">
        <v>45558</v>
      </c>
      <c r="N2191">
        <v>785.89</v>
      </c>
      <c r="O2191" s="1">
        <v>44989</v>
      </c>
      <c r="P2191">
        <f>IF(ISBLANK(ReconciliationData[[#This Row],[Invoice_ID]]),1,0)</f>
        <v>0</v>
      </c>
      <c r="Q2191">
        <f>IF(AND(NOT(ISBLANK(ReconciliationData[[#This Row],[Billed_Units]])),ReconciliationData[[#This Row],[ordered_units]]&lt;&gt;ReconciliationData[[#This Row],[Billed_Units]]),1,0)</f>
        <v>0</v>
      </c>
      <c r="R21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1">
        <f>IF(AND(NOT(ISBLANK(ReconciliationData[[#This Row],[Contract_Price]])),ReconciliationData[[#This Row],[Billed_Price]]&lt;&gt;ReconciliationData[[#This Row],[Contract_Price]]),1,0)</f>
        <v>0</v>
      </c>
      <c r="T2191">
        <f>IF(AND(NOT(ISBLANK(ReconciliationData[[#This Row],[End_Date]])),ReconciliationData[[#This Row],[Order_Date]]&gt;ReconciliationData[[#This Row],[End_Date]]),1,0)</f>
        <v>0</v>
      </c>
      <c r="U2191">
        <f>IF(AND(NOT(ISBLANK(ReconciliationData[[#This Row],[last_return_date]])),ReconciliationData[[#This Row],[last_return_date]]&gt;ReconciliationData[[#This Row],[Order_Date]]+60),1,0)</f>
        <v>1</v>
      </c>
      <c r="V2191">
        <f>IF(ReconciliationData[[#This Row],[total_returned_units]]&gt;ReconciliationData[[#This Row],[ordered_units]],1,0)</f>
        <v>0</v>
      </c>
      <c r="W21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91">
        <f>ReconciliationData[[#This Row],[Billed_Units]]*ReconciliationData[[#This Row],[Billed_Price]]</f>
        <v>36936.83</v>
      </c>
      <c r="Y2191">
        <f>ReconciliationData[[#This Row],[ordered_units]]*ReconciliationData[[#This Row],[List_Price]]</f>
        <v>36936.83</v>
      </c>
      <c r="Z2191">
        <f>ReconciliationData[[#This Row],[billed_revenue]]-ReconciliationData[[#This Row],[expected_revenue]]</f>
        <v>0</v>
      </c>
      <c r="AA21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191" t="str">
        <f>IF(ReconciliationData[[#This Row],[severity_score]]=0,"LOW",
 IF(ReconciliationData[[#This Row],[severity_score]]&lt;=5,"MEDIUM","HIGH"))</f>
        <v>MEDIUM</v>
      </c>
      <c r="AC2191" t="str">
        <f>TEXT(ReconciliationData[[#This Row],[Order_Date]],"YYYY-MM")</f>
        <v>2024-02</v>
      </c>
    </row>
    <row r="2192" spans="1:29">
      <c r="A2192" t="s">
        <v>5562</v>
      </c>
      <c r="B2192" s="1">
        <v>45559</v>
      </c>
      <c r="C2192" t="s">
        <v>169</v>
      </c>
      <c r="D2192" t="s">
        <v>1961</v>
      </c>
      <c r="E2192">
        <v>34</v>
      </c>
      <c r="F2192" t="s">
        <v>5563</v>
      </c>
      <c r="G2192">
        <v>34</v>
      </c>
      <c r="H2192">
        <v>717.0471</v>
      </c>
      <c r="N2192">
        <v>717.0471</v>
      </c>
      <c r="O2192" s="1">
        <v>44984</v>
      </c>
      <c r="P2192">
        <f>IF(ISBLANK(ReconciliationData[[#This Row],[Invoice_ID]]),1,0)</f>
        <v>0</v>
      </c>
      <c r="Q2192">
        <f>IF(AND(NOT(ISBLANK(ReconciliationData[[#This Row],[Billed_Units]])),ReconciliationData[[#This Row],[ordered_units]]&lt;&gt;ReconciliationData[[#This Row],[Billed_Units]]),1,0)</f>
        <v>0</v>
      </c>
      <c r="R21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2">
        <f>IF(AND(NOT(ISBLANK(ReconciliationData[[#This Row],[Contract_Price]])),ReconciliationData[[#This Row],[Billed_Price]]&lt;&gt;ReconciliationData[[#This Row],[Contract_Price]]),1,0)</f>
        <v>0</v>
      </c>
      <c r="T2192">
        <f>IF(AND(NOT(ISBLANK(ReconciliationData[[#This Row],[End_Date]])),ReconciliationData[[#This Row],[Order_Date]]&gt;ReconciliationData[[#This Row],[End_Date]]),1,0)</f>
        <v>0</v>
      </c>
      <c r="U2192">
        <f>IF(AND(NOT(ISBLANK(ReconciliationData[[#This Row],[last_return_date]])),ReconciliationData[[#This Row],[last_return_date]]&gt;ReconciliationData[[#This Row],[Order_Date]]+60),1,0)</f>
        <v>0</v>
      </c>
      <c r="V2192">
        <f>IF(ReconciliationData[[#This Row],[total_returned_units]]&gt;ReconciliationData[[#This Row],[ordered_units]],1,0)</f>
        <v>0</v>
      </c>
      <c r="W21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92">
        <f>ReconciliationData[[#This Row],[Billed_Units]]*ReconciliationData[[#This Row],[Billed_Price]]</f>
        <v>24379.6014</v>
      </c>
      <c r="Y2192">
        <f>ReconciliationData[[#This Row],[ordered_units]]*ReconciliationData[[#This Row],[List_Price]]</f>
        <v>24379.6014</v>
      </c>
      <c r="Z2192">
        <f>ReconciliationData[[#This Row],[billed_revenue]]-ReconciliationData[[#This Row],[expected_revenue]]</f>
        <v>0</v>
      </c>
      <c r="AA21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92" t="str">
        <f>IF(ReconciliationData[[#This Row],[severity_score]]=0,"LOW",
 IF(ReconciliationData[[#This Row],[severity_score]]&lt;=5,"MEDIUM","HIGH"))</f>
        <v>LOW</v>
      </c>
      <c r="AC2192" t="str">
        <f>TEXT(ReconciliationData[[#This Row],[Order_Date]],"YYYY-MM")</f>
        <v>2024-09</v>
      </c>
    </row>
    <row r="2193" spans="1:29">
      <c r="A2193" t="s">
        <v>5564</v>
      </c>
      <c r="B2193" s="1">
        <v>45572</v>
      </c>
      <c r="C2193" t="s">
        <v>555</v>
      </c>
      <c r="D2193" t="s">
        <v>2421</v>
      </c>
      <c r="E2193">
        <v>141</v>
      </c>
      <c r="F2193" t="s">
        <v>5565</v>
      </c>
      <c r="G2193">
        <v>141</v>
      </c>
      <c r="H2193">
        <v>631.83420000000012</v>
      </c>
      <c r="N2193">
        <v>631.83420000000012</v>
      </c>
      <c r="O2193" s="1">
        <v>45172</v>
      </c>
      <c r="P2193">
        <f>IF(ISBLANK(ReconciliationData[[#This Row],[Invoice_ID]]),1,0)</f>
        <v>0</v>
      </c>
      <c r="Q2193">
        <f>IF(AND(NOT(ISBLANK(ReconciliationData[[#This Row],[Billed_Units]])),ReconciliationData[[#This Row],[ordered_units]]&lt;&gt;ReconciliationData[[#This Row],[Billed_Units]]),1,0)</f>
        <v>0</v>
      </c>
      <c r="R21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3">
        <f>IF(AND(NOT(ISBLANK(ReconciliationData[[#This Row],[Contract_Price]])),ReconciliationData[[#This Row],[Billed_Price]]&lt;&gt;ReconciliationData[[#This Row],[Contract_Price]]),1,0)</f>
        <v>0</v>
      </c>
      <c r="T2193">
        <f>IF(AND(NOT(ISBLANK(ReconciliationData[[#This Row],[End_Date]])),ReconciliationData[[#This Row],[Order_Date]]&gt;ReconciliationData[[#This Row],[End_Date]]),1,0)</f>
        <v>0</v>
      </c>
      <c r="U2193">
        <f>IF(AND(NOT(ISBLANK(ReconciliationData[[#This Row],[last_return_date]])),ReconciliationData[[#This Row],[last_return_date]]&gt;ReconciliationData[[#This Row],[Order_Date]]+60),1,0)</f>
        <v>0</v>
      </c>
      <c r="V2193">
        <f>IF(ReconciliationData[[#This Row],[total_returned_units]]&gt;ReconciliationData[[#This Row],[ordered_units]],1,0)</f>
        <v>0</v>
      </c>
      <c r="W21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93">
        <f>ReconciliationData[[#This Row],[Billed_Units]]*ReconciliationData[[#This Row],[Billed_Price]]</f>
        <v>89088.622200000013</v>
      </c>
      <c r="Y2193">
        <f>ReconciliationData[[#This Row],[ordered_units]]*ReconciliationData[[#This Row],[List_Price]]</f>
        <v>89088.622200000013</v>
      </c>
      <c r="Z2193">
        <f>ReconciliationData[[#This Row],[billed_revenue]]-ReconciliationData[[#This Row],[expected_revenue]]</f>
        <v>0</v>
      </c>
      <c r="AA21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93" t="str">
        <f>IF(ReconciliationData[[#This Row],[severity_score]]=0,"LOW",
 IF(ReconciliationData[[#This Row],[severity_score]]&lt;=5,"MEDIUM","HIGH"))</f>
        <v>LOW</v>
      </c>
      <c r="AC2193" t="str">
        <f>TEXT(ReconciliationData[[#This Row],[Order_Date]],"YYYY-MM")</f>
        <v>2024-10</v>
      </c>
    </row>
    <row r="2194" spans="1:29">
      <c r="A2194" t="s">
        <v>5566</v>
      </c>
      <c r="B2194" s="1">
        <v>45602</v>
      </c>
      <c r="C2194" t="s">
        <v>767</v>
      </c>
      <c r="D2194" t="s">
        <v>1754</v>
      </c>
      <c r="E2194">
        <v>63</v>
      </c>
      <c r="F2194" t="s">
        <v>5567</v>
      </c>
      <c r="G2194">
        <v>63</v>
      </c>
      <c r="H2194">
        <v>1072.2954</v>
      </c>
      <c r="N2194">
        <v>1072.2954</v>
      </c>
      <c r="O2194" s="1">
        <v>45120</v>
      </c>
      <c r="P2194">
        <f>IF(ISBLANK(ReconciliationData[[#This Row],[Invoice_ID]]),1,0)</f>
        <v>0</v>
      </c>
      <c r="Q2194">
        <f>IF(AND(NOT(ISBLANK(ReconciliationData[[#This Row],[Billed_Units]])),ReconciliationData[[#This Row],[ordered_units]]&lt;&gt;ReconciliationData[[#This Row],[Billed_Units]]),1,0)</f>
        <v>0</v>
      </c>
      <c r="R21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4">
        <f>IF(AND(NOT(ISBLANK(ReconciliationData[[#This Row],[Contract_Price]])),ReconciliationData[[#This Row],[Billed_Price]]&lt;&gt;ReconciliationData[[#This Row],[Contract_Price]]),1,0)</f>
        <v>0</v>
      </c>
      <c r="T2194">
        <f>IF(AND(NOT(ISBLANK(ReconciliationData[[#This Row],[End_Date]])),ReconciliationData[[#This Row],[Order_Date]]&gt;ReconciliationData[[#This Row],[End_Date]]),1,0)</f>
        <v>0</v>
      </c>
      <c r="U2194">
        <f>IF(AND(NOT(ISBLANK(ReconciliationData[[#This Row],[last_return_date]])),ReconciliationData[[#This Row],[last_return_date]]&gt;ReconciliationData[[#This Row],[Order_Date]]+60),1,0)</f>
        <v>0</v>
      </c>
      <c r="V2194">
        <f>IF(ReconciliationData[[#This Row],[total_returned_units]]&gt;ReconciliationData[[#This Row],[ordered_units]],1,0)</f>
        <v>0</v>
      </c>
      <c r="W21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94">
        <f>ReconciliationData[[#This Row],[Billed_Units]]*ReconciliationData[[#This Row],[Billed_Price]]</f>
        <v>67554.610199999996</v>
      </c>
      <c r="Y2194">
        <f>ReconciliationData[[#This Row],[ordered_units]]*ReconciliationData[[#This Row],[List_Price]]</f>
        <v>67554.610199999996</v>
      </c>
      <c r="Z2194">
        <f>ReconciliationData[[#This Row],[billed_revenue]]-ReconciliationData[[#This Row],[expected_revenue]]</f>
        <v>0</v>
      </c>
      <c r="AA21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94" t="str">
        <f>IF(ReconciliationData[[#This Row],[severity_score]]=0,"LOW",
 IF(ReconciliationData[[#This Row],[severity_score]]&lt;=5,"MEDIUM","HIGH"))</f>
        <v>LOW</v>
      </c>
      <c r="AC2194" t="str">
        <f>TEXT(ReconciliationData[[#This Row],[Order_Date]],"YYYY-MM")</f>
        <v>2024-11</v>
      </c>
    </row>
    <row r="2195" spans="1:29">
      <c r="A2195" t="s">
        <v>5568</v>
      </c>
      <c r="B2195" s="1">
        <v>45042</v>
      </c>
      <c r="C2195" t="s">
        <v>1256</v>
      </c>
      <c r="D2195" t="s">
        <v>235</v>
      </c>
      <c r="E2195">
        <v>89</v>
      </c>
      <c r="F2195" t="s">
        <v>5569</v>
      </c>
      <c r="G2195">
        <v>89</v>
      </c>
      <c r="H2195">
        <v>421.92750000000001</v>
      </c>
      <c r="I2195">
        <v>11</v>
      </c>
      <c r="J2195" s="1">
        <v>45228</v>
      </c>
      <c r="N2195">
        <v>421.92750000000001</v>
      </c>
      <c r="O2195" s="1">
        <v>44969</v>
      </c>
      <c r="P2195">
        <f>IF(ISBLANK(ReconciliationData[[#This Row],[Invoice_ID]]),1,0)</f>
        <v>0</v>
      </c>
      <c r="Q2195">
        <f>IF(AND(NOT(ISBLANK(ReconciliationData[[#This Row],[Billed_Units]])),ReconciliationData[[#This Row],[ordered_units]]&lt;&gt;ReconciliationData[[#This Row],[Billed_Units]]),1,0)</f>
        <v>0</v>
      </c>
      <c r="R21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5">
        <f>IF(AND(NOT(ISBLANK(ReconciliationData[[#This Row],[Contract_Price]])),ReconciliationData[[#This Row],[Billed_Price]]&lt;&gt;ReconciliationData[[#This Row],[Contract_Price]]),1,0)</f>
        <v>0</v>
      </c>
      <c r="T2195">
        <f>IF(AND(NOT(ISBLANK(ReconciliationData[[#This Row],[End_Date]])),ReconciliationData[[#This Row],[Order_Date]]&gt;ReconciliationData[[#This Row],[End_Date]]),1,0)</f>
        <v>0</v>
      </c>
      <c r="U2195">
        <f>IF(AND(NOT(ISBLANK(ReconciliationData[[#This Row],[last_return_date]])),ReconciliationData[[#This Row],[last_return_date]]&gt;ReconciliationData[[#This Row],[Order_Date]]+60),1,0)</f>
        <v>1</v>
      </c>
      <c r="V2195">
        <f>IF(ReconciliationData[[#This Row],[total_returned_units]]&gt;ReconciliationData[[#This Row],[ordered_units]],1,0)</f>
        <v>0</v>
      </c>
      <c r="W21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95">
        <f>ReconciliationData[[#This Row],[Billed_Units]]*ReconciliationData[[#This Row],[Billed_Price]]</f>
        <v>37551.547500000001</v>
      </c>
      <c r="Y2195">
        <f>ReconciliationData[[#This Row],[ordered_units]]*ReconciliationData[[#This Row],[List_Price]]</f>
        <v>37551.547500000001</v>
      </c>
      <c r="Z2195">
        <f>ReconciliationData[[#This Row],[billed_revenue]]-ReconciliationData[[#This Row],[expected_revenue]]</f>
        <v>0</v>
      </c>
      <c r="AA21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195" t="str">
        <f>IF(ReconciliationData[[#This Row],[severity_score]]=0,"LOW",
 IF(ReconciliationData[[#This Row],[severity_score]]&lt;=5,"MEDIUM","HIGH"))</f>
        <v>MEDIUM</v>
      </c>
      <c r="AC2195" t="str">
        <f>TEXT(ReconciliationData[[#This Row],[Order_Date]],"YYYY-MM")</f>
        <v>2023-04</v>
      </c>
    </row>
    <row r="2196" spans="1:29">
      <c r="A2196" t="s">
        <v>5570</v>
      </c>
      <c r="B2196" s="1">
        <v>44962</v>
      </c>
      <c r="C2196" t="s">
        <v>2478</v>
      </c>
      <c r="D2196" t="s">
        <v>1533</v>
      </c>
      <c r="E2196">
        <v>132</v>
      </c>
      <c r="F2196" t="s">
        <v>5571</v>
      </c>
      <c r="G2196">
        <v>132</v>
      </c>
      <c r="H2196">
        <v>942.94</v>
      </c>
      <c r="N2196">
        <v>942.94</v>
      </c>
      <c r="O2196" s="1">
        <v>44666</v>
      </c>
      <c r="P2196">
        <f>IF(ISBLANK(ReconciliationData[[#This Row],[Invoice_ID]]),1,0)</f>
        <v>0</v>
      </c>
      <c r="Q2196">
        <f>IF(AND(NOT(ISBLANK(ReconciliationData[[#This Row],[Billed_Units]])),ReconciliationData[[#This Row],[ordered_units]]&lt;&gt;ReconciliationData[[#This Row],[Billed_Units]]),1,0)</f>
        <v>0</v>
      </c>
      <c r="R21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6">
        <f>IF(AND(NOT(ISBLANK(ReconciliationData[[#This Row],[Contract_Price]])),ReconciliationData[[#This Row],[Billed_Price]]&lt;&gt;ReconciliationData[[#This Row],[Contract_Price]]),1,0)</f>
        <v>0</v>
      </c>
      <c r="T2196">
        <f>IF(AND(NOT(ISBLANK(ReconciliationData[[#This Row],[End_Date]])),ReconciliationData[[#This Row],[Order_Date]]&gt;ReconciliationData[[#This Row],[End_Date]]),1,0)</f>
        <v>0</v>
      </c>
      <c r="U2196">
        <f>IF(AND(NOT(ISBLANK(ReconciliationData[[#This Row],[last_return_date]])),ReconciliationData[[#This Row],[last_return_date]]&gt;ReconciliationData[[#This Row],[Order_Date]]+60),1,0)</f>
        <v>0</v>
      </c>
      <c r="V2196">
        <f>IF(ReconciliationData[[#This Row],[total_returned_units]]&gt;ReconciliationData[[#This Row],[ordered_units]],1,0)</f>
        <v>0</v>
      </c>
      <c r="W21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96">
        <f>ReconciliationData[[#This Row],[Billed_Units]]*ReconciliationData[[#This Row],[Billed_Price]]</f>
        <v>124468.08</v>
      </c>
      <c r="Y2196">
        <f>ReconciliationData[[#This Row],[ordered_units]]*ReconciliationData[[#This Row],[List_Price]]</f>
        <v>124468.08</v>
      </c>
      <c r="Z2196">
        <f>ReconciliationData[[#This Row],[billed_revenue]]-ReconciliationData[[#This Row],[expected_revenue]]</f>
        <v>0</v>
      </c>
      <c r="AA21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96" t="str">
        <f>IF(ReconciliationData[[#This Row],[severity_score]]=0,"LOW",
 IF(ReconciliationData[[#This Row],[severity_score]]&lt;=5,"MEDIUM","HIGH"))</f>
        <v>LOW</v>
      </c>
      <c r="AC2196" t="str">
        <f>TEXT(ReconciliationData[[#This Row],[Order_Date]],"YYYY-MM")</f>
        <v>2023-02</v>
      </c>
    </row>
    <row r="2197" spans="1:29">
      <c r="A2197" t="s">
        <v>5572</v>
      </c>
      <c r="B2197" s="1">
        <v>45261</v>
      </c>
      <c r="C2197" t="s">
        <v>4699</v>
      </c>
      <c r="D2197" t="s">
        <v>883</v>
      </c>
      <c r="E2197">
        <v>68</v>
      </c>
      <c r="F2197" t="s">
        <v>5573</v>
      </c>
      <c r="G2197">
        <v>68</v>
      </c>
      <c r="H2197">
        <v>403.01909999999998</v>
      </c>
      <c r="N2197">
        <v>403.01909999999998</v>
      </c>
      <c r="O2197" s="1">
        <v>45056</v>
      </c>
      <c r="P2197">
        <f>IF(ISBLANK(ReconciliationData[[#This Row],[Invoice_ID]]),1,0)</f>
        <v>0</v>
      </c>
      <c r="Q2197">
        <f>IF(AND(NOT(ISBLANK(ReconciliationData[[#This Row],[Billed_Units]])),ReconciliationData[[#This Row],[ordered_units]]&lt;&gt;ReconciliationData[[#This Row],[Billed_Units]]),1,0)</f>
        <v>0</v>
      </c>
      <c r="R21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7">
        <f>IF(AND(NOT(ISBLANK(ReconciliationData[[#This Row],[Contract_Price]])),ReconciliationData[[#This Row],[Billed_Price]]&lt;&gt;ReconciliationData[[#This Row],[Contract_Price]]),1,0)</f>
        <v>0</v>
      </c>
      <c r="T2197">
        <f>IF(AND(NOT(ISBLANK(ReconciliationData[[#This Row],[End_Date]])),ReconciliationData[[#This Row],[Order_Date]]&gt;ReconciliationData[[#This Row],[End_Date]]),1,0)</f>
        <v>0</v>
      </c>
      <c r="U2197">
        <f>IF(AND(NOT(ISBLANK(ReconciliationData[[#This Row],[last_return_date]])),ReconciliationData[[#This Row],[last_return_date]]&gt;ReconciliationData[[#This Row],[Order_Date]]+60),1,0)</f>
        <v>0</v>
      </c>
      <c r="V2197">
        <f>IF(ReconciliationData[[#This Row],[total_returned_units]]&gt;ReconciliationData[[#This Row],[ordered_units]],1,0)</f>
        <v>0</v>
      </c>
      <c r="W21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97">
        <f>ReconciliationData[[#This Row],[Billed_Units]]*ReconciliationData[[#This Row],[Billed_Price]]</f>
        <v>27405.298799999997</v>
      </c>
      <c r="Y2197">
        <f>ReconciliationData[[#This Row],[ordered_units]]*ReconciliationData[[#This Row],[List_Price]]</f>
        <v>27405.298799999997</v>
      </c>
      <c r="Z2197">
        <f>ReconciliationData[[#This Row],[billed_revenue]]-ReconciliationData[[#This Row],[expected_revenue]]</f>
        <v>0</v>
      </c>
      <c r="AA21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97" t="str">
        <f>IF(ReconciliationData[[#This Row],[severity_score]]=0,"LOW",
 IF(ReconciliationData[[#This Row],[severity_score]]&lt;=5,"MEDIUM","HIGH"))</f>
        <v>LOW</v>
      </c>
      <c r="AC2197" t="str">
        <f>TEXT(ReconciliationData[[#This Row],[Order_Date]],"YYYY-MM")</f>
        <v>2023-12</v>
      </c>
    </row>
    <row r="2198" spans="1:29">
      <c r="A2198" t="s">
        <v>5574</v>
      </c>
      <c r="B2198" s="1">
        <v>45258</v>
      </c>
      <c r="C2198" t="s">
        <v>5263</v>
      </c>
      <c r="D2198" t="s">
        <v>1530</v>
      </c>
      <c r="E2198">
        <v>57</v>
      </c>
      <c r="F2198" t="s">
        <v>5575</v>
      </c>
      <c r="G2198">
        <v>57</v>
      </c>
      <c r="H2198">
        <v>1131.7711000000002</v>
      </c>
      <c r="I2198">
        <v>17</v>
      </c>
      <c r="J2198" s="1">
        <v>45362</v>
      </c>
      <c r="N2198">
        <v>1131.7711000000002</v>
      </c>
      <c r="O2198" s="1">
        <v>45048</v>
      </c>
      <c r="P2198">
        <f>IF(ISBLANK(ReconciliationData[[#This Row],[Invoice_ID]]),1,0)</f>
        <v>0</v>
      </c>
      <c r="Q2198">
        <f>IF(AND(NOT(ISBLANK(ReconciliationData[[#This Row],[Billed_Units]])),ReconciliationData[[#This Row],[ordered_units]]&lt;&gt;ReconciliationData[[#This Row],[Billed_Units]]),1,0)</f>
        <v>0</v>
      </c>
      <c r="R21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8">
        <f>IF(AND(NOT(ISBLANK(ReconciliationData[[#This Row],[Contract_Price]])),ReconciliationData[[#This Row],[Billed_Price]]&lt;&gt;ReconciliationData[[#This Row],[Contract_Price]]),1,0)</f>
        <v>0</v>
      </c>
      <c r="T2198">
        <f>IF(AND(NOT(ISBLANK(ReconciliationData[[#This Row],[End_Date]])),ReconciliationData[[#This Row],[Order_Date]]&gt;ReconciliationData[[#This Row],[End_Date]]),1,0)</f>
        <v>0</v>
      </c>
      <c r="U2198">
        <f>IF(AND(NOT(ISBLANK(ReconciliationData[[#This Row],[last_return_date]])),ReconciliationData[[#This Row],[last_return_date]]&gt;ReconciliationData[[#This Row],[Order_Date]]+60),1,0)</f>
        <v>1</v>
      </c>
      <c r="V2198">
        <f>IF(ReconciliationData[[#This Row],[total_returned_units]]&gt;ReconciliationData[[#This Row],[ordered_units]],1,0)</f>
        <v>0</v>
      </c>
      <c r="W21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198">
        <f>ReconciliationData[[#This Row],[Billed_Units]]*ReconciliationData[[#This Row],[Billed_Price]]</f>
        <v>64510.952700000009</v>
      </c>
      <c r="Y2198">
        <f>ReconciliationData[[#This Row],[ordered_units]]*ReconciliationData[[#This Row],[List_Price]]</f>
        <v>64510.952700000009</v>
      </c>
      <c r="Z2198">
        <f>ReconciliationData[[#This Row],[billed_revenue]]-ReconciliationData[[#This Row],[expected_revenue]]</f>
        <v>0</v>
      </c>
      <c r="AA21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198" t="str">
        <f>IF(ReconciliationData[[#This Row],[severity_score]]=0,"LOW",
 IF(ReconciliationData[[#This Row],[severity_score]]&lt;=5,"MEDIUM","HIGH"))</f>
        <v>MEDIUM</v>
      </c>
      <c r="AC2198" t="str">
        <f>TEXT(ReconciliationData[[#This Row],[Order_Date]],"YYYY-MM")</f>
        <v>2023-11</v>
      </c>
    </row>
    <row r="2199" spans="1:29">
      <c r="A2199" t="s">
        <v>5576</v>
      </c>
      <c r="B2199" s="1">
        <v>45050</v>
      </c>
      <c r="C2199" t="s">
        <v>2067</v>
      </c>
      <c r="D2199" t="s">
        <v>472</v>
      </c>
      <c r="E2199">
        <v>72</v>
      </c>
      <c r="F2199" t="s">
        <v>5577</v>
      </c>
      <c r="G2199">
        <v>72</v>
      </c>
      <c r="H2199">
        <v>689.8098</v>
      </c>
      <c r="N2199">
        <v>689.8098</v>
      </c>
      <c r="O2199" s="1">
        <v>45044</v>
      </c>
      <c r="P2199">
        <f>IF(ISBLANK(ReconciliationData[[#This Row],[Invoice_ID]]),1,0)</f>
        <v>0</v>
      </c>
      <c r="Q2199">
        <f>IF(AND(NOT(ISBLANK(ReconciliationData[[#This Row],[Billed_Units]])),ReconciliationData[[#This Row],[ordered_units]]&lt;&gt;ReconciliationData[[#This Row],[Billed_Units]]),1,0)</f>
        <v>0</v>
      </c>
      <c r="R21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199">
        <f>IF(AND(NOT(ISBLANK(ReconciliationData[[#This Row],[Contract_Price]])),ReconciliationData[[#This Row],[Billed_Price]]&lt;&gt;ReconciliationData[[#This Row],[Contract_Price]]),1,0)</f>
        <v>0</v>
      </c>
      <c r="T2199">
        <f>IF(AND(NOT(ISBLANK(ReconciliationData[[#This Row],[End_Date]])),ReconciliationData[[#This Row],[Order_Date]]&gt;ReconciliationData[[#This Row],[End_Date]]),1,0)</f>
        <v>0</v>
      </c>
      <c r="U2199">
        <f>IF(AND(NOT(ISBLANK(ReconciliationData[[#This Row],[last_return_date]])),ReconciliationData[[#This Row],[last_return_date]]&gt;ReconciliationData[[#This Row],[Order_Date]]+60),1,0)</f>
        <v>0</v>
      </c>
      <c r="V2199">
        <f>IF(ReconciliationData[[#This Row],[total_returned_units]]&gt;ReconciliationData[[#This Row],[ordered_units]],1,0)</f>
        <v>0</v>
      </c>
      <c r="W21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199">
        <f>ReconciliationData[[#This Row],[Billed_Units]]*ReconciliationData[[#This Row],[Billed_Price]]</f>
        <v>49666.3056</v>
      </c>
      <c r="Y2199">
        <f>ReconciliationData[[#This Row],[ordered_units]]*ReconciliationData[[#This Row],[List_Price]]</f>
        <v>49666.3056</v>
      </c>
      <c r="Z2199">
        <f>ReconciliationData[[#This Row],[billed_revenue]]-ReconciliationData[[#This Row],[expected_revenue]]</f>
        <v>0</v>
      </c>
      <c r="AA21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199" t="str">
        <f>IF(ReconciliationData[[#This Row],[severity_score]]=0,"LOW",
 IF(ReconciliationData[[#This Row],[severity_score]]&lt;=5,"MEDIUM","HIGH"))</f>
        <v>LOW</v>
      </c>
      <c r="AC2199" t="str">
        <f>TEXT(ReconciliationData[[#This Row],[Order_Date]],"YYYY-MM")</f>
        <v>2023-05</v>
      </c>
    </row>
    <row r="2200" spans="1:29">
      <c r="A2200" t="s">
        <v>5578</v>
      </c>
      <c r="B2200" s="1">
        <v>45577</v>
      </c>
      <c r="C2200" t="s">
        <v>294</v>
      </c>
      <c r="D2200" t="s">
        <v>146</v>
      </c>
      <c r="E2200">
        <v>52</v>
      </c>
      <c r="F2200" t="s">
        <v>5579</v>
      </c>
      <c r="G2200">
        <v>52</v>
      </c>
      <c r="H2200">
        <v>849.43949999999995</v>
      </c>
      <c r="N2200">
        <v>849.43949999999995</v>
      </c>
      <c r="O2200" s="1">
        <v>45114</v>
      </c>
      <c r="P2200">
        <f>IF(ISBLANK(ReconciliationData[[#This Row],[Invoice_ID]]),1,0)</f>
        <v>0</v>
      </c>
      <c r="Q2200">
        <f>IF(AND(NOT(ISBLANK(ReconciliationData[[#This Row],[Billed_Units]])),ReconciliationData[[#This Row],[ordered_units]]&lt;&gt;ReconciliationData[[#This Row],[Billed_Units]]),1,0)</f>
        <v>0</v>
      </c>
      <c r="R22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00">
        <f>IF(AND(NOT(ISBLANK(ReconciliationData[[#This Row],[Contract_Price]])),ReconciliationData[[#This Row],[Billed_Price]]&lt;&gt;ReconciliationData[[#This Row],[Contract_Price]]),1,0)</f>
        <v>0</v>
      </c>
      <c r="T2200">
        <f>IF(AND(NOT(ISBLANK(ReconciliationData[[#This Row],[End_Date]])),ReconciliationData[[#This Row],[Order_Date]]&gt;ReconciliationData[[#This Row],[End_Date]]),1,0)</f>
        <v>0</v>
      </c>
      <c r="U2200">
        <f>IF(AND(NOT(ISBLANK(ReconciliationData[[#This Row],[last_return_date]])),ReconciliationData[[#This Row],[last_return_date]]&gt;ReconciliationData[[#This Row],[Order_Date]]+60),1,0)</f>
        <v>0</v>
      </c>
      <c r="V2200">
        <f>IF(ReconciliationData[[#This Row],[total_returned_units]]&gt;ReconciliationData[[#This Row],[ordered_units]],1,0)</f>
        <v>0</v>
      </c>
      <c r="W22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00">
        <f>ReconciliationData[[#This Row],[Billed_Units]]*ReconciliationData[[#This Row],[Billed_Price]]</f>
        <v>44170.853999999999</v>
      </c>
      <c r="Y2200">
        <f>ReconciliationData[[#This Row],[ordered_units]]*ReconciliationData[[#This Row],[List_Price]]</f>
        <v>44170.853999999999</v>
      </c>
      <c r="Z2200">
        <f>ReconciliationData[[#This Row],[billed_revenue]]-ReconciliationData[[#This Row],[expected_revenue]]</f>
        <v>0</v>
      </c>
      <c r="AA22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00" t="str">
        <f>IF(ReconciliationData[[#This Row],[severity_score]]=0,"LOW",
 IF(ReconciliationData[[#This Row],[severity_score]]&lt;=5,"MEDIUM","HIGH"))</f>
        <v>LOW</v>
      </c>
      <c r="AC2200" t="str">
        <f>TEXT(ReconciliationData[[#This Row],[Order_Date]],"YYYY-MM")</f>
        <v>2024-10</v>
      </c>
    </row>
    <row r="2201" spans="1:29">
      <c r="A2201" t="s">
        <v>5580</v>
      </c>
      <c r="B2201" s="1">
        <v>45573</v>
      </c>
      <c r="C2201" t="s">
        <v>185</v>
      </c>
      <c r="D2201" t="s">
        <v>487</v>
      </c>
      <c r="E2201">
        <v>85</v>
      </c>
      <c r="F2201" t="s">
        <v>5581</v>
      </c>
      <c r="G2201">
        <v>85</v>
      </c>
      <c r="H2201">
        <v>280.03500000000003</v>
      </c>
      <c r="N2201">
        <v>280.03500000000003</v>
      </c>
      <c r="O2201" s="1">
        <v>45146</v>
      </c>
      <c r="P2201">
        <f>IF(ISBLANK(ReconciliationData[[#This Row],[Invoice_ID]]),1,0)</f>
        <v>0</v>
      </c>
      <c r="Q2201">
        <f>IF(AND(NOT(ISBLANK(ReconciliationData[[#This Row],[Billed_Units]])),ReconciliationData[[#This Row],[ordered_units]]&lt;&gt;ReconciliationData[[#This Row],[Billed_Units]]),1,0)</f>
        <v>0</v>
      </c>
      <c r="R22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01">
        <f>IF(AND(NOT(ISBLANK(ReconciliationData[[#This Row],[Contract_Price]])),ReconciliationData[[#This Row],[Billed_Price]]&lt;&gt;ReconciliationData[[#This Row],[Contract_Price]]),1,0)</f>
        <v>0</v>
      </c>
      <c r="T2201">
        <f>IF(AND(NOT(ISBLANK(ReconciliationData[[#This Row],[End_Date]])),ReconciliationData[[#This Row],[Order_Date]]&gt;ReconciliationData[[#This Row],[End_Date]]),1,0)</f>
        <v>0</v>
      </c>
      <c r="U2201">
        <f>IF(AND(NOT(ISBLANK(ReconciliationData[[#This Row],[last_return_date]])),ReconciliationData[[#This Row],[last_return_date]]&gt;ReconciliationData[[#This Row],[Order_Date]]+60),1,0)</f>
        <v>0</v>
      </c>
      <c r="V2201">
        <f>IF(ReconciliationData[[#This Row],[total_returned_units]]&gt;ReconciliationData[[#This Row],[ordered_units]],1,0)</f>
        <v>0</v>
      </c>
      <c r="W22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01">
        <f>ReconciliationData[[#This Row],[Billed_Units]]*ReconciliationData[[#This Row],[Billed_Price]]</f>
        <v>23802.975000000002</v>
      </c>
      <c r="Y2201">
        <f>ReconciliationData[[#This Row],[ordered_units]]*ReconciliationData[[#This Row],[List_Price]]</f>
        <v>23802.975000000002</v>
      </c>
      <c r="Z2201">
        <f>ReconciliationData[[#This Row],[billed_revenue]]-ReconciliationData[[#This Row],[expected_revenue]]</f>
        <v>0</v>
      </c>
      <c r="AA22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01" t="str">
        <f>IF(ReconciliationData[[#This Row],[severity_score]]=0,"LOW",
 IF(ReconciliationData[[#This Row],[severity_score]]&lt;=5,"MEDIUM","HIGH"))</f>
        <v>LOW</v>
      </c>
      <c r="AC2201" t="str">
        <f>TEXT(ReconciliationData[[#This Row],[Order_Date]],"YYYY-MM")</f>
        <v>2024-10</v>
      </c>
    </row>
    <row r="2202" spans="1:29">
      <c r="A2202" t="s">
        <v>5582</v>
      </c>
      <c r="B2202" s="1">
        <v>45296</v>
      </c>
      <c r="C2202" t="s">
        <v>507</v>
      </c>
      <c r="D2202" t="s">
        <v>1735</v>
      </c>
      <c r="E2202">
        <v>132</v>
      </c>
      <c r="F2202" t="s">
        <v>5583</v>
      </c>
      <c r="G2202">
        <v>132</v>
      </c>
      <c r="H2202">
        <v>191.1936</v>
      </c>
      <c r="N2202">
        <v>191.1936</v>
      </c>
      <c r="O2202" s="1">
        <v>45026</v>
      </c>
      <c r="P2202">
        <f>IF(ISBLANK(ReconciliationData[[#This Row],[Invoice_ID]]),1,0)</f>
        <v>0</v>
      </c>
      <c r="Q2202">
        <f>IF(AND(NOT(ISBLANK(ReconciliationData[[#This Row],[Billed_Units]])),ReconciliationData[[#This Row],[ordered_units]]&lt;&gt;ReconciliationData[[#This Row],[Billed_Units]]),1,0)</f>
        <v>0</v>
      </c>
      <c r="R22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02">
        <f>IF(AND(NOT(ISBLANK(ReconciliationData[[#This Row],[Contract_Price]])),ReconciliationData[[#This Row],[Billed_Price]]&lt;&gt;ReconciliationData[[#This Row],[Contract_Price]]),1,0)</f>
        <v>0</v>
      </c>
      <c r="T2202">
        <f>IF(AND(NOT(ISBLANK(ReconciliationData[[#This Row],[End_Date]])),ReconciliationData[[#This Row],[Order_Date]]&gt;ReconciliationData[[#This Row],[End_Date]]),1,0)</f>
        <v>0</v>
      </c>
      <c r="U2202">
        <f>IF(AND(NOT(ISBLANK(ReconciliationData[[#This Row],[last_return_date]])),ReconciliationData[[#This Row],[last_return_date]]&gt;ReconciliationData[[#This Row],[Order_Date]]+60),1,0)</f>
        <v>0</v>
      </c>
      <c r="V2202">
        <f>IF(ReconciliationData[[#This Row],[total_returned_units]]&gt;ReconciliationData[[#This Row],[ordered_units]],1,0)</f>
        <v>0</v>
      </c>
      <c r="W22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02">
        <f>ReconciliationData[[#This Row],[Billed_Units]]*ReconciliationData[[#This Row],[Billed_Price]]</f>
        <v>25237.555199999999</v>
      </c>
      <c r="Y2202">
        <f>ReconciliationData[[#This Row],[ordered_units]]*ReconciliationData[[#This Row],[List_Price]]</f>
        <v>25237.555199999999</v>
      </c>
      <c r="Z2202">
        <f>ReconciliationData[[#This Row],[billed_revenue]]-ReconciliationData[[#This Row],[expected_revenue]]</f>
        <v>0</v>
      </c>
      <c r="AA22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02" t="str">
        <f>IF(ReconciliationData[[#This Row],[severity_score]]=0,"LOW",
 IF(ReconciliationData[[#This Row],[severity_score]]&lt;=5,"MEDIUM","HIGH"))</f>
        <v>LOW</v>
      </c>
      <c r="AC2202" t="str">
        <f>TEXT(ReconciliationData[[#This Row],[Order_Date]],"YYYY-MM")</f>
        <v>2024-01</v>
      </c>
    </row>
    <row r="2203" spans="1:29">
      <c r="A2203" t="s">
        <v>5584</v>
      </c>
      <c r="B2203" s="1">
        <v>44960</v>
      </c>
      <c r="C2203" t="s">
        <v>4991</v>
      </c>
      <c r="D2203" t="s">
        <v>930</v>
      </c>
      <c r="E2203">
        <v>53</v>
      </c>
      <c r="F2203" t="s">
        <v>5585</v>
      </c>
      <c r="G2203">
        <v>53</v>
      </c>
      <c r="H2203">
        <v>159.06059999999999</v>
      </c>
      <c r="N2203">
        <v>159.06059999999999</v>
      </c>
      <c r="O2203" s="1">
        <v>44944</v>
      </c>
      <c r="P2203">
        <f>IF(ISBLANK(ReconciliationData[[#This Row],[Invoice_ID]]),1,0)</f>
        <v>0</v>
      </c>
      <c r="Q2203">
        <f>IF(AND(NOT(ISBLANK(ReconciliationData[[#This Row],[Billed_Units]])),ReconciliationData[[#This Row],[ordered_units]]&lt;&gt;ReconciliationData[[#This Row],[Billed_Units]]),1,0)</f>
        <v>0</v>
      </c>
      <c r="R22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03">
        <f>IF(AND(NOT(ISBLANK(ReconciliationData[[#This Row],[Contract_Price]])),ReconciliationData[[#This Row],[Billed_Price]]&lt;&gt;ReconciliationData[[#This Row],[Contract_Price]]),1,0)</f>
        <v>0</v>
      </c>
      <c r="T2203">
        <f>IF(AND(NOT(ISBLANK(ReconciliationData[[#This Row],[End_Date]])),ReconciliationData[[#This Row],[Order_Date]]&gt;ReconciliationData[[#This Row],[End_Date]]),1,0)</f>
        <v>0</v>
      </c>
      <c r="U2203">
        <f>IF(AND(NOT(ISBLANK(ReconciliationData[[#This Row],[last_return_date]])),ReconciliationData[[#This Row],[last_return_date]]&gt;ReconciliationData[[#This Row],[Order_Date]]+60),1,0)</f>
        <v>0</v>
      </c>
      <c r="V2203">
        <f>IF(ReconciliationData[[#This Row],[total_returned_units]]&gt;ReconciliationData[[#This Row],[ordered_units]],1,0)</f>
        <v>0</v>
      </c>
      <c r="W22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03">
        <f>ReconciliationData[[#This Row],[Billed_Units]]*ReconciliationData[[#This Row],[Billed_Price]]</f>
        <v>8430.2117999999991</v>
      </c>
      <c r="Y2203">
        <f>ReconciliationData[[#This Row],[ordered_units]]*ReconciliationData[[#This Row],[List_Price]]</f>
        <v>8430.2117999999991</v>
      </c>
      <c r="Z2203">
        <f>ReconciliationData[[#This Row],[billed_revenue]]-ReconciliationData[[#This Row],[expected_revenue]]</f>
        <v>0</v>
      </c>
      <c r="AA22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03" t="str">
        <f>IF(ReconciliationData[[#This Row],[severity_score]]=0,"LOW",
 IF(ReconciliationData[[#This Row],[severity_score]]&lt;=5,"MEDIUM","HIGH"))</f>
        <v>LOW</v>
      </c>
      <c r="AC2203" t="str">
        <f>TEXT(ReconciliationData[[#This Row],[Order_Date]],"YYYY-MM")</f>
        <v>2023-02</v>
      </c>
    </row>
    <row r="2204" spans="1:29">
      <c r="A2204" t="s">
        <v>5586</v>
      </c>
      <c r="B2204" s="1">
        <v>45413</v>
      </c>
      <c r="C2204" t="s">
        <v>2814</v>
      </c>
      <c r="D2204" t="s">
        <v>2605</v>
      </c>
      <c r="E2204">
        <v>156</v>
      </c>
      <c r="F2204" t="s">
        <v>5587</v>
      </c>
      <c r="G2204">
        <v>156</v>
      </c>
      <c r="H2204">
        <v>696.93029999999999</v>
      </c>
      <c r="I2204">
        <v>14</v>
      </c>
      <c r="J2204" s="1">
        <v>45421</v>
      </c>
      <c r="N2204">
        <v>696.93029999999999</v>
      </c>
      <c r="O2204" s="1">
        <v>45150</v>
      </c>
      <c r="P2204">
        <f>IF(ISBLANK(ReconciliationData[[#This Row],[Invoice_ID]]),1,0)</f>
        <v>0</v>
      </c>
      <c r="Q2204">
        <f>IF(AND(NOT(ISBLANK(ReconciliationData[[#This Row],[Billed_Units]])),ReconciliationData[[#This Row],[ordered_units]]&lt;&gt;ReconciliationData[[#This Row],[Billed_Units]]),1,0)</f>
        <v>0</v>
      </c>
      <c r="R22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04">
        <f>IF(AND(NOT(ISBLANK(ReconciliationData[[#This Row],[Contract_Price]])),ReconciliationData[[#This Row],[Billed_Price]]&lt;&gt;ReconciliationData[[#This Row],[Contract_Price]]),1,0)</f>
        <v>0</v>
      </c>
      <c r="T2204">
        <f>IF(AND(NOT(ISBLANK(ReconciliationData[[#This Row],[End_Date]])),ReconciliationData[[#This Row],[Order_Date]]&gt;ReconciliationData[[#This Row],[End_Date]]),1,0)</f>
        <v>0</v>
      </c>
      <c r="U2204">
        <f>IF(AND(NOT(ISBLANK(ReconciliationData[[#This Row],[last_return_date]])),ReconciliationData[[#This Row],[last_return_date]]&gt;ReconciliationData[[#This Row],[Order_Date]]+60),1,0)</f>
        <v>0</v>
      </c>
      <c r="V2204">
        <f>IF(ReconciliationData[[#This Row],[total_returned_units]]&gt;ReconciliationData[[#This Row],[ordered_units]],1,0)</f>
        <v>0</v>
      </c>
      <c r="W22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04">
        <f>ReconciliationData[[#This Row],[Billed_Units]]*ReconciliationData[[#This Row],[Billed_Price]]</f>
        <v>108721.1268</v>
      </c>
      <c r="Y2204">
        <f>ReconciliationData[[#This Row],[ordered_units]]*ReconciliationData[[#This Row],[List_Price]]</f>
        <v>108721.1268</v>
      </c>
      <c r="Z2204">
        <f>ReconciliationData[[#This Row],[billed_revenue]]-ReconciliationData[[#This Row],[expected_revenue]]</f>
        <v>0</v>
      </c>
      <c r="AA22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04" t="str">
        <f>IF(ReconciliationData[[#This Row],[severity_score]]=0,"LOW",
 IF(ReconciliationData[[#This Row],[severity_score]]&lt;=5,"MEDIUM","HIGH"))</f>
        <v>LOW</v>
      </c>
      <c r="AC2204" t="str">
        <f>TEXT(ReconciliationData[[#This Row],[Order_Date]],"YYYY-MM")</f>
        <v>2024-05</v>
      </c>
    </row>
    <row r="2205" spans="1:29">
      <c r="A2205" t="s">
        <v>5588</v>
      </c>
      <c r="B2205" s="1">
        <v>45020</v>
      </c>
      <c r="C2205" t="s">
        <v>1253</v>
      </c>
      <c r="D2205" t="s">
        <v>973</v>
      </c>
      <c r="E2205">
        <v>28</v>
      </c>
      <c r="F2205" t="s">
        <v>5589</v>
      </c>
      <c r="G2205">
        <v>28</v>
      </c>
      <c r="H2205">
        <v>151.82</v>
      </c>
      <c r="N2205">
        <v>151.82</v>
      </c>
      <c r="O2205" s="1">
        <v>44860</v>
      </c>
      <c r="P2205">
        <f>IF(ISBLANK(ReconciliationData[[#This Row],[Invoice_ID]]),1,0)</f>
        <v>0</v>
      </c>
      <c r="Q2205">
        <f>IF(AND(NOT(ISBLANK(ReconciliationData[[#This Row],[Billed_Units]])),ReconciliationData[[#This Row],[ordered_units]]&lt;&gt;ReconciliationData[[#This Row],[Billed_Units]]),1,0)</f>
        <v>0</v>
      </c>
      <c r="R22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05">
        <f>IF(AND(NOT(ISBLANK(ReconciliationData[[#This Row],[Contract_Price]])),ReconciliationData[[#This Row],[Billed_Price]]&lt;&gt;ReconciliationData[[#This Row],[Contract_Price]]),1,0)</f>
        <v>0</v>
      </c>
      <c r="T2205">
        <f>IF(AND(NOT(ISBLANK(ReconciliationData[[#This Row],[End_Date]])),ReconciliationData[[#This Row],[Order_Date]]&gt;ReconciliationData[[#This Row],[End_Date]]),1,0)</f>
        <v>0</v>
      </c>
      <c r="U2205">
        <f>IF(AND(NOT(ISBLANK(ReconciliationData[[#This Row],[last_return_date]])),ReconciliationData[[#This Row],[last_return_date]]&gt;ReconciliationData[[#This Row],[Order_Date]]+60),1,0)</f>
        <v>0</v>
      </c>
      <c r="V2205">
        <f>IF(ReconciliationData[[#This Row],[total_returned_units]]&gt;ReconciliationData[[#This Row],[ordered_units]],1,0)</f>
        <v>0</v>
      </c>
      <c r="W22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05">
        <f>ReconciliationData[[#This Row],[Billed_Units]]*ReconciliationData[[#This Row],[Billed_Price]]</f>
        <v>4250.96</v>
      </c>
      <c r="Y2205">
        <f>ReconciliationData[[#This Row],[ordered_units]]*ReconciliationData[[#This Row],[List_Price]]</f>
        <v>4250.96</v>
      </c>
      <c r="Z2205">
        <f>ReconciliationData[[#This Row],[billed_revenue]]-ReconciliationData[[#This Row],[expected_revenue]]</f>
        <v>0</v>
      </c>
      <c r="AA22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05" t="str">
        <f>IF(ReconciliationData[[#This Row],[severity_score]]=0,"LOW",
 IF(ReconciliationData[[#This Row],[severity_score]]&lt;=5,"MEDIUM","HIGH"))</f>
        <v>LOW</v>
      </c>
      <c r="AC2205" t="str">
        <f>TEXT(ReconciliationData[[#This Row],[Order_Date]],"YYYY-MM")</f>
        <v>2023-04</v>
      </c>
    </row>
    <row r="2206" spans="1:29">
      <c r="A2206" t="s">
        <v>5590</v>
      </c>
      <c r="B2206" s="1">
        <v>45108</v>
      </c>
      <c r="C2206" t="s">
        <v>5591</v>
      </c>
      <c r="D2206" t="s">
        <v>1385</v>
      </c>
      <c r="E2206">
        <v>130</v>
      </c>
      <c r="F2206" t="s">
        <v>5592</v>
      </c>
      <c r="G2206">
        <v>130</v>
      </c>
      <c r="H2206">
        <v>296.2912</v>
      </c>
      <c r="N2206">
        <v>296.2912</v>
      </c>
      <c r="O2206" s="1">
        <v>44921</v>
      </c>
      <c r="P2206">
        <f>IF(ISBLANK(ReconciliationData[[#This Row],[Invoice_ID]]),1,0)</f>
        <v>0</v>
      </c>
      <c r="Q2206">
        <f>IF(AND(NOT(ISBLANK(ReconciliationData[[#This Row],[Billed_Units]])),ReconciliationData[[#This Row],[ordered_units]]&lt;&gt;ReconciliationData[[#This Row],[Billed_Units]]),1,0)</f>
        <v>0</v>
      </c>
      <c r="R22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06">
        <f>IF(AND(NOT(ISBLANK(ReconciliationData[[#This Row],[Contract_Price]])),ReconciliationData[[#This Row],[Billed_Price]]&lt;&gt;ReconciliationData[[#This Row],[Contract_Price]]),1,0)</f>
        <v>0</v>
      </c>
      <c r="T2206">
        <f>IF(AND(NOT(ISBLANK(ReconciliationData[[#This Row],[End_Date]])),ReconciliationData[[#This Row],[Order_Date]]&gt;ReconciliationData[[#This Row],[End_Date]]),1,0)</f>
        <v>0</v>
      </c>
      <c r="U2206">
        <f>IF(AND(NOT(ISBLANK(ReconciliationData[[#This Row],[last_return_date]])),ReconciliationData[[#This Row],[last_return_date]]&gt;ReconciliationData[[#This Row],[Order_Date]]+60),1,0)</f>
        <v>0</v>
      </c>
      <c r="V2206">
        <f>IF(ReconciliationData[[#This Row],[total_returned_units]]&gt;ReconciliationData[[#This Row],[ordered_units]],1,0)</f>
        <v>0</v>
      </c>
      <c r="W22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06">
        <f>ReconciliationData[[#This Row],[Billed_Units]]*ReconciliationData[[#This Row],[Billed_Price]]</f>
        <v>38517.856</v>
      </c>
      <c r="Y2206">
        <f>ReconciliationData[[#This Row],[ordered_units]]*ReconciliationData[[#This Row],[List_Price]]</f>
        <v>38517.856</v>
      </c>
      <c r="Z2206">
        <f>ReconciliationData[[#This Row],[billed_revenue]]-ReconciliationData[[#This Row],[expected_revenue]]</f>
        <v>0</v>
      </c>
      <c r="AA22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06" t="str">
        <f>IF(ReconciliationData[[#This Row],[severity_score]]=0,"LOW",
 IF(ReconciliationData[[#This Row],[severity_score]]&lt;=5,"MEDIUM","HIGH"))</f>
        <v>LOW</v>
      </c>
      <c r="AC2206" t="str">
        <f>TEXT(ReconciliationData[[#This Row],[Order_Date]],"YYYY-MM")</f>
        <v>2023-07</v>
      </c>
    </row>
    <row r="2207" spans="1:29">
      <c r="A2207" t="s">
        <v>5593</v>
      </c>
      <c r="B2207" s="1">
        <v>45436</v>
      </c>
      <c r="C2207" t="s">
        <v>1750</v>
      </c>
      <c r="D2207" t="s">
        <v>1188</v>
      </c>
      <c r="E2207">
        <v>199</v>
      </c>
      <c r="F2207" t="s">
        <v>5594</v>
      </c>
      <c r="G2207">
        <v>199</v>
      </c>
      <c r="H2207">
        <v>73.305100000000024</v>
      </c>
      <c r="N2207">
        <v>73.305100000000024</v>
      </c>
      <c r="O2207" s="1">
        <v>45046</v>
      </c>
      <c r="P2207">
        <f>IF(ISBLANK(ReconciliationData[[#This Row],[Invoice_ID]]),1,0)</f>
        <v>0</v>
      </c>
      <c r="Q2207">
        <f>IF(AND(NOT(ISBLANK(ReconciliationData[[#This Row],[Billed_Units]])),ReconciliationData[[#This Row],[ordered_units]]&lt;&gt;ReconciliationData[[#This Row],[Billed_Units]]),1,0)</f>
        <v>0</v>
      </c>
      <c r="R22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07">
        <f>IF(AND(NOT(ISBLANK(ReconciliationData[[#This Row],[Contract_Price]])),ReconciliationData[[#This Row],[Billed_Price]]&lt;&gt;ReconciliationData[[#This Row],[Contract_Price]]),1,0)</f>
        <v>0</v>
      </c>
      <c r="T2207">
        <f>IF(AND(NOT(ISBLANK(ReconciliationData[[#This Row],[End_Date]])),ReconciliationData[[#This Row],[Order_Date]]&gt;ReconciliationData[[#This Row],[End_Date]]),1,0)</f>
        <v>0</v>
      </c>
      <c r="U2207">
        <f>IF(AND(NOT(ISBLANK(ReconciliationData[[#This Row],[last_return_date]])),ReconciliationData[[#This Row],[last_return_date]]&gt;ReconciliationData[[#This Row],[Order_Date]]+60),1,0)</f>
        <v>0</v>
      </c>
      <c r="V2207">
        <f>IF(ReconciliationData[[#This Row],[total_returned_units]]&gt;ReconciliationData[[#This Row],[ordered_units]],1,0)</f>
        <v>0</v>
      </c>
      <c r="W22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07">
        <f>ReconciliationData[[#This Row],[Billed_Units]]*ReconciliationData[[#This Row],[Billed_Price]]</f>
        <v>14587.714900000004</v>
      </c>
      <c r="Y2207">
        <f>ReconciliationData[[#This Row],[ordered_units]]*ReconciliationData[[#This Row],[List_Price]]</f>
        <v>14587.714900000004</v>
      </c>
      <c r="Z2207">
        <f>ReconciliationData[[#This Row],[billed_revenue]]-ReconciliationData[[#This Row],[expected_revenue]]</f>
        <v>0</v>
      </c>
      <c r="AA22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07" t="str">
        <f>IF(ReconciliationData[[#This Row],[severity_score]]=0,"LOW",
 IF(ReconciliationData[[#This Row],[severity_score]]&lt;=5,"MEDIUM","HIGH"))</f>
        <v>LOW</v>
      </c>
      <c r="AC2207" t="str">
        <f>TEXT(ReconciliationData[[#This Row],[Order_Date]],"YYYY-MM")</f>
        <v>2024-05</v>
      </c>
    </row>
    <row r="2208" spans="1:29">
      <c r="A2208" t="s">
        <v>5595</v>
      </c>
      <c r="B2208" s="1">
        <v>45546</v>
      </c>
      <c r="C2208" t="s">
        <v>1844</v>
      </c>
      <c r="D2208" t="s">
        <v>170</v>
      </c>
      <c r="E2208">
        <v>139</v>
      </c>
      <c r="F2208" t="s">
        <v>5596</v>
      </c>
      <c r="G2208">
        <v>139</v>
      </c>
      <c r="H2208">
        <v>397.40159999999997</v>
      </c>
      <c r="N2208">
        <v>397.40159999999997</v>
      </c>
      <c r="O2208" s="1">
        <v>45021</v>
      </c>
      <c r="P2208">
        <f>IF(ISBLANK(ReconciliationData[[#This Row],[Invoice_ID]]),1,0)</f>
        <v>0</v>
      </c>
      <c r="Q2208">
        <f>IF(AND(NOT(ISBLANK(ReconciliationData[[#This Row],[Billed_Units]])),ReconciliationData[[#This Row],[ordered_units]]&lt;&gt;ReconciliationData[[#This Row],[Billed_Units]]),1,0)</f>
        <v>0</v>
      </c>
      <c r="R22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08">
        <f>IF(AND(NOT(ISBLANK(ReconciliationData[[#This Row],[Contract_Price]])),ReconciliationData[[#This Row],[Billed_Price]]&lt;&gt;ReconciliationData[[#This Row],[Contract_Price]]),1,0)</f>
        <v>0</v>
      </c>
      <c r="T2208">
        <f>IF(AND(NOT(ISBLANK(ReconciliationData[[#This Row],[End_Date]])),ReconciliationData[[#This Row],[Order_Date]]&gt;ReconciliationData[[#This Row],[End_Date]]),1,0)</f>
        <v>0</v>
      </c>
      <c r="U2208">
        <f>IF(AND(NOT(ISBLANK(ReconciliationData[[#This Row],[last_return_date]])),ReconciliationData[[#This Row],[last_return_date]]&gt;ReconciliationData[[#This Row],[Order_Date]]+60),1,0)</f>
        <v>0</v>
      </c>
      <c r="V2208">
        <f>IF(ReconciliationData[[#This Row],[total_returned_units]]&gt;ReconciliationData[[#This Row],[ordered_units]],1,0)</f>
        <v>0</v>
      </c>
      <c r="W22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08">
        <f>ReconciliationData[[#This Row],[Billed_Units]]*ReconciliationData[[#This Row],[Billed_Price]]</f>
        <v>55238.822399999997</v>
      </c>
      <c r="Y2208">
        <f>ReconciliationData[[#This Row],[ordered_units]]*ReconciliationData[[#This Row],[List_Price]]</f>
        <v>55238.822399999997</v>
      </c>
      <c r="Z2208">
        <f>ReconciliationData[[#This Row],[billed_revenue]]-ReconciliationData[[#This Row],[expected_revenue]]</f>
        <v>0</v>
      </c>
      <c r="AA22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08" t="str">
        <f>IF(ReconciliationData[[#This Row],[severity_score]]=0,"LOW",
 IF(ReconciliationData[[#This Row],[severity_score]]&lt;=5,"MEDIUM","HIGH"))</f>
        <v>LOW</v>
      </c>
      <c r="AC2208" t="str">
        <f>TEXT(ReconciliationData[[#This Row],[Order_Date]],"YYYY-MM")</f>
        <v>2024-09</v>
      </c>
    </row>
    <row r="2209" spans="1:29">
      <c r="A2209" t="s">
        <v>5597</v>
      </c>
      <c r="B2209" s="1">
        <v>45559</v>
      </c>
      <c r="C2209" t="s">
        <v>703</v>
      </c>
      <c r="D2209" t="s">
        <v>522</v>
      </c>
      <c r="E2209">
        <v>104</v>
      </c>
      <c r="F2209" t="s">
        <v>5598</v>
      </c>
      <c r="G2209">
        <v>104</v>
      </c>
      <c r="H2209">
        <v>826.72450038929776</v>
      </c>
      <c r="N2209">
        <v>826.46400000000006</v>
      </c>
      <c r="O2209" s="1">
        <v>45128</v>
      </c>
      <c r="P2209">
        <f>IF(ISBLANK(ReconciliationData[[#This Row],[Invoice_ID]]),1,0)</f>
        <v>0</v>
      </c>
      <c r="Q2209">
        <f>IF(AND(NOT(ISBLANK(ReconciliationData[[#This Row],[Billed_Units]])),ReconciliationData[[#This Row],[ordered_units]]&lt;&gt;ReconciliationData[[#This Row],[Billed_Units]]),1,0)</f>
        <v>0</v>
      </c>
      <c r="R220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209">
        <f>IF(AND(NOT(ISBLANK(ReconciliationData[[#This Row],[Contract_Price]])),ReconciliationData[[#This Row],[Billed_Price]]&lt;&gt;ReconciliationData[[#This Row],[Contract_Price]]),1,0)</f>
        <v>0</v>
      </c>
      <c r="T2209">
        <f>IF(AND(NOT(ISBLANK(ReconciliationData[[#This Row],[End_Date]])),ReconciliationData[[#This Row],[Order_Date]]&gt;ReconciliationData[[#This Row],[End_Date]]),1,0)</f>
        <v>0</v>
      </c>
      <c r="U2209">
        <f>IF(AND(NOT(ISBLANK(ReconciliationData[[#This Row],[last_return_date]])),ReconciliationData[[#This Row],[last_return_date]]&gt;ReconciliationData[[#This Row],[Order_Date]]+60),1,0)</f>
        <v>0</v>
      </c>
      <c r="V2209">
        <f>IF(ReconciliationData[[#This Row],[total_returned_units]]&gt;ReconciliationData[[#This Row],[ordered_units]],1,0)</f>
        <v>0</v>
      </c>
      <c r="W22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09">
        <f>ReconciliationData[[#This Row],[Billed_Units]]*ReconciliationData[[#This Row],[Billed_Price]]</f>
        <v>85979.348040486962</v>
      </c>
      <c r="Y2209">
        <f>ReconciliationData[[#This Row],[ordered_units]]*ReconciliationData[[#This Row],[List_Price]]</f>
        <v>85952.256000000008</v>
      </c>
      <c r="Z2209">
        <f>ReconciliationData[[#This Row],[billed_revenue]]-ReconciliationData[[#This Row],[expected_revenue]]</f>
        <v>27.09204048695392</v>
      </c>
      <c r="AA22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209" t="str">
        <f>IF(ReconciliationData[[#This Row],[severity_score]]=0,"LOW",
 IF(ReconciliationData[[#This Row],[severity_score]]&lt;=5,"MEDIUM","HIGH"))</f>
        <v>MEDIUM</v>
      </c>
      <c r="AC2209" t="str">
        <f>TEXT(ReconciliationData[[#This Row],[Order_Date]],"YYYY-MM")</f>
        <v>2024-09</v>
      </c>
    </row>
    <row r="2210" spans="1:29">
      <c r="A2210" t="s">
        <v>5599</v>
      </c>
      <c r="B2210" s="1">
        <v>45150</v>
      </c>
      <c r="C2210" t="s">
        <v>1637</v>
      </c>
      <c r="D2210" t="s">
        <v>738</v>
      </c>
      <c r="E2210">
        <v>161</v>
      </c>
      <c r="F2210" t="s">
        <v>5600</v>
      </c>
      <c r="G2210">
        <v>161</v>
      </c>
      <c r="H2210">
        <v>664.8768</v>
      </c>
      <c r="N2210">
        <v>664.8768</v>
      </c>
      <c r="O2210" s="1">
        <v>45116</v>
      </c>
      <c r="P2210">
        <f>IF(ISBLANK(ReconciliationData[[#This Row],[Invoice_ID]]),1,0)</f>
        <v>0</v>
      </c>
      <c r="Q2210">
        <f>IF(AND(NOT(ISBLANK(ReconciliationData[[#This Row],[Billed_Units]])),ReconciliationData[[#This Row],[ordered_units]]&lt;&gt;ReconciliationData[[#This Row],[Billed_Units]]),1,0)</f>
        <v>0</v>
      </c>
      <c r="R22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0">
        <f>IF(AND(NOT(ISBLANK(ReconciliationData[[#This Row],[Contract_Price]])),ReconciliationData[[#This Row],[Billed_Price]]&lt;&gt;ReconciliationData[[#This Row],[Contract_Price]]),1,0)</f>
        <v>0</v>
      </c>
      <c r="T2210">
        <f>IF(AND(NOT(ISBLANK(ReconciliationData[[#This Row],[End_Date]])),ReconciliationData[[#This Row],[Order_Date]]&gt;ReconciliationData[[#This Row],[End_Date]]),1,0)</f>
        <v>0</v>
      </c>
      <c r="U2210">
        <f>IF(AND(NOT(ISBLANK(ReconciliationData[[#This Row],[last_return_date]])),ReconciliationData[[#This Row],[last_return_date]]&gt;ReconciliationData[[#This Row],[Order_Date]]+60),1,0)</f>
        <v>0</v>
      </c>
      <c r="V2210">
        <f>IF(ReconciliationData[[#This Row],[total_returned_units]]&gt;ReconciliationData[[#This Row],[ordered_units]],1,0)</f>
        <v>0</v>
      </c>
      <c r="W22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10">
        <f>ReconciliationData[[#This Row],[Billed_Units]]*ReconciliationData[[#This Row],[Billed_Price]]</f>
        <v>107045.1648</v>
      </c>
      <c r="Y2210">
        <f>ReconciliationData[[#This Row],[ordered_units]]*ReconciliationData[[#This Row],[List_Price]]</f>
        <v>107045.1648</v>
      </c>
      <c r="Z2210">
        <f>ReconciliationData[[#This Row],[billed_revenue]]-ReconciliationData[[#This Row],[expected_revenue]]</f>
        <v>0</v>
      </c>
      <c r="AA22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10" t="str">
        <f>IF(ReconciliationData[[#This Row],[severity_score]]=0,"LOW",
 IF(ReconciliationData[[#This Row],[severity_score]]&lt;=5,"MEDIUM","HIGH"))</f>
        <v>LOW</v>
      </c>
      <c r="AC2210" t="str">
        <f>TEXT(ReconciliationData[[#This Row],[Order_Date]],"YYYY-MM")</f>
        <v>2023-08</v>
      </c>
    </row>
    <row r="2211" spans="1:29">
      <c r="A2211" t="s">
        <v>5601</v>
      </c>
      <c r="B2211" s="1">
        <v>45398</v>
      </c>
      <c r="C2211" t="s">
        <v>1429</v>
      </c>
      <c r="D2211" t="s">
        <v>997</v>
      </c>
      <c r="E2211">
        <v>154</v>
      </c>
      <c r="F2211" t="s">
        <v>5602</v>
      </c>
      <c r="G2211">
        <v>154</v>
      </c>
      <c r="H2211">
        <v>1153.4984999999999</v>
      </c>
      <c r="N2211">
        <v>1153.4984999999999</v>
      </c>
      <c r="O2211" s="1">
        <v>44962</v>
      </c>
      <c r="P2211">
        <f>IF(ISBLANK(ReconciliationData[[#This Row],[Invoice_ID]]),1,0)</f>
        <v>0</v>
      </c>
      <c r="Q2211">
        <f>IF(AND(NOT(ISBLANK(ReconciliationData[[#This Row],[Billed_Units]])),ReconciliationData[[#This Row],[ordered_units]]&lt;&gt;ReconciliationData[[#This Row],[Billed_Units]]),1,0)</f>
        <v>0</v>
      </c>
      <c r="R22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1">
        <f>IF(AND(NOT(ISBLANK(ReconciliationData[[#This Row],[Contract_Price]])),ReconciliationData[[#This Row],[Billed_Price]]&lt;&gt;ReconciliationData[[#This Row],[Contract_Price]]),1,0)</f>
        <v>0</v>
      </c>
      <c r="T2211">
        <f>IF(AND(NOT(ISBLANK(ReconciliationData[[#This Row],[End_Date]])),ReconciliationData[[#This Row],[Order_Date]]&gt;ReconciliationData[[#This Row],[End_Date]]),1,0)</f>
        <v>0</v>
      </c>
      <c r="U2211">
        <f>IF(AND(NOT(ISBLANK(ReconciliationData[[#This Row],[last_return_date]])),ReconciliationData[[#This Row],[last_return_date]]&gt;ReconciliationData[[#This Row],[Order_Date]]+60),1,0)</f>
        <v>0</v>
      </c>
      <c r="V2211">
        <f>IF(ReconciliationData[[#This Row],[total_returned_units]]&gt;ReconciliationData[[#This Row],[ordered_units]],1,0)</f>
        <v>0</v>
      </c>
      <c r="W22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11">
        <f>ReconciliationData[[#This Row],[Billed_Units]]*ReconciliationData[[#This Row],[Billed_Price]]</f>
        <v>177638.769</v>
      </c>
      <c r="Y2211">
        <f>ReconciliationData[[#This Row],[ordered_units]]*ReconciliationData[[#This Row],[List_Price]]</f>
        <v>177638.769</v>
      </c>
      <c r="Z2211">
        <f>ReconciliationData[[#This Row],[billed_revenue]]-ReconciliationData[[#This Row],[expected_revenue]]</f>
        <v>0</v>
      </c>
      <c r="AA22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11" t="str">
        <f>IF(ReconciliationData[[#This Row],[severity_score]]=0,"LOW",
 IF(ReconciliationData[[#This Row],[severity_score]]&lt;=5,"MEDIUM","HIGH"))</f>
        <v>LOW</v>
      </c>
      <c r="AC2211" t="str">
        <f>TEXT(ReconciliationData[[#This Row],[Order_Date]],"YYYY-MM")</f>
        <v>2024-04</v>
      </c>
    </row>
    <row r="2212" spans="1:29">
      <c r="A2212" t="s">
        <v>5603</v>
      </c>
      <c r="B2212" s="1">
        <v>44964</v>
      </c>
      <c r="C2212" t="s">
        <v>532</v>
      </c>
      <c r="D2212" t="s">
        <v>674</v>
      </c>
      <c r="E2212">
        <v>97</v>
      </c>
      <c r="F2212" t="s">
        <v>5604</v>
      </c>
      <c r="G2212">
        <v>97</v>
      </c>
      <c r="H2212">
        <v>1032.2340000000002</v>
      </c>
      <c r="N2212">
        <v>1032.2340000000002</v>
      </c>
      <c r="O2212" s="1">
        <v>44798</v>
      </c>
      <c r="P2212">
        <f>IF(ISBLANK(ReconciliationData[[#This Row],[Invoice_ID]]),1,0)</f>
        <v>0</v>
      </c>
      <c r="Q2212">
        <f>IF(AND(NOT(ISBLANK(ReconciliationData[[#This Row],[Billed_Units]])),ReconciliationData[[#This Row],[ordered_units]]&lt;&gt;ReconciliationData[[#This Row],[Billed_Units]]),1,0)</f>
        <v>0</v>
      </c>
      <c r="R22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2">
        <f>IF(AND(NOT(ISBLANK(ReconciliationData[[#This Row],[Contract_Price]])),ReconciliationData[[#This Row],[Billed_Price]]&lt;&gt;ReconciliationData[[#This Row],[Contract_Price]]),1,0)</f>
        <v>0</v>
      </c>
      <c r="T2212">
        <f>IF(AND(NOT(ISBLANK(ReconciliationData[[#This Row],[End_Date]])),ReconciliationData[[#This Row],[Order_Date]]&gt;ReconciliationData[[#This Row],[End_Date]]),1,0)</f>
        <v>0</v>
      </c>
      <c r="U2212">
        <f>IF(AND(NOT(ISBLANK(ReconciliationData[[#This Row],[last_return_date]])),ReconciliationData[[#This Row],[last_return_date]]&gt;ReconciliationData[[#This Row],[Order_Date]]+60),1,0)</f>
        <v>0</v>
      </c>
      <c r="V2212">
        <f>IF(ReconciliationData[[#This Row],[total_returned_units]]&gt;ReconciliationData[[#This Row],[ordered_units]],1,0)</f>
        <v>0</v>
      </c>
      <c r="W22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12">
        <f>ReconciliationData[[#This Row],[Billed_Units]]*ReconciliationData[[#This Row],[Billed_Price]]</f>
        <v>100126.69800000002</v>
      </c>
      <c r="Y2212">
        <f>ReconciliationData[[#This Row],[ordered_units]]*ReconciliationData[[#This Row],[List_Price]]</f>
        <v>100126.69800000002</v>
      </c>
      <c r="Z2212">
        <f>ReconciliationData[[#This Row],[billed_revenue]]-ReconciliationData[[#This Row],[expected_revenue]]</f>
        <v>0</v>
      </c>
      <c r="AA22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12" t="str">
        <f>IF(ReconciliationData[[#This Row],[severity_score]]=0,"LOW",
 IF(ReconciliationData[[#This Row],[severity_score]]&lt;=5,"MEDIUM","HIGH"))</f>
        <v>LOW</v>
      </c>
      <c r="AC2212" t="str">
        <f>TEXT(ReconciliationData[[#This Row],[Order_Date]],"YYYY-MM")</f>
        <v>2023-02</v>
      </c>
    </row>
    <row r="2213" spans="1:29">
      <c r="A2213" t="s">
        <v>5605</v>
      </c>
      <c r="B2213" s="1">
        <v>45005</v>
      </c>
      <c r="C2213" t="s">
        <v>5606</v>
      </c>
      <c r="D2213" t="s">
        <v>908</v>
      </c>
      <c r="E2213">
        <v>18</v>
      </c>
      <c r="F2213" t="s">
        <v>5607</v>
      </c>
      <c r="G2213">
        <v>18</v>
      </c>
      <c r="H2213">
        <v>560.10919999999999</v>
      </c>
      <c r="N2213">
        <v>560.10919999999999</v>
      </c>
      <c r="O2213" s="1">
        <v>44851</v>
      </c>
      <c r="P2213">
        <f>IF(ISBLANK(ReconciliationData[[#This Row],[Invoice_ID]]),1,0)</f>
        <v>0</v>
      </c>
      <c r="Q2213">
        <f>IF(AND(NOT(ISBLANK(ReconciliationData[[#This Row],[Billed_Units]])),ReconciliationData[[#This Row],[ordered_units]]&lt;&gt;ReconciliationData[[#This Row],[Billed_Units]]),1,0)</f>
        <v>0</v>
      </c>
      <c r="R22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3">
        <f>IF(AND(NOT(ISBLANK(ReconciliationData[[#This Row],[Contract_Price]])),ReconciliationData[[#This Row],[Billed_Price]]&lt;&gt;ReconciliationData[[#This Row],[Contract_Price]]),1,0)</f>
        <v>0</v>
      </c>
      <c r="T2213">
        <f>IF(AND(NOT(ISBLANK(ReconciliationData[[#This Row],[End_Date]])),ReconciliationData[[#This Row],[Order_Date]]&gt;ReconciliationData[[#This Row],[End_Date]]),1,0)</f>
        <v>0</v>
      </c>
      <c r="U2213">
        <f>IF(AND(NOT(ISBLANK(ReconciliationData[[#This Row],[last_return_date]])),ReconciliationData[[#This Row],[last_return_date]]&gt;ReconciliationData[[#This Row],[Order_Date]]+60),1,0)</f>
        <v>0</v>
      </c>
      <c r="V2213">
        <f>IF(ReconciliationData[[#This Row],[total_returned_units]]&gt;ReconciliationData[[#This Row],[ordered_units]],1,0)</f>
        <v>0</v>
      </c>
      <c r="W22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13">
        <f>ReconciliationData[[#This Row],[Billed_Units]]*ReconciliationData[[#This Row],[Billed_Price]]</f>
        <v>10081.9656</v>
      </c>
      <c r="Y2213">
        <f>ReconciliationData[[#This Row],[ordered_units]]*ReconciliationData[[#This Row],[List_Price]]</f>
        <v>10081.9656</v>
      </c>
      <c r="Z2213">
        <f>ReconciliationData[[#This Row],[billed_revenue]]-ReconciliationData[[#This Row],[expected_revenue]]</f>
        <v>0</v>
      </c>
      <c r="AA22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13" t="str">
        <f>IF(ReconciliationData[[#This Row],[severity_score]]=0,"LOW",
 IF(ReconciliationData[[#This Row],[severity_score]]&lt;=5,"MEDIUM","HIGH"))</f>
        <v>LOW</v>
      </c>
      <c r="AC2213" t="str">
        <f>TEXT(ReconciliationData[[#This Row],[Order_Date]],"YYYY-MM")</f>
        <v>2023-03</v>
      </c>
    </row>
    <row r="2214" spans="1:29">
      <c r="A2214" t="s">
        <v>5608</v>
      </c>
      <c r="B2214" s="1">
        <v>45196</v>
      </c>
      <c r="C2214" t="s">
        <v>3314</v>
      </c>
      <c r="D2214" t="s">
        <v>259</v>
      </c>
      <c r="E2214">
        <v>181</v>
      </c>
      <c r="F2214" t="s">
        <v>5609</v>
      </c>
      <c r="G2214">
        <v>181</v>
      </c>
      <c r="H2214">
        <v>360.68479999999994</v>
      </c>
      <c r="N2214">
        <v>360.68479999999994</v>
      </c>
      <c r="O2214" s="1">
        <v>45072</v>
      </c>
      <c r="P2214">
        <f>IF(ISBLANK(ReconciliationData[[#This Row],[Invoice_ID]]),1,0)</f>
        <v>0</v>
      </c>
      <c r="Q2214">
        <f>IF(AND(NOT(ISBLANK(ReconciliationData[[#This Row],[Billed_Units]])),ReconciliationData[[#This Row],[ordered_units]]&lt;&gt;ReconciliationData[[#This Row],[Billed_Units]]),1,0)</f>
        <v>0</v>
      </c>
      <c r="R22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4">
        <f>IF(AND(NOT(ISBLANK(ReconciliationData[[#This Row],[Contract_Price]])),ReconciliationData[[#This Row],[Billed_Price]]&lt;&gt;ReconciliationData[[#This Row],[Contract_Price]]),1,0)</f>
        <v>0</v>
      </c>
      <c r="T2214">
        <f>IF(AND(NOT(ISBLANK(ReconciliationData[[#This Row],[End_Date]])),ReconciliationData[[#This Row],[Order_Date]]&gt;ReconciliationData[[#This Row],[End_Date]]),1,0)</f>
        <v>0</v>
      </c>
      <c r="U2214">
        <f>IF(AND(NOT(ISBLANK(ReconciliationData[[#This Row],[last_return_date]])),ReconciliationData[[#This Row],[last_return_date]]&gt;ReconciliationData[[#This Row],[Order_Date]]+60),1,0)</f>
        <v>0</v>
      </c>
      <c r="V2214">
        <f>IF(ReconciliationData[[#This Row],[total_returned_units]]&gt;ReconciliationData[[#This Row],[ordered_units]],1,0)</f>
        <v>0</v>
      </c>
      <c r="W22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14">
        <f>ReconciliationData[[#This Row],[Billed_Units]]*ReconciliationData[[#This Row],[Billed_Price]]</f>
        <v>65283.948799999991</v>
      </c>
      <c r="Y2214">
        <f>ReconciliationData[[#This Row],[ordered_units]]*ReconciliationData[[#This Row],[List_Price]]</f>
        <v>65283.948799999991</v>
      </c>
      <c r="Z2214">
        <f>ReconciliationData[[#This Row],[billed_revenue]]-ReconciliationData[[#This Row],[expected_revenue]]</f>
        <v>0</v>
      </c>
      <c r="AA22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14" t="str">
        <f>IF(ReconciliationData[[#This Row],[severity_score]]=0,"LOW",
 IF(ReconciliationData[[#This Row],[severity_score]]&lt;=5,"MEDIUM","HIGH"))</f>
        <v>LOW</v>
      </c>
      <c r="AC2214" t="str">
        <f>TEXT(ReconciliationData[[#This Row],[Order_Date]],"YYYY-MM")</f>
        <v>2023-09</v>
      </c>
    </row>
    <row r="2215" spans="1:29">
      <c r="A2215" t="s">
        <v>5610</v>
      </c>
      <c r="B2215" s="1">
        <v>45524</v>
      </c>
      <c r="C2215" t="s">
        <v>2131</v>
      </c>
      <c r="D2215" t="s">
        <v>321</v>
      </c>
      <c r="E2215">
        <v>133</v>
      </c>
      <c r="F2215" t="s">
        <v>5611</v>
      </c>
      <c r="G2215">
        <v>133</v>
      </c>
      <c r="H2215">
        <v>169.22900000000001</v>
      </c>
      <c r="N2215">
        <v>169.22900000000001</v>
      </c>
      <c r="O2215" s="1">
        <v>45039</v>
      </c>
      <c r="P2215">
        <f>IF(ISBLANK(ReconciliationData[[#This Row],[Invoice_ID]]),1,0)</f>
        <v>0</v>
      </c>
      <c r="Q2215">
        <f>IF(AND(NOT(ISBLANK(ReconciliationData[[#This Row],[Billed_Units]])),ReconciliationData[[#This Row],[ordered_units]]&lt;&gt;ReconciliationData[[#This Row],[Billed_Units]]),1,0)</f>
        <v>0</v>
      </c>
      <c r="R22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5">
        <f>IF(AND(NOT(ISBLANK(ReconciliationData[[#This Row],[Contract_Price]])),ReconciliationData[[#This Row],[Billed_Price]]&lt;&gt;ReconciliationData[[#This Row],[Contract_Price]]),1,0)</f>
        <v>0</v>
      </c>
      <c r="T2215">
        <f>IF(AND(NOT(ISBLANK(ReconciliationData[[#This Row],[End_Date]])),ReconciliationData[[#This Row],[Order_Date]]&gt;ReconciliationData[[#This Row],[End_Date]]),1,0)</f>
        <v>0</v>
      </c>
      <c r="U2215">
        <f>IF(AND(NOT(ISBLANK(ReconciliationData[[#This Row],[last_return_date]])),ReconciliationData[[#This Row],[last_return_date]]&gt;ReconciliationData[[#This Row],[Order_Date]]+60),1,0)</f>
        <v>0</v>
      </c>
      <c r="V2215">
        <f>IF(ReconciliationData[[#This Row],[total_returned_units]]&gt;ReconciliationData[[#This Row],[ordered_units]],1,0)</f>
        <v>0</v>
      </c>
      <c r="W22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15">
        <f>ReconciliationData[[#This Row],[Billed_Units]]*ReconciliationData[[#This Row],[Billed_Price]]</f>
        <v>22507.457000000002</v>
      </c>
      <c r="Y2215">
        <f>ReconciliationData[[#This Row],[ordered_units]]*ReconciliationData[[#This Row],[List_Price]]</f>
        <v>22507.457000000002</v>
      </c>
      <c r="Z2215">
        <f>ReconciliationData[[#This Row],[billed_revenue]]-ReconciliationData[[#This Row],[expected_revenue]]</f>
        <v>0</v>
      </c>
      <c r="AA22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15" t="str">
        <f>IF(ReconciliationData[[#This Row],[severity_score]]=0,"LOW",
 IF(ReconciliationData[[#This Row],[severity_score]]&lt;=5,"MEDIUM","HIGH"))</f>
        <v>LOW</v>
      </c>
      <c r="AC2215" t="str">
        <f>TEXT(ReconciliationData[[#This Row],[Order_Date]],"YYYY-MM")</f>
        <v>2024-08</v>
      </c>
    </row>
    <row r="2216" spans="1:29">
      <c r="A2216" t="s">
        <v>5612</v>
      </c>
      <c r="B2216" s="1">
        <v>45076</v>
      </c>
      <c r="C2216" t="s">
        <v>2200</v>
      </c>
      <c r="D2216" t="s">
        <v>468</v>
      </c>
      <c r="E2216">
        <v>76</v>
      </c>
      <c r="F2216" t="s">
        <v>5613</v>
      </c>
      <c r="G2216">
        <v>76</v>
      </c>
      <c r="H2216">
        <v>387.91860000000003</v>
      </c>
      <c r="N2216">
        <v>387.91860000000003</v>
      </c>
      <c r="O2216" s="1">
        <v>45050</v>
      </c>
      <c r="P2216">
        <f>IF(ISBLANK(ReconciliationData[[#This Row],[Invoice_ID]]),1,0)</f>
        <v>0</v>
      </c>
      <c r="Q2216">
        <f>IF(AND(NOT(ISBLANK(ReconciliationData[[#This Row],[Billed_Units]])),ReconciliationData[[#This Row],[ordered_units]]&lt;&gt;ReconciliationData[[#This Row],[Billed_Units]]),1,0)</f>
        <v>0</v>
      </c>
      <c r="R22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6">
        <f>IF(AND(NOT(ISBLANK(ReconciliationData[[#This Row],[Contract_Price]])),ReconciliationData[[#This Row],[Billed_Price]]&lt;&gt;ReconciliationData[[#This Row],[Contract_Price]]),1,0)</f>
        <v>0</v>
      </c>
      <c r="T2216">
        <f>IF(AND(NOT(ISBLANK(ReconciliationData[[#This Row],[End_Date]])),ReconciliationData[[#This Row],[Order_Date]]&gt;ReconciliationData[[#This Row],[End_Date]]),1,0)</f>
        <v>0</v>
      </c>
      <c r="U2216">
        <f>IF(AND(NOT(ISBLANK(ReconciliationData[[#This Row],[last_return_date]])),ReconciliationData[[#This Row],[last_return_date]]&gt;ReconciliationData[[#This Row],[Order_Date]]+60),1,0)</f>
        <v>0</v>
      </c>
      <c r="V2216">
        <f>IF(ReconciliationData[[#This Row],[total_returned_units]]&gt;ReconciliationData[[#This Row],[ordered_units]],1,0)</f>
        <v>0</v>
      </c>
      <c r="W22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16">
        <f>ReconciliationData[[#This Row],[Billed_Units]]*ReconciliationData[[#This Row],[Billed_Price]]</f>
        <v>29481.813600000001</v>
      </c>
      <c r="Y2216">
        <f>ReconciliationData[[#This Row],[ordered_units]]*ReconciliationData[[#This Row],[List_Price]]</f>
        <v>29481.813600000001</v>
      </c>
      <c r="Z2216">
        <f>ReconciliationData[[#This Row],[billed_revenue]]-ReconciliationData[[#This Row],[expected_revenue]]</f>
        <v>0</v>
      </c>
      <c r="AA22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16" t="str">
        <f>IF(ReconciliationData[[#This Row],[severity_score]]=0,"LOW",
 IF(ReconciliationData[[#This Row],[severity_score]]&lt;=5,"MEDIUM","HIGH"))</f>
        <v>LOW</v>
      </c>
      <c r="AC2216" t="str">
        <f>TEXT(ReconciliationData[[#This Row],[Order_Date]],"YYYY-MM")</f>
        <v>2023-05</v>
      </c>
    </row>
    <row r="2217" spans="1:29">
      <c r="A2217" t="s">
        <v>5614</v>
      </c>
      <c r="B2217" s="1">
        <v>45233</v>
      </c>
      <c r="C2217" t="s">
        <v>5615</v>
      </c>
      <c r="D2217" t="s">
        <v>667</v>
      </c>
      <c r="E2217">
        <v>12</v>
      </c>
      <c r="F2217" t="s">
        <v>5616</v>
      </c>
      <c r="G2217">
        <v>12</v>
      </c>
      <c r="H2217">
        <v>989.96579999999994</v>
      </c>
      <c r="N2217">
        <v>989.96579999999994</v>
      </c>
      <c r="O2217" s="1">
        <v>44975</v>
      </c>
      <c r="P2217">
        <f>IF(ISBLANK(ReconciliationData[[#This Row],[Invoice_ID]]),1,0)</f>
        <v>0</v>
      </c>
      <c r="Q2217">
        <f>IF(AND(NOT(ISBLANK(ReconciliationData[[#This Row],[Billed_Units]])),ReconciliationData[[#This Row],[ordered_units]]&lt;&gt;ReconciliationData[[#This Row],[Billed_Units]]),1,0)</f>
        <v>0</v>
      </c>
      <c r="R22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7">
        <f>IF(AND(NOT(ISBLANK(ReconciliationData[[#This Row],[Contract_Price]])),ReconciliationData[[#This Row],[Billed_Price]]&lt;&gt;ReconciliationData[[#This Row],[Contract_Price]]),1,0)</f>
        <v>0</v>
      </c>
      <c r="T2217">
        <f>IF(AND(NOT(ISBLANK(ReconciliationData[[#This Row],[End_Date]])),ReconciliationData[[#This Row],[Order_Date]]&gt;ReconciliationData[[#This Row],[End_Date]]),1,0)</f>
        <v>0</v>
      </c>
      <c r="U2217">
        <f>IF(AND(NOT(ISBLANK(ReconciliationData[[#This Row],[last_return_date]])),ReconciliationData[[#This Row],[last_return_date]]&gt;ReconciliationData[[#This Row],[Order_Date]]+60),1,0)</f>
        <v>0</v>
      </c>
      <c r="V2217">
        <f>IF(ReconciliationData[[#This Row],[total_returned_units]]&gt;ReconciliationData[[#This Row],[ordered_units]],1,0)</f>
        <v>0</v>
      </c>
      <c r="W22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17">
        <f>ReconciliationData[[#This Row],[Billed_Units]]*ReconciliationData[[#This Row],[Billed_Price]]</f>
        <v>11879.589599999999</v>
      </c>
      <c r="Y2217">
        <f>ReconciliationData[[#This Row],[ordered_units]]*ReconciliationData[[#This Row],[List_Price]]</f>
        <v>11879.589599999999</v>
      </c>
      <c r="Z2217">
        <f>ReconciliationData[[#This Row],[billed_revenue]]-ReconciliationData[[#This Row],[expected_revenue]]</f>
        <v>0</v>
      </c>
      <c r="AA22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17" t="str">
        <f>IF(ReconciliationData[[#This Row],[severity_score]]=0,"LOW",
 IF(ReconciliationData[[#This Row],[severity_score]]&lt;=5,"MEDIUM","HIGH"))</f>
        <v>LOW</v>
      </c>
      <c r="AC2217" t="str">
        <f>TEXT(ReconciliationData[[#This Row],[Order_Date]],"YYYY-MM")</f>
        <v>2023-11</v>
      </c>
    </row>
    <row r="2218" spans="1:29">
      <c r="A2218" t="s">
        <v>5617</v>
      </c>
      <c r="B2218" s="1">
        <v>45199</v>
      </c>
      <c r="C2218" t="s">
        <v>388</v>
      </c>
      <c r="D2218" t="s">
        <v>2605</v>
      </c>
      <c r="E2218">
        <v>192</v>
      </c>
      <c r="F2218" t="s">
        <v>5618</v>
      </c>
      <c r="G2218">
        <v>192</v>
      </c>
      <c r="H2218">
        <v>696.93029999999999</v>
      </c>
      <c r="I2218">
        <v>11</v>
      </c>
      <c r="J2218" s="1">
        <v>45398</v>
      </c>
      <c r="N2218">
        <v>696.93029999999999</v>
      </c>
      <c r="O2218" s="1">
        <v>45150</v>
      </c>
      <c r="P2218">
        <f>IF(ISBLANK(ReconciliationData[[#This Row],[Invoice_ID]]),1,0)</f>
        <v>0</v>
      </c>
      <c r="Q2218">
        <f>IF(AND(NOT(ISBLANK(ReconciliationData[[#This Row],[Billed_Units]])),ReconciliationData[[#This Row],[ordered_units]]&lt;&gt;ReconciliationData[[#This Row],[Billed_Units]]),1,0)</f>
        <v>0</v>
      </c>
      <c r="R22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8">
        <f>IF(AND(NOT(ISBLANK(ReconciliationData[[#This Row],[Contract_Price]])),ReconciliationData[[#This Row],[Billed_Price]]&lt;&gt;ReconciliationData[[#This Row],[Contract_Price]]),1,0)</f>
        <v>0</v>
      </c>
      <c r="T2218">
        <f>IF(AND(NOT(ISBLANK(ReconciliationData[[#This Row],[End_Date]])),ReconciliationData[[#This Row],[Order_Date]]&gt;ReconciliationData[[#This Row],[End_Date]]),1,0)</f>
        <v>0</v>
      </c>
      <c r="U2218">
        <f>IF(AND(NOT(ISBLANK(ReconciliationData[[#This Row],[last_return_date]])),ReconciliationData[[#This Row],[last_return_date]]&gt;ReconciliationData[[#This Row],[Order_Date]]+60),1,0)</f>
        <v>1</v>
      </c>
      <c r="V2218">
        <f>IF(ReconciliationData[[#This Row],[total_returned_units]]&gt;ReconciliationData[[#This Row],[ordered_units]],1,0)</f>
        <v>0</v>
      </c>
      <c r="W22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18">
        <f>ReconciliationData[[#This Row],[Billed_Units]]*ReconciliationData[[#This Row],[Billed_Price]]</f>
        <v>133810.6176</v>
      </c>
      <c r="Y2218">
        <f>ReconciliationData[[#This Row],[ordered_units]]*ReconciliationData[[#This Row],[List_Price]]</f>
        <v>133810.6176</v>
      </c>
      <c r="Z2218">
        <f>ReconciliationData[[#This Row],[billed_revenue]]-ReconciliationData[[#This Row],[expected_revenue]]</f>
        <v>0</v>
      </c>
      <c r="AA22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218" t="str">
        <f>IF(ReconciliationData[[#This Row],[severity_score]]=0,"LOW",
 IF(ReconciliationData[[#This Row],[severity_score]]&lt;=5,"MEDIUM","HIGH"))</f>
        <v>MEDIUM</v>
      </c>
      <c r="AC2218" t="str">
        <f>TEXT(ReconciliationData[[#This Row],[Order_Date]],"YYYY-MM")</f>
        <v>2023-09</v>
      </c>
    </row>
    <row r="2219" spans="1:29">
      <c r="A2219" t="s">
        <v>5619</v>
      </c>
      <c r="B2219" s="1">
        <v>45575</v>
      </c>
      <c r="C2219" t="s">
        <v>3462</v>
      </c>
      <c r="D2219" t="s">
        <v>856</v>
      </c>
      <c r="E2219">
        <v>128</v>
      </c>
      <c r="F2219" t="s">
        <v>5620</v>
      </c>
      <c r="G2219">
        <v>128</v>
      </c>
      <c r="H2219">
        <v>1195.6769999999999</v>
      </c>
      <c r="N2219">
        <v>1195.6769999999999</v>
      </c>
      <c r="O2219" s="1">
        <v>45010</v>
      </c>
      <c r="P2219">
        <f>IF(ISBLANK(ReconciliationData[[#This Row],[Invoice_ID]]),1,0)</f>
        <v>0</v>
      </c>
      <c r="Q2219">
        <f>IF(AND(NOT(ISBLANK(ReconciliationData[[#This Row],[Billed_Units]])),ReconciliationData[[#This Row],[ordered_units]]&lt;&gt;ReconciliationData[[#This Row],[Billed_Units]]),1,0)</f>
        <v>0</v>
      </c>
      <c r="R22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19">
        <f>IF(AND(NOT(ISBLANK(ReconciliationData[[#This Row],[Contract_Price]])),ReconciliationData[[#This Row],[Billed_Price]]&lt;&gt;ReconciliationData[[#This Row],[Contract_Price]]),1,0)</f>
        <v>0</v>
      </c>
      <c r="T2219">
        <f>IF(AND(NOT(ISBLANK(ReconciliationData[[#This Row],[End_Date]])),ReconciliationData[[#This Row],[Order_Date]]&gt;ReconciliationData[[#This Row],[End_Date]]),1,0)</f>
        <v>0</v>
      </c>
      <c r="U2219">
        <f>IF(AND(NOT(ISBLANK(ReconciliationData[[#This Row],[last_return_date]])),ReconciliationData[[#This Row],[last_return_date]]&gt;ReconciliationData[[#This Row],[Order_Date]]+60),1,0)</f>
        <v>0</v>
      </c>
      <c r="V2219">
        <f>IF(ReconciliationData[[#This Row],[total_returned_units]]&gt;ReconciliationData[[#This Row],[ordered_units]],1,0)</f>
        <v>0</v>
      </c>
      <c r="W22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19">
        <f>ReconciliationData[[#This Row],[Billed_Units]]*ReconciliationData[[#This Row],[Billed_Price]]</f>
        <v>153046.65599999999</v>
      </c>
      <c r="Y2219">
        <f>ReconciliationData[[#This Row],[ordered_units]]*ReconciliationData[[#This Row],[List_Price]]</f>
        <v>153046.65599999999</v>
      </c>
      <c r="Z2219">
        <f>ReconciliationData[[#This Row],[billed_revenue]]-ReconciliationData[[#This Row],[expected_revenue]]</f>
        <v>0</v>
      </c>
      <c r="AA22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19" t="str">
        <f>IF(ReconciliationData[[#This Row],[severity_score]]=0,"LOW",
 IF(ReconciliationData[[#This Row],[severity_score]]&lt;=5,"MEDIUM","HIGH"))</f>
        <v>LOW</v>
      </c>
      <c r="AC2219" t="str">
        <f>TEXT(ReconciliationData[[#This Row],[Order_Date]],"YYYY-MM")</f>
        <v>2024-10</v>
      </c>
    </row>
    <row r="2220" spans="1:29">
      <c r="A2220" t="s">
        <v>5621</v>
      </c>
      <c r="B2220" s="1">
        <v>45098</v>
      </c>
      <c r="C2220" t="s">
        <v>499</v>
      </c>
      <c r="D2220" t="s">
        <v>1188</v>
      </c>
      <c r="E2220">
        <v>191</v>
      </c>
      <c r="F2220" t="s">
        <v>5622</v>
      </c>
      <c r="G2220">
        <v>196</v>
      </c>
      <c r="H2220">
        <v>73.305100000000024</v>
      </c>
      <c r="N2220">
        <v>73.305100000000024</v>
      </c>
      <c r="O2220" s="1">
        <v>45046</v>
      </c>
      <c r="P2220">
        <f>IF(ISBLANK(ReconciliationData[[#This Row],[Invoice_ID]]),1,0)</f>
        <v>0</v>
      </c>
      <c r="Q2220">
        <f>IF(AND(NOT(ISBLANK(ReconciliationData[[#This Row],[Billed_Units]])),ReconciliationData[[#This Row],[ordered_units]]&lt;&gt;ReconciliationData[[#This Row],[Billed_Units]]),1,0)</f>
        <v>1</v>
      </c>
      <c r="R22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20">
        <f>IF(AND(NOT(ISBLANK(ReconciliationData[[#This Row],[Contract_Price]])),ReconciliationData[[#This Row],[Billed_Price]]&lt;&gt;ReconciliationData[[#This Row],[Contract_Price]]),1,0)</f>
        <v>0</v>
      </c>
      <c r="T2220">
        <f>IF(AND(NOT(ISBLANK(ReconciliationData[[#This Row],[End_Date]])),ReconciliationData[[#This Row],[Order_Date]]&gt;ReconciliationData[[#This Row],[End_Date]]),1,0)</f>
        <v>0</v>
      </c>
      <c r="U2220">
        <f>IF(AND(NOT(ISBLANK(ReconciliationData[[#This Row],[last_return_date]])),ReconciliationData[[#This Row],[last_return_date]]&gt;ReconciliationData[[#This Row],[Order_Date]]+60),1,0)</f>
        <v>0</v>
      </c>
      <c r="V2220">
        <f>IF(ReconciliationData[[#This Row],[total_returned_units]]&gt;ReconciliationData[[#This Row],[ordered_units]],1,0)</f>
        <v>0</v>
      </c>
      <c r="W22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20">
        <f>ReconciliationData[[#This Row],[Billed_Units]]*ReconciliationData[[#This Row],[Billed_Price]]</f>
        <v>14367.799600000004</v>
      </c>
      <c r="Y2220">
        <f>ReconciliationData[[#This Row],[ordered_units]]*ReconciliationData[[#This Row],[List_Price]]</f>
        <v>14001.274100000004</v>
      </c>
      <c r="Z2220">
        <f>ReconciliationData[[#This Row],[billed_revenue]]-ReconciliationData[[#This Row],[expected_revenue]]</f>
        <v>366.52549999999974</v>
      </c>
      <c r="AA22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2220" t="str">
        <f>IF(ReconciliationData[[#This Row],[severity_score]]=0,"LOW",
 IF(ReconciliationData[[#This Row],[severity_score]]&lt;=5,"MEDIUM","HIGH"))</f>
        <v>MEDIUM</v>
      </c>
      <c r="AC2220" t="str">
        <f>TEXT(ReconciliationData[[#This Row],[Order_Date]],"YYYY-MM")</f>
        <v>2023-06</v>
      </c>
    </row>
    <row r="2221" spans="1:29">
      <c r="A2221" t="s">
        <v>5623</v>
      </c>
      <c r="B2221" s="1">
        <v>45645</v>
      </c>
      <c r="C2221" t="s">
        <v>5624</v>
      </c>
      <c r="D2221" t="s">
        <v>3297</v>
      </c>
      <c r="E2221">
        <v>198</v>
      </c>
      <c r="F2221" t="s">
        <v>5625</v>
      </c>
      <c r="G2221">
        <v>198</v>
      </c>
      <c r="H2221">
        <v>933.43190000000004</v>
      </c>
      <c r="N2221">
        <v>933.43190000000004</v>
      </c>
      <c r="O2221" s="1">
        <v>45011</v>
      </c>
      <c r="P2221">
        <f>IF(ISBLANK(ReconciliationData[[#This Row],[Invoice_ID]]),1,0)</f>
        <v>0</v>
      </c>
      <c r="Q2221">
        <f>IF(AND(NOT(ISBLANK(ReconciliationData[[#This Row],[Billed_Units]])),ReconciliationData[[#This Row],[ordered_units]]&lt;&gt;ReconciliationData[[#This Row],[Billed_Units]]),1,0)</f>
        <v>0</v>
      </c>
      <c r="R22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21">
        <f>IF(AND(NOT(ISBLANK(ReconciliationData[[#This Row],[Contract_Price]])),ReconciliationData[[#This Row],[Billed_Price]]&lt;&gt;ReconciliationData[[#This Row],[Contract_Price]]),1,0)</f>
        <v>0</v>
      </c>
      <c r="T2221">
        <f>IF(AND(NOT(ISBLANK(ReconciliationData[[#This Row],[End_Date]])),ReconciliationData[[#This Row],[Order_Date]]&gt;ReconciliationData[[#This Row],[End_Date]]),1,0)</f>
        <v>0</v>
      </c>
      <c r="U2221">
        <f>IF(AND(NOT(ISBLANK(ReconciliationData[[#This Row],[last_return_date]])),ReconciliationData[[#This Row],[last_return_date]]&gt;ReconciliationData[[#This Row],[Order_Date]]+60),1,0)</f>
        <v>0</v>
      </c>
      <c r="V2221">
        <f>IF(ReconciliationData[[#This Row],[total_returned_units]]&gt;ReconciliationData[[#This Row],[ordered_units]],1,0)</f>
        <v>0</v>
      </c>
      <c r="W22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21">
        <f>ReconciliationData[[#This Row],[Billed_Units]]*ReconciliationData[[#This Row],[Billed_Price]]</f>
        <v>184819.51620000001</v>
      </c>
      <c r="Y2221">
        <f>ReconciliationData[[#This Row],[ordered_units]]*ReconciliationData[[#This Row],[List_Price]]</f>
        <v>184819.51620000001</v>
      </c>
      <c r="Z2221">
        <f>ReconciliationData[[#This Row],[billed_revenue]]-ReconciliationData[[#This Row],[expected_revenue]]</f>
        <v>0</v>
      </c>
      <c r="AA22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21" t="str">
        <f>IF(ReconciliationData[[#This Row],[severity_score]]=0,"LOW",
 IF(ReconciliationData[[#This Row],[severity_score]]&lt;=5,"MEDIUM","HIGH"))</f>
        <v>LOW</v>
      </c>
      <c r="AC2221" t="str">
        <f>TEXT(ReconciliationData[[#This Row],[Order_Date]],"YYYY-MM")</f>
        <v>2024-12</v>
      </c>
    </row>
    <row r="2222" spans="1:29">
      <c r="A2222" t="s">
        <v>5626</v>
      </c>
      <c r="B2222" s="1">
        <v>45074</v>
      </c>
      <c r="C2222" t="s">
        <v>3632</v>
      </c>
      <c r="D2222" t="s">
        <v>2568</v>
      </c>
      <c r="E2222">
        <v>91</v>
      </c>
      <c r="F2222" t="s">
        <v>5627</v>
      </c>
      <c r="G2222">
        <v>90</v>
      </c>
      <c r="H2222">
        <v>461.00940000000003</v>
      </c>
      <c r="N2222">
        <v>461.00940000000003</v>
      </c>
      <c r="O2222" s="1">
        <v>45036</v>
      </c>
      <c r="P2222">
        <f>IF(ISBLANK(ReconciliationData[[#This Row],[Invoice_ID]]),1,0)</f>
        <v>0</v>
      </c>
      <c r="Q2222">
        <f>IF(AND(NOT(ISBLANK(ReconciliationData[[#This Row],[Billed_Units]])),ReconciliationData[[#This Row],[ordered_units]]&lt;&gt;ReconciliationData[[#This Row],[Billed_Units]]),1,0)</f>
        <v>1</v>
      </c>
      <c r="R22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22">
        <f>IF(AND(NOT(ISBLANK(ReconciliationData[[#This Row],[Contract_Price]])),ReconciliationData[[#This Row],[Billed_Price]]&lt;&gt;ReconciliationData[[#This Row],[Contract_Price]]),1,0)</f>
        <v>0</v>
      </c>
      <c r="T2222">
        <f>IF(AND(NOT(ISBLANK(ReconciliationData[[#This Row],[End_Date]])),ReconciliationData[[#This Row],[Order_Date]]&gt;ReconciliationData[[#This Row],[End_Date]]),1,0)</f>
        <v>0</v>
      </c>
      <c r="U2222">
        <f>IF(AND(NOT(ISBLANK(ReconciliationData[[#This Row],[last_return_date]])),ReconciliationData[[#This Row],[last_return_date]]&gt;ReconciliationData[[#This Row],[Order_Date]]+60),1,0)</f>
        <v>0</v>
      </c>
      <c r="V2222">
        <f>IF(ReconciliationData[[#This Row],[total_returned_units]]&gt;ReconciliationData[[#This Row],[ordered_units]],1,0)</f>
        <v>0</v>
      </c>
      <c r="W22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22">
        <f>ReconciliationData[[#This Row],[Billed_Units]]*ReconciliationData[[#This Row],[Billed_Price]]</f>
        <v>41490.846000000005</v>
      </c>
      <c r="Y2222">
        <f>ReconciliationData[[#This Row],[ordered_units]]*ReconciliationData[[#This Row],[List_Price]]</f>
        <v>41951.8554</v>
      </c>
      <c r="Z2222">
        <f>ReconciliationData[[#This Row],[billed_revenue]]-ReconciliationData[[#This Row],[expected_revenue]]</f>
        <v>-461.00939999999537</v>
      </c>
      <c r="AA22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2222" t="str">
        <f>IF(ReconciliationData[[#This Row],[severity_score]]=0,"LOW",
 IF(ReconciliationData[[#This Row],[severity_score]]&lt;=5,"MEDIUM","HIGH"))</f>
        <v>MEDIUM</v>
      </c>
      <c r="AC2222" t="str">
        <f>TEXT(ReconciliationData[[#This Row],[Order_Date]],"YYYY-MM")</f>
        <v>2023-05</v>
      </c>
    </row>
    <row r="2223" spans="1:29">
      <c r="A2223" t="s">
        <v>5628</v>
      </c>
      <c r="B2223" s="1">
        <v>45097</v>
      </c>
      <c r="C2223" t="s">
        <v>876</v>
      </c>
      <c r="D2223" t="s">
        <v>564</v>
      </c>
      <c r="E2223">
        <v>115</v>
      </c>
      <c r="F2223" t="s">
        <v>5629</v>
      </c>
      <c r="G2223">
        <v>115</v>
      </c>
      <c r="H2223">
        <v>1171.7046</v>
      </c>
      <c r="N2223">
        <v>1171.7046</v>
      </c>
      <c r="O2223" s="1">
        <v>45077</v>
      </c>
      <c r="P2223">
        <f>IF(ISBLANK(ReconciliationData[[#This Row],[Invoice_ID]]),1,0)</f>
        <v>0</v>
      </c>
      <c r="Q2223">
        <f>IF(AND(NOT(ISBLANK(ReconciliationData[[#This Row],[Billed_Units]])),ReconciliationData[[#This Row],[ordered_units]]&lt;&gt;ReconciliationData[[#This Row],[Billed_Units]]),1,0)</f>
        <v>0</v>
      </c>
      <c r="R22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23">
        <f>IF(AND(NOT(ISBLANK(ReconciliationData[[#This Row],[Contract_Price]])),ReconciliationData[[#This Row],[Billed_Price]]&lt;&gt;ReconciliationData[[#This Row],[Contract_Price]]),1,0)</f>
        <v>0</v>
      </c>
      <c r="T2223">
        <f>IF(AND(NOT(ISBLANK(ReconciliationData[[#This Row],[End_Date]])),ReconciliationData[[#This Row],[Order_Date]]&gt;ReconciliationData[[#This Row],[End_Date]]),1,0)</f>
        <v>0</v>
      </c>
      <c r="U2223">
        <f>IF(AND(NOT(ISBLANK(ReconciliationData[[#This Row],[last_return_date]])),ReconciliationData[[#This Row],[last_return_date]]&gt;ReconciliationData[[#This Row],[Order_Date]]+60),1,0)</f>
        <v>0</v>
      </c>
      <c r="V2223">
        <f>IF(ReconciliationData[[#This Row],[total_returned_units]]&gt;ReconciliationData[[#This Row],[ordered_units]],1,0)</f>
        <v>0</v>
      </c>
      <c r="W22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23">
        <f>ReconciliationData[[#This Row],[Billed_Units]]*ReconciliationData[[#This Row],[Billed_Price]]</f>
        <v>134746.02900000001</v>
      </c>
      <c r="Y2223">
        <f>ReconciliationData[[#This Row],[ordered_units]]*ReconciliationData[[#This Row],[List_Price]]</f>
        <v>134746.02900000001</v>
      </c>
      <c r="Z2223">
        <f>ReconciliationData[[#This Row],[billed_revenue]]-ReconciliationData[[#This Row],[expected_revenue]]</f>
        <v>0</v>
      </c>
      <c r="AA22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23" t="str">
        <f>IF(ReconciliationData[[#This Row],[severity_score]]=0,"LOW",
 IF(ReconciliationData[[#This Row],[severity_score]]&lt;=5,"MEDIUM","HIGH"))</f>
        <v>LOW</v>
      </c>
      <c r="AC2223" t="str">
        <f>TEXT(ReconciliationData[[#This Row],[Order_Date]],"YYYY-MM")</f>
        <v>2023-06</v>
      </c>
    </row>
    <row r="2224" spans="1:29">
      <c r="A2224" t="s">
        <v>5630</v>
      </c>
      <c r="B2224" s="1">
        <v>45317</v>
      </c>
      <c r="C2224" t="s">
        <v>5631</v>
      </c>
      <c r="D2224" t="s">
        <v>707</v>
      </c>
      <c r="E2224">
        <v>180</v>
      </c>
      <c r="F2224" t="s">
        <v>5632</v>
      </c>
      <c r="G2224">
        <v>180</v>
      </c>
      <c r="H2224">
        <v>382.86715657062604</v>
      </c>
      <c r="I2224">
        <v>7</v>
      </c>
      <c r="J2224" s="1">
        <v>44997</v>
      </c>
      <c r="N2224">
        <v>381.97550000000001</v>
      </c>
      <c r="O2224" s="1">
        <v>45065</v>
      </c>
      <c r="P2224">
        <f>IF(ISBLANK(ReconciliationData[[#This Row],[Invoice_ID]]),1,0)</f>
        <v>0</v>
      </c>
      <c r="Q2224">
        <f>IF(AND(NOT(ISBLANK(ReconciliationData[[#This Row],[Billed_Units]])),ReconciliationData[[#This Row],[ordered_units]]&lt;&gt;ReconciliationData[[#This Row],[Billed_Units]]),1,0)</f>
        <v>0</v>
      </c>
      <c r="R222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224">
        <f>IF(AND(NOT(ISBLANK(ReconciliationData[[#This Row],[Contract_Price]])),ReconciliationData[[#This Row],[Billed_Price]]&lt;&gt;ReconciliationData[[#This Row],[Contract_Price]]),1,0)</f>
        <v>0</v>
      </c>
      <c r="T2224">
        <f>IF(AND(NOT(ISBLANK(ReconciliationData[[#This Row],[End_Date]])),ReconciliationData[[#This Row],[Order_Date]]&gt;ReconciliationData[[#This Row],[End_Date]]),1,0)</f>
        <v>0</v>
      </c>
      <c r="U2224">
        <f>IF(AND(NOT(ISBLANK(ReconciliationData[[#This Row],[last_return_date]])),ReconciliationData[[#This Row],[last_return_date]]&gt;ReconciliationData[[#This Row],[Order_Date]]+60),1,0)</f>
        <v>0</v>
      </c>
      <c r="V2224">
        <f>IF(ReconciliationData[[#This Row],[total_returned_units]]&gt;ReconciliationData[[#This Row],[ordered_units]],1,0)</f>
        <v>0</v>
      </c>
      <c r="W22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24">
        <f>ReconciliationData[[#This Row],[Billed_Units]]*ReconciliationData[[#This Row],[Billed_Price]]</f>
        <v>68916.088182712687</v>
      </c>
      <c r="Y2224">
        <f>ReconciliationData[[#This Row],[ordered_units]]*ReconciliationData[[#This Row],[List_Price]]</f>
        <v>68755.59</v>
      </c>
      <c r="Z2224">
        <f>ReconciliationData[[#This Row],[billed_revenue]]-ReconciliationData[[#This Row],[expected_revenue]]</f>
        <v>160.49818271269032</v>
      </c>
      <c r="AA22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224" t="str">
        <f>IF(ReconciliationData[[#This Row],[severity_score]]=0,"LOW",
 IF(ReconciliationData[[#This Row],[severity_score]]&lt;=5,"MEDIUM","HIGH"))</f>
        <v>MEDIUM</v>
      </c>
      <c r="AC2224" t="str">
        <f>TEXT(ReconciliationData[[#This Row],[Order_Date]],"YYYY-MM")</f>
        <v>2024-01</v>
      </c>
    </row>
    <row r="2225" spans="1:29">
      <c r="A2225" t="s">
        <v>5633</v>
      </c>
      <c r="B2225" s="1">
        <v>45039</v>
      </c>
      <c r="C2225" t="s">
        <v>1720</v>
      </c>
      <c r="D2225" t="s">
        <v>295</v>
      </c>
      <c r="E2225">
        <v>80</v>
      </c>
      <c r="F2225" t="s">
        <v>5634</v>
      </c>
      <c r="G2225">
        <v>80</v>
      </c>
      <c r="H2225">
        <v>838.77149999999995</v>
      </c>
      <c r="N2225">
        <v>838.77149999999995</v>
      </c>
      <c r="O2225" s="1">
        <v>44902</v>
      </c>
      <c r="P2225">
        <f>IF(ISBLANK(ReconciliationData[[#This Row],[Invoice_ID]]),1,0)</f>
        <v>0</v>
      </c>
      <c r="Q2225">
        <f>IF(AND(NOT(ISBLANK(ReconciliationData[[#This Row],[Billed_Units]])),ReconciliationData[[#This Row],[ordered_units]]&lt;&gt;ReconciliationData[[#This Row],[Billed_Units]]),1,0)</f>
        <v>0</v>
      </c>
      <c r="R22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25">
        <f>IF(AND(NOT(ISBLANK(ReconciliationData[[#This Row],[Contract_Price]])),ReconciliationData[[#This Row],[Billed_Price]]&lt;&gt;ReconciliationData[[#This Row],[Contract_Price]]),1,0)</f>
        <v>0</v>
      </c>
      <c r="T2225">
        <f>IF(AND(NOT(ISBLANK(ReconciliationData[[#This Row],[End_Date]])),ReconciliationData[[#This Row],[Order_Date]]&gt;ReconciliationData[[#This Row],[End_Date]]),1,0)</f>
        <v>0</v>
      </c>
      <c r="U2225">
        <f>IF(AND(NOT(ISBLANK(ReconciliationData[[#This Row],[last_return_date]])),ReconciliationData[[#This Row],[last_return_date]]&gt;ReconciliationData[[#This Row],[Order_Date]]+60),1,0)</f>
        <v>0</v>
      </c>
      <c r="V2225">
        <f>IF(ReconciliationData[[#This Row],[total_returned_units]]&gt;ReconciliationData[[#This Row],[ordered_units]],1,0)</f>
        <v>0</v>
      </c>
      <c r="W22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25">
        <f>ReconciliationData[[#This Row],[Billed_Units]]*ReconciliationData[[#This Row],[Billed_Price]]</f>
        <v>67101.72</v>
      </c>
      <c r="Y2225">
        <f>ReconciliationData[[#This Row],[ordered_units]]*ReconciliationData[[#This Row],[List_Price]]</f>
        <v>67101.72</v>
      </c>
      <c r="Z2225">
        <f>ReconciliationData[[#This Row],[billed_revenue]]-ReconciliationData[[#This Row],[expected_revenue]]</f>
        <v>0</v>
      </c>
      <c r="AA22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25" t="str">
        <f>IF(ReconciliationData[[#This Row],[severity_score]]=0,"LOW",
 IF(ReconciliationData[[#This Row],[severity_score]]&lt;=5,"MEDIUM","HIGH"))</f>
        <v>LOW</v>
      </c>
      <c r="AC2225" t="str">
        <f>TEXT(ReconciliationData[[#This Row],[Order_Date]],"YYYY-MM")</f>
        <v>2023-04</v>
      </c>
    </row>
    <row r="2226" spans="1:29">
      <c r="A2226" t="s">
        <v>5635</v>
      </c>
      <c r="B2226" s="1">
        <v>45556</v>
      </c>
      <c r="C2226" t="s">
        <v>2542</v>
      </c>
      <c r="D2226" t="s">
        <v>267</v>
      </c>
      <c r="E2226">
        <v>125</v>
      </c>
      <c r="F2226" t="s">
        <v>5636</v>
      </c>
      <c r="G2226">
        <v>125</v>
      </c>
      <c r="H2226">
        <v>973.43799999999999</v>
      </c>
      <c r="N2226">
        <v>973.43799999999999</v>
      </c>
      <c r="O2226" s="1">
        <v>45011</v>
      </c>
      <c r="P2226">
        <f>IF(ISBLANK(ReconciliationData[[#This Row],[Invoice_ID]]),1,0)</f>
        <v>0</v>
      </c>
      <c r="Q2226">
        <f>IF(AND(NOT(ISBLANK(ReconciliationData[[#This Row],[Billed_Units]])),ReconciliationData[[#This Row],[ordered_units]]&lt;&gt;ReconciliationData[[#This Row],[Billed_Units]]),1,0)</f>
        <v>0</v>
      </c>
      <c r="R22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26">
        <f>IF(AND(NOT(ISBLANK(ReconciliationData[[#This Row],[Contract_Price]])),ReconciliationData[[#This Row],[Billed_Price]]&lt;&gt;ReconciliationData[[#This Row],[Contract_Price]]),1,0)</f>
        <v>0</v>
      </c>
      <c r="T2226">
        <f>IF(AND(NOT(ISBLANK(ReconciliationData[[#This Row],[End_Date]])),ReconciliationData[[#This Row],[Order_Date]]&gt;ReconciliationData[[#This Row],[End_Date]]),1,0)</f>
        <v>0</v>
      </c>
      <c r="U2226">
        <f>IF(AND(NOT(ISBLANK(ReconciliationData[[#This Row],[last_return_date]])),ReconciliationData[[#This Row],[last_return_date]]&gt;ReconciliationData[[#This Row],[Order_Date]]+60),1,0)</f>
        <v>0</v>
      </c>
      <c r="V2226">
        <f>IF(ReconciliationData[[#This Row],[total_returned_units]]&gt;ReconciliationData[[#This Row],[ordered_units]],1,0)</f>
        <v>0</v>
      </c>
      <c r="W22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26">
        <f>ReconciliationData[[#This Row],[Billed_Units]]*ReconciliationData[[#This Row],[Billed_Price]]</f>
        <v>121679.75</v>
      </c>
      <c r="Y2226">
        <f>ReconciliationData[[#This Row],[ordered_units]]*ReconciliationData[[#This Row],[List_Price]]</f>
        <v>121679.75</v>
      </c>
      <c r="Z2226">
        <f>ReconciliationData[[#This Row],[billed_revenue]]-ReconciliationData[[#This Row],[expected_revenue]]</f>
        <v>0</v>
      </c>
      <c r="AA22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26" t="str">
        <f>IF(ReconciliationData[[#This Row],[severity_score]]=0,"LOW",
 IF(ReconciliationData[[#This Row],[severity_score]]&lt;=5,"MEDIUM","HIGH"))</f>
        <v>LOW</v>
      </c>
      <c r="AC2226" t="str">
        <f>TEXT(ReconciliationData[[#This Row],[Order_Date]],"YYYY-MM")</f>
        <v>2024-09</v>
      </c>
    </row>
    <row r="2227" spans="1:29">
      <c r="A2227" t="s">
        <v>5637</v>
      </c>
      <c r="B2227" s="1">
        <v>45294</v>
      </c>
      <c r="C2227" t="s">
        <v>1439</v>
      </c>
      <c r="D2227" t="s">
        <v>1459</v>
      </c>
      <c r="E2227">
        <v>77</v>
      </c>
      <c r="F2227" t="s">
        <v>5638</v>
      </c>
      <c r="G2227">
        <v>77</v>
      </c>
      <c r="H2227">
        <v>1149.8634</v>
      </c>
      <c r="N2227">
        <v>1149.8634</v>
      </c>
      <c r="O2227" s="1">
        <v>45135</v>
      </c>
      <c r="P2227">
        <f>IF(ISBLANK(ReconciliationData[[#This Row],[Invoice_ID]]),1,0)</f>
        <v>0</v>
      </c>
      <c r="Q2227">
        <f>IF(AND(NOT(ISBLANK(ReconciliationData[[#This Row],[Billed_Units]])),ReconciliationData[[#This Row],[ordered_units]]&lt;&gt;ReconciliationData[[#This Row],[Billed_Units]]),1,0)</f>
        <v>0</v>
      </c>
      <c r="R22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27">
        <f>IF(AND(NOT(ISBLANK(ReconciliationData[[#This Row],[Contract_Price]])),ReconciliationData[[#This Row],[Billed_Price]]&lt;&gt;ReconciliationData[[#This Row],[Contract_Price]]),1,0)</f>
        <v>0</v>
      </c>
      <c r="T2227">
        <f>IF(AND(NOT(ISBLANK(ReconciliationData[[#This Row],[End_Date]])),ReconciliationData[[#This Row],[Order_Date]]&gt;ReconciliationData[[#This Row],[End_Date]]),1,0)</f>
        <v>0</v>
      </c>
      <c r="U2227">
        <f>IF(AND(NOT(ISBLANK(ReconciliationData[[#This Row],[last_return_date]])),ReconciliationData[[#This Row],[last_return_date]]&gt;ReconciliationData[[#This Row],[Order_Date]]+60),1,0)</f>
        <v>0</v>
      </c>
      <c r="V2227">
        <f>IF(ReconciliationData[[#This Row],[total_returned_units]]&gt;ReconciliationData[[#This Row],[ordered_units]],1,0)</f>
        <v>0</v>
      </c>
      <c r="W22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27">
        <f>ReconciliationData[[#This Row],[Billed_Units]]*ReconciliationData[[#This Row],[Billed_Price]]</f>
        <v>88539.481799999994</v>
      </c>
      <c r="Y2227">
        <f>ReconciliationData[[#This Row],[ordered_units]]*ReconciliationData[[#This Row],[List_Price]]</f>
        <v>88539.481799999994</v>
      </c>
      <c r="Z2227">
        <f>ReconciliationData[[#This Row],[billed_revenue]]-ReconciliationData[[#This Row],[expected_revenue]]</f>
        <v>0</v>
      </c>
      <c r="AA22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27" t="str">
        <f>IF(ReconciliationData[[#This Row],[severity_score]]=0,"LOW",
 IF(ReconciliationData[[#This Row],[severity_score]]&lt;=5,"MEDIUM","HIGH"))</f>
        <v>LOW</v>
      </c>
      <c r="AC2227" t="str">
        <f>TEXT(ReconciliationData[[#This Row],[Order_Date]],"YYYY-MM")</f>
        <v>2024-01</v>
      </c>
    </row>
    <row r="2228" spans="1:29">
      <c r="A2228" t="s">
        <v>5639</v>
      </c>
      <c r="B2228" s="1">
        <v>45422</v>
      </c>
      <c r="C2228" t="s">
        <v>933</v>
      </c>
      <c r="D2228" t="s">
        <v>789</v>
      </c>
      <c r="E2228">
        <v>16</v>
      </c>
      <c r="F2228" t="s">
        <v>5640</v>
      </c>
      <c r="G2228">
        <v>16</v>
      </c>
      <c r="H2228">
        <v>1026.4637</v>
      </c>
      <c r="N2228">
        <v>1026.4637</v>
      </c>
      <c r="O2228" s="1">
        <v>44967</v>
      </c>
      <c r="P2228">
        <f>IF(ISBLANK(ReconciliationData[[#This Row],[Invoice_ID]]),1,0)</f>
        <v>0</v>
      </c>
      <c r="Q2228">
        <f>IF(AND(NOT(ISBLANK(ReconciliationData[[#This Row],[Billed_Units]])),ReconciliationData[[#This Row],[ordered_units]]&lt;&gt;ReconciliationData[[#This Row],[Billed_Units]]),1,0)</f>
        <v>0</v>
      </c>
      <c r="R22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28">
        <f>IF(AND(NOT(ISBLANK(ReconciliationData[[#This Row],[Contract_Price]])),ReconciliationData[[#This Row],[Billed_Price]]&lt;&gt;ReconciliationData[[#This Row],[Contract_Price]]),1,0)</f>
        <v>0</v>
      </c>
      <c r="T2228">
        <f>IF(AND(NOT(ISBLANK(ReconciliationData[[#This Row],[End_Date]])),ReconciliationData[[#This Row],[Order_Date]]&gt;ReconciliationData[[#This Row],[End_Date]]),1,0)</f>
        <v>0</v>
      </c>
      <c r="U2228">
        <f>IF(AND(NOT(ISBLANK(ReconciliationData[[#This Row],[last_return_date]])),ReconciliationData[[#This Row],[last_return_date]]&gt;ReconciliationData[[#This Row],[Order_Date]]+60),1,0)</f>
        <v>0</v>
      </c>
      <c r="V2228">
        <f>IF(ReconciliationData[[#This Row],[total_returned_units]]&gt;ReconciliationData[[#This Row],[ordered_units]],1,0)</f>
        <v>0</v>
      </c>
      <c r="W22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28">
        <f>ReconciliationData[[#This Row],[Billed_Units]]*ReconciliationData[[#This Row],[Billed_Price]]</f>
        <v>16423.4192</v>
      </c>
      <c r="Y2228">
        <f>ReconciliationData[[#This Row],[ordered_units]]*ReconciliationData[[#This Row],[List_Price]]</f>
        <v>16423.4192</v>
      </c>
      <c r="Z2228">
        <f>ReconciliationData[[#This Row],[billed_revenue]]-ReconciliationData[[#This Row],[expected_revenue]]</f>
        <v>0</v>
      </c>
      <c r="AA22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28" t="str">
        <f>IF(ReconciliationData[[#This Row],[severity_score]]=0,"LOW",
 IF(ReconciliationData[[#This Row],[severity_score]]&lt;=5,"MEDIUM","HIGH"))</f>
        <v>LOW</v>
      </c>
      <c r="AC2228" t="str">
        <f>TEXT(ReconciliationData[[#This Row],[Order_Date]],"YYYY-MM")</f>
        <v>2024-05</v>
      </c>
    </row>
    <row r="2229" spans="1:29">
      <c r="A2229" t="s">
        <v>5641</v>
      </c>
      <c r="B2229" s="1">
        <v>45340</v>
      </c>
      <c r="C2229" t="s">
        <v>344</v>
      </c>
      <c r="D2229" t="s">
        <v>1414</v>
      </c>
      <c r="E2229">
        <v>94</v>
      </c>
      <c r="F2229" t="s">
        <v>5642</v>
      </c>
      <c r="G2229">
        <v>94</v>
      </c>
      <c r="H2229">
        <v>872.7808</v>
      </c>
      <c r="N2229">
        <v>872.7808</v>
      </c>
      <c r="O2229" s="1">
        <v>45225</v>
      </c>
      <c r="P2229">
        <f>IF(ISBLANK(ReconciliationData[[#This Row],[Invoice_ID]]),1,0)</f>
        <v>0</v>
      </c>
      <c r="Q2229">
        <f>IF(AND(NOT(ISBLANK(ReconciliationData[[#This Row],[Billed_Units]])),ReconciliationData[[#This Row],[ordered_units]]&lt;&gt;ReconciliationData[[#This Row],[Billed_Units]]),1,0)</f>
        <v>0</v>
      </c>
      <c r="R22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29">
        <f>IF(AND(NOT(ISBLANK(ReconciliationData[[#This Row],[Contract_Price]])),ReconciliationData[[#This Row],[Billed_Price]]&lt;&gt;ReconciliationData[[#This Row],[Contract_Price]]),1,0)</f>
        <v>0</v>
      </c>
      <c r="T2229">
        <f>IF(AND(NOT(ISBLANK(ReconciliationData[[#This Row],[End_Date]])),ReconciliationData[[#This Row],[Order_Date]]&gt;ReconciliationData[[#This Row],[End_Date]]),1,0)</f>
        <v>0</v>
      </c>
      <c r="U2229">
        <f>IF(AND(NOT(ISBLANK(ReconciliationData[[#This Row],[last_return_date]])),ReconciliationData[[#This Row],[last_return_date]]&gt;ReconciliationData[[#This Row],[Order_Date]]+60),1,0)</f>
        <v>0</v>
      </c>
      <c r="V2229">
        <f>IF(ReconciliationData[[#This Row],[total_returned_units]]&gt;ReconciliationData[[#This Row],[ordered_units]],1,0)</f>
        <v>0</v>
      </c>
      <c r="W22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29">
        <f>ReconciliationData[[#This Row],[Billed_Units]]*ReconciliationData[[#This Row],[Billed_Price]]</f>
        <v>82041.395199999999</v>
      </c>
      <c r="Y2229">
        <f>ReconciliationData[[#This Row],[ordered_units]]*ReconciliationData[[#This Row],[List_Price]]</f>
        <v>82041.395199999999</v>
      </c>
      <c r="Z2229">
        <f>ReconciliationData[[#This Row],[billed_revenue]]-ReconciliationData[[#This Row],[expected_revenue]]</f>
        <v>0</v>
      </c>
      <c r="AA22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29" t="str">
        <f>IF(ReconciliationData[[#This Row],[severity_score]]=0,"LOW",
 IF(ReconciliationData[[#This Row],[severity_score]]&lt;=5,"MEDIUM","HIGH"))</f>
        <v>LOW</v>
      </c>
      <c r="AC2229" t="str">
        <f>TEXT(ReconciliationData[[#This Row],[Order_Date]],"YYYY-MM")</f>
        <v>2024-02</v>
      </c>
    </row>
    <row r="2230" spans="1:29">
      <c r="A2230" t="s">
        <v>5643</v>
      </c>
      <c r="B2230" s="1">
        <v>45476</v>
      </c>
      <c r="C2230" t="s">
        <v>1970</v>
      </c>
      <c r="D2230" t="s">
        <v>958</v>
      </c>
      <c r="E2230">
        <v>47</v>
      </c>
      <c r="F2230" t="s">
        <v>5644</v>
      </c>
      <c r="G2230">
        <v>47</v>
      </c>
      <c r="H2230">
        <v>147.87150000000003</v>
      </c>
      <c r="I2230">
        <v>6</v>
      </c>
      <c r="J2230" s="1">
        <v>45562</v>
      </c>
      <c r="N2230">
        <v>147.87150000000003</v>
      </c>
      <c r="O2230" s="1">
        <v>44972</v>
      </c>
      <c r="P2230">
        <f>IF(ISBLANK(ReconciliationData[[#This Row],[Invoice_ID]]),1,0)</f>
        <v>0</v>
      </c>
      <c r="Q2230">
        <f>IF(AND(NOT(ISBLANK(ReconciliationData[[#This Row],[Billed_Units]])),ReconciliationData[[#This Row],[ordered_units]]&lt;&gt;ReconciliationData[[#This Row],[Billed_Units]]),1,0)</f>
        <v>0</v>
      </c>
      <c r="R22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0">
        <f>IF(AND(NOT(ISBLANK(ReconciliationData[[#This Row],[Contract_Price]])),ReconciliationData[[#This Row],[Billed_Price]]&lt;&gt;ReconciliationData[[#This Row],[Contract_Price]]),1,0)</f>
        <v>0</v>
      </c>
      <c r="T2230">
        <f>IF(AND(NOT(ISBLANK(ReconciliationData[[#This Row],[End_Date]])),ReconciliationData[[#This Row],[Order_Date]]&gt;ReconciliationData[[#This Row],[End_Date]]),1,0)</f>
        <v>0</v>
      </c>
      <c r="U2230">
        <f>IF(AND(NOT(ISBLANK(ReconciliationData[[#This Row],[last_return_date]])),ReconciliationData[[#This Row],[last_return_date]]&gt;ReconciliationData[[#This Row],[Order_Date]]+60),1,0)</f>
        <v>1</v>
      </c>
      <c r="V2230">
        <f>IF(ReconciliationData[[#This Row],[total_returned_units]]&gt;ReconciliationData[[#This Row],[ordered_units]],1,0)</f>
        <v>0</v>
      </c>
      <c r="W22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30">
        <f>ReconciliationData[[#This Row],[Billed_Units]]*ReconciliationData[[#This Row],[Billed_Price]]</f>
        <v>6949.960500000001</v>
      </c>
      <c r="Y2230">
        <f>ReconciliationData[[#This Row],[ordered_units]]*ReconciliationData[[#This Row],[List_Price]]</f>
        <v>6949.960500000001</v>
      </c>
      <c r="Z2230">
        <f>ReconciliationData[[#This Row],[billed_revenue]]-ReconciliationData[[#This Row],[expected_revenue]]</f>
        <v>0</v>
      </c>
      <c r="AA22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230" t="str">
        <f>IF(ReconciliationData[[#This Row],[severity_score]]=0,"LOW",
 IF(ReconciliationData[[#This Row],[severity_score]]&lt;=5,"MEDIUM","HIGH"))</f>
        <v>MEDIUM</v>
      </c>
      <c r="AC2230" t="str">
        <f>TEXT(ReconciliationData[[#This Row],[Order_Date]],"YYYY-MM")</f>
        <v>2024-07</v>
      </c>
    </row>
    <row r="2231" spans="1:29">
      <c r="A2231" t="s">
        <v>5645</v>
      </c>
      <c r="B2231" s="1">
        <v>45452</v>
      </c>
      <c r="C2231" t="s">
        <v>785</v>
      </c>
      <c r="D2231" t="s">
        <v>235</v>
      </c>
      <c r="E2231">
        <v>122</v>
      </c>
      <c r="F2231" t="s">
        <v>5646</v>
      </c>
      <c r="G2231">
        <v>122</v>
      </c>
      <c r="H2231">
        <v>426.10500000000002</v>
      </c>
      <c r="N2231">
        <v>426.10500000000002</v>
      </c>
      <c r="O2231" s="1">
        <v>45215</v>
      </c>
      <c r="P2231">
        <f>IF(ISBLANK(ReconciliationData[[#This Row],[Invoice_ID]]),1,0)</f>
        <v>0</v>
      </c>
      <c r="Q2231">
        <f>IF(AND(NOT(ISBLANK(ReconciliationData[[#This Row],[Billed_Units]])),ReconciliationData[[#This Row],[ordered_units]]&lt;&gt;ReconciliationData[[#This Row],[Billed_Units]]),1,0)</f>
        <v>0</v>
      </c>
      <c r="R22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1">
        <f>IF(AND(NOT(ISBLANK(ReconciliationData[[#This Row],[Contract_Price]])),ReconciliationData[[#This Row],[Billed_Price]]&lt;&gt;ReconciliationData[[#This Row],[Contract_Price]]),1,0)</f>
        <v>0</v>
      </c>
      <c r="T2231">
        <f>IF(AND(NOT(ISBLANK(ReconciliationData[[#This Row],[End_Date]])),ReconciliationData[[#This Row],[Order_Date]]&gt;ReconciliationData[[#This Row],[End_Date]]),1,0)</f>
        <v>0</v>
      </c>
      <c r="U2231">
        <f>IF(AND(NOT(ISBLANK(ReconciliationData[[#This Row],[last_return_date]])),ReconciliationData[[#This Row],[last_return_date]]&gt;ReconciliationData[[#This Row],[Order_Date]]+60),1,0)</f>
        <v>0</v>
      </c>
      <c r="V2231">
        <f>IF(ReconciliationData[[#This Row],[total_returned_units]]&gt;ReconciliationData[[#This Row],[ordered_units]],1,0)</f>
        <v>0</v>
      </c>
      <c r="W22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31">
        <f>ReconciliationData[[#This Row],[Billed_Units]]*ReconciliationData[[#This Row],[Billed_Price]]</f>
        <v>51984.810000000005</v>
      </c>
      <c r="Y2231">
        <f>ReconciliationData[[#This Row],[ordered_units]]*ReconciliationData[[#This Row],[List_Price]]</f>
        <v>51984.810000000005</v>
      </c>
      <c r="Z2231">
        <f>ReconciliationData[[#This Row],[billed_revenue]]-ReconciliationData[[#This Row],[expected_revenue]]</f>
        <v>0</v>
      </c>
      <c r="AA22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31" t="str">
        <f>IF(ReconciliationData[[#This Row],[severity_score]]=0,"LOW",
 IF(ReconciliationData[[#This Row],[severity_score]]&lt;=5,"MEDIUM","HIGH"))</f>
        <v>LOW</v>
      </c>
      <c r="AC2231" t="str">
        <f>TEXT(ReconciliationData[[#This Row],[Order_Date]],"YYYY-MM")</f>
        <v>2024-06</v>
      </c>
    </row>
    <row r="2232" spans="1:29">
      <c r="A2232" t="s">
        <v>5647</v>
      </c>
      <c r="B2232" s="1">
        <v>45432</v>
      </c>
      <c r="C2232" t="s">
        <v>3304</v>
      </c>
      <c r="D2232" t="s">
        <v>1424</v>
      </c>
      <c r="E2232">
        <v>21</v>
      </c>
      <c r="F2232" t="s">
        <v>5648</v>
      </c>
      <c r="G2232">
        <v>21</v>
      </c>
      <c r="H2232">
        <v>174.32480000000001</v>
      </c>
      <c r="N2232">
        <v>174.32480000000001</v>
      </c>
      <c r="O2232" s="1">
        <v>45142</v>
      </c>
      <c r="P2232">
        <f>IF(ISBLANK(ReconciliationData[[#This Row],[Invoice_ID]]),1,0)</f>
        <v>0</v>
      </c>
      <c r="Q2232">
        <f>IF(AND(NOT(ISBLANK(ReconciliationData[[#This Row],[Billed_Units]])),ReconciliationData[[#This Row],[ordered_units]]&lt;&gt;ReconciliationData[[#This Row],[Billed_Units]]),1,0)</f>
        <v>0</v>
      </c>
      <c r="R22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2">
        <f>IF(AND(NOT(ISBLANK(ReconciliationData[[#This Row],[Contract_Price]])),ReconciliationData[[#This Row],[Billed_Price]]&lt;&gt;ReconciliationData[[#This Row],[Contract_Price]]),1,0)</f>
        <v>0</v>
      </c>
      <c r="T2232">
        <f>IF(AND(NOT(ISBLANK(ReconciliationData[[#This Row],[End_Date]])),ReconciliationData[[#This Row],[Order_Date]]&gt;ReconciliationData[[#This Row],[End_Date]]),1,0)</f>
        <v>0</v>
      </c>
      <c r="U2232">
        <f>IF(AND(NOT(ISBLANK(ReconciliationData[[#This Row],[last_return_date]])),ReconciliationData[[#This Row],[last_return_date]]&gt;ReconciliationData[[#This Row],[Order_Date]]+60),1,0)</f>
        <v>0</v>
      </c>
      <c r="V2232">
        <f>IF(ReconciliationData[[#This Row],[total_returned_units]]&gt;ReconciliationData[[#This Row],[ordered_units]],1,0)</f>
        <v>0</v>
      </c>
      <c r="W22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32">
        <f>ReconciliationData[[#This Row],[Billed_Units]]*ReconciliationData[[#This Row],[Billed_Price]]</f>
        <v>3660.8208000000004</v>
      </c>
      <c r="Y2232">
        <f>ReconciliationData[[#This Row],[ordered_units]]*ReconciliationData[[#This Row],[List_Price]]</f>
        <v>3660.8208000000004</v>
      </c>
      <c r="Z2232">
        <f>ReconciliationData[[#This Row],[billed_revenue]]-ReconciliationData[[#This Row],[expected_revenue]]</f>
        <v>0</v>
      </c>
      <c r="AA22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32" t="str">
        <f>IF(ReconciliationData[[#This Row],[severity_score]]=0,"LOW",
 IF(ReconciliationData[[#This Row],[severity_score]]&lt;=5,"MEDIUM","HIGH"))</f>
        <v>LOW</v>
      </c>
      <c r="AC2232" t="str">
        <f>TEXT(ReconciliationData[[#This Row],[Order_Date]],"YYYY-MM")</f>
        <v>2024-05</v>
      </c>
    </row>
    <row r="2233" spans="1:29">
      <c r="A2233" t="s">
        <v>5649</v>
      </c>
      <c r="B2233" s="1">
        <v>45641</v>
      </c>
      <c r="C2233" t="s">
        <v>1357</v>
      </c>
      <c r="D2233" t="s">
        <v>349</v>
      </c>
      <c r="E2233">
        <v>156</v>
      </c>
      <c r="F2233" t="s">
        <v>5650</v>
      </c>
      <c r="G2233">
        <v>156</v>
      </c>
      <c r="H2233">
        <v>61.845300000000002</v>
      </c>
      <c r="N2233">
        <v>61.845300000000002</v>
      </c>
      <c r="O2233" s="1">
        <v>45226</v>
      </c>
      <c r="P2233">
        <f>IF(ISBLANK(ReconciliationData[[#This Row],[Invoice_ID]]),1,0)</f>
        <v>0</v>
      </c>
      <c r="Q2233">
        <f>IF(AND(NOT(ISBLANK(ReconciliationData[[#This Row],[Billed_Units]])),ReconciliationData[[#This Row],[ordered_units]]&lt;&gt;ReconciliationData[[#This Row],[Billed_Units]]),1,0)</f>
        <v>0</v>
      </c>
      <c r="R22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3">
        <f>IF(AND(NOT(ISBLANK(ReconciliationData[[#This Row],[Contract_Price]])),ReconciliationData[[#This Row],[Billed_Price]]&lt;&gt;ReconciliationData[[#This Row],[Contract_Price]]),1,0)</f>
        <v>0</v>
      </c>
      <c r="T2233">
        <f>IF(AND(NOT(ISBLANK(ReconciliationData[[#This Row],[End_Date]])),ReconciliationData[[#This Row],[Order_Date]]&gt;ReconciliationData[[#This Row],[End_Date]]),1,0)</f>
        <v>0</v>
      </c>
      <c r="U2233">
        <f>IF(AND(NOT(ISBLANK(ReconciliationData[[#This Row],[last_return_date]])),ReconciliationData[[#This Row],[last_return_date]]&gt;ReconciliationData[[#This Row],[Order_Date]]+60),1,0)</f>
        <v>0</v>
      </c>
      <c r="V2233">
        <f>IF(ReconciliationData[[#This Row],[total_returned_units]]&gt;ReconciliationData[[#This Row],[ordered_units]],1,0)</f>
        <v>0</v>
      </c>
      <c r="W22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33">
        <f>ReconciliationData[[#This Row],[Billed_Units]]*ReconciliationData[[#This Row],[Billed_Price]]</f>
        <v>9647.8667999999998</v>
      </c>
      <c r="Y2233">
        <f>ReconciliationData[[#This Row],[ordered_units]]*ReconciliationData[[#This Row],[List_Price]]</f>
        <v>9647.8667999999998</v>
      </c>
      <c r="Z2233">
        <f>ReconciliationData[[#This Row],[billed_revenue]]-ReconciliationData[[#This Row],[expected_revenue]]</f>
        <v>0</v>
      </c>
      <c r="AA22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33" t="str">
        <f>IF(ReconciliationData[[#This Row],[severity_score]]=0,"LOW",
 IF(ReconciliationData[[#This Row],[severity_score]]&lt;=5,"MEDIUM","HIGH"))</f>
        <v>LOW</v>
      </c>
      <c r="AC2233" t="str">
        <f>TEXT(ReconciliationData[[#This Row],[Order_Date]],"YYYY-MM")</f>
        <v>2024-12</v>
      </c>
    </row>
    <row r="2234" spans="1:29">
      <c r="A2234" t="s">
        <v>5651</v>
      </c>
      <c r="B2234" s="1">
        <v>45611</v>
      </c>
      <c r="C2234" t="s">
        <v>286</v>
      </c>
      <c r="D2234" t="s">
        <v>647</v>
      </c>
      <c r="E2234">
        <v>13</v>
      </c>
      <c r="F2234" t="s">
        <v>5652</v>
      </c>
      <c r="G2234">
        <v>13</v>
      </c>
      <c r="H2234">
        <v>279.42789999999997</v>
      </c>
      <c r="N2234">
        <v>279.42789999999997</v>
      </c>
      <c r="O2234" s="1">
        <v>45103</v>
      </c>
      <c r="P2234">
        <f>IF(ISBLANK(ReconciliationData[[#This Row],[Invoice_ID]]),1,0)</f>
        <v>0</v>
      </c>
      <c r="Q2234">
        <f>IF(AND(NOT(ISBLANK(ReconciliationData[[#This Row],[Billed_Units]])),ReconciliationData[[#This Row],[ordered_units]]&lt;&gt;ReconciliationData[[#This Row],[Billed_Units]]),1,0)</f>
        <v>0</v>
      </c>
      <c r="R22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4">
        <f>IF(AND(NOT(ISBLANK(ReconciliationData[[#This Row],[Contract_Price]])),ReconciliationData[[#This Row],[Billed_Price]]&lt;&gt;ReconciliationData[[#This Row],[Contract_Price]]),1,0)</f>
        <v>0</v>
      </c>
      <c r="T2234">
        <f>IF(AND(NOT(ISBLANK(ReconciliationData[[#This Row],[End_Date]])),ReconciliationData[[#This Row],[Order_Date]]&gt;ReconciliationData[[#This Row],[End_Date]]),1,0)</f>
        <v>0</v>
      </c>
      <c r="U2234">
        <f>IF(AND(NOT(ISBLANK(ReconciliationData[[#This Row],[last_return_date]])),ReconciliationData[[#This Row],[last_return_date]]&gt;ReconciliationData[[#This Row],[Order_Date]]+60),1,0)</f>
        <v>0</v>
      </c>
      <c r="V2234">
        <f>IF(ReconciliationData[[#This Row],[total_returned_units]]&gt;ReconciliationData[[#This Row],[ordered_units]],1,0)</f>
        <v>0</v>
      </c>
      <c r="W22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34">
        <f>ReconciliationData[[#This Row],[Billed_Units]]*ReconciliationData[[#This Row],[Billed_Price]]</f>
        <v>3632.5626999999995</v>
      </c>
      <c r="Y2234">
        <f>ReconciliationData[[#This Row],[ordered_units]]*ReconciliationData[[#This Row],[List_Price]]</f>
        <v>3632.5626999999995</v>
      </c>
      <c r="Z2234">
        <f>ReconciliationData[[#This Row],[billed_revenue]]-ReconciliationData[[#This Row],[expected_revenue]]</f>
        <v>0</v>
      </c>
      <c r="AA22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34" t="str">
        <f>IF(ReconciliationData[[#This Row],[severity_score]]=0,"LOW",
 IF(ReconciliationData[[#This Row],[severity_score]]&lt;=5,"MEDIUM","HIGH"))</f>
        <v>LOW</v>
      </c>
      <c r="AC2234" t="str">
        <f>TEXT(ReconciliationData[[#This Row],[Order_Date]],"YYYY-MM")</f>
        <v>2024-11</v>
      </c>
    </row>
    <row r="2235" spans="1:29">
      <c r="A2235" t="s">
        <v>5653</v>
      </c>
      <c r="B2235" s="1">
        <v>45300</v>
      </c>
      <c r="C2235" t="s">
        <v>3589</v>
      </c>
      <c r="D2235" t="s">
        <v>2563</v>
      </c>
      <c r="E2235">
        <v>181</v>
      </c>
      <c r="F2235" t="s">
        <v>5654</v>
      </c>
      <c r="G2235">
        <v>181</v>
      </c>
      <c r="H2235">
        <v>312.56310000000002</v>
      </c>
      <c r="N2235">
        <v>312.56310000000002</v>
      </c>
      <c r="O2235" s="1">
        <v>45028</v>
      </c>
      <c r="P2235">
        <f>IF(ISBLANK(ReconciliationData[[#This Row],[Invoice_ID]]),1,0)</f>
        <v>0</v>
      </c>
      <c r="Q2235">
        <f>IF(AND(NOT(ISBLANK(ReconciliationData[[#This Row],[Billed_Units]])),ReconciliationData[[#This Row],[ordered_units]]&lt;&gt;ReconciliationData[[#This Row],[Billed_Units]]),1,0)</f>
        <v>0</v>
      </c>
      <c r="R22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5">
        <f>IF(AND(NOT(ISBLANK(ReconciliationData[[#This Row],[Contract_Price]])),ReconciliationData[[#This Row],[Billed_Price]]&lt;&gt;ReconciliationData[[#This Row],[Contract_Price]]),1,0)</f>
        <v>0</v>
      </c>
      <c r="T2235">
        <f>IF(AND(NOT(ISBLANK(ReconciliationData[[#This Row],[End_Date]])),ReconciliationData[[#This Row],[Order_Date]]&gt;ReconciliationData[[#This Row],[End_Date]]),1,0)</f>
        <v>0</v>
      </c>
      <c r="U2235">
        <f>IF(AND(NOT(ISBLANK(ReconciliationData[[#This Row],[last_return_date]])),ReconciliationData[[#This Row],[last_return_date]]&gt;ReconciliationData[[#This Row],[Order_Date]]+60),1,0)</f>
        <v>0</v>
      </c>
      <c r="V2235">
        <f>IF(ReconciliationData[[#This Row],[total_returned_units]]&gt;ReconciliationData[[#This Row],[ordered_units]],1,0)</f>
        <v>0</v>
      </c>
      <c r="W22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35">
        <f>ReconciliationData[[#This Row],[Billed_Units]]*ReconciliationData[[#This Row],[Billed_Price]]</f>
        <v>56573.921100000007</v>
      </c>
      <c r="Y2235">
        <f>ReconciliationData[[#This Row],[ordered_units]]*ReconciliationData[[#This Row],[List_Price]]</f>
        <v>56573.921100000007</v>
      </c>
      <c r="Z2235">
        <f>ReconciliationData[[#This Row],[billed_revenue]]-ReconciliationData[[#This Row],[expected_revenue]]</f>
        <v>0</v>
      </c>
      <c r="AA22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35" t="str">
        <f>IF(ReconciliationData[[#This Row],[severity_score]]=0,"LOW",
 IF(ReconciliationData[[#This Row],[severity_score]]&lt;=5,"MEDIUM","HIGH"))</f>
        <v>LOW</v>
      </c>
      <c r="AC2235" t="str">
        <f>TEXT(ReconciliationData[[#This Row],[Order_Date]],"YYYY-MM")</f>
        <v>2024-01</v>
      </c>
    </row>
    <row r="2236" spans="1:29">
      <c r="A2236" t="s">
        <v>5655</v>
      </c>
      <c r="B2236" s="1">
        <v>45462</v>
      </c>
      <c r="C2236" t="s">
        <v>1111</v>
      </c>
      <c r="D2236" t="s">
        <v>2645</v>
      </c>
      <c r="E2236">
        <v>168</v>
      </c>
      <c r="F2236" t="s">
        <v>5656</v>
      </c>
      <c r="G2236">
        <v>168</v>
      </c>
      <c r="H2236">
        <v>110.9413</v>
      </c>
      <c r="N2236">
        <v>110.9413</v>
      </c>
      <c r="O2236" s="1">
        <v>45153</v>
      </c>
      <c r="P2236">
        <f>IF(ISBLANK(ReconciliationData[[#This Row],[Invoice_ID]]),1,0)</f>
        <v>0</v>
      </c>
      <c r="Q2236">
        <f>IF(AND(NOT(ISBLANK(ReconciliationData[[#This Row],[Billed_Units]])),ReconciliationData[[#This Row],[ordered_units]]&lt;&gt;ReconciliationData[[#This Row],[Billed_Units]]),1,0)</f>
        <v>0</v>
      </c>
      <c r="R22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6">
        <f>IF(AND(NOT(ISBLANK(ReconciliationData[[#This Row],[Contract_Price]])),ReconciliationData[[#This Row],[Billed_Price]]&lt;&gt;ReconciliationData[[#This Row],[Contract_Price]]),1,0)</f>
        <v>0</v>
      </c>
      <c r="T2236">
        <f>IF(AND(NOT(ISBLANK(ReconciliationData[[#This Row],[End_Date]])),ReconciliationData[[#This Row],[Order_Date]]&gt;ReconciliationData[[#This Row],[End_Date]]),1,0)</f>
        <v>0</v>
      </c>
      <c r="U2236">
        <f>IF(AND(NOT(ISBLANK(ReconciliationData[[#This Row],[last_return_date]])),ReconciliationData[[#This Row],[last_return_date]]&gt;ReconciliationData[[#This Row],[Order_Date]]+60),1,0)</f>
        <v>0</v>
      </c>
      <c r="V2236">
        <f>IF(ReconciliationData[[#This Row],[total_returned_units]]&gt;ReconciliationData[[#This Row],[ordered_units]],1,0)</f>
        <v>0</v>
      </c>
      <c r="W22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36">
        <f>ReconciliationData[[#This Row],[Billed_Units]]*ReconciliationData[[#This Row],[Billed_Price]]</f>
        <v>18638.1384</v>
      </c>
      <c r="Y2236">
        <f>ReconciliationData[[#This Row],[ordered_units]]*ReconciliationData[[#This Row],[List_Price]]</f>
        <v>18638.1384</v>
      </c>
      <c r="Z2236">
        <f>ReconciliationData[[#This Row],[billed_revenue]]-ReconciliationData[[#This Row],[expected_revenue]]</f>
        <v>0</v>
      </c>
      <c r="AA22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36" t="str">
        <f>IF(ReconciliationData[[#This Row],[severity_score]]=0,"LOW",
 IF(ReconciliationData[[#This Row],[severity_score]]&lt;=5,"MEDIUM","HIGH"))</f>
        <v>LOW</v>
      </c>
      <c r="AC2236" t="str">
        <f>TEXT(ReconciliationData[[#This Row],[Order_Date]],"YYYY-MM")</f>
        <v>2024-06</v>
      </c>
    </row>
    <row r="2237" spans="1:29">
      <c r="A2237" t="s">
        <v>5657</v>
      </c>
      <c r="B2237" s="1">
        <v>44993</v>
      </c>
      <c r="C2237" t="s">
        <v>2162</v>
      </c>
      <c r="D2237" t="s">
        <v>958</v>
      </c>
      <c r="E2237">
        <v>72</v>
      </c>
      <c r="F2237" t="s">
        <v>5658</v>
      </c>
      <c r="G2237">
        <v>72</v>
      </c>
      <c r="H2237">
        <v>147.87150000000003</v>
      </c>
      <c r="N2237">
        <v>147.87150000000003</v>
      </c>
      <c r="O2237" s="1">
        <v>44972</v>
      </c>
      <c r="P2237">
        <f>IF(ISBLANK(ReconciliationData[[#This Row],[Invoice_ID]]),1,0)</f>
        <v>0</v>
      </c>
      <c r="Q2237">
        <f>IF(AND(NOT(ISBLANK(ReconciliationData[[#This Row],[Billed_Units]])),ReconciliationData[[#This Row],[ordered_units]]&lt;&gt;ReconciliationData[[#This Row],[Billed_Units]]),1,0)</f>
        <v>0</v>
      </c>
      <c r="R22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7">
        <f>IF(AND(NOT(ISBLANK(ReconciliationData[[#This Row],[Contract_Price]])),ReconciliationData[[#This Row],[Billed_Price]]&lt;&gt;ReconciliationData[[#This Row],[Contract_Price]]),1,0)</f>
        <v>0</v>
      </c>
      <c r="T2237">
        <f>IF(AND(NOT(ISBLANK(ReconciliationData[[#This Row],[End_Date]])),ReconciliationData[[#This Row],[Order_Date]]&gt;ReconciliationData[[#This Row],[End_Date]]),1,0)</f>
        <v>0</v>
      </c>
      <c r="U2237">
        <f>IF(AND(NOT(ISBLANK(ReconciliationData[[#This Row],[last_return_date]])),ReconciliationData[[#This Row],[last_return_date]]&gt;ReconciliationData[[#This Row],[Order_Date]]+60),1,0)</f>
        <v>0</v>
      </c>
      <c r="V2237">
        <f>IF(ReconciliationData[[#This Row],[total_returned_units]]&gt;ReconciliationData[[#This Row],[ordered_units]],1,0)</f>
        <v>0</v>
      </c>
      <c r="W22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37">
        <f>ReconciliationData[[#This Row],[Billed_Units]]*ReconciliationData[[#This Row],[Billed_Price]]</f>
        <v>10646.748000000001</v>
      </c>
      <c r="Y2237">
        <f>ReconciliationData[[#This Row],[ordered_units]]*ReconciliationData[[#This Row],[List_Price]]</f>
        <v>10646.748000000001</v>
      </c>
      <c r="Z2237">
        <f>ReconciliationData[[#This Row],[billed_revenue]]-ReconciliationData[[#This Row],[expected_revenue]]</f>
        <v>0</v>
      </c>
      <c r="AA22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37" t="str">
        <f>IF(ReconciliationData[[#This Row],[severity_score]]=0,"LOW",
 IF(ReconciliationData[[#This Row],[severity_score]]&lt;=5,"MEDIUM","HIGH"))</f>
        <v>LOW</v>
      </c>
      <c r="AC2237" t="str">
        <f>TEXT(ReconciliationData[[#This Row],[Order_Date]],"YYYY-MM")</f>
        <v>2023-03</v>
      </c>
    </row>
    <row r="2238" spans="1:29">
      <c r="A2238" t="s">
        <v>5659</v>
      </c>
      <c r="B2238" s="1">
        <v>45269</v>
      </c>
      <c r="C2238" t="s">
        <v>2010</v>
      </c>
      <c r="D2238" t="s">
        <v>1671</v>
      </c>
      <c r="E2238">
        <v>62</v>
      </c>
      <c r="F2238" t="s">
        <v>5660</v>
      </c>
      <c r="G2238">
        <v>69</v>
      </c>
      <c r="H2238">
        <v>488.43360000000007</v>
      </c>
      <c r="N2238">
        <v>488.43360000000007</v>
      </c>
      <c r="O2238" s="1">
        <v>45107</v>
      </c>
      <c r="P2238">
        <f>IF(ISBLANK(ReconciliationData[[#This Row],[Invoice_ID]]),1,0)</f>
        <v>0</v>
      </c>
      <c r="Q2238">
        <f>IF(AND(NOT(ISBLANK(ReconciliationData[[#This Row],[Billed_Units]])),ReconciliationData[[#This Row],[ordered_units]]&lt;&gt;ReconciliationData[[#This Row],[Billed_Units]]),1,0)</f>
        <v>1</v>
      </c>
      <c r="R22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8">
        <f>IF(AND(NOT(ISBLANK(ReconciliationData[[#This Row],[Contract_Price]])),ReconciliationData[[#This Row],[Billed_Price]]&lt;&gt;ReconciliationData[[#This Row],[Contract_Price]]),1,0)</f>
        <v>0</v>
      </c>
      <c r="T2238">
        <f>IF(AND(NOT(ISBLANK(ReconciliationData[[#This Row],[End_Date]])),ReconciliationData[[#This Row],[Order_Date]]&gt;ReconciliationData[[#This Row],[End_Date]]),1,0)</f>
        <v>0</v>
      </c>
      <c r="U2238">
        <f>IF(AND(NOT(ISBLANK(ReconciliationData[[#This Row],[last_return_date]])),ReconciliationData[[#This Row],[last_return_date]]&gt;ReconciliationData[[#This Row],[Order_Date]]+60),1,0)</f>
        <v>0</v>
      </c>
      <c r="V2238">
        <f>IF(ReconciliationData[[#This Row],[total_returned_units]]&gt;ReconciliationData[[#This Row],[ordered_units]],1,0)</f>
        <v>0</v>
      </c>
      <c r="W22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38">
        <f>ReconciliationData[[#This Row],[Billed_Units]]*ReconciliationData[[#This Row],[Billed_Price]]</f>
        <v>33701.918400000002</v>
      </c>
      <c r="Y2238">
        <f>ReconciliationData[[#This Row],[ordered_units]]*ReconciliationData[[#This Row],[List_Price]]</f>
        <v>30282.883200000004</v>
      </c>
      <c r="Z2238">
        <f>ReconciliationData[[#This Row],[billed_revenue]]-ReconciliationData[[#This Row],[expected_revenue]]</f>
        <v>3419.0351999999984</v>
      </c>
      <c r="AA22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238" t="str">
        <f>IF(ReconciliationData[[#This Row],[severity_score]]=0,"LOW",
 IF(ReconciliationData[[#This Row],[severity_score]]&lt;=5,"MEDIUM","HIGH"))</f>
        <v>HIGH</v>
      </c>
      <c r="AC2238" t="str">
        <f>TEXT(ReconciliationData[[#This Row],[Order_Date]],"YYYY-MM")</f>
        <v>2023-12</v>
      </c>
    </row>
    <row r="2239" spans="1:29">
      <c r="A2239" t="s">
        <v>5661</v>
      </c>
      <c r="B2239" s="1">
        <v>45416</v>
      </c>
      <c r="C2239" t="s">
        <v>3259</v>
      </c>
      <c r="D2239" t="s">
        <v>775</v>
      </c>
      <c r="E2239">
        <v>43</v>
      </c>
      <c r="F2239" t="s">
        <v>5662</v>
      </c>
      <c r="G2239">
        <v>43</v>
      </c>
      <c r="H2239">
        <v>1231.8180000000002</v>
      </c>
      <c r="N2239">
        <v>1231.8180000000002</v>
      </c>
      <c r="O2239" s="1">
        <v>45048</v>
      </c>
      <c r="P2239">
        <f>IF(ISBLANK(ReconciliationData[[#This Row],[Invoice_ID]]),1,0)</f>
        <v>0</v>
      </c>
      <c r="Q2239">
        <f>IF(AND(NOT(ISBLANK(ReconciliationData[[#This Row],[Billed_Units]])),ReconciliationData[[#This Row],[ordered_units]]&lt;&gt;ReconciliationData[[#This Row],[Billed_Units]]),1,0)</f>
        <v>0</v>
      </c>
      <c r="R22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39">
        <f>IF(AND(NOT(ISBLANK(ReconciliationData[[#This Row],[Contract_Price]])),ReconciliationData[[#This Row],[Billed_Price]]&lt;&gt;ReconciliationData[[#This Row],[Contract_Price]]),1,0)</f>
        <v>0</v>
      </c>
      <c r="T2239">
        <f>IF(AND(NOT(ISBLANK(ReconciliationData[[#This Row],[End_Date]])),ReconciliationData[[#This Row],[Order_Date]]&gt;ReconciliationData[[#This Row],[End_Date]]),1,0)</f>
        <v>0</v>
      </c>
      <c r="U2239">
        <f>IF(AND(NOT(ISBLANK(ReconciliationData[[#This Row],[last_return_date]])),ReconciliationData[[#This Row],[last_return_date]]&gt;ReconciliationData[[#This Row],[Order_Date]]+60),1,0)</f>
        <v>0</v>
      </c>
      <c r="V2239">
        <f>IF(ReconciliationData[[#This Row],[total_returned_units]]&gt;ReconciliationData[[#This Row],[ordered_units]],1,0)</f>
        <v>0</v>
      </c>
      <c r="W22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39">
        <f>ReconciliationData[[#This Row],[Billed_Units]]*ReconciliationData[[#This Row],[Billed_Price]]</f>
        <v>52968.174000000006</v>
      </c>
      <c r="Y2239">
        <f>ReconciliationData[[#This Row],[ordered_units]]*ReconciliationData[[#This Row],[List_Price]]</f>
        <v>52968.174000000006</v>
      </c>
      <c r="Z2239">
        <f>ReconciliationData[[#This Row],[billed_revenue]]-ReconciliationData[[#This Row],[expected_revenue]]</f>
        <v>0</v>
      </c>
      <c r="AA22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39" t="str">
        <f>IF(ReconciliationData[[#This Row],[severity_score]]=0,"LOW",
 IF(ReconciliationData[[#This Row],[severity_score]]&lt;=5,"MEDIUM","HIGH"))</f>
        <v>LOW</v>
      </c>
      <c r="AC2239" t="str">
        <f>TEXT(ReconciliationData[[#This Row],[Order_Date]],"YYYY-MM")</f>
        <v>2024-05</v>
      </c>
    </row>
    <row r="2240" spans="1:29">
      <c r="A2240" t="s">
        <v>5663</v>
      </c>
      <c r="B2240" s="1">
        <v>45600</v>
      </c>
      <c r="C2240" t="s">
        <v>547</v>
      </c>
      <c r="D2240" t="s">
        <v>231</v>
      </c>
      <c r="E2240">
        <v>84</v>
      </c>
      <c r="F2240" t="s">
        <v>5664</v>
      </c>
      <c r="G2240">
        <v>84</v>
      </c>
      <c r="H2240">
        <v>77.398200000000003</v>
      </c>
      <c r="I2240">
        <v>18</v>
      </c>
      <c r="J2240" s="1">
        <v>45027</v>
      </c>
      <c r="N2240">
        <v>77.398200000000003</v>
      </c>
      <c r="O2240" s="1">
        <v>45032</v>
      </c>
      <c r="P2240">
        <f>IF(ISBLANK(ReconciliationData[[#This Row],[Invoice_ID]]),1,0)</f>
        <v>0</v>
      </c>
      <c r="Q2240">
        <f>IF(AND(NOT(ISBLANK(ReconciliationData[[#This Row],[Billed_Units]])),ReconciliationData[[#This Row],[ordered_units]]&lt;&gt;ReconciliationData[[#This Row],[Billed_Units]]),1,0)</f>
        <v>0</v>
      </c>
      <c r="R22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0">
        <f>IF(AND(NOT(ISBLANK(ReconciliationData[[#This Row],[Contract_Price]])),ReconciliationData[[#This Row],[Billed_Price]]&lt;&gt;ReconciliationData[[#This Row],[Contract_Price]]),1,0)</f>
        <v>0</v>
      </c>
      <c r="T2240">
        <f>IF(AND(NOT(ISBLANK(ReconciliationData[[#This Row],[End_Date]])),ReconciliationData[[#This Row],[Order_Date]]&gt;ReconciliationData[[#This Row],[End_Date]]),1,0)</f>
        <v>0</v>
      </c>
      <c r="U2240">
        <f>IF(AND(NOT(ISBLANK(ReconciliationData[[#This Row],[last_return_date]])),ReconciliationData[[#This Row],[last_return_date]]&gt;ReconciliationData[[#This Row],[Order_Date]]+60),1,0)</f>
        <v>0</v>
      </c>
      <c r="V2240">
        <f>IF(ReconciliationData[[#This Row],[total_returned_units]]&gt;ReconciliationData[[#This Row],[ordered_units]],1,0)</f>
        <v>0</v>
      </c>
      <c r="W22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40">
        <f>ReconciliationData[[#This Row],[Billed_Units]]*ReconciliationData[[#This Row],[Billed_Price]]</f>
        <v>6501.4488000000001</v>
      </c>
      <c r="Y2240">
        <f>ReconciliationData[[#This Row],[ordered_units]]*ReconciliationData[[#This Row],[List_Price]]</f>
        <v>6501.4488000000001</v>
      </c>
      <c r="Z2240">
        <f>ReconciliationData[[#This Row],[billed_revenue]]-ReconciliationData[[#This Row],[expected_revenue]]</f>
        <v>0</v>
      </c>
      <c r="AA22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40" t="str">
        <f>IF(ReconciliationData[[#This Row],[severity_score]]=0,"LOW",
 IF(ReconciliationData[[#This Row],[severity_score]]&lt;=5,"MEDIUM","HIGH"))</f>
        <v>LOW</v>
      </c>
      <c r="AC2240" t="str">
        <f>TEXT(ReconciliationData[[#This Row],[Order_Date]],"YYYY-MM")</f>
        <v>2024-11</v>
      </c>
    </row>
    <row r="2241" spans="1:29">
      <c r="A2241" t="s">
        <v>5665</v>
      </c>
      <c r="B2241" s="1">
        <v>45236</v>
      </c>
      <c r="C2241" t="s">
        <v>687</v>
      </c>
      <c r="D2241" t="s">
        <v>2245</v>
      </c>
      <c r="E2241">
        <v>55</v>
      </c>
      <c r="F2241" t="s">
        <v>5666</v>
      </c>
      <c r="G2241">
        <v>55</v>
      </c>
      <c r="H2241">
        <v>378.91109999999998</v>
      </c>
      <c r="N2241">
        <v>378.91109999999998</v>
      </c>
      <c r="O2241" s="1">
        <v>45117</v>
      </c>
      <c r="P2241">
        <f>IF(ISBLANK(ReconciliationData[[#This Row],[Invoice_ID]]),1,0)</f>
        <v>0</v>
      </c>
      <c r="Q2241">
        <f>IF(AND(NOT(ISBLANK(ReconciliationData[[#This Row],[Billed_Units]])),ReconciliationData[[#This Row],[ordered_units]]&lt;&gt;ReconciliationData[[#This Row],[Billed_Units]]),1,0)</f>
        <v>0</v>
      </c>
      <c r="R22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1">
        <f>IF(AND(NOT(ISBLANK(ReconciliationData[[#This Row],[Contract_Price]])),ReconciliationData[[#This Row],[Billed_Price]]&lt;&gt;ReconciliationData[[#This Row],[Contract_Price]]),1,0)</f>
        <v>0</v>
      </c>
      <c r="T2241">
        <f>IF(AND(NOT(ISBLANK(ReconciliationData[[#This Row],[End_Date]])),ReconciliationData[[#This Row],[Order_Date]]&gt;ReconciliationData[[#This Row],[End_Date]]),1,0)</f>
        <v>0</v>
      </c>
      <c r="U2241">
        <f>IF(AND(NOT(ISBLANK(ReconciliationData[[#This Row],[last_return_date]])),ReconciliationData[[#This Row],[last_return_date]]&gt;ReconciliationData[[#This Row],[Order_Date]]+60),1,0)</f>
        <v>0</v>
      </c>
      <c r="V2241">
        <f>IF(ReconciliationData[[#This Row],[total_returned_units]]&gt;ReconciliationData[[#This Row],[ordered_units]],1,0)</f>
        <v>0</v>
      </c>
      <c r="W22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41">
        <f>ReconciliationData[[#This Row],[Billed_Units]]*ReconciliationData[[#This Row],[Billed_Price]]</f>
        <v>20840.110499999999</v>
      </c>
      <c r="Y2241">
        <f>ReconciliationData[[#This Row],[ordered_units]]*ReconciliationData[[#This Row],[List_Price]]</f>
        <v>20840.110499999999</v>
      </c>
      <c r="Z2241">
        <f>ReconciliationData[[#This Row],[billed_revenue]]-ReconciliationData[[#This Row],[expected_revenue]]</f>
        <v>0</v>
      </c>
      <c r="AA22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41" t="str">
        <f>IF(ReconciliationData[[#This Row],[severity_score]]=0,"LOW",
 IF(ReconciliationData[[#This Row],[severity_score]]&lt;=5,"MEDIUM","HIGH"))</f>
        <v>LOW</v>
      </c>
      <c r="AC2241" t="str">
        <f>TEXT(ReconciliationData[[#This Row],[Order_Date]],"YYYY-MM")</f>
        <v>2023-11</v>
      </c>
    </row>
    <row r="2242" spans="1:29">
      <c r="A2242" t="s">
        <v>5667</v>
      </c>
      <c r="B2242" s="1">
        <v>44943</v>
      </c>
      <c r="C2242" t="s">
        <v>2320</v>
      </c>
      <c r="D2242" t="s">
        <v>162</v>
      </c>
      <c r="E2242">
        <v>4</v>
      </c>
      <c r="F2242" t="s">
        <v>5668</v>
      </c>
      <c r="G2242">
        <v>4</v>
      </c>
      <c r="H2242">
        <v>563.59040000000005</v>
      </c>
      <c r="N2242">
        <v>563.59040000000005</v>
      </c>
      <c r="O2242" s="1">
        <v>44835</v>
      </c>
      <c r="P2242">
        <f>IF(ISBLANK(ReconciliationData[[#This Row],[Invoice_ID]]),1,0)</f>
        <v>0</v>
      </c>
      <c r="Q2242">
        <f>IF(AND(NOT(ISBLANK(ReconciliationData[[#This Row],[Billed_Units]])),ReconciliationData[[#This Row],[ordered_units]]&lt;&gt;ReconciliationData[[#This Row],[Billed_Units]]),1,0)</f>
        <v>0</v>
      </c>
      <c r="R22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2">
        <f>IF(AND(NOT(ISBLANK(ReconciliationData[[#This Row],[Contract_Price]])),ReconciliationData[[#This Row],[Billed_Price]]&lt;&gt;ReconciliationData[[#This Row],[Contract_Price]]),1,0)</f>
        <v>0</v>
      </c>
      <c r="T2242">
        <f>IF(AND(NOT(ISBLANK(ReconciliationData[[#This Row],[End_Date]])),ReconciliationData[[#This Row],[Order_Date]]&gt;ReconciliationData[[#This Row],[End_Date]]),1,0)</f>
        <v>0</v>
      </c>
      <c r="U2242">
        <f>IF(AND(NOT(ISBLANK(ReconciliationData[[#This Row],[last_return_date]])),ReconciliationData[[#This Row],[last_return_date]]&gt;ReconciliationData[[#This Row],[Order_Date]]+60),1,0)</f>
        <v>0</v>
      </c>
      <c r="V2242">
        <f>IF(ReconciliationData[[#This Row],[total_returned_units]]&gt;ReconciliationData[[#This Row],[ordered_units]],1,0)</f>
        <v>0</v>
      </c>
      <c r="W22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42">
        <f>ReconciliationData[[#This Row],[Billed_Units]]*ReconciliationData[[#This Row],[Billed_Price]]</f>
        <v>2254.3616000000002</v>
      </c>
      <c r="Y2242">
        <f>ReconciliationData[[#This Row],[ordered_units]]*ReconciliationData[[#This Row],[List_Price]]</f>
        <v>2254.3616000000002</v>
      </c>
      <c r="Z2242">
        <f>ReconciliationData[[#This Row],[billed_revenue]]-ReconciliationData[[#This Row],[expected_revenue]]</f>
        <v>0</v>
      </c>
      <c r="AA22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42" t="str">
        <f>IF(ReconciliationData[[#This Row],[severity_score]]=0,"LOW",
 IF(ReconciliationData[[#This Row],[severity_score]]&lt;=5,"MEDIUM","HIGH"))</f>
        <v>LOW</v>
      </c>
      <c r="AC2242" t="str">
        <f>TEXT(ReconciliationData[[#This Row],[Order_Date]],"YYYY-MM")</f>
        <v>2023-01</v>
      </c>
    </row>
    <row r="2243" spans="1:29">
      <c r="A2243" t="s">
        <v>5669</v>
      </c>
      <c r="B2243" s="1">
        <v>45175</v>
      </c>
      <c r="C2243" t="s">
        <v>1953</v>
      </c>
      <c r="D2243" t="s">
        <v>912</v>
      </c>
      <c r="E2243">
        <v>53</v>
      </c>
      <c r="F2243" t="s">
        <v>5670</v>
      </c>
      <c r="G2243">
        <v>53</v>
      </c>
      <c r="H2243">
        <v>376.38049999999998</v>
      </c>
      <c r="N2243">
        <v>376.38049999999998</v>
      </c>
      <c r="O2243" s="1">
        <v>44984</v>
      </c>
      <c r="P2243">
        <f>IF(ISBLANK(ReconciliationData[[#This Row],[Invoice_ID]]),1,0)</f>
        <v>0</v>
      </c>
      <c r="Q2243">
        <f>IF(AND(NOT(ISBLANK(ReconciliationData[[#This Row],[Billed_Units]])),ReconciliationData[[#This Row],[ordered_units]]&lt;&gt;ReconciliationData[[#This Row],[Billed_Units]]),1,0)</f>
        <v>0</v>
      </c>
      <c r="R22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3">
        <f>IF(AND(NOT(ISBLANK(ReconciliationData[[#This Row],[Contract_Price]])),ReconciliationData[[#This Row],[Billed_Price]]&lt;&gt;ReconciliationData[[#This Row],[Contract_Price]]),1,0)</f>
        <v>0</v>
      </c>
      <c r="T2243">
        <f>IF(AND(NOT(ISBLANK(ReconciliationData[[#This Row],[End_Date]])),ReconciliationData[[#This Row],[Order_Date]]&gt;ReconciliationData[[#This Row],[End_Date]]),1,0)</f>
        <v>0</v>
      </c>
      <c r="U2243">
        <f>IF(AND(NOT(ISBLANK(ReconciliationData[[#This Row],[last_return_date]])),ReconciliationData[[#This Row],[last_return_date]]&gt;ReconciliationData[[#This Row],[Order_Date]]+60),1,0)</f>
        <v>0</v>
      </c>
      <c r="V2243">
        <f>IF(ReconciliationData[[#This Row],[total_returned_units]]&gt;ReconciliationData[[#This Row],[ordered_units]],1,0)</f>
        <v>0</v>
      </c>
      <c r="W22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43">
        <f>ReconciliationData[[#This Row],[Billed_Units]]*ReconciliationData[[#This Row],[Billed_Price]]</f>
        <v>19948.166499999999</v>
      </c>
      <c r="Y2243">
        <f>ReconciliationData[[#This Row],[ordered_units]]*ReconciliationData[[#This Row],[List_Price]]</f>
        <v>19948.166499999999</v>
      </c>
      <c r="Z2243">
        <f>ReconciliationData[[#This Row],[billed_revenue]]-ReconciliationData[[#This Row],[expected_revenue]]</f>
        <v>0</v>
      </c>
      <c r="AA22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43" t="str">
        <f>IF(ReconciliationData[[#This Row],[severity_score]]=0,"LOW",
 IF(ReconciliationData[[#This Row],[severity_score]]&lt;=5,"MEDIUM","HIGH"))</f>
        <v>LOW</v>
      </c>
      <c r="AC2243" t="str">
        <f>TEXT(ReconciliationData[[#This Row],[Order_Date]],"YYYY-MM")</f>
        <v>2023-09</v>
      </c>
    </row>
    <row r="2244" spans="1:29">
      <c r="A2244" t="s">
        <v>5671</v>
      </c>
      <c r="B2244" s="1">
        <v>45167</v>
      </c>
      <c r="C2244" t="s">
        <v>2291</v>
      </c>
      <c r="D2244" t="s">
        <v>614</v>
      </c>
      <c r="E2244">
        <v>64</v>
      </c>
      <c r="F2244" t="s">
        <v>5672</v>
      </c>
      <c r="G2244">
        <v>64</v>
      </c>
      <c r="H2244">
        <v>1021.8869999999999</v>
      </c>
      <c r="N2244">
        <v>1021.8869999999999</v>
      </c>
      <c r="O2244" s="1">
        <v>45020</v>
      </c>
      <c r="P2244">
        <f>IF(ISBLANK(ReconciliationData[[#This Row],[Invoice_ID]]),1,0)</f>
        <v>0</v>
      </c>
      <c r="Q2244">
        <f>IF(AND(NOT(ISBLANK(ReconciliationData[[#This Row],[Billed_Units]])),ReconciliationData[[#This Row],[ordered_units]]&lt;&gt;ReconciliationData[[#This Row],[Billed_Units]]),1,0)</f>
        <v>0</v>
      </c>
      <c r="R22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4">
        <f>IF(AND(NOT(ISBLANK(ReconciliationData[[#This Row],[Contract_Price]])),ReconciliationData[[#This Row],[Billed_Price]]&lt;&gt;ReconciliationData[[#This Row],[Contract_Price]]),1,0)</f>
        <v>0</v>
      </c>
      <c r="T2244">
        <f>IF(AND(NOT(ISBLANK(ReconciliationData[[#This Row],[End_Date]])),ReconciliationData[[#This Row],[Order_Date]]&gt;ReconciliationData[[#This Row],[End_Date]]),1,0)</f>
        <v>0</v>
      </c>
      <c r="U2244">
        <f>IF(AND(NOT(ISBLANK(ReconciliationData[[#This Row],[last_return_date]])),ReconciliationData[[#This Row],[last_return_date]]&gt;ReconciliationData[[#This Row],[Order_Date]]+60),1,0)</f>
        <v>0</v>
      </c>
      <c r="V2244">
        <f>IF(ReconciliationData[[#This Row],[total_returned_units]]&gt;ReconciliationData[[#This Row],[ordered_units]],1,0)</f>
        <v>0</v>
      </c>
      <c r="W22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44">
        <f>ReconciliationData[[#This Row],[Billed_Units]]*ReconciliationData[[#This Row],[Billed_Price]]</f>
        <v>65400.767999999996</v>
      </c>
      <c r="Y2244">
        <f>ReconciliationData[[#This Row],[ordered_units]]*ReconciliationData[[#This Row],[List_Price]]</f>
        <v>65400.767999999996</v>
      </c>
      <c r="Z2244">
        <f>ReconciliationData[[#This Row],[billed_revenue]]-ReconciliationData[[#This Row],[expected_revenue]]</f>
        <v>0</v>
      </c>
      <c r="AA22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44" t="str">
        <f>IF(ReconciliationData[[#This Row],[severity_score]]=0,"LOW",
 IF(ReconciliationData[[#This Row],[severity_score]]&lt;=5,"MEDIUM","HIGH"))</f>
        <v>LOW</v>
      </c>
      <c r="AC2244" t="str">
        <f>TEXT(ReconciliationData[[#This Row],[Order_Date]],"YYYY-MM")</f>
        <v>2023-08</v>
      </c>
    </row>
    <row r="2245" spans="1:29">
      <c r="A2245" t="s">
        <v>5673</v>
      </c>
      <c r="B2245" s="1">
        <v>45297</v>
      </c>
      <c r="C2245" t="s">
        <v>1944</v>
      </c>
      <c r="D2245" t="s">
        <v>548</v>
      </c>
      <c r="E2245">
        <v>139</v>
      </c>
      <c r="F2245" t="s">
        <v>5674</v>
      </c>
      <c r="G2245">
        <v>139</v>
      </c>
      <c r="H2245">
        <v>1072.1079000000002</v>
      </c>
      <c r="N2245">
        <v>1072.1079000000002</v>
      </c>
      <c r="O2245" s="1">
        <v>45035</v>
      </c>
      <c r="P2245">
        <f>IF(ISBLANK(ReconciliationData[[#This Row],[Invoice_ID]]),1,0)</f>
        <v>0</v>
      </c>
      <c r="Q2245">
        <f>IF(AND(NOT(ISBLANK(ReconciliationData[[#This Row],[Billed_Units]])),ReconciliationData[[#This Row],[ordered_units]]&lt;&gt;ReconciliationData[[#This Row],[Billed_Units]]),1,0)</f>
        <v>0</v>
      </c>
      <c r="R22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5">
        <f>IF(AND(NOT(ISBLANK(ReconciliationData[[#This Row],[Contract_Price]])),ReconciliationData[[#This Row],[Billed_Price]]&lt;&gt;ReconciliationData[[#This Row],[Contract_Price]]),1,0)</f>
        <v>0</v>
      </c>
      <c r="T2245">
        <f>IF(AND(NOT(ISBLANK(ReconciliationData[[#This Row],[End_Date]])),ReconciliationData[[#This Row],[Order_Date]]&gt;ReconciliationData[[#This Row],[End_Date]]),1,0)</f>
        <v>0</v>
      </c>
      <c r="U2245">
        <f>IF(AND(NOT(ISBLANK(ReconciliationData[[#This Row],[last_return_date]])),ReconciliationData[[#This Row],[last_return_date]]&gt;ReconciliationData[[#This Row],[Order_Date]]+60),1,0)</f>
        <v>0</v>
      </c>
      <c r="V2245">
        <f>IF(ReconciliationData[[#This Row],[total_returned_units]]&gt;ReconciliationData[[#This Row],[ordered_units]],1,0)</f>
        <v>0</v>
      </c>
      <c r="W22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45">
        <f>ReconciliationData[[#This Row],[Billed_Units]]*ReconciliationData[[#This Row],[Billed_Price]]</f>
        <v>149022.99810000003</v>
      </c>
      <c r="Y2245">
        <f>ReconciliationData[[#This Row],[ordered_units]]*ReconciliationData[[#This Row],[List_Price]]</f>
        <v>149022.99810000003</v>
      </c>
      <c r="Z2245">
        <f>ReconciliationData[[#This Row],[billed_revenue]]-ReconciliationData[[#This Row],[expected_revenue]]</f>
        <v>0</v>
      </c>
      <c r="AA22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45" t="str">
        <f>IF(ReconciliationData[[#This Row],[severity_score]]=0,"LOW",
 IF(ReconciliationData[[#This Row],[severity_score]]&lt;=5,"MEDIUM","HIGH"))</f>
        <v>LOW</v>
      </c>
      <c r="AC2245" t="str">
        <f>TEXT(ReconciliationData[[#This Row],[Order_Date]],"YYYY-MM")</f>
        <v>2024-01</v>
      </c>
    </row>
    <row r="2246" spans="1:29">
      <c r="A2246" t="s">
        <v>5675</v>
      </c>
      <c r="B2246" s="1">
        <v>45643</v>
      </c>
      <c r="C2246" t="s">
        <v>954</v>
      </c>
      <c r="D2246" t="s">
        <v>529</v>
      </c>
      <c r="E2246">
        <v>43</v>
      </c>
      <c r="F2246" t="s">
        <v>5676</v>
      </c>
      <c r="G2246">
        <v>43</v>
      </c>
      <c r="H2246">
        <v>560.37830000000008</v>
      </c>
      <c r="N2246">
        <v>560.37830000000008</v>
      </c>
      <c r="O2246" s="1">
        <v>45089</v>
      </c>
      <c r="P2246">
        <f>IF(ISBLANK(ReconciliationData[[#This Row],[Invoice_ID]]),1,0)</f>
        <v>0</v>
      </c>
      <c r="Q2246">
        <f>IF(AND(NOT(ISBLANK(ReconciliationData[[#This Row],[Billed_Units]])),ReconciliationData[[#This Row],[ordered_units]]&lt;&gt;ReconciliationData[[#This Row],[Billed_Units]]),1,0)</f>
        <v>0</v>
      </c>
      <c r="R22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6">
        <f>IF(AND(NOT(ISBLANK(ReconciliationData[[#This Row],[Contract_Price]])),ReconciliationData[[#This Row],[Billed_Price]]&lt;&gt;ReconciliationData[[#This Row],[Contract_Price]]),1,0)</f>
        <v>0</v>
      </c>
      <c r="T2246">
        <f>IF(AND(NOT(ISBLANK(ReconciliationData[[#This Row],[End_Date]])),ReconciliationData[[#This Row],[Order_Date]]&gt;ReconciliationData[[#This Row],[End_Date]]),1,0)</f>
        <v>0</v>
      </c>
      <c r="U2246">
        <f>IF(AND(NOT(ISBLANK(ReconciliationData[[#This Row],[last_return_date]])),ReconciliationData[[#This Row],[last_return_date]]&gt;ReconciliationData[[#This Row],[Order_Date]]+60),1,0)</f>
        <v>0</v>
      </c>
      <c r="V2246">
        <f>IF(ReconciliationData[[#This Row],[total_returned_units]]&gt;ReconciliationData[[#This Row],[ordered_units]],1,0)</f>
        <v>0</v>
      </c>
      <c r="W22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46">
        <f>ReconciliationData[[#This Row],[Billed_Units]]*ReconciliationData[[#This Row],[Billed_Price]]</f>
        <v>24096.266900000002</v>
      </c>
      <c r="Y2246">
        <f>ReconciliationData[[#This Row],[ordered_units]]*ReconciliationData[[#This Row],[List_Price]]</f>
        <v>24096.266900000002</v>
      </c>
      <c r="Z2246">
        <f>ReconciliationData[[#This Row],[billed_revenue]]-ReconciliationData[[#This Row],[expected_revenue]]</f>
        <v>0</v>
      </c>
      <c r="AA22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46" t="str">
        <f>IF(ReconciliationData[[#This Row],[severity_score]]=0,"LOW",
 IF(ReconciliationData[[#This Row],[severity_score]]&lt;=5,"MEDIUM","HIGH"))</f>
        <v>LOW</v>
      </c>
      <c r="AC2246" t="str">
        <f>TEXT(ReconciliationData[[#This Row],[Order_Date]],"YYYY-MM")</f>
        <v>2024-12</v>
      </c>
    </row>
    <row r="2247" spans="1:29">
      <c r="A2247" t="s">
        <v>5677</v>
      </c>
      <c r="B2247" s="1">
        <v>45118</v>
      </c>
      <c r="C2247" t="s">
        <v>2748</v>
      </c>
      <c r="D2247" t="s">
        <v>863</v>
      </c>
      <c r="E2247">
        <v>106</v>
      </c>
      <c r="F2247" t="s">
        <v>5678</v>
      </c>
      <c r="G2247">
        <v>106</v>
      </c>
      <c r="H2247">
        <v>815.08680000000004</v>
      </c>
      <c r="N2247">
        <v>815.08680000000004</v>
      </c>
      <c r="O2247" s="1">
        <v>45062</v>
      </c>
      <c r="P2247">
        <f>IF(ISBLANK(ReconciliationData[[#This Row],[Invoice_ID]]),1,0)</f>
        <v>0</v>
      </c>
      <c r="Q2247">
        <f>IF(AND(NOT(ISBLANK(ReconciliationData[[#This Row],[Billed_Units]])),ReconciliationData[[#This Row],[ordered_units]]&lt;&gt;ReconciliationData[[#This Row],[Billed_Units]]),1,0)</f>
        <v>0</v>
      </c>
      <c r="R22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7">
        <f>IF(AND(NOT(ISBLANK(ReconciliationData[[#This Row],[Contract_Price]])),ReconciliationData[[#This Row],[Billed_Price]]&lt;&gt;ReconciliationData[[#This Row],[Contract_Price]]),1,0)</f>
        <v>0</v>
      </c>
      <c r="T2247">
        <f>IF(AND(NOT(ISBLANK(ReconciliationData[[#This Row],[End_Date]])),ReconciliationData[[#This Row],[Order_Date]]&gt;ReconciliationData[[#This Row],[End_Date]]),1,0)</f>
        <v>0</v>
      </c>
      <c r="U2247">
        <f>IF(AND(NOT(ISBLANK(ReconciliationData[[#This Row],[last_return_date]])),ReconciliationData[[#This Row],[last_return_date]]&gt;ReconciliationData[[#This Row],[Order_Date]]+60),1,0)</f>
        <v>0</v>
      </c>
      <c r="V2247">
        <f>IF(ReconciliationData[[#This Row],[total_returned_units]]&gt;ReconciliationData[[#This Row],[ordered_units]],1,0)</f>
        <v>0</v>
      </c>
      <c r="W22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47">
        <f>ReconciliationData[[#This Row],[Billed_Units]]*ReconciliationData[[#This Row],[Billed_Price]]</f>
        <v>86399.200800000006</v>
      </c>
      <c r="Y2247">
        <f>ReconciliationData[[#This Row],[ordered_units]]*ReconciliationData[[#This Row],[List_Price]]</f>
        <v>86399.200800000006</v>
      </c>
      <c r="Z2247">
        <f>ReconciliationData[[#This Row],[billed_revenue]]-ReconciliationData[[#This Row],[expected_revenue]]</f>
        <v>0</v>
      </c>
      <c r="AA22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47" t="str">
        <f>IF(ReconciliationData[[#This Row],[severity_score]]=0,"LOW",
 IF(ReconciliationData[[#This Row],[severity_score]]&lt;=5,"MEDIUM","HIGH"))</f>
        <v>LOW</v>
      </c>
      <c r="AC2247" t="str">
        <f>TEXT(ReconciliationData[[#This Row],[Order_Date]],"YYYY-MM")</f>
        <v>2023-07</v>
      </c>
    </row>
    <row r="2248" spans="1:29">
      <c r="A2248" t="s">
        <v>5679</v>
      </c>
      <c r="B2248" s="1">
        <v>44958</v>
      </c>
      <c r="C2248" t="s">
        <v>3196</v>
      </c>
      <c r="D2248" t="s">
        <v>732</v>
      </c>
      <c r="E2248">
        <v>64</v>
      </c>
      <c r="F2248" t="s">
        <v>5680</v>
      </c>
      <c r="G2248">
        <v>69</v>
      </c>
      <c r="H2248">
        <v>423.45</v>
      </c>
      <c r="N2248">
        <v>423.45</v>
      </c>
      <c r="O2248" s="1">
        <v>44612</v>
      </c>
      <c r="P2248">
        <f>IF(ISBLANK(ReconciliationData[[#This Row],[Invoice_ID]]),1,0)</f>
        <v>0</v>
      </c>
      <c r="Q2248">
        <f>IF(AND(NOT(ISBLANK(ReconciliationData[[#This Row],[Billed_Units]])),ReconciliationData[[#This Row],[ordered_units]]&lt;&gt;ReconciliationData[[#This Row],[Billed_Units]]),1,0)</f>
        <v>1</v>
      </c>
      <c r="R22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8">
        <f>IF(AND(NOT(ISBLANK(ReconciliationData[[#This Row],[Contract_Price]])),ReconciliationData[[#This Row],[Billed_Price]]&lt;&gt;ReconciliationData[[#This Row],[Contract_Price]]),1,0)</f>
        <v>0</v>
      </c>
      <c r="T2248">
        <f>IF(AND(NOT(ISBLANK(ReconciliationData[[#This Row],[End_Date]])),ReconciliationData[[#This Row],[Order_Date]]&gt;ReconciliationData[[#This Row],[End_Date]]),1,0)</f>
        <v>0</v>
      </c>
      <c r="U2248">
        <f>IF(AND(NOT(ISBLANK(ReconciliationData[[#This Row],[last_return_date]])),ReconciliationData[[#This Row],[last_return_date]]&gt;ReconciliationData[[#This Row],[Order_Date]]+60),1,0)</f>
        <v>0</v>
      </c>
      <c r="V2248">
        <f>IF(ReconciliationData[[#This Row],[total_returned_units]]&gt;ReconciliationData[[#This Row],[ordered_units]],1,0)</f>
        <v>0</v>
      </c>
      <c r="W22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48">
        <f>ReconciliationData[[#This Row],[Billed_Units]]*ReconciliationData[[#This Row],[Billed_Price]]</f>
        <v>29218.05</v>
      </c>
      <c r="Y2248">
        <f>ReconciliationData[[#This Row],[ordered_units]]*ReconciliationData[[#This Row],[List_Price]]</f>
        <v>27100.799999999999</v>
      </c>
      <c r="Z2248">
        <f>ReconciliationData[[#This Row],[billed_revenue]]-ReconciliationData[[#This Row],[expected_revenue]]</f>
        <v>2117.25</v>
      </c>
      <c r="AA22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248" t="str">
        <f>IF(ReconciliationData[[#This Row],[severity_score]]=0,"LOW",
 IF(ReconciliationData[[#This Row],[severity_score]]&lt;=5,"MEDIUM","HIGH"))</f>
        <v>HIGH</v>
      </c>
      <c r="AC2248" t="str">
        <f>TEXT(ReconciliationData[[#This Row],[Order_Date]],"YYYY-MM")</f>
        <v>2023-02</v>
      </c>
    </row>
    <row r="2249" spans="1:29">
      <c r="A2249" t="s">
        <v>5681</v>
      </c>
      <c r="B2249" s="1">
        <v>45383</v>
      </c>
      <c r="C2249" t="s">
        <v>418</v>
      </c>
      <c r="D2249" t="s">
        <v>295</v>
      </c>
      <c r="E2249">
        <v>2</v>
      </c>
      <c r="F2249" t="s">
        <v>5682</v>
      </c>
      <c r="G2249">
        <v>2</v>
      </c>
      <c r="H2249">
        <v>862.73640000000012</v>
      </c>
      <c r="N2249">
        <v>862.73640000000012</v>
      </c>
      <c r="O2249" s="1">
        <v>45223</v>
      </c>
      <c r="P2249">
        <f>IF(ISBLANK(ReconciliationData[[#This Row],[Invoice_ID]]),1,0)</f>
        <v>0</v>
      </c>
      <c r="Q2249">
        <f>IF(AND(NOT(ISBLANK(ReconciliationData[[#This Row],[Billed_Units]])),ReconciliationData[[#This Row],[ordered_units]]&lt;&gt;ReconciliationData[[#This Row],[Billed_Units]]),1,0)</f>
        <v>0</v>
      </c>
      <c r="R22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49">
        <f>IF(AND(NOT(ISBLANK(ReconciliationData[[#This Row],[Contract_Price]])),ReconciliationData[[#This Row],[Billed_Price]]&lt;&gt;ReconciliationData[[#This Row],[Contract_Price]]),1,0)</f>
        <v>0</v>
      </c>
      <c r="T2249">
        <f>IF(AND(NOT(ISBLANK(ReconciliationData[[#This Row],[End_Date]])),ReconciliationData[[#This Row],[Order_Date]]&gt;ReconciliationData[[#This Row],[End_Date]]),1,0)</f>
        <v>0</v>
      </c>
      <c r="U2249">
        <f>IF(AND(NOT(ISBLANK(ReconciliationData[[#This Row],[last_return_date]])),ReconciliationData[[#This Row],[last_return_date]]&gt;ReconciliationData[[#This Row],[Order_Date]]+60),1,0)</f>
        <v>0</v>
      </c>
      <c r="V2249">
        <f>IF(ReconciliationData[[#This Row],[total_returned_units]]&gt;ReconciliationData[[#This Row],[ordered_units]],1,0)</f>
        <v>0</v>
      </c>
      <c r="W22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49">
        <f>ReconciliationData[[#This Row],[Billed_Units]]*ReconciliationData[[#This Row],[Billed_Price]]</f>
        <v>1725.4728000000002</v>
      </c>
      <c r="Y2249">
        <f>ReconciliationData[[#This Row],[ordered_units]]*ReconciliationData[[#This Row],[List_Price]]</f>
        <v>1725.4728000000002</v>
      </c>
      <c r="Z2249">
        <f>ReconciliationData[[#This Row],[billed_revenue]]-ReconciliationData[[#This Row],[expected_revenue]]</f>
        <v>0</v>
      </c>
      <c r="AA22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49" t="str">
        <f>IF(ReconciliationData[[#This Row],[severity_score]]=0,"LOW",
 IF(ReconciliationData[[#This Row],[severity_score]]&lt;=5,"MEDIUM","HIGH"))</f>
        <v>LOW</v>
      </c>
      <c r="AC2249" t="str">
        <f>TEXT(ReconciliationData[[#This Row],[Order_Date]],"YYYY-MM")</f>
        <v>2024-04</v>
      </c>
    </row>
    <row r="2250" spans="1:29">
      <c r="A2250" t="s">
        <v>5683</v>
      </c>
      <c r="B2250" s="1">
        <v>45422</v>
      </c>
      <c r="C2250" t="s">
        <v>1665</v>
      </c>
      <c r="D2250" t="s">
        <v>287</v>
      </c>
      <c r="E2250">
        <v>148</v>
      </c>
      <c r="F2250" t="s">
        <v>5684</v>
      </c>
      <c r="G2250">
        <v>148</v>
      </c>
      <c r="H2250">
        <v>637.18399999999997</v>
      </c>
      <c r="N2250">
        <v>637.18399999999997</v>
      </c>
      <c r="O2250" s="1">
        <v>45175</v>
      </c>
      <c r="P2250">
        <f>IF(ISBLANK(ReconciliationData[[#This Row],[Invoice_ID]]),1,0)</f>
        <v>0</v>
      </c>
      <c r="Q2250">
        <f>IF(AND(NOT(ISBLANK(ReconciliationData[[#This Row],[Billed_Units]])),ReconciliationData[[#This Row],[ordered_units]]&lt;&gt;ReconciliationData[[#This Row],[Billed_Units]]),1,0)</f>
        <v>0</v>
      </c>
      <c r="R22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0">
        <f>IF(AND(NOT(ISBLANK(ReconciliationData[[#This Row],[Contract_Price]])),ReconciliationData[[#This Row],[Billed_Price]]&lt;&gt;ReconciliationData[[#This Row],[Contract_Price]]),1,0)</f>
        <v>0</v>
      </c>
      <c r="T2250">
        <f>IF(AND(NOT(ISBLANK(ReconciliationData[[#This Row],[End_Date]])),ReconciliationData[[#This Row],[Order_Date]]&gt;ReconciliationData[[#This Row],[End_Date]]),1,0)</f>
        <v>0</v>
      </c>
      <c r="U2250">
        <f>IF(AND(NOT(ISBLANK(ReconciliationData[[#This Row],[last_return_date]])),ReconciliationData[[#This Row],[last_return_date]]&gt;ReconciliationData[[#This Row],[Order_Date]]+60),1,0)</f>
        <v>0</v>
      </c>
      <c r="V2250">
        <f>IF(ReconciliationData[[#This Row],[total_returned_units]]&gt;ReconciliationData[[#This Row],[ordered_units]],1,0)</f>
        <v>0</v>
      </c>
      <c r="W22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0">
        <f>ReconciliationData[[#This Row],[Billed_Units]]*ReconciliationData[[#This Row],[Billed_Price]]</f>
        <v>94303.231999999989</v>
      </c>
      <c r="Y2250">
        <f>ReconciliationData[[#This Row],[ordered_units]]*ReconciliationData[[#This Row],[List_Price]]</f>
        <v>94303.231999999989</v>
      </c>
      <c r="Z2250">
        <f>ReconciliationData[[#This Row],[billed_revenue]]-ReconciliationData[[#This Row],[expected_revenue]]</f>
        <v>0</v>
      </c>
      <c r="AA22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0" t="str">
        <f>IF(ReconciliationData[[#This Row],[severity_score]]=0,"LOW",
 IF(ReconciliationData[[#This Row],[severity_score]]&lt;=5,"MEDIUM","HIGH"))</f>
        <v>LOW</v>
      </c>
      <c r="AC2250" t="str">
        <f>TEXT(ReconciliationData[[#This Row],[Order_Date]],"YYYY-MM")</f>
        <v>2024-05</v>
      </c>
    </row>
    <row r="2251" spans="1:29">
      <c r="A2251" t="s">
        <v>5685</v>
      </c>
      <c r="B2251" s="1">
        <v>45331</v>
      </c>
      <c r="C2251" t="s">
        <v>5686</v>
      </c>
      <c r="D2251" t="s">
        <v>1436</v>
      </c>
      <c r="E2251">
        <v>94</v>
      </c>
      <c r="F2251" t="s">
        <v>5687</v>
      </c>
      <c r="G2251">
        <v>94</v>
      </c>
      <c r="H2251">
        <v>189.52920000000003</v>
      </c>
      <c r="N2251">
        <v>189.52920000000003</v>
      </c>
      <c r="O2251" s="1">
        <v>45070</v>
      </c>
      <c r="P2251">
        <f>IF(ISBLANK(ReconciliationData[[#This Row],[Invoice_ID]]),1,0)</f>
        <v>0</v>
      </c>
      <c r="Q2251">
        <f>IF(AND(NOT(ISBLANK(ReconciliationData[[#This Row],[Billed_Units]])),ReconciliationData[[#This Row],[ordered_units]]&lt;&gt;ReconciliationData[[#This Row],[Billed_Units]]),1,0)</f>
        <v>0</v>
      </c>
      <c r="R22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1">
        <f>IF(AND(NOT(ISBLANK(ReconciliationData[[#This Row],[Contract_Price]])),ReconciliationData[[#This Row],[Billed_Price]]&lt;&gt;ReconciliationData[[#This Row],[Contract_Price]]),1,0)</f>
        <v>0</v>
      </c>
      <c r="T2251">
        <f>IF(AND(NOT(ISBLANK(ReconciliationData[[#This Row],[End_Date]])),ReconciliationData[[#This Row],[Order_Date]]&gt;ReconciliationData[[#This Row],[End_Date]]),1,0)</f>
        <v>0</v>
      </c>
      <c r="U2251">
        <f>IF(AND(NOT(ISBLANK(ReconciliationData[[#This Row],[last_return_date]])),ReconciliationData[[#This Row],[last_return_date]]&gt;ReconciliationData[[#This Row],[Order_Date]]+60),1,0)</f>
        <v>0</v>
      </c>
      <c r="V2251">
        <f>IF(ReconciliationData[[#This Row],[total_returned_units]]&gt;ReconciliationData[[#This Row],[ordered_units]],1,0)</f>
        <v>0</v>
      </c>
      <c r="W22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1">
        <f>ReconciliationData[[#This Row],[Billed_Units]]*ReconciliationData[[#This Row],[Billed_Price]]</f>
        <v>17815.744800000004</v>
      </c>
      <c r="Y2251">
        <f>ReconciliationData[[#This Row],[ordered_units]]*ReconciliationData[[#This Row],[List_Price]]</f>
        <v>17815.744800000004</v>
      </c>
      <c r="Z2251">
        <f>ReconciliationData[[#This Row],[billed_revenue]]-ReconciliationData[[#This Row],[expected_revenue]]</f>
        <v>0</v>
      </c>
      <c r="AA22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1" t="str">
        <f>IF(ReconciliationData[[#This Row],[severity_score]]=0,"LOW",
 IF(ReconciliationData[[#This Row],[severity_score]]&lt;=5,"MEDIUM","HIGH"))</f>
        <v>LOW</v>
      </c>
      <c r="AC2251" t="str">
        <f>TEXT(ReconciliationData[[#This Row],[Order_Date]],"YYYY-MM")</f>
        <v>2024-02</v>
      </c>
    </row>
    <row r="2252" spans="1:29">
      <c r="A2252" t="s">
        <v>5688</v>
      </c>
      <c r="B2252" s="1">
        <v>45128</v>
      </c>
      <c r="C2252" t="s">
        <v>1070</v>
      </c>
      <c r="D2252" t="s">
        <v>635</v>
      </c>
      <c r="E2252">
        <v>167</v>
      </c>
      <c r="F2252" t="s">
        <v>5689</v>
      </c>
      <c r="G2252">
        <v>167</v>
      </c>
      <c r="H2252">
        <v>951.54780000000005</v>
      </c>
      <c r="N2252">
        <v>951.54780000000005</v>
      </c>
      <c r="O2252" s="1">
        <v>44964</v>
      </c>
      <c r="P2252">
        <f>IF(ISBLANK(ReconciliationData[[#This Row],[Invoice_ID]]),1,0)</f>
        <v>0</v>
      </c>
      <c r="Q2252">
        <f>IF(AND(NOT(ISBLANK(ReconciliationData[[#This Row],[Billed_Units]])),ReconciliationData[[#This Row],[ordered_units]]&lt;&gt;ReconciliationData[[#This Row],[Billed_Units]]),1,0)</f>
        <v>0</v>
      </c>
      <c r="R22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2">
        <f>IF(AND(NOT(ISBLANK(ReconciliationData[[#This Row],[Contract_Price]])),ReconciliationData[[#This Row],[Billed_Price]]&lt;&gt;ReconciliationData[[#This Row],[Contract_Price]]),1,0)</f>
        <v>0</v>
      </c>
      <c r="T2252">
        <f>IF(AND(NOT(ISBLANK(ReconciliationData[[#This Row],[End_Date]])),ReconciliationData[[#This Row],[Order_Date]]&gt;ReconciliationData[[#This Row],[End_Date]]),1,0)</f>
        <v>0</v>
      </c>
      <c r="U2252">
        <f>IF(AND(NOT(ISBLANK(ReconciliationData[[#This Row],[last_return_date]])),ReconciliationData[[#This Row],[last_return_date]]&gt;ReconciliationData[[#This Row],[Order_Date]]+60),1,0)</f>
        <v>0</v>
      </c>
      <c r="V2252">
        <f>IF(ReconciliationData[[#This Row],[total_returned_units]]&gt;ReconciliationData[[#This Row],[ordered_units]],1,0)</f>
        <v>0</v>
      </c>
      <c r="W22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2">
        <f>ReconciliationData[[#This Row],[Billed_Units]]*ReconciliationData[[#This Row],[Billed_Price]]</f>
        <v>158908.48260000002</v>
      </c>
      <c r="Y2252">
        <f>ReconciliationData[[#This Row],[ordered_units]]*ReconciliationData[[#This Row],[List_Price]]</f>
        <v>158908.48260000002</v>
      </c>
      <c r="Z2252">
        <f>ReconciliationData[[#This Row],[billed_revenue]]-ReconciliationData[[#This Row],[expected_revenue]]</f>
        <v>0</v>
      </c>
      <c r="AA22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2" t="str">
        <f>IF(ReconciliationData[[#This Row],[severity_score]]=0,"LOW",
 IF(ReconciliationData[[#This Row],[severity_score]]&lt;=5,"MEDIUM","HIGH"))</f>
        <v>LOW</v>
      </c>
      <c r="AC2252" t="str">
        <f>TEXT(ReconciliationData[[#This Row],[Order_Date]],"YYYY-MM")</f>
        <v>2023-07</v>
      </c>
    </row>
    <row r="2253" spans="1:29">
      <c r="A2253" t="s">
        <v>5690</v>
      </c>
      <c r="B2253" s="1">
        <v>45485</v>
      </c>
      <c r="C2253" t="s">
        <v>687</v>
      </c>
      <c r="D2253" t="s">
        <v>684</v>
      </c>
      <c r="E2253">
        <v>173</v>
      </c>
      <c r="F2253" t="s">
        <v>5691</v>
      </c>
      <c r="G2253">
        <v>173</v>
      </c>
      <c r="H2253">
        <v>75.620999999999995</v>
      </c>
      <c r="N2253">
        <v>75.620999999999995</v>
      </c>
      <c r="O2253" s="1">
        <v>45108</v>
      </c>
      <c r="P2253">
        <f>IF(ISBLANK(ReconciliationData[[#This Row],[Invoice_ID]]),1,0)</f>
        <v>0</v>
      </c>
      <c r="Q2253">
        <f>IF(AND(NOT(ISBLANK(ReconciliationData[[#This Row],[Billed_Units]])),ReconciliationData[[#This Row],[ordered_units]]&lt;&gt;ReconciliationData[[#This Row],[Billed_Units]]),1,0)</f>
        <v>0</v>
      </c>
      <c r="R22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3">
        <f>IF(AND(NOT(ISBLANK(ReconciliationData[[#This Row],[Contract_Price]])),ReconciliationData[[#This Row],[Billed_Price]]&lt;&gt;ReconciliationData[[#This Row],[Contract_Price]]),1,0)</f>
        <v>0</v>
      </c>
      <c r="T2253">
        <f>IF(AND(NOT(ISBLANK(ReconciliationData[[#This Row],[End_Date]])),ReconciliationData[[#This Row],[Order_Date]]&gt;ReconciliationData[[#This Row],[End_Date]]),1,0)</f>
        <v>0</v>
      </c>
      <c r="U2253">
        <f>IF(AND(NOT(ISBLANK(ReconciliationData[[#This Row],[last_return_date]])),ReconciliationData[[#This Row],[last_return_date]]&gt;ReconciliationData[[#This Row],[Order_Date]]+60),1,0)</f>
        <v>0</v>
      </c>
      <c r="V2253">
        <f>IF(ReconciliationData[[#This Row],[total_returned_units]]&gt;ReconciliationData[[#This Row],[ordered_units]],1,0)</f>
        <v>0</v>
      </c>
      <c r="W22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3">
        <f>ReconciliationData[[#This Row],[Billed_Units]]*ReconciliationData[[#This Row],[Billed_Price]]</f>
        <v>13082.432999999999</v>
      </c>
      <c r="Y2253">
        <f>ReconciliationData[[#This Row],[ordered_units]]*ReconciliationData[[#This Row],[List_Price]]</f>
        <v>13082.432999999999</v>
      </c>
      <c r="Z2253">
        <f>ReconciliationData[[#This Row],[billed_revenue]]-ReconciliationData[[#This Row],[expected_revenue]]</f>
        <v>0</v>
      </c>
      <c r="AA22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3" t="str">
        <f>IF(ReconciliationData[[#This Row],[severity_score]]=0,"LOW",
 IF(ReconciliationData[[#This Row],[severity_score]]&lt;=5,"MEDIUM","HIGH"))</f>
        <v>LOW</v>
      </c>
      <c r="AC2253" t="str">
        <f>TEXT(ReconciliationData[[#This Row],[Order_Date]],"YYYY-MM")</f>
        <v>2024-07</v>
      </c>
    </row>
    <row r="2254" spans="1:29">
      <c r="A2254" t="s">
        <v>5692</v>
      </c>
      <c r="B2254" s="1">
        <v>44938</v>
      </c>
      <c r="C2254" t="s">
        <v>3604</v>
      </c>
      <c r="D2254" t="s">
        <v>2471</v>
      </c>
      <c r="E2254">
        <v>190</v>
      </c>
      <c r="F2254" t="s">
        <v>5693</v>
      </c>
      <c r="G2254">
        <v>190</v>
      </c>
      <c r="H2254">
        <v>1077.26</v>
      </c>
      <c r="N2254">
        <v>1077.26</v>
      </c>
      <c r="O2254" s="1">
        <v>44711</v>
      </c>
      <c r="P2254">
        <f>IF(ISBLANK(ReconciliationData[[#This Row],[Invoice_ID]]),1,0)</f>
        <v>0</v>
      </c>
      <c r="Q2254">
        <f>IF(AND(NOT(ISBLANK(ReconciliationData[[#This Row],[Billed_Units]])),ReconciliationData[[#This Row],[ordered_units]]&lt;&gt;ReconciliationData[[#This Row],[Billed_Units]]),1,0)</f>
        <v>0</v>
      </c>
      <c r="R22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4">
        <f>IF(AND(NOT(ISBLANK(ReconciliationData[[#This Row],[Contract_Price]])),ReconciliationData[[#This Row],[Billed_Price]]&lt;&gt;ReconciliationData[[#This Row],[Contract_Price]]),1,0)</f>
        <v>0</v>
      </c>
      <c r="T2254">
        <f>IF(AND(NOT(ISBLANK(ReconciliationData[[#This Row],[End_Date]])),ReconciliationData[[#This Row],[Order_Date]]&gt;ReconciliationData[[#This Row],[End_Date]]),1,0)</f>
        <v>0</v>
      </c>
      <c r="U2254">
        <f>IF(AND(NOT(ISBLANK(ReconciliationData[[#This Row],[last_return_date]])),ReconciliationData[[#This Row],[last_return_date]]&gt;ReconciliationData[[#This Row],[Order_Date]]+60),1,0)</f>
        <v>0</v>
      </c>
      <c r="V2254">
        <f>IF(ReconciliationData[[#This Row],[total_returned_units]]&gt;ReconciliationData[[#This Row],[ordered_units]],1,0)</f>
        <v>0</v>
      </c>
      <c r="W22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4">
        <f>ReconciliationData[[#This Row],[Billed_Units]]*ReconciliationData[[#This Row],[Billed_Price]]</f>
        <v>204679.4</v>
      </c>
      <c r="Y2254">
        <f>ReconciliationData[[#This Row],[ordered_units]]*ReconciliationData[[#This Row],[List_Price]]</f>
        <v>204679.4</v>
      </c>
      <c r="Z2254">
        <f>ReconciliationData[[#This Row],[billed_revenue]]-ReconciliationData[[#This Row],[expected_revenue]]</f>
        <v>0</v>
      </c>
      <c r="AA22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4" t="str">
        <f>IF(ReconciliationData[[#This Row],[severity_score]]=0,"LOW",
 IF(ReconciliationData[[#This Row],[severity_score]]&lt;=5,"MEDIUM","HIGH"))</f>
        <v>LOW</v>
      </c>
      <c r="AC2254" t="str">
        <f>TEXT(ReconciliationData[[#This Row],[Order_Date]],"YYYY-MM")</f>
        <v>2023-01</v>
      </c>
    </row>
    <row r="2255" spans="1:29">
      <c r="A2255" t="s">
        <v>5694</v>
      </c>
      <c r="B2255" s="1">
        <v>45350</v>
      </c>
      <c r="C2255" t="s">
        <v>1716</v>
      </c>
      <c r="D2255" t="s">
        <v>441</v>
      </c>
      <c r="E2255">
        <v>25</v>
      </c>
      <c r="F2255" t="s">
        <v>5695</v>
      </c>
      <c r="G2255">
        <v>25</v>
      </c>
      <c r="H2255">
        <v>238.7328</v>
      </c>
      <c r="N2255">
        <v>238.7328</v>
      </c>
      <c r="O2255" s="1">
        <v>44987</v>
      </c>
      <c r="P2255">
        <f>IF(ISBLANK(ReconciliationData[[#This Row],[Invoice_ID]]),1,0)</f>
        <v>0</v>
      </c>
      <c r="Q2255">
        <f>IF(AND(NOT(ISBLANK(ReconciliationData[[#This Row],[Billed_Units]])),ReconciliationData[[#This Row],[ordered_units]]&lt;&gt;ReconciliationData[[#This Row],[Billed_Units]]),1,0)</f>
        <v>0</v>
      </c>
      <c r="R22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5">
        <f>IF(AND(NOT(ISBLANK(ReconciliationData[[#This Row],[Contract_Price]])),ReconciliationData[[#This Row],[Billed_Price]]&lt;&gt;ReconciliationData[[#This Row],[Contract_Price]]),1,0)</f>
        <v>0</v>
      </c>
      <c r="T2255">
        <f>IF(AND(NOT(ISBLANK(ReconciliationData[[#This Row],[End_Date]])),ReconciliationData[[#This Row],[Order_Date]]&gt;ReconciliationData[[#This Row],[End_Date]]),1,0)</f>
        <v>0</v>
      </c>
      <c r="U2255">
        <f>IF(AND(NOT(ISBLANK(ReconciliationData[[#This Row],[last_return_date]])),ReconciliationData[[#This Row],[last_return_date]]&gt;ReconciliationData[[#This Row],[Order_Date]]+60),1,0)</f>
        <v>0</v>
      </c>
      <c r="V2255">
        <f>IF(ReconciliationData[[#This Row],[total_returned_units]]&gt;ReconciliationData[[#This Row],[ordered_units]],1,0)</f>
        <v>0</v>
      </c>
      <c r="W22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5">
        <f>ReconciliationData[[#This Row],[Billed_Units]]*ReconciliationData[[#This Row],[Billed_Price]]</f>
        <v>5968.32</v>
      </c>
      <c r="Y2255">
        <f>ReconciliationData[[#This Row],[ordered_units]]*ReconciliationData[[#This Row],[List_Price]]</f>
        <v>5968.32</v>
      </c>
      <c r="Z2255">
        <f>ReconciliationData[[#This Row],[billed_revenue]]-ReconciliationData[[#This Row],[expected_revenue]]</f>
        <v>0</v>
      </c>
      <c r="AA22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5" t="str">
        <f>IF(ReconciliationData[[#This Row],[severity_score]]=0,"LOW",
 IF(ReconciliationData[[#This Row],[severity_score]]&lt;=5,"MEDIUM","HIGH"))</f>
        <v>LOW</v>
      </c>
      <c r="AC2255" t="str">
        <f>TEXT(ReconciliationData[[#This Row],[Order_Date]],"YYYY-MM")</f>
        <v>2024-02</v>
      </c>
    </row>
    <row r="2256" spans="1:29">
      <c r="A2256" t="s">
        <v>5696</v>
      </c>
      <c r="B2256" s="1">
        <v>44980</v>
      </c>
      <c r="C2256" t="s">
        <v>3073</v>
      </c>
      <c r="D2256" t="s">
        <v>883</v>
      </c>
      <c r="E2256">
        <v>60</v>
      </c>
      <c r="F2256" t="s">
        <v>5697</v>
      </c>
      <c r="G2256">
        <v>60</v>
      </c>
      <c r="H2256">
        <v>407.09</v>
      </c>
      <c r="N2256">
        <v>407.09</v>
      </c>
      <c r="O2256" s="1">
        <v>44585</v>
      </c>
      <c r="P2256">
        <f>IF(ISBLANK(ReconciliationData[[#This Row],[Invoice_ID]]),1,0)</f>
        <v>0</v>
      </c>
      <c r="Q2256">
        <f>IF(AND(NOT(ISBLANK(ReconciliationData[[#This Row],[Billed_Units]])),ReconciliationData[[#This Row],[ordered_units]]&lt;&gt;ReconciliationData[[#This Row],[Billed_Units]]),1,0)</f>
        <v>0</v>
      </c>
      <c r="R22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6">
        <f>IF(AND(NOT(ISBLANK(ReconciliationData[[#This Row],[Contract_Price]])),ReconciliationData[[#This Row],[Billed_Price]]&lt;&gt;ReconciliationData[[#This Row],[Contract_Price]]),1,0)</f>
        <v>0</v>
      </c>
      <c r="T2256">
        <f>IF(AND(NOT(ISBLANK(ReconciliationData[[#This Row],[End_Date]])),ReconciliationData[[#This Row],[Order_Date]]&gt;ReconciliationData[[#This Row],[End_Date]]),1,0)</f>
        <v>0</v>
      </c>
      <c r="U2256">
        <f>IF(AND(NOT(ISBLANK(ReconciliationData[[#This Row],[last_return_date]])),ReconciliationData[[#This Row],[last_return_date]]&gt;ReconciliationData[[#This Row],[Order_Date]]+60),1,0)</f>
        <v>0</v>
      </c>
      <c r="V2256">
        <f>IF(ReconciliationData[[#This Row],[total_returned_units]]&gt;ReconciliationData[[#This Row],[ordered_units]],1,0)</f>
        <v>0</v>
      </c>
      <c r="W22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6">
        <f>ReconciliationData[[#This Row],[Billed_Units]]*ReconciliationData[[#This Row],[Billed_Price]]</f>
        <v>24425.399999999998</v>
      </c>
      <c r="Y2256">
        <f>ReconciliationData[[#This Row],[ordered_units]]*ReconciliationData[[#This Row],[List_Price]]</f>
        <v>24425.399999999998</v>
      </c>
      <c r="Z2256">
        <f>ReconciliationData[[#This Row],[billed_revenue]]-ReconciliationData[[#This Row],[expected_revenue]]</f>
        <v>0</v>
      </c>
      <c r="AA22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6" t="str">
        <f>IF(ReconciliationData[[#This Row],[severity_score]]=0,"LOW",
 IF(ReconciliationData[[#This Row],[severity_score]]&lt;=5,"MEDIUM","HIGH"))</f>
        <v>LOW</v>
      </c>
      <c r="AC2256" t="str">
        <f>TEXT(ReconciliationData[[#This Row],[Order_Date]],"YYYY-MM")</f>
        <v>2023-02</v>
      </c>
    </row>
    <row r="2257" spans="1:29">
      <c r="A2257" t="s">
        <v>5698</v>
      </c>
      <c r="B2257" s="1">
        <v>45160</v>
      </c>
      <c r="C2257" t="s">
        <v>1191</v>
      </c>
      <c r="D2257" t="s">
        <v>937</v>
      </c>
      <c r="E2257">
        <v>125</v>
      </c>
      <c r="F2257" t="s">
        <v>5699</v>
      </c>
      <c r="G2257">
        <v>125</v>
      </c>
      <c r="H2257">
        <v>431.81990000000002</v>
      </c>
      <c r="N2257">
        <v>431.81990000000002</v>
      </c>
      <c r="O2257" s="1">
        <v>44807</v>
      </c>
      <c r="P2257">
        <f>IF(ISBLANK(ReconciliationData[[#This Row],[Invoice_ID]]),1,0)</f>
        <v>0</v>
      </c>
      <c r="Q2257">
        <f>IF(AND(NOT(ISBLANK(ReconciliationData[[#This Row],[Billed_Units]])),ReconciliationData[[#This Row],[ordered_units]]&lt;&gt;ReconciliationData[[#This Row],[Billed_Units]]),1,0)</f>
        <v>0</v>
      </c>
      <c r="R22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7">
        <f>IF(AND(NOT(ISBLANK(ReconciliationData[[#This Row],[Contract_Price]])),ReconciliationData[[#This Row],[Billed_Price]]&lt;&gt;ReconciliationData[[#This Row],[Contract_Price]]),1,0)</f>
        <v>0</v>
      </c>
      <c r="T2257">
        <f>IF(AND(NOT(ISBLANK(ReconciliationData[[#This Row],[End_Date]])),ReconciliationData[[#This Row],[Order_Date]]&gt;ReconciliationData[[#This Row],[End_Date]]),1,0)</f>
        <v>0</v>
      </c>
      <c r="U2257">
        <f>IF(AND(NOT(ISBLANK(ReconciliationData[[#This Row],[last_return_date]])),ReconciliationData[[#This Row],[last_return_date]]&gt;ReconciliationData[[#This Row],[Order_Date]]+60),1,0)</f>
        <v>0</v>
      </c>
      <c r="V2257">
        <f>IF(ReconciliationData[[#This Row],[total_returned_units]]&gt;ReconciliationData[[#This Row],[ordered_units]],1,0)</f>
        <v>0</v>
      </c>
      <c r="W22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7">
        <f>ReconciliationData[[#This Row],[Billed_Units]]*ReconciliationData[[#This Row],[Billed_Price]]</f>
        <v>53977.487500000003</v>
      </c>
      <c r="Y2257">
        <f>ReconciliationData[[#This Row],[ordered_units]]*ReconciliationData[[#This Row],[List_Price]]</f>
        <v>53977.487500000003</v>
      </c>
      <c r="Z2257">
        <f>ReconciliationData[[#This Row],[billed_revenue]]-ReconciliationData[[#This Row],[expected_revenue]]</f>
        <v>0</v>
      </c>
      <c r="AA22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7" t="str">
        <f>IF(ReconciliationData[[#This Row],[severity_score]]=0,"LOW",
 IF(ReconciliationData[[#This Row],[severity_score]]&lt;=5,"MEDIUM","HIGH"))</f>
        <v>LOW</v>
      </c>
      <c r="AC2257" t="str">
        <f>TEXT(ReconciliationData[[#This Row],[Order_Date]],"YYYY-MM")</f>
        <v>2023-08</v>
      </c>
    </row>
    <row r="2258" spans="1:29">
      <c r="A2258" t="s">
        <v>5700</v>
      </c>
      <c r="B2258" s="1">
        <v>45420</v>
      </c>
      <c r="C2258" t="s">
        <v>1889</v>
      </c>
      <c r="D2258" t="s">
        <v>186</v>
      </c>
      <c r="E2258">
        <v>169</v>
      </c>
      <c r="F2258" t="s">
        <v>5701</v>
      </c>
      <c r="G2258">
        <v>169</v>
      </c>
      <c r="H2258">
        <v>248.24449999999999</v>
      </c>
      <c r="N2258">
        <v>248.24449999999999</v>
      </c>
      <c r="O2258" s="1">
        <v>44933</v>
      </c>
      <c r="P2258">
        <f>IF(ISBLANK(ReconciliationData[[#This Row],[Invoice_ID]]),1,0)</f>
        <v>0</v>
      </c>
      <c r="Q2258">
        <f>IF(AND(NOT(ISBLANK(ReconciliationData[[#This Row],[Billed_Units]])),ReconciliationData[[#This Row],[ordered_units]]&lt;&gt;ReconciliationData[[#This Row],[Billed_Units]]),1,0)</f>
        <v>0</v>
      </c>
      <c r="R22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8">
        <f>IF(AND(NOT(ISBLANK(ReconciliationData[[#This Row],[Contract_Price]])),ReconciliationData[[#This Row],[Billed_Price]]&lt;&gt;ReconciliationData[[#This Row],[Contract_Price]]),1,0)</f>
        <v>0</v>
      </c>
      <c r="T2258">
        <f>IF(AND(NOT(ISBLANK(ReconciliationData[[#This Row],[End_Date]])),ReconciliationData[[#This Row],[Order_Date]]&gt;ReconciliationData[[#This Row],[End_Date]]),1,0)</f>
        <v>0</v>
      </c>
      <c r="U2258">
        <f>IF(AND(NOT(ISBLANK(ReconciliationData[[#This Row],[last_return_date]])),ReconciliationData[[#This Row],[last_return_date]]&gt;ReconciliationData[[#This Row],[Order_Date]]+60),1,0)</f>
        <v>0</v>
      </c>
      <c r="V2258">
        <f>IF(ReconciliationData[[#This Row],[total_returned_units]]&gt;ReconciliationData[[#This Row],[ordered_units]],1,0)</f>
        <v>0</v>
      </c>
      <c r="W22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8">
        <f>ReconciliationData[[#This Row],[Billed_Units]]*ReconciliationData[[#This Row],[Billed_Price]]</f>
        <v>41953.320499999994</v>
      </c>
      <c r="Y2258">
        <f>ReconciliationData[[#This Row],[ordered_units]]*ReconciliationData[[#This Row],[List_Price]]</f>
        <v>41953.320499999994</v>
      </c>
      <c r="Z2258">
        <f>ReconciliationData[[#This Row],[billed_revenue]]-ReconciliationData[[#This Row],[expected_revenue]]</f>
        <v>0</v>
      </c>
      <c r="AA22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8" t="str">
        <f>IF(ReconciliationData[[#This Row],[severity_score]]=0,"LOW",
 IF(ReconciliationData[[#This Row],[severity_score]]&lt;=5,"MEDIUM","HIGH"))</f>
        <v>LOW</v>
      </c>
      <c r="AC2258" t="str">
        <f>TEXT(ReconciliationData[[#This Row],[Order_Date]],"YYYY-MM")</f>
        <v>2024-05</v>
      </c>
    </row>
    <row r="2259" spans="1:29">
      <c r="A2259" t="s">
        <v>5702</v>
      </c>
      <c r="B2259" s="1">
        <v>44946</v>
      </c>
      <c r="C2259" t="s">
        <v>1155</v>
      </c>
      <c r="D2259" t="s">
        <v>1061</v>
      </c>
      <c r="E2259">
        <v>127</v>
      </c>
      <c r="F2259" t="s">
        <v>5703</v>
      </c>
      <c r="G2259">
        <v>127</v>
      </c>
      <c r="H2259">
        <v>78.298400000000001</v>
      </c>
      <c r="N2259">
        <v>78.298400000000001</v>
      </c>
      <c r="O2259" s="1">
        <v>44919</v>
      </c>
      <c r="P2259">
        <f>IF(ISBLANK(ReconciliationData[[#This Row],[Invoice_ID]]),1,0)</f>
        <v>0</v>
      </c>
      <c r="Q2259">
        <f>IF(AND(NOT(ISBLANK(ReconciliationData[[#This Row],[Billed_Units]])),ReconciliationData[[#This Row],[ordered_units]]&lt;&gt;ReconciliationData[[#This Row],[Billed_Units]]),1,0)</f>
        <v>0</v>
      </c>
      <c r="R22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59">
        <f>IF(AND(NOT(ISBLANK(ReconciliationData[[#This Row],[Contract_Price]])),ReconciliationData[[#This Row],[Billed_Price]]&lt;&gt;ReconciliationData[[#This Row],[Contract_Price]]),1,0)</f>
        <v>0</v>
      </c>
      <c r="T2259">
        <f>IF(AND(NOT(ISBLANK(ReconciliationData[[#This Row],[End_Date]])),ReconciliationData[[#This Row],[Order_Date]]&gt;ReconciliationData[[#This Row],[End_Date]]),1,0)</f>
        <v>0</v>
      </c>
      <c r="U2259">
        <f>IF(AND(NOT(ISBLANK(ReconciliationData[[#This Row],[last_return_date]])),ReconciliationData[[#This Row],[last_return_date]]&gt;ReconciliationData[[#This Row],[Order_Date]]+60),1,0)</f>
        <v>0</v>
      </c>
      <c r="V2259">
        <f>IF(ReconciliationData[[#This Row],[total_returned_units]]&gt;ReconciliationData[[#This Row],[ordered_units]],1,0)</f>
        <v>0</v>
      </c>
      <c r="W22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59">
        <f>ReconciliationData[[#This Row],[Billed_Units]]*ReconciliationData[[#This Row],[Billed_Price]]</f>
        <v>9943.8968000000004</v>
      </c>
      <c r="Y2259">
        <f>ReconciliationData[[#This Row],[ordered_units]]*ReconciliationData[[#This Row],[List_Price]]</f>
        <v>9943.8968000000004</v>
      </c>
      <c r="Z2259">
        <f>ReconciliationData[[#This Row],[billed_revenue]]-ReconciliationData[[#This Row],[expected_revenue]]</f>
        <v>0</v>
      </c>
      <c r="AA22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59" t="str">
        <f>IF(ReconciliationData[[#This Row],[severity_score]]=0,"LOW",
 IF(ReconciliationData[[#This Row],[severity_score]]&lt;=5,"MEDIUM","HIGH"))</f>
        <v>LOW</v>
      </c>
      <c r="AC2259" t="str">
        <f>TEXT(ReconciliationData[[#This Row],[Order_Date]],"YYYY-MM")</f>
        <v>2023-01</v>
      </c>
    </row>
    <row r="2260" spans="1:29">
      <c r="A2260" t="s">
        <v>5704</v>
      </c>
      <c r="B2260" s="1">
        <v>45560</v>
      </c>
      <c r="C2260" t="s">
        <v>2375</v>
      </c>
      <c r="D2260" t="s">
        <v>3036</v>
      </c>
      <c r="E2260">
        <v>193</v>
      </c>
      <c r="F2260" t="s">
        <v>5705</v>
      </c>
      <c r="G2260">
        <v>191</v>
      </c>
      <c r="H2260">
        <v>907.24260000000004</v>
      </c>
      <c r="N2260">
        <v>907.24260000000004</v>
      </c>
      <c r="O2260" s="1">
        <v>45222</v>
      </c>
      <c r="P2260">
        <f>IF(ISBLANK(ReconciliationData[[#This Row],[Invoice_ID]]),1,0)</f>
        <v>0</v>
      </c>
      <c r="Q2260">
        <f>IF(AND(NOT(ISBLANK(ReconciliationData[[#This Row],[Billed_Units]])),ReconciliationData[[#This Row],[ordered_units]]&lt;&gt;ReconciliationData[[#This Row],[Billed_Units]]),1,0)</f>
        <v>1</v>
      </c>
      <c r="R22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60">
        <f>IF(AND(NOT(ISBLANK(ReconciliationData[[#This Row],[Contract_Price]])),ReconciliationData[[#This Row],[Billed_Price]]&lt;&gt;ReconciliationData[[#This Row],[Contract_Price]]),1,0)</f>
        <v>0</v>
      </c>
      <c r="T2260">
        <f>IF(AND(NOT(ISBLANK(ReconciliationData[[#This Row],[End_Date]])),ReconciliationData[[#This Row],[Order_Date]]&gt;ReconciliationData[[#This Row],[End_Date]]),1,0)</f>
        <v>0</v>
      </c>
      <c r="U2260">
        <f>IF(AND(NOT(ISBLANK(ReconciliationData[[#This Row],[last_return_date]])),ReconciliationData[[#This Row],[last_return_date]]&gt;ReconciliationData[[#This Row],[Order_Date]]+60),1,0)</f>
        <v>0</v>
      </c>
      <c r="V2260">
        <f>IF(ReconciliationData[[#This Row],[total_returned_units]]&gt;ReconciliationData[[#This Row],[ordered_units]],1,0)</f>
        <v>0</v>
      </c>
      <c r="W22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60">
        <f>ReconciliationData[[#This Row],[Billed_Units]]*ReconciliationData[[#This Row],[Billed_Price]]</f>
        <v>173283.33660000001</v>
      </c>
      <c r="Y2260">
        <f>ReconciliationData[[#This Row],[ordered_units]]*ReconciliationData[[#This Row],[List_Price]]</f>
        <v>175097.82180000001</v>
      </c>
      <c r="Z2260">
        <f>ReconciliationData[[#This Row],[billed_revenue]]-ReconciliationData[[#This Row],[expected_revenue]]</f>
        <v>-1814.4851999999955</v>
      </c>
      <c r="AA22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260" t="str">
        <f>IF(ReconciliationData[[#This Row],[severity_score]]=0,"LOW",
 IF(ReconciliationData[[#This Row],[severity_score]]&lt;=5,"MEDIUM","HIGH"))</f>
        <v>HIGH</v>
      </c>
      <c r="AC2260" t="str">
        <f>TEXT(ReconciliationData[[#This Row],[Order_Date]],"YYYY-MM")</f>
        <v>2024-09</v>
      </c>
    </row>
    <row r="2261" spans="1:29">
      <c r="A2261" t="s">
        <v>5706</v>
      </c>
      <c r="B2261" s="1">
        <v>45295</v>
      </c>
      <c r="C2261" t="s">
        <v>2639</v>
      </c>
      <c r="D2261" t="s">
        <v>639</v>
      </c>
      <c r="E2261">
        <v>181</v>
      </c>
      <c r="F2261" t="s">
        <v>5707</v>
      </c>
      <c r="G2261">
        <v>181</v>
      </c>
      <c r="H2261">
        <v>945.38850000000002</v>
      </c>
      <c r="N2261">
        <v>945.38850000000002</v>
      </c>
      <c r="O2261" s="1">
        <v>45047</v>
      </c>
      <c r="P2261">
        <f>IF(ISBLANK(ReconciliationData[[#This Row],[Invoice_ID]]),1,0)</f>
        <v>0</v>
      </c>
      <c r="Q2261">
        <f>IF(AND(NOT(ISBLANK(ReconciliationData[[#This Row],[Billed_Units]])),ReconciliationData[[#This Row],[ordered_units]]&lt;&gt;ReconciliationData[[#This Row],[Billed_Units]]),1,0)</f>
        <v>0</v>
      </c>
      <c r="R22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61">
        <f>IF(AND(NOT(ISBLANK(ReconciliationData[[#This Row],[Contract_Price]])),ReconciliationData[[#This Row],[Billed_Price]]&lt;&gt;ReconciliationData[[#This Row],[Contract_Price]]),1,0)</f>
        <v>0</v>
      </c>
      <c r="T2261">
        <f>IF(AND(NOT(ISBLANK(ReconciliationData[[#This Row],[End_Date]])),ReconciliationData[[#This Row],[Order_Date]]&gt;ReconciliationData[[#This Row],[End_Date]]),1,0)</f>
        <v>0</v>
      </c>
      <c r="U2261">
        <f>IF(AND(NOT(ISBLANK(ReconciliationData[[#This Row],[last_return_date]])),ReconciliationData[[#This Row],[last_return_date]]&gt;ReconciliationData[[#This Row],[Order_Date]]+60),1,0)</f>
        <v>0</v>
      </c>
      <c r="V2261">
        <f>IF(ReconciliationData[[#This Row],[total_returned_units]]&gt;ReconciliationData[[#This Row],[ordered_units]],1,0)</f>
        <v>0</v>
      </c>
      <c r="W22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61">
        <f>ReconciliationData[[#This Row],[Billed_Units]]*ReconciliationData[[#This Row],[Billed_Price]]</f>
        <v>171115.31849999999</v>
      </c>
      <c r="Y2261">
        <f>ReconciliationData[[#This Row],[ordered_units]]*ReconciliationData[[#This Row],[List_Price]]</f>
        <v>171115.31849999999</v>
      </c>
      <c r="Z2261">
        <f>ReconciliationData[[#This Row],[billed_revenue]]-ReconciliationData[[#This Row],[expected_revenue]]</f>
        <v>0</v>
      </c>
      <c r="AA22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61" t="str">
        <f>IF(ReconciliationData[[#This Row],[severity_score]]=0,"LOW",
 IF(ReconciliationData[[#This Row],[severity_score]]&lt;=5,"MEDIUM","HIGH"))</f>
        <v>LOW</v>
      </c>
      <c r="AC2261" t="str">
        <f>TEXT(ReconciliationData[[#This Row],[Order_Date]],"YYYY-MM")</f>
        <v>2024-01</v>
      </c>
    </row>
    <row r="2262" spans="1:29">
      <c r="A2262" t="s">
        <v>5708</v>
      </c>
      <c r="B2262" s="1">
        <v>45653</v>
      </c>
      <c r="C2262" t="s">
        <v>1685</v>
      </c>
      <c r="D2262" t="s">
        <v>569</v>
      </c>
      <c r="E2262">
        <v>45</v>
      </c>
      <c r="F2262" t="s">
        <v>5709</v>
      </c>
      <c r="G2262">
        <v>45</v>
      </c>
      <c r="H2262">
        <v>1231.9933000000001</v>
      </c>
      <c r="N2262">
        <v>1231.9933000000001</v>
      </c>
      <c r="O2262" s="1">
        <v>44934</v>
      </c>
      <c r="P2262">
        <f>IF(ISBLANK(ReconciliationData[[#This Row],[Invoice_ID]]),1,0)</f>
        <v>0</v>
      </c>
      <c r="Q2262">
        <f>IF(AND(NOT(ISBLANK(ReconciliationData[[#This Row],[Billed_Units]])),ReconciliationData[[#This Row],[ordered_units]]&lt;&gt;ReconciliationData[[#This Row],[Billed_Units]]),1,0)</f>
        <v>0</v>
      </c>
      <c r="R22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62">
        <f>IF(AND(NOT(ISBLANK(ReconciliationData[[#This Row],[Contract_Price]])),ReconciliationData[[#This Row],[Billed_Price]]&lt;&gt;ReconciliationData[[#This Row],[Contract_Price]]),1,0)</f>
        <v>0</v>
      </c>
      <c r="T2262">
        <f>IF(AND(NOT(ISBLANK(ReconciliationData[[#This Row],[End_Date]])),ReconciliationData[[#This Row],[Order_Date]]&gt;ReconciliationData[[#This Row],[End_Date]]),1,0)</f>
        <v>0</v>
      </c>
      <c r="U2262">
        <f>IF(AND(NOT(ISBLANK(ReconciliationData[[#This Row],[last_return_date]])),ReconciliationData[[#This Row],[last_return_date]]&gt;ReconciliationData[[#This Row],[Order_Date]]+60),1,0)</f>
        <v>0</v>
      </c>
      <c r="V2262">
        <f>IF(ReconciliationData[[#This Row],[total_returned_units]]&gt;ReconciliationData[[#This Row],[ordered_units]],1,0)</f>
        <v>0</v>
      </c>
      <c r="W22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62">
        <f>ReconciliationData[[#This Row],[Billed_Units]]*ReconciliationData[[#This Row],[Billed_Price]]</f>
        <v>55439.698500000006</v>
      </c>
      <c r="Y2262">
        <f>ReconciliationData[[#This Row],[ordered_units]]*ReconciliationData[[#This Row],[List_Price]]</f>
        <v>55439.698500000006</v>
      </c>
      <c r="Z2262">
        <f>ReconciliationData[[#This Row],[billed_revenue]]-ReconciliationData[[#This Row],[expected_revenue]]</f>
        <v>0</v>
      </c>
      <c r="AA22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62" t="str">
        <f>IF(ReconciliationData[[#This Row],[severity_score]]=0,"LOW",
 IF(ReconciliationData[[#This Row],[severity_score]]&lt;=5,"MEDIUM","HIGH"))</f>
        <v>LOW</v>
      </c>
      <c r="AC2262" t="str">
        <f>TEXT(ReconciliationData[[#This Row],[Order_Date]],"YYYY-MM")</f>
        <v>2024-12</v>
      </c>
    </row>
    <row r="2263" spans="1:29">
      <c r="A2263" t="s">
        <v>5710</v>
      </c>
      <c r="B2263" s="1">
        <v>45331</v>
      </c>
      <c r="C2263" t="s">
        <v>209</v>
      </c>
      <c r="D2263" t="s">
        <v>987</v>
      </c>
      <c r="E2263">
        <v>173</v>
      </c>
      <c r="F2263" t="s">
        <v>5711</v>
      </c>
      <c r="G2263">
        <v>173</v>
      </c>
      <c r="H2263">
        <v>232.56778562414399</v>
      </c>
      <c r="N2263">
        <v>232.3732</v>
      </c>
      <c r="O2263" s="1">
        <v>45065</v>
      </c>
      <c r="P2263">
        <f>IF(ISBLANK(ReconciliationData[[#This Row],[Invoice_ID]]),1,0)</f>
        <v>0</v>
      </c>
      <c r="Q2263">
        <f>IF(AND(NOT(ISBLANK(ReconciliationData[[#This Row],[Billed_Units]])),ReconciliationData[[#This Row],[ordered_units]]&lt;&gt;ReconciliationData[[#This Row],[Billed_Units]]),1,0)</f>
        <v>0</v>
      </c>
      <c r="R226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263">
        <f>IF(AND(NOT(ISBLANK(ReconciliationData[[#This Row],[Contract_Price]])),ReconciliationData[[#This Row],[Billed_Price]]&lt;&gt;ReconciliationData[[#This Row],[Contract_Price]]),1,0)</f>
        <v>0</v>
      </c>
      <c r="T2263">
        <f>IF(AND(NOT(ISBLANK(ReconciliationData[[#This Row],[End_Date]])),ReconciliationData[[#This Row],[Order_Date]]&gt;ReconciliationData[[#This Row],[End_Date]]),1,0)</f>
        <v>0</v>
      </c>
      <c r="U2263">
        <f>IF(AND(NOT(ISBLANK(ReconciliationData[[#This Row],[last_return_date]])),ReconciliationData[[#This Row],[last_return_date]]&gt;ReconciliationData[[#This Row],[Order_Date]]+60),1,0)</f>
        <v>0</v>
      </c>
      <c r="V2263">
        <f>IF(ReconciliationData[[#This Row],[total_returned_units]]&gt;ReconciliationData[[#This Row],[ordered_units]],1,0)</f>
        <v>0</v>
      </c>
      <c r="W22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63">
        <f>ReconciliationData[[#This Row],[Billed_Units]]*ReconciliationData[[#This Row],[Billed_Price]]</f>
        <v>40234.226912976912</v>
      </c>
      <c r="Y2263">
        <f>ReconciliationData[[#This Row],[ordered_units]]*ReconciliationData[[#This Row],[List_Price]]</f>
        <v>40200.563600000001</v>
      </c>
      <c r="Z2263">
        <f>ReconciliationData[[#This Row],[billed_revenue]]-ReconciliationData[[#This Row],[expected_revenue]]</f>
        <v>33.663312976910674</v>
      </c>
      <c r="AA22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263" t="str">
        <f>IF(ReconciliationData[[#This Row],[severity_score]]=0,"LOW",
 IF(ReconciliationData[[#This Row],[severity_score]]&lt;=5,"MEDIUM","HIGH"))</f>
        <v>MEDIUM</v>
      </c>
      <c r="AC2263" t="str">
        <f>TEXT(ReconciliationData[[#This Row],[Order_Date]],"YYYY-MM")</f>
        <v>2024-02</v>
      </c>
    </row>
    <row r="2264" spans="1:29">
      <c r="A2264" t="s">
        <v>5712</v>
      </c>
      <c r="B2264" s="1">
        <v>45211</v>
      </c>
      <c r="C2264" t="s">
        <v>2500</v>
      </c>
      <c r="D2264" t="s">
        <v>658</v>
      </c>
      <c r="E2264">
        <v>164</v>
      </c>
      <c r="F2264" t="s">
        <v>5713</v>
      </c>
      <c r="G2264">
        <v>164</v>
      </c>
      <c r="H2264">
        <v>88.578000000000003</v>
      </c>
      <c r="N2264">
        <v>88.578000000000003</v>
      </c>
      <c r="O2264" s="1">
        <v>45107</v>
      </c>
      <c r="P2264">
        <f>IF(ISBLANK(ReconciliationData[[#This Row],[Invoice_ID]]),1,0)</f>
        <v>0</v>
      </c>
      <c r="Q2264">
        <f>IF(AND(NOT(ISBLANK(ReconciliationData[[#This Row],[Billed_Units]])),ReconciliationData[[#This Row],[ordered_units]]&lt;&gt;ReconciliationData[[#This Row],[Billed_Units]]),1,0)</f>
        <v>0</v>
      </c>
      <c r="R22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64">
        <f>IF(AND(NOT(ISBLANK(ReconciliationData[[#This Row],[Contract_Price]])),ReconciliationData[[#This Row],[Billed_Price]]&lt;&gt;ReconciliationData[[#This Row],[Contract_Price]]),1,0)</f>
        <v>0</v>
      </c>
      <c r="T2264">
        <f>IF(AND(NOT(ISBLANK(ReconciliationData[[#This Row],[End_Date]])),ReconciliationData[[#This Row],[Order_Date]]&gt;ReconciliationData[[#This Row],[End_Date]]),1,0)</f>
        <v>0</v>
      </c>
      <c r="U2264">
        <f>IF(AND(NOT(ISBLANK(ReconciliationData[[#This Row],[last_return_date]])),ReconciliationData[[#This Row],[last_return_date]]&gt;ReconciliationData[[#This Row],[Order_Date]]+60),1,0)</f>
        <v>0</v>
      </c>
      <c r="V2264">
        <f>IF(ReconciliationData[[#This Row],[total_returned_units]]&gt;ReconciliationData[[#This Row],[ordered_units]],1,0)</f>
        <v>0</v>
      </c>
      <c r="W22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64">
        <f>ReconciliationData[[#This Row],[Billed_Units]]*ReconciliationData[[#This Row],[Billed_Price]]</f>
        <v>14526.792000000001</v>
      </c>
      <c r="Y2264">
        <f>ReconciliationData[[#This Row],[ordered_units]]*ReconciliationData[[#This Row],[List_Price]]</f>
        <v>14526.792000000001</v>
      </c>
      <c r="Z2264">
        <f>ReconciliationData[[#This Row],[billed_revenue]]-ReconciliationData[[#This Row],[expected_revenue]]</f>
        <v>0</v>
      </c>
      <c r="AA22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64" t="str">
        <f>IF(ReconciliationData[[#This Row],[severity_score]]=0,"LOW",
 IF(ReconciliationData[[#This Row],[severity_score]]&lt;=5,"MEDIUM","HIGH"))</f>
        <v>LOW</v>
      </c>
      <c r="AC2264" t="str">
        <f>TEXT(ReconciliationData[[#This Row],[Order_Date]],"YYYY-MM")</f>
        <v>2023-10</v>
      </c>
    </row>
    <row r="2265" spans="1:29">
      <c r="A2265" t="s">
        <v>5714</v>
      </c>
      <c r="B2265" s="1">
        <v>45029</v>
      </c>
      <c r="C2265" t="s">
        <v>1381</v>
      </c>
      <c r="D2265" t="s">
        <v>1424</v>
      </c>
      <c r="E2265">
        <v>159</v>
      </c>
      <c r="F2265" t="s">
        <v>5715</v>
      </c>
      <c r="G2265">
        <v>159</v>
      </c>
      <c r="H2265">
        <v>181.02959999999999</v>
      </c>
      <c r="N2265">
        <v>181.02959999999999</v>
      </c>
      <c r="O2265" s="1">
        <v>44989</v>
      </c>
      <c r="P2265">
        <f>IF(ISBLANK(ReconciliationData[[#This Row],[Invoice_ID]]),1,0)</f>
        <v>0</v>
      </c>
      <c r="Q2265">
        <f>IF(AND(NOT(ISBLANK(ReconciliationData[[#This Row],[Billed_Units]])),ReconciliationData[[#This Row],[ordered_units]]&lt;&gt;ReconciliationData[[#This Row],[Billed_Units]]),1,0)</f>
        <v>0</v>
      </c>
      <c r="R22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65">
        <f>IF(AND(NOT(ISBLANK(ReconciliationData[[#This Row],[Contract_Price]])),ReconciliationData[[#This Row],[Billed_Price]]&lt;&gt;ReconciliationData[[#This Row],[Contract_Price]]),1,0)</f>
        <v>0</v>
      </c>
      <c r="T2265">
        <f>IF(AND(NOT(ISBLANK(ReconciliationData[[#This Row],[End_Date]])),ReconciliationData[[#This Row],[Order_Date]]&gt;ReconciliationData[[#This Row],[End_Date]]),1,0)</f>
        <v>0</v>
      </c>
      <c r="U2265">
        <f>IF(AND(NOT(ISBLANK(ReconciliationData[[#This Row],[last_return_date]])),ReconciliationData[[#This Row],[last_return_date]]&gt;ReconciliationData[[#This Row],[Order_Date]]+60),1,0)</f>
        <v>0</v>
      </c>
      <c r="V2265">
        <f>IF(ReconciliationData[[#This Row],[total_returned_units]]&gt;ReconciliationData[[#This Row],[ordered_units]],1,0)</f>
        <v>0</v>
      </c>
      <c r="W22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65">
        <f>ReconciliationData[[#This Row],[Billed_Units]]*ReconciliationData[[#This Row],[Billed_Price]]</f>
        <v>28783.706399999999</v>
      </c>
      <c r="Y2265">
        <f>ReconciliationData[[#This Row],[ordered_units]]*ReconciliationData[[#This Row],[List_Price]]</f>
        <v>28783.706399999999</v>
      </c>
      <c r="Z2265">
        <f>ReconciliationData[[#This Row],[billed_revenue]]-ReconciliationData[[#This Row],[expected_revenue]]</f>
        <v>0</v>
      </c>
      <c r="AA22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65" t="str">
        <f>IF(ReconciliationData[[#This Row],[severity_score]]=0,"LOW",
 IF(ReconciliationData[[#This Row],[severity_score]]&lt;=5,"MEDIUM","HIGH"))</f>
        <v>LOW</v>
      </c>
      <c r="AC2265" t="str">
        <f>TEXT(ReconciliationData[[#This Row],[Order_Date]],"YYYY-MM")</f>
        <v>2023-04</v>
      </c>
    </row>
    <row r="2266" spans="1:29">
      <c r="A2266" t="s">
        <v>5716</v>
      </c>
      <c r="B2266" s="1">
        <v>45469</v>
      </c>
      <c r="C2266" t="s">
        <v>448</v>
      </c>
      <c r="D2266" t="s">
        <v>525</v>
      </c>
      <c r="E2266">
        <v>183</v>
      </c>
      <c r="F2266" t="s">
        <v>5717</v>
      </c>
      <c r="G2266">
        <v>183</v>
      </c>
      <c r="H2266">
        <v>249.1748</v>
      </c>
      <c r="N2266">
        <v>249.1748</v>
      </c>
      <c r="O2266" s="1">
        <v>45141</v>
      </c>
      <c r="P2266">
        <f>IF(ISBLANK(ReconciliationData[[#This Row],[Invoice_ID]]),1,0)</f>
        <v>0</v>
      </c>
      <c r="Q2266">
        <f>IF(AND(NOT(ISBLANK(ReconciliationData[[#This Row],[Billed_Units]])),ReconciliationData[[#This Row],[ordered_units]]&lt;&gt;ReconciliationData[[#This Row],[Billed_Units]]),1,0)</f>
        <v>0</v>
      </c>
      <c r="R22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66">
        <f>IF(AND(NOT(ISBLANK(ReconciliationData[[#This Row],[Contract_Price]])),ReconciliationData[[#This Row],[Billed_Price]]&lt;&gt;ReconciliationData[[#This Row],[Contract_Price]]),1,0)</f>
        <v>0</v>
      </c>
      <c r="T2266">
        <f>IF(AND(NOT(ISBLANK(ReconciliationData[[#This Row],[End_Date]])),ReconciliationData[[#This Row],[Order_Date]]&gt;ReconciliationData[[#This Row],[End_Date]]),1,0)</f>
        <v>0</v>
      </c>
      <c r="U2266">
        <f>IF(AND(NOT(ISBLANK(ReconciliationData[[#This Row],[last_return_date]])),ReconciliationData[[#This Row],[last_return_date]]&gt;ReconciliationData[[#This Row],[Order_Date]]+60),1,0)</f>
        <v>0</v>
      </c>
      <c r="V2266">
        <f>IF(ReconciliationData[[#This Row],[total_returned_units]]&gt;ReconciliationData[[#This Row],[ordered_units]],1,0)</f>
        <v>0</v>
      </c>
      <c r="W22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66">
        <f>ReconciliationData[[#This Row],[Billed_Units]]*ReconciliationData[[#This Row],[Billed_Price]]</f>
        <v>45598.988400000002</v>
      </c>
      <c r="Y2266">
        <f>ReconciliationData[[#This Row],[ordered_units]]*ReconciliationData[[#This Row],[List_Price]]</f>
        <v>45598.988400000002</v>
      </c>
      <c r="Z2266">
        <f>ReconciliationData[[#This Row],[billed_revenue]]-ReconciliationData[[#This Row],[expected_revenue]]</f>
        <v>0</v>
      </c>
      <c r="AA22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66" t="str">
        <f>IF(ReconciliationData[[#This Row],[severity_score]]=0,"LOW",
 IF(ReconciliationData[[#This Row],[severity_score]]&lt;=5,"MEDIUM","HIGH"))</f>
        <v>LOW</v>
      </c>
      <c r="AC2266" t="str">
        <f>TEXT(ReconciliationData[[#This Row],[Order_Date]],"YYYY-MM")</f>
        <v>2024-06</v>
      </c>
    </row>
    <row r="2267" spans="1:29">
      <c r="A2267" t="s">
        <v>5718</v>
      </c>
      <c r="B2267" s="1">
        <v>45082</v>
      </c>
      <c r="C2267" t="s">
        <v>305</v>
      </c>
      <c r="D2267" t="s">
        <v>3036</v>
      </c>
      <c r="E2267">
        <v>52</v>
      </c>
      <c r="F2267" t="s">
        <v>5719</v>
      </c>
      <c r="G2267">
        <v>52</v>
      </c>
      <c r="H2267">
        <v>880.29480000000001</v>
      </c>
      <c r="N2267">
        <v>880.29480000000001</v>
      </c>
      <c r="O2267" s="1">
        <v>44998</v>
      </c>
      <c r="P2267">
        <f>IF(ISBLANK(ReconciliationData[[#This Row],[Invoice_ID]]),1,0)</f>
        <v>0</v>
      </c>
      <c r="Q2267">
        <f>IF(AND(NOT(ISBLANK(ReconciliationData[[#This Row],[Billed_Units]])),ReconciliationData[[#This Row],[ordered_units]]&lt;&gt;ReconciliationData[[#This Row],[Billed_Units]]),1,0)</f>
        <v>0</v>
      </c>
      <c r="R22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67">
        <f>IF(AND(NOT(ISBLANK(ReconciliationData[[#This Row],[Contract_Price]])),ReconciliationData[[#This Row],[Billed_Price]]&lt;&gt;ReconciliationData[[#This Row],[Contract_Price]]),1,0)</f>
        <v>0</v>
      </c>
      <c r="T2267">
        <f>IF(AND(NOT(ISBLANK(ReconciliationData[[#This Row],[End_Date]])),ReconciliationData[[#This Row],[Order_Date]]&gt;ReconciliationData[[#This Row],[End_Date]]),1,0)</f>
        <v>0</v>
      </c>
      <c r="U2267">
        <f>IF(AND(NOT(ISBLANK(ReconciliationData[[#This Row],[last_return_date]])),ReconciliationData[[#This Row],[last_return_date]]&gt;ReconciliationData[[#This Row],[Order_Date]]+60),1,0)</f>
        <v>0</v>
      </c>
      <c r="V2267">
        <f>IF(ReconciliationData[[#This Row],[total_returned_units]]&gt;ReconciliationData[[#This Row],[ordered_units]],1,0)</f>
        <v>0</v>
      </c>
      <c r="W22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67">
        <f>ReconciliationData[[#This Row],[Billed_Units]]*ReconciliationData[[#This Row],[Billed_Price]]</f>
        <v>45775.329599999997</v>
      </c>
      <c r="Y2267">
        <f>ReconciliationData[[#This Row],[ordered_units]]*ReconciliationData[[#This Row],[List_Price]]</f>
        <v>45775.329599999997</v>
      </c>
      <c r="Z2267">
        <f>ReconciliationData[[#This Row],[billed_revenue]]-ReconciliationData[[#This Row],[expected_revenue]]</f>
        <v>0</v>
      </c>
      <c r="AA22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67" t="str">
        <f>IF(ReconciliationData[[#This Row],[severity_score]]=0,"LOW",
 IF(ReconciliationData[[#This Row],[severity_score]]&lt;=5,"MEDIUM","HIGH"))</f>
        <v>LOW</v>
      </c>
      <c r="AC2267" t="str">
        <f>TEXT(ReconciliationData[[#This Row],[Order_Date]],"YYYY-MM")</f>
        <v>2023-06</v>
      </c>
    </row>
    <row r="2268" spans="1:29">
      <c r="A2268" t="s">
        <v>5720</v>
      </c>
      <c r="B2268" s="1">
        <v>45204</v>
      </c>
      <c r="C2268" t="s">
        <v>1615</v>
      </c>
      <c r="D2268" t="s">
        <v>2682</v>
      </c>
      <c r="E2268">
        <v>198</v>
      </c>
      <c r="F2268" t="s">
        <v>5721</v>
      </c>
      <c r="G2268">
        <v>198</v>
      </c>
      <c r="H2268">
        <v>1032.7408</v>
      </c>
      <c r="N2268">
        <v>1032.7408</v>
      </c>
      <c r="O2268" s="1">
        <v>45077</v>
      </c>
      <c r="P2268">
        <f>IF(ISBLANK(ReconciliationData[[#This Row],[Invoice_ID]]),1,0)</f>
        <v>0</v>
      </c>
      <c r="Q2268">
        <f>IF(AND(NOT(ISBLANK(ReconciliationData[[#This Row],[Billed_Units]])),ReconciliationData[[#This Row],[ordered_units]]&lt;&gt;ReconciliationData[[#This Row],[Billed_Units]]),1,0)</f>
        <v>0</v>
      </c>
      <c r="R22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68">
        <f>IF(AND(NOT(ISBLANK(ReconciliationData[[#This Row],[Contract_Price]])),ReconciliationData[[#This Row],[Billed_Price]]&lt;&gt;ReconciliationData[[#This Row],[Contract_Price]]),1,0)</f>
        <v>0</v>
      </c>
      <c r="T2268">
        <f>IF(AND(NOT(ISBLANK(ReconciliationData[[#This Row],[End_Date]])),ReconciliationData[[#This Row],[Order_Date]]&gt;ReconciliationData[[#This Row],[End_Date]]),1,0)</f>
        <v>0</v>
      </c>
      <c r="U2268">
        <f>IF(AND(NOT(ISBLANK(ReconciliationData[[#This Row],[last_return_date]])),ReconciliationData[[#This Row],[last_return_date]]&gt;ReconciliationData[[#This Row],[Order_Date]]+60),1,0)</f>
        <v>0</v>
      </c>
      <c r="V2268">
        <f>IF(ReconciliationData[[#This Row],[total_returned_units]]&gt;ReconciliationData[[#This Row],[ordered_units]],1,0)</f>
        <v>0</v>
      </c>
      <c r="W22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68">
        <f>ReconciliationData[[#This Row],[Billed_Units]]*ReconciliationData[[#This Row],[Billed_Price]]</f>
        <v>204482.6784</v>
      </c>
      <c r="Y2268">
        <f>ReconciliationData[[#This Row],[ordered_units]]*ReconciliationData[[#This Row],[List_Price]]</f>
        <v>204482.6784</v>
      </c>
      <c r="Z2268">
        <f>ReconciliationData[[#This Row],[billed_revenue]]-ReconciliationData[[#This Row],[expected_revenue]]</f>
        <v>0</v>
      </c>
      <c r="AA22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68" t="str">
        <f>IF(ReconciliationData[[#This Row],[severity_score]]=0,"LOW",
 IF(ReconciliationData[[#This Row],[severity_score]]&lt;=5,"MEDIUM","HIGH"))</f>
        <v>LOW</v>
      </c>
      <c r="AC2268" t="str">
        <f>TEXT(ReconciliationData[[#This Row],[Order_Date]],"YYYY-MM")</f>
        <v>2023-10</v>
      </c>
    </row>
    <row r="2269" spans="1:29">
      <c r="A2269" t="s">
        <v>5722</v>
      </c>
      <c r="B2269" s="1">
        <v>45228</v>
      </c>
      <c r="C2269" t="s">
        <v>806</v>
      </c>
      <c r="D2269" t="s">
        <v>1945</v>
      </c>
      <c r="E2269">
        <v>182</v>
      </c>
      <c r="F2269" t="s">
        <v>5723</v>
      </c>
      <c r="G2269">
        <v>182</v>
      </c>
      <c r="H2269">
        <v>1178.6880000000001</v>
      </c>
      <c r="N2269">
        <v>1178.6880000000001</v>
      </c>
      <c r="O2269" s="1">
        <v>44930</v>
      </c>
      <c r="P2269">
        <f>IF(ISBLANK(ReconciliationData[[#This Row],[Invoice_ID]]),1,0)</f>
        <v>0</v>
      </c>
      <c r="Q2269">
        <f>IF(AND(NOT(ISBLANK(ReconciliationData[[#This Row],[Billed_Units]])),ReconciliationData[[#This Row],[ordered_units]]&lt;&gt;ReconciliationData[[#This Row],[Billed_Units]]),1,0)</f>
        <v>0</v>
      </c>
      <c r="R22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69">
        <f>IF(AND(NOT(ISBLANK(ReconciliationData[[#This Row],[Contract_Price]])),ReconciliationData[[#This Row],[Billed_Price]]&lt;&gt;ReconciliationData[[#This Row],[Contract_Price]]),1,0)</f>
        <v>0</v>
      </c>
      <c r="T2269">
        <f>IF(AND(NOT(ISBLANK(ReconciliationData[[#This Row],[End_Date]])),ReconciliationData[[#This Row],[Order_Date]]&gt;ReconciliationData[[#This Row],[End_Date]]),1,0)</f>
        <v>0</v>
      </c>
      <c r="U2269">
        <f>IF(AND(NOT(ISBLANK(ReconciliationData[[#This Row],[last_return_date]])),ReconciliationData[[#This Row],[last_return_date]]&gt;ReconciliationData[[#This Row],[Order_Date]]+60),1,0)</f>
        <v>0</v>
      </c>
      <c r="V2269">
        <f>IF(ReconciliationData[[#This Row],[total_returned_units]]&gt;ReconciliationData[[#This Row],[ordered_units]],1,0)</f>
        <v>0</v>
      </c>
      <c r="W22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69">
        <f>ReconciliationData[[#This Row],[Billed_Units]]*ReconciliationData[[#This Row],[Billed_Price]]</f>
        <v>214521.21600000001</v>
      </c>
      <c r="Y2269">
        <f>ReconciliationData[[#This Row],[ordered_units]]*ReconciliationData[[#This Row],[List_Price]]</f>
        <v>214521.21600000001</v>
      </c>
      <c r="Z2269">
        <f>ReconciliationData[[#This Row],[billed_revenue]]-ReconciliationData[[#This Row],[expected_revenue]]</f>
        <v>0</v>
      </c>
      <c r="AA22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69" t="str">
        <f>IF(ReconciliationData[[#This Row],[severity_score]]=0,"LOW",
 IF(ReconciliationData[[#This Row],[severity_score]]&lt;=5,"MEDIUM","HIGH"))</f>
        <v>LOW</v>
      </c>
      <c r="AC2269" t="str">
        <f>TEXT(ReconciliationData[[#This Row],[Order_Date]],"YYYY-MM")</f>
        <v>2023-10</v>
      </c>
    </row>
    <row r="2270" spans="1:29">
      <c r="A2270" t="s">
        <v>5724</v>
      </c>
      <c r="B2270" s="1">
        <v>45266</v>
      </c>
      <c r="C2270" t="s">
        <v>3337</v>
      </c>
      <c r="D2270" t="s">
        <v>1848</v>
      </c>
      <c r="E2270">
        <v>38</v>
      </c>
      <c r="F2270" t="s">
        <v>5725</v>
      </c>
      <c r="G2270">
        <v>38</v>
      </c>
      <c r="H2270">
        <v>92.962000000000003</v>
      </c>
      <c r="N2270">
        <v>92.962000000000003</v>
      </c>
      <c r="O2270" s="1">
        <v>45151</v>
      </c>
      <c r="P2270">
        <f>IF(ISBLANK(ReconciliationData[[#This Row],[Invoice_ID]]),1,0)</f>
        <v>0</v>
      </c>
      <c r="Q2270">
        <f>IF(AND(NOT(ISBLANK(ReconciliationData[[#This Row],[Billed_Units]])),ReconciliationData[[#This Row],[ordered_units]]&lt;&gt;ReconciliationData[[#This Row],[Billed_Units]]),1,0)</f>
        <v>0</v>
      </c>
      <c r="R22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0">
        <f>IF(AND(NOT(ISBLANK(ReconciliationData[[#This Row],[Contract_Price]])),ReconciliationData[[#This Row],[Billed_Price]]&lt;&gt;ReconciliationData[[#This Row],[Contract_Price]]),1,0)</f>
        <v>0</v>
      </c>
      <c r="T2270">
        <f>IF(AND(NOT(ISBLANK(ReconciliationData[[#This Row],[End_Date]])),ReconciliationData[[#This Row],[Order_Date]]&gt;ReconciliationData[[#This Row],[End_Date]]),1,0)</f>
        <v>0</v>
      </c>
      <c r="U2270">
        <f>IF(AND(NOT(ISBLANK(ReconciliationData[[#This Row],[last_return_date]])),ReconciliationData[[#This Row],[last_return_date]]&gt;ReconciliationData[[#This Row],[Order_Date]]+60),1,0)</f>
        <v>0</v>
      </c>
      <c r="V2270">
        <f>IF(ReconciliationData[[#This Row],[total_returned_units]]&gt;ReconciliationData[[#This Row],[ordered_units]],1,0)</f>
        <v>0</v>
      </c>
      <c r="W22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70">
        <f>ReconciliationData[[#This Row],[Billed_Units]]*ReconciliationData[[#This Row],[Billed_Price]]</f>
        <v>3532.556</v>
      </c>
      <c r="Y2270">
        <f>ReconciliationData[[#This Row],[ordered_units]]*ReconciliationData[[#This Row],[List_Price]]</f>
        <v>3532.556</v>
      </c>
      <c r="Z2270">
        <f>ReconciliationData[[#This Row],[billed_revenue]]-ReconciliationData[[#This Row],[expected_revenue]]</f>
        <v>0</v>
      </c>
      <c r="AA22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70" t="str">
        <f>IF(ReconciliationData[[#This Row],[severity_score]]=0,"LOW",
 IF(ReconciliationData[[#This Row],[severity_score]]&lt;=5,"MEDIUM","HIGH"))</f>
        <v>LOW</v>
      </c>
      <c r="AC2270" t="str">
        <f>TEXT(ReconciliationData[[#This Row],[Order_Date]],"YYYY-MM")</f>
        <v>2023-12</v>
      </c>
    </row>
    <row r="2271" spans="1:29">
      <c r="A2271" t="s">
        <v>5726</v>
      </c>
      <c r="B2271" s="1">
        <v>45642</v>
      </c>
      <c r="C2271" t="s">
        <v>1591</v>
      </c>
      <c r="D2271" t="s">
        <v>1333</v>
      </c>
      <c r="E2271">
        <v>16</v>
      </c>
      <c r="F2271" t="s">
        <v>5727</v>
      </c>
      <c r="G2271">
        <v>16</v>
      </c>
      <c r="H2271">
        <v>418.93040000000002</v>
      </c>
      <c r="N2271">
        <v>418.93040000000002</v>
      </c>
      <c r="O2271" s="1">
        <v>45214</v>
      </c>
      <c r="P2271">
        <f>IF(ISBLANK(ReconciliationData[[#This Row],[Invoice_ID]]),1,0)</f>
        <v>0</v>
      </c>
      <c r="Q2271">
        <f>IF(AND(NOT(ISBLANK(ReconciliationData[[#This Row],[Billed_Units]])),ReconciliationData[[#This Row],[ordered_units]]&lt;&gt;ReconciliationData[[#This Row],[Billed_Units]]),1,0)</f>
        <v>0</v>
      </c>
      <c r="R22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1">
        <f>IF(AND(NOT(ISBLANK(ReconciliationData[[#This Row],[Contract_Price]])),ReconciliationData[[#This Row],[Billed_Price]]&lt;&gt;ReconciliationData[[#This Row],[Contract_Price]]),1,0)</f>
        <v>0</v>
      </c>
      <c r="T2271">
        <f>IF(AND(NOT(ISBLANK(ReconciliationData[[#This Row],[End_Date]])),ReconciliationData[[#This Row],[Order_Date]]&gt;ReconciliationData[[#This Row],[End_Date]]),1,0)</f>
        <v>0</v>
      </c>
      <c r="U2271">
        <f>IF(AND(NOT(ISBLANK(ReconciliationData[[#This Row],[last_return_date]])),ReconciliationData[[#This Row],[last_return_date]]&gt;ReconciliationData[[#This Row],[Order_Date]]+60),1,0)</f>
        <v>0</v>
      </c>
      <c r="V2271">
        <f>IF(ReconciliationData[[#This Row],[total_returned_units]]&gt;ReconciliationData[[#This Row],[ordered_units]],1,0)</f>
        <v>0</v>
      </c>
      <c r="W22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71">
        <f>ReconciliationData[[#This Row],[Billed_Units]]*ReconciliationData[[#This Row],[Billed_Price]]</f>
        <v>6702.8864000000003</v>
      </c>
      <c r="Y2271">
        <f>ReconciliationData[[#This Row],[ordered_units]]*ReconciliationData[[#This Row],[List_Price]]</f>
        <v>6702.8864000000003</v>
      </c>
      <c r="Z2271">
        <f>ReconciliationData[[#This Row],[billed_revenue]]-ReconciliationData[[#This Row],[expected_revenue]]</f>
        <v>0</v>
      </c>
      <c r="AA22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71" t="str">
        <f>IF(ReconciliationData[[#This Row],[severity_score]]=0,"LOW",
 IF(ReconciliationData[[#This Row],[severity_score]]&lt;=5,"MEDIUM","HIGH"))</f>
        <v>LOW</v>
      </c>
      <c r="AC2271" t="str">
        <f>TEXT(ReconciliationData[[#This Row],[Order_Date]],"YYYY-MM")</f>
        <v>2024-12</v>
      </c>
    </row>
    <row r="2272" spans="1:29">
      <c r="A2272" t="s">
        <v>5728</v>
      </c>
      <c r="B2272" s="1">
        <v>44975</v>
      </c>
      <c r="C2272" t="s">
        <v>1152</v>
      </c>
      <c r="D2272" t="s">
        <v>150</v>
      </c>
      <c r="E2272">
        <v>160</v>
      </c>
      <c r="F2272" t="s">
        <v>5729</v>
      </c>
      <c r="G2272">
        <v>160</v>
      </c>
      <c r="H2272">
        <v>346.72860000000003</v>
      </c>
      <c r="N2272">
        <v>346.72860000000003</v>
      </c>
      <c r="O2272" s="1">
        <v>44819</v>
      </c>
      <c r="P2272">
        <f>IF(ISBLANK(ReconciliationData[[#This Row],[Invoice_ID]]),1,0)</f>
        <v>0</v>
      </c>
      <c r="Q2272">
        <f>IF(AND(NOT(ISBLANK(ReconciliationData[[#This Row],[Billed_Units]])),ReconciliationData[[#This Row],[ordered_units]]&lt;&gt;ReconciliationData[[#This Row],[Billed_Units]]),1,0)</f>
        <v>0</v>
      </c>
      <c r="R22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2">
        <f>IF(AND(NOT(ISBLANK(ReconciliationData[[#This Row],[Contract_Price]])),ReconciliationData[[#This Row],[Billed_Price]]&lt;&gt;ReconciliationData[[#This Row],[Contract_Price]]),1,0)</f>
        <v>0</v>
      </c>
      <c r="T2272">
        <f>IF(AND(NOT(ISBLANK(ReconciliationData[[#This Row],[End_Date]])),ReconciliationData[[#This Row],[Order_Date]]&gt;ReconciliationData[[#This Row],[End_Date]]),1,0)</f>
        <v>0</v>
      </c>
      <c r="U2272">
        <f>IF(AND(NOT(ISBLANK(ReconciliationData[[#This Row],[last_return_date]])),ReconciliationData[[#This Row],[last_return_date]]&gt;ReconciliationData[[#This Row],[Order_Date]]+60),1,0)</f>
        <v>0</v>
      </c>
      <c r="V2272">
        <f>IF(ReconciliationData[[#This Row],[total_returned_units]]&gt;ReconciliationData[[#This Row],[ordered_units]],1,0)</f>
        <v>0</v>
      </c>
      <c r="W22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72">
        <f>ReconciliationData[[#This Row],[Billed_Units]]*ReconciliationData[[#This Row],[Billed_Price]]</f>
        <v>55476.576000000001</v>
      </c>
      <c r="Y2272">
        <f>ReconciliationData[[#This Row],[ordered_units]]*ReconciliationData[[#This Row],[List_Price]]</f>
        <v>55476.576000000001</v>
      </c>
      <c r="Z2272">
        <f>ReconciliationData[[#This Row],[billed_revenue]]-ReconciliationData[[#This Row],[expected_revenue]]</f>
        <v>0</v>
      </c>
      <c r="AA22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72" t="str">
        <f>IF(ReconciliationData[[#This Row],[severity_score]]=0,"LOW",
 IF(ReconciliationData[[#This Row],[severity_score]]&lt;=5,"MEDIUM","HIGH"))</f>
        <v>LOW</v>
      </c>
      <c r="AC2272" t="str">
        <f>TEXT(ReconciliationData[[#This Row],[Order_Date]],"YYYY-MM")</f>
        <v>2023-02</v>
      </c>
    </row>
    <row r="2273" spans="1:29">
      <c r="A2273" t="s">
        <v>5730</v>
      </c>
      <c r="B2273" s="1">
        <v>44991</v>
      </c>
      <c r="C2273" t="s">
        <v>1744</v>
      </c>
      <c r="D2273" t="s">
        <v>596</v>
      </c>
      <c r="E2273">
        <v>35</v>
      </c>
      <c r="F2273" t="s">
        <v>5731</v>
      </c>
      <c r="G2273">
        <v>35</v>
      </c>
      <c r="H2273">
        <v>652.1472</v>
      </c>
      <c r="N2273">
        <v>652.1472</v>
      </c>
      <c r="O2273" s="1">
        <v>44959</v>
      </c>
      <c r="P2273">
        <f>IF(ISBLANK(ReconciliationData[[#This Row],[Invoice_ID]]),1,0)</f>
        <v>0</v>
      </c>
      <c r="Q2273">
        <f>IF(AND(NOT(ISBLANK(ReconciliationData[[#This Row],[Billed_Units]])),ReconciliationData[[#This Row],[ordered_units]]&lt;&gt;ReconciliationData[[#This Row],[Billed_Units]]),1,0)</f>
        <v>0</v>
      </c>
      <c r="R22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3">
        <f>IF(AND(NOT(ISBLANK(ReconciliationData[[#This Row],[Contract_Price]])),ReconciliationData[[#This Row],[Billed_Price]]&lt;&gt;ReconciliationData[[#This Row],[Contract_Price]]),1,0)</f>
        <v>0</v>
      </c>
      <c r="T2273">
        <f>IF(AND(NOT(ISBLANK(ReconciliationData[[#This Row],[End_Date]])),ReconciliationData[[#This Row],[Order_Date]]&gt;ReconciliationData[[#This Row],[End_Date]]),1,0)</f>
        <v>0</v>
      </c>
      <c r="U2273">
        <f>IF(AND(NOT(ISBLANK(ReconciliationData[[#This Row],[last_return_date]])),ReconciliationData[[#This Row],[last_return_date]]&gt;ReconciliationData[[#This Row],[Order_Date]]+60),1,0)</f>
        <v>0</v>
      </c>
      <c r="V2273">
        <f>IF(ReconciliationData[[#This Row],[total_returned_units]]&gt;ReconciliationData[[#This Row],[ordered_units]],1,0)</f>
        <v>0</v>
      </c>
      <c r="W22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73">
        <f>ReconciliationData[[#This Row],[Billed_Units]]*ReconciliationData[[#This Row],[Billed_Price]]</f>
        <v>22825.151999999998</v>
      </c>
      <c r="Y2273">
        <f>ReconciliationData[[#This Row],[ordered_units]]*ReconciliationData[[#This Row],[List_Price]]</f>
        <v>22825.151999999998</v>
      </c>
      <c r="Z2273">
        <f>ReconciliationData[[#This Row],[billed_revenue]]-ReconciliationData[[#This Row],[expected_revenue]]</f>
        <v>0</v>
      </c>
      <c r="AA22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73" t="str">
        <f>IF(ReconciliationData[[#This Row],[severity_score]]=0,"LOW",
 IF(ReconciliationData[[#This Row],[severity_score]]&lt;=5,"MEDIUM","HIGH"))</f>
        <v>LOW</v>
      </c>
      <c r="AC2273" t="str">
        <f>TEXT(ReconciliationData[[#This Row],[Order_Date]],"YYYY-MM")</f>
        <v>2023-03</v>
      </c>
    </row>
    <row r="2274" spans="1:29">
      <c r="A2274" t="s">
        <v>5732</v>
      </c>
      <c r="B2274" s="1">
        <v>45328</v>
      </c>
      <c r="C2274" t="s">
        <v>1970</v>
      </c>
      <c r="D2274" t="s">
        <v>1333</v>
      </c>
      <c r="E2274">
        <v>77</v>
      </c>
      <c r="F2274" t="s">
        <v>5733</v>
      </c>
      <c r="G2274">
        <v>77</v>
      </c>
      <c r="H2274">
        <v>418.93040000000002</v>
      </c>
      <c r="N2274">
        <v>418.93040000000002</v>
      </c>
      <c r="O2274" s="1">
        <v>45214</v>
      </c>
      <c r="P2274">
        <f>IF(ISBLANK(ReconciliationData[[#This Row],[Invoice_ID]]),1,0)</f>
        <v>0</v>
      </c>
      <c r="Q2274">
        <f>IF(AND(NOT(ISBLANK(ReconciliationData[[#This Row],[Billed_Units]])),ReconciliationData[[#This Row],[ordered_units]]&lt;&gt;ReconciliationData[[#This Row],[Billed_Units]]),1,0)</f>
        <v>0</v>
      </c>
      <c r="R22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4">
        <f>IF(AND(NOT(ISBLANK(ReconciliationData[[#This Row],[Contract_Price]])),ReconciliationData[[#This Row],[Billed_Price]]&lt;&gt;ReconciliationData[[#This Row],[Contract_Price]]),1,0)</f>
        <v>0</v>
      </c>
      <c r="T2274">
        <f>IF(AND(NOT(ISBLANK(ReconciliationData[[#This Row],[End_Date]])),ReconciliationData[[#This Row],[Order_Date]]&gt;ReconciliationData[[#This Row],[End_Date]]),1,0)</f>
        <v>0</v>
      </c>
      <c r="U2274">
        <f>IF(AND(NOT(ISBLANK(ReconciliationData[[#This Row],[last_return_date]])),ReconciliationData[[#This Row],[last_return_date]]&gt;ReconciliationData[[#This Row],[Order_Date]]+60),1,0)</f>
        <v>0</v>
      </c>
      <c r="V2274">
        <f>IF(ReconciliationData[[#This Row],[total_returned_units]]&gt;ReconciliationData[[#This Row],[ordered_units]],1,0)</f>
        <v>0</v>
      </c>
      <c r="W22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74">
        <f>ReconciliationData[[#This Row],[Billed_Units]]*ReconciliationData[[#This Row],[Billed_Price]]</f>
        <v>32257.640800000001</v>
      </c>
      <c r="Y2274">
        <f>ReconciliationData[[#This Row],[ordered_units]]*ReconciliationData[[#This Row],[List_Price]]</f>
        <v>32257.640800000001</v>
      </c>
      <c r="Z2274">
        <f>ReconciliationData[[#This Row],[billed_revenue]]-ReconciliationData[[#This Row],[expected_revenue]]</f>
        <v>0</v>
      </c>
      <c r="AA22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74" t="str">
        <f>IF(ReconciliationData[[#This Row],[severity_score]]=0,"LOW",
 IF(ReconciliationData[[#This Row],[severity_score]]&lt;=5,"MEDIUM","HIGH"))</f>
        <v>LOW</v>
      </c>
      <c r="AC2274" t="str">
        <f>TEXT(ReconciliationData[[#This Row],[Order_Date]],"YYYY-MM")</f>
        <v>2024-02</v>
      </c>
    </row>
    <row r="2275" spans="1:29">
      <c r="A2275" t="s">
        <v>5734</v>
      </c>
      <c r="B2275" s="1">
        <v>45399</v>
      </c>
      <c r="C2275" t="s">
        <v>599</v>
      </c>
      <c r="D2275" t="s">
        <v>2489</v>
      </c>
      <c r="E2275">
        <v>21</v>
      </c>
      <c r="F2275" t="s">
        <v>5735</v>
      </c>
      <c r="G2275">
        <v>21</v>
      </c>
      <c r="H2275">
        <v>544.5</v>
      </c>
      <c r="N2275">
        <v>544.5</v>
      </c>
      <c r="O2275" s="1">
        <v>45159</v>
      </c>
      <c r="P2275">
        <f>IF(ISBLANK(ReconciliationData[[#This Row],[Invoice_ID]]),1,0)</f>
        <v>0</v>
      </c>
      <c r="Q2275">
        <f>IF(AND(NOT(ISBLANK(ReconciliationData[[#This Row],[Billed_Units]])),ReconciliationData[[#This Row],[ordered_units]]&lt;&gt;ReconciliationData[[#This Row],[Billed_Units]]),1,0)</f>
        <v>0</v>
      </c>
      <c r="R22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5">
        <f>IF(AND(NOT(ISBLANK(ReconciliationData[[#This Row],[Contract_Price]])),ReconciliationData[[#This Row],[Billed_Price]]&lt;&gt;ReconciliationData[[#This Row],[Contract_Price]]),1,0)</f>
        <v>0</v>
      </c>
      <c r="T2275">
        <f>IF(AND(NOT(ISBLANK(ReconciliationData[[#This Row],[End_Date]])),ReconciliationData[[#This Row],[Order_Date]]&gt;ReconciliationData[[#This Row],[End_Date]]),1,0)</f>
        <v>0</v>
      </c>
      <c r="U2275">
        <f>IF(AND(NOT(ISBLANK(ReconciliationData[[#This Row],[last_return_date]])),ReconciliationData[[#This Row],[last_return_date]]&gt;ReconciliationData[[#This Row],[Order_Date]]+60),1,0)</f>
        <v>0</v>
      </c>
      <c r="V2275">
        <f>IF(ReconciliationData[[#This Row],[total_returned_units]]&gt;ReconciliationData[[#This Row],[ordered_units]],1,0)</f>
        <v>0</v>
      </c>
      <c r="W22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75">
        <f>ReconciliationData[[#This Row],[Billed_Units]]*ReconciliationData[[#This Row],[Billed_Price]]</f>
        <v>11434.5</v>
      </c>
      <c r="Y2275">
        <f>ReconciliationData[[#This Row],[ordered_units]]*ReconciliationData[[#This Row],[List_Price]]</f>
        <v>11434.5</v>
      </c>
      <c r="Z2275">
        <f>ReconciliationData[[#This Row],[billed_revenue]]-ReconciliationData[[#This Row],[expected_revenue]]</f>
        <v>0</v>
      </c>
      <c r="AA22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75" t="str">
        <f>IF(ReconciliationData[[#This Row],[severity_score]]=0,"LOW",
 IF(ReconciliationData[[#This Row],[severity_score]]&lt;=5,"MEDIUM","HIGH"))</f>
        <v>LOW</v>
      </c>
      <c r="AC2275" t="str">
        <f>TEXT(ReconciliationData[[#This Row],[Order_Date]],"YYYY-MM")</f>
        <v>2024-04</v>
      </c>
    </row>
    <row r="2276" spans="1:29">
      <c r="A2276" t="s">
        <v>5736</v>
      </c>
      <c r="B2276" s="1">
        <v>44993</v>
      </c>
      <c r="C2276" t="s">
        <v>1889</v>
      </c>
      <c r="D2276" t="s">
        <v>1322</v>
      </c>
      <c r="E2276">
        <v>32</v>
      </c>
      <c r="F2276" t="s">
        <v>5737</v>
      </c>
      <c r="G2276">
        <v>32</v>
      </c>
      <c r="H2276">
        <v>69.45</v>
      </c>
      <c r="N2276">
        <v>69.45</v>
      </c>
      <c r="O2276" s="1">
        <v>44752</v>
      </c>
      <c r="P2276">
        <f>IF(ISBLANK(ReconciliationData[[#This Row],[Invoice_ID]]),1,0)</f>
        <v>0</v>
      </c>
      <c r="Q2276">
        <f>IF(AND(NOT(ISBLANK(ReconciliationData[[#This Row],[Billed_Units]])),ReconciliationData[[#This Row],[ordered_units]]&lt;&gt;ReconciliationData[[#This Row],[Billed_Units]]),1,0)</f>
        <v>0</v>
      </c>
      <c r="R22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6">
        <f>IF(AND(NOT(ISBLANK(ReconciliationData[[#This Row],[Contract_Price]])),ReconciliationData[[#This Row],[Billed_Price]]&lt;&gt;ReconciliationData[[#This Row],[Contract_Price]]),1,0)</f>
        <v>0</v>
      </c>
      <c r="T2276">
        <f>IF(AND(NOT(ISBLANK(ReconciliationData[[#This Row],[End_Date]])),ReconciliationData[[#This Row],[Order_Date]]&gt;ReconciliationData[[#This Row],[End_Date]]),1,0)</f>
        <v>0</v>
      </c>
      <c r="U2276">
        <f>IF(AND(NOT(ISBLANK(ReconciliationData[[#This Row],[last_return_date]])),ReconciliationData[[#This Row],[last_return_date]]&gt;ReconciliationData[[#This Row],[Order_Date]]+60),1,0)</f>
        <v>0</v>
      </c>
      <c r="V2276">
        <f>IF(ReconciliationData[[#This Row],[total_returned_units]]&gt;ReconciliationData[[#This Row],[ordered_units]],1,0)</f>
        <v>0</v>
      </c>
      <c r="W22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76">
        <f>ReconciliationData[[#This Row],[Billed_Units]]*ReconciliationData[[#This Row],[Billed_Price]]</f>
        <v>2222.4</v>
      </c>
      <c r="Y2276">
        <f>ReconciliationData[[#This Row],[ordered_units]]*ReconciliationData[[#This Row],[List_Price]]</f>
        <v>2222.4</v>
      </c>
      <c r="Z2276">
        <f>ReconciliationData[[#This Row],[billed_revenue]]-ReconciliationData[[#This Row],[expected_revenue]]</f>
        <v>0</v>
      </c>
      <c r="AA22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76" t="str">
        <f>IF(ReconciliationData[[#This Row],[severity_score]]=0,"LOW",
 IF(ReconciliationData[[#This Row],[severity_score]]&lt;=5,"MEDIUM","HIGH"))</f>
        <v>LOW</v>
      </c>
      <c r="AC2276" t="str">
        <f>TEXT(ReconciliationData[[#This Row],[Order_Date]],"YYYY-MM")</f>
        <v>2023-03</v>
      </c>
    </row>
    <row r="2277" spans="1:29">
      <c r="A2277" t="s">
        <v>5738</v>
      </c>
      <c r="B2277" s="1">
        <v>45007</v>
      </c>
      <c r="C2277" t="s">
        <v>1013</v>
      </c>
      <c r="D2277" t="s">
        <v>1414</v>
      </c>
      <c r="E2277">
        <v>20</v>
      </c>
      <c r="F2277" t="s">
        <v>5739</v>
      </c>
      <c r="G2277">
        <v>20</v>
      </c>
      <c r="H2277">
        <v>847.36</v>
      </c>
      <c r="I2277">
        <v>19</v>
      </c>
      <c r="J2277" s="1">
        <v>45097</v>
      </c>
      <c r="N2277">
        <v>847.36</v>
      </c>
      <c r="O2277" s="1">
        <v>44727</v>
      </c>
      <c r="P2277">
        <f>IF(ISBLANK(ReconciliationData[[#This Row],[Invoice_ID]]),1,0)</f>
        <v>0</v>
      </c>
      <c r="Q2277">
        <f>IF(AND(NOT(ISBLANK(ReconciliationData[[#This Row],[Billed_Units]])),ReconciliationData[[#This Row],[ordered_units]]&lt;&gt;ReconciliationData[[#This Row],[Billed_Units]]),1,0)</f>
        <v>0</v>
      </c>
      <c r="R22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7">
        <f>IF(AND(NOT(ISBLANK(ReconciliationData[[#This Row],[Contract_Price]])),ReconciliationData[[#This Row],[Billed_Price]]&lt;&gt;ReconciliationData[[#This Row],[Contract_Price]]),1,0)</f>
        <v>0</v>
      </c>
      <c r="T2277">
        <f>IF(AND(NOT(ISBLANK(ReconciliationData[[#This Row],[End_Date]])),ReconciliationData[[#This Row],[Order_Date]]&gt;ReconciliationData[[#This Row],[End_Date]]),1,0)</f>
        <v>0</v>
      </c>
      <c r="U2277">
        <f>IF(AND(NOT(ISBLANK(ReconciliationData[[#This Row],[last_return_date]])),ReconciliationData[[#This Row],[last_return_date]]&gt;ReconciliationData[[#This Row],[Order_Date]]+60),1,0)</f>
        <v>1</v>
      </c>
      <c r="V2277">
        <f>IF(ReconciliationData[[#This Row],[total_returned_units]]&gt;ReconciliationData[[#This Row],[ordered_units]],1,0)</f>
        <v>0</v>
      </c>
      <c r="W22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77">
        <f>ReconciliationData[[#This Row],[Billed_Units]]*ReconciliationData[[#This Row],[Billed_Price]]</f>
        <v>16947.2</v>
      </c>
      <c r="Y2277">
        <f>ReconciliationData[[#This Row],[ordered_units]]*ReconciliationData[[#This Row],[List_Price]]</f>
        <v>16947.2</v>
      </c>
      <c r="Z2277">
        <f>ReconciliationData[[#This Row],[billed_revenue]]-ReconciliationData[[#This Row],[expected_revenue]]</f>
        <v>0</v>
      </c>
      <c r="AA22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277" t="str">
        <f>IF(ReconciliationData[[#This Row],[severity_score]]=0,"LOW",
 IF(ReconciliationData[[#This Row],[severity_score]]&lt;=5,"MEDIUM","HIGH"))</f>
        <v>MEDIUM</v>
      </c>
      <c r="AC2277" t="str">
        <f>TEXT(ReconciliationData[[#This Row],[Order_Date]],"YYYY-MM")</f>
        <v>2023-03</v>
      </c>
    </row>
    <row r="2278" spans="1:29">
      <c r="A2278" t="s">
        <v>5740</v>
      </c>
      <c r="B2278" s="1">
        <v>45618</v>
      </c>
      <c r="C2278" t="s">
        <v>262</v>
      </c>
      <c r="D2278" t="s">
        <v>313</v>
      </c>
      <c r="E2278">
        <v>182</v>
      </c>
      <c r="F2278" t="s">
        <v>5741</v>
      </c>
      <c r="G2278">
        <v>182</v>
      </c>
      <c r="H2278">
        <v>1190.6054999999999</v>
      </c>
      <c r="N2278">
        <v>1190.6054999999999</v>
      </c>
      <c r="O2278" s="1">
        <v>44984</v>
      </c>
      <c r="P2278">
        <f>IF(ISBLANK(ReconciliationData[[#This Row],[Invoice_ID]]),1,0)</f>
        <v>0</v>
      </c>
      <c r="Q2278">
        <f>IF(AND(NOT(ISBLANK(ReconciliationData[[#This Row],[Billed_Units]])),ReconciliationData[[#This Row],[ordered_units]]&lt;&gt;ReconciliationData[[#This Row],[Billed_Units]]),1,0)</f>
        <v>0</v>
      </c>
      <c r="R22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8">
        <f>IF(AND(NOT(ISBLANK(ReconciliationData[[#This Row],[Contract_Price]])),ReconciliationData[[#This Row],[Billed_Price]]&lt;&gt;ReconciliationData[[#This Row],[Contract_Price]]),1,0)</f>
        <v>0</v>
      </c>
      <c r="T2278">
        <f>IF(AND(NOT(ISBLANK(ReconciliationData[[#This Row],[End_Date]])),ReconciliationData[[#This Row],[Order_Date]]&gt;ReconciliationData[[#This Row],[End_Date]]),1,0)</f>
        <v>0</v>
      </c>
      <c r="U2278">
        <f>IF(AND(NOT(ISBLANK(ReconciliationData[[#This Row],[last_return_date]])),ReconciliationData[[#This Row],[last_return_date]]&gt;ReconciliationData[[#This Row],[Order_Date]]+60),1,0)</f>
        <v>0</v>
      </c>
      <c r="V2278">
        <f>IF(ReconciliationData[[#This Row],[total_returned_units]]&gt;ReconciliationData[[#This Row],[ordered_units]],1,0)</f>
        <v>0</v>
      </c>
      <c r="W22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78">
        <f>ReconciliationData[[#This Row],[Billed_Units]]*ReconciliationData[[#This Row],[Billed_Price]]</f>
        <v>216690.20099999997</v>
      </c>
      <c r="Y2278">
        <f>ReconciliationData[[#This Row],[ordered_units]]*ReconciliationData[[#This Row],[List_Price]]</f>
        <v>216690.20099999997</v>
      </c>
      <c r="Z2278">
        <f>ReconciliationData[[#This Row],[billed_revenue]]-ReconciliationData[[#This Row],[expected_revenue]]</f>
        <v>0</v>
      </c>
      <c r="AA22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78" t="str">
        <f>IF(ReconciliationData[[#This Row],[severity_score]]=0,"LOW",
 IF(ReconciliationData[[#This Row],[severity_score]]&lt;=5,"MEDIUM","HIGH"))</f>
        <v>LOW</v>
      </c>
      <c r="AC2278" t="str">
        <f>TEXT(ReconciliationData[[#This Row],[Order_Date]],"YYYY-MM")</f>
        <v>2024-11</v>
      </c>
    </row>
    <row r="2279" spans="1:29">
      <c r="A2279" t="s">
        <v>5742</v>
      </c>
      <c r="B2279" s="1">
        <v>45078</v>
      </c>
      <c r="C2279" t="s">
        <v>359</v>
      </c>
      <c r="D2279" t="s">
        <v>378</v>
      </c>
      <c r="E2279">
        <v>148</v>
      </c>
      <c r="F2279" t="s">
        <v>5743</v>
      </c>
      <c r="G2279">
        <v>148</v>
      </c>
      <c r="H2279">
        <v>601.32929999999999</v>
      </c>
      <c r="N2279">
        <v>601.32929999999999</v>
      </c>
      <c r="O2279" s="1">
        <v>44962</v>
      </c>
      <c r="P2279">
        <f>IF(ISBLANK(ReconciliationData[[#This Row],[Invoice_ID]]),1,0)</f>
        <v>0</v>
      </c>
      <c r="Q2279">
        <f>IF(AND(NOT(ISBLANK(ReconciliationData[[#This Row],[Billed_Units]])),ReconciliationData[[#This Row],[ordered_units]]&lt;&gt;ReconciliationData[[#This Row],[Billed_Units]]),1,0)</f>
        <v>0</v>
      </c>
      <c r="R22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79">
        <f>IF(AND(NOT(ISBLANK(ReconciliationData[[#This Row],[Contract_Price]])),ReconciliationData[[#This Row],[Billed_Price]]&lt;&gt;ReconciliationData[[#This Row],[Contract_Price]]),1,0)</f>
        <v>0</v>
      </c>
      <c r="T2279">
        <f>IF(AND(NOT(ISBLANK(ReconciliationData[[#This Row],[End_Date]])),ReconciliationData[[#This Row],[Order_Date]]&gt;ReconciliationData[[#This Row],[End_Date]]),1,0)</f>
        <v>0</v>
      </c>
      <c r="U2279">
        <f>IF(AND(NOT(ISBLANK(ReconciliationData[[#This Row],[last_return_date]])),ReconciliationData[[#This Row],[last_return_date]]&gt;ReconciliationData[[#This Row],[Order_Date]]+60),1,0)</f>
        <v>0</v>
      </c>
      <c r="V2279">
        <f>IF(ReconciliationData[[#This Row],[total_returned_units]]&gt;ReconciliationData[[#This Row],[ordered_units]],1,0)</f>
        <v>0</v>
      </c>
      <c r="W22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79">
        <f>ReconciliationData[[#This Row],[Billed_Units]]*ReconciliationData[[#This Row],[Billed_Price]]</f>
        <v>88996.736399999994</v>
      </c>
      <c r="Y2279">
        <f>ReconciliationData[[#This Row],[ordered_units]]*ReconciliationData[[#This Row],[List_Price]]</f>
        <v>88996.736399999994</v>
      </c>
      <c r="Z2279">
        <f>ReconciliationData[[#This Row],[billed_revenue]]-ReconciliationData[[#This Row],[expected_revenue]]</f>
        <v>0</v>
      </c>
      <c r="AA22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79" t="str">
        <f>IF(ReconciliationData[[#This Row],[severity_score]]=0,"LOW",
 IF(ReconciliationData[[#This Row],[severity_score]]&lt;=5,"MEDIUM","HIGH"))</f>
        <v>LOW</v>
      </c>
      <c r="AC2279" t="str">
        <f>TEXT(ReconciliationData[[#This Row],[Order_Date]],"YYYY-MM")</f>
        <v>2023-06</v>
      </c>
    </row>
    <row r="2280" spans="1:29">
      <c r="A2280" t="s">
        <v>5744</v>
      </c>
      <c r="B2280" s="1">
        <v>45094</v>
      </c>
      <c r="C2280" t="s">
        <v>4334</v>
      </c>
      <c r="D2280" t="s">
        <v>1414</v>
      </c>
      <c r="E2280">
        <v>127</v>
      </c>
      <c r="F2280" t="s">
        <v>5745</v>
      </c>
      <c r="G2280">
        <v>127</v>
      </c>
      <c r="H2280">
        <v>855.83360000000005</v>
      </c>
      <c r="N2280">
        <v>855.83360000000005</v>
      </c>
      <c r="O2280" s="1">
        <v>45049</v>
      </c>
      <c r="P2280">
        <f>IF(ISBLANK(ReconciliationData[[#This Row],[Invoice_ID]]),1,0)</f>
        <v>0</v>
      </c>
      <c r="Q2280">
        <f>IF(AND(NOT(ISBLANK(ReconciliationData[[#This Row],[Billed_Units]])),ReconciliationData[[#This Row],[ordered_units]]&lt;&gt;ReconciliationData[[#This Row],[Billed_Units]]),1,0)</f>
        <v>0</v>
      </c>
      <c r="R22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0">
        <f>IF(AND(NOT(ISBLANK(ReconciliationData[[#This Row],[Contract_Price]])),ReconciliationData[[#This Row],[Billed_Price]]&lt;&gt;ReconciliationData[[#This Row],[Contract_Price]]),1,0)</f>
        <v>0</v>
      </c>
      <c r="T2280">
        <f>IF(AND(NOT(ISBLANK(ReconciliationData[[#This Row],[End_Date]])),ReconciliationData[[#This Row],[Order_Date]]&gt;ReconciliationData[[#This Row],[End_Date]]),1,0)</f>
        <v>0</v>
      </c>
      <c r="U2280">
        <f>IF(AND(NOT(ISBLANK(ReconciliationData[[#This Row],[last_return_date]])),ReconciliationData[[#This Row],[last_return_date]]&gt;ReconciliationData[[#This Row],[Order_Date]]+60),1,0)</f>
        <v>0</v>
      </c>
      <c r="V2280">
        <f>IF(ReconciliationData[[#This Row],[total_returned_units]]&gt;ReconciliationData[[#This Row],[ordered_units]],1,0)</f>
        <v>0</v>
      </c>
      <c r="W22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80">
        <f>ReconciliationData[[#This Row],[Billed_Units]]*ReconciliationData[[#This Row],[Billed_Price]]</f>
        <v>108690.86720000001</v>
      </c>
      <c r="Y2280">
        <f>ReconciliationData[[#This Row],[ordered_units]]*ReconciliationData[[#This Row],[List_Price]]</f>
        <v>108690.86720000001</v>
      </c>
      <c r="Z2280">
        <f>ReconciliationData[[#This Row],[billed_revenue]]-ReconciliationData[[#This Row],[expected_revenue]]</f>
        <v>0</v>
      </c>
      <c r="AA22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80" t="str">
        <f>IF(ReconciliationData[[#This Row],[severity_score]]=0,"LOW",
 IF(ReconciliationData[[#This Row],[severity_score]]&lt;=5,"MEDIUM","HIGH"))</f>
        <v>LOW</v>
      </c>
      <c r="AC2280" t="str">
        <f>TEXT(ReconciliationData[[#This Row],[Order_Date]],"YYYY-MM")</f>
        <v>2023-06</v>
      </c>
    </row>
    <row r="2281" spans="1:29">
      <c r="A2281" t="s">
        <v>5746</v>
      </c>
      <c r="B2281" s="1">
        <v>45425</v>
      </c>
      <c r="C2281" t="s">
        <v>2120</v>
      </c>
      <c r="D2281" t="s">
        <v>2645</v>
      </c>
      <c r="E2281">
        <v>13</v>
      </c>
      <c r="F2281" t="s">
        <v>5747</v>
      </c>
      <c r="G2281">
        <v>14</v>
      </c>
      <c r="H2281">
        <v>110.9413</v>
      </c>
      <c r="N2281">
        <v>110.9413</v>
      </c>
      <c r="O2281" s="1">
        <v>45153</v>
      </c>
      <c r="P2281">
        <f>IF(ISBLANK(ReconciliationData[[#This Row],[Invoice_ID]]),1,0)</f>
        <v>0</v>
      </c>
      <c r="Q2281">
        <f>IF(AND(NOT(ISBLANK(ReconciliationData[[#This Row],[Billed_Units]])),ReconciliationData[[#This Row],[ordered_units]]&lt;&gt;ReconciliationData[[#This Row],[Billed_Units]]),1,0)</f>
        <v>1</v>
      </c>
      <c r="R22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1">
        <f>IF(AND(NOT(ISBLANK(ReconciliationData[[#This Row],[Contract_Price]])),ReconciliationData[[#This Row],[Billed_Price]]&lt;&gt;ReconciliationData[[#This Row],[Contract_Price]]),1,0)</f>
        <v>0</v>
      </c>
      <c r="T2281">
        <f>IF(AND(NOT(ISBLANK(ReconciliationData[[#This Row],[End_Date]])),ReconciliationData[[#This Row],[Order_Date]]&gt;ReconciliationData[[#This Row],[End_Date]]),1,0)</f>
        <v>0</v>
      </c>
      <c r="U2281">
        <f>IF(AND(NOT(ISBLANK(ReconciliationData[[#This Row],[last_return_date]])),ReconciliationData[[#This Row],[last_return_date]]&gt;ReconciliationData[[#This Row],[Order_Date]]+60),1,0)</f>
        <v>0</v>
      </c>
      <c r="V2281">
        <f>IF(ReconciliationData[[#This Row],[total_returned_units]]&gt;ReconciliationData[[#This Row],[ordered_units]],1,0)</f>
        <v>0</v>
      </c>
      <c r="W22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81">
        <f>ReconciliationData[[#This Row],[Billed_Units]]*ReconciliationData[[#This Row],[Billed_Price]]</f>
        <v>1553.1782000000001</v>
      </c>
      <c r="Y2281">
        <f>ReconciliationData[[#This Row],[ordered_units]]*ReconciliationData[[#This Row],[List_Price]]</f>
        <v>1442.2368999999999</v>
      </c>
      <c r="Z2281">
        <f>ReconciliationData[[#This Row],[billed_revenue]]-ReconciliationData[[#This Row],[expected_revenue]]</f>
        <v>110.94130000000018</v>
      </c>
      <c r="AA22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2281" t="str">
        <f>IF(ReconciliationData[[#This Row],[severity_score]]=0,"LOW",
 IF(ReconciliationData[[#This Row],[severity_score]]&lt;=5,"MEDIUM","HIGH"))</f>
        <v>MEDIUM</v>
      </c>
      <c r="AC2281" t="str">
        <f>TEXT(ReconciliationData[[#This Row],[Order_Date]],"YYYY-MM")</f>
        <v>2024-05</v>
      </c>
    </row>
    <row r="2282" spans="1:29">
      <c r="A2282" t="s">
        <v>5748</v>
      </c>
      <c r="B2282" s="1">
        <v>45422</v>
      </c>
      <c r="C2282" t="s">
        <v>3063</v>
      </c>
      <c r="D2282" t="s">
        <v>275</v>
      </c>
      <c r="E2282">
        <v>188</v>
      </c>
      <c r="F2282" t="s">
        <v>5749</v>
      </c>
      <c r="G2282">
        <v>188</v>
      </c>
      <c r="H2282">
        <v>397.19560000000001</v>
      </c>
      <c r="N2282">
        <v>397.19560000000001</v>
      </c>
      <c r="O2282" s="1">
        <v>44932</v>
      </c>
      <c r="P2282">
        <f>IF(ISBLANK(ReconciliationData[[#This Row],[Invoice_ID]]),1,0)</f>
        <v>0</v>
      </c>
      <c r="Q2282">
        <f>IF(AND(NOT(ISBLANK(ReconciliationData[[#This Row],[Billed_Units]])),ReconciliationData[[#This Row],[ordered_units]]&lt;&gt;ReconciliationData[[#This Row],[Billed_Units]]),1,0)</f>
        <v>0</v>
      </c>
      <c r="R22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2">
        <f>IF(AND(NOT(ISBLANK(ReconciliationData[[#This Row],[Contract_Price]])),ReconciliationData[[#This Row],[Billed_Price]]&lt;&gt;ReconciliationData[[#This Row],[Contract_Price]]),1,0)</f>
        <v>0</v>
      </c>
      <c r="T2282">
        <f>IF(AND(NOT(ISBLANK(ReconciliationData[[#This Row],[End_Date]])),ReconciliationData[[#This Row],[Order_Date]]&gt;ReconciliationData[[#This Row],[End_Date]]),1,0)</f>
        <v>0</v>
      </c>
      <c r="U2282">
        <f>IF(AND(NOT(ISBLANK(ReconciliationData[[#This Row],[last_return_date]])),ReconciliationData[[#This Row],[last_return_date]]&gt;ReconciliationData[[#This Row],[Order_Date]]+60),1,0)</f>
        <v>0</v>
      </c>
      <c r="V2282">
        <f>IF(ReconciliationData[[#This Row],[total_returned_units]]&gt;ReconciliationData[[#This Row],[ordered_units]],1,0)</f>
        <v>0</v>
      </c>
      <c r="W22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82">
        <f>ReconciliationData[[#This Row],[Billed_Units]]*ReconciliationData[[#This Row],[Billed_Price]]</f>
        <v>74672.772800000006</v>
      </c>
      <c r="Y2282">
        <f>ReconciliationData[[#This Row],[ordered_units]]*ReconciliationData[[#This Row],[List_Price]]</f>
        <v>74672.772800000006</v>
      </c>
      <c r="Z2282">
        <f>ReconciliationData[[#This Row],[billed_revenue]]-ReconciliationData[[#This Row],[expected_revenue]]</f>
        <v>0</v>
      </c>
      <c r="AA22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82" t="str">
        <f>IF(ReconciliationData[[#This Row],[severity_score]]=0,"LOW",
 IF(ReconciliationData[[#This Row],[severity_score]]&lt;=5,"MEDIUM","HIGH"))</f>
        <v>LOW</v>
      </c>
      <c r="AC2282" t="str">
        <f>TEXT(ReconciliationData[[#This Row],[Order_Date]],"YYYY-MM")</f>
        <v>2024-05</v>
      </c>
    </row>
    <row r="2283" spans="1:29">
      <c r="A2283" t="s">
        <v>5750</v>
      </c>
      <c r="B2283" s="1">
        <v>44978</v>
      </c>
      <c r="C2283" t="s">
        <v>1778</v>
      </c>
      <c r="D2283" t="s">
        <v>1994</v>
      </c>
      <c r="E2283">
        <v>122</v>
      </c>
      <c r="F2283" t="s">
        <v>5751</v>
      </c>
      <c r="G2283">
        <v>122</v>
      </c>
      <c r="H2283">
        <v>271.02770000000004</v>
      </c>
      <c r="N2283">
        <v>271.02770000000004</v>
      </c>
      <c r="O2283" s="1">
        <v>44804</v>
      </c>
      <c r="P2283">
        <f>IF(ISBLANK(ReconciliationData[[#This Row],[Invoice_ID]]),1,0)</f>
        <v>0</v>
      </c>
      <c r="Q2283">
        <f>IF(AND(NOT(ISBLANK(ReconciliationData[[#This Row],[Billed_Units]])),ReconciliationData[[#This Row],[ordered_units]]&lt;&gt;ReconciliationData[[#This Row],[Billed_Units]]),1,0)</f>
        <v>0</v>
      </c>
      <c r="R22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3">
        <f>IF(AND(NOT(ISBLANK(ReconciliationData[[#This Row],[Contract_Price]])),ReconciliationData[[#This Row],[Billed_Price]]&lt;&gt;ReconciliationData[[#This Row],[Contract_Price]]),1,0)</f>
        <v>0</v>
      </c>
      <c r="T2283">
        <f>IF(AND(NOT(ISBLANK(ReconciliationData[[#This Row],[End_Date]])),ReconciliationData[[#This Row],[Order_Date]]&gt;ReconciliationData[[#This Row],[End_Date]]),1,0)</f>
        <v>0</v>
      </c>
      <c r="U2283">
        <f>IF(AND(NOT(ISBLANK(ReconciliationData[[#This Row],[last_return_date]])),ReconciliationData[[#This Row],[last_return_date]]&gt;ReconciliationData[[#This Row],[Order_Date]]+60),1,0)</f>
        <v>0</v>
      </c>
      <c r="V2283">
        <f>IF(ReconciliationData[[#This Row],[total_returned_units]]&gt;ReconciliationData[[#This Row],[ordered_units]],1,0)</f>
        <v>0</v>
      </c>
      <c r="W22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83">
        <f>ReconciliationData[[#This Row],[Billed_Units]]*ReconciliationData[[#This Row],[Billed_Price]]</f>
        <v>33065.379400000005</v>
      </c>
      <c r="Y2283">
        <f>ReconciliationData[[#This Row],[ordered_units]]*ReconciliationData[[#This Row],[List_Price]]</f>
        <v>33065.379400000005</v>
      </c>
      <c r="Z2283">
        <f>ReconciliationData[[#This Row],[billed_revenue]]-ReconciliationData[[#This Row],[expected_revenue]]</f>
        <v>0</v>
      </c>
      <c r="AA22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83" t="str">
        <f>IF(ReconciliationData[[#This Row],[severity_score]]=0,"LOW",
 IF(ReconciliationData[[#This Row],[severity_score]]&lt;=5,"MEDIUM","HIGH"))</f>
        <v>LOW</v>
      </c>
      <c r="AC2283" t="str">
        <f>TEXT(ReconciliationData[[#This Row],[Order_Date]],"YYYY-MM")</f>
        <v>2023-02</v>
      </c>
    </row>
    <row r="2284" spans="1:29">
      <c r="A2284" t="s">
        <v>5752</v>
      </c>
      <c r="B2284" s="1">
        <v>45616</v>
      </c>
      <c r="C2284" t="s">
        <v>1417</v>
      </c>
      <c r="D2284" t="s">
        <v>2050</v>
      </c>
      <c r="E2284">
        <v>125</v>
      </c>
      <c r="F2284" t="s">
        <v>5753</v>
      </c>
      <c r="G2284">
        <v>125</v>
      </c>
      <c r="H2284">
        <v>994.85640000000001</v>
      </c>
      <c r="I2284">
        <v>5</v>
      </c>
      <c r="J2284" s="1">
        <v>45436</v>
      </c>
      <c r="N2284">
        <v>994.85640000000001</v>
      </c>
      <c r="O2284" s="1">
        <v>45149</v>
      </c>
      <c r="P2284">
        <f>IF(ISBLANK(ReconciliationData[[#This Row],[Invoice_ID]]),1,0)</f>
        <v>0</v>
      </c>
      <c r="Q2284">
        <f>IF(AND(NOT(ISBLANK(ReconciliationData[[#This Row],[Billed_Units]])),ReconciliationData[[#This Row],[ordered_units]]&lt;&gt;ReconciliationData[[#This Row],[Billed_Units]]),1,0)</f>
        <v>0</v>
      </c>
      <c r="R22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4">
        <f>IF(AND(NOT(ISBLANK(ReconciliationData[[#This Row],[Contract_Price]])),ReconciliationData[[#This Row],[Billed_Price]]&lt;&gt;ReconciliationData[[#This Row],[Contract_Price]]),1,0)</f>
        <v>0</v>
      </c>
      <c r="T2284">
        <f>IF(AND(NOT(ISBLANK(ReconciliationData[[#This Row],[End_Date]])),ReconciliationData[[#This Row],[Order_Date]]&gt;ReconciliationData[[#This Row],[End_Date]]),1,0)</f>
        <v>0</v>
      </c>
      <c r="U2284">
        <f>IF(AND(NOT(ISBLANK(ReconciliationData[[#This Row],[last_return_date]])),ReconciliationData[[#This Row],[last_return_date]]&gt;ReconciliationData[[#This Row],[Order_Date]]+60),1,0)</f>
        <v>0</v>
      </c>
      <c r="V2284">
        <f>IF(ReconciliationData[[#This Row],[total_returned_units]]&gt;ReconciliationData[[#This Row],[ordered_units]],1,0)</f>
        <v>0</v>
      </c>
      <c r="W22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84">
        <f>ReconciliationData[[#This Row],[Billed_Units]]*ReconciliationData[[#This Row],[Billed_Price]]</f>
        <v>124357.05</v>
      </c>
      <c r="Y2284">
        <f>ReconciliationData[[#This Row],[ordered_units]]*ReconciliationData[[#This Row],[List_Price]]</f>
        <v>124357.05</v>
      </c>
      <c r="Z2284">
        <f>ReconciliationData[[#This Row],[billed_revenue]]-ReconciliationData[[#This Row],[expected_revenue]]</f>
        <v>0</v>
      </c>
      <c r="AA22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84" t="str">
        <f>IF(ReconciliationData[[#This Row],[severity_score]]=0,"LOW",
 IF(ReconciliationData[[#This Row],[severity_score]]&lt;=5,"MEDIUM","HIGH"))</f>
        <v>LOW</v>
      </c>
      <c r="AC2284" t="str">
        <f>TEXT(ReconciliationData[[#This Row],[Order_Date]],"YYYY-MM")</f>
        <v>2024-11</v>
      </c>
    </row>
    <row r="2285" spans="1:29">
      <c r="A2285" t="s">
        <v>5754</v>
      </c>
      <c r="B2285" s="1">
        <v>45135</v>
      </c>
      <c r="C2285" t="s">
        <v>3637</v>
      </c>
      <c r="D2285" t="s">
        <v>2097</v>
      </c>
      <c r="E2285">
        <v>105</v>
      </c>
      <c r="F2285" t="s">
        <v>5755</v>
      </c>
      <c r="G2285">
        <v>105</v>
      </c>
      <c r="H2285">
        <v>599.90620000000001</v>
      </c>
      <c r="N2285">
        <v>599.90620000000001</v>
      </c>
      <c r="O2285" s="1">
        <v>45060</v>
      </c>
      <c r="P2285">
        <f>IF(ISBLANK(ReconciliationData[[#This Row],[Invoice_ID]]),1,0)</f>
        <v>0</v>
      </c>
      <c r="Q2285">
        <f>IF(AND(NOT(ISBLANK(ReconciliationData[[#This Row],[Billed_Units]])),ReconciliationData[[#This Row],[ordered_units]]&lt;&gt;ReconciliationData[[#This Row],[Billed_Units]]),1,0)</f>
        <v>0</v>
      </c>
      <c r="R22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5">
        <f>IF(AND(NOT(ISBLANK(ReconciliationData[[#This Row],[Contract_Price]])),ReconciliationData[[#This Row],[Billed_Price]]&lt;&gt;ReconciliationData[[#This Row],[Contract_Price]]),1,0)</f>
        <v>0</v>
      </c>
      <c r="T2285">
        <f>IF(AND(NOT(ISBLANK(ReconciliationData[[#This Row],[End_Date]])),ReconciliationData[[#This Row],[Order_Date]]&gt;ReconciliationData[[#This Row],[End_Date]]),1,0)</f>
        <v>0</v>
      </c>
      <c r="U2285">
        <f>IF(AND(NOT(ISBLANK(ReconciliationData[[#This Row],[last_return_date]])),ReconciliationData[[#This Row],[last_return_date]]&gt;ReconciliationData[[#This Row],[Order_Date]]+60),1,0)</f>
        <v>0</v>
      </c>
      <c r="V2285">
        <f>IF(ReconciliationData[[#This Row],[total_returned_units]]&gt;ReconciliationData[[#This Row],[ordered_units]],1,0)</f>
        <v>0</v>
      </c>
      <c r="W22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85">
        <f>ReconciliationData[[#This Row],[Billed_Units]]*ReconciliationData[[#This Row],[Billed_Price]]</f>
        <v>62990.150999999998</v>
      </c>
      <c r="Y2285">
        <f>ReconciliationData[[#This Row],[ordered_units]]*ReconciliationData[[#This Row],[List_Price]]</f>
        <v>62990.150999999998</v>
      </c>
      <c r="Z2285">
        <f>ReconciliationData[[#This Row],[billed_revenue]]-ReconciliationData[[#This Row],[expected_revenue]]</f>
        <v>0</v>
      </c>
      <c r="AA22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85" t="str">
        <f>IF(ReconciliationData[[#This Row],[severity_score]]=0,"LOW",
 IF(ReconciliationData[[#This Row],[severity_score]]&lt;=5,"MEDIUM","HIGH"))</f>
        <v>LOW</v>
      </c>
      <c r="AC2285" t="str">
        <f>TEXT(ReconciliationData[[#This Row],[Order_Date]],"YYYY-MM")</f>
        <v>2023-07</v>
      </c>
    </row>
    <row r="2286" spans="1:29">
      <c r="A2286" t="s">
        <v>5756</v>
      </c>
      <c r="B2286" s="1">
        <v>45385</v>
      </c>
      <c r="C2286" t="s">
        <v>763</v>
      </c>
      <c r="D2286" t="s">
        <v>275</v>
      </c>
      <c r="E2286">
        <v>123</v>
      </c>
      <c r="F2286" t="s">
        <v>5757</v>
      </c>
      <c r="G2286">
        <v>123</v>
      </c>
      <c r="H2286">
        <v>397.19560000000001</v>
      </c>
      <c r="N2286">
        <v>397.19560000000001</v>
      </c>
      <c r="O2286" s="1">
        <v>44932</v>
      </c>
      <c r="P2286">
        <f>IF(ISBLANK(ReconciliationData[[#This Row],[Invoice_ID]]),1,0)</f>
        <v>0</v>
      </c>
      <c r="Q2286">
        <f>IF(AND(NOT(ISBLANK(ReconciliationData[[#This Row],[Billed_Units]])),ReconciliationData[[#This Row],[ordered_units]]&lt;&gt;ReconciliationData[[#This Row],[Billed_Units]]),1,0)</f>
        <v>0</v>
      </c>
      <c r="R22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6">
        <f>IF(AND(NOT(ISBLANK(ReconciliationData[[#This Row],[Contract_Price]])),ReconciliationData[[#This Row],[Billed_Price]]&lt;&gt;ReconciliationData[[#This Row],[Contract_Price]]),1,0)</f>
        <v>0</v>
      </c>
      <c r="T2286">
        <f>IF(AND(NOT(ISBLANK(ReconciliationData[[#This Row],[End_Date]])),ReconciliationData[[#This Row],[Order_Date]]&gt;ReconciliationData[[#This Row],[End_Date]]),1,0)</f>
        <v>0</v>
      </c>
      <c r="U2286">
        <f>IF(AND(NOT(ISBLANK(ReconciliationData[[#This Row],[last_return_date]])),ReconciliationData[[#This Row],[last_return_date]]&gt;ReconciliationData[[#This Row],[Order_Date]]+60),1,0)</f>
        <v>0</v>
      </c>
      <c r="V2286">
        <f>IF(ReconciliationData[[#This Row],[total_returned_units]]&gt;ReconciliationData[[#This Row],[ordered_units]],1,0)</f>
        <v>0</v>
      </c>
      <c r="W22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86">
        <f>ReconciliationData[[#This Row],[Billed_Units]]*ReconciliationData[[#This Row],[Billed_Price]]</f>
        <v>48855.058799999999</v>
      </c>
      <c r="Y2286">
        <f>ReconciliationData[[#This Row],[ordered_units]]*ReconciliationData[[#This Row],[List_Price]]</f>
        <v>48855.058799999999</v>
      </c>
      <c r="Z2286">
        <f>ReconciliationData[[#This Row],[billed_revenue]]-ReconciliationData[[#This Row],[expected_revenue]]</f>
        <v>0</v>
      </c>
      <c r="AA22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86" t="str">
        <f>IF(ReconciliationData[[#This Row],[severity_score]]=0,"LOW",
 IF(ReconciliationData[[#This Row],[severity_score]]&lt;=5,"MEDIUM","HIGH"))</f>
        <v>LOW</v>
      </c>
      <c r="AC2286" t="str">
        <f>TEXT(ReconciliationData[[#This Row],[Order_Date]],"YYYY-MM")</f>
        <v>2024-04</v>
      </c>
    </row>
    <row r="2287" spans="1:29">
      <c r="A2287" t="s">
        <v>5758</v>
      </c>
      <c r="B2287" s="1">
        <v>45088</v>
      </c>
      <c r="C2287" t="s">
        <v>603</v>
      </c>
      <c r="D2287" t="s">
        <v>1775</v>
      </c>
      <c r="E2287">
        <v>189</v>
      </c>
      <c r="F2287" t="s">
        <v>5759</v>
      </c>
      <c r="G2287">
        <v>192</v>
      </c>
      <c r="H2287">
        <v>935.09519999999998</v>
      </c>
      <c r="N2287">
        <v>935.09519999999998</v>
      </c>
      <c r="O2287" s="1">
        <v>45009</v>
      </c>
      <c r="P2287">
        <f>IF(ISBLANK(ReconciliationData[[#This Row],[Invoice_ID]]),1,0)</f>
        <v>0</v>
      </c>
      <c r="Q2287">
        <f>IF(AND(NOT(ISBLANK(ReconciliationData[[#This Row],[Billed_Units]])),ReconciliationData[[#This Row],[ordered_units]]&lt;&gt;ReconciliationData[[#This Row],[Billed_Units]]),1,0)</f>
        <v>1</v>
      </c>
      <c r="R22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7">
        <f>IF(AND(NOT(ISBLANK(ReconciliationData[[#This Row],[Contract_Price]])),ReconciliationData[[#This Row],[Billed_Price]]&lt;&gt;ReconciliationData[[#This Row],[Contract_Price]]),1,0)</f>
        <v>0</v>
      </c>
      <c r="T2287">
        <f>IF(AND(NOT(ISBLANK(ReconciliationData[[#This Row],[End_Date]])),ReconciliationData[[#This Row],[Order_Date]]&gt;ReconciliationData[[#This Row],[End_Date]]),1,0)</f>
        <v>0</v>
      </c>
      <c r="U2287">
        <f>IF(AND(NOT(ISBLANK(ReconciliationData[[#This Row],[last_return_date]])),ReconciliationData[[#This Row],[last_return_date]]&gt;ReconciliationData[[#This Row],[Order_Date]]+60),1,0)</f>
        <v>0</v>
      </c>
      <c r="V2287">
        <f>IF(ReconciliationData[[#This Row],[total_returned_units]]&gt;ReconciliationData[[#This Row],[ordered_units]],1,0)</f>
        <v>0</v>
      </c>
      <c r="W22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287">
        <f>ReconciliationData[[#This Row],[Billed_Units]]*ReconciliationData[[#This Row],[Billed_Price]]</f>
        <v>179538.27840000001</v>
      </c>
      <c r="Y2287">
        <f>ReconciliationData[[#This Row],[ordered_units]]*ReconciliationData[[#This Row],[List_Price]]</f>
        <v>176732.99280000001</v>
      </c>
      <c r="Z2287">
        <f>ReconciliationData[[#This Row],[billed_revenue]]-ReconciliationData[[#This Row],[expected_revenue]]</f>
        <v>2805.2856000000029</v>
      </c>
      <c r="AA22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287" t="str">
        <f>IF(ReconciliationData[[#This Row],[severity_score]]=0,"LOW",
 IF(ReconciliationData[[#This Row],[severity_score]]&lt;=5,"MEDIUM","HIGH"))</f>
        <v>HIGH</v>
      </c>
      <c r="AC2287" t="str">
        <f>TEXT(ReconciliationData[[#This Row],[Order_Date]],"YYYY-MM")</f>
        <v>2023-06</v>
      </c>
    </row>
    <row r="2288" spans="1:29">
      <c r="A2288" t="s">
        <v>5760</v>
      </c>
      <c r="B2288" s="1">
        <v>45320</v>
      </c>
      <c r="C2288" t="s">
        <v>1536</v>
      </c>
      <c r="D2288" t="s">
        <v>190</v>
      </c>
      <c r="E2288">
        <v>28</v>
      </c>
      <c r="F2288" t="s">
        <v>5761</v>
      </c>
      <c r="G2288">
        <v>28</v>
      </c>
      <c r="H2288">
        <v>265.44960000000003</v>
      </c>
      <c r="N2288">
        <v>265.44960000000003</v>
      </c>
      <c r="O2288" s="1">
        <v>44999</v>
      </c>
      <c r="P2288">
        <f>IF(ISBLANK(ReconciliationData[[#This Row],[Invoice_ID]]),1,0)</f>
        <v>0</v>
      </c>
      <c r="Q2288">
        <f>IF(AND(NOT(ISBLANK(ReconciliationData[[#This Row],[Billed_Units]])),ReconciliationData[[#This Row],[ordered_units]]&lt;&gt;ReconciliationData[[#This Row],[Billed_Units]]),1,0)</f>
        <v>0</v>
      </c>
      <c r="R22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8">
        <f>IF(AND(NOT(ISBLANK(ReconciliationData[[#This Row],[Contract_Price]])),ReconciliationData[[#This Row],[Billed_Price]]&lt;&gt;ReconciliationData[[#This Row],[Contract_Price]]),1,0)</f>
        <v>0</v>
      </c>
      <c r="T2288">
        <f>IF(AND(NOT(ISBLANK(ReconciliationData[[#This Row],[End_Date]])),ReconciliationData[[#This Row],[Order_Date]]&gt;ReconciliationData[[#This Row],[End_Date]]),1,0)</f>
        <v>0</v>
      </c>
      <c r="U2288">
        <f>IF(AND(NOT(ISBLANK(ReconciliationData[[#This Row],[last_return_date]])),ReconciliationData[[#This Row],[last_return_date]]&gt;ReconciliationData[[#This Row],[Order_Date]]+60),1,0)</f>
        <v>0</v>
      </c>
      <c r="V2288">
        <f>IF(ReconciliationData[[#This Row],[total_returned_units]]&gt;ReconciliationData[[#This Row],[ordered_units]],1,0)</f>
        <v>0</v>
      </c>
      <c r="W22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88">
        <f>ReconciliationData[[#This Row],[Billed_Units]]*ReconciliationData[[#This Row],[Billed_Price]]</f>
        <v>7432.5888000000014</v>
      </c>
      <c r="Y2288">
        <f>ReconciliationData[[#This Row],[ordered_units]]*ReconciliationData[[#This Row],[List_Price]]</f>
        <v>7432.5888000000014</v>
      </c>
      <c r="Z2288">
        <f>ReconciliationData[[#This Row],[billed_revenue]]-ReconciliationData[[#This Row],[expected_revenue]]</f>
        <v>0</v>
      </c>
      <c r="AA22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88" t="str">
        <f>IF(ReconciliationData[[#This Row],[severity_score]]=0,"LOW",
 IF(ReconciliationData[[#This Row],[severity_score]]&lt;=5,"MEDIUM","HIGH"))</f>
        <v>LOW</v>
      </c>
      <c r="AC2288" t="str">
        <f>TEXT(ReconciliationData[[#This Row],[Order_Date]],"YYYY-MM")</f>
        <v>2024-01</v>
      </c>
    </row>
    <row r="2289" spans="1:29">
      <c r="A2289" t="s">
        <v>5762</v>
      </c>
      <c r="B2289" s="1">
        <v>45462</v>
      </c>
      <c r="C2289" t="s">
        <v>2819</v>
      </c>
      <c r="D2289" t="s">
        <v>694</v>
      </c>
      <c r="E2289">
        <v>141</v>
      </c>
      <c r="F2289" t="s">
        <v>5763</v>
      </c>
      <c r="G2289">
        <v>141</v>
      </c>
      <c r="H2289">
        <v>618.375</v>
      </c>
      <c r="N2289">
        <v>618.375</v>
      </c>
      <c r="O2289" s="1">
        <v>45124</v>
      </c>
      <c r="P2289">
        <f>IF(ISBLANK(ReconciliationData[[#This Row],[Invoice_ID]]),1,0)</f>
        <v>0</v>
      </c>
      <c r="Q2289">
        <f>IF(AND(NOT(ISBLANK(ReconciliationData[[#This Row],[Billed_Units]])),ReconciliationData[[#This Row],[ordered_units]]&lt;&gt;ReconciliationData[[#This Row],[Billed_Units]]),1,0)</f>
        <v>0</v>
      </c>
      <c r="R22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89">
        <f>IF(AND(NOT(ISBLANK(ReconciliationData[[#This Row],[Contract_Price]])),ReconciliationData[[#This Row],[Billed_Price]]&lt;&gt;ReconciliationData[[#This Row],[Contract_Price]]),1,0)</f>
        <v>0</v>
      </c>
      <c r="T2289">
        <f>IF(AND(NOT(ISBLANK(ReconciliationData[[#This Row],[End_Date]])),ReconciliationData[[#This Row],[Order_Date]]&gt;ReconciliationData[[#This Row],[End_Date]]),1,0)</f>
        <v>0</v>
      </c>
      <c r="U2289">
        <f>IF(AND(NOT(ISBLANK(ReconciliationData[[#This Row],[last_return_date]])),ReconciliationData[[#This Row],[last_return_date]]&gt;ReconciliationData[[#This Row],[Order_Date]]+60),1,0)</f>
        <v>0</v>
      </c>
      <c r="V2289">
        <f>IF(ReconciliationData[[#This Row],[total_returned_units]]&gt;ReconciliationData[[#This Row],[ordered_units]],1,0)</f>
        <v>0</v>
      </c>
      <c r="W22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89">
        <f>ReconciliationData[[#This Row],[Billed_Units]]*ReconciliationData[[#This Row],[Billed_Price]]</f>
        <v>87190.875</v>
      </c>
      <c r="Y2289">
        <f>ReconciliationData[[#This Row],[ordered_units]]*ReconciliationData[[#This Row],[List_Price]]</f>
        <v>87190.875</v>
      </c>
      <c r="Z2289">
        <f>ReconciliationData[[#This Row],[billed_revenue]]-ReconciliationData[[#This Row],[expected_revenue]]</f>
        <v>0</v>
      </c>
      <c r="AA22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89" t="str">
        <f>IF(ReconciliationData[[#This Row],[severity_score]]=0,"LOW",
 IF(ReconciliationData[[#This Row],[severity_score]]&lt;=5,"MEDIUM","HIGH"))</f>
        <v>LOW</v>
      </c>
      <c r="AC2289" t="str">
        <f>TEXT(ReconciliationData[[#This Row],[Order_Date]],"YYYY-MM")</f>
        <v>2024-06</v>
      </c>
    </row>
    <row r="2290" spans="1:29">
      <c r="A2290" t="s">
        <v>5764</v>
      </c>
      <c r="B2290" s="1">
        <v>45100</v>
      </c>
      <c r="C2290" t="s">
        <v>1060</v>
      </c>
      <c r="D2290" t="s">
        <v>1432</v>
      </c>
      <c r="E2290">
        <v>119</v>
      </c>
      <c r="F2290" t="s">
        <v>5765</v>
      </c>
      <c r="G2290">
        <v>119</v>
      </c>
      <c r="H2290">
        <v>836.10360000000003</v>
      </c>
      <c r="N2290">
        <v>836.10360000000003</v>
      </c>
      <c r="O2290" s="1">
        <v>45058</v>
      </c>
      <c r="P2290">
        <f>IF(ISBLANK(ReconciliationData[[#This Row],[Invoice_ID]]),1,0)</f>
        <v>0</v>
      </c>
      <c r="Q2290">
        <f>IF(AND(NOT(ISBLANK(ReconciliationData[[#This Row],[Billed_Units]])),ReconciliationData[[#This Row],[ordered_units]]&lt;&gt;ReconciliationData[[#This Row],[Billed_Units]]),1,0)</f>
        <v>0</v>
      </c>
      <c r="R22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0">
        <f>IF(AND(NOT(ISBLANK(ReconciliationData[[#This Row],[Contract_Price]])),ReconciliationData[[#This Row],[Billed_Price]]&lt;&gt;ReconciliationData[[#This Row],[Contract_Price]]),1,0)</f>
        <v>0</v>
      </c>
      <c r="T2290">
        <f>IF(AND(NOT(ISBLANK(ReconciliationData[[#This Row],[End_Date]])),ReconciliationData[[#This Row],[Order_Date]]&gt;ReconciliationData[[#This Row],[End_Date]]),1,0)</f>
        <v>0</v>
      </c>
      <c r="U2290">
        <f>IF(AND(NOT(ISBLANK(ReconciliationData[[#This Row],[last_return_date]])),ReconciliationData[[#This Row],[last_return_date]]&gt;ReconciliationData[[#This Row],[Order_Date]]+60),1,0)</f>
        <v>0</v>
      </c>
      <c r="V2290">
        <f>IF(ReconciliationData[[#This Row],[total_returned_units]]&gt;ReconciliationData[[#This Row],[ordered_units]],1,0)</f>
        <v>0</v>
      </c>
      <c r="W22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0">
        <f>ReconciliationData[[#This Row],[Billed_Units]]*ReconciliationData[[#This Row],[Billed_Price]]</f>
        <v>99496.328399999999</v>
      </c>
      <c r="Y2290">
        <f>ReconciliationData[[#This Row],[ordered_units]]*ReconciliationData[[#This Row],[List_Price]]</f>
        <v>99496.328399999999</v>
      </c>
      <c r="Z2290">
        <f>ReconciliationData[[#This Row],[billed_revenue]]-ReconciliationData[[#This Row],[expected_revenue]]</f>
        <v>0</v>
      </c>
      <c r="AA22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0" t="str">
        <f>IF(ReconciliationData[[#This Row],[severity_score]]=0,"LOW",
 IF(ReconciliationData[[#This Row],[severity_score]]&lt;=5,"MEDIUM","HIGH"))</f>
        <v>LOW</v>
      </c>
      <c r="AC2290" t="str">
        <f>TEXT(ReconciliationData[[#This Row],[Order_Date]],"YYYY-MM")</f>
        <v>2023-06</v>
      </c>
    </row>
    <row r="2291" spans="1:29">
      <c r="A2291" t="s">
        <v>5766</v>
      </c>
      <c r="B2291" s="1">
        <v>45431</v>
      </c>
      <c r="C2291" t="s">
        <v>3160</v>
      </c>
      <c r="D2291" t="s">
        <v>1404</v>
      </c>
      <c r="E2291">
        <v>148</v>
      </c>
      <c r="F2291" t="s">
        <v>5767</v>
      </c>
      <c r="G2291">
        <v>148</v>
      </c>
      <c r="H2291">
        <v>655.93800000000022</v>
      </c>
      <c r="N2291">
        <v>655.93800000000022</v>
      </c>
      <c r="O2291" s="1">
        <v>45075</v>
      </c>
      <c r="P2291">
        <f>IF(ISBLANK(ReconciliationData[[#This Row],[Invoice_ID]]),1,0)</f>
        <v>0</v>
      </c>
      <c r="Q2291">
        <f>IF(AND(NOT(ISBLANK(ReconciliationData[[#This Row],[Billed_Units]])),ReconciliationData[[#This Row],[ordered_units]]&lt;&gt;ReconciliationData[[#This Row],[Billed_Units]]),1,0)</f>
        <v>0</v>
      </c>
      <c r="R22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1">
        <f>IF(AND(NOT(ISBLANK(ReconciliationData[[#This Row],[Contract_Price]])),ReconciliationData[[#This Row],[Billed_Price]]&lt;&gt;ReconciliationData[[#This Row],[Contract_Price]]),1,0)</f>
        <v>0</v>
      </c>
      <c r="T2291">
        <f>IF(AND(NOT(ISBLANK(ReconciliationData[[#This Row],[End_Date]])),ReconciliationData[[#This Row],[Order_Date]]&gt;ReconciliationData[[#This Row],[End_Date]]),1,0)</f>
        <v>0</v>
      </c>
      <c r="U2291">
        <f>IF(AND(NOT(ISBLANK(ReconciliationData[[#This Row],[last_return_date]])),ReconciliationData[[#This Row],[last_return_date]]&gt;ReconciliationData[[#This Row],[Order_Date]]+60),1,0)</f>
        <v>0</v>
      </c>
      <c r="V2291">
        <f>IF(ReconciliationData[[#This Row],[total_returned_units]]&gt;ReconciliationData[[#This Row],[ordered_units]],1,0)</f>
        <v>0</v>
      </c>
      <c r="W22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1">
        <f>ReconciliationData[[#This Row],[Billed_Units]]*ReconciliationData[[#This Row],[Billed_Price]]</f>
        <v>97078.824000000037</v>
      </c>
      <c r="Y2291">
        <f>ReconciliationData[[#This Row],[ordered_units]]*ReconciliationData[[#This Row],[List_Price]]</f>
        <v>97078.824000000037</v>
      </c>
      <c r="Z2291">
        <f>ReconciliationData[[#This Row],[billed_revenue]]-ReconciliationData[[#This Row],[expected_revenue]]</f>
        <v>0</v>
      </c>
      <c r="AA22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1" t="str">
        <f>IF(ReconciliationData[[#This Row],[severity_score]]=0,"LOW",
 IF(ReconciliationData[[#This Row],[severity_score]]&lt;=5,"MEDIUM","HIGH"))</f>
        <v>LOW</v>
      </c>
      <c r="AC2291" t="str">
        <f>TEXT(ReconciliationData[[#This Row],[Order_Date]],"YYYY-MM")</f>
        <v>2024-05</v>
      </c>
    </row>
    <row r="2292" spans="1:29">
      <c r="A2292" t="s">
        <v>5768</v>
      </c>
      <c r="B2292" s="1">
        <v>45179</v>
      </c>
      <c r="C2292" t="s">
        <v>3782</v>
      </c>
      <c r="D2292" t="s">
        <v>1533</v>
      </c>
      <c r="E2292">
        <v>35</v>
      </c>
      <c r="F2292" t="s">
        <v>5769</v>
      </c>
      <c r="G2292">
        <v>35</v>
      </c>
      <c r="H2292">
        <v>952.36940000000004</v>
      </c>
      <c r="N2292">
        <v>952.36940000000004</v>
      </c>
      <c r="O2292" s="1">
        <v>45169</v>
      </c>
      <c r="P2292">
        <f>IF(ISBLANK(ReconciliationData[[#This Row],[Invoice_ID]]),1,0)</f>
        <v>0</v>
      </c>
      <c r="Q2292">
        <f>IF(AND(NOT(ISBLANK(ReconciliationData[[#This Row],[Billed_Units]])),ReconciliationData[[#This Row],[ordered_units]]&lt;&gt;ReconciliationData[[#This Row],[Billed_Units]]),1,0)</f>
        <v>0</v>
      </c>
      <c r="R22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2">
        <f>IF(AND(NOT(ISBLANK(ReconciliationData[[#This Row],[Contract_Price]])),ReconciliationData[[#This Row],[Billed_Price]]&lt;&gt;ReconciliationData[[#This Row],[Contract_Price]]),1,0)</f>
        <v>0</v>
      </c>
      <c r="T2292">
        <f>IF(AND(NOT(ISBLANK(ReconciliationData[[#This Row],[End_Date]])),ReconciliationData[[#This Row],[Order_Date]]&gt;ReconciliationData[[#This Row],[End_Date]]),1,0)</f>
        <v>0</v>
      </c>
      <c r="U2292">
        <f>IF(AND(NOT(ISBLANK(ReconciliationData[[#This Row],[last_return_date]])),ReconciliationData[[#This Row],[last_return_date]]&gt;ReconciliationData[[#This Row],[Order_Date]]+60),1,0)</f>
        <v>0</v>
      </c>
      <c r="V2292">
        <f>IF(ReconciliationData[[#This Row],[total_returned_units]]&gt;ReconciliationData[[#This Row],[ordered_units]],1,0)</f>
        <v>0</v>
      </c>
      <c r="W22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2">
        <f>ReconciliationData[[#This Row],[Billed_Units]]*ReconciliationData[[#This Row],[Billed_Price]]</f>
        <v>33332.929000000004</v>
      </c>
      <c r="Y2292">
        <f>ReconciliationData[[#This Row],[ordered_units]]*ReconciliationData[[#This Row],[List_Price]]</f>
        <v>33332.929000000004</v>
      </c>
      <c r="Z2292">
        <f>ReconciliationData[[#This Row],[billed_revenue]]-ReconciliationData[[#This Row],[expected_revenue]]</f>
        <v>0</v>
      </c>
      <c r="AA22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2" t="str">
        <f>IF(ReconciliationData[[#This Row],[severity_score]]=0,"LOW",
 IF(ReconciliationData[[#This Row],[severity_score]]&lt;=5,"MEDIUM","HIGH"))</f>
        <v>LOW</v>
      </c>
      <c r="AC2292" t="str">
        <f>TEXT(ReconciliationData[[#This Row],[Order_Date]],"YYYY-MM")</f>
        <v>2023-09</v>
      </c>
    </row>
    <row r="2293" spans="1:29">
      <c r="A2293" t="s">
        <v>5770</v>
      </c>
      <c r="B2293" s="1">
        <v>45494</v>
      </c>
      <c r="C2293" t="s">
        <v>1552</v>
      </c>
      <c r="D2293" t="s">
        <v>738</v>
      </c>
      <c r="E2293">
        <v>24</v>
      </c>
      <c r="F2293" t="s">
        <v>5771</v>
      </c>
      <c r="G2293">
        <v>24</v>
      </c>
      <c r="H2293">
        <v>664.8768</v>
      </c>
      <c r="N2293">
        <v>664.8768</v>
      </c>
      <c r="O2293" s="1">
        <v>45116</v>
      </c>
      <c r="P2293">
        <f>IF(ISBLANK(ReconciliationData[[#This Row],[Invoice_ID]]),1,0)</f>
        <v>0</v>
      </c>
      <c r="Q2293">
        <f>IF(AND(NOT(ISBLANK(ReconciliationData[[#This Row],[Billed_Units]])),ReconciliationData[[#This Row],[ordered_units]]&lt;&gt;ReconciliationData[[#This Row],[Billed_Units]]),1,0)</f>
        <v>0</v>
      </c>
      <c r="R22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3">
        <f>IF(AND(NOT(ISBLANK(ReconciliationData[[#This Row],[Contract_Price]])),ReconciliationData[[#This Row],[Billed_Price]]&lt;&gt;ReconciliationData[[#This Row],[Contract_Price]]),1,0)</f>
        <v>0</v>
      </c>
      <c r="T2293">
        <f>IF(AND(NOT(ISBLANK(ReconciliationData[[#This Row],[End_Date]])),ReconciliationData[[#This Row],[Order_Date]]&gt;ReconciliationData[[#This Row],[End_Date]]),1,0)</f>
        <v>0</v>
      </c>
      <c r="U2293">
        <f>IF(AND(NOT(ISBLANK(ReconciliationData[[#This Row],[last_return_date]])),ReconciliationData[[#This Row],[last_return_date]]&gt;ReconciliationData[[#This Row],[Order_Date]]+60),1,0)</f>
        <v>0</v>
      </c>
      <c r="V2293">
        <f>IF(ReconciliationData[[#This Row],[total_returned_units]]&gt;ReconciliationData[[#This Row],[ordered_units]],1,0)</f>
        <v>0</v>
      </c>
      <c r="W22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3">
        <f>ReconciliationData[[#This Row],[Billed_Units]]*ReconciliationData[[#This Row],[Billed_Price]]</f>
        <v>15957.0432</v>
      </c>
      <c r="Y2293">
        <f>ReconciliationData[[#This Row],[ordered_units]]*ReconciliationData[[#This Row],[List_Price]]</f>
        <v>15957.0432</v>
      </c>
      <c r="Z2293">
        <f>ReconciliationData[[#This Row],[billed_revenue]]-ReconciliationData[[#This Row],[expected_revenue]]</f>
        <v>0</v>
      </c>
      <c r="AA22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3" t="str">
        <f>IF(ReconciliationData[[#This Row],[severity_score]]=0,"LOW",
 IF(ReconciliationData[[#This Row],[severity_score]]&lt;=5,"MEDIUM","HIGH"))</f>
        <v>LOW</v>
      </c>
      <c r="AC2293" t="str">
        <f>TEXT(ReconciliationData[[#This Row],[Order_Date]],"YYYY-MM")</f>
        <v>2024-07</v>
      </c>
    </row>
    <row r="2294" spans="1:29">
      <c r="A2294" t="s">
        <v>5772</v>
      </c>
      <c r="B2294" s="1">
        <v>45149</v>
      </c>
      <c r="C2294" t="s">
        <v>778</v>
      </c>
      <c r="D2294" t="s">
        <v>1358</v>
      </c>
      <c r="E2294">
        <v>25</v>
      </c>
      <c r="F2294" t="s">
        <v>5773</v>
      </c>
      <c r="G2294">
        <v>25</v>
      </c>
      <c r="H2294">
        <v>940.1952</v>
      </c>
      <c r="N2294">
        <v>940.1952</v>
      </c>
      <c r="O2294" s="1">
        <v>45058</v>
      </c>
      <c r="P2294">
        <f>IF(ISBLANK(ReconciliationData[[#This Row],[Invoice_ID]]),1,0)</f>
        <v>0</v>
      </c>
      <c r="Q2294">
        <f>IF(AND(NOT(ISBLANK(ReconciliationData[[#This Row],[Billed_Units]])),ReconciliationData[[#This Row],[ordered_units]]&lt;&gt;ReconciliationData[[#This Row],[Billed_Units]]),1,0)</f>
        <v>0</v>
      </c>
      <c r="R22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4">
        <f>IF(AND(NOT(ISBLANK(ReconciliationData[[#This Row],[Contract_Price]])),ReconciliationData[[#This Row],[Billed_Price]]&lt;&gt;ReconciliationData[[#This Row],[Contract_Price]]),1,0)</f>
        <v>0</v>
      </c>
      <c r="T2294">
        <f>IF(AND(NOT(ISBLANK(ReconciliationData[[#This Row],[End_Date]])),ReconciliationData[[#This Row],[Order_Date]]&gt;ReconciliationData[[#This Row],[End_Date]]),1,0)</f>
        <v>0</v>
      </c>
      <c r="U2294">
        <f>IF(AND(NOT(ISBLANK(ReconciliationData[[#This Row],[last_return_date]])),ReconciliationData[[#This Row],[last_return_date]]&gt;ReconciliationData[[#This Row],[Order_Date]]+60),1,0)</f>
        <v>0</v>
      </c>
      <c r="V2294">
        <f>IF(ReconciliationData[[#This Row],[total_returned_units]]&gt;ReconciliationData[[#This Row],[ordered_units]],1,0)</f>
        <v>0</v>
      </c>
      <c r="W22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4">
        <f>ReconciliationData[[#This Row],[Billed_Units]]*ReconciliationData[[#This Row],[Billed_Price]]</f>
        <v>23504.880000000001</v>
      </c>
      <c r="Y2294">
        <f>ReconciliationData[[#This Row],[ordered_units]]*ReconciliationData[[#This Row],[List_Price]]</f>
        <v>23504.880000000001</v>
      </c>
      <c r="Z2294">
        <f>ReconciliationData[[#This Row],[billed_revenue]]-ReconciliationData[[#This Row],[expected_revenue]]</f>
        <v>0</v>
      </c>
      <c r="AA22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4" t="str">
        <f>IF(ReconciliationData[[#This Row],[severity_score]]=0,"LOW",
 IF(ReconciliationData[[#This Row],[severity_score]]&lt;=5,"MEDIUM","HIGH"))</f>
        <v>LOW</v>
      </c>
      <c r="AC2294" t="str">
        <f>TEXT(ReconciliationData[[#This Row],[Order_Date]],"YYYY-MM")</f>
        <v>2023-08</v>
      </c>
    </row>
    <row r="2295" spans="1:29">
      <c r="A2295" t="s">
        <v>5774</v>
      </c>
      <c r="B2295" s="1">
        <v>45359</v>
      </c>
      <c r="C2295" t="s">
        <v>1651</v>
      </c>
      <c r="D2295" t="s">
        <v>194</v>
      </c>
      <c r="E2295">
        <v>192</v>
      </c>
      <c r="F2295" t="s">
        <v>5775</v>
      </c>
      <c r="G2295">
        <v>192</v>
      </c>
      <c r="H2295">
        <v>1039.0536</v>
      </c>
      <c r="N2295">
        <v>1039.0536</v>
      </c>
      <c r="O2295" s="1">
        <v>45054</v>
      </c>
      <c r="P2295">
        <f>IF(ISBLANK(ReconciliationData[[#This Row],[Invoice_ID]]),1,0)</f>
        <v>0</v>
      </c>
      <c r="Q2295">
        <f>IF(AND(NOT(ISBLANK(ReconciliationData[[#This Row],[Billed_Units]])),ReconciliationData[[#This Row],[ordered_units]]&lt;&gt;ReconciliationData[[#This Row],[Billed_Units]]),1,0)</f>
        <v>0</v>
      </c>
      <c r="R22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5">
        <f>IF(AND(NOT(ISBLANK(ReconciliationData[[#This Row],[Contract_Price]])),ReconciliationData[[#This Row],[Billed_Price]]&lt;&gt;ReconciliationData[[#This Row],[Contract_Price]]),1,0)</f>
        <v>0</v>
      </c>
      <c r="T2295">
        <f>IF(AND(NOT(ISBLANK(ReconciliationData[[#This Row],[End_Date]])),ReconciliationData[[#This Row],[Order_Date]]&gt;ReconciliationData[[#This Row],[End_Date]]),1,0)</f>
        <v>0</v>
      </c>
      <c r="U2295">
        <f>IF(AND(NOT(ISBLANK(ReconciliationData[[#This Row],[last_return_date]])),ReconciliationData[[#This Row],[last_return_date]]&gt;ReconciliationData[[#This Row],[Order_Date]]+60),1,0)</f>
        <v>0</v>
      </c>
      <c r="V2295">
        <f>IF(ReconciliationData[[#This Row],[total_returned_units]]&gt;ReconciliationData[[#This Row],[ordered_units]],1,0)</f>
        <v>0</v>
      </c>
      <c r="W22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5">
        <f>ReconciliationData[[#This Row],[Billed_Units]]*ReconciliationData[[#This Row],[Billed_Price]]</f>
        <v>199498.29119999998</v>
      </c>
      <c r="Y2295">
        <f>ReconciliationData[[#This Row],[ordered_units]]*ReconciliationData[[#This Row],[List_Price]]</f>
        <v>199498.29119999998</v>
      </c>
      <c r="Z2295">
        <f>ReconciliationData[[#This Row],[billed_revenue]]-ReconciliationData[[#This Row],[expected_revenue]]</f>
        <v>0</v>
      </c>
      <c r="AA22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5" t="str">
        <f>IF(ReconciliationData[[#This Row],[severity_score]]=0,"LOW",
 IF(ReconciliationData[[#This Row],[severity_score]]&lt;=5,"MEDIUM","HIGH"))</f>
        <v>LOW</v>
      </c>
      <c r="AC2295" t="str">
        <f>TEXT(ReconciliationData[[#This Row],[Order_Date]],"YYYY-MM")</f>
        <v>2024-03</v>
      </c>
    </row>
    <row r="2296" spans="1:29">
      <c r="A2296" t="s">
        <v>5776</v>
      </c>
      <c r="B2296" s="1">
        <v>45371</v>
      </c>
      <c r="C2296" t="s">
        <v>1280</v>
      </c>
      <c r="D2296" t="s">
        <v>487</v>
      </c>
      <c r="E2296">
        <v>92</v>
      </c>
      <c r="F2296" t="s">
        <v>5777</v>
      </c>
      <c r="G2296">
        <v>92</v>
      </c>
      <c r="H2296">
        <v>280.03500000000003</v>
      </c>
      <c r="N2296">
        <v>280.03500000000003</v>
      </c>
      <c r="O2296" s="1">
        <v>45146</v>
      </c>
      <c r="P2296">
        <f>IF(ISBLANK(ReconciliationData[[#This Row],[Invoice_ID]]),1,0)</f>
        <v>0</v>
      </c>
      <c r="Q2296">
        <f>IF(AND(NOT(ISBLANK(ReconciliationData[[#This Row],[Billed_Units]])),ReconciliationData[[#This Row],[ordered_units]]&lt;&gt;ReconciliationData[[#This Row],[Billed_Units]]),1,0)</f>
        <v>0</v>
      </c>
      <c r="R22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6">
        <f>IF(AND(NOT(ISBLANK(ReconciliationData[[#This Row],[Contract_Price]])),ReconciliationData[[#This Row],[Billed_Price]]&lt;&gt;ReconciliationData[[#This Row],[Contract_Price]]),1,0)</f>
        <v>0</v>
      </c>
      <c r="T2296">
        <f>IF(AND(NOT(ISBLANK(ReconciliationData[[#This Row],[End_Date]])),ReconciliationData[[#This Row],[Order_Date]]&gt;ReconciliationData[[#This Row],[End_Date]]),1,0)</f>
        <v>0</v>
      </c>
      <c r="U2296">
        <f>IF(AND(NOT(ISBLANK(ReconciliationData[[#This Row],[last_return_date]])),ReconciliationData[[#This Row],[last_return_date]]&gt;ReconciliationData[[#This Row],[Order_Date]]+60),1,0)</f>
        <v>0</v>
      </c>
      <c r="V2296">
        <f>IF(ReconciliationData[[#This Row],[total_returned_units]]&gt;ReconciliationData[[#This Row],[ordered_units]],1,0)</f>
        <v>0</v>
      </c>
      <c r="W22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6">
        <f>ReconciliationData[[#This Row],[Billed_Units]]*ReconciliationData[[#This Row],[Billed_Price]]</f>
        <v>25763.22</v>
      </c>
      <c r="Y2296">
        <f>ReconciliationData[[#This Row],[ordered_units]]*ReconciliationData[[#This Row],[List_Price]]</f>
        <v>25763.22</v>
      </c>
      <c r="Z2296">
        <f>ReconciliationData[[#This Row],[billed_revenue]]-ReconciliationData[[#This Row],[expected_revenue]]</f>
        <v>0</v>
      </c>
      <c r="AA22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6" t="str">
        <f>IF(ReconciliationData[[#This Row],[severity_score]]=0,"LOW",
 IF(ReconciliationData[[#This Row],[severity_score]]&lt;=5,"MEDIUM","HIGH"))</f>
        <v>LOW</v>
      </c>
      <c r="AC2296" t="str">
        <f>TEXT(ReconciliationData[[#This Row],[Order_Date]],"YYYY-MM")</f>
        <v>2024-03</v>
      </c>
    </row>
    <row r="2297" spans="1:29">
      <c r="A2297" t="s">
        <v>5778</v>
      </c>
      <c r="B2297" s="1">
        <v>45395</v>
      </c>
      <c r="C2297" t="s">
        <v>456</v>
      </c>
      <c r="D2297" t="s">
        <v>142</v>
      </c>
      <c r="E2297">
        <v>130</v>
      </c>
      <c r="F2297" t="s">
        <v>5779</v>
      </c>
      <c r="G2297">
        <v>130</v>
      </c>
      <c r="H2297">
        <v>189.1498</v>
      </c>
      <c r="N2297">
        <v>189.1498</v>
      </c>
      <c r="O2297" s="1">
        <v>45108</v>
      </c>
      <c r="P2297">
        <f>IF(ISBLANK(ReconciliationData[[#This Row],[Invoice_ID]]),1,0)</f>
        <v>0</v>
      </c>
      <c r="Q2297">
        <f>IF(AND(NOT(ISBLANK(ReconciliationData[[#This Row],[Billed_Units]])),ReconciliationData[[#This Row],[ordered_units]]&lt;&gt;ReconciliationData[[#This Row],[Billed_Units]]),1,0)</f>
        <v>0</v>
      </c>
      <c r="R22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7">
        <f>IF(AND(NOT(ISBLANK(ReconciliationData[[#This Row],[Contract_Price]])),ReconciliationData[[#This Row],[Billed_Price]]&lt;&gt;ReconciliationData[[#This Row],[Contract_Price]]),1,0)</f>
        <v>0</v>
      </c>
      <c r="T2297">
        <f>IF(AND(NOT(ISBLANK(ReconciliationData[[#This Row],[End_Date]])),ReconciliationData[[#This Row],[Order_Date]]&gt;ReconciliationData[[#This Row],[End_Date]]),1,0)</f>
        <v>0</v>
      </c>
      <c r="U2297">
        <f>IF(AND(NOT(ISBLANK(ReconciliationData[[#This Row],[last_return_date]])),ReconciliationData[[#This Row],[last_return_date]]&gt;ReconciliationData[[#This Row],[Order_Date]]+60),1,0)</f>
        <v>0</v>
      </c>
      <c r="V2297">
        <f>IF(ReconciliationData[[#This Row],[total_returned_units]]&gt;ReconciliationData[[#This Row],[ordered_units]],1,0)</f>
        <v>0</v>
      </c>
      <c r="W22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7">
        <f>ReconciliationData[[#This Row],[Billed_Units]]*ReconciliationData[[#This Row],[Billed_Price]]</f>
        <v>24589.473999999998</v>
      </c>
      <c r="Y2297">
        <f>ReconciliationData[[#This Row],[ordered_units]]*ReconciliationData[[#This Row],[List_Price]]</f>
        <v>24589.473999999998</v>
      </c>
      <c r="Z2297">
        <f>ReconciliationData[[#This Row],[billed_revenue]]-ReconciliationData[[#This Row],[expected_revenue]]</f>
        <v>0</v>
      </c>
      <c r="AA22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7" t="str">
        <f>IF(ReconciliationData[[#This Row],[severity_score]]=0,"LOW",
 IF(ReconciliationData[[#This Row],[severity_score]]&lt;=5,"MEDIUM","HIGH"))</f>
        <v>LOW</v>
      </c>
      <c r="AC2297" t="str">
        <f>TEXT(ReconciliationData[[#This Row],[Order_Date]],"YYYY-MM")</f>
        <v>2024-04</v>
      </c>
    </row>
    <row r="2298" spans="1:29">
      <c r="A2298" t="s">
        <v>5780</v>
      </c>
      <c r="B2298" s="1">
        <v>45178</v>
      </c>
      <c r="C2298" t="s">
        <v>5315</v>
      </c>
      <c r="D2298" t="s">
        <v>146</v>
      </c>
      <c r="E2298">
        <v>182</v>
      </c>
      <c r="F2298" t="s">
        <v>5781</v>
      </c>
      <c r="G2298">
        <v>182</v>
      </c>
      <c r="H2298">
        <v>849.43949999999995</v>
      </c>
      <c r="N2298">
        <v>849.43949999999995</v>
      </c>
      <c r="O2298" s="1">
        <v>45114</v>
      </c>
      <c r="P2298">
        <f>IF(ISBLANK(ReconciliationData[[#This Row],[Invoice_ID]]),1,0)</f>
        <v>0</v>
      </c>
      <c r="Q2298">
        <f>IF(AND(NOT(ISBLANK(ReconciliationData[[#This Row],[Billed_Units]])),ReconciliationData[[#This Row],[ordered_units]]&lt;&gt;ReconciliationData[[#This Row],[Billed_Units]]),1,0)</f>
        <v>0</v>
      </c>
      <c r="R22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8">
        <f>IF(AND(NOT(ISBLANK(ReconciliationData[[#This Row],[Contract_Price]])),ReconciliationData[[#This Row],[Billed_Price]]&lt;&gt;ReconciliationData[[#This Row],[Contract_Price]]),1,0)</f>
        <v>0</v>
      </c>
      <c r="T2298">
        <f>IF(AND(NOT(ISBLANK(ReconciliationData[[#This Row],[End_Date]])),ReconciliationData[[#This Row],[Order_Date]]&gt;ReconciliationData[[#This Row],[End_Date]]),1,0)</f>
        <v>0</v>
      </c>
      <c r="U2298">
        <f>IF(AND(NOT(ISBLANK(ReconciliationData[[#This Row],[last_return_date]])),ReconciliationData[[#This Row],[last_return_date]]&gt;ReconciliationData[[#This Row],[Order_Date]]+60),1,0)</f>
        <v>0</v>
      </c>
      <c r="V2298">
        <f>IF(ReconciliationData[[#This Row],[total_returned_units]]&gt;ReconciliationData[[#This Row],[ordered_units]],1,0)</f>
        <v>0</v>
      </c>
      <c r="W22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8">
        <f>ReconciliationData[[#This Row],[Billed_Units]]*ReconciliationData[[#This Row],[Billed_Price]]</f>
        <v>154597.989</v>
      </c>
      <c r="Y2298">
        <f>ReconciliationData[[#This Row],[ordered_units]]*ReconciliationData[[#This Row],[List_Price]]</f>
        <v>154597.989</v>
      </c>
      <c r="Z2298">
        <f>ReconciliationData[[#This Row],[billed_revenue]]-ReconciliationData[[#This Row],[expected_revenue]]</f>
        <v>0</v>
      </c>
      <c r="AA22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8" t="str">
        <f>IF(ReconciliationData[[#This Row],[severity_score]]=0,"LOW",
 IF(ReconciliationData[[#This Row],[severity_score]]&lt;=5,"MEDIUM","HIGH"))</f>
        <v>LOW</v>
      </c>
      <c r="AC2298" t="str">
        <f>TEXT(ReconciliationData[[#This Row],[Order_Date]],"YYYY-MM")</f>
        <v>2023-09</v>
      </c>
    </row>
    <row r="2299" spans="1:29">
      <c r="A2299" t="s">
        <v>5782</v>
      </c>
      <c r="B2299" s="1">
        <v>45487</v>
      </c>
      <c r="C2299" t="s">
        <v>3217</v>
      </c>
      <c r="D2299" t="s">
        <v>313</v>
      </c>
      <c r="E2299">
        <v>90</v>
      </c>
      <c r="F2299" t="s">
        <v>5783</v>
      </c>
      <c r="G2299">
        <v>90</v>
      </c>
      <c r="H2299">
        <v>1190.6054999999999</v>
      </c>
      <c r="N2299">
        <v>1190.6054999999999</v>
      </c>
      <c r="O2299" s="1">
        <v>44984</v>
      </c>
      <c r="P2299">
        <f>IF(ISBLANK(ReconciliationData[[#This Row],[Invoice_ID]]),1,0)</f>
        <v>0</v>
      </c>
      <c r="Q2299">
        <f>IF(AND(NOT(ISBLANK(ReconciliationData[[#This Row],[Billed_Units]])),ReconciliationData[[#This Row],[ordered_units]]&lt;&gt;ReconciliationData[[#This Row],[Billed_Units]]),1,0)</f>
        <v>0</v>
      </c>
      <c r="R22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299">
        <f>IF(AND(NOT(ISBLANK(ReconciliationData[[#This Row],[Contract_Price]])),ReconciliationData[[#This Row],[Billed_Price]]&lt;&gt;ReconciliationData[[#This Row],[Contract_Price]]),1,0)</f>
        <v>0</v>
      </c>
      <c r="T2299">
        <f>IF(AND(NOT(ISBLANK(ReconciliationData[[#This Row],[End_Date]])),ReconciliationData[[#This Row],[Order_Date]]&gt;ReconciliationData[[#This Row],[End_Date]]),1,0)</f>
        <v>0</v>
      </c>
      <c r="U2299">
        <f>IF(AND(NOT(ISBLANK(ReconciliationData[[#This Row],[last_return_date]])),ReconciliationData[[#This Row],[last_return_date]]&gt;ReconciliationData[[#This Row],[Order_Date]]+60),1,0)</f>
        <v>0</v>
      </c>
      <c r="V2299">
        <f>IF(ReconciliationData[[#This Row],[total_returned_units]]&gt;ReconciliationData[[#This Row],[ordered_units]],1,0)</f>
        <v>0</v>
      </c>
      <c r="W22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299">
        <f>ReconciliationData[[#This Row],[Billed_Units]]*ReconciliationData[[#This Row],[Billed_Price]]</f>
        <v>107154.495</v>
      </c>
      <c r="Y2299">
        <f>ReconciliationData[[#This Row],[ordered_units]]*ReconciliationData[[#This Row],[List_Price]]</f>
        <v>107154.495</v>
      </c>
      <c r="Z2299">
        <f>ReconciliationData[[#This Row],[billed_revenue]]-ReconciliationData[[#This Row],[expected_revenue]]</f>
        <v>0</v>
      </c>
      <c r="AA22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299" t="str">
        <f>IF(ReconciliationData[[#This Row],[severity_score]]=0,"LOW",
 IF(ReconciliationData[[#This Row],[severity_score]]&lt;=5,"MEDIUM","HIGH"))</f>
        <v>LOW</v>
      </c>
      <c r="AC2299" t="str">
        <f>TEXT(ReconciliationData[[#This Row],[Order_Date]],"YYYY-MM")</f>
        <v>2024-07</v>
      </c>
    </row>
    <row r="2300" spans="1:29">
      <c r="A2300" t="s">
        <v>5784</v>
      </c>
      <c r="B2300" s="1">
        <v>45389</v>
      </c>
      <c r="C2300" t="s">
        <v>965</v>
      </c>
      <c r="D2300" t="s">
        <v>969</v>
      </c>
      <c r="E2300">
        <v>172</v>
      </c>
      <c r="F2300" t="s">
        <v>5785</v>
      </c>
      <c r="G2300">
        <v>172</v>
      </c>
      <c r="H2300">
        <v>991.99</v>
      </c>
      <c r="I2300">
        <v>11</v>
      </c>
      <c r="J2300" s="1">
        <v>45499</v>
      </c>
      <c r="N2300">
        <v>991.99</v>
      </c>
      <c r="O2300" s="1">
        <v>44976</v>
      </c>
      <c r="P2300">
        <f>IF(ISBLANK(ReconciliationData[[#This Row],[Invoice_ID]]),1,0)</f>
        <v>0</v>
      </c>
      <c r="Q2300">
        <f>IF(AND(NOT(ISBLANK(ReconciliationData[[#This Row],[Billed_Units]])),ReconciliationData[[#This Row],[ordered_units]]&lt;&gt;ReconciliationData[[#This Row],[Billed_Units]]),1,0)</f>
        <v>0</v>
      </c>
      <c r="R23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0">
        <f>IF(AND(NOT(ISBLANK(ReconciliationData[[#This Row],[Contract_Price]])),ReconciliationData[[#This Row],[Billed_Price]]&lt;&gt;ReconciliationData[[#This Row],[Contract_Price]]),1,0)</f>
        <v>0</v>
      </c>
      <c r="T2300">
        <f>IF(AND(NOT(ISBLANK(ReconciliationData[[#This Row],[End_Date]])),ReconciliationData[[#This Row],[Order_Date]]&gt;ReconciliationData[[#This Row],[End_Date]]),1,0)</f>
        <v>0</v>
      </c>
      <c r="U2300">
        <f>IF(AND(NOT(ISBLANK(ReconciliationData[[#This Row],[last_return_date]])),ReconciliationData[[#This Row],[last_return_date]]&gt;ReconciliationData[[#This Row],[Order_Date]]+60),1,0)</f>
        <v>1</v>
      </c>
      <c r="V2300">
        <f>IF(ReconciliationData[[#This Row],[total_returned_units]]&gt;ReconciliationData[[#This Row],[ordered_units]],1,0)</f>
        <v>0</v>
      </c>
      <c r="W23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00">
        <f>ReconciliationData[[#This Row],[Billed_Units]]*ReconciliationData[[#This Row],[Billed_Price]]</f>
        <v>170622.28</v>
      </c>
      <c r="Y2300">
        <f>ReconciliationData[[#This Row],[ordered_units]]*ReconciliationData[[#This Row],[List_Price]]</f>
        <v>170622.28</v>
      </c>
      <c r="Z2300">
        <f>ReconciliationData[[#This Row],[billed_revenue]]-ReconciliationData[[#This Row],[expected_revenue]]</f>
        <v>0</v>
      </c>
      <c r="AA23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300" t="str">
        <f>IF(ReconciliationData[[#This Row],[severity_score]]=0,"LOW",
 IF(ReconciliationData[[#This Row],[severity_score]]&lt;=5,"MEDIUM","HIGH"))</f>
        <v>MEDIUM</v>
      </c>
      <c r="AC2300" t="str">
        <f>TEXT(ReconciliationData[[#This Row],[Order_Date]],"YYYY-MM")</f>
        <v>2024-04</v>
      </c>
    </row>
    <row r="2301" spans="1:29">
      <c r="A2301" t="s">
        <v>5786</v>
      </c>
      <c r="B2301" s="1">
        <v>45386</v>
      </c>
      <c r="C2301" t="s">
        <v>2535</v>
      </c>
      <c r="D2301" t="s">
        <v>1142</v>
      </c>
      <c r="E2301">
        <v>129</v>
      </c>
      <c r="F2301" t="s">
        <v>5787</v>
      </c>
      <c r="G2301">
        <v>129</v>
      </c>
      <c r="H2301">
        <v>624.37260000000003</v>
      </c>
      <c r="N2301">
        <v>624.37260000000003</v>
      </c>
      <c r="O2301" s="1">
        <v>44932</v>
      </c>
      <c r="P2301">
        <f>IF(ISBLANK(ReconciliationData[[#This Row],[Invoice_ID]]),1,0)</f>
        <v>0</v>
      </c>
      <c r="Q2301">
        <f>IF(AND(NOT(ISBLANK(ReconciliationData[[#This Row],[Billed_Units]])),ReconciliationData[[#This Row],[ordered_units]]&lt;&gt;ReconciliationData[[#This Row],[Billed_Units]]),1,0)</f>
        <v>0</v>
      </c>
      <c r="R23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1">
        <f>IF(AND(NOT(ISBLANK(ReconciliationData[[#This Row],[Contract_Price]])),ReconciliationData[[#This Row],[Billed_Price]]&lt;&gt;ReconciliationData[[#This Row],[Contract_Price]]),1,0)</f>
        <v>0</v>
      </c>
      <c r="T2301">
        <f>IF(AND(NOT(ISBLANK(ReconciliationData[[#This Row],[End_Date]])),ReconciliationData[[#This Row],[Order_Date]]&gt;ReconciliationData[[#This Row],[End_Date]]),1,0)</f>
        <v>0</v>
      </c>
      <c r="U2301">
        <f>IF(AND(NOT(ISBLANK(ReconciliationData[[#This Row],[last_return_date]])),ReconciliationData[[#This Row],[last_return_date]]&gt;ReconciliationData[[#This Row],[Order_Date]]+60),1,0)</f>
        <v>0</v>
      </c>
      <c r="V2301">
        <f>IF(ReconciliationData[[#This Row],[total_returned_units]]&gt;ReconciliationData[[#This Row],[ordered_units]],1,0)</f>
        <v>0</v>
      </c>
      <c r="W23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01">
        <f>ReconciliationData[[#This Row],[Billed_Units]]*ReconciliationData[[#This Row],[Billed_Price]]</f>
        <v>80544.065400000007</v>
      </c>
      <c r="Y2301">
        <f>ReconciliationData[[#This Row],[ordered_units]]*ReconciliationData[[#This Row],[List_Price]]</f>
        <v>80544.065400000007</v>
      </c>
      <c r="Z2301">
        <f>ReconciliationData[[#This Row],[billed_revenue]]-ReconciliationData[[#This Row],[expected_revenue]]</f>
        <v>0</v>
      </c>
      <c r="AA23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01" t="str">
        <f>IF(ReconciliationData[[#This Row],[severity_score]]=0,"LOW",
 IF(ReconciliationData[[#This Row],[severity_score]]&lt;=5,"MEDIUM","HIGH"))</f>
        <v>LOW</v>
      </c>
      <c r="AC2301" t="str">
        <f>TEXT(ReconciliationData[[#This Row],[Order_Date]],"YYYY-MM")</f>
        <v>2024-04</v>
      </c>
    </row>
    <row r="2302" spans="1:29">
      <c r="A2302" t="s">
        <v>5788</v>
      </c>
      <c r="B2302" s="1">
        <v>45429</v>
      </c>
      <c r="C2302" t="s">
        <v>189</v>
      </c>
      <c r="D2302" t="s">
        <v>1436</v>
      </c>
      <c r="E2302">
        <v>76</v>
      </c>
      <c r="F2302" t="s">
        <v>5789</v>
      </c>
      <c r="G2302">
        <v>76</v>
      </c>
      <c r="H2302">
        <v>189.52920000000003</v>
      </c>
      <c r="N2302">
        <v>189.52920000000003</v>
      </c>
      <c r="O2302" s="1">
        <v>45070</v>
      </c>
      <c r="P2302">
        <f>IF(ISBLANK(ReconciliationData[[#This Row],[Invoice_ID]]),1,0)</f>
        <v>0</v>
      </c>
      <c r="Q2302">
        <f>IF(AND(NOT(ISBLANK(ReconciliationData[[#This Row],[Billed_Units]])),ReconciliationData[[#This Row],[ordered_units]]&lt;&gt;ReconciliationData[[#This Row],[Billed_Units]]),1,0)</f>
        <v>0</v>
      </c>
      <c r="R23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2">
        <f>IF(AND(NOT(ISBLANK(ReconciliationData[[#This Row],[Contract_Price]])),ReconciliationData[[#This Row],[Billed_Price]]&lt;&gt;ReconciliationData[[#This Row],[Contract_Price]]),1,0)</f>
        <v>0</v>
      </c>
      <c r="T2302">
        <f>IF(AND(NOT(ISBLANK(ReconciliationData[[#This Row],[End_Date]])),ReconciliationData[[#This Row],[Order_Date]]&gt;ReconciliationData[[#This Row],[End_Date]]),1,0)</f>
        <v>0</v>
      </c>
      <c r="U2302">
        <f>IF(AND(NOT(ISBLANK(ReconciliationData[[#This Row],[last_return_date]])),ReconciliationData[[#This Row],[last_return_date]]&gt;ReconciliationData[[#This Row],[Order_Date]]+60),1,0)</f>
        <v>0</v>
      </c>
      <c r="V2302">
        <f>IF(ReconciliationData[[#This Row],[total_returned_units]]&gt;ReconciliationData[[#This Row],[ordered_units]],1,0)</f>
        <v>0</v>
      </c>
      <c r="W23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02">
        <f>ReconciliationData[[#This Row],[Billed_Units]]*ReconciliationData[[#This Row],[Billed_Price]]</f>
        <v>14404.219200000003</v>
      </c>
      <c r="Y2302">
        <f>ReconciliationData[[#This Row],[ordered_units]]*ReconciliationData[[#This Row],[List_Price]]</f>
        <v>14404.219200000003</v>
      </c>
      <c r="Z2302">
        <f>ReconciliationData[[#This Row],[billed_revenue]]-ReconciliationData[[#This Row],[expected_revenue]]</f>
        <v>0</v>
      </c>
      <c r="AA23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02" t="str">
        <f>IF(ReconciliationData[[#This Row],[severity_score]]=0,"LOW",
 IF(ReconciliationData[[#This Row],[severity_score]]&lt;=5,"MEDIUM","HIGH"))</f>
        <v>LOW</v>
      </c>
      <c r="AC2302" t="str">
        <f>TEXT(ReconciliationData[[#This Row],[Order_Date]],"YYYY-MM")</f>
        <v>2024-05</v>
      </c>
    </row>
    <row r="2303" spans="1:29">
      <c r="A2303" t="s">
        <v>5790</v>
      </c>
      <c r="B2303" s="1">
        <v>45605</v>
      </c>
      <c r="C2303" t="s">
        <v>5791</v>
      </c>
      <c r="D2303" t="s">
        <v>378</v>
      </c>
      <c r="E2303">
        <v>62</v>
      </c>
      <c r="F2303" t="s">
        <v>5792</v>
      </c>
      <c r="G2303">
        <v>62</v>
      </c>
      <c r="H2303">
        <v>601.32929999999999</v>
      </c>
      <c r="N2303">
        <v>601.32929999999999</v>
      </c>
      <c r="O2303" s="1">
        <v>44962</v>
      </c>
      <c r="P2303">
        <f>IF(ISBLANK(ReconciliationData[[#This Row],[Invoice_ID]]),1,0)</f>
        <v>0</v>
      </c>
      <c r="Q2303">
        <f>IF(AND(NOT(ISBLANK(ReconciliationData[[#This Row],[Billed_Units]])),ReconciliationData[[#This Row],[ordered_units]]&lt;&gt;ReconciliationData[[#This Row],[Billed_Units]]),1,0)</f>
        <v>0</v>
      </c>
      <c r="R23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3">
        <f>IF(AND(NOT(ISBLANK(ReconciliationData[[#This Row],[Contract_Price]])),ReconciliationData[[#This Row],[Billed_Price]]&lt;&gt;ReconciliationData[[#This Row],[Contract_Price]]),1,0)</f>
        <v>0</v>
      </c>
      <c r="T2303">
        <f>IF(AND(NOT(ISBLANK(ReconciliationData[[#This Row],[End_Date]])),ReconciliationData[[#This Row],[Order_Date]]&gt;ReconciliationData[[#This Row],[End_Date]]),1,0)</f>
        <v>0</v>
      </c>
      <c r="U2303">
        <f>IF(AND(NOT(ISBLANK(ReconciliationData[[#This Row],[last_return_date]])),ReconciliationData[[#This Row],[last_return_date]]&gt;ReconciliationData[[#This Row],[Order_Date]]+60),1,0)</f>
        <v>0</v>
      </c>
      <c r="V2303">
        <f>IF(ReconciliationData[[#This Row],[total_returned_units]]&gt;ReconciliationData[[#This Row],[ordered_units]],1,0)</f>
        <v>0</v>
      </c>
      <c r="W23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03">
        <f>ReconciliationData[[#This Row],[Billed_Units]]*ReconciliationData[[#This Row],[Billed_Price]]</f>
        <v>37282.416599999997</v>
      </c>
      <c r="Y2303">
        <f>ReconciliationData[[#This Row],[ordered_units]]*ReconciliationData[[#This Row],[List_Price]]</f>
        <v>37282.416599999997</v>
      </c>
      <c r="Z2303">
        <f>ReconciliationData[[#This Row],[billed_revenue]]-ReconciliationData[[#This Row],[expected_revenue]]</f>
        <v>0</v>
      </c>
      <c r="AA23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03" t="str">
        <f>IF(ReconciliationData[[#This Row],[severity_score]]=0,"LOW",
 IF(ReconciliationData[[#This Row],[severity_score]]&lt;=5,"MEDIUM","HIGH"))</f>
        <v>LOW</v>
      </c>
      <c r="AC2303" t="str">
        <f>TEXT(ReconciliationData[[#This Row],[Order_Date]],"YYYY-MM")</f>
        <v>2024-11</v>
      </c>
    </row>
    <row r="2304" spans="1:29">
      <c r="A2304" t="s">
        <v>5793</v>
      </c>
      <c r="B2304" s="1">
        <v>45368</v>
      </c>
      <c r="C2304" t="s">
        <v>5157</v>
      </c>
      <c r="D2304" t="s">
        <v>600</v>
      </c>
      <c r="E2304">
        <v>141</v>
      </c>
      <c r="F2304" t="s">
        <v>5794</v>
      </c>
      <c r="G2304">
        <v>141</v>
      </c>
      <c r="H2304">
        <v>52.185000000000002</v>
      </c>
      <c r="N2304">
        <v>52.185000000000002</v>
      </c>
      <c r="O2304" s="1">
        <v>44998</v>
      </c>
      <c r="P2304">
        <f>IF(ISBLANK(ReconciliationData[[#This Row],[Invoice_ID]]),1,0)</f>
        <v>0</v>
      </c>
      <c r="Q2304">
        <f>IF(AND(NOT(ISBLANK(ReconciliationData[[#This Row],[Billed_Units]])),ReconciliationData[[#This Row],[ordered_units]]&lt;&gt;ReconciliationData[[#This Row],[Billed_Units]]),1,0)</f>
        <v>0</v>
      </c>
      <c r="R23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4">
        <f>IF(AND(NOT(ISBLANK(ReconciliationData[[#This Row],[Contract_Price]])),ReconciliationData[[#This Row],[Billed_Price]]&lt;&gt;ReconciliationData[[#This Row],[Contract_Price]]),1,0)</f>
        <v>0</v>
      </c>
      <c r="T2304">
        <f>IF(AND(NOT(ISBLANK(ReconciliationData[[#This Row],[End_Date]])),ReconciliationData[[#This Row],[Order_Date]]&gt;ReconciliationData[[#This Row],[End_Date]]),1,0)</f>
        <v>0</v>
      </c>
      <c r="U2304">
        <f>IF(AND(NOT(ISBLANK(ReconciliationData[[#This Row],[last_return_date]])),ReconciliationData[[#This Row],[last_return_date]]&gt;ReconciliationData[[#This Row],[Order_Date]]+60),1,0)</f>
        <v>0</v>
      </c>
      <c r="V2304">
        <f>IF(ReconciliationData[[#This Row],[total_returned_units]]&gt;ReconciliationData[[#This Row],[ordered_units]],1,0)</f>
        <v>0</v>
      </c>
      <c r="W23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04">
        <f>ReconciliationData[[#This Row],[Billed_Units]]*ReconciliationData[[#This Row],[Billed_Price]]</f>
        <v>7358.085</v>
      </c>
      <c r="Y2304">
        <f>ReconciliationData[[#This Row],[ordered_units]]*ReconciliationData[[#This Row],[List_Price]]</f>
        <v>7358.085</v>
      </c>
      <c r="Z2304">
        <f>ReconciliationData[[#This Row],[billed_revenue]]-ReconciliationData[[#This Row],[expected_revenue]]</f>
        <v>0</v>
      </c>
      <c r="AA23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04" t="str">
        <f>IF(ReconciliationData[[#This Row],[severity_score]]=0,"LOW",
 IF(ReconciliationData[[#This Row],[severity_score]]&lt;=5,"MEDIUM","HIGH"))</f>
        <v>LOW</v>
      </c>
      <c r="AC2304" t="str">
        <f>TEXT(ReconciliationData[[#This Row],[Order_Date]],"YYYY-MM")</f>
        <v>2024-03</v>
      </c>
    </row>
    <row r="2305" spans="1:29">
      <c r="A2305" t="s">
        <v>5795</v>
      </c>
      <c r="B2305" s="1">
        <v>45432</v>
      </c>
      <c r="C2305" t="s">
        <v>3003</v>
      </c>
      <c r="D2305" t="s">
        <v>162</v>
      </c>
      <c r="E2305">
        <v>199</v>
      </c>
      <c r="F2305" t="s">
        <v>5796</v>
      </c>
      <c r="G2305">
        <v>199</v>
      </c>
      <c r="H2305">
        <v>510.91840000000002</v>
      </c>
      <c r="N2305">
        <v>510.91840000000002</v>
      </c>
      <c r="O2305" s="1">
        <v>44981</v>
      </c>
      <c r="P2305">
        <f>IF(ISBLANK(ReconciliationData[[#This Row],[Invoice_ID]]),1,0)</f>
        <v>0</v>
      </c>
      <c r="Q2305">
        <f>IF(AND(NOT(ISBLANK(ReconciliationData[[#This Row],[Billed_Units]])),ReconciliationData[[#This Row],[ordered_units]]&lt;&gt;ReconciliationData[[#This Row],[Billed_Units]]),1,0)</f>
        <v>0</v>
      </c>
      <c r="R23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5">
        <f>IF(AND(NOT(ISBLANK(ReconciliationData[[#This Row],[Contract_Price]])),ReconciliationData[[#This Row],[Billed_Price]]&lt;&gt;ReconciliationData[[#This Row],[Contract_Price]]),1,0)</f>
        <v>0</v>
      </c>
      <c r="T2305">
        <f>IF(AND(NOT(ISBLANK(ReconciliationData[[#This Row],[End_Date]])),ReconciliationData[[#This Row],[Order_Date]]&gt;ReconciliationData[[#This Row],[End_Date]]),1,0)</f>
        <v>0</v>
      </c>
      <c r="U2305">
        <f>IF(AND(NOT(ISBLANK(ReconciliationData[[#This Row],[last_return_date]])),ReconciliationData[[#This Row],[last_return_date]]&gt;ReconciliationData[[#This Row],[Order_Date]]+60),1,0)</f>
        <v>0</v>
      </c>
      <c r="V2305">
        <f>IF(ReconciliationData[[#This Row],[total_returned_units]]&gt;ReconciliationData[[#This Row],[ordered_units]],1,0)</f>
        <v>0</v>
      </c>
      <c r="W23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05">
        <f>ReconciliationData[[#This Row],[Billed_Units]]*ReconciliationData[[#This Row],[Billed_Price]]</f>
        <v>101672.7616</v>
      </c>
      <c r="Y2305">
        <f>ReconciliationData[[#This Row],[ordered_units]]*ReconciliationData[[#This Row],[List_Price]]</f>
        <v>101672.7616</v>
      </c>
      <c r="Z2305">
        <f>ReconciliationData[[#This Row],[billed_revenue]]-ReconciliationData[[#This Row],[expected_revenue]]</f>
        <v>0</v>
      </c>
      <c r="AA23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05" t="str">
        <f>IF(ReconciliationData[[#This Row],[severity_score]]=0,"LOW",
 IF(ReconciliationData[[#This Row],[severity_score]]&lt;=5,"MEDIUM","HIGH"))</f>
        <v>LOW</v>
      </c>
      <c r="AC2305" t="str">
        <f>TEXT(ReconciliationData[[#This Row],[Order_Date]],"YYYY-MM")</f>
        <v>2024-05</v>
      </c>
    </row>
    <row r="2306" spans="1:29">
      <c r="A2306" t="s">
        <v>5797</v>
      </c>
      <c r="B2306" s="1">
        <v>45041</v>
      </c>
      <c r="C2306" t="s">
        <v>2000</v>
      </c>
      <c r="D2306" t="s">
        <v>247</v>
      </c>
      <c r="E2306">
        <v>26</v>
      </c>
      <c r="F2306" t="s">
        <v>5798</v>
      </c>
      <c r="G2306">
        <v>26</v>
      </c>
      <c r="H2306">
        <v>723.1</v>
      </c>
      <c r="N2306">
        <v>723.1</v>
      </c>
      <c r="O2306" s="1">
        <v>44970</v>
      </c>
      <c r="P2306">
        <f>IF(ISBLANK(ReconciliationData[[#This Row],[Invoice_ID]]),1,0)</f>
        <v>0</v>
      </c>
      <c r="Q2306">
        <f>IF(AND(NOT(ISBLANK(ReconciliationData[[#This Row],[Billed_Units]])),ReconciliationData[[#This Row],[ordered_units]]&lt;&gt;ReconciliationData[[#This Row],[Billed_Units]]),1,0)</f>
        <v>0</v>
      </c>
      <c r="R23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6">
        <f>IF(AND(NOT(ISBLANK(ReconciliationData[[#This Row],[Contract_Price]])),ReconciliationData[[#This Row],[Billed_Price]]&lt;&gt;ReconciliationData[[#This Row],[Contract_Price]]),1,0)</f>
        <v>0</v>
      </c>
      <c r="T2306">
        <f>IF(AND(NOT(ISBLANK(ReconciliationData[[#This Row],[End_Date]])),ReconciliationData[[#This Row],[Order_Date]]&gt;ReconciliationData[[#This Row],[End_Date]]),1,0)</f>
        <v>0</v>
      </c>
      <c r="U2306">
        <f>IF(AND(NOT(ISBLANK(ReconciliationData[[#This Row],[last_return_date]])),ReconciliationData[[#This Row],[last_return_date]]&gt;ReconciliationData[[#This Row],[Order_Date]]+60),1,0)</f>
        <v>0</v>
      </c>
      <c r="V2306">
        <f>IF(ReconciliationData[[#This Row],[total_returned_units]]&gt;ReconciliationData[[#This Row],[ordered_units]],1,0)</f>
        <v>0</v>
      </c>
      <c r="W23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06">
        <f>ReconciliationData[[#This Row],[Billed_Units]]*ReconciliationData[[#This Row],[Billed_Price]]</f>
        <v>18800.600000000002</v>
      </c>
      <c r="Y2306">
        <f>ReconciliationData[[#This Row],[ordered_units]]*ReconciliationData[[#This Row],[List_Price]]</f>
        <v>18800.600000000002</v>
      </c>
      <c r="Z2306">
        <f>ReconciliationData[[#This Row],[billed_revenue]]-ReconciliationData[[#This Row],[expected_revenue]]</f>
        <v>0</v>
      </c>
      <c r="AA23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06" t="str">
        <f>IF(ReconciliationData[[#This Row],[severity_score]]=0,"LOW",
 IF(ReconciliationData[[#This Row],[severity_score]]&lt;=5,"MEDIUM","HIGH"))</f>
        <v>LOW</v>
      </c>
      <c r="AC2306" t="str">
        <f>TEXT(ReconciliationData[[#This Row],[Order_Date]],"YYYY-MM")</f>
        <v>2023-04</v>
      </c>
    </row>
    <row r="2307" spans="1:29">
      <c r="A2307" t="s">
        <v>5799</v>
      </c>
      <c r="B2307" s="1">
        <v>45228</v>
      </c>
      <c r="C2307" t="s">
        <v>1215</v>
      </c>
      <c r="D2307" t="s">
        <v>2321</v>
      </c>
      <c r="E2307">
        <v>43</v>
      </c>
      <c r="F2307" t="s">
        <v>5800</v>
      </c>
      <c r="G2307">
        <v>43</v>
      </c>
      <c r="H2307">
        <v>153.69479999999999</v>
      </c>
      <c r="N2307">
        <v>153.69479999999999</v>
      </c>
      <c r="O2307" s="1">
        <v>44960</v>
      </c>
      <c r="P2307">
        <f>IF(ISBLANK(ReconciliationData[[#This Row],[Invoice_ID]]),1,0)</f>
        <v>0</v>
      </c>
      <c r="Q2307">
        <f>IF(AND(NOT(ISBLANK(ReconciliationData[[#This Row],[Billed_Units]])),ReconciliationData[[#This Row],[ordered_units]]&lt;&gt;ReconciliationData[[#This Row],[Billed_Units]]),1,0)</f>
        <v>0</v>
      </c>
      <c r="R23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7">
        <f>IF(AND(NOT(ISBLANK(ReconciliationData[[#This Row],[Contract_Price]])),ReconciliationData[[#This Row],[Billed_Price]]&lt;&gt;ReconciliationData[[#This Row],[Contract_Price]]),1,0)</f>
        <v>0</v>
      </c>
      <c r="T2307">
        <f>IF(AND(NOT(ISBLANK(ReconciliationData[[#This Row],[End_Date]])),ReconciliationData[[#This Row],[Order_Date]]&gt;ReconciliationData[[#This Row],[End_Date]]),1,0)</f>
        <v>0</v>
      </c>
      <c r="U2307">
        <f>IF(AND(NOT(ISBLANK(ReconciliationData[[#This Row],[last_return_date]])),ReconciliationData[[#This Row],[last_return_date]]&gt;ReconciliationData[[#This Row],[Order_Date]]+60),1,0)</f>
        <v>0</v>
      </c>
      <c r="V2307">
        <f>IF(ReconciliationData[[#This Row],[total_returned_units]]&gt;ReconciliationData[[#This Row],[ordered_units]],1,0)</f>
        <v>0</v>
      </c>
      <c r="W23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07">
        <f>ReconciliationData[[#This Row],[Billed_Units]]*ReconciliationData[[#This Row],[Billed_Price]]</f>
        <v>6608.8763999999992</v>
      </c>
      <c r="Y2307">
        <f>ReconciliationData[[#This Row],[ordered_units]]*ReconciliationData[[#This Row],[List_Price]]</f>
        <v>6608.8763999999992</v>
      </c>
      <c r="Z2307">
        <f>ReconciliationData[[#This Row],[billed_revenue]]-ReconciliationData[[#This Row],[expected_revenue]]</f>
        <v>0</v>
      </c>
      <c r="AA23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07" t="str">
        <f>IF(ReconciliationData[[#This Row],[severity_score]]=0,"LOW",
 IF(ReconciliationData[[#This Row],[severity_score]]&lt;=5,"MEDIUM","HIGH"))</f>
        <v>LOW</v>
      </c>
      <c r="AC2307" t="str">
        <f>TEXT(ReconciliationData[[#This Row],[Order_Date]],"YYYY-MM")</f>
        <v>2023-10</v>
      </c>
    </row>
    <row r="2308" spans="1:29">
      <c r="A2308" t="s">
        <v>5801</v>
      </c>
      <c r="B2308" s="1">
        <v>44947</v>
      </c>
      <c r="C2308" t="s">
        <v>355</v>
      </c>
      <c r="D2308" t="s">
        <v>1146</v>
      </c>
      <c r="E2308">
        <v>21</v>
      </c>
      <c r="F2308" t="s">
        <v>5802</v>
      </c>
      <c r="G2308">
        <v>21</v>
      </c>
      <c r="H2308">
        <v>440.25290000000001</v>
      </c>
      <c r="N2308">
        <v>440.25290000000001</v>
      </c>
      <c r="O2308" s="1">
        <v>44809</v>
      </c>
      <c r="P2308">
        <f>IF(ISBLANK(ReconciliationData[[#This Row],[Invoice_ID]]),1,0)</f>
        <v>0</v>
      </c>
      <c r="Q2308">
        <f>IF(AND(NOT(ISBLANK(ReconciliationData[[#This Row],[Billed_Units]])),ReconciliationData[[#This Row],[ordered_units]]&lt;&gt;ReconciliationData[[#This Row],[Billed_Units]]),1,0)</f>
        <v>0</v>
      </c>
      <c r="R23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8">
        <f>IF(AND(NOT(ISBLANK(ReconciliationData[[#This Row],[Contract_Price]])),ReconciliationData[[#This Row],[Billed_Price]]&lt;&gt;ReconciliationData[[#This Row],[Contract_Price]]),1,0)</f>
        <v>0</v>
      </c>
      <c r="T2308">
        <f>IF(AND(NOT(ISBLANK(ReconciliationData[[#This Row],[End_Date]])),ReconciliationData[[#This Row],[Order_Date]]&gt;ReconciliationData[[#This Row],[End_Date]]),1,0)</f>
        <v>0</v>
      </c>
      <c r="U2308">
        <f>IF(AND(NOT(ISBLANK(ReconciliationData[[#This Row],[last_return_date]])),ReconciliationData[[#This Row],[last_return_date]]&gt;ReconciliationData[[#This Row],[Order_Date]]+60),1,0)</f>
        <v>0</v>
      </c>
      <c r="V2308">
        <f>IF(ReconciliationData[[#This Row],[total_returned_units]]&gt;ReconciliationData[[#This Row],[ordered_units]],1,0)</f>
        <v>0</v>
      </c>
      <c r="W23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08">
        <f>ReconciliationData[[#This Row],[Billed_Units]]*ReconciliationData[[#This Row],[Billed_Price]]</f>
        <v>9245.3109000000004</v>
      </c>
      <c r="Y2308">
        <f>ReconciliationData[[#This Row],[ordered_units]]*ReconciliationData[[#This Row],[List_Price]]</f>
        <v>9245.3109000000004</v>
      </c>
      <c r="Z2308">
        <f>ReconciliationData[[#This Row],[billed_revenue]]-ReconciliationData[[#This Row],[expected_revenue]]</f>
        <v>0</v>
      </c>
      <c r="AA23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08" t="str">
        <f>IF(ReconciliationData[[#This Row],[severity_score]]=0,"LOW",
 IF(ReconciliationData[[#This Row],[severity_score]]&lt;=5,"MEDIUM","HIGH"))</f>
        <v>LOW</v>
      </c>
      <c r="AC2308" t="str">
        <f>TEXT(ReconciliationData[[#This Row],[Order_Date]],"YYYY-MM")</f>
        <v>2023-01</v>
      </c>
    </row>
    <row r="2309" spans="1:29">
      <c r="A2309" t="s">
        <v>5803</v>
      </c>
      <c r="B2309" s="1">
        <v>45137</v>
      </c>
      <c r="C2309" t="s">
        <v>246</v>
      </c>
      <c r="D2309" t="s">
        <v>487</v>
      </c>
      <c r="E2309">
        <v>181</v>
      </c>
      <c r="F2309" t="s">
        <v>5804</v>
      </c>
      <c r="G2309">
        <v>189</v>
      </c>
      <c r="H2309">
        <v>285.36900000000003</v>
      </c>
      <c r="N2309">
        <v>285.36900000000003</v>
      </c>
      <c r="O2309" s="1">
        <v>44932</v>
      </c>
      <c r="P2309">
        <f>IF(ISBLANK(ReconciliationData[[#This Row],[Invoice_ID]]),1,0)</f>
        <v>0</v>
      </c>
      <c r="Q2309">
        <f>IF(AND(NOT(ISBLANK(ReconciliationData[[#This Row],[Billed_Units]])),ReconciliationData[[#This Row],[ordered_units]]&lt;&gt;ReconciliationData[[#This Row],[Billed_Units]]),1,0)</f>
        <v>1</v>
      </c>
      <c r="R23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09">
        <f>IF(AND(NOT(ISBLANK(ReconciliationData[[#This Row],[Contract_Price]])),ReconciliationData[[#This Row],[Billed_Price]]&lt;&gt;ReconciliationData[[#This Row],[Contract_Price]]),1,0)</f>
        <v>0</v>
      </c>
      <c r="T2309">
        <f>IF(AND(NOT(ISBLANK(ReconciliationData[[#This Row],[End_Date]])),ReconciliationData[[#This Row],[Order_Date]]&gt;ReconciliationData[[#This Row],[End_Date]]),1,0)</f>
        <v>0</v>
      </c>
      <c r="U2309">
        <f>IF(AND(NOT(ISBLANK(ReconciliationData[[#This Row],[last_return_date]])),ReconciliationData[[#This Row],[last_return_date]]&gt;ReconciliationData[[#This Row],[Order_Date]]+60),1,0)</f>
        <v>0</v>
      </c>
      <c r="V2309">
        <f>IF(ReconciliationData[[#This Row],[total_returned_units]]&gt;ReconciliationData[[#This Row],[ordered_units]],1,0)</f>
        <v>0</v>
      </c>
      <c r="W23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09">
        <f>ReconciliationData[[#This Row],[Billed_Units]]*ReconciliationData[[#This Row],[Billed_Price]]</f>
        <v>53934.741000000002</v>
      </c>
      <c r="Y2309">
        <f>ReconciliationData[[#This Row],[ordered_units]]*ReconciliationData[[#This Row],[List_Price]]</f>
        <v>51651.789000000004</v>
      </c>
      <c r="Z2309">
        <f>ReconciliationData[[#This Row],[billed_revenue]]-ReconciliationData[[#This Row],[expected_revenue]]</f>
        <v>2282.9519999999975</v>
      </c>
      <c r="AA23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309" t="str">
        <f>IF(ReconciliationData[[#This Row],[severity_score]]=0,"LOW",
 IF(ReconciliationData[[#This Row],[severity_score]]&lt;=5,"MEDIUM","HIGH"))</f>
        <v>HIGH</v>
      </c>
      <c r="AC2309" t="str">
        <f>TEXT(ReconciliationData[[#This Row],[Order_Date]],"YYYY-MM")</f>
        <v>2023-07</v>
      </c>
    </row>
    <row r="2310" spans="1:29">
      <c r="A2310" t="s">
        <v>5805</v>
      </c>
      <c r="B2310" s="1">
        <v>45495</v>
      </c>
      <c r="C2310" t="s">
        <v>1928</v>
      </c>
      <c r="D2310" t="s">
        <v>1333</v>
      </c>
      <c r="E2310">
        <v>184</v>
      </c>
      <c r="F2310" t="s">
        <v>5806</v>
      </c>
      <c r="G2310">
        <v>184</v>
      </c>
      <c r="H2310">
        <v>418.93040000000002</v>
      </c>
      <c r="N2310">
        <v>418.93040000000002</v>
      </c>
      <c r="O2310" s="1">
        <v>45214</v>
      </c>
      <c r="P2310">
        <f>IF(ISBLANK(ReconciliationData[[#This Row],[Invoice_ID]]),1,0)</f>
        <v>0</v>
      </c>
      <c r="Q2310">
        <f>IF(AND(NOT(ISBLANK(ReconciliationData[[#This Row],[Billed_Units]])),ReconciliationData[[#This Row],[ordered_units]]&lt;&gt;ReconciliationData[[#This Row],[Billed_Units]]),1,0)</f>
        <v>0</v>
      </c>
      <c r="R23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0">
        <f>IF(AND(NOT(ISBLANK(ReconciliationData[[#This Row],[Contract_Price]])),ReconciliationData[[#This Row],[Billed_Price]]&lt;&gt;ReconciliationData[[#This Row],[Contract_Price]]),1,0)</f>
        <v>0</v>
      </c>
      <c r="T2310">
        <f>IF(AND(NOT(ISBLANK(ReconciliationData[[#This Row],[End_Date]])),ReconciliationData[[#This Row],[Order_Date]]&gt;ReconciliationData[[#This Row],[End_Date]]),1,0)</f>
        <v>0</v>
      </c>
      <c r="U2310">
        <f>IF(AND(NOT(ISBLANK(ReconciliationData[[#This Row],[last_return_date]])),ReconciliationData[[#This Row],[last_return_date]]&gt;ReconciliationData[[#This Row],[Order_Date]]+60),1,0)</f>
        <v>0</v>
      </c>
      <c r="V2310">
        <f>IF(ReconciliationData[[#This Row],[total_returned_units]]&gt;ReconciliationData[[#This Row],[ordered_units]],1,0)</f>
        <v>0</v>
      </c>
      <c r="W23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10">
        <f>ReconciliationData[[#This Row],[Billed_Units]]*ReconciliationData[[#This Row],[Billed_Price]]</f>
        <v>77083.193599999999</v>
      </c>
      <c r="Y2310">
        <f>ReconciliationData[[#This Row],[ordered_units]]*ReconciliationData[[#This Row],[List_Price]]</f>
        <v>77083.193599999999</v>
      </c>
      <c r="Z2310">
        <f>ReconciliationData[[#This Row],[billed_revenue]]-ReconciliationData[[#This Row],[expected_revenue]]</f>
        <v>0</v>
      </c>
      <c r="AA23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10" t="str">
        <f>IF(ReconciliationData[[#This Row],[severity_score]]=0,"LOW",
 IF(ReconciliationData[[#This Row],[severity_score]]&lt;=5,"MEDIUM","HIGH"))</f>
        <v>LOW</v>
      </c>
      <c r="AC2310" t="str">
        <f>TEXT(ReconciliationData[[#This Row],[Order_Date]],"YYYY-MM")</f>
        <v>2024-07</v>
      </c>
    </row>
    <row r="2311" spans="1:29">
      <c r="A2311" t="s">
        <v>5807</v>
      </c>
      <c r="B2311" s="1">
        <v>45494</v>
      </c>
      <c r="C2311" t="s">
        <v>1851</v>
      </c>
      <c r="D2311" t="s">
        <v>271</v>
      </c>
      <c r="E2311">
        <v>1</v>
      </c>
      <c r="F2311" t="s">
        <v>5808</v>
      </c>
      <c r="G2311">
        <v>1</v>
      </c>
      <c r="H2311">
        <v>54.580199999999998</v>
      </c>
      <c r="N2311">
        <v>54.580199999999998</v>
      </c>
      <c r="O2311" s="1">
        <v>44984</v>
      </c>
      <c r="P2311">
        <f>IF(ISBLANK(ReconciliationData[[#This Row],[Invoice_ID]]),1,0)</f>
        <v>0</v>
      </c>
      <c r="Q2311">
        <f>IF(AND(NOT(ISBLANK(ReconciliationData[[#This Row],[Billed_Units]])),ReconciliationData[[#This Row],[ordered_units]]&lt;&gt;ReconciliationData[[#This Row],[Billed_Units]]),1,0)</f>
        <v>0</v>
      </c>
      <c r="R23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1">
        <f>IF(AND(NOT(ISBLANK(ReconciliationData[[#This Row],[Contract_Price]])),ReconciliationData[[#This Row],[Billed_Price]]&lt;&gt;ReconciliationData[[#This Row],[Contract_Price]]),1,0)</f>
        <v>0</v>
      </c>
      <c r="T2311">
        <f>IF(AND(NOT(ISBLANK(ReconciliationData[[#This Row],[End_Date]])),ReconciliationData[[#This Row],[Order_Date]]&gt;ReconciliationData[[#This Row],[End_Date]]),1,0)</f>
        <v>0</v>
      </c>
      <c r="U2311">
        <f>IF(AND(NOT(ISBLANK(ReconciliationData[[#This Row],[last_return_date]])),ReconciliationData[[#This Row],[last_return_date]]&gt;ReconciliationData[[#This Row],[Order_Date]]+60),1,0)</f>
        <v>0</v>
      </c>
      <c r="V2311">
        <f>IF(ReconciliationData[[#This Row],[total_returned_units]]&gt;ReconciliationData[[#This Row],[ordered_units]],1,0)</f>
        <v>0</v>
      </c>
      <c r="W23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11">
        <f>ReconciliationData[[#This Row],[Billed_Units]]*ReconciliationData[[#This Row],[Billed_Price]]</f>
        <v>54.580199999999998</v>
      </c>
      <c r="Y2311">
        <f>ReconciliationData[[#This Row],[ordered_units]]*ReconciliationData[[#This Row],[List_Price]]</f>
        <v>54.580199999999998</v>
      </c>
      <c r="Z2311">
        <f>ReconciliationData[[#This Row],[billed_revenue]]-ReconciliationData[[#This Row],[expected_revenue]]</f>
        <v>0</v>
      </c>
      <c r="AA23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11" t="str">
        <f>IF(ReconciliationData[[#This Row],[severity_score]]=0,"LOW",
 IF(ReconciliationData[[#This Row],[severity_score]]&lt;=5,"MEDIUM","HIGH"))</f>
        <v>LOW</v>
      </c>
      <c r="AC2311" t="str">
        <f>TEXT(ReconciliationData[[#This Row],[Order_Date]],"YYYY-MM")</f>
        <v>2024-07</v>
      </c>
    </row>
    <row r="2312" spans="1:29">
      <c r="A2312" t="s">
        <v>5809</v>
      </c>
      <c r="B2312" s="1">
        <v>45179</v>
      </c>
      <c r="C2312" t="s">
        <v>4991</v>
      </c>
      <c r="D2312" t="s">
        <v>732</v>
      </c>
      <c r="E2312">
        <v>64</v>
      </c>
      <c r="F2312" t="s">
        <v>5810</v>
      </c>
      <c r="G2312">
        <v>64</v>
      </c>
      <c r="H2312">
        <v>440.38799999999998</v>
      </c>
      <c r="N2312">
        <v>440.38799999999998</v>
      </c>
      <c r="O2312" s="1">
        <v>45016</v>
      </c>
      <c r="P2312">
        <f>IF(ISBLANK(ReconciliationData[[#This Row],[Invoice_ID]]),1,0)</f>
        <v>0</v>
      </c>
      <c r="Q2312">
        <f>IF(AND(NOT(ISBLANK(ReconciliationData[[#This Row],[Billed_Units]])),ReconciliationData[[#This Row],[ordered_units]]&lt;&gt;ReconciliationData[[#This Row],[Billed_Units]]),1,0)</f>
        <v>0</v>
      </c>
      <c r="R23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2">
        <f>IF(AND(NOT(ISBLANK(ReconciliationData[[#This Row],[Contract_Price]])),ReconciliationData[[#This Row],[Billed_Price]]&lt;&gt;ReconciliationData[[#This Row],[Contract_Price]]),1,0)</f>
        <v>0</v>
      </c>
      <c r="T2312">
        <f>IF(AND(NOT(ISBLANK(ReconciliationData[[#This Row],[End_Date]])),ReconciliationData[[#This Row],[Order_Date]]&gt;ReconciliationData[[#This Row],[End_Date]]),1,0)</f>
        <v>0</v>
      </c>
      <c r="U2312">
        <f>IF(AND(NOT(ISBLANK(ReconciliationData[[#This Row],[last_return_date]])),ReconciliationData[[#This Row],[last_return_date]]&gt;ReconciliationData[[#This Row],[Order_Date]]+60),1,0)</f>
        <v>0</v>
      </c>
      <c r="V2312">
        <f>IF(ReconciliationData[[#This Row],[total_returned_units]]&gt;ReconciliationData[[#This Row],[ordered_units]],1,0)</f>
        <v>0</v>
      </c>
      <c r="W23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12">
        <f>ReconciliationData[[#This Row],[Billed_Units]]*ReconciliationData[[#This Row],[Billed_Price]]</f>
        <v>28184.831999999999</v>
      </c>
      <c r="Y2312">
        <f>ReconciliationData[[#This Row],[ordered_units]]*ReconciliationData[[#This Row],[List_Price]]</f>
        <v>28184.831999999999</v>
      </c>
      <c r="Z2312">
        <f>ReconciliationData[[#This Row],[billed_revenue]]-ReconciliationData[[#This Row],[expected_revenue]]</f>
        <v>0</v>
      </c>
      <c r="AA23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12" t="str">
        <f>IF(ReconciliationData[[#This Row],[severity_score]]=0,"LOW",
 IF(ReconciliationData[[#This Row],[severity_score]]&lt;=5,"MEDIUM","HIGH"))</f>
        <v>LOW</v>
      </c>
      <c r="AC2312" t="str">
        <f>TEXT(ReconciliationData[[#This Row],[Order_Date]],"YYYY-MM")</f>
        <v>2023-09</v>
      </c>
    </row>
    <row r="2313" spans="1:29">
      <c r="A2313" t="s">
        <v>5811</v>
      </c>
      <c r="B2313" s="1">
        <v>45474</v>
      </c>
      <c r="C2313" t="s">
        <v>855</v>
      </c>
      <c r="D2313" t="s">
        <v>1878</v>
      </c>
      <c r="E2313">
        <v>159</v>
      </c>
      <c r="F2313" t="s">
        <v>5812</v>
      </c>
      <c r="G2313">
        <v>159</v>
      </c>
      <c r="H2313">
        <v>681.36959999999999</v>
      </c>
      <c r="N2313">
        <v>681.36959999999999</v>
      </c>
      <c r="O2313" s="1">
        <v>45095</v>
      </c>
      <c r="P2313">
        <f>IF(ISBLANK(ReconciliationData[[#This Row],[Invoice_ID]]),1,0)</f>
        <v>0</v>
      </c>
      <c r="Q2313">
        <f>IF(AND(NOT(ISBLANK(ReconciliationData[[#This Row],[Billed_Units]])),ReconciliationData[[#This Row],[ordered_units]]&lt;&gt;ReconciliationData[[#This Row],[Billed_Units]]),1,0)</f>
        <v>0</v>
      </c>
      <c r="R23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3">
        <f>IF(AND(NOT(ISBLANK(ReconciliationData[[#This Row],[Contract_Price]])),ReconciliationData[[#This Row],[Billed_Price]]&lt;&gt;ReconciliationData[[#This Row],[Contract_Price]]),1,0)</f>
        <v>0</v>
      </c>
      <c r="T2313">
        <f>IF(AND(NOT(ISBLANK(ReconciliationData[[#This Row],[End_Date]])),ReconciliationData[[#This Row],[Order_Date]]&gt;ReconciliationData[[#This Row],[End_Date]]),1,0)</f>
        <v>0</v>
      </c>
      <c r="U2313">
        <f>IF(AND(NOT(ISBLANK(ReconciliationData[[#This Row],[last_return_date]])),ReconciliationData[[#This Row],[last_return_date]]&gt;ReconciliationData[[#This Row],[Order_Date]]+60),1,0)</f>
        <v>0</v>
      </c>
      <c r="V2313">
        <f>IF(ReconciliationData[[#This Row],[total_returned_units]]&gt;ReconciliationData[[#This Row],[ordered_units]],1,0)</f>
        <v>0</v>
      </c>
      <c r="W23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13">
        <f>ReconciliationData[[#This Row],[Billed_Units]]*ReconciliationData[[#This Row],[Billed_Price]]</f>
        <v>108337.76639999999</v>
      </c>
      <c r="Y2313">
        <f>ReconciliationData[[#This Row],[ordered_units]]*ReconciliationData[[#This Row],[List_Price]]</f>
        <v>108337.76639999999</v>
      </c>
      <c r="Z2313">
        <f>ReconciliationData[[#This Row],[billed_revenue]]-ReconciliationData[[#This Row],[expected_revenue]]</f>
        <v>0</v>
      </c>
      <c r="AA23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13" t="str">
        <f>IF(ReconciliationData[[#This Row],[severity_score]]=0,"LOW",
 IF(ReconciliationData[[#This Row],[severity_score]]&lt;=5,"MEDIUM","HIGH"))</f>
        <v>LOW</v>
      </c>
      <c r="AC2313" t="str">
        <f>TEXT(ReconciliationData[[#This Row],[Order_Date]],"YYYY-MM")</f>
        <v>2024-07</v>
      </c>
    </row>
    <row r="2314" spans="1:29">
      <c r="A2314" t="s">
        <v>5813</v>
      </c>
      <c r="B2314" s="1">
        <v>44947</v>
      </c>
      <c r="C2314" t="s">
        <v>2497</v>
      </c>
      <c r="D2314" t="s">
        <v>430</v>
      </c>
      <c r="E2314">
        <v>141</v>
      </c>
      <c r="F2314" t="s">
        <v>5814</v>
      </c>
      <c r="G2314">
        <v>141</v>
      </c>
      <c r="H2314">
        <v>904.00099999999998</v>
      </c>
      <c r="I2314">
        <v>9</v>
      </c>
      <c r="J2314" s="1">
        <v>45213</v>
      </c>
      <c r="N2314">
        <v>904.00099999999998</v>
      </c>
      <c r="O2314" s="1">
        <v>44831</v>
      </c>
      <c r="P2314">
        <f>IF(ISBLANK(ReconciliationData[[#This Row],[Invoice_ID]]),1,0)</f>
        <v>0</v>
      </c>
      <c r="Q2314">
        <f>IF(AND(NOT(ISBLANK(ReconciliationData[[#This Row],[Billed_Units]])),ReconciliationData[[#This Row],[ordered_units]]&lt;&gt;ReconciliationData[[#This Row],[Billed_Units]]),1,0)</f>
        <v>0</v>
      </c>
      <c r="R23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4">
        <f>IF(AND(NOT(ISBLANK(ReconciliationData[[#This Row],[Contract_Price]])),ReconciliationData[[#This Row],[Billed_Price]]&lt;&gt;ReconciliationData[[#This Row],[Contract_Price]]),1,0)</f>
        <v>0</v>
      </c>
      <c r="T2314">
        <f>IF(AND(NOT(ISBLANK(ReconciliationData[[#This Row],[End_Date]])),ReconciliationData[[#This Row],[Order_Date]]&gt;ReconciliationData[[#This Row],[End_Date]]),1,0)</f>
        <v>0</v>
      </c>
      <c r="U2314">
        <f>IF(AND(NOT(ISBLANK(ReconciliationData[[#This Row],[last_return_date]])),ReconciliationData[[#This Row],[last_return_date]]&gt;ReconciliationData[[#This Row],[Order_Date]]+60),1,0)</f>
        <v>1</v>
      </c>
      <c r="V2314">
        <f>IF(ReconciliationData[[#This Row],[total_returned_units]]&gt;ReconciliationData[[#This Row],[ordered_units]],1,0)</f>
        <v>0</v>
      </c>
      <c r="W23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14">
        <f>ReconciliationData[[#This Row],[Billed_Units]]*ReconciliationData[[#This Row],[Billed_Price]]</f>
        <v>127464.141</v>
      </c>
      <c r="Y2314">
        <f>ReconciliationData[[#This Row],[ordered_units]]*ReconciliationData[[#This Row],[List_Price]]</f>
        <v>127464.141</v>
      </c>
      <c r="Z2314">
        <f>ReconciliationData[[#This Row],[billed_revenue]]-ReconciliationData[[#This Row],[expected_revenue]]</f>
        <v>0</v>
      </c>
      <c r="AA23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314" t="str">
        <f>IF(ReconciliationData[[#This Row],[severity_score]]=0,"LOW",
 IF(ReconciliationData[[#This Row],[severity_score]]&lt;=5,"MEDIUM","HIGH"))</f>
        <v>MEDIUM</v>
      </c>
      <c r="AC2314" t="str">
        <f>TEXT(ReconciliationData[[#This Row],[Order_Date]],"YYYY-MM")</f>
        <v>2023-01</v>
      </c>
    </row>
    <row r="2315" spans="1:29">
      <c r="A2315" t="s">
        <v>5815</v>
      </c>
      <c r="B2315" s="1">
        <v>45059</v>
      </c>
      <c r="C2315" t="s">
        <v>1223</v>
      </c>
      <c r="D2315" t="s">
        <v>1273</v>
      </c>
      <c r="E2315">
        <v>111</v>
      </c>
      <c r="F2315" t="s">
        <v>5816</v>
      </c>
      <c r="G2315">
        <v>106</v>
      </c>
      <c r="H2315">
        <v>1040.4287999999999</v>
      </c>
      <c r="N2315">
        <v>1040.4287999999999</v>
      </c>
      <c r="O2315" s="1">
        <v>45016</v>
      </c>
      <c r="P2315">
        <f>IF(ISBLANK(ReconciliationData[[#This Row],[Invoice_ID]]),1,0)</f>
        <v>0</v>
      </c>
      <c r="Q2315">
        <f>IF(AND(NOT(ISBLANK(ReconciliationData[[#This Row],[Billed_Units]])),ReconciliationData[[#This Row],[ordered_units]]&lt;&gt;ReconciliationData[[#This Row],[Billed_Units]]),1,0)</f>
        <v>1</v>
      </c>
      <c r="R23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5">
        <f>IF(AND(NOT(ISBLANK(ReconciliationData[[#This Row],[Contract_Price]])),ReconciliationData[[#This Row],[Billed_Price]]&lt;&gt;ReconciliationData[[#This Row],[Contract_Price]]),1,0)</f>
        <v>0</v>
      </c>
      <c r="T2315">
        <f>IF(AND(NOT(ISBLANK(ReconciliationData[[#This Row],[End_Date]])),ReconciliationData[[#This Row],[Order_Date]]&gt;ReconciliationData[[#This Row],[End_Date]]),1,0)</f>
        <v>0</v>
      </c>
      <c r="U2315">
        <f>IF(AND(NOT(ISBLANK(ReconciliationData[[#This Row],[last_return_date]])),ReconciliationData[[#This Row],[last_return_date]]&gt;ReconciliationData[[#This Row],[Order_Date]]+60),1,0)</f>
        <v>0</v>
      </c>
      <c r="V2315">
        <f>IF(ReconciliationData[[#This Row],[total_returned_units]]&gt;ReconciliationData[[#This Row],[ordered_units]],1,0)</f>
        <v>0</v>
      </c>
      <c r="W23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15">
        <f>ReconciliationData[[#This Row],[Billed_Units]]*ReconciliationData[[#This Row],[Billed_Price]]</f>
        <v>110285.45279999998</v>
      </c>
      <c r="Y2315">
        <f>ReconciliationData[[#This Row],[ordered_units]]*ReconciliationData[[#This Row],[List_Price]]</f>
        <v>115487.59679999998</v>
      </c>
      <c r="Z2315">
        <f>ReconciliationData[[#This Row],[billed_revenue]]-ReconciliationData[[#This Row],[expected_revenue]]</f>
        <v>-5202.1440000000002</v>
      </c>
      <c r="AA23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315" t="str">
        <f>IF(ReconciliationData[[#This Row],[severity_score]]=0,"LOW",
 IF(ReconciliationData[[#This Row],[severity_score]]&lt;=5,"MEDIUM","HIGH"))</f>
        <v>HIGH</v>
      </c>
      <c r="AC2315" t="str">
        <f>TEXT(ReconciliationData[[#This Row],[Order_Date]],"YYYY-MM")</f>
        <v>2023-05</v>
      </c>
    </row>
    <row r="2316" spans="1:29">
      <c r="A2316" t="s">
        <v>5817</v>
      </c>
      <c r="B2316" s="1">
        <v>45382</v>
      </c>
      <c r="C2316" t="s">
        <v>555</v>
      </c>
      <c r="D2316" t="s">
        <v>556</v>
      </c>
      <c r="E2316">
        <v>37</v>
      </c>
      <c r="F2316" t="s">
        <v>5818</v>
      </c>
      <c r="G2316">
        <v>37</v>
      </c>
      <c r="H2316">
        <v>664.57040000000006</v>
      </c>
      <c r="N2316">
        <v>664.57040000000006</v>
      </c>
      <c r="O2316" s="1">
        <v>45066</v>
      </c>
      <c r="P2316">
        <f>IF(ISBLANK(ReconciliationData[[#This Row],[Invoice_ID]]),1,0)</f>
        <v>0</v>
      </c>
      <c r="Q2316">
        <f>IF(AND(NOT(ISBLANK(ReconciliationData[[#This Row],[Billed_Units]])),ReconciliationData[[#This Row],[ordered_units]]&lt;&gt;ReconciliationData[[#This Row],[Billed_Units]]),1,0)</f>
        <v>0</v>
      </c>
      <c r="R23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6">
        <f>IF(AND(NOT(ISBLANK(ReconciliationData[[#This Row],[Contract_Price]])),ReconciliationData[[#This Row],[Billed_Price]]&lt;&gt;ReconciliationData[[#This Row],[Contract_Price]]),1,0)</f>
        <v>0</v>
      </c>
      <c r="T2316">
        <f>IF(AND(NOT(ISBLANK(ReconciliationData[[#This Row],[End_Date]])),ReconciliationData[[#This Row],[Order_Date]]&gt;ReconciliationData[[#This Row],[End_Date]]),1,0)</f>
        <v>0</v>
      </c>
      <c r="U2316">
        <f>IF(AND(NOT(ISBLANK(ReconciliationData[[#This Row],[last_return_date]])),ReconciliationData[[#This Row],[last_return_date]]&gt;ReconciliationData[[#This Row],[Order_Date]]+60),1,0)</f>
        <v>0</v>
      </c>
      <c r="V2316">
        <f>IF(ReconciliationData[[#This Row],[total_returned_units]]&gt;ReconciliationData[[#This Row],[ordered_units]],1,0)</f>
        <v>0</v>
      </c>
      <c r="W23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16">
        <f>ReconciliationData[[#This Row],[Billed_Units]]*ReconciliationData[[#This Row],[Billed_Price]]</f>
        <v>24589.104800000001</v>
      </c>
      <c r="Y2316">
        <f>ReconciliationData[[#This Row],[ordered_units]]*ReconciliationData[[#This Row],[List_Price]]</f>
        <v>24589.104800000001</v>
      </c>
      <c r="Z2316">
        <f>ReconciliationData[[#This Row],[billed_revenue]]-ReconciliationData[[#This Row],[expected_revenue]]</f>
        <v>0</v>
      </c>
      <c r="AA23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16" t="str">
        <f>IF(ReconciliationData[[#This Row],[severity_score]]=0,"LOW",
 IF(ReconciliationData[[#This Row],[severity_score]]&lt;=5,"MEDIUM","HIGH"))</f>
        <v>LOW</v>
      </c>
      <c r="AC2316" t="str">
        <f>TEXT(ReconciliationData[[#This Row],[Order_Date]],"YYYY-MM")</f>
        <v>2024-03</v>
      </c>
    </row>
    <row r="2317" spans="1:29">
      <c r="A2317" t="s">
        <v>5819</v>
      </c>
      <c r="B2317" s="1">
        <v>45333</v>
      </c>
      <c r="C2317" t="s">
        <v>3003</v>
      </c>
      <c r="D2317" t="s">
        <v>694</v>
      </c>
      <c r="E2317">
        <v>170</v>
      </c>
      <c r="F2317" t="s">
        <v>5820</v>
      </c>
      <c r="G2317">
        <v>170</v>
      </c>
      <c r="H2317">
        <v>618.375</v>
      </c>
      <c r="N2317">
        <v>618.375</v>
      </c>
      <c r="O2317" s="1">
        <v>45124</v>
      </c>
      <c r="P2317">
        <f>IF(ISBLANK(ReconciliationData[[#This Row],[Invoice_ID]]),1,0)</f>
        <v>0</v>
      </c>
      <c r="Q2317">
        <f>IF(AND(NOT(ISBLANK(ReconciliationData[[#This Row],[Billed_Units]])),ReconciliationData[[#This Row],[ordered_units]]&lt;&gt;ReconciliationData[[#This Row],[Billed_Units]]),1,0)</f>
        <v>0</v>
      </c>
      <c r="R23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7">
        <f>IF(AND(NOT(ISBLANK(ReconciliationData[[#This Row],[Contract_Price]])),ReconciliationData[[#This Row],[Billed_Price]]&lt;&gt;ReconciliationData[[#This Row],[Contract_Price]]),1,0)</f>
        <v>0</v>
      </c>
      <c r="T2317">
        <f>IF(AND(NOT(ISBLANK(ReconciliationData[[#This Row],[End_Date]])),ReconciliationData[[#This Row],[Order_Date]]&gt;ReconciliationData[[#This Row],[End_Date]]),1,0)</f>
        <v>0</v>
      </c>
      <c r="U2317">
        <f>IF(AND(NOT(ISBLANK(ReconciliationData[[#This Row],[last_return_date]])),ReconciliationData[[#This Row],[last_return_date]]&gt;ReconciliationData[[#This Row],[Order_Date]]+60),1,0)</f>
        <v>0</v>
      </c>
      <c r="V2317">
        <f>IF(ReconciliationData[[#This Row],[total_returned_units]]&gt;ReconciliationData[[#This Row],[ordered_units]],1,0)</f>
        <v>0</v>
      </c>
      <c r="W23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17">
        <f>ReconciliationData[[#This Row],[Billed_Units]]*ReconciliationData[[#This Row],[Billed_Price]]</f>
        <v>105123.75</v>
      </c>
      <c r="Y2317">
        <f>ReconciliationData[[#This Row],[ordered_units]]*ReconciliationData[[#This Row],[List_Price]]</f>
        <v>105123.75</v>
      </c>
      <c r="Z2317">
        <f>ReconciliationData[[#This Row],[billed_revenue]]-ReconciliationData[[#This Row],[expected_revenue]]</f>
        <v>0</v>
      </c>
      <c r="AA23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17" t="str">
        <f>IF(ReconciliationData[[#This Row],[severity_score]]=0,"LOW",
 IF(ReconciliationData[[#This Row],[severity_score]]&lt;=5,"MEDIUM","HIGH"))</f>
        <v>LOW</v>
      </c>
      <c r="AC2317" t="str">
        <f>TEXT(ReconciliationData[[#This Row],[Order_Date]],"YYYY-MM")</f>
        <v>2024-02</v>
      </c>
    </row>
    <row r="2318" spans="1:29">
      <c r="A2318" t="s">
        <v>5821</v>
      </c>
      <c r="B2318" s="1">
        <v>45461</v>
      </c>
      <c r="C2318" t="s">
        <v>929</v>
      </c>
      <c r="D2318" t="s">
        <v>360</v>
      </c>
      <c r="E2318">
        <v>69</v>
      </c>
      <c r="F2318" t="s">
        <v>5822</v>
      </c>
      <c r="G2318">
        <v>64</v>
      </c>
      <c r="H2318">
        <v>465.21179999999998</v>
      </c>
      <c r="N2318">
        <v>465.21179999999998</v>
      </c>
      <c r="O2318" s="1">
        <v>45137</v>
      </c>
      <c r="P2318">
        <f>IF(ISBLANK(ReconciliationData[[#This Row],[Invoice_ID]]),1,0)</f>
        <v>0</v>
      </c>
      <c r="Q2318">
        <f>IF(AND(NOT(ISBLANK(ReconciliationData[[#This Row],[Billed_Units]])),ReconciliationData[[#This Row],[ordered_units]]&lt;&gt;ReconciliationData[[#This Row],[Billed_Units]]),1,0)</f>
        <v>1</v>
      </c>
      <c r="R23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8">
        <f>IF(AND(NOT(ISBLANK(ReconciliationData[[#This Row],[Contract_Price]])),ReconciliationData[[#This Row],[Billed_Price]]&lt;&gt;ReconciliationData[[#This Row],[Contract_Price]]),1,0)</f>
        <v>0</v>
      </c>
      <c r="T2318">
        <f>IF(AND(NOT(ISBLANK(ReconciliationData[[#This Row],[End_Date]])),ReconciliationData[[#This Row],[Order_Date]]&gt;ReconciliationData[[#This Row],[End_Date]]),1,0)</f>
        <v>0</v>
      </c>
      <c r="U2318">
        <f>IF(AND(NOT(ISBLANK(ReconciliationData[[#This Row],[last_return_date]])),ReconciliationData[[#This Row],[last_return_date]]&gt;ReconciliationData[[#This Row],[Order_Date]]+60),1,0)</f>
        <v>0</v>
      </c>
      <c r="V2318">
        <f>IF(ReconciliationData[[#This Row],[total_returned_units]]&gt;ReconciliationData[[#This Row],[ordered_units]],1,0)</f>
        <v>0</v>
      </c>
      <c r="W23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18">
        <f>ReconciliationData[[#This Row],[Billed_Units]]*ReconciliationData[[#This Row],[Billed_Price]]</f>
        <v>29773.555199999999</v>
      </c>
      <c r="Y2318">
        <f>ReconciliationData[[#This Row],[ordered_units]]*ReconciliationData[[#This Row],[List_Price]]</f>
        <v>32099.6142</v>
      </c>
      <c r="Z2318">
        <f>ReconciliationData[[#This Row],[billed_revenue]]-ReconciliationData[[#This Row],[expected_revenue]]</f>
        <v>-2326.0590000000011</v>
      </c>
      <c r="AA23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318" t="str">
        <f>IF(ReconciliationData[[#This Row],[severity_score]]=0,"LOW",
 IF(ReconciliationData[[#This Row],[severity_score]]&lt;=5,"MEDIUM","HIGH"))</f>
        <v>HIGH</v>
      </c>
      <c r="AC2318" t="str">
        <f>TEXT(ReconciliationData[[#This Row],[Order_Date]],"YYYY-MM")</f>
        <v>2024-06</v>
      </c>
    </row>
    <row r="2319" spans="1:29">
      <c r="A2319" t="s">
        <v>5823</v>
      </c>
      <c r="B2319" s="1">
        <v>45136</v>
      </c>
      <c r="C2319" t="s">
        <v>1908</v>
      </c>
      <c r="D2319" t="s">
        <v>337</v>
      </c>
      <c r="E2319">
        <v>120</v>
      </c>
      <c r="F2319" t="s">
        <v>5824</v>
      </c>
      <c r="G2319">
        <v>120</v>
      </c>
      <c r="H2319">
        <v>1040.9412</v>
      </c>
      <c r="I2319">
        <v>12</v>
      </c>
      <c r="J2319" s="1">
        <v>45295</v>
      </c>
      <c r="N2319">
        <v>1040.9412</v>
      </c>
      <c r="O2319" s="1">
        <v>44983</v>
      </c>
      <c r="P2319">
        <f>IF(ISBLANK(ReconciliationData[[#This Row],[Invoice_ID]]),1,0)</f>
        <v>0</v>
      </c>
      <c r="Q2319">
        <f>IF(AND(NOT(ISBLANK(ReconciliationData[[#This Row],[Billed_Units]])),ReconciliationData[[#This Row],[ordered_units]]&lt;&gt;ReconciliationData[[#This Row],[Billed_Units]]),1,0)</f>
        <v>0</v>
      </c>
      <c r="R23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19">
        <f>IF(AND(NOT(ISBLANK(ReconciliationData[[#This Row],[Contract_Price]])),ReconciliationData[[#This Row],[Billed_Price]]&lt;&gt;ReconciliationData[[#This Row],[Contract_Price]]),1,0)</f>
        <v>0</v>
      </c>
      <c r="T2319">
        <f>IF(AND(NOT(ISBLANK(ReconciliationData[[#This Row],[End_Date]])),ReconciliationData[[#This Row],[Order_Date]]&gt;ReconciliationData[[#This Row],[End_Date]]),1,0)</f>
        <v>0</v>
      </c>
      <c r="U2319">
        <f>IF(AND(NOT(ISBLANK(ReconciliationData[[#This Row],[last_return_date]])),ReconciliationData[[#This Row],[last_return_date]]&gt;ReconciliationData[[#This Row],[Order_Date]]+60),1,0)</f>
        <v>1</v>
      </c>
      <c r="V2319">
        <f>IF(ReconciliationData[[#This Row],[total_returned_units]]&gt;ReconciliationData[[#This Row],[ordered_units]],1,0)</f>
        <v>0</v>
      </c>
      <c r="W23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19">
        <f>ReconciliationData[[#This Row],[Billed_Units]]*ReconciliationData[[#This Row],[Billed_Price]]</f>
        <v>124912.944</v>
      </c>
      <c r="Y2319">
        <f>ReconciliationData[[#This Row],[ordered_units]]*ReconciliationData[[#This Row],[List_Price]]</f>
        <v>124912.944</v>
      </c>
      <c r="Z2319">
        <f>ReconciliationData[[#This Row],[billed_revenue]]-ReconciliationData[[#This Row],[expected_revenue]]</f>
        <v>0</v>
      </c>
      <c r="AA23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319" t="str">
        <f>IF(ReconciliationData[[#This Row],[severity_score]]=0,"LOW",
 IF(ReconciliationData[[#This Row],[severity_score]]&lt;=5,"MEDIUM","HIGH"))</f>
        <v>MEDIUM</v>
      </c>
      <c r="AC2319" t="str">
        <f>TEXT(ReconciliationData[[#This Row],[Order_Date]],"YYYY-MM")</f>
        <v>2023-07</v>
      </c>
    </row>
    <row r="2320" spans="1:29">
      <c r="A2320" t="s">
        <v>5825</v>
      </c>
      <c r="B2320" s="1">
        <v>45571</v>
      </c>
      <c r="C2320" t="s">
        <v>3589</v>
      </c>
      <c r="D2320" t="s">
        <v>3297</v>
      </c>
      <c r="E2320">
        <v>13</v>
      </c>
      <c r="F2320" t="s">
        <v>5826</v>
      </c>
      <c r="G2320">
        <v>13</v>
      </c>
      <c r="H2320">
        <v>933.43190000000004</v>
      </c>
      <c r="N2320">
        <v>933.43190000000004</v>
      </c>
      <c r="O2320" s="1">
        <v>45011</v>
      </c>
      <c r="P2320">
        <f>IF(ISBLANK(ReconciliationData[[#This Row],[Invoice_ID]]),1,0)</f>
        <v>0</v>
      </c>
      <c r="Q2320">
        <f>IF(AND(NOT(ISBLANK(ReconciliationData[[#This Row],[Billed_Units]])),ReconciliationData[[#This Row],[ordered_units]]&lt;&gt;ReconciliationData[[#This Row],[Billed_Units]]),1,0)</f>
        <v>0</v>
      </c>
      <c r="R23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0">
        <f>IF(AND(NOT(ISBLANK(ReconciliationData[[#This Row],[Contract_Price]])),ReconciliationData[[#This Row],[Billed_Price]]&lt;&gt;ReconciliationData[[#This Row],[Contract_Price]]),1,0)</f>
        <v>0</v>
      </c>
      <c r="T2320">
        <f>IF(AND(NOT(ISBLANK(ReconciliationData[[#This Row],[End_Date]])),ReconciliationData[[#This Row],[Order_Date]]&gt;ReconciliationData[[#This Row],[End_Date]]),1,0)</f>
        <v>0</v>
      </c>
      <c r="U2320">
        <f>IF(AND(NOT(ISBLANK(ReconciliationData[[#This Row],[last_return_date]])),ReconciliationData[[#This Row],[last_return_date]]&gt;ReconciliationData[[#This Row],[Order_Date]]+60),1,0)</f>
        <v>0</v>
      </c>
      <c r="V2320">
        <f>IF(ReconciliationData[[#This Row],[total_returned_units]]&gt;ReconciliationData[[#This Row],[ordered_units]],1,0)</f>
        <v>0</v>
      </c>
      <c r="W23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0">
        <f>ReconciliationData[[#This Row],[Billed_Units]]*ReconciliationData[[#This Row],[Billed_Price]]</f>
        <v>12134.6147</v>
      </c>
      <c r="Y2320">
        <f>ReconciliationData[[#This Row],[ordered_units]]*ReconciliationData[[#This Row],[List_Price]]</f>
        <v>12134.6147</v>
      </c>
      <c r="Z2320">
        <f>ReconciliationData[[#This Row],[billed_revenue]]-ReconciliationData[[#This Row],[expected_revenue]]</f>
        <v>0</v>
      </c>
      <c r="AA23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0" t="str">
        <f>IF(ReconciliationData[[#This Row],[severity_score]]=0,"LOW",
 IF(ReconciliationData[[#This Row],[severity_score]]&lt;=5,"MEDIUM","HIGH"))</f>
        <v>LOW</v>
      </c>
      <c r="AC2320" t="str">
        <f>TEXT(ReconciliationData[[#This Row],[Order_Date]],"YYYY-MM")</f>
        <v>2024-10</v>
      </c>
    </row>
    <row r="2321" spans="1:29">
      <c r="A2321" t="s">
        <v>5827</v>
      </c>
      <c r="B2321" s="1">
        <v>45141</v>
      </c>
      <c r="C2321" t="s">
        <v>1429</v>
      </c>
      <c r="D2321" t="s">
        <v>624</v>
      </c>
      <c r="E2321">
        <v>89</v>
      </c>
      <c r="F2321" t="s">
        <v>5828</v>
      </c>
      <c r="G2321">
        <v>89</v>
      </c>
      <c r="H2321">
        <v>147.17669999999998</v>
      </c>
      <c r="N2321">
        <v>147.17669999999998</v>
      </c>
      <c r="O2321" s="1">
        <v>45039</v>
      </c>
      <c r="P2321">
        <f>IF(ISBLANK(ReconciliationData[[#This Row],[Invoice_ID]]),1,0)</f>
        <v>0</v>
      </c>
      <c r="Q2321">
        <f>IF(AND(NOT(ISBLANK(ReconciliationData[[#This Row],[Billed_Units]])),ReconciliationData[[#This Row],[ordered_units]]&lt;&gt;ReconciliationData[[#This Row],[Billed_Units]]),1,0)</f>
        <v>0</v>
      </c>
      <c r="R23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1">
        <f>IF(AND(NOT(ISBLANK(ReconciliationData[[#This Row],[Contract_Price]])),ReconciliationData[[#This Row],[Billed_Price]]&lt;&gt;ReconciliationData[[#This Row],[Contract_Price]]),1,0)</f>
        <v>0</v>
      </c>
      <c r="T2321">
        <f>IF(AND(NOT(ISBLANK(ReconciliationData[[#This Row],[End_Date]])),ReconciliationData[[#This Row],[Order_Date]]&gt;ReconciliationData[[#This Row],[End_Date]]),1,0)</f>
        <v>0</v>
      </c>
      <c r="U2321">
        <f>IF(AND(NOT(ISBLANK(ReconciliationData[[#This Row],[last_return_date]])),ReconciliationData[[#This Row],[last_return_date]]&gt;ReconciliationData[[#This Row],[Order_Date]]+60),1,0)</f>
        <v>0</v>
      </c>
      <c r="V2321">
        <f>IF(ReconciliationData[[#This Row],[total_returned_units]]&gt;ReconciliationData[[#This Row],[ordered_units]],1,0)</f>
        <v>0</v>
      </c>
      <c r="W23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1">
        <f>ReconciliationData[[#This Row],[Billed_Units]]*ReconciliationData[[#This Row],[Billed_Price]]</f>
        <v>13098.726299999998</v>
      </c>
      <c r="Y2321">
        <f>ReconciliationData[[#This Row],[ordered_units]]*ReconciliationData[[#This Row],[List_Price]]</f>
        <v>13098.726299999998</v>
      </c>
      <c r="Z2321">
        <f>ReconciliationData[[#This Row],[billed_revenue]]-ReconciliationData[[#This Row],[expected_revenue]]</f>
        <v>0</v>
      </c>
      <c r="AA23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1" t="str">
        <f>IF(ReconciliationData[[#This Row],[severity_score]]=0,"LOW",
 IF(ReconciliationData[[#This Row],[severity_score]]&lt;=5,"MEDIUM","HIGH"))</f>
        <v>LOW</v>
      </c>
      <c r="AC2321" t="str">
        <f>TEXT(ReconciliationData[[#This Row],[Order_Date]],"YYYY-MM")</f>
        <v>2023-08</v>
      </c>
    </row>
    <row r="2322" spans="1:29">
      <c r="A2322" t="s">
        <v>5829</v>
      </c>
      <c r="B2322" s="1">
        <v>45350</v>
      </c>
      <c r="C2322" t="s">
        <v>2352</v>
      </c>
      <c r="D2322" t="s">
        <v>479</v>
      </c>
      <c r="E2322">
        <v>188</v>
      </c>
      <c r="F2322" t="s">
        <v>5830</v>
      </c>
      <c r="G2322">
        <v>188</v>
      </c>
      <c r="H2322">
        <v>1014.5718000000001</v>
      </c>
      <c r="N2322">
        <v>1014.5718000000001</v>
      </c>
      <c r="O2322" s="1">
        <v>45035</v>
      </c>
      <c r="P2322">
        <f>IF(ISBLANK(ReconciliationData[[#This Row],[Invoice_ID]]),1,0)</f>
        <v>0</v>
      </c>
      <c r="Q2322">
        <f>IF(AND(NOT(ISBLANK(ReconciliationData[[#This Row],[Billed_Units]])),ReconciliationData[[#This Row],[ordered_units]]&lt;&gt;ReconciliationData[[#This Row],[Billed_Units]]),1,0)</f>
        <v>0</v>
      </c>
      <c r="R23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2">
        <f>IF(AND(NOT(ISBLANK(ReconciliationData[[#This Row],[Contract_Price]])),ReconciliationData[[#This Row],[Billed_Price]]&lt;&gt;ReconciliationData[[#This Row],[Contract_Price]]),1,0)</f>
        <v>0</v>
      </c>
      <c r="T2322">
        <f>IF(AND(NOT(ISBLANK(ReconciliationData[[#This Row],[End_Date]])),ReconciliationData[[#This Row],[Order_Date]]&gt;ReconciliationData[[#This Row],[End_Date]]),1,0)</f>
        <v>0</v>
      </c>
      <c r="U2322">
        <f>IF(AND(NOT(ISBLANK(ReconciliationData[[#This Row],[last_return_date]])),ReconciliationData[[#This Row],[last_return_date]]&gt;ReconciliationData[[#This Row],[Order_Date]]+60),1,0)</f>
        <v>0</v>
      </c>
      <c r="V2322">
        <f>IF(ReconciliationData[[#This Row],[total_returned_units]]&gt;ReconciliationData[[#This Row],[ordered_units]],1,0)</f>
        <v>0</v>
      </c>
      <c r="W23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2">
        <f>ReconciliationData[[#This Row],[Billed_Units]]*ReconciliationData[[#This Row],[Billed_Price]]</f>
        <v>190739.49840000001</v>
      </c>
      <c r="Y2322">
        <f>ReconciliationData[[#This Row],[ordered_units]]*ReconciliationData[[#This Row],[List_Price]]</f>
        <v>190739.49840000001</v>
      </c>
      <c r="Z2322">
        <f>ReconciliationData[[#This Row],[billed_revenue]]-ReconciliationData[[#This Row],[expected_revenue]]</f>
        <v>0</v>
      </c>
      <c r="AA23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2" t="str">
        <f>IF(ReconciliationData[[#This Row],[severity_score]]=0,"LOW",
 IF(ReconciliationData[[#This Row],[severity_score]]&lt;=5,"MEDIUM","HIGH"))</f>
        <v>LOW</v>
      </c>
      <c r="AC2322" t="str">
        <f>TEXT(ReconciliationData[[#This Row],[Order_Date]],"YYYY-MM")</f>
        <v>2024-02</v>
      </c>
    </row>
    <row r="2323" spans="1:29">
      <c r="A2323" t="s">
        <v>5831</v>
      </c>
      <c r="B2323" s="1">
        <v>45348</v>
      </c>
      <c r="C2323" t="s">
        <v>1558</v>
      </c>
      <c r="D2323" t="s">
        <v>146</v>
      </c>
      <c r="E2323">
        <v>124</v>
      </c>
      <c r="F2323" t="s">
        <v>5832</v>
      </c>
      <c r="G2323">
        <v>124</v>
      </c>
      <c r="H2323">
        <v>849.43949999999995</v>
      </c>
      <c r="N2323">
        <v>849.43949999999995</v>
      </c>
      <c r="O2323" s="1">
        <v>45114</v>
      </c>
      <c r="P2323">
        <f>IF(ISBLANK(ReconciliationData[[#This Row],[Invoice_ID]]),1,0)</f>
        <v>0</v>
      </c>
      <c r="Q2323">
        <f>IF(AND(NOT(ISBLANK(ReconciliationData[[#This Row],[Billed_Units]])),ReconciliationData[[#This Row],[ordered_units]]&lt;&gt;ReconciliationData[[#This Row],[Billed_Units]]),1,0)</f>
        <v>0</v>
      </c>
      <c r="R23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3">
        <f>IF(AND(NOT(ISBLANK(ReconciliationData[[#This Row],[Contract_Price]])),ReconciliationData[[#This Row],[Billed_Price]]&lt;&gt;ReconciliationData[[#This Row],[Contract_Price]]),1,0)</f>
        <v>0</v>
      </c>
      <c r="T2323">
        <f>IF(AND(NOT(ISBLANK(ReconciliationData[[#This Row],[End_Date]])),ReconciliationData[[#This Row],[Order_Date]]&gt;ReconciliationData[[#This Row],[End_Date]]),1,0)</f>
        <v>0</v>
      </c>
      <c r="U2323">
        <f>IF(AND(NOT(ISBLANK(ReconciliationData[[#This Row],[last_return_date]])),ReconciliationData[[#This Row],[last_return_date]]&gt;ReconciliationData[[#This Row],[Order_Date]]+60),1,0)</f>
        <v>0</v>
      </c>
      <c r="V2323">
        <f>IF(ReconciliationData[[#This Row],[total_returned_units]]&gt;ReconciliationData[[#This Row],[ordered_units]],1,0)</f>
        <v>0</v>
      </c>
      <c r="W23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3">
        <f>ReconciliationData[[#This Row],[Billed_Units]]*ReconciliationData[[#This Row],[Billed_Price]]</f>
        <v>105330.49799999999</v>
      </c>
      <c r="Y2323">
        <f>ReconciliationData[[#This Row],[ordered_units]]*ReconciliationData[[#This Row],[List_Price]]</f>
        <v>105330.49799999999</v>
      </c>
      <c r="Z2323">
        <f>ReconciliationData[[#This Row],[billed_revenue]]-ReconciliationData[[#This Row],[expected_revenue]]</f>
        <v>0</v>
      </c>
      <c r="AA23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3" t="str">
        <f>IF(ReconciliationData[[#This Row],[severity_score]]=0,"LOW",
 IF(ReconciliationData[[#This Row],[severity_score]]&lt;=5,"MEDIUM","HIGH"))</f>
        <v>LOW</v>
      </c>
      <c r="AC2323" t="str">
        <f>TEXT(ReconciliationData[[#This Row],[Order_Date]],"YYYY-MM")</f>
        <v>2024-02</v>
      </c>
    </row>
    <row r="2324" spans="1:29">
      <c r="A2324" t="s">
        <v>5833</v>
      </c>
      <c r="B2324" s="1">
        <v>45429</v>
      </c>
      <c r="C2324" t="s">
        <v>2200</v>
      </c>
      <c r="D2324" t="s">
        <v>3409</v>
      </c>
      <c r="E2324">
        <v>31</v>
      </c>
      <c r="F2324" t="s">
        <v>5834</v>
      </c>
      <c r="G2324">
        <v>31</v>
      </c>
      <c r="H2324">
        <v>104.9652</v>
      </c>
      <c r="N2324">
        <v>104.9652</v>
      </c>
      <c r="O2324" s="1">
        <v>45066</v>
      </c>
      <c r="P2324">
        <f>IF(ISBLANK(ReconciliationData[[#This Row],[Invoice_ID]]),1,0)</f>
        <v>0</v>
      </c>
      <c r="Q2324">
        <f>IF(AND(NOT(ISBLANK(ReconciliationData[[#This Row],[Billed_Units]])),ReconciliationData[[#This Row],[ordered_units]]&lt;&gt;ReconciliationData[[#This Row],[Billed_Units]]),1,0)</f>
        <v>0</v>
      </c>
      <c r="R23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4">
        <f>IF(AND(NOT(ISBLANK(ReconciliationData[[#This Row],[Contract_Price]])),ReconciliationData[[#This Row],[Billed_Price]]&lt;&gt;ReconciliationData[[#This Row],[Contract_Price]]),1,0)</f>
        <v>0</v>
      </c>
      <c r="T2324">
        <f>IF(AND(NOT(ISBLANK(ReconciliationData[[#This Row],[End_Date]])),ReconciliationData[[#This Row],[Order_Date]]&gt;ReconciliationData[[#This Row],[End_Date]]),1,0)</f>
        <v>0</v>
      </c>
      <c r="U2324">
        <f>IF(AND(NOT(ISBLANK(ReconciliationData[[#This Row],[last_return_date]])),ReconciliationData[[#This Row],[last_return_date]]&gt;ReconciliationData[[#This Row],[Order_Date]]+60),1,0)</f>
        <v>0</v>
      </c>
      <c r="V2324">
        <f>IF(ReconciliationData[[#This Row],[total_returned_units]]&gt;ReconciliationData[[#This Row],[ordered_units]],1,0)</f>
        <v>0</v>
      </c>
      <c r="W23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4">
        <f>ReconciliationData[[#This Row],[Billed_Units]]*ReconciliationData[[#This Row],[Billed_Price]]</f>
        <v>3253.9211999999998</v>
      </c>
      <c r="Y2324">
        <f>ReconciliationData[[#This Row],[ordered_units]]*ReconciliationData[[#This Row],[List_Price]]</f>
        <v>3253.9211999999998</v>
      </c>
      <c r="Z2324">
        <f>ReconciliationData[[#This Row],[billed_revenue]]-ReconciliationData[[#This Row],[expected_revenue]]</f>
        <v>0</v>
      </c>
      <c r="AA23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4" t="str">
        <f>IF(ReconciliationData[[#This Row],[severity_score]]=0,"LOW",
 IF(ReconciliationData[[#This Row],[severity_score]]&lt;=5,"MEDIUM","HIGH"))</f>
        <v>LOW</v>
      </c>
      <c r="AC2324" t="str">
        <f>TEXT(ReconciliationData[[#This Row],[Order_Date]],"YYYY-MM")</f>
        <v>2024-05</v>
      </c>
    </row>
    <row r="2325" spans="1:29">
      <c r="A2325" t="s">
        <v>5835</v>
      </c>
      <c r="B2325" s="1">
        <v>45052</v>
      </c>
      <c r="C2325" t="s">
        <v>336</v>
      </c>
      <c r="D2325" t="s">
        <v>1754</v>
      </c>
      <c r="E2325">
        <v>124</v>
      </c>
      <c r="F2325" t="s">
        <v>5836</v>
      </c>
      <c r="G2325">
        <v>124</v>
      </c>
      <c r="H2325">
        <v>1114.3462</v>
      </c>
      <c r="N2325">
        <v>1114.3462</v>
      </c>
      <c r="O2325" s="1">
        <v>45015</v>
      </c>
      <c r="P2325">
        <f>IF(ISBLANK(ReconciliationData[[#This Row],[Invoice_ID]]),1,0)</f>
        <v>0</v>
      </c>
      <c r="Q2325">
        <f>IF(AND(NOT(ISBLANK(ReconciliationData[[#This Row],[Billed_Units]])),ReconciliationData[[#This Row],[ordered_units]]&lt;&gt;ReconciliationData[[#This Row],[Billed_Units]]),1,0)</f>
        <v>0</v>
      </c>
      <c r="R23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5">
        <f>IF(AND(NOT(ISBLANK(ReconciliationData[[#This Row],[Contract_Price]])),ReconciliationData[[#This Row],[Billed_Price]]&lt;&gt;ReconciliationData[[#This Row],[Contract_Price]]),1,0)</f>
        <v>0</v>
      </c>
      <c r="T2325">
        <f>IF(AND(NOT(ISBLANK(ReconciliationData[[#This Row],[End_Date]])),ReconciliationData[[#This Row],[Order_Date]]&gt;ReconciliationData[[#This Row],[End_Date]]),1,0)</f>
        <v>0</v>
      </c>
      <c r="U2325">
        <f>IF(AND(NOT(ISBLANK(ReconciliationData[[#This Row],[last_return_date]])),ReconciliationData[[#This Row],[last_return_date]]&gt;ReconciliationData[[#This Row],[Order_Date]]+60),1,0)</f>
        <v>0</v>
      </c>
      <c r="V2325">
        <f>IF(ReconciliationData[[#This Row],[total_returned_units]]&gt;ReconciliationData[[#This Row],[ordered_units]],1,0)</f>
        <v>0</v>
      </c>
      <c r="W23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5">
        <f>ReconciliationData[[#This Row],[Billed_Units]]*ReconciliationData[[#This Row],[Billed_Price]]</f>
        <v>138178.92879999999</v>
      </c>
      <c r="Y2325">
        <f>ReconciliationData[[#This Row],[ordered_units]]*ReconciliationData[[#This Row],[List_Price]]</f>
        <v>138178.92879999999</v>
      </c>
      <c r="Z2325">
        <f>ReconciliationData[[#This Row],[billed_revenue]]-ReconciliationData[[#This Row],[expected_revenue]]</f>
        <v>0</v>
      </c>
      <c r="AA23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5" t="str">
        <f>IF(ReconciliationData[[#This Row],[severity_score]]=0,"LOW",
 IF(ReconciliationData[[#This Row],[severity_score]]&lt;=5,"MEDIUM","HIGH"))</f>
        <v>LOW</v>
      </c>
      <c r="AC2325" t="str">
        <f>TEXT(ReconciliationData[[#This Row],[Order_Date]],"YYYY-MM")</f>
        <v>2023-05</v>
      </c>
    </row>
    <row r="2326" spans="1:29">
      <c r="A2326" t="s">
        <v>5837</v>
      </c>
      <c r="B2326" s="1">
        <v>45128</v>
      </c>
      <c r="C2326" t="s">
        <v>2162</v>
      </c>
      <c r="D2326" t="s">
        <v>1495</v>
      </c>
      <c r="E2326">
        <v>107</v>
      </c>
      <c r="F2326" t="s">
        <v>5838</v>
      </c>
      <c r="G2326">
        <v>107</v>
      </c>
      <c r="H2326">
        <v>377.08350000000002</v>
      </c>
      <c r="N2326">
        <v>377.08350000000002</v>
      </c>
      <c r="O2326" s="1">
        <v>45064</v>
      </c>
      <c r="P2326">
        <f>IF(ISBLANK(ReconciliationData[[#This Row],[Invoice_ID]]),1,0)</f>
        <v>0</v>
      </c>
      <c r="Q2326">
        <f>IF(AND(NOT(ISBLANK(ReconciliationData[[#This Row],[Billed_Units]])),ReconciliationData[[#This Row],[ordered_units]]&lt;&gt;ReconciliationData[[#This Row],[Billed_Units]]),1,0)</f>
        <v>0</v>
      </c>
      <c r="R23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6">
        <f>IF(AND(NOT(ISBLANK(ReconciliationData[[#This Row],[Contract_Price]])),ReconciliationData[[#This Row],[Billed_Price]]&lt;&gt;ReconciliationData[[#This Row],[Contract_Price]]),1,0)</f>
        <v>0</v>
      </c>
      <c r="T2326">
        <f>IF(AND(NOT(ISBLANK(ReconciliationData[[#This Row],[End_Date]])),ReconciliationData[[#This Row],[Order_Date]]&gt;ReconciliationData[[#This Row],[End_Date]]),1,0)</f>
        <v>0</v>
      </c>
      <c r="U2326">
        <f>IF(AND(NOT(ISBLANK(ReconciliationData[[#This Row],[last_return_date]])),ReconciliationData[[#This Row],[last_return_date]]&gt;ReconciliationData[[#This Row],[Order_Date]]+60),1,0)</f>
        <v>0</v>
      </c>
      <c r="V2326">
        <f>IF(ReconciliationData[[#This Row],[total_returned_units]]&gt;ReconciliationData[[#This Row],[ordered_units]],1,0)</f>
        <v>0</v>
      </c>
      <c r="W23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6">
        <f>ReconciliationData[[#This Row],[Billed_Units]]*ReconciliationData[[#This Row],[Billed_Price]]</f>
        <v>40347.934500000003</v>
      </c>
      <c r="Y2326">
        <f>ReconciliationData[[#This Row],[ordered_units]]*ReconciliationData[[#This Row],[List_Price]]</f>
        <v>40347.934500000003</v>
      </c>
      <c r="Z2326">
        <f>ReconciliationData[[#This Row],[billed_revenue]]-ReconciliationData[[#This Row],[expected_revenue]]</f>
        <v>0</v>
      </c>
      <c r="AA23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6" t="str">
        <f>IF(ReconciliationData[[#This Row],[severity_score]]=0,"LOW",
 IF(ReconciliationData[[#This Row],[severity_score]]&lt;=5,"MEDIUM","HIGH"))</f>
        <v>LOW</v>
      </c>
      <c r="AC2326" t="str">
        <f>TEXT(ReconciliationData[[#This Row],[Order_Date]],"YYYY-MM")</f>
        <v>2023-07</v>
      </c>
    </row>
    <row r="2327" spans="1:29">
      <c r="A2327" t="s">
        <v>5839</v>
      </c>
      <c r="B2327" s="1">
        <v>45152</v>
      </c>
      <c r="C2327" t="s">
        <v>2789</v>
      </c>
      <c r="D2327" t="s">
        <v>908</v>
      </c>
      <c r="E2327">
        <v>187</v>
      </c>
      <c r="F2327" t="s">
        <v>5840</v>
      </c>
      <c r="G2327">
        <v>187</v>
      </c>
      <c r="H2327">
        <v>565.82459999999992</v>
      </c>
      <c r="N2327">
        <v>565.82459999999992</v>
      </c>
      <c r="O2327" s="1">
        <v>45013</v>
      </c>
      <c r="P2327">
        <f>IF(ISBLANK(ReconciliationData[[#This Row],[Invoice_ID]]),1,0)</f>
        <v>0</v>
      </c>
      <c r="Q2327">
        <f>IF(AND(NOT(ISBLANK(ReconciliationData[[#This Row],[Billed_Units]])),ReconciliationData[[#This Row],[ordered_units]]&lt;&gt;ReconciliationData[[#This Row],[Billed_Units]]),1,0)</f>
        <v>0</v>
      </c>
      <c r="R23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7">
        <f>IF(AND(NOT(ISBLANK(ReconciliationData[[#This Row],[Contract_Price]])),ReconciliationData[[#This Row],[Billed_Price]]&lt;&gt;ReconciliationData[[#This Row],[Contract_Price]]),1,0)</f>
        <v>0</v>
      </c>
      <c r="T2327">
        <f>IF(AND(NOT(ISBLANK(ReconciliationData[[#This Row],[End_Date]])),ReconciliationData[[#This Row],[Order_Date]]&gt;ReconciliationData[[#This Row],[End_Date]]),1,0)</f>
        <v>0</v>
      </c>
      <c r="U2327">
        <f>IF(AND(NOT(ISBLANK(ReconciliationData[[#This Row],[last_return_date]])),ReconciliationData[[#This Row],[last_return_date]]&gt;ReconciliationData[[#This Row],[Order_Date]]+60),1,0)</f>
        <v>0</v>
      </c>
      <c r="V2327">
        <f>IF(ReconciliationData[[#This Row],[total_returned_units]]&gt;ReconciliationData[[#This Row],[ordered_units]],1,0)</f>
        <v>0</v>
      </c>
      <c r="W23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7">
        <f>ReconciliationData[[#This Row],[Billed_Units]]*ReconciliationData[[#This Row],[Billed_Price]]</f>
        <v>105809.20019999999</v>
      </c>
      <c r="Y2327">
        <f>ReconciliationData[[#This Row],[ordered_units]]*ReconciliationData[[#This Row],[List_Price]]</f>
        <v>105809.20019999999</v>
      </c>
      <c r="Z2327">
        <f>ReconciliationData[[#This Row],[billed_revenue]]-ReconciliationData[[#This Row],[expected_revenue]]</f>
        <v>0</v>
      </c>
      <c r="AA23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7" t="str">
        <f>IF(ReconciliationData[[#This Row],[severity_score]]=0,"LOW",
 IF(ReconciliationData[[#This Row],[severity_score]]&lt;=5,"MEDIUM","HIGH"))</f>
        <v>LOW</v>
      </c>
      <c r="AC2327" t="str">
        <f>TEXT(ReconciliationData[[#This Row],[Order_Date]],"YYYY-MM")</f>
        <v>2023-08</v>
      </c>
    </row>
    <row r="2328" spans="1:29">
      <c r="A2328" t="s">
        <v>5841</v>
      </c>
      <c r="B2328" s="1">
        <v>45504</v>
      </c>
      <c r="C2328" t="s">
        <v>2231</v>
      </c>
      <c r="D2328" t="s">
        <v>223</v>
      </c>
      <c r="E2328">
        <v>66</v>
      </c>
      <c r="F2328" t="s">
        <v>5842</v>
      </c>
      <c r="G2328">
        <v>66</v>
      </c>
      <c r="H2328">
        <v>561.4076</v>
      </c>
      <c r="N2328">
        <v>561.4076</v>
      </c>
      <c r="O2328" s="1">
        <v>45006</v>
      </c>
      <c r="P2328">
        <f>IF(ISBLANK(ReconciliationData[[#This Row],[Invoice_ID]]),1,0)</f>
        <v>0</v>
      </c>
      <c r="Q2328">
        <f>IF(AND(NOT(ISBLANK(ReconciliationData[[#This Row],[Billed_Units]])),ReconciliationData[[#This Row],[ordered_units]]&lt;&gt;ReconciliationData[[#This Row],[Billed_Units]]),1,0)</f>
        <v>0</v>
      </c>
      <c r="R23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8">
        <f>IF(AND(NOT(ISBLANK(ReconciliationData[[#This Row],[Contract_Price]])),ReconciliationData[[#This Row],[Billed_Price]]&lt;&gt;ReconciliationData[[#This Row],[Contract_Price]]),1,0)</f>
        <v>0</v>
      </c>
      <c r="T2328">
        <f>IF(AND(NOT(ISBLANK(ReconciliationData[[#This Row],[End_Date]])),ReconciliationData[[#This Row],[Order_Date]]&gt;ReconciliationData[[#This Row],[End_Date]]),1,0)</f>
        <v>0</v>
      </c>
      <c r="U2328">
        <f>IF(AND(NOT(ISBLANK(ReconciliationData[[#This Row],[last_return_date]])),ReconciliationData[[#This Row],[last_return_date]]&gt;ReconciliationData[[#This Row],[Order_Date]]+60),1,0)</f>
        <v>0</v>
      </c>
      <c r="V2328">
        <f>IF(ReconciliationData[[#This Row],[total_returned_units]]&gt;ReconciliationData[[#This Row],[ordered_units]],1,0)</f>
        <v>0</v>
      </c>
      <c r="W23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8">
        <f>ReconciliationData[[#This Row],[Billed_Units]]*ReconciliationData[[#This Row],[Billed_Price]]</f>
        <v>37052.901599999997</v>
      </c>
      <c r="Y2328">
        <f>ReconciliationData[[#This Row],[ordered_units]]*ReconciliationData[[#This Row],[List_Price]]</f>
        <v>37052.901599999997</v>
      </c>
      <c r="Z2328">
        <f>ReconciliationData[[#This Row],[billed_revenue]]-ReconciliationData[[#This Row],[expected_revenue]]</f>
        <v>0</v>
      </c>
      <c r="AA23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8" t="str">
        <f>IF(ReconciliationData[[#This Row],[severity_score]]=0,"LOW",
 IF(ReconciliationData[[#This Row],[severity_score]]&lt;=5,"MEDIUM","HIGH"))</f>
        <v>LOW</v>
      </c>
      <c r="AC2328" t="str">
        <f>TEXT(ReconciliationData[[#This Row],[Order_Date]],"YYYY-MM")</f>
        <v>2024-07</v>
      </c>
    </row>
    <row r="2329" spans="1:29">
      <c r="A2329" t="s">
        <v>5843</v>
      </c>
      <c r="B2329" s="1">
        <v>45520</v>
      </c>
      <c r="C2329" t="s">
        <v>978</v>
      </c>
      <c r="D2329" t="s">
        <v>479</v>
      </c>
      <c r="E2329">
        <v>31</v>
      </c>
      <c r="F2329" t="s">
        <v>5844</v>
      </c>
      <c r="G2329">
        <v>31</v>
      </c>
      <c r="H2329">
        <v>1014.5718000000001</v>
      </c>
      <c r="N2329">
        <v>1014.5718000000001</v>
      </c>
      <c r="O2329" s="1">
        <v>45035</v>
      </c>
      <c r="P2329">
        <f>IF(ISBLANK(ReconciliationData[[#This Row],[Invoice_ID]]),1,0)</f>
        <v>0</v>
      </c>
      <c r="Q2329">
        <f>IF(AND(NOT(ISBLANK(ReconciliationData[[#This Row],[Billed_Units]])),ReconciliationData[[#This Row],[ordered_units]]&lt;&gt;ReconciliationData[[#This Row],[Billed_Units]]),1,0)</f>
        <v>0</v>
      </c>
      <c r="R23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29">
        <f>IF(AND(NOT(ISBLANK(ReconciliationData[[#This Row],[Contract_Price]])),ReconciliationData[[#This Row],[Billed_Price]]&lt;&gt;ReconciliationData[[#This Row],[Contract_Price]]),1,0)</f>
        <v>0</v>
      </c>
      <c r="T2329">
        <f>IF(AND(NOT(ISBLANK(ReconciliationData[[#This Row],[End_Date]])),ReconciliationData[[#This Row],[Order_Date]]&gt;ReconciliationData[[#This Row],[End_Date]]),1,0)</f>
        <v>0</v>
      </c>
      <c r="U2329">
        <f>IF(AND(NOT(ISBLANK(ReconciliationData[[#This Row],[last_return_date]])),ReconciliationData[[#This Row],[last_return_date]]&gt;ReconciliationData[[#This Row],[Order_Date]]+60),1,0)</f>
        <v>0</v>
      </c>
      <c r="V2329">
        <f>IF(ReconciliationData[[#This Row],[total_returned_units]]&gt;ReconciliationData[[#This Row],[ordered_units]],1,0)</f>
        <v>0</v>
      </c>
      <c r="W23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29">
        <f>ReconciliationData[[#This Row],[Billed_Units]]*ReconciliationData[[#This Row],[Billed_Price]]</f>
        <v>31451.7258</v>
      </c>
      <c r="Y2329">
        <f>ReconciliationData[[#This Row],[ordered_units]]*ReconciliationData[[#This Row],[List_Price]]</f>
        <v>31451.7258</v>
      </c>
      <c r="Z2329">
        <f>ReconciliationData[[#This Row],[billed_revenue]]-ReconciliationData[[#This Row],[expected_revenue]]</f>
        <v>0</v>
      </c>
      <c r="AA23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29" t="str">
        <f>IF(ReconciliationData[[#This Row],[severity_score]]=0,"LOW",
 IF(ReconciliationData[[#This Row],[severity_score]]&lt;=5,"MEDIUM","HIGH"))</f>
        <v>LOW</v>
      </c>
      <c r="AC2329" t="str">
        <f>TEXT(ReconciliationData[[#This Row],[Order_Date]],"YYYY-MM")</f>
        <v>2024-08</v>
      </c>
    </row>
    <row r="2330" spans="1:29">
      <c r="A2330" t="s">
        <v>5845</v>
      </c>
      <c r="B2330" s="1">
        <v>45055</v>
      </c>
      <c r="C2330" t="s">
        <v>2552</v>
      </c>
      <c r="D2330" t="s">
        <v>1495</v>
      </c>
      <c r="E2330">
        <v>91</v>
      </c>
      <c r="F2330" t="s">
        <v>5846</v>
      </c>
      <c r="G2330">
        <v>91</v>
      </c>
      <c r="H2330">
        <v>358.416</v>
      </c>
      <c r="N2330">
        <v>358.416</v>
      </c>
      <c r="O2330" s="1">
        <v>44824</v>
      </c>
      <c r="P2330">
        <f>IF(ISBLANK(ReconciliationData[[#This Row],[Invoice_ID]]),1,0)</f>
        <v>0</v>
      </c>
      <c r="Q2330">
        <f>IF(AND(NOT(ISBLANK(ReconciliationData[[#This Row],[Billed_Units]])),ReconciliationData[[#This Row],[ordered_units]]&lt;&gt;ReconciliationData[[#This Row],[Billed_Units]]),1,0)</f>
        <v>0</v>
      </c>
      <c r="R23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0">
        <f>IF(AND(NOT(ISBLANK(ReconciliationData[[#This Row],[Contract_Price]])),ReconciliationData[[#This Row],[Billed_Price]]&lt;&gt;ReconciliationData[[#This Row],[Contract_Price]]),1,0)</f>
        <v>0</v>
      </c>
      <c r="T2330">
        <f>IF(AND(NOT(ISBLANK(ReconciliationData[[#This Row],[End_Date]])),ReconciliationData[[#This Row],[Order_Date]]&gt;ReconciliationData[[#This Row],[End_Date]]),1,0)</f>
        <v>0</v>
      </c>
      <c r="U2330">
        <f>IF(AND(NOT(ISBLANK(ReconciliationData[[#This Row],[last_return_date]])),ReconciliationData[[#This Row],[last_return_date]]&gt;ReconciliationData[[#This Row],[Order_Date]]+60),1,0)</f>
        <v>0</v>
      </c>
      <c r="V2330">
        <f>IF(ReconciliationData[[#This Row],[total_returned_units]]&gt;ReconciliationData[[#This Row],[ordered_units]],1,0)</f>
        <v>0</v>
      </c>
      <c r="W23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30">
        <f>ReconciliationData[[#This Row],[Billed_Units]]*ReconciliationData[[#This Row],[Billed_Price]]</f>
        <v>32615.856</v>
      </c>
      <c r="Y2330">
        <f>ReconciliationData[[#This Row],[ordered_units]]*ReconciliationData[[#This Row],[List_Price]]</f>
        <v>32615.856</v>
      </c>
      <c r="Z2330">
        <f>ReconciliationData[[#This Row],[billed_revenue]]-ReconciliationData[[#This Row],[expected_revenue]]</f>
        <v>0</v>
      </c>
      <c r="AA23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30" t="str">
        <f>IF(ReconciliationData[[#This Row],[severity_score]]=0,"LOW",
 IF(ReconciliationData[[#This Row],[severity_score]]&lt;=5,"MEDIUM","HIGH"))</f>
        <v>LOW</v>
      </c>
      <c r="AC2330" t="str">
        <f>TEXT(ReconciliationData[[#This Row],[Order_Date]],"YYYY-MM")</f>
        <v>2023-05</v>
      </c>
    </row>
    <row r="2331" spans="1:29">
      <c r="A2331" t="s">
        <v>5847</v>
      </c>
      <c r="B2331" s="1">
        <v>45071</v>
      </c>
      <c r="C2331" t="s">
        <v>1621</v>
      </c>
      <c r="D2331" t="s">
        <v>483</v>
      </c>
      <c r="E2331">
        <v>136</v>
      </c>
      <c r="F2331" t="s">
        <v>5848</v>
      </c>
      <c r="G2331">
        <v>136</v>
      </c>
      <c r="H2331">
        <v>263.89999999999998</v>
      </c>
      <c r="N2331">
        <v>263.89999999999998</v>
      </c>
      <c r="O2331" s="1">
        <v>44855</v>
      </c>
      <c r="P2331">
        <f>IF(ISBLANK(ReconciliationData[[#This Row],[Invoice_ID]]),1,0)</f>
        <v>0</v>
      </c>
      <c r="Q2331">
        <f>IF(AND(NOT(ISBLANK(ReconciliationData[[#This Row],[Billed_Units]])),ReconciliationData[[#This Row],[ordered_units]]&lt;&gt;ReconciliationData[[#This Row],[Billed_Units]]),1,0)</f>
        <v>0</v>
      </c>
      <c r="R23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1">
        <f>IF(AND(NOT(ISBLANK(ReconciliationData[[#This Row],[Contract_Price]])),ReconciliationData[[#This Row],[Billed_Price]]&lt;&gt;ReconciliationData[[#This Row],[Contract_Price]]),1,0)</f>
        <v>0</v>
      </c>
      <c r="T2331">
        <f>IF(AND(NOT(ISBLANK(ReconciliationData[[#This Row],[End_Date]])),ReconciliationData[[#This Row],[Order_Date]]&gt;ReconciliationData[[#This Row],[End_Date]]),1,0)</f>
        <v>0</v>
      </c>
      <c r="U2331">
        <f>IF(AND(NOT(ISBLANK(ReconciliationData[[#This Row],[last_return_date]])),ReconciliationData[[#This Row],[last_return_date]]&gt;ReconciliationData[[#This Row],[Order_Date]]+60),1,0)</f>
        <v>0</v>
      </c>
      <c r="V2331">
        <f>IF(ReconciliationData[[#This Row],[total_returned_units]]&gt;ReconciliationData[[#This Row],[ordered_units]],1,0)</f>
        <v>0</v>
      </c>
      <c r="W23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31">
        <f>ReconciliationData[[#This Row],[Billed_Units]]*ReconciliationData[[#This Row],[Billed_Price]]</f>
        <v>35890.399999999994</v>
      </c>
      <c r="Y2331">
        <f>ReconciliationData[[#This Row],[ordered_units]]*ReconciliationData[[#This Row],[List_Price]]</f>
        <v>35890.399999999994</v>
      </c>
      <c r="Z2331">
        <f>ReconciliationData[[#This Row],[billed_revenue]]-ReconciliationData[[#This Row],[expected_revenue]]</f>
        <v>0</v>
      </c>
      <c r="AA23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31" t="str">
        <f>IF(ReconciliationData[[#This Row],[severity_score]]=0,"LOW",
 IF(ReconciliationData[[#This Row],[severity_score]]&lt;=5,"MEDIUM","HIGH"))</f>
        <v>LOW</v>
      </c>
      <c r="AC2331" t="str">
        <f>TEXT(ReconciliationData[[#This Row],[Order_Date]],"YYYY-MM")</f>
        <v>2023-05</v>
      </c>
    </row>
    <row r="2332" spans="1:29">
      <c r="A2332" t="s">
        <v>5849</v>
      </c>
      <c r="B2332" s="1">
        <v>45195</v>
      </c>
      <c r="C2332" t="s">
        <v>1734</v>
      </c>
      <c r="D2332" t="s">
        <v>397</v>
      </c>
      <c r="E2332">
        <v>178</v>
      </c>
      <c r="F2332" t="s">
        <v>5850</v>
      </c>
      <c r="G2332">
        <v>178</v>
      </c>
      <c r="H2332">
        <v>96.6</v>
      </c>
      <c r="N2332">
        <v>96.6</v>
      </c>
      <c r="O2332" s="1">
        <v>45105</v>
      </c>
      <c r="P2332">
        <f>IF(ISBLANK(ReconciliationData[[#This Row],[Invoice_ID]]),1,0)</f>
        <v>0</v>
      </c>
      <c r="Q2332">
        <f>IF(AND(NOT(ISBLANK(ReconciliationData[[#This Row],[Billed_Units]])),ReconciliationData[[#This Row],[ordered_units]]&lt;&gt;ReconciliationData[[#This Row],[Billed_Units]]),1,0)</f>
        <v>0</v>
      </c>
      <c r="R23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2">
        <f>IF(AND(NOT(ISBLANK(ReconciliationData[[#This Row],[Contract_Price]])),ReconciliationData[[#This Row],[Billed_Price]]&lt;&gt;ReconciliationData[[#This Row],[Contract_Price]]),1,0)</f>
        <v>0</v>
      </c>
      <c r="T2332">
        <f>IF(AND(NOT(ISBLANK(ReconciliationData[[#This Row],[End_Date]])),ReconciliationData[[#This Row],[Order_Date]]&gt;ReconciliationData[[#This Row],[End_Date]]),1,0)</f>
        <v>0</v>
      </c>
      <c r="U2332">
        <f>IF(AND(NOT(ISBLANK(ReconciliationData[[#This Row],[last_return_date]])),ReconciliationData[[#This Row],[last_return_date]]&gt;ReconciliationData[[#This Row],[Order_Date]]+60),1,0)</f>
        <v>0</v>
      </c>
      <c r="V2332">
        <f>IF(ReconciliationData[[#This Row],[total_returned_units]]&gt;ReconciliationData[[#This Row],[ordered_units]],1,0)</f>
        <v>0</v>
      </c>
      <c r="W23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32">
        <f>ReconciliationData[[#This Row],[Billed_Units]]*ReconciliationData[[#This Row],[Billed_Price]]</f>
        <v>17194.8</v>
      </c>
      <c r="Y2332">
        <f>ReconciliationData[[#This Row],[ordered_units]]*ReconciliationData[[#This Row],[List_Price]]</f>
        <v>17194.8</v>
      </c>
      <c r="Z2332">
        <f>ReconciliationData[[#This Row],[billed_revenue]]-ReconciliationData[[#This Row],[expected_revenue]]</f>
        <v>0</v>
      </c>
      <c r="AA23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32" t="str">
        <f>IF(ReconciliationData[[#This Row],[severity_score]]=0,"LOW",
 IF(ReconciliationData[[#This Row],[severity_score]]&lt;=5,"MEDIUM","HIGH"))</f>
        <v>LOW</v>
      </c>
      <c r="AC2332" t="str">
        <f>TEXT(ReconciliationData[[#This Row],[Order_Date]],"YYYY-MM")</f>
        <v>2023-09</v>
      </c>
    </row>
    <row r="2333" spans="1:29">
      <c r="A2333" t="s">
        <v>5851</v>
      </c>
      <c r="B2333" s="1">
        <v>45478</v>
      </c>
      <c r="C2333" t="s">
        <v>4282</v>
      </c>
      <c r="D2333" t="s">
        <v>2283</v>
      </c>
      <c r="E2333">
        <v>158</v>
      </c>
      <c r="F2333" t="s">
        <v>5852</v>
      </c>
      <c r="G2333">
        <v>158</v>
      </c>
      <c r="H2333">
        <v>68.942999999999998</v>
      </c>
      <c r="I2333">
        <v>15</v>
      </c>
      <c r="J2333" s="1">
        <v>45291</v>
      </c>
      <c r="N2333">
        <v>68.942999999999998</v>
      </c>
      <c r="O2333" s="1">
        <v>44998</v>
      </c>
      <c r="P2333">
        <f>IF(ISBLANK(ReconciliationData[[#This Row],[Invoice_ID]]),1,0)</f>
        <v>0</v>
      </c>
      <c r="Q2333">
        <f>IF(AND(NOT(ISBLANK(ReconciliationData[[#This Row],[Billed_Units]])),ReconciliationData[[#This Row],[ordered_units]]&lt;&gt;ReconciliationData[[#This Row],[Billed_Units]]),1,0)</f>
        <v>0</v>
      </c>
      <c r="R23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3">
        <f>IF(AND(NOT(ISBLANK(ReconciliationData[[#This Row],[Contract_Price]])),ReconciliationData[[#This Row],[Billed_Price]]&lt;&gt;ReconciliationData[[#This Row],[Contract_Price]]),1,0)</f>
        <v>0</v>
      </c>
      <c r="T2333">
        <f>IF(AND(NOT(ISBLANK(ReconciliationData[[#This Row],[End_Date]])),ReconciliationData[[#This Row],[Order_Date]]&gt;ReconciliationData[[#This Row],[End_Date]]),1,0)</f>
        <v>0</v>
      </c>
      <c r="U2333">
        <f>IF(AND(NOT(ISBLANK(ReconciliationData[[#This Row],[last_return_date]])),ReconciliationData[[#This Row],[last_return_date]]&gt;ReconciliationData[[#This Row],[Order_Date]]+60),1,0)</f>
        <v>0</v>
      </c>
      <c r="V2333">
        <f>IF(ReconciliationData[[#This Row],[total_returned_units]]&gt;ReconciliationData[[#This Row],[ordered_units]],1,0)</f>
        <v>0</v>
      </c>
      <c r="W23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33">
        <f>ReconciliationData[[#This Row],[Billed_Units]]*ReconciliationData[[#This Row],[Billed_Price]]</f>
        <v>10892.993999999999</v>
      </c>
      <c r="Y2333">
        <f>ReconciliationData[[#This Row],[ordered_units]]*ReconciliationData[[#This Row],[List_Price]]</f>
        <v>10892.993999999999</v>
      </c>
      <c r="Z2333">
        <f>ReconciliationData[[#This Row],[billed_revenue]]-ReconciliationData[[#This Row],[expected_revenue]]</f>
        <v>0</v>
      </c>
      <c r="AA23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33" t="str">
        <f>IF(ReconciliationData[[#This Row],[severity_score]]=0,"LOW",
 IF(ReconciliationData[[#This Row],[severity_score]]&lt;=5,"MEDIUM","HIGH"))</f>
        <v>LOW</v>
      </c>
      <c r="AC2333" t="str">
        <f>TEXT(ReconciliationData[[#This Row],[Order_Date]],"YYYY-MM")</f>
        <v>2024-07</v>
      </c>
    </row>
    <row r="2334" spans="1:29">
      <c r="A2334" t="s">
        <v>5853</v>
      </c>
      <c r="B2334" s="1">
        <v>45419</v>
      </c>
      <c r="C2334" t="s">
        <v>1101</v>
      </c>
      <c r="D2334" t="s">
        <v>1961</v>
      </c>
      <c r="E2334">
        <v>159</v>
      </c>
      <c r="F2334" t="s">
        <v>5854</v>
      </c>
      <c r="G2334">
        <v>159</v>
      </c>
      <c r="H2334">
        <v>717.0471</v>
      </c>
      <c r="N2334">
        <v>717.0471</v>
      </c>
      <c r="O2334" s="1">
        <v>44984</v>
      </c>
      <c r="P2334">
        <f>IF(ISBLANK(ReconciliationData[[#This Row],[Invoice_ID]]),1,0)</f>
        <v>0</v>
      </c>
      <c r="Q2334">
        <f>IF(AND(NOT(ISBLANK(ReconciliationData[[#This Row],[Billed_Units]])),ReconciliationData[[#This Row],[ordered_units]]&lt;&gt;ReconciliationData[[#This Row],[Billed_Units]]),1,0)</f>
        <v>0</v>
      </c>
      <c r="R23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4">
        <f>IF(AND(NOT(ISBLANK(ReconciliationData[[#This Row],[Contract_Price]])),ReconciliationData[[#This Row],[Billed_Price]]&lt;&gt;ReconciliationData[[#This Row],[Contract_Price]]),1,0)</f>
        <v>0</v>
      </c>
      <c r="T2334">
        <f>IF(AND(NOT(ISBLANK(ReconciliationData[[#This Row],[End_Date]])),ReconciliationData[[#This Row],[Order_Date]]&gt;ReconciliationData[[#This Row],[End_Date]]),1,0)</f>
        <v>0</v>
      </c>
      <c r="U2334">
        <f>IF(AND(NOT(ISBLANK(ReconciliationData[[#This Row],[last_return_date]])),ReconciliationData[[#This Row],[last_return_date]]&gt;ReconciliationData[[#This Row],[Order_Date]]+60),1,0)</f>
        <v>0</v>
      </c>
      <c r="V2334">
        <f>IF(ReconciliationData[[#This Row],[total_returned_units]]&gt;ReconciliationData[[#This Row],[ordered_units]],1,0)</f>
        <v>0</v>
      </c>
      <c r="W23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34">
        <f>ReconciliationData[[#This Row],[Billed_Units]]*ReconciliationData[[#This Row],[Billed_Price]]</f>
        <v>114010.4889</v>
      </c>
      <c r="Y2334">
        <f>ReconciliationData[[#This Row],[ordered_units]]*ReconciliationData[[#This Row],[List_Price]]</f>
        <v>114010.4889</v>
      </c>
      <c r="Z2334">
        <f>ReconciliationData[[#This Row],[billed_revenue]]-ReconciliationData[[#This Row],[expected_revenue]]</f>
        <v>0</v>
      </c>
      <c r="AA23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34" t="str">
        <f>IF(ReconciliationData[[#This Row],[severity_score]]=0,"LOW",
 IF(ReconciliationData[[#This Row],[severity_score]]&lt;=5,"MEDIUM","HIGH"))</f>
        <v>LOW</v>
      </c>
      <c r="AC2334" t="str">
        <f>TEXT(ReconciliationData[[#This Row],[Order_Date]],"YYYY-MM")</f>
        <v>2024-05</v>
      </c>
    </row>
    <row r="2335" spans="1:29">
      <c r="A2335" t="s">
        <v>5855</v>
      </c>
      <c r="B2335" s="1">
        <v>45520</v>
      </c>
      <c r="C2335" t="s">
        <v>3309</v>
      </c>
      <c r="D2335" t="s">
        <v>564</v>
      </c>
      <c r="E2335">
        <v>29</v>
      </c>
      <c r="F2335" t="s">
        <v>5856</v>
      </c>
      <c r="G2335">
        <v>29</v>
      </c>
      <c r="H2335">
        <v>1171.7046</v>
      </c>
      <c r="N2335">
        <v>1171.7046</v>
      </c>
      <c r="O2335" s="1">
        <v>45077</v>
      </c>
      <c r="P2335">
        <f>IF(ISBLANK(ReconciliationData[[#This Row],[Invoice_ID]]),1,0)</f>
        <v>0</v>
      </c>
      <c r="Q2335">
        <f>IF(AND(NOT(ISBLANK(ReconciliationData[[#This Row],[Billed_Units]])),ReconciliationData[[#This Row],[ordered_units]]&lt;&gt;ReconciliationData[[#This Row],[Billed_Units]]),1,0)</f>
        <v>0</v>
      </c>
      <c r="R23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5">
        <f>IF(AND(NOT(ISBLANK(ReconciliationData[[#This Row],[Contract_Price]])),ReconciliationData[[#This Row],[Billed_Price]]&lt;&gt;ReconciliationData[[#This Row],[Contract_Price]]),1,0)</f>
        <v>0</v>
      </c>
      <c r="T2335">
        <f>IF(AND(NOT(ISBLANK(ReconciliationData[[#This Row],[End_Date]])),ReconciliationData[[#This Row],[Order_Date]]&gt;ReconciliationData[[#This Row],[End_Date]]),1,0)</f>
        <v>0</v>
      </c>
      <c r="U2335">
        <f>IF(AND(NOT(ISBLANK(ReconciliationData[[#This Row],[last_return_date]])),ReconciliationData[[#This Row],[last_return_date]]&gt;ReconciliationData[[#This Row],[Order_Date]]+60),1,0)</f>
        <v>0</v>
      </c>
      <c r="V2335">
        <f>IF(ReconciliationData[[#This Row],[total_returned_units]]&gt;ReconciliationData[[#This Row],[ordered_units]],1,0)</f>
        <v>0</v>
      </c>
      <c r="W23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35">
        <f>ReconciliationData[[#This Row],[Billed_Units]]*ReconciliationData[[#This Row],[Billed_Price]]</f>
        <v>33979.433400000002</v>
      </c>
      <c r="Y2335">
        <f>ReconciliationData[[#This Row],[ordered_units]]*ReconciliationData[[#This Row],[List_Price]]</f>
        <v>33979.433400000002</v>
      </c>
      <c r="Z2335">
        <f>ReconciliationData[[#This Row],[billed_revenue]]-ReconciliationData[[#This Row],[expected_revenue]]</f>
        <v>0</v>
      </c>
      <c r="AA23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35" t="str">
        <f>IF(ReconciliationData[[#This Row],[severity_score]]=0,"LOW",
 IF(ReconciliationData[[#This Row],[severity_score]]&lt;=5,"MEDIUM","HIGH"))</f>
        <v>LOW</v>
      </c>
      <c r="AC2335" t="str">
        <f>TEXT(ReconciliationData[[#This Row],[Order_Date]],"YYYY-MM")</f>
        <v>2024-08</v>
      </c>
    </row>
    <row r="2336" spans="1:29">
      <c r="A2336" t="s">
        <v>5857</v>
      </c>
      <c r="B2336" s="1">
        <v>45414</v>
      </c>
      <c r="C2336" t="s">
        <v>1856</v>
      </c>
      <c r="D2336" t="s">
        <v>722</v>
      </c>
      <c r="E2336">
        <v>53</v>
      </c>
      <c r="F2336" t="s">
        <v>5858</v>
      </c>
      <c r="G2336">
        <v>53</v>
      </c>
      <c r="H2336">
        <v>343.34190000000001</v>
      </c>
      <c r="N2336">
        <v>343.34190000000001</v>
      </c>
      <c r="O2336" s="1">
        <v>45126</v>
      </c>
      <c r="P2336">
        <f>IF(ISBLANK(ReconciliationData[[#This Row],[Invoice_ID]]),1,0)</f>
        <v>0</v>
      </c>
      <c r="Q2336">
        <f>IF(AND(NOT(ISBLANK(ReconciliationData[[#This Row],[Billed_Units]])),ReconciliationData[[#This Row],[ordered_units]]&lt;&gt;ReconciliationData[[#This Row],[Billed_Units]]),1,0)</f>
        <v>0</v>
      </c>
      <c r="R23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6">
        <f>IF(AND(NOT(ISBLANK(ReconciliationData[[#This Row],[Contract_Price]])),ReconciliationData[[#This Row],[Billed_Price]]&lt;&gt;ReconciliationData[[#This Row],[Contract_Price]]),1,0)</f>
        <v>0</v>
      </c>
      <c r="T2336">
        <f>IF(AND(NOT(ISBLANK(ReconciliationData[[#This Row],[End_Date]])),ReconciliationData[[#This Row],[Order_Date]]&gt;ReconciliationData[[#This Row],[End_Date]]),1,0)</f>
        <v>0</v>
      </c>
      <c r="U2336">
        <f>IF(AND(NOT(ISBLANK(ReconciliationData[[#This Row],[last_return_date]])),ReconciliationData[[#This Row],[last_return_date]]&gt;ReconciliationData[[#This Row],[Order_Date]]+60),1,0)</f>
        <v>0</v>
      </c>
      <c r="V2336">
        <f>IF(ReconciliationData[[#This Row],[total_returned_units]]&gt;ReconciliationData[[#This Row],[ordered_units]],1,0)</f>
        <v>0</v>
      </c>
      <c r="W23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36">
        <f>ReconciliationData[[#This Row],[Billed_Units]]*ReconciliationData[[#This Row],[Billed_Price]]</f>
        <v>18197.120699999999</v>
      </c>
      <c r="Y2336">
        <f>ReconciliationData[[#This Row],[ordered_units]]*ReconciliationData[[#This Row],[List_Price]]</f>
        <v>18197.120699999999</v>
      </c>
      <c r="Z2336">
        <f>ReconciliationData[[#This Row],[billed_revenue]]-ReconciliationData[[#This Row],[expected_revenue]]</f>
        <v>0</v>
      </c>
      <c r="AA23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36" t="str">
        <f>IF(ReconciliationData[[#This Row],[severity_score]]=0,"LOW",
 IF(ReconciliationData[[#This Row],[severity_score]]&lt;=5,"MEDIUM","HIGH"))</f>
        <v>LOW</v>
      </c>
      <c r="AC2336" t="str">
        <f>TEXT(ReconciliationData[[#This Row],[Order_Date]],"YYYY-MM")</f>
        <v>2024-05</v>
      </c>
    </row>
    <row r="2337" spans="1:29">
      <c r="A2337" t="s">
        <v>5859</v>
      </c>
      <c r="B2337" s="1">
        <v>45032</v>
      </c>
      <c r="C2337" t="s">
        <v>2352</v>
      </c>
      <c r="D2337" t="s">
        <v>1400</v>
      </c>
      <c r="E2337">
        <v>17</v>
      </c>
      <c r="F2337" t="s">
        <v>5860</v>
      </c>
      <c r="G2337">
        <v>17</v>
      </c>
      <c r="H2337">
        <v>512.04</v>
      </c>
      <c r="N2337">
        <v>512.04</v>
      </c>
      <c r="O2337" s="1">
        <v>44928</v>
      </c>
      <c r="P2337">
        <f>IF(ISBLANK(ReconciliationData[[#This Row],[Invoice_ID]]),1,0)</f>
        <v>0</v>
      </c>
      <c r="Q2337">
        <f>IF(AND(NOT(ISBLANK(ReconciliationData[[#This Row],[Billed_Units]])),ReconciliationData[[#This Row],[ordered_units]]&lt;&gt;ReconciliationData[[#This Row],[Billed_Units]]),1,0)</f>
        <v>0</v>
      </c>
      <c r="R23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7">
        <f>IF(AND(NOT(ISBLANK(ReconciliationData[[#This Row],[Contract_Price]])),ReconciliationData[[#This Row],[Billed_Price]]&lt;&gt;ReconciliationData[[#This Row],[Contract_Price]]),1,0)</f>
        <v>0</v>
      </c>
      <c r="T2337">
        <f>IF(AND(NOT(ISBLANK(ReconciliationData[[#This Row],[End_Date]])),ReconciliationData[[#This Row],[Order_Date]]&gt;ReconciliationData[[#This Row],[End_Date]]),1,0)</f>
        <v>0</v>
      </c>
      <c r="U2337">
        <f>IF(AND(NOT(ISBLANK(ReconciliationData[[#This Row],[last_return_date]])),ReconciliationData[[#This Row],[last_return_date]]&gt;ReconciliationData[[#This Row],[Order_Date]]+60),1,0)</f>
        <v>0</v>
      </c>
      <c r="V2337">
        <f>IF(ReconciliationData[[#This Row],[total_returned_units]]&gt;ReconciliationData[[#This Row],[ordered_units]],1,0)</f>
        <v>0</v>
      </c>
      <c r="W23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37">
        <f>ReconciliationData[[#This Row],[Billed_Units]]*ReconciliationData[[#This Row],[Billed_Price]]</f>
        <v>8704.68</v>
      </c>
      <c r="Y2337">
        <f>ReconciliationData[[#This Row],[ordered_units]]*ReconciliationData[[#This Row],[List_Price]]</f>
        <v>8704.68</v>
      </c>
      <c r="Z2337">
        <f>ReconciliationData[[#This Row],[billed_revenue]]-ReconciliationData[[#This Row],[expected_revenue]]</f>
        <v>0</v>
      </c>
      <c r="AA23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37" t="str">
        <f>IF(ReconciliationData[[#This Row],[severity_score]]=0,"LOW",
 IF(ReconciliationData[[#This Row],[severity_score]]&lt;=5,"MEDIUM","HIGH"))</f>
        <v>LOW</v>
      </c>
      <c r="AC2337" t="str">
        <f>TEXT(ReconciliationData[[#This Row],[Order_Date]],"YYYY-MM")</f>
        <v>2023-04</v>
      </c>
    </row>
    <row r="2338" spans="1:29">
      <c r="A2338" t="s">
        <v>5861</v>
      </c>
      <c r="B2338" s="1">
        <v>45213</v>
      </c>
      <c r="C2338" t="s">
        <v>1024</v>
      </c>
      <c r="D2338" t="s">
        <v>170</v>
      </c>
      <c r="E2338">
        <v>80</v>
      </c>
      <c r="F2338" t="s">
        <v>5862</v>
      </c>
      <c r="G2338">
        <v>80</v>
      </c>
      <c r="H2338">
        <v>397.40159999999997</v>
      </c>
      <c r="N2338">
        <v>397.40159999999997</v>
      </c>
      <c r="O2338" s="1">
        <v>45021</v>
      </c>
      <c r="P2338">
        <f>IF(ISBLANK(ReconciliationData[[#This Row],[Invoice_ID]]),1,0)</f>
        <v>0</v>
      </c>
      <c r="Q2338">
        <f>IF(AND(NOT(ISBLANK(ReconciliationData[[#This Row],[Billed_Units]])),ReconciliationData[[#This Row],[ordered_units]]&lt;&gt;ReconciliationData[[#This Row],[Billed_Units]]),1,0)</f>
        <v>0</v>
      </c>
      <c r="R23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8">
        <f>IF(AND(NOT(ISBLANK(ReconciliationData[[#This Row],[Contract_Price]])),ReconciliationData[[#This Row],[Billed_Price]]&lt;&gt;ReconciliationData[[#This Row],[Contract_Price]]),1,0)</f>
        <v>0</v>
      </c>
      <c r="T2338">
        <f>IF(AND(NOT(ISBLANK(ReconciliationData[[#This Row],[End_Date]])),ReconciliationData[[#This Row],[Order_Date]]&gt;ReconciliationData[[#This Row],[End_Date]]),1,0)</f>
        <v>0</v>
      </c>
      <c r="U2338">
        <f>IF(AND(NOT(ISBLANK(ReconciliationData[[#This Row],[last_return_date]])),ReconciliationData[[#This Row],[last_return_date]]&gt;ReconciliationData[[#This Row],[Order_Date]]+60),1,0)</f>
        <v>0</v>
      </c>
      <c r="V2338">
        <f>IF(ReconciliationData[[#This Row],[total_returned_units]]&gt;ReconciliationData[[#This Row],[ordered_units]],1,0)</f>
        <v>0</v>
      </c>
      <c r="W23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38">
        <f>ReconciliationData[[#This Row],[Billed_Units]]*ReconciliationData[[#This Row],[Billed_Price]]</f>
        <v>31792.127999999997</v>
      </c>
      <c r="Y2338">
        <f>ReconciliationData[[#This Row],[ordered_units]]*ReconciliationData[[#This Row],[List_Price]]</f>
        <v>31792.127999999997</v>
      </c>
      <c r="Z2338">
        <f>ReconciliationData[[#This Row],[billed_revenue]]-ReconciliationData[[#This Row],[expected_revenue]]</f>
        <v>0</v>
      </c>
      <c r="AA23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38" t="str">
        <f>IF(ReconciliationData[[#This Row],[severity_score]]=0,"LOW",
 IF(ReconciliationData[[#This Row],[severity_score]]&lt;=5,"MEDIUM","HIGH"))</f>
        <v>LOW</v>
      </c>
      <c r="AC2338" t="str">
        <f>TEXT(ReconciliationData[[#This Row],[Order_Date]],"YYYY-MM")</f>
        <v>2023-10</v>
      </c>
    </row>
    <row r="2339" spans="1:29">
      <c r="A2339" t="s">
        <v>5863</v>
      </c>
      <c r="B2339" s="1">
        <v>45045</v>
      </c>
      <c r="C2339" t="s">
        <v>1545</v>
      </c>
      <c r="D2339" t="s">
        <v>1238</v>
      </c>
      <c r="E2339">
        <v>122</v>
      </c>
      <c r="F2339" t="s">
        <v>5864</v>
      </c>
      <c r="G2339">
        <v>122</v>
      </c>
      <c r="H2339">
        <v>312.55</v>
      </c>
      <c r="I2339">
        <v>20</v>
      </c>
      <c r="J2339" s="1">
        <v>45327</v>
      </c>
      <c r="N2339">
        <v>312.55</v>
      </c>
      <c r="O2339" s="1">
        <v>44942</v>
      </c>
      <c r="P2339">
        <f>IF(ISBLANK(ReconciliationData[[#This Row],[Invoice_ID]]),1,0)</f>
        <v>0</v>
      </c>
      <c r="Q2339">
        <f>IF(AND(NOT(ISBLANK(ReconciliationData[[#This Row],[Billed_Units]])),ReconciliationData[[#This Row],[ordered_units]]&lt;&gt;ReconciliationData[[#This Row],[Billed_Units]]),1,0)</f>
        <v>0</v>
      </c>
      <c r="R23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39">
        <f>IF(AND(NOT(ISBLANK(ReconciliationData[[#This Row],[Contract_Price]])),ReconciliationData[[#This Row],[Billed_Price]]&lt;&gt;ReconciliationData[[#This Row],[Contract_Price]]),1,0)</f>
        <v>0</v>
      </c>
      <c r="T2339">
        <f>IF(AND(NOT(ISBLANK(ReconciliationData[[#This Row],[End_Date]])),ReconciliationData[[#This Row],[Order_Date]]&gt;ReconciliationData[[#This Row],[End_Date]]),1,0)</f>
        <v>0</v>
      </c>
      <c r="U2339">
        <f>IF(AND(NOT(ISBLANK(ReconciliationData[[#This Row],[last_return_date]])),ReconciliationData[[#This Row],[last_return_date]]&gt;ReconciliationData[[#This Row],[Order_Date]]+60),1,0)</f>
        <v>1</v>
      </c>
      <c r="V2339">
        <f>IF(ReconciliationData[[#This Row],[total_returned_units]]&gt;ReconciliationData[[#This Row],[ordered_units]],1,0)</f>
        <v>0</v>
      </c>
      <c r="W23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39">
        <f>ReconciliationData[[#This Row],[Billed_Units]]*ReconciliationData[[#This Row],[Billed_Price]]</f>
        <v>38131.1</v>
      </c>
      <c r="Y2339">
        <f>ReconciliationData[[#This Row],[ordered_units]]*ReconciliationData[[#This Row],[List_Price]]</f>
        <v>38131.1</v>
      </c>
      <c r="Z2339">
        <f>ReconciliationData[[#This Row],[billed_revenue]]-ReconciliationData[[#This Row],[expected_revenue]]</f>
        <v>0</v>
      </c>
      <c r="AA23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339" t="str">
        <f>IF(ReconciliationData[[#This Row],[severity_score]]=0,"LOW",
 IF(ReconciliationData[[#This Row],[severity_score]]&lt;=5,"MEDIUM","HIGH"))</f>
        <v>MEDIUM</v>
      </c>
      <c r="AC2339" t="str">
        <f>TEXT(ReconciliationData[[#This Row],[Order_Date]],"YYYY-MM")</f>
        <v>2023-04</v>
      </c>
    </row>
    <row r="2340" spans="1:29">
      <c r="A2340" t="s">
        <v>5865</v>
      </c>
      <c r="B2340" s="1">
        <v>44949</v>
      </c>
      <c r="C2340" t="s">
        <v>1314</v>
      </c>
      <c r="D2340" t="s">
        <v>1567</v>
      </c>
      <c r="E2340">
        <v>92</v>
      </c>
      <c r="F2340" t="s">
        <v>5866</v>
      </c>
      <c r="G2340">
        <v>92</v>
      </c>
      <c r="H2340">
        <v>747.51</v>
      </c>
      <c r="N2340">
        <v>747.51</v>
      </c>
      <c r="O2340" s="1">
        <v>44582</v>
      </c>
      <c r="P2340">
        <f>IF(ISBLANK(ReconciliationData[[#This Row],[Invoice_ID]]),1,0)</f>
        <v>0</v>
      </c>
      <c r="Q2340">
        <f>IF(AND(NOT(ISBLANK(ReconciliationData[[#This Row],[Billed_Units]])),ReconciliationData[[#This Row],[ordered_units]]&lt;&gt;ReconciliationData[[#This Row],[Billed_Units]]),1,0)</f>
        <v>0</v>
      </c>
      <c r="R23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0">
        <f>IF(AND(NOT(ISBLANK(ReconciliationData[[#This Row],[Contract_Price]])),ReconciliationData[[#This Row],[Billed_Price]]&lt;&gt;ReconciliationData[[#This Row],[Contract_Price]]),1,0)</f>
        <v>0</v>
      </c>
      <c r="T2340">
        <f>IF(AND(NOT(ISBLANK(ReconciliationData[[#This Row],[End_Date]])),ReconciliationData[[#This Row],[Order_Date]]&gt;ReconciliationData[[#This Row],[End_Date]]),1,0)</f>
        <v>0</v>
      </c>
      <c r="U2340">
        <f>IF(AND(NOT(ISBLANK(ReconciliationData[[#This Row],[last_return_date]])),ReconciliationData[[#This Row],[last_return_date]]&gt;ReconciliationData[[#This Row],[Order_Date]]+60),1,0)</f>
        <v>0</v>
      </c>
      <c r="V2340">
        <f>IF(ReconciliationData[[#This Row],[total_returned_units]]&gt;ReconciliationData[[#This Row],[ordered_units]],1,0)</f>
        <v>0</v>
      </c>
      <c r="W23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40">
        <f>ReconciliationData[[#This Row],[Billed_Units]]*ReconciliationData[[#This Row],[Billed_Price]]</f>
        <v>68770.92</v>
      </c>
      <c r="Y2340">
        <f>ReconciliationData[[#This Row],[ordered_units]]*ReconciliationData[[#This Row],[List_Price]]</f>
        <v>68770.92</v>
      </c>
      <c r="Z2340">
        <f>ReconciliationData[[#This Row],[billed_revenue]]-ReconciliationData[[#This Row],[expected_revenue]]</f>
        <v>0</v>
      </c>
      <c r="AA23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40" t="str">
        <f>IF(ReconciliationData[[#This Row],[severity_score]]=0,"LOW",
 IF(ReconciliationData[[#This Row],[severity_score]]&lt;=5,"MEDIUM","HIGH"))</f>
        <v>LOW</v>
      </c>
      <c r="AC2340" t="str">
        <f>TEXT(ReconciliationData[[#This Row],[Order_Date]],"YYYY-MM")</f>
        <v>2023-01</v>
      </c>
    </row>
    <row r="2341" spans="1:29">
      <c r="A2341" t="s">
        <v>5867</v>
      </c>
      <c r="B2341" s="1">
        <v>45360</v>
      </c>
      <c r="C2341" t="s">
        <v>3589</v>
      </c>
      <c r="D2341" t="s">
        <v>1525</v>
      </c>
      <c r="E2341">
        <v>115</v>
      </c>
      <c r="F2341" t="s">
        <v>5868</v>
      </c>
      <c r="G2341">
        <v>123</v>
      </c>
      <c r="H2341">
        <v>1067.6925000000001</v>
      </c>
      <c r="N2341">
        <v>1067.6925000000001</v>
      </c>
      <c r="O2341" s="1">
        <v>44999</v>
      </c>
      <c r="P2341">
        <f>IF(ISBLANK(ReconciliationData[[#This Row],[Invoice_ID]]),1,0)</f>
        <v>0</v>
      </c>
      <c r="Q2341">
        <f>IF(AND(NOT(ISBLANK(ReconciliationData[[#This Row],[Billed_Units]])),ReconciliationData[[#This Row],[ordered_units]]&lt;&gt;ReconciliationData[[#This Row],[Billed_Units]]),1,0)</f>
        <v>1</v>
      </c>
      <c r="R23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1">
        <f>IF(AND(NOT(ISBLANK(ReconciliationData[[#This Row],[Contract_Price]])),ReconciliationData[[#This Row],[Billed_Price]]&lt;&gt;ReconciliationData[[#This Row],[Contract_Price]]),1,0)</f>
        <v>0</v>
      </c>
      <c r="T2341">
        <f>IF(AND(NOT(ISBLANK(ReconciliationData[[#This Row],[End_Date]])),ReconciliationData[[#This Row],[Order_Date]]&gt;ReconciliationData[[#This Row],[End_Date]]),1,0)</f>
        <v>0</v>
      </c>
      <c r="U2341">
        <f>IF(AND(NOT(ISBLANK(ReconciliationData[[#This Row],[last_return_date]])),ReconciliationData[[#This Row],[last_return_date]]&gt;ReconciliationData[[#This Row],[Order_Date]]+60),1,0)</f>
        <v>0</v>
      </c>
      <c r="V2341">
        <f>IF(ReconciliationData[[#This Row],[total_returned_units]]&gt;ReconciliationData[[#This Row],[ordered_units]],1,0)</f>
        <v>0</v>
      </c>
      <c r="W23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41">
        <f>ReconciliationData[[#This Row],[Billed_Units]]*ReconciliationData[[#This Row],[Billed_Price]]</f>
        <v>131326.17750000002</v>
      </c>
      <c r="Y2341">
        <f>ReconciliationData[[#This Row],[ordered_units]]*ReconciliationData[[#This Row],[List_Price]]</f>
        <v>122784.63750000001</v>
      </c>
      <c r="Z2341">
        <f>ReconciliationData[[#This Row],[billed_revenue]]-ReconciliationData[[#This Row],[expected_revenue]]</f>
        <v>8541.5400000000081</v>
      </c>
      <c r="AA23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341" t="str">
        <f>IF(ReconciliationData[[#This Row],[severity_score]]=0,"LOW",
 IF(ReconciliationData[[#This Row],[severity_score]]&lt;=5,"MEDIUM","HIGH"))</f>
        <v>HIGH</v>
      </c>
      <c r="AC2341" t="str">
        <f>TEXT(ReconciliationData[[#This Row],[Order_Date]],"YYYY-MM")</f>
        <v>2024-03</v>
      </c>
    </row>
    <row r="2342" spans="1:29">
      <c r="A2342" t="s">
        <v>5869</v>
      </c>
      <c r="B2342" s="1">
        <v>45113</v>
      </c>
      <c r="C2342" t="s">
        <v>1024</v>
      </c>
      <c r="D2342" t="s">
        <v>1654</v>
      </c>
      <c r="E2342">
        <v>102</v>
      </c>
      <c r="F2342" t="s">
        <v>5870</v>
      </c>
      <c r="G2342">
        <v>102</v>
      </c>
      <c r="H2342">
        <v>1197.9306999999999</v>
      </c>
      <c r="N2342">
        <v>1197.9306999999999</v>
      </c>
      <c r="O2342" s="1">
        <v>45089</v>
      </c>
      <c r="P2342">
        <f>IF(ISBLANK(ReconciliationData[[#This Row],[Invoice_ID]]),1,0)</f>
        <v>0</v>
      </c>
      <c r="Q2342">
        <f>IF(AND(NOT(ISBLANK(ReconciliationData[[#This Row],[Billed_Units]])),ReconciliationData[[#This Row],[ordered_units]]&lt;&gt;ReconciliationData[[#This Row],[Billed_Units]]),1,0)</f>
        <v>0</v>
      </c>
      <c r="R23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2">
        <f>IF(AND(NOT(ISBLANK(ReconciliationData[[#This Row],[Contract_Price]])),ReconciliationData[[#This Row],[Billed_Price]]&lt;&gt;ReconciliationData[[#This Row],[Contract_Price]]),1,0)</f>
        <v>0</v>
      </c>
      <c r="T2342">
        <f>IF(AND(NOT(ISBLANK(ReconciliationData[[#This Row],[End_Date]])),ReconciliationData[[#This Row],[Order_Date]]&gt;ReconciliationData[[#This Row],[End_Date]]),1,0)</f>
        <v>0</v>
      </c>
      <c r="U2342">
        <f>IF(AND(NOT(ISBLANK(ReconciliationData[[#This Row],[last_return_date]])),ReconciliationData[[#This Row],[last_return_date]]&gt;ReconciliationData[[#This Row],[Order_Date]]+60),1,0)</f>
        <v>0</v>
      </c>
      <c r="V2342">
        <f>IF(ReconciliationData[[#This Row],[total_returned_units]]&gt;ReconciliationData[[#This Row],[ordered_units]],1,0)</f>
        <v>0</v>
      </c>
      <c r="W23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42">
        <f>ReconciliationData[[#This Row],[Billed_Units]]*ReconciliationData[[#This Row],[Billed_Price]]</f>
        <v>122188.93139999999</v>
      </c>
      <c r="Y2342">
        <f>ReconciliationData[[#This Row],[ordered_units]]*ReconciliationData[[#This Row],[List_Price]]</f>
        <v>122188.93139999999</v>
      </c>
      <c r="Z2342">
        <f>ReconciliationData[[#This Row],[billed_revenue]]-ReconciliationData[[#This Row],[expected_revenue]]</f>
        <v>0</v>
      </c>
      <c r="AA23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42" t="str">
        <f>IF(ReconciliationData[[#This Row],[severity_score]]=0,"LOW",
 IF(ReconciliationData[[#This Row],[severity_score]]&lt;=5,"MEDIUM","HIGH"))</f>
        <v>LOW</v>
      </c>
      <c r="AC2342" t="str">
        <f>TEXT(ReconciliationData[[#This Row],[Order_Date]],"YYYY-MM")</f>
        <v>2023-07</v>
      </c>
    </row>
    <row r="2343" spans="1:29">
      <c r="A2343" t="s">
        <v>5871</v>
      </c>
      <c r="B2343" s="1">
        <v>45393</v>
      </c>
      <c r="C2343" t="s">
        <v>961</v>
      </c>
      <c r="D2343" t="s">
        <v>757</v>
      </c>
      <c r="E2343">
        <v>60</v>
      </c>
      <c r="F2343" t="s">
        <v>5872</v>
      </c>
      <c r="G2343">
        <v>56</v>
      </c>
      <c r="H2343">
        <v>744.44590000000005</v>
      </c>
      <c r="N2343">
        <v>744.44590000000005</v>
      </c>
      <c r="O2343" s="1">
        <v>45008</v>
      </c>
      <c r="P2343">
        <f>IF(ISBLANK(ReconciliationData[[#This Row],[Invoice_ID]]),1,0)</f>
        <v>0</v>
      </c>
      <c r="Q2343">
        <f>IF(AND(NOT(ISBLANK(ReconciliationData[[#This Row],[Billed_Units]])),ReconciliationData[[#This Row],[ordered_units]]&lt;&gt;ReconciliationData[[#This Row],[Billed_Units]]),1,0)</f>
        <v>1</v>
      </c>
      <c r="R23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3">
        <f>IF(AND(NOT(ISBLANK(ReconciliationData[[#This Row],[Contract_Price]])),ReconciliationData[[#This Row],[Billed_Price]]&lt;&gt;ReconciliationData[[#This Row],[Contract_Price]]),1,0)</f>
        <v>0</v>
      </c>
      <c r="T2343">
        <f>IF(AND(NOT(ISBLANK(ReconciliationData[[#This Row],[End_Date]])),ReconciliationData[[#This Row],[Order_Date]]&gt;ReconciliationData[[#This Row],[End_Date]]),1,0)</f>
        <v>0</v>
      </c>
      <c r="U2343">
        <f>IF(AND(NOT(ISBLANK(ReconciliationData[[#This Row],[last_return_date]])),ReconciliationData[[#This Row],[last_return_date]]&gt;ReconciliationData[[#This Row],[Order_Date]]+60),1,0)</f>
        <v>0</v>
      </c>
      <c r="V2343">
        <f>IF(ReconciliationData[[#This Row],[total_returned_units]]&gt;ReconciliationData[[#This Row],[ordered_units]],1,0)</f>
        <v>0</v>
      </c>
      <c r="W23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43">
        <f>ReconciliationData[[#This Row],[Billed_Units]]*ReconciliationData[[#This Row],[Billed_Price]]</f>
        <v>41688.970400000006</v>
      </c>
      <c r="Y2343">
        <f>ReconciliationData[[#This Row],[ordered_units]]*ReconciliationData[[#This Row],[List_Price]]</f>
        <v>44666.754000000001</v>
      </c>
      <c r="Z2343">
        <f>ReconciliationData[[#This Row],[billed_revenue]]-ReconciliationData[[#This Row],[expected_revenue]]</f>
        <v>-2977.7835999999952</v>
      </c>
      <c r="AA23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343" t="str">
        <f>IF(ReconciliationData[[#This Row],[severity_score]]=0,"LOW",
 IF(ReconciliationData[[#This Row],[severity_score]]&lt;=5,"MEDIUM","HIGH"))</f>
        <v>HIGH</v>
      </c>
      <c r="AC2343" t="str">
        <f>TEXT(ReconciliationData[[#This Row],[Order_Date]],"YYYY-MM")</f>
        <v>2024-04</v>
      </c>
    </row>
    <row r="2344" spans="1:29">
      <c r="A2344" t="s">
        <v>5873</v>
      </c>
      <c r="B2344" s="1">
        <v>45201</v>
      </c>
      <c r="C2344" t="s">
        <v>3296</v>
      </c>
      <c r="D2344" t="s">
        <v>419</v>
      </c>
      <c r="E2344">
        <v>56</v>
      </c>
      <c r="F2344" t="s">
        <v>5874</v>
      </c>
      <c r="G2344">
        <v>56</v>
      </c>
      <c r="H2344">
        <v>1016.9848</v>
      </c>
      <c r="N2344">
        <v>1016.9848</v>
      </c>
      <c r="O2344" s="1">
        <v>45033</v>
      </c>
      <c r="P2344">
        <f>IF(ISBLANK(ReconciliationData[[#This Row],[Invoice_ID]]),1,0)</f>
        <v>0</v>
      </c>
      <c r="Q2344">
        <f>IF(AND(NOT(ISBLANK(ReconciliationData[[#This Row],[Billed_Units]])),ReconciliationData[[#This Row],[ordered_units]]&lt;&gt;ReconciliationData[[#This Row],[Billed_Units]]),1,0)</f>
        <v>0</v>
      </c>
      <c r="R23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4">
        <f>IF(AND(NOT(ISBLANK(ReconciliationData[[#This Row],[Contract_Price]])),ReconciliationData[[#This Row],[Billed_Price]]&lt;&gt;ReconciliationData[[#This Row],[Contract_Price]]),1,0)</f>
        <v>0</v>
      </c>
      <c r="T2344">
        <f>IF(AND(NOT(ISBLANK(ReconciliationData[[#This Row],[End_Date]])),ReconciliationData[[#This Row],[Order_Date]]&gt;ReconciliationData[[#This Row],[End_Date]]),1,0)</f>
        <v>0</v>
      </c>
      <c r="U2344">
        <f>IF(AND(NOT(ISBLANK(ReconciliationData[[#This Row],[last_return_date]])),ReconciliationData[[#This Row],[last_return_date]]&gt;ReconciliationData[[#This Row],[Order_Date]]+60),1,0)</f>
        <v>0</v>
      </c>
      <c r="V2344">
        <f>IF(ReconciliationData[[#This Row],[total_returned_units]]&gt;ReconciliationData[[#This Row],[ordered_units]],1,0)</f>
        <v>0</v>
      </c>
      <c r="W23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44">
        <f>ReconciliationData[[#This Row],[Billed_Units]]*ReconciliationData[[#This Row],[Billed_Price]]</f>
        <v>56951.148799999995</v>
      </c>
      <c r="Y2344">
        <f>ReconciliationData[[#This Row],[ordered_units]]*ReconciliationData[[#This Row],[List_Price]]</f>
        <v>56951.148799999995</v>
      </c>
      <c r="Z2344">
        <f>ReconciliationData[[#This Row],[billed_revenue]]-ReconciliationData[[#This Row],[expected_revenue]]</f>
        <v>0</v>
      </c>
      <c r="AA23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44" t="str">
        <f>IF(ReconciliationData[[#This Row],[severity_score]]=0,"LOW",
 IF(ReconciliationData[[#This Row],[severity_score]]&lt;=5,"MEDIUM","HIGH"))</f>
        <v>LOW</v>
      </c>
      <c r="AC2344" t="str">
        <f>TEXT(ReconciliationData[[#This Row],[Order_Date]],"YYYY-MM")</f>
        <v>2023-10</v>
      </c>
    </row>
    <row r="2345" spans="1:29">
      <c r="A2345" t="s">
        <v>5875</v>
      </c>
      <c r="B2345" s="1">
        <v>45359</v>
      </c>
      <c r="C2345" t="s">
        <v>5876</v>
      </c>
      <c r="D2345" t="s">
        <v>306</v>
      </c>
      <c r="E2345">
        <v>76</v>
      </c>
      <c r="F2345" t="s">
        <v>5877</v>
      </c>
      <c r="G2345">
        <v>76</v>
      </c>
      <c r="H2345">
        <v>1211.7708</v>
      </c>
      <c r="N2345">
        <v>1211.7708</v>
      </c>
      <c r="O2345" s="1">
        <v>45193</v>
      </c>
      <c r="P2345">
        <f>IF(ISBLANK(ReconciliationData[[#This Row],[Invoice_ID]]),1,0)</f>
        <v>0</v>
      </c>
      <c r="Q2345">
        <f>IF(AND(NOT(ISBLANK(ReconciliationData[[#This Row],[Billed_Units]])),ReconciliationData[[#This Row],[ordered_units]]&lt;&gt;ReconciliationData[[#This Row],[Billed_Units]]),1,0)</f>
        <v>0</v>
      </c>
      <c r="R23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5">
        <f>IF(AND(NOT(ISBLANK(ReconciliationData[[#This Row],[Contract_Price]])),ReconciliationData[[#This Row],[Billed_Price]]&lt;&gt;ReconciliationData[[#This Row],[Contract_Price]]),1,0)</f>
        <v>0</v>
      </c>
      <c r="T2345">
        <f>IF(AND(NOT(ISBLANK(ReconciliationData[[#This Row],[End_Date]])),ReconciliationData[[#This Row],[Order_Date]]&gt;ReconciliationData[[#This Row],[End_Date]]),1,0)</f>
        <v>0</v>
      </c>
      <c r="U2345">
        <f>IF(AND(NOT(ISBLANK(ReconciliationData[[#This Row],[last_return_date]])),ReconciliationData[[#This Row],[last_return_date]]&gt;ReconciliationData[[#This Row],[Order_Date]]+60),1,0)</f>
        <v>0</v>
      </c>
      <c r="V2345">
        <f>IF(ReconciliationData[[#This Row],[total_returned_units]]&gt;ReconciliationData[[#This Row],[ordered_units]],1,0)</f>
        <v>0</v>
      </c>
      <c r="W23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45">
        <f>ReconciliationData[[#This Row],[Billed_Units]]*ReconciliationData[[#This Row],[Billed_Price]]</f>
        <v>92094.580799999996</v>
      </c>
      <c r="Y2345">
        <f>ReconciliationData[[#This Row],[ordered_units]]*ReconciliationData[[#This Row],[List_Price]]</f>
        <v>92094.580799999996</v>
      </c>
      <c r="Z2345">
        <f>ReconciliationData[[#This Row],[billed_revenue]]-ReconciliationData[[#This Row],[expected_revenue]]</f>
        <v>0</v>
      </c>
      <c r="AA23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45" t="str">
        <f>IF(ReconciliationData[[#This Row],[severity_score]]=0,"LOW",
 IF(ReconciliationData[[#This Row],[severity_score]]&lt;=5,"MEDIUM","HIGH"))</f>
        <v>LOW</v>
      </c>
      <c r="AC2345" t="str">
        <f>TEXT(ReconciliationData[[#This Row],[Order_Date]],"YYYY-MM")</f>
        <v>2024-03</v>
      </c>
    </row>
    <row r="2346" spans="1:29">
      <c r="A2346" t="s">
        <v>5878</v>
      </c>
      <c r="B2346" s="1">
        <v>45576</v>
      </c>
      <c r="C2346" t="s">
        <v>3450</v>
      </c>
      <c r="D2346" t="s">
        <v>1869</v>
      </c>
      <c r="E2346">
        <v>181</v>
      </c>
      <c r="F2346" t="s">
        <v>5879</v>
      </c>
      <c r="G2346">
        <v>181</v>
      </c>
      <c r="H2346">
        <v>75.504800000000003</v>
      </c>
      <c r="N2346">
        <v>75.504800000000003</v>
      </c>
      <c r="O2346" s="1">
        <v>45080</v>
      </c>
      <c r="P2346">
        <f>IF(ISBLANK(ReconciliationData[[#This Row],[Invoice_ID]]),1,0)</f>
        <v>0</v>
      </c>
      <c r="Q2346">
        <f>IF(AND(NOT(ISBLANK(ReconciliationData[[#This Row],[Billed_Units]])),ReconciliationData[[#This Row],[ordered_units]]&lt;&gt;ReconciliationData[[#This Row],[Billed_Units]]),1,0)</f>
        <v>0</v>
      </c>
      <c r="R23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6">
        <f>IF(AND(NOT(ISBLANK(ReconciliationData[[#This Row],[Contract_Price]])),ReconciliationData[[#This Row],[Billed_Price]]&lt;&gt;ReconciliationData[[#This Row],[Contract_Price]]),1,0)</f>
        <v>0</v>
      </c>
      <c r="T2346">
        <f>IF(AND(NOT(ISBLANK(ReconciliationData[[#This Row],[End_Date]])),ReconciliationData[[#This Row],[Order_Date]]&gt;ReconciliationData[[#This Row],[End_Date]]),1,0)</f>
        <v>0</v>
      </c>
      <c r="U2346">
        <f>IF(AND(NOT(ISBLANK(ReconciliationData[[#This Row],[last_return_date]])),ReconciliationData[[#This Row],[last_return_date]]&gt;ReconciliationData[[#This Row],[Order_Date]]+60),1,0)</f>
        <v>0</v>
      </c>
      <c r="V2346">
        <f>IF(ReconciliationData[[#This Row],[total_returned_units]]&gt;ReconciliationData[[#This Row],[ordered_units]],1,0)</f>
        <v>0</v>
      </c>
      <c r="W23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46">
        <f>ReconciliationData[[#This Row],[Billed_Units]]*ReconciliationData[[#This Row],[Billed_Price]]</f>
        <v>13666.3688</v>
      </c>
      <c r="Y2346">
        <f>ReconciliationData[[#This Row],[ordered_units]]*ReconciliationData[[#This Row],[List_Price]]</f>
        <v>13666.3688</v>
      </c>
      <c r="Z2346">
        <f>ReconciliationData[[#This Row],[billed_revenue]]-ReconciliationData[[#This Row],[expected_revenue]]</f>
        <v>0</v>
      </c>
      <c r="AA23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46" t="str">
        <f>IF(ReconciliationData[[#This Row],[severity_score]]=0,"LOW",
 IF(ReconciliationData[[#This Row],[severity_score]]&lt;=5,"MEDIUM","HIGH"))</f>
        <v>LOW</v>
      </c>
      <c r="AC2346" t="str">
        <f>TEXT(ReconciliationData[[#This Row],[Order_Date]],"YYYY-MM")</f>
        <v>2024-10</v>
      </c>
    </row>
    <row r="2347" spans="1:29">
      <c r="A2347" t="s">
        <v>5880</v>
      </c>
      <c r="B2347" s="1">
        <v>45552</v>
      </c>
      <c r="C2347" t="s">
        <v>400</v>
      </c>
      <c r="D2347" t="s">
        <v>2605</v>
      </c>
      <c r="E2347">
        <v>156</v>
      </c>
      <c r="F2347" t="s">
        <v>5881</v>
      </c>
      <c r="G2347">
        <v>156</v>
      </c>
      <c r="H2347">
        <v>696.93029999999999</v>
      </c>
      <c r="N2347">
        <v>696.93029999999999</v>
      </c>
      <c r="O2347" s="1">
        <v>45150</v>
      </c>
      <c r="P2347">
        <f>IF(ISBLANK(ReconciliationData[[#This Row],[Invoice_ID]]),1,0)</f>
        <v>0</v>
      </c>
      <c r="Q2347">
        <f>IF(AND(NOT(ISBLANK(ReconciliationData[[#This Row],[Billed_Units]])),ReconciliationData[[#This Row],[ordered_units]]&lt;&gt;ReconciliationData[[#This Row],[Billed_Units]]),1,0)</f>
        <v>0</v>
      </c>
      <c r="R23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7">
        <f>IF(AND(NOT(ISBLANK(ReconciliationData[[#This Row],[Contract_Price]])),ReconciliationData[[#This Row],[Billed_Price]]&lt;&gt;ReconciliationData[[#This Row],[Contract_Price]]),1,0)</f>
        <v>0</v>
      </c>
      <c r="T2347">
        <f>IF(AND(NOT(ISBLANK(ReconciliationData[[#This Row],[End_Date]])),ReconciliationData[[#This Row],[Order_Date]]&gt;ReconciliationData[[#This Row],[End_Date]]),1,0)</f>
        <v>0</v>
      </c>
      <c r="U2347">
        <f>IF(AND(NOT(ISBLANK(ReconciliationData[[#This Row],[last_return_date]])),ReconciliationData[[#This Row],[last_return_date]]&gt;ReconciliationData[[#This Row],[Order_Date]]+60),1,0)</f>
        <v>0</v>
      </c>
      <c r="V2347">
        <f>IF(ReconciliationData[[#This Row],[total_returned_units]]&gt;ReconciliationData[[#This Row],[ordered_units]],1,0)</f>
        <v>0</v>
      </c>
      <c r="W23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47">
        <f>ReconciliationData[[#This Row],[Billed_Units]]*ReconciliationData[[#This Row],[Billed_Price]]</f>
        <v>108721.1268</v>
      </c>
      <c r="Y2347">
        <f>ReconciliationData[[#This Row],[ordered_units]]*ReconciliationData[[#This Row],[List_Price]]</f>
        <v>108721.1268</v>
      </c>
      <c r="Z2347">
        <f>ReconciliationData[[#This Row],[billed_revenue]]-ReconciliationData[[#This Row],[expected_revenue]]</f>
        <v>0</v>
      </c>
      <c r="AA23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47" t="str">
        <f>IF(ReconciliationData[[#This Row],[severity_score]]=0,"LOW",
 IF(ReconciliationData[[#This Row],[severity_score]]&lt;=5,"MEDIUM","HIGH"))</f>
        <v>LOW</v>
      </c>
      <c r="AC2347" t="str">
        <f>TEXT(ReconciliationData[[#This Row],[Order_Date]],"YYYY-MM")</f>
        <v>2024-09</v>
      </c>
    </row>
    <row r="2348" spans="1:29">
      <c r="A2348" t="s">
        <v>5882</v>
      </c>
      <c r="B2348" s="1">
        <v>45594</v>
      </c>
      <c r="C2348" t="s">
        <v>1297</v>
      </c>
      <c r="D2348" t="s">
        <v>1616</v>
      </c>
      <c r="E2348">
        <v>96</v>
      </c>
      <c r="F2348" t="s">
        <v>5883</v>
      </c>
      <c r="G2348">
        <v>96</v>
      </c>
      <c r="H2348">
        <v>1137.9636</v>
      </c>
      <c r="N2348">
        <v>1137.9636</v>
      </c>
      <c r="O2348" s="1">
        <v>45007</v>
      </c>
      <c r="P2348">
        <f>IF(ISBLANK(ReconciliationData[[#This Row],[Invoice_ID]]),1,0)</f>
        <v>0</v>
      </c>
      <c r="Q2348">
        <f>IF(AND(NOT(ISBLANK(ReconciliationData[[#This Row],[Billed_Units]])),ReconciliationData[[#This Row],[ordered_units]]&lt;&gt;ReconciliationData[[#This Row],[Billed_Units]]),1,0)</f>
        <v>0</v>
      </c>
      <c r="R23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8">
        <f>IF(AND(NOT(ISBLANK(ReconciliationData[[#This Row],[Contract_Price]])),ReconciliationData[[#This Row],[Billed_Price]]&lt;&gt;ReconciliationData[[#This Row],[Contract_Price]]),1,0)</f>
        <v>0</v>
      </c>
      <c r="T2348">
        <f>IF(AND(NOT(ISBLANK(ReconciliationData[[#This Row],[End_Date]])),ReconciliationData[[#This Row],[Order_Date]]&gt;ReconciliationData[[#This Row],[End_Date]]),1,0)</f>
        <v>0</v>
      </c>
      <c r="U2348">
        <f>IF(AND(NOT(ISBLANK(ReconciliationData[[#This Row],[last_return_date]])),ReconciliationData[[#This Row],[last_return_date]]&gt;ReconciliationData[[#This Row],[Order_Date]]+60),1,0)</f>
        <v>0</v>
      </c>
      <c r="V2348">
        <f>IF(ReconciliationData[[#This Row],[total_returned_units]]&gt;ReconciliationData[[#This Row],[ordered_units]],1,0)</f>
        <v>0</v>
      </c>
      <c r="W23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48">
        <f>ReconciliationData[[#This Row],[Billed_Units]]*ReconciliationData[[#This Row],[Billed_Price]]</f>
        <v>109244.5056</v>
      </c>
      <c r="Y2348">
        <f>ReconciliationData[[#This Row],[ordered_units]]*ReconciliationData[[#This Row],[List_Price]]</f>
        <v>109244.5056</v>
      </c>
      <c r="Z2348">
        <f>ReconciliationData[[#This Row],[billed_revenue]]-ReconciliationData[[#This Row],[expected_revenue]]</f>
        <v>0</v>
      </c>
      <c r="AA23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48" t="str">
        <f>IF(ReconciliationData[[#This Row],[severity_score]]=0,"LOW",
 IF(ReconciliationData[[#This Row],[severity_score]]&lt;=5,"MEDIUM","HIGH"))</f>
        <v>LOW</v>
      </c>
      <c r="AC2348" t="str">
        <f>TEXT(ReconciliationData[[#This Row],[Order_Date]],"YYYY-MM")</f>
        <v>2024-10</v>
      </c>
    </row>
    <row r="2349" spans="1:29">
      <c r="A2349" t="s">
        <v>5884</v>
      </c>
      <c r="B2349" s="1">
        <v>45236</v>
      </c>
      <c r="C2349" t="s">
        <v>2768</v>
      </c>
      <c r="D2349" t="s">
        <v>227</v>
      </c>
      <c r="E2349">
        <v>41</v>
      </c>
      <c r="F2349" t="s">
        <v>5885</v>
      </c>
      <c r="G2349">
        <v>41</v>
      </c>
      <c r="H2349">
        <v>626.68790000000001</v>
      </c>
      <c r="N2349">
        <v>626.68790000000001</v>
      </c>
      <c r="O2349" s="1">
        <v>45103</v>
      </c>
      <c r="P2349">
        <f>IF(ISBLANK(ReconciliationData[[#This Row],[Invoice_ID]]),1,0)</f>
        <v>0</v>
      </c>
      <c r="Q2349">
        <f>IF(AND(NOT(ISBLANK(ReconciliationData[[#This Row],[Billed_Units]])),ReconciliationData[[#This Row],[ordered_units]]&lt;&gt;ReconciliationData[[#This Row],[Billed_Units]]),1,0)</f>
        <v>0</v>
      </c>
      <c r="R23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49">
        <f>IF(AND(NOT(ISBLANK(ReconciliationData[[#This Row],[Contract_Price]])),ReconciliationData[[#This Row],[Billed_Price]]&lt;&gt;ReconciliationData[[#This Row],[Contract_Price]]),1,0)</f>
        <v>0</v>
      </c>
      <c r="T2349">
        <f>IF(AND(NOT(ISBLANK(ReconciliationData[[#This Row],[End_Date]])),ReconciliationData[[#This Row],[Order_Date]]&gt;ReconciliationData[[#This Row],[End_Date]]),1,0)</f>
        <v>0</v>
      </c>
      <c r="U2349">
        <f>IF(AND(NOT(ISBLANK(ReconciliationData[[#This Row],[last_return_date]])),ReconciliationData[[#This Row],[last_return_date]]&gt;ReconciliationData[[#This Row],[Order_Date]]+60),1,0)</f>
        <v>0</v>
      </c>
      <c r="V2349">
        <f>IF(ReconciliationData[[#This Row],[total_returned_units]]&gt;ReconciliationData[[#This Row],[ordered_units]],1,0)</f>
        <v>0</v>
      </c>
      <c r="W23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49">
        <f>ReconciliationData[[#This Row],[Billed_Units]]*ReconciliationData[[#This Row],[Billed_Price]]</f>
        <v>25694.2039</v>
      </c>
      <c r="Y2349">
        <f>ReconciliationData[[#This Row],[ordered_units]]*ReconciliationData[[#This Row],[List_Price]]</f>
        <v>25694.2039</v>
      </c>
      <c r="Z2349">
        <f>ReconciliationData[[#This Row],[billed_revenue]]-ReconciliationData[[#This Row],[expected_revenue]]</f>
        <v>0</v>
      </c>
      <c r="AA23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49" t="str">
        <f>IF(ReconciliationData[[#This Row],[severity_score]]=0,"LOW",
 IF(ReconciliationData[[#This Row],[severity_score]]&lt;=5,"MEDIUM","HIGH"))</f>
        <v>LOW</v>
      </c>
      <c r="AC2349" t="str">
        <f>TEXT(ReconciliationData[[#This Row],[Order_Date]],"YYYY-MM")</f>
        <v>2023-11</v>
      </c>
    </row>
    <row r="2350" spans="1:29">
      <c r="A2350" t="s">
        <v>5886</v>
      </c>
      <c r="B2350" s="1">
        <v>45518</v>
      </c>
      <c r="C2350" t="s">
        <v>1498</v>
      </c>
      <c r="D2350" t="s">
        <v>937</v>
      </c>
      <c r="E2350">
        <v>107</v>
      </c>
      <c r="F2350" t="s">
        <v>5887</v>
      </c>
      <c r="G2350">
        <v>107</v>
      </c>
      <c r="H2350">
        <v>419.71280000000002</v>
      </c>
      <c r="N2350">
        <v>419.71280000000002</v>
      </c>
      <c r="O2350" s="1">
        <v>45214</v>
      </c>
      <c r="P2350">
        <f>IF(ISBLANK(ReconciliationData[[#This Row],[Invoice_ID]]),1,0)</f>
        <v>0</v>
      </c>
      <c r="Q2350">
        <f>IF(AND(NOT(ISBLANK(ReconciliationData[[#This Row],[Billed_Units]])),ReconciliationData[[#This Row],[ordered_units]]&lt;&gt;ReconciliationData[[#This Row],[Billed_Units]]),1,0)</f>
        <v>0</v>
      </c>
      <c r="R23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50">
        <f>IF(AND(NOT(ISBLANK(ReconciliationData[[#This Row],[Contract_Price]])),ReconciliationData[[#This Row],[Billed_Price]]&lt;&gt;ReconciliationData[[#This Row],[Contract_Price]]),1,0)</f>
        <v>0</v>
      </c>
      <c r="T2350">
        <f>IF(AND(NOT(ISBLANK(ReconciliationData[[#This Row],[End_Date]])),ReconciliationData[[#This Row],[Order_Date]]&gt;ReconciliationData[[#This Row],[End_Date]]),1,0)</f>
        <v>0</v>
      </c>
      <c r="U2350">
        <f>IF(AND(NOT(ISBLANK(ReconciliationData[[#This Row],[last_return_date]])),ReconciliationData[[#This Row],[last_return_date]]&gt;ReconciliationData[[#This Row],[Order_Date]]+60),1,0)</f>
        <v>0</v>
      </c>
      <c r="V2350">
        <f>IF(ReconciliationData[[#This Row],[total_returned_units]]&gt;ReconciliationData[[#This Row],[ordered_units]],1,0)</f>
        <v>0</v>
      </c>
      <c r="W23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50">
        <f>ReconciliationData[[#This Row],[Billed_Units]]*ReconciliationData[[#This Row],[Billed_Price]]</f>
        <v>44909.2696</v>
      </c>
      <c r="Y2350">
        <f>ReconciliationData[[#This Row],[ordered_units]]*ReconciliationData[[#This Row],[List_Price]]</f>
        <v>44909.2696</v>
      </c>
      <c r="Z2350">
        <f>ReconciliationData[[#This Row],[billed_revenue]]-ReconciliationData[[#This Row],[expected_revenue]]</f>
        <v>0</v>
      </c>
      <c r="AA23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50" t="str">
        <f>IF(ReconciliationData[[#This Row],[severity_score]]=0,"LOW",
 IF(ReconciliationData[[#This Row],[severity_score]]&lt;=5,"MEDIUM","HIGH"))</f>
        <v>LOW</v>
      </c>
      <c r="AC2350" t="str">
        <f>TEXT(ReconciliationData[[#This Row],[Order_Date]],"YYYY-MM")</f>
        <v>2024-08</v>
      </c>
    </row>
    <row r="2351" spans="1:29">
      <c r="A2351" t="s">
        <v>5888</v>
      </c>
      <c r="B2351" s="1">
        <v>45365</v>
      </c>
      <c r="C2351" t="s">
        <v>4966</v>
      </c>
      <c r="D2351" t="s">
        <v>573</v>
      </c>
      <c r="E2351">
        <v>187</v>
      </c>
      <c r="F2351" t="s">
        <v>5889</v>
      </c>
      <c r="G2351">
        <v>187</v>
      </c>
      <c r="H2351">
        <v>1223.9694</v>
      </c>
      <c r="N2351">
        <v>1223.9694</v>
      </c>
      <c r="O2351" s="1">
        <v>45154</v>
      </c>
      <c r="P2351">
        <f>IF(ISBLANK(ReconciliationData[[#This Row],[Invoice_ID]]),1,0)</f>
        <v>0</v>
      </c>
      <c r="Q2351">
        <f>IF(AND(NOT(ISBLANK(ReconciliationData[[#This Row],[Billed_Units]])),ReconciliationData[[#This Row],[ordered_units]]&lt;&gt;ReconciliationData[[#This Row],[Billed_Units]]),1,0)</f>
        <v>0</v>
      </c>
      <c r="R23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51">
        <f>IF(AND(NOT(ISBLANK(ReconciliationData[[#This Row],[Contract_Price]])),ReconciliationData[[#This Row],[Billed_Price]]&lt;&gt;ReconciliationData[[#This Row],[Contract_Price]]),1,0)</f>
        <v>0</v>
      </c>
      <c r="T2351">
        <f>IF(AND(NOT(ISBLANK(ReconciliationData[[#This Row],[End_Date]])),ReconciliationData[[#This Row],[Order_Date]]&gt;ReconciliationData[[#This Row],[End_Date]]),1,0)</f>
        <v>0</v>
      </c>
      <c r="U2351">
        <f>IF(AND(NOT(ISBLANK(ReconciliationData[[#This Row],[last_return_date]])),ReconciliationData[[#This Row],[last_return_date]]&gt;ReconciliationData[[#This Row],[Order_Date]]+60),1,0)</f>
        <v>0</v>
      </c>
      <c r="V2351">
        <f>IF(ReconciliationData[[#This Row],[total_returned_units]]&gt;ReconciliationData[[#This Row],[ordered_units]],1,0)</f>
        <v>0</v>
      </c>
      <c r="W23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51">
        <f>ReconciliationData[[#This Row],[Billed_Units]]*ReconciliationData[[#This Row],[Billed_Price]]</f>
        <v>228882.27779999998</v>
      </c>
      <c r="Y2351">
        <f>ReconciliationData[[#This Row],[ordered_units]]*ReconciliationData[[#This Row],[List_Price]]</f>
        <v>228882.27779999998</v>
      </c>
      <c r="Z2351">
        <f>ReconciliationData[[#This Row],[billed_revenue]]-ReconciliationData[[#This Row],[expected_revenue]]</f>
        <v>0</v>
      </c>
      <c r="AA23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51" t="str">
        <f>IF(ReconciliationData[[#This Row],[severity_score]]=0,"LOW",
 IF(ReconciliationData[[#This Row],[severity_score]]&lt;=5,"MEDIUM","HIGH"))</f>
        <v>LOW</v>
      </c>
      <c r="AC2351" t="str">
        <f>TEXT(ReconciliationData[[#This Row],[Order_Date]],"YYYY-MM")</f>
        <v>2024-03</v>
      </c>
    </row>
    <row r="2352" spans="1:29">
      <c r="A2352" t="s">
        <v>5890</v>
      </c>
      <c r="B2352" s="1">
        <v>45492</v>
      </c>
      <c r="C2352" t="s">
        <v>894</v>
      </c>
      <c r="D2352" t="s">
        <v>419</v>
      </c>
      <c r="E2352">
        <v>173</v>
      </c>
      <c r="F2352" t="s">
        <v>5891</v>
      </c>
      <c r="G2352">
        <v>173</v>
      </c>
      <c r="H2352">
        <v>1016.9848</v>
      </c>
      <c r="N2352">
        <v>1016.9848</v>
      </c>
      <c r="O2352" s="1">
        <v>45033</v>
      </c>
      <c r="P2352">
        <f>IF(ISBLANK(ReconciliationData[[#This Row],[Invoice_ID]]),1,0)</f>
        <v>0</v>
      </c>
      <c r="Q2352">
        <f>IF(AND(NOT(ISBLANK(ReconciliationData[[#This Row],[Billed_Units]])),ReconciliationData[[#This Row],[ordered_units]]&lt;&gt;ReconciliationData[[#This Row],[Billed_Units]]),1,0)</f>
        <v>0</v>
      </c>
      <c r="R23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52">
        <f>IF(AND(NOT(ISBLANK(ReconciliationData[[#This Row],[Contract_Price]])),ReconciliationData[[#This Row],[Billed_Price]]&lt;&gt;ReconciliationData[[#This Row],[Contract_Price]]),1,0)</f>
        <v>0</v>
      </c>
      <c r="T2352">
        <f>IF(AND(NOT(ISBLANK(ReconciliationData[[#This Row],[End_Date]])),ReconciliationData[[#This Row],[Order_Date]]&gt;ReconciliationData[[#This Row],[End_Date]]),1,0)</f>
        <v>0</v>
      </c>
      <c r="U2352">
        <f>IF(AND(NOT(ISBLANK(ReconciliationData[[#This Row],[last_return_date]])),ReconciliationData[[#This Row],[last_return_date]]&gt;ReconciliationData[[#This Row],[Order_Date]]+60),1,0)</f>
        <v>0</v>
      </c>
      <c r="V2352">
        <f>IF(ReconciliationData[[#This Row],[total_returned_units]]&gt;ReconciliationData[[#This Row],[ordered_units]],1,0)</f>
        <v>0</v>
      </c>
      <c r="W23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52">
        <f>ReconciliationData[[#This Row],[Billed_Units]]*ReconciliationData[[#This Row],[Billed_Price]]</f>
        <v>175938.37039999999</v>
      </c>
      <c r="Y2352">
        <f>ReconciliationData[[#This Row],[ordered_units]]*ReconciliationData[[#This Row],[List_Price]]</f>
        <v>175938.37039999999</v>
      </c>
      <c r="Z2352">
        <f>ReconciliationData[[#This Row],[billed_revenue]]-ReconciliationData[[#This Row],[expected_revenue]]</f>
        <v>0</v>
      </c>
      <c r="AA23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52" t="str">
        <f>IF(ReconciliationData[[#This Row],[severity_score]]=0,"LOW",
 IF(ReconciliationData[[#This Row],[severity_score]]&lt;=5,"MEDIUM","HIGH"))</f>
        <v>LOW</v>
      </c>
      <c r="AC2352" t="str">
        <f>TEXT(ReconciliationData[[#This Row],[Order_Date]],"YYYY-MM")</f>
        <v>2024-07</v>
      </c>
    </row>
    <row r="2353" spans="1:29">
      <c r="A2353" t="s">
        <v>5892</v>
      </c>
      <c r="B2353" s="1">
        <v>45105</v>
      </c>
      <c r="C2353" t="s">
        <v>947</v>
      </c>
      <c r="D2353" t="s">
        <v>1309</v>
      </c>
      <c r="E2353">
        <v>33</v>
      </c>
      <c r="F2353" t="s">
        <v>5893</v>
      </c>
      <c r="G2353">
        <v>33</v>
      </c>
      <c r="H2353">
        <v>906.88919999999996</v>
      </c>
      <c r="N2353">
        <v>906.88919999999996</v>
      </c>
      <c r="O2353" s="1">
        <v>44991</v>
      </c>
      <c r="P2353">
        <f>IF(ISBLANK(ReconciliationData[[#This Row],[Invoice_ID]]),1,0)</f>
        <v>0</v>
      </c>
      <c r="Q2353">
        <f>IF(AND(NOT(ISBLANK(ReconciliationData[[#This Row],[Billed_Units]])),ReconciliationData[[#This Row],[ordered_units]]&lt;&gt;ReconciliationData[[#This Row],[Billed_Units]]),1,0)</f>
        <v>0</v>
      </c>
      <c r="R23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53">
        <f>IF(AND(NOT(ISBLANK(ReconciliationData[[#This Row],[Contract_Price]])),ReconciliationData[[#This Row],[Billed_Price]]&lt;&gt;ReconciliationData[[#This Row],[Contract_Price]]),1,0)</f>
        <v>0</v>
      </c>
      <c r="T2353">
        <f>IF(AND(NOT(ISBLANK(ReconciliationData[[#This Row],[End_Date]])),ReconciliationData[[#This Row],[Order_Date]]&gt;ReconciliationData[[#This Row],[End_Date]]),1,0)</f>
        <v>0</v>
      </c>
      <c r="U2353">
        <f>IF(AND(NOT(ISBLANK(ReconciliationData[[#This Row],[last_return_date]])),ReconciliationData[[#This Row],[last_return_date]]&gt;ReconciliationData[[#This Row],[Order_Date]]+60),1,0)</f>
        <v>0</v>
      </c>
      <c r="V2353">
        <f>IF(ReconciliationData[[#This Row],[total_returned_units]]&gt;ReconciliationData[[#This Row],[ordered_units]],1,0)</f>
        <v>0</v>
      </c>
      <c r="W23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53">
        <f>ReconciliationData[[#This Row],[Billed_Units]]*ReconciliationData[[#This Row],[Billed_Price]]</f>
        <v>29927.3436</v>
      </c>
      <c r="Y2353">
        <f>ReconciliationData[[#This Row],[ordered_units]]*ReconciliationData[[#This Row],[List_Price]]</f>
        <v>29927.3436</v>
      </c>
      <c r="Z2353">
        <f>ReconciliationData[[#This Row],[billed_revenue]]-ReconciliationData[[#This Row],[expected_revenue]]</f>
        <v>0</v>
      </c>
      <c r="AA23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53" t="str">
        <f>IF(ReconciliationData[[#This Row],[severity_score]]=0,"LOW",
 IF(ReconciliationData[[#This Row],[severity_score]]&lt;=5,"MEDIUM","HIGH"))</f>
        <v>LOW</v>
      </c>
      <c r="AC2353" t="str">
        <f>TEXT(ReconciliationData[[#This Row],[Order_Date]],"YYYY-MM")</f>
        <v>2023-06</v>
      </c>
    </row>
    <row r="2354" spans="1:29">
      <c r="A2354" t="s">
        <v>5894</v>
      </c>
      <c r="B2354" s="1">
        <v>45371</v>
      </c>
      <c r="C2354" t="s">
        <v>4914</v>
      </c>
      <c r="D2354" t="s">
        <v>216</v>
      </c>
      <c r="E2354">
        <v>104</v>
      </c>
      <c r="F2354" t="s">
        <v>5895</v>
      </c>
      <c r="G2354">
        <v>104</v>
      </c>
      <c r="H2354">
        <v>1047.5302305266457</v>
      </c>
      <c r="N2354">
        <v>1046.6099999999999</v>
      </c>
      <c r="O2354" s="1">
        <v>44940</v>
      </c>
      <c r="P2354">
        <f>IF(ISBLANK(ReconciliationData[[#This Row],[Invoice_ID]]),1,0)</f>
        <v>0</v>
      </c>
      <c r="Q2354">
        <f>IF(AND(NOT(ISBLANK(ReconciliationData[[#This Row],[Billed_Units]])),ReconciliationData[[#This Row],[ordered_units]]&lt;&gt;ReconciliationData[[#This Row],[Billed_Units]]),1,0)</f>
        <v>0</v>
      </c>
      <c r="R235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354">
        <f>IF(AND(NOT(ISBLANK(ReconciliationData[[#This Row],[Contract_Price]])),ReconciliationData[[#This Row],[Billed_Price]]&lt;&gt;ReconciliationData[[#This Row],[Contract_Price]]),1,0)</f>
        <v>0</v>
      </c>
      <c r="T2354">
        <f>IF(AND(NOT(ISBLANK(ReconciliationData[[#This Row],[End_Date]])),ReconciliationData[[#This Row],[Order_Date]]&gt;ReconciliationData[[#This Row],[End_Date]]),1,0)</f>
        <v>0</v>
      </c>
      <c r="U2354">
        <f>IF(AND(NOT(ISBLANK(ReconciliationData[[#This Row],[last_return_date]])),ReconciliationData[[#This Row],[last_return_date]]&gt;ReconciliationData[[#This Row],[Order_Date]]+60),1,0)</f>
        <v>0</v>
      </c>
      <c r="V2354">
        <f>IF(ReconciliationData[[#This Row],[total_returned_units]]&gt;ReconciliationData[[#This Row],[ordered_units]],1,0)</f>
        <v>0</v>
      </c>
      <c r="W23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54">
        <f>ReconciliationData[[#This Row],[Billed_Units]]*ReconciliationData[[#This Row],[Billed_Price]]</f>
        <v>108943.14397477116</v>
      </c>
      <c r="Y2354">
        <f>ReconciliationData[[#This Row],[ordered_units]]*ReconciliationData[[#This Row],[List_Price]]</f>
        <v>108847.43999999999</v>
      </c>
      <c r="Z2354">
        <f>ReconciliationData[[#This Row],[billed_revenue]]-ReconciliationData[[#This Row],[expected_revenue]]</f>
        <v>95.70397477116785</v>
      </c>
      <c r="AA23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354" t="str">
        <f>IF(ReconciliationData[[#This Row],[severity_score]]=0,"LOW",
 IF(ReconciliationData[[#This Row],[severity_score]]&lt;=5,"MEDIUM","HIGH"))</f>
        <v>MEDIUM</v>
      </c>
      <c r="AC2354" t="str">
        <f>TEXT(ReconciliationData[[#This Row],[Order_Date]],"YYYY-MM")</f>
        <v>2024-03</v>
      </c>
    </row>
    <row r="2355" spans="1:29">
      <c r="A2355" t="s">
        <v>5896</v>
      </c>
      <c r="B2355" s="1">
        <v>44943</v>
      </c>
      <c r="C2355" t="s">
        <v>3243</v>
      </c>
      <c r="D2355" t="s">
        <v>1487</v>
      </c>
      <c r="E2355">
        <v>3</v>
      </c>
      <c r="F2355" t="s">
        <v>5897</v>
      </c>
      <c r="G2355">
        <v>3</v>
      </c>
      <c r="H2355">
        <v>257.77999999999997</v>
      </c>
      <c r="N2355">
        <v>257.77999999999997</v>
      </c>
      <c r="O2355" s="1">
        <v>44725</v>
      </c>
      <c r="P2355">
        <f>IF(ISBLANK(ReconciliationData[[#This Row],[Invoice_ID]]),1,0)</f>
        <v>0</v>
      </c>
      <c r="Q2355">
        <f>IF(AND(NOT(ISBLANK(ReconciliationData[[#This Row],[Billed_Units]])),ReconciliationData[[#This Row],[ordered_units]]&lt;&gt;ReconciliationData[[#This Row],[Billed_Units]]),1,0)</f>
        <v>0</v>
      </c>
      <c r="R23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55">
        <f>IF(AND(NOT(ISBLANK(ReconciliationData[[#This Row],[Contract_Price]])),ReconciliationData[[#This Row],[Billed_Price]]&lt;&gt;ReconciliationData[[#This Row],[Contract_Price]]),1,0)</f>
        <v>0</v>
      </c>
      <c r="T2355">
        <f>IF(AND(NOT(ISBLANK(ReconciliationData[[#This Row],[End_Date]])),ReconciliationData[[#This Row],[Order_Date]]&gt;ReconciliationData[[#This Row],[End_Date]]),1,0)</f>
        <v>0</v>
      </c>
      <c r="U2355">
        <f>IF(AND(NOT(ISBLANK(ReconciliationData[[#This Row],[last_return_date]])),ReconciliationData[[#This Row],[last_return_date]]&gt;ReconciliationData[[#This Row],[Order_Date]]+60),1,0)</f>
        <v>0</v>
      </c>
      <c r="V2355">
        <f>IF(ReconciliationData[[#This Row],[total_returned_units]]&gt;ReconciliationData[[#This Row],[ordered_units]],1,0)</f>
        <v>0</v>
      </c>
      <c r="W23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55">
        <f>ReconciliationData[[#This Row],[Billed_Units]]*ReconciliationData[[#This Row],[Billed_Price]]</f>
        <v>773.33999999999992</v>
      </c>
      <c r="Y2355">
        <f>ReconciliationData[[#This Row],[ordered_units]]*ReconciliationData[[#This Row],[List_Price]]</f>
        <v>773.33999999999992</v>
      </c>
      <c r="Z2355">
        <f>ReconciliationData[[#This Row],[billed_revenue]]-ReconciliationData[[#This Row],[expected_revenue]]</f>
        <v>0</v>
      </c>
      <c r="AA23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55" t="str">
        <f>IF(ReconciliationData[[#This Row],[severity_score]]=0,"LOW",
 IF(ReconciliationData[[#This Row],[severity_score]]&lt;=5,"MEDIUM","HIGH"))</f>
        <v>LOW</v>
      </c>
      <c r="AC2355" t="str">
        <f>TEXT(ReconciliationData[[#This Row],[Order_Date]],"YYYY-MM")</f>
        <v>2023-01</v>
      </c>
    </row>
    <row r="2356" spans="1:29">
      <c r="A2356" t="s">
        <v>5898</v>
      </c>
      <c r="B2356" s="1">
        <v>45097</v>
      </c>
      <c r="C2356" t="s">
        <v>1984</v>
      </c>
      <c r="D2356" t="s">
        <v>3409</v>
      </c>
      <c r="E2356">
        <v>96</v>
      </c>
      <c r="F2356" t="s">
        <v>5899</v>
      </c>
      <c r="G2356">
        <v>96</v>
      </c>
      <c r="H2356">
        <v>104.9652</v>
      </c>
      <c r="I2356">
        <v>13</v>
      </c>
      <c r="J2356" s="1">
        <v>45331</v>
      </c>
      <c r="N2356">
        <v>104.9652</v>
      </c>
      <c r="O2356" s="1">
        <v>45066</v>
      </c>
      <c r="P2356">
        <f>IF(ISBLANK(ReconciliationData[[#This Row],[Invoice_ID]]),1,0)</f>
        <v>0</v>
      </c>
      <c r="Q2356">
        <f>IF(AND(NOT(ISBLANK(ReconciliationData[[#This Row],[Billed_Units]])),ReconciliationData[[#This Row],[ordered_units]]&lt;&gt;ReconciliationData[[#This Row],[Billed_Units]]),1,0)</f>
        <v>0</v>
      </c>
      <c r="R23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56">
        <f>IF(AND(NOT(ISBLANK(ReconciliationData[[#This Row],[Contract_Price]])),ReconciliationData[[#This Row],[Billed_Price]]&lt;&gt;ReconciliationData[[#This Row],[Contract_Price]]),1,0)</f>
        <v>0</v>
      </c>
      <c r="T2356">
        <f>IF(AND(NOT(ISBLANK(ReconciliationData[[#This Row],[End_Date]])),ReconciliationData[[#This Row],[Order_Date]]&gt;ReconciliationData[[#This Row],[End_Date]]),1,0)</f>
        <v>0</v>
      </c>
      <c r="U2356">
        <f>IF(AND(NOT(ISBLANK(ReconciliationData[[#This Row],[last_return_date]])),ReconciliationData[[#This Row],[last_return_date]]&gt;ReconciliationData[[#This Row],[Order_Date]]+60),1,0)</f>
        <v>1</v>
      </c>
      <c r="V2356">
        <f>IF(ReconciliationData[[#This Row],[total_returned_units]]&gt;ReconciliationData[[#This Row],[ordered_units]],1,0)</f>
        <v>0</v>
      </c>
      <c r="W23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56">
        <f>ReconciliationData[[#This Row],[Billed_Units]]*ReconciliationData[[#This Row],[Billed_Price]]</f>
        <v>10076.6592</v>
      </c>
      <c r="Y2356">
        <f>ReconciliationData[[#This Row],[ordered_units]]*ReconciliationData[[#This Row],[List_Price]]</f>
        <v>10076.6592</v>
      </c>
      <c r="Z2356">
        <f>ReconciliationData[[#This Row],[billed_revenue]]-ReconciliationData[[#This Row],[expected_revenue]]</f>
        <v>0</v>
      </c>
      <c r="AA23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356" t="str">
        <f>IF(ReconciliationData[[#This Row],[severity_score]]=0,"LOW",
 IF(ReconciliationData[[#This Row],[severity_score]]&lt;=5,"MEDIUM","HIGH"))</f>
        <v>MEDIUM</v>
      </c>
      <c r="AC2356" t="str">
        <f>TEXT(ReconciliationData[[#This Row],[Order_Date]],"YYYY-MM")</f>
        <v>2023-06</v>
      </c>
    </row>
    <row r="2357" spans="1:29">
      <c r="A2357" t="s">
        <v>5900</v>
      </c>
      <c r="B2357" s="1">
        <v>45287</v>
      </c>
      <c r="C2357" t="s">
        <v>475</v>
      </c>
      <c r="D2357" t="s">
        <v>2045</v>
      </c>
      <c r="E2357">
        <v>126</v>
      </c>
      <c r="F2357" t="s">
        <v>5901</v>
      </c>
      <c r="G2357">
        <v>126</v>
      </c>
      <c r="H2357">
        <v>990.72749999999996</v>
      </c>
      <c r="N2357">
        <v>990.72749999999996</v>
      </c>
      <c r="O2357" s="1">
        <v>45068</v>
      </c>
      <c r="P2357">
        <f>IF(ISBLANK(ReconciliationData[[#This Row],[Invoice_ID]]),1,0)</f>
        <v>0</v>
      </c>
      <c r="Q2357">
        <f>IF(AND(NOT(ISBLANK(ReconciliationData[[#This Row],[Billed_Units]])),ReconciliationData[[#This Row],[ordered_units]]&lt;&gt;ReconciliationData[[#This Row],[Billed_Units]]),1,0)</f>
        <v>0</v>
      </c>
      <c r="R23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57">
        <f>IF(AND(NOT(ISBLANK(ReconciliationData[[#This Row],[Contract_Price]])),ReconciliationData[[#This Row],[Billed_Price]]&lt;&gt;ReconciliationData[[#This Row],[Contract_Price]]),1,0)</f>
        <v>0</v>
      </c>
      <c r="T2357">
        <f>IF(AND(NOT(ISBLANK(ReconciliationData[[#This Row],[End_Date]])),ReconciliationData[[#This Row],[Order_Date]]&gt;ReconciliationData[[#This Row],[End_Date]]),1,0)</f>
        <v>0</v>
      </c>
      <c r="U2357">
        <f>IF(AND(NOT(ISBLANK(ReconciliationData[[#This Row],[last_return_date]])),ReconciliationData[[#This Row],[last_return_date]]&gt;ReconciliationData[[#This Row],[Order_Date]]+60),1,0)</f>
        <v>0</v>
      </c>
      <c r="V2357">
        <f>IF(ReconciliationData[[#This Row],[total_returned_units]]&gt;ReconciliationData[[#This Row],[ordered_units]],1,0)</f>
        <v>0</v>
      </c>
      <c r="W23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57">
        <f>ReconciliationData[[#This Row],[Billed_Units]]*ReconciliationData[[#This Row],[Billed_Price]]</f>
        <v>124831.66499999999</v>
      </c>
      <c r="Y2357">
        <f>ReconciliationData[[#This Row],[ordered_units]]*ReconciliationData[[#This Row],[List_Price]]</f>
        <v>124831.66499999999</v>
      </c>
      <c r="Z2357">
        <f>ReconciliationData[[#This Row],[billed_revenue]]-ReconciliationData[[#This Row],[expected_revenue]]</f>
        <v>0</v>
      </c>
      <c r="AA23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57" t="str">
        <f>IF(ReconciliationData[[#This Row],[severity_score]]=0,"LOW",
 IF(ReconciliationData[[#This Row],[severity_score]]&lt;=5,"MEDIUM","HIGH"))</f>
        <v>LOW</v>
      </c>
      <c r="AC2357" t="str">
        <f>TEXT(ReconciliationData[[#This Row],[Order_Date]],"YYYY-MM")</f>
        <v>2023-12</v>
      </c>
    </row>
    <row r="2358" spans="1:29">
      <c r="A2358" t="s">
        <v>5902</v>
      </c>
      <c r="B2358" s="1">
        <v>45284</v>
      </c>
      <c r="C2358" t="s">
        <v>1108</v>
      </c>
      <c r="D2358" t="s">
        <v>969</v>
      </c>
      <c r="E2358">
        <v>10</v>
      </c>
      <c r="F2358" t="s">
        <v>5903</v>
      </c>
      <c r="G2358">
        <v>10</v>
      </c>
      <c r="H2358">
        <v>991.99</v>
      </c>
      <c r="N2358">
        <v>991.99</v>
      </c>
      <c r="O2358" s="1">
        <v>44976</v>
      </c>
      <c r="P2358">
        <f>IF(ISBLANK(ReconciliationData[[#This Row],[Invoice_ID]]),1,0)</f>
        <v>0</v>
      </c>
      <c r="Q2358">
        <f>IF(AND(NOT(ISBLANK(ReconciliationData[[#This Row],[Billed_Units]])),ReconciliationData[[#This Row],[ordered_units]]&lt;&gt;ReconciliationData[[#This Row],[Billed_Units]]),1,0)</f>
        <v>0</v>
      </c>
      <c r="R23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58">
        <f>IF(AND(NOT(ISBLANK(ReconciliationData[[#This Row],[Contract_Price]])),ReconciliationData[[#This Row],[Billed_Price]]&lt;&gt;ReconciliationData[[#This Row],[Contract_Price]]),1,0)</f>
        <v>0</v>
      </c>
      <c r="T2358">
        <f>IF(AND(NOT(ISBLANK(ReconciliationData[[#This Row],[End_Date]])),ReconciliationData[[#This Row],[Order_Date]]&gt;ReconciliationData[[#This Row],[End_Date]]),1,0)</f>
        <v>0</v>
      </c>
      <c r="U2358">
        <f>IF(AND(NOT(ISBLANK(ReconciliationData[[#This Row],[last_return_date]])),ReconciliationData[[#This Row],[last_return_date]]&gt;ReconciliationData[[#This Row],[Order_Date]]+60),1,0)</f>
        <v>0</v>
      </c>
      <c r="V2358">
        <f>IF(ReconciliationData[[#This Row],[total_returned_units]]&gt;ReconciliationData[[#This Row],[ordered_units]],1,0)</f>
        <v>0</v>
      </c>
      <c r="W23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58">
        <f>ReconciliationData[[#This Row],[Billed_Units]]*ReconciliationData[[#This Row],[Billed_Price]]</f>
        <v>9919.9</v>
      </c>
      <c r="Y2358">
        <f>ReconciliationData[[#This Row],[ordered_units]]*ReconciliationData[[#This Row],[List_Price]]</f>
        <v>9919.9</v>
      </c>
      <c r="Z2358">
        <f>ReconciliationData[[#This Row],[billed_revenue]]-ReconciliationData[[#This Row],[expected_revenue]]</f>
        <v>0</v>
      </c>
      <c r="AA23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58" t="str">
        <f>IF(ReconciliationData[[#This Row],[severity_score]]=0,"LOW",
 IF(ReconciliationData[[#This Row],[severity_score]]&lt;=5,"MEDIUM","HIGH"))</f>
        <v>LOW</v>
      </c>
      <c r="AC2358" t="str">
        <f>TEXT(ReconciliationData[[#This Row],[Order_Date]],"YYYY-MM")</f>
        <v>2023-12</v>
      </c>
    </row>
    <row r="2359" spans="1:29">
      <c r="A2359" t="s">
        <v>5904</v>
      </c>
      <c r="B2359" s="1">
        <v>45493</v>
      </c>
      <c r="C2359" t="s">
        <v>3309</v>
      </c>
      <c r="D2359" t="s">
        <v>251</v>
      </c>
      <c r="E2359">
        <v>110</v>
      </c>
      <c r="F2359" t="s">
        <v>5905</v>
      </c>
      <c r="G2359">
        <v>110</v>
      </c>
      <c r="H2359">
        <v>957.65700000000015</v>
      </c>
      <c r="N2359">
        <v>957.65700000000015</v>
      </c>
      <c r="O2359" s="1">
        <v>45057</v>
      </c>
      <c r="P2359">
        <f>IF(ISBLANK(ReconciliationData[[#This Row],[Invoice_ID]]),1,0)</f>
        <v>0</v>
      </c>
      <c r="Q2359">
        <f>IF(AND(NOT(ISBLANK(ReconciliationData[[#This Row],[Billed_Units]])),ReconciliationData[[#This Row],[ordered_units]]&lt;&gt;ReconciliationData[[#This Row],[Billed_Units]]),1,0)</f>
        <v>0</v>
      </c>
      <c r="R23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59">
        <f>IF(AND(NOT(ISBLANK(ReconciliationData[[#This Row],[Contract_Price]])),ReconciliationData[[#This Row],[Billed_Price]]&lt;&gt;ReconciliationData[[#This Row],[Contract_Price]]),1,0)</f>
        <v>0</v>
      </c>
      <c r="T2359">
        <f>IF(AND(NOT(ISBLANK(ReconciliationData[[#This Row],[End_Date]])),ReconciliationData[[#This Row],[Order_Date]]&gt;ReconciliationData[[#This Row],[End_Date]]),1,0)</f>
        <v>0</v>
      </c>
      <c r="U2359">
        <f>IF(AND(NOT(ISBLANK(ReconciliationData[[#This Row],[last_return_date]])),ReconciliationData[[#This Row],[last_return_date]]&gt;ReconciliationData[[#This Row],[Order_Date]]+60),1,0)</f>
        <v>0</v>
      </c>
      <c r="V2359">
        <f>IF(ReconciliationData[[#This Row],[total_returned_units]]&gt;ReconciliationData[[#This Row],[ordered_units]],1,0)</f>
        <v>0</v>
      </c>
      <c r="W23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59">
        <f>ReconciliationData[[#This Row],[Billed_Units]]*ReconciliationData[[#This Row],[Billed_Price]]</f>
        <v>105342.27000000002</v>
      </c>
      <c r="Y2359">
        <f>ReconciliationData[[#This Row],[ordered_units]]*ReconciliationData[[#This Row],[List_Price]]</f>
        <v>105342.27000000002</v>
      </c>
      <c r="Z2359">
        <f>ReconciliationData[[#This Row],[billed_revenue]]-ReconciliationData[[#This Row],[expected_revenue]]</f>
        <v>0</v>
      </c>
      <c r="AA23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59" t="str">
        <f>IF(ReconciliationData[[#This Row],[severity_score]]=0,"LOW",
 IF(ReconciliationData[[#This Row],[severity_score]]&lt;=5,"MEDIUM","HIGH"))</f>
        <v>LOW</v>
      </c>
      <c r="AC2359" t="str">
        <f>TEXT(ReconciliationData[[#This Row],[Order_Date]],"YYYY-MM")</f>
        <v>2024-07</v>
      </c>
    </row>
    <row r="2360" spans="1:29">
      <c r="A2360" t="s">
        <v>5906</v>
      </c>
      <c r="B2360" s="1">
        <v>44960</v>
      </c>
      <c r="C2360" t="s">
        <v>1905</v>
      </c>
      <c r="D2360" t="s">
        <v>341</v>
      </c>
      <c r="E2360">
        <v>9</v>
      </c>
      <c r="F2360" t="s">
        <v>5907</v>
      </c>
      <c r="G2360">
        <v>9</v>
      </c>
      <c r="H2360">
        <v>47.936999999999998</v>
      </c>
      <c r="N2360">
        <v>47.936999999999998</v>
      </c>
      <c r="O2360" s="1">
        <v>44934</v>
      </c>
      <c r="P2360">
        <f>IF(ISBLANK(ReconciliationData[[#This Row],[Invoice_ID]]),1,0)</f>
        <v>0</v>
      </c>
      <c r="Q2360">
        <f>IF(AND(NOT(ISBLANK(ReconciliationData[[#This Row],[Billed_Units]])),ReconciliationData[[#This Row],[ordered_units]]&lt;&gt;ReconciliationData[[#This Row],[Billed_Units]]),1,0)</f>
        <v>0</v>
      </c>
      <c r="R23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0">
        <f>IF(AND(NOT(ISBLANK(ReconciliationData[[#This Row],[Contract_Price]])),ReconciliationData[[#This Row],[Billed_Price]]&lt;&gt;ReconciliationData[[#This Row],[Contract_Price]]),1,0)</f>
        <v>0</v>
      </c>
      <c r="T2360">
        <f>IF(AND(NOT(ISBLANK(ReconciliationData[[#This Row],[End_Date]])),ReconciliationData[[#This Row],[Order_Date]]&gt;ReconciliationData[[#This Row],[End_Date]]),1,0)</f>
        <v>0</v>
      </c>
      <c r="U2360">
        <f>IF(AND(NOT(ISBLANK(ReconciliationData[[#This Row],[last_return_date]])),ReconciliationData[[#This Row],[last_return_date]]&gt;ReconciliationData[[#This Row],[Order_Date]]+60),1,0)</f>
        <v>0</v>
      </c>
      <c r="V2360">
        <f>IF(ReconciliationData[[#This Row],[total_returned_units]]&gt;ReconciliationData[[#This Row],[ordered_units]],1,0)</f>
        <v>0</v>
      </c>
      <c r="W23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0">
        <f>ReconciliationData[[#This Row],[Billed_Units]]*ReconciliationData[[#This Row],[Billed_Price]]</f>
        <v>431.43299999999999</v>
      </c>
      <c r="Y2360">
        <f>ReconciliationData[[#This Row],[ordered_units]]*ReconciliationData[[#This Row],[List_Price]]</f>
        <v>431.43299999999999</v>
      </c>
      <c r="Z2360">
        <f>ReconciliationData[[#This Row],[billed_revenue]]-ReconciliationData[[#This Row],[expected_revenue]]</f>
        <v>0</v>
      </c>
      <c r="AA23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0" t="str">
        <f>IF(ReconciliationData[[#This Row],[severity_score]]=0,"LOW",
 IF(ReconciliationData[[#This Row],[severity_score]]&lt;=5,"MEDIUM","HIGH"))</f>
        <v>LOW</v>
      </c>
      <c r="AC2360" t="str">
        <f>TEXT(ReconciliationData[[#This Row],[Order_Date]],"YYYY-MM")</f>
        <v>2023-02</v>
      </c>
    </row>
    <row r="2361" spans="1:29">
      <c r="A2361" t="s">
        <v>5908</v>
      </c>
      <c r="B2361" s="1">
        <v>45410</v>
      </c>
      <c r="C2361" t="s">
        <v>1815</v>
      </c>
      <c r="D2361" t="s">
        <v>3036</v>
      </c>
      <c r="E2361">
        <v>145</v>
      </c>
      <c r="F2361" t="s">
        <v>5909</v>
      </c>
      <c r="G2361">
        <v>145</v>
      </c>
      <c r="H2361">
        <v>907.24260000000004</v>
      </c>
      <c r="N2361">
        <v>907.24260000000004</v>
      </c>
      <c r="O2361" s="1">
        <v>45222</v>
      </c>
      <c r="P2361">
        <f>IF(ISBLANK(ReconciliationData[[#This Row],[Invoice_ID]]),1,0)</f>
        <v>0</v>
      </c>
      <c r="Q2361">
        <f>IF(AND(NOT(ISBLANK(ReconciliationData[[#This Row],[Billed_Units]])),ReconciliationData[[#This Row],[ordered_units]]&lt;&gt;ReconciliationData[[#This Row],[Billed_Units]]),1,0)</f>
        <v>0</v>
      </c>
      <c r="R23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1">
        <f>IF(AND(NOT(ISBLANK(ReconciliationData[[#This Row],[Contract_Price]])),ReconciliationData[[#This Row],[Billed_Price]]&lt;&gt;ReconciliationData[[#This Row],[Contract_Price]]),1,0)</f>
        <v>0</v>
      </c>
      <c r="T2361">
        <f>IF(AND(NOT(ISBLANK(ReconciliationData[[#This Row],[End_Date]])),ReconciliationData[[#This Row],[Order_Date]]&gt;ReconciliationData[[#This Row],[End_Date]]),1,0)</f>
        <v>0</v>
      </c>
      <c r="U2361">
        <f>IF(AND(NOT(ISBLANK(ReconciliationData[[#This Row],[last_return_date]])),ReconciliationData[[#This Row],[last_return_date]]&gt;ReconciliationData[[#This Row],[Order_Date]]+60),1,0)</f>
        <v>0</v>
      </c>
      <c r="V2361">
        <f>IF(ReconciliationData[[#This Row],[total_returned_units]]&gt;ReconciliationData[[#This Row],[ordered_units]],1,0)</f>
        <v>0</v>
      </c>
      <c r="W23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1">
        <f>ReconciliationData[[#This Row],[Billed_Units]]*ReconciliationData[[#This Row],[Billed_Price]]</f>
        <v>131550.177</v>
      </c>
      <c r="Y2361">
        <f>ReconciliationData[[#This Row],[ordered_units]]*ReconciliationData[[#This Row],[List_Price]]</f>
        <v>131550.177</v>
      </c>
      <c r="Z2361">
        <f>ReconciliationData[[#This Row],[billed_revenue]]-ReconciliationData[[#This Row],[expected_revenue]]</f>
        <v>0</v>
      </c>
      <c r="AA23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1" t="str">
        <f>IF(ReconciliationData[[#This Row],[severity_score]]=0,"LOW",
 IF(ReconciliationData[[#This Row],[severity_score]]&lt;=5,"MEDIUM","HIGH"))</f>
        <v>LOW</v>
      </c>
      <c r="AC2361" t="str">
        <f>TEXT(ReconciliationData[[#This Row],[Order_Date]],"YYYY-MM")</f>
        <v>2024-04</v>
      </c>
    </row>
    <row r="2362" spans="1:29">
      <c r="A2362" t="s">
        <v>5910</v>
      </c>
      <c r="B2362" s="1">
        <v>45030</v>
      </c>
      <c r="C2362" t="s">
        <v>595</v>
      </c>
      <c r="D2362" t="s">
        <v>1209</v>
      </c>
      <c r="E2362">
        <v>53</v>
      </c>
      <c r="F2362" t="s">
        <v>5911</v>
      </c>
      <c r="G2362">
        <v>53</v>
      </c>
      <c r="H2362">
        <v>75.847200000000001</v>
      </c>
      <c r="N2362">
        <v>75.847200000000001</v>
      </c>
      <c r="O2362" s="1">
        <v>44991</v>
      </c>
      <c r="P2362">
        <f>IF(ISBLANK(ReconciliationData[[#This Row],[Invoice_ID]]),1,0)</f>
        <v>0</v>
      </c>
      <c r="Q2362">
        <f>IF(AND(NOT(ISBLANK(ReconciliationData[[#This Row],[Billed_Units]])),ReconciliationData[[#This Row],[ordered_units]]&lt;&gt;ReconciliationData[[#This Row],[Billed_Units]]),1,0)</f>
        <v>0</v>
      </c>
      <c r="R23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2">
        <f>IF(AND(NOT(ISBLANK(ReconciliationData[[#This Row],[Contract_Price]])),ReconciliationData[[#This Row],[Billed_Price]]&lt;&gt;ReconciliationData[[#This Row],[Contract_Price]]),1,0)</f>
        <v>0</v>
      </c>
      <c r="T2362">
        <f>IF(AND(NOT(ISBLANK(ReconciliationData[[#This Row],[End_Date]])),ReconciliationData[[#This Row],[Order_Date]]&gt;ReconciliationData[[#This Row],[End_Date]]),1,0)</f>
        <v>0</v>
      </c>
      <c r="U2362">
        <f>IF(AND(NOT(ISBLANK(ReconciliationData[[#This Row],[last_return_date]])),ReconciliationData[[#This Row],[last_return_date]]&gt;ReconciliationData[[#This Row],[Order_Date]]+60),1,0)</f>
        <v>0</v>
      </c>
      <c r="V2362">
        <f>IF(ReconciliationData[[#This Row],[total_returned_units]]&gt;ReconciliationData[[#This Row],[ordered_units]],1,0)</f>
        <v>0</v>
      </c>
      <c r="W23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2">
        <f>ReconciliationData[[#This Row],[Billed_Units]]*ReconciliationData[[#This Row],[Billed_Price]]</f>
        <v>4019.9016000000001</v>
      </c>
      <c r="Y2362">
        <f>ReconciliationData[[#This Row],[ordered_units]]*ReconciliationData[[#This Row],[List_Price]]</f>
        <v>4019.9016000000001</v>
      </c>
      <c r="Z2362">
        <f>ReconciliationData[[#This Row],[billed_revenue]]-ReconciliationData[[#This Row],[expected_revenue]]</f>
        <v>0</v>
      </c>
      <c r="AA23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2" t="str">
        <f>IF(ReconciliationData[[#This Row],[severity_score]]=0,"LOW",
 IF(ReconciliationData[[#This Row],[severity_score]]&lt;=5,"MEDIUM","HIGH"))</f>
        <v>LOW</v>
      </c>
      <c r="AC2362" t="str">
        <f>TEXT(ReconciliationData[[#This Row],[Order_Date]],"YYYY-MM")</f>
        <v>2023-04</v>
      </c>
    </row>
    <row r="2363" spans="1:29">
      <c r="A2363" t="s">
        <v>5912</v>
      </c>
      <c r="B2363" s="1">
        <v>45480</v>
      </c>
      <c r="C2363" t="s">
        <v>2830</v>
      </c>
      <c r="D2363" t="s">
        <v>345</v>
      </c>
      <c r="E2363">
        <v>99</v>
      </c>
      <c r="F2363" t="s">
        <v>5913</v>
      </c>
      <c r="G2363">
        <v>99</v>
      </c>
      <c r="H2363">
        <v>580.38720000000001</v>
      </c>
      <c r="N2363">
        <v>580.38720000000001</v>
      </c>
      <c r="O2363" s="1">
        <v>45180</v>
      </c>
      <c r="P2363">
        <f>IF(ISBLANK(ReconciliationData[[#This Row],[Invoice_ID]]),1,0)</f>
        <v>0</v>
      </c>
      <c r="Q2363">
        <f>IF(AND(NOT(ISBLANK(ReconciliationData[[#This Row],[Billed_Units]])),ReconciliationData[[#This Row],[ordered_units]]&lt;&gt;ReconciliationData[[#This Row],[Billed_Units]]),1,0)</f>
        <v>0</v>
      </c>
      <c r="R23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3">
        <f>IF(AND(NOT(ISBLANK(ReconciliationData[[#This Row],[Contract_Price]])),ReconciliationData[[#This Row],[Billed_Price]]&lt;&gt;ReconciliationData[[#This Row],[Contract_Price]]),1,0)</f>
        <v>0</v>
      </c>
      <c r="T2363">
        <f>IF(AND(NOT(ISBLANK(ReconciliationData[[#This Row],[End_Date]])),ReconciliationData[[#This Row],[Order_Date]]&gt;ReconciliationData[[#This Row],[End_Date]]),1,0)</f>
        <v>0</v>
      </c>
      <c r="U2363">
        <f>IF(AND(NOT(ISBLANK(ReconciliationData[[#This Row],[last_return_date]])),ReconciliationData[[#This Row],[last_return_date]]&gt;ReconciliationData[[#This Row],[Order_Date]]+60),1,0)</f>
        <v>0</v>
      </c>
      <c r="V2363">
        <f>IF(ReconciliationData[[#This Row],[total_returned_units]]&gt;ReconciliationData[[#This Row],[ordered_units]],1,0)</f>
        <v>0</v>
      </c>
      <c r="W23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3">
        <f>ReconciliationData[[#This Row],[Billed_Units]]*ReconciliationData[[#This Row],[Billed_Price]]</f>
        <v>57458.332800000004</v>
      </c>
      <c r="Y2363">
        <f>ReconciliationData[[#This Row],[ordered_units]]*ReconciliationData[[#This Row],[List_Price]]</f>
        <v>57458.332800000004</v>
      </c>
      <c r="Z2363">
        <f>ReconciliationData[[#This Row],[billed_revenue]]-ReconciliationData[[#This Row],[expected_revenue]]</f>
        <v>0</v>
      </c>
      <c r="AA23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3" t="str">
        <f>IF(ReconciliationData[[#This Row],[severity_score]]=0,"LOW",
 IF(ReconciliationData[[#This Row],[severity_score]]&lt;=5,"MEDIUM","HIGH"))</f>
        <v>LOW</v>
      </c>
      <c r="AC2363" t="str">
        <f>TEXT(ReconciliationData[[#This Row],[Order_Date]],"YYYY-MM")</f>
        <v>2024-07</v>
      </c>
    </row>
    <row r="2364" spans="1:29">
      <c r="A2364" t="s">
        <v>5914</v>
      </c>
      <c r="B2364" s="1">
        <v>45012</v>
      </c>
      <c r="C2364" t="s">
        <v>3473</v>
      </c>
      <c r="D2364" t="s">
        <v>1309</v>
      </c>
      <c r="E2364">
        <v>8</v>
      </c>
      <c r="F2364" t="s">
        <v>5915</v>
      </c>
      <c r="G2364">
        <v>8</v>
      </c>
      <c r="H2364">
        <v>906.88919999999996</v>
      </c>
      <c r="N2364">
        <v>906.88919999999996</v>
      </c>
      <c r="O2364" s="1">
        <v>44991</v>
      </c>
      <c r="P2364">
        <f>IF(ISBLANK(ReconciliationData[[#This Row],[Invoice_ID]]),1,0)</f>
        <v>0</v>
      </c>
      <c r="Q2364">
        <f>IF(AND(NOT(ISBLANK(ReconciliationData[[#This Row],[Billed_Units]])),ReconciliationData[[#This Row],[ordered_units]]&lt;&gt;ReconciliationData[[#This Row],[Billed_Units]]),1,0)</f>
        <v>0</v>
      </c>
      <c r="R23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4">
        <f>IF(AND(NOT(ISBLANK(ReconciliationData[[#This Row],[Contract_Price]])),ReconciliationData[[#This Row],[Billed_Price]]&lt;&gt;ReconciliationData[[#This Row],[Contract_Price]]),1,0)</f>
        <v>0</v>
      </c>
      <c r="T2364">
        <f>IF(AND(NOT(ISBLANK(ReconciliationData[[#This Row],[End_Date]])),ReconciliationData[[#This Row],[Order_Date]]&gt;ReconciliationData[[#This Row],[End_Date]]),1,0)</f>
        <v>0</v>
      </c>
      <c r="U2364">
        <f>IF(AND(NOT(ISBLANK(ReconciliationData[[#This Row],[last_return_date]])),ReconciliationData[[#This Row],[last_return_date]]&gt;ReconciliationData[[#This Row],[Order_Date]]+60),1,0)</f>
        <v>0</v>
      </c>
      <c r="V2364">
        <f>IF(ReconciliationData[[#This Row],[total_returned_units]]&gt;ReconciliationData[[#This Row],[ordered_units]],1,0)</f>
        <v>0</v>
      </c>
      <c r="W23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4">
        <f>ReconciliationData[[#This Row],[Billed_Units]]*ReconciliationData[[#This Row],[Billed_Price]]</f>
        <v>7255.1135999999997</v>
      </c>
      <c r="Y2364">
        <f>ReconciliationData[[#This Row],[ordered_units]]*ReconciliationData[[#This Row],[List_Price]]</f>
        <v>7255.1135999999997</v>
      </c>
      <c r="Z2364">
        <f>ReconciliationData[[#This Row],[billed_revenue]]-ReconciliationData[[#This Row],[expected_revenue]]</f>
        <v>0</v>
      </c>
      <c r="AA23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4" t="str">
        <f>IF(ReconciliationData[[#This Row],[severity_score]]=0,"LOW",
 IF(ReconciliationData[[#This Row],[severity_score]]&lt;=5,"MEDIUM","HIGH"))</f>
        <v>LOW</v>
      </c>
      <c r="AC2364" t="str">
        <f>TEXT(ReconciliationData[[#This Row],[Order_Date]],"YYYY-MM")</f>
        <v>2023-03</v>
      </c>
    </row>
    <row r="2365" spans="1:29">
      <c r="A2365" t="s">
        <v>5916</v>
      </c>
      <c r="B2365" s="1">
        <v>45522</v>
      </c>
      <c r="C2365" t="s">
        <v>250</v>
      </c>
      <c r="D2365" t="s">
        <v>1188</v>
      </c>
      <c r="E2365">
        <v>170</v>
      </c>
      <c r="F2365" t="s">
        <v>5917</v>
      </c>
      <c r="G2365">
        <v>170</v>
      </c>
      <c r="H2365">
        <v>73.305100000000024</v>
      </c>
      <c r="N2365">
        <v>73.305100000000024</v>
      </c>
      <c r="O2365" s="1">
        <v>45046</v>
      </c>
      <c r="P2365">
        <f>IF(ISBLANK(ReconciliationData[[#This Row],[Invoice_ID]]),1,0)</f>
        <v>0</v>
      </c>
      <c r="Q2365">
        <f>IF(AND(NOT(ISBLANK(ReconciliationData[[#This Row],[Billed_Units]])),ReconciliationData[[#This Row],[ordered_units]]&lt;&gt;ReconciliationData[[#This Row],[Billed_Units]]),1,0)</f>
        <v>0</v>
      </c>
      <c r="R23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5">
        <f>IF(AND(NOT(ISBLANK(ReconciliationData[[#This Row],[Contract_Price]])),ReconciliationData[[#This Row],[Billed_Price]]&lt;&gt;ReconciliationData[[#This Row],[Contract_Price]]),1,0)</f>
        <v>0</v>
      </c>
      <c r="T2365">
        <f>IF(AND(NOT(ISBLANK(ReconciliationData[[#This Row],[End_Date]])),ReconciliationData[[#This Row],[Order_Date]]&gt;ReconciliationData[[#This Row],[End_Date]]),1,0)</f>
        <v>0</v>
      </c>
      <c r="U2365">
        <f>IF(AND(NOT(ISBLANK(ReconciliationData[[#This Row],[last_return_date]])),ReconciliationData[[#This Row],[last_return_date]]&gt;ReconciliationData[[#This Row],[Order_Date]]+60),1,0)</f>
        <v>0</v>
      </c>
      <c r="V2365">
        <f>IF(ReconciliationData[[#This Row],[total_returned_units]]&gt;ReconciliationData[[#This Row],[ordered_units]],1,0)</f>
        <v>0</v>
      </c>
      <c r="W23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5">
        <f>ReconciliationData[[#This Row],[Billed_Units]]*ReconciliationData[[#This Row],[Billed_Price]]</f>
        <v>12461.867000000004</v>
      </c>
      <c r="Y2365">
        <f>ReconciliationData[[#This Row],[ordered_units]]*ReconciliationData[[#This Row],[List_Price]]</f>
        <v>12461.867000000004</v>
      </c>
      <c r="Z2365">
        <f>ReconciliationData[[#This Row],[billed_revenue]]-ReconciliationData[[#This Row],[expected_revenue]]</f>
        <v>0</v>
      </c>
      <c r="AA23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5" t="str">
        <f>IF(ReconciliationData[[#This Row],[severity_score]]=0,"LOW",
 IF(ReconciliationData[[#This Row],[severity_score]]&lt;=5,"MEDIUM","HIGH"))</f>
        <v>LOW</v>
      </c>
      <c r="AC2365" t="str">
        <f>TEXT(ReconciliationData[[#This Row],[Order_Date]],"YYYY-MM")</f>
        <v>2024-08</v>
      </c>
    </row>
    <row r="2366" spans="1:29">
      <c r="A2366" t="s">
        <v>5918</v>
      </c>
      <c r="B2366" s="1">
        <v>45393</v>
      </c>
      <c r="C2366" t="s">
        <v>377</v>
      </c>
      <c r="D2366" t="s">
        <v>1400</v>
      </c>
      <c r="E2366">
        <v>151</v>
      </c>
      <c r="F2366" t="s">
        <v>5919</v>
      </c>
      <c r="G2366">
        <v>151</v>
      </c>
      <c r="H2366">
        <v>512.04</v>
      </c>
      <c r="N2366">
        <v>512.04</v>
      </c>
      <c r="O2366" s="1">
        <v>44928</v>
      </c>
      <c r="P2366">
        <f>IF(ISBLANK(ReconciliationData[[#This Row],[Invoice_ID]]),1,0)</f>
        <v>0</v>
      </c>
      <c r="Q2366">
        <f>IF(AND(NOT(ISBLANK(ReconciliationData[[#This Row],[Billed_Units]])),ReconciliationData[[#This Row],[ordered_units]]&lt;&gt;ReconciliationData[[#This Row],[Billed_Units]]),1,0)</f>
        <v>0</v>
      </c>
      <c r="R23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6">
        <f>IF(AND(NOT(ISBLANK(ReconciliationData[[#This Row],[Contract_Price]])),ReconciliationData[[#This Row],[Billed_Price]]&lt;&gt;ReconciliationData[[#This Row],[Contract_Price]]),1,0)</f>
        <v>0</v>
      </c>
      <c r="T2366">
        <f>IF(AND(NOT(ISBLANK(ReconciliationData[[#This Row],[End_Date]])),ReconciliationData[[#This Row],[Order_Date]]&gt;ReconciliationData[[#This Row],[End_Date]]),1,0)</f>
        <v>0</v>
      </c>
      <c r="U2366">
        <f>IF(AND(NOT(ISBLANK(ReconciliationData[[#This Row],[last_return_date]])),ReconciliationData[[#This Row],[last_return_date]]&gt;ReconciliationData[[#This Row],[Order_Date]]+60),1,0)</f>
        <v>0</v>
      </c>
      <c r="V2366">
        <f>IF(ReconciliationData[[#This Row],[total_returned_units]]&gt;ReconciliationData[[#This Row],[ordered_units]],1,0)</f>
        <v>0</v>
      </c>
      <c r="W23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6">
        <f>ReconciliationData[[#This Row],[Billed_Units]]*ReconciliationData[[#This Row],[Billed_Price]]</f>
        <v>77318.039999999994</v>
      </c>
      <c r="Y2366">
        <f>ReconciliationData[[#This Row],[ordered_units]]*ReconciliationData[[#This Row],[List_Price]]</f>
        <v>77318.039999999994</v>
      </c>
      <c r="Z2366">
        <f>ReconciliationData[[#This Row],[billed_revenue]]-ReconciliationData[[#This Row],[expected_revenue]]</f>
        <v>0</v>
      </c>
      <c r="AA23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6" t="str">
        <f>IF(ReconciliationData[[#This Row],[severity_score]]=0,"LOW",
 IF(ReconciliationData[[#This Row],[severity_score]]&lt;=5,"MEDIUM","HIGH"))</f>
        <v>LOW</v>
      </c>
      <c r="AC2366" t="str">
        <f>TEXT(ReconciliationData[[#This Row],[Order_Date]],"YYYY-MM")</f>
        <v>2024-04</v>
      </c>
    </row>
    <row r="2367" spans="1:29">
      <c r="A2367" t="s">
        <v>5920</v>
      </c>
      <c r="B2367" s="1">
        <v>45498</v>
      </c>
      <c r="C2367" t="s">
        <v>1765</v>
      </c>
      <c r="D2367" t="s">
        <v>753</v>
      </c>
      <c r="E2367">
        <v>6</v>
      </c>
      <c r="F2367" t="s">
        <v>5921</v>
      </c>
      <c r="G2367">
        <v>6</v>
      </c>
      <c r="H2367">
        <v>741.88620000000003</v>
      </c>
      <c r="N2367">
        <v>741.88620000000003</v>
      </c>
      <c r="O2367" s="1">
        <v>44930</v>
      </c>
      <c r="P2367">
        <f>IF(ISBLANK(ReconciliationData[[#This Row],[Invoice_ID]]),1,0)</f>
        <v>0</v>
      </c>
      <c r="Q2367">
        <f>IF(AND(NOT(ISBLANK(ReconciliationData[[#This Row],[Billed_Units]])),ReconciliationData[[#This Row],[ordered_units]]&lt;&gt;ReconciliationData[[#This Row],[Billed_Units]]),1,0)</f>
        <v>0</v>
      </c>
      <c r="R23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7">
        <f>IF(AND(NOT(ISBLANK(ReconciliationData[[#This Row],[Contract_Price]])),ReconciliationData[[#This Row],[Billed_Price]]&lt;&gt;ReconciliationData[[#This Row],[Contract_Price]]),1,0)</f>
        <v>0</v>
      </c>
      <c r="T2367">
        <f>IF(AND(NOT(ISBLANK(ReconciliationData[[#This Row],[End_Date]])),ReconciliationData[[#This Row],[Order_Date]]&gt;ReconciliationData[[#This Row],[End_Date]]),1,0)</f>
        <v>0</v>
      </c>
      <c r="U2367">
        <f>IF(AND(NOT(ISBLANK(ReconciliationData[[#This Row],[last_return_date]])),ReconciliationData[[#This Row],[last_return_date]]&gt;ReconciliationData[[#This Row],[Order_Date]]+60),1,0)</f>
        <v>0</v>
      </c>
      <c r="V2367">
        <f>IF(ReconciliationData[[#This Row],[total_returned_units]]&gt;ReconciliationData[[#This Row],[ordered_units]],1,0)</f>
        <v>0</v>
      </c>
      <c r="W23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7">
        <f>ReconciliationData[[#This Row],[Billed_Units]]*ReconciliationData[[#This Row],[Billed_Price]]</f>
        <v>4451.3172000000004</v>
      </c>
      <c r="Y2367">
        <f>ReconciliationData[[#This Row],[ordered_units]]*ReconciliationData[[#This Row],[List_Price]]</f>
        <v>4451.3172000000004</v>
      </c>
      <c r="Z2367">
        <f>ReconciliationData[[#This Row],[billed_revenue]]-ReconciliationData[[#This Row],[expected_revenue]]</f>
        <v>0</v>
      </c>
      <c r="AA23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7" t="str">
        <f>IF(ReconciliationData[[#This Row],[severity_score]]=0,"LOW",
 IF(ReconciliationData[[#This Row],[severity_score]]&lt;=5,"MEDIUM","HIGH"))</f>
        <v>LOW</v>
      </c>
      <c r="AC2367" t="str">
        <f>TEXT(ReconciliationData[[#This Row],[Order_Date]],"YYYY-MM")</f>
        <v>2024-07</v>
      </c>
    </row>
    <row r="2368" spans="1:29">
      <c r="A2368" t="s">
        <v>5922</v>
      </c>
      <c r="B2368" s="1">
        <v>45061</v>
      </c>
      <c r="C2368" t="s">
        <v>258</v>
      </c>
      <c r="D2368" t="s">
        <v>275</v>
      </c>
      <c r="E2368">
        <v>199</v>
      </c>
      <c r="F2368" t="s">
        <v>5923</v>
      </c>
      <c r="G2368">
        <v>199</v>
      </c>
      <c r="H2368">
        <v>397.19560000000001</v>
      </c>
      <c r="N2368">
        <v>397.19560000000001</v>
      </c>
      <c r="O2368" s="1">
        <v>44932</v>
      </c>
      <c r="P2368">
        <f>IF(ISBLANK(ReconciliationData[[#This Row],[Invoice_ID]]),1,0)</f>
        <v>0</v>
      </c>
      <c r="Q2368">
        <f>IF(AND(NOT(ISBLANK(ReconciliationData[[#This Row],[Billed_Units]])),ReconciliationData[[#This Row],[ordered_units]]&lt;&gt;ReconciliationData[[#This Row],[Billed_Units]]),1,0)</f>
        <v>0</v>
      </c>
      <c r="R23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8">
        <f>IF(AND(NOT(ISBLANK(ReconciliationData[[#This Row],[Contract_Price]])),ReconciliationData[[#This Row],[Billed_Price]]&lt;&gt;ReconciliationData[[#This Row],[Contract_Price]]),1,0)</f>
        <v>0</v>
      </c>
      <c r="T2368">
        <f>IF(AND(NOT(ISBLANK(ReconciliationData[[#This Row],[End_Date]])),ReconciliationData[[#This Row],[Order_Date]]&gt;ReconciliationData[[#This Row],[End_Date]]),1,0)</f>
        <v>0</v>
      </c>
      <c r="U2368">
        <f>IF(AND(NOT(ISBLANK(ReconciliationData[[#This Row],[last_return_date]])),ReconciliationData[[#This Row],[last_return_date]]&gt;ReconciliationData[[#This Row],[Order_Date]]+60),1,0)</f>
        <v>0</v>
      </c>
      <c r="V2368">
        <f>IF(ReconciliationData[[#This Row],[total_returned_units]]&gt;ReconciliationData[[#This Row],[ordered_units]],1,0)</f>
        <v>0</v>
      </c>
      <c r="W23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8">
        <f>ReconciliationData[[#This Row],[Billed_Units]]*ReconciliationData[[#This Row],[Billed_Price]]</f>
        <v>79041.924400000004</v>
      </c>
      <c r="Y2368">
        <f>ReconciliationData[[#This Row],[ordered_units]]*ReconciliationData[[#This Row],[List_Price]]</f>
        <v>79041.924400000004</v>
      </c>
      <c r="Z2368">
        <f>ReconciliationData[[#This Row],[billed_revenue]]-ReconciliationData[[#This Row],[expected_revenue]]</f>
        <v>0</v>
      </c>
      <c r="AA23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8" t="str">
        <f>IF(ReconciliationData[[#This Row],[severity_score]]=0,"LOW",
 IF(ReconciliationData[[#This Row],[severity_score]]&lt;=5,"MEDIUM","HIGH"))</f>
        <v>LOW</v>
      </c>
      <c r="AC2368" t="str">
        <f>TEXT(ReconciliationData[[#This Row],[Order_Date]],"YYYY-MM")</f>
        <v>2023-05</v>
      </c>
    </row>
    <row r="2369" spans="1:29">
      <c r="A2369" t="s">
        <v>5924</v>
      </c>
      <c r="B2369" s="1">
        <v>45435</v>
      </c>
      <c r="C2369" t="s">
        <v>1111</v>
      </c>
      <c r="D2369" t="s">
        <v>969</v>
      </c>
      <c r="E2369">
        <v>8</v>
      </c>
      <c r="F2369" t="s">
        <v>5925</v>
      </c>
      <c r="G2369">
        <v>8</v>
      </c>
      <c r="H2369">
        <v>991.99</v>
      </c>
      <c r="N2369">
        <v>991.99</v>
      </c>
      <c r="O2369" s="1">
        <v>44976</v>
      </c>
      <c r="P2369">
        <f>IF(ISBLANK(ReconciliationData[[#This Row],[Invoice_ID]]),1,0)</f>
        <v>0</v>
      </c>
      <c r="Q2369">
        <f>IF(AND(NOT(ISBLANK(ReconciliationData[[#This Row],[Billed_Units]])),ReconciliationData[[#This Row],[ordered_units]]&lt;&gt;ReconciliationData[[#This Row],[Billed_Units]]),1,0)</f>
        <v>0</v>
      </c>
      <c r="R23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69">
        <f>IF(AND(NOT(ISBLANK(ReconciliationData[[#This Row],[Contract_Price]])),ReconciliationData[[#This Row],[Billed_Price]]&lt;&gt;ReconciliationData[[#This Row],[Contract_Price]]),1,0)</f>
        <v>0</v>
      </c>
      <c r="T2369">
        <f>IF(AND(NOT(ISBLANK(ReconciliationData[[#This Row],[End_Date]])),ReconciliationData[[#This Row],[Order_Date]]&gt;ReconciliationData[[#This Row],[End_Date]]),1,0)</f>
        <v>0</v>
      </c>
      <c r="U2369">
        <f>IF(AND(NOT(ISBLANK(ReconciliationData[[#This Row],[last_return_date]])),ReconciliationData[[#This Row],[last_return_date]]&gt;ReconciliationData[[#This Row],[Order_Date]]+60),1,0)</f>
        <v>0</v>
      </c>
      <c r="V2369">
        <f>IF(ReconciliationData[[#This Row],[total_returned_units]]&gt;ReconciliationData[[#This Row],[ordered_units]],1,0)</f>
        <v>0</v>
      </c>
      <c r="W23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69">
        <f>ReconciliationData[[#This Row],[Billed_Units]]*ReconciliationData[[#This Row],[Billed_Price]]</f>
        <v>7935.92</v>
      </c>
      <c r="Y2369">
        <f>ReconciliationData[[#This Row],[ordered_units]]*ReconciliationData[[#This Row],[List_Price]]</f>
        <v>7935.92</v>
      </c>
      <c r="Z2369">
        <f>ReconciliationData[[#This Row],[billed_revenue]]-ReconciliationData[[#This Row],[expected_revenue]]</f>
        <v>0</v>
      </c>
      <c r="AA23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69" t="str">
        <f>IF(ReconciliationData[[#This Row],[severity_score]]=0,"LOW",
 IF(ReconciliationData[[#This Row],[severity_score]]&lt;=5,"MEDIUM","HIGH"))</f>
        <v>LOW</v>
      </c>
      <c r="AC2369" t="str">
        <f>TEXT(ReconciliationData[[#This Row],[Order_Date]],"YYYY-MM")</f>
        <v>2024-05</v>
      </c>
    </row>
    <row r="2370" spans="1:29">
      <c r="A2370" t="s">
        <v>5926</v>
      </c>
      <c r="B2370" s="1">
        <v>45141</v>
      </c>
      <c r="C2370" t="s">
        <v>2378</v>
      </c>
      <c r="D2370" t="s">
        <v>828</v>
      </c>
      <c r="E2370">
        <v>45</v>
      </c>
      <c r="F2370" t="s">
        <v>5927</v>
      </c>
      <c r="G2370">
        <v>45</v>
      </c>
      <c r="H2370">
        <v>893.8972</v>
      </c>
      <c r="N2370">
        <v>893.8972</v>
      </c>
      <c r="O2370" s="1">
        <v>45049</v>
      </c>
      <c r="P2370">
        <f>IF(ISBLANK(ReconciliationData[[#This Row],[Invoice_ID]]),1,0)</f>
        <v>0</v>
      </c>
      <c r="Q2370">
        <f>IF(AND(NOT(ISBLANK(ReconciliationData[[#This Row],[Billed_Units]])),ReconciliationData[[#This Row],[ordered_units]]&lt;&gt;ReconciliationData[[#This Row],[Billed_Units]]),1,0)</f>
        <v>0</v>
      </c>
      <c r="R23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0">
        <f>IF(AND(NOT(ISBLANK(ReconciliationData[[#This Row],[Contract_Price]])),ReconciliationData[[#This Row],[Billed_Price]]&lt;&gt;ReconciliationData[[#This Row],[Contract_Price]]),1,0)</f>
        <v>0</v>
      </c>
      <c r="T2370">
        <f>IF(AND(NOT(ISBLANK(ReconciliationData[[#This Row],[End_Date]])),ReconciliationData[[#This Row],[Order_Date]]&gt;ReconciliationData[[#This Row],[End_Date]]),1,0)</f>
        <v>0</v>
      </c>
      <c r="U2370">
        <f>IF(AND(NOT(ISBLANK(ReconciliationData[[#This Row],[last_return_date]])),ReconciliationData[[#This Row],[last_return_date]]&gt;ReconciliationData[[#This Row],[Order_Date]]+60),1,0)</f>
        <v>0</v>
      </c>
      <c r="V2370">
        <f>IF(ReconciliationData[[#This Row],[total_returned_units]]&gt;ReconciliationData[[#This Row],[ordered_units]],1,0)</f>
        <v>0</v>
      </c>
      <c r="W23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70">
        <f>ReconciliationData[[#This Row],[Billed_Units]]*ReconciliationData[[#This Row],[Billed_Price]]</f>
        <v>40225.374000000003</v>
      </c>
      <c r="Y2370">
        <f>ReconciliationData[[#This Row],[ordered_units]]*ReconciliationData[[#This Row],[List_Price]]</f>
        <v>40225.374000000003</v>
      </c>
      <c r="Z2370">
        <f>ReconciliationData[[#This Row],[billed_revenue]]-ReconciliationData[[#This Row],[expected_revenue]]</f>
        <v>0</v>
      </c>
      <c r="AA23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70" t="str">
        <f>IF(ReconciliationData[[#This Row],[severity_score]]=0,"LOW",
 IF(ReconciliationData[[#This Row],[severity_score]]&lt;=5,"MEDIUM","HIGH"))</f>
        <v>LOW</v>
      </c>
      <c r="AC2370" t="str">
        <f>TEXT(ReconciliationData[[#This Row],[Order_Date]],"YYYY-MM")</f>
        <v>2023-08</v>
      </c>
    </row>
    <row r="2371" spans="1:29">
      <c r="A2371" t="s">
        <v>5928</v>
      </c>
      <c r="B2371" s="1">
        <v>45468</v>
      </c>
      <c r="C2371" t="s">
        <v>286</v>
      </c>
      <c r="D2371" t="s">
        <v>231</v>
      </c>
      <c r="E2371">
        <v>15</v>
      </c>
      <c r="F2371" t="s">
        <v>5929</v>
      </c>
      <c r="G2371">
        <v>15</v>
      </c>
      <c r="H2371">
        <v>77.398200000000003</v>
      </c>
      <c r="N2371">
        <v>77.398200000000003</v>
      </c>
      <c r="O2371" s="1">
        <v>45032</v>
      </c>
      <c r="P2371">
        <f>IF(ISBLANK(ReconciliationData[[#This Row],[Invoice_ID]]),1,0)</f>
        <v>0</v>
      </c>
      <c r="Q2371">
        <f>IF(AND(NOT(ISBLANK(ReconciliationData[[#This Row],[Billed_Units]])),ReconciliationData[[#This Row],[ordered_units]]&lt;&gt;ReconciliationData[[#This Row],[Billed_Units]]),1,0)</f>
        <v>0</v>
      </c>
      <c r="R23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1">
        <f>IF(AND(NOT(ISBLANK(ReconciliationData[[#This Row],[Contract_Price]])),ReconciliationData[[#This Row],[Billed_Price]]&lt;&gt;ReconciliationData[[#This Row],[Contract_Price]]),1,0)</f>
        <v>0</v>
      </c>
      <c r="T2371">
        <f>IF(AND(NOT(ISBLANK(ReconciliationData[[#This Row],[End_Date]])),ReconciliationData[[#This Row],[Order_Date]]&gt;ReconciliationData[[#This Row],[End_Date]]),1,0)</f>
        <v>0</v>
      </c>
      <c r="U2371">
        <f>IF(AND(NOT(ISBLANK(ReconciliationData[[#This Row],[last_return_date]])),ReconciliationData[[#This Row],[last_return_date]]&gt;ReconciliationData[[#This Row],[Order_Date]]+60),1,0)</f>
        <v>0</v>
      </c>
      <c r="V2371">
        <f>IF(ReconciliationData[[#This Row],[total_returned_units]]&gt;ReconciliationData[[#This Row],[ordered_units]],1,0)</f>
        <v>0</v>
      </c>
      <c r="W23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71">
        <f>ReconciliationData[[#This Row],[Billed_Units]]*ReconciliationData[[#This Row],[Billed_Price]]</f>
        <v>1160.973</v>
      </c>
      <c r="Y2371">
        <f>ReconciliationData[[#This Row],[ordered_units]]*ReconciliationData[[#This Row],[List_Price]]</f>
        <v>1160.973</v>
      </c>
      <c r="Z2371">
        <f>ReconciliationData[[#This Row],[billed_revenue]]-ReconciliationData[[#This Row],[expected_revenue]]</f>
        <v>0</v>
      </c>
      <c r="AA23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71" t="str">
        <f>IF(ReconciliationData[[#This Row],[severity_score]]=0,"LOW",
 IF(ReconciliationData[[#This Row],[severity_score]]&lt;=5,"MEDIUM","HIGH"))</f>
        <v>LOW</v>
      </c>
      <c r="AC2371" t="str">
        <f>TEXT(ReconciliationData[[#This Row],[Order_Date]],"YYYY-MM")</f>
        <v>2024-06</v>
      </c>
    </row>
    <row r="2372" spans="1:29">
      <c r="A2372" t="s">
        <v>5930</v>
      </c>
      <c r="B2372" s="1">
        <v>45445</v>
      </c>
      <c r="C2372" t="s">
        <v>2261</v>
      </c>
      <c r="D2372" t="s">
        <v>707</v>
      </c>
      <c r="E2372">
        <v>108</v>
      </c>
      <c r="F2372" t="s">
        <v>5931</v>
      </c>
      <c r="G2372">
        <v>108</v>
      </c>
      <c r="H2372">
        <v>381.97550000000001</v>
      </c>
      <c r="N2372">
        <v>381.97550000000001</v>
      </c>
      <c r="O2372" s="1">
        <v>45065</v>
      </c>
      <c r="P2372">
        <f>IF(ISBLANK(ReconciliationData[[#This Row],[Invoice_ID]]),1,0)</f>
        <v>0</v>
      </c>
      <c r="Q2372">
        <f>IF(AND(NOT(ISBLANK(ReconciliationData[[#This Row],[Billed_Units]])),ReconciliationData[[#This Row],[ordered_units]]&lt;&gt;ReconciliationData[[#This Row],[Billed_Units]]),1,0)</f>
        <v>0</v>
      </c>
      <c r="R23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2">
        <f>IF(AND(NOT(ISBLANK(ReconciliationData[[#This Row],[Contract_Price]])),ReconciliationData[[#This Row],[Billed_Price]]&lt;&gt;ReconciliationData[[#This Row],[Contract_Price]]),1,0)</f>
        <v>0</v>
      </c>
      <c r="T2372">
        <f>IF(AND(NOT(ISBLANK(ReconciliationData[[#This Row],[End_Date]])),ReconciliationData[[#This Row],[Order_Date]]&gt;ReconciliationData[[#This Row],[End_Date]]),1,0)</f>
        <v>0</v>
      </c>
      <c r="U2372">
        <f>IF(AND(NOT(ISBLANK(ReconciliationData[[#This Row],[last_return_date]])),ReconciliationData[[#This Row],[last_return_date]]&gt;ReconciliationData[[#This Row],[Order_Date]]+60),1,0)</f>
        <v>0</v>
      </c>
      <c r="V2372">
        <f>IF(ReconciliationData[[#This Row],[total_returned_units]]&gt;ReconciliationData[[#This Row],[ordered_units]],1,0)</f>
        <v>0</v>
      </c>
      <c r="W23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72">
        <f>ReconciliationData[[#This Row],[Billed_Units]]*ReconciliationData[[#This Row],[Billed_Price]]</f>
        <v>41253.353999999999</v>
      </c>
      <c r="Y2372">
        <f>ReconciliationData[[#This Row],[ordered_units]]*ReconciliationData[[#This Row],[List_Price]]</f>
        <v>41253.353999999999</v>
      </c>
      <c r="Z2372">
        <f>ReconciliationData[[#This Row],[billed_revenue]]-ReconciliationData[[#This Row],[expected_revenue]]</f>
        <v>0</v>
      </c>
      <c r="AA23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72" t="str">
        <f>IF(ReconciliationData[[#This Row],[severity_score]]=0,"LOW",
 IF(ReconciliationData[[#This Row],[severity_score]]&lt;=5,"MEDIUM","HIGH"))</f>
        <v>LOW</v>
      </c>
      <c r="AC2372" t="str">
        <f>TEXT(ReconciliationData[[#This Row],[Order_Date]],"YYYY-MM")</f>
        <v>2024-06</v>
      </c>
    </row>
    <row r="2373" spans="1:29">
      <c r="A2373" t="s">
        <v>5932</v>
      </c>
      <c r="B2373" s="1">
        <v>45381</v>
      </c>
      <c r="C2373" t="s">
        <v>2775</v>
      </c>
      <c r="D2373" t="s">
        <v>3404</v>
      </c>
      <c r="E2373">
        <v>106</v>
      </c>
      <c r="F2373" t="s">
        <v>5933</v>
      </c>
      <c r="G2373">
        <v>106</v>
      </c>
      <c r="H2373">
        <v>850.88400000000001</v>
      </c>
      <c r="N2373">
        <v>850.88400000000001</v>
      </c>
      <c r="O2373" s="1">
        <v>45100</v>
      </c>
      <c r="P2373">
        <f>IF(ISBLANK(ReconciliationData[[#This Row],[Invoice_ID]]),1,0)</f>
        <v>0</v>
      </c>
      <c r="Q2373">
        <f>IF(AND(NOT(ISBLANK(ReconciliationData[[#This Row],[Billed_Units]])),ReconciliationData[[#This Row],[ordered_units]]&lt;&gt;ReconciliationData[[#This Row],[Billed_Units]]),1,0)</f>
        <v>0</v>
      </c>
      <c r="R23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3">
        <f>IF(AND(NOT(ISBLANK(ReconciliationData[[#This Row],[Contract_Price]])),ReconciliationData[[#This Row],[Billed_Price]]&lt;&gt;ReconciliationData[[#This Row],[Contract_Price]]),1,0)</f>
        <v>0</v>
      </c>
      <c r="T2373">
        <f>IF(AND(NOT(ISBLANK(ReconciliationData[[#This Row],[End_Date]])),ReconciliationData[[#This Row],[Order_Date]]&gt;ReconciliationData[[#This Row],[End_Date]]),1,0)</f>
        <v>0</v>
      </c>
      <c r="U2373">
        <f>IF(AND(NOT(ISBLANK(ReconciliationData[[#This Row],[last_return_date]])),ReconciliationData[[#This Row],[last_return_date]]&gt;ReconciliationData[[#This Row],[Order_Date]]+60),1,0)</f>
        <v>0</v>
      </c>
      <c r="V2373">
        <f>IF(ReconciliationData[[#This Row],[total_returned_units]]&gt;ReconciliationData[[#This Row],[ordered_units]],1,0)</f>
        <v>0</v>
      </c>
      <c r="W23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73">
        <f>ReconciliationData[[#This Row],[Billed_Units]]*ReconciliationData[[#This Row],[Billed_Price]]</f>
        <v>90193.703999999998</v>
      </c>
      <c r="Y2373">
        <f>ReconciliationData[[#This Row],[ordered_units]]*ReconciliationData[[#This Row],[List_Price]]</f>
        <v>90193.703999999998</v>
      </c>
      <c r="Z2373">
        <f>ReconciliationData[[#This Row],[billed_revenue]]-ReconciliationData[[#This Row],[expected_revenue]]</f>
        <v>0</v>
      </c>
      <c r="AA23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73" t="str">
        <f>IF(ReconciliationData[[#This Row],[severity_score]]=0,"LOW",
 IF(ReconciliationData[[#This Row],[severity_score]]&lt;=5,"MEDIUM","HIGH"))</f>
        <v>LOW</v>
      </c>
      <c r="AC2373" t="str">
        <f>TEXT(ReconciliationData[[#This Row],[Order_Date]],"YYYY-MM")</f>
        <v>2024-03</v>
      </c>
    </row>
    <row r="2374" spans="1:29">
      <c r="A2374" t="s">
        <v>5934</v>
      </c>
      <c r="B2374" s="1">
        <v>45277</v>
      </c>
      <c r="C2374" t="s">
        <v>2162</v>
      </c>
      <c r="D2374" t="s">
        <v>1339</v>
      </c>
      <c r="E2374">
        <v>172</v>
      </c>
      <c r="F2374" t="s">
        <v>5935</v>
      </c>
      <c r="G2374">
        <v>172</v>
      </c>
      <c r="H2374">
        <v>651.14279999999997</v>
      </c>
      <c r="N2374">
        <v>651.14279999999997</v>
      </c>
      <c r="O2374" s="1">
        <v>45220</v>
      </c>
      <c r="P2374">
        <f>IF(ISBLANK(ReconciliationData[[#This Row],[Invoice_ID]]),1,0)</f>
        <v>0</v>
      </c>
      <c r="Q2374">
        <f>IF(AND(NOT(ISBLANK(ReconciliationData[[#This Row],[Billed_Units]])),ReconciliationData[[#This Row],[ordered_units]]&lt;&gt;ReconciliationData[[#This Row],[Billed_Units]]),1,0)</f>
        <v>0</v>
      </c>
      <c r="R23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4">
        <f>IF(AND(NOT(ISBLANK(ReconciliationData[[#This Row],[Contract_Price]])),ReconciliationData[[#This Row],[Billed_Price]]&lt;&gt;ReconciliationData[[#This Row],[Contract_Price]]),1,0)</f>
        <v>0</v>
      </c>
      <c r="T2374">
        <f>IF(AND(NOT(ISBLANK(ReconciliationData[[#This Row],[End_Date]])),ReconciliationData[[#This Row],[Order_Date]]&gt;ReconciliationData[[#This Row],[End_Date]]),1,0)</f>
        <v>0</v>
      </c>
      <c r="U2374">
        <f>IF(AND(NOT(ISBLANK(ReconciliationData[[#This Row],[last_return_date]])),ReconciliationData[[#This Row],[last_return_date]]&gt;ReconciliationData[[#This Row],[Order_Date]]+60),1,0)</f>
        <v>0</v>
      </c>
      <c r="V2374">
        <f>IF(ReconciliationData[[#This Row],[total_returned_units]]&gt;ReconciliationData[[#This Row],[ordered_units]],1,0)</f>
        <v>0</v>
      </c>
      <c r="W23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74">
        <f>ReconciliationData[[#This Row],[Billed_Units]]*ReconciliationData[[#This Row],[Billed_Price]]</f>
        <v>111996.5616</v>
      </c>
      <c r="Y2374">
        <f>ReconciliationData[[#This Row],[ordered_units]]*ReconciliationData[[#This Row],[List_Price]]</f>
        <v>111996.5616</v>
      </c>
      <c r="Z2374">
        <f>ReconciliationData[[#This Row],[billed_revenue]]-ReconciliationData[[#This Row],[expected_revenue]]</f>
        <v>0</v>
      </c>
      <c r="AA23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74" t="str">
        <f>IF(ReconciliationData[[#This Row],[severity_score]]=0,"LOW",
 IF(ReconciliationData[[#This Row],[severity_score]]&lt;=5,"MEDIUM","HIGH"))</f>
        <v>LOW</v>
      </c>
      <c r="AC2374" t="str">
        <f>TEXT(ReconciliationData[[#This Row],[Order_Date]],"YYYY-MM")</f>
        <v>2023-12</v>
      </c>
    </row>
    <row r="2375" spans="1:29">
      <c r="A2375" t="s">
        <v>5936</v>
      </c>
      <c r="B2375" s="1">
        <v>45277</v>
      </c>
      <c r="C2375" t="s">
        <v>706</v>
      </c>
      <c r="D2375" t="s">
        <v>1094</v>
      </c>
      <c r="E2375">
        <v>148</v>
      </c>
      <c r="F2375" t="s">
        <v>5937</v>
      </c>
      <c r="G2375">
        <v>149</v>
      </c>
      <c r="H2375">
        <v>977.22280000000001</v>
      </c>
      <c r="N2375">
        <v>977.22280000000001</v>
      </c>
      <c r="O2375" s="1">
        <v>44984</v>
      </c>
      <c r="P2375">
        <f>IF(ISBLANK(ReconciliationData[[#This Row],[Invoice_ID]]),1,0)</f>
        <v>0</v>
      </c>
      <c r="Q2375">
        <f>IF(AND(NOT(ISBLANK(ReconciliationData[[#This Row],[Billed_Units]])),ReconciliationData[[#This Row],[ordered_units]]&lt;&gt;ReconciliationData[[#This Row],[Billed_Units]]),1,0)</f>
        <v>1</v>
      </c>
      <c r="R23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5">
        <f>IF(AND(NOT(ISBLANK(ReconciliationData[[#This Row],[Contract_Price]])),ReconciliationData[[#This Row],[Billed_Price]]&lt;&gt;ReconciliationData[[#This Row],[Contract_Price]]),1,0)</f>
        <v>0</v>
      </c>
      <c r="T2375">
        <f>IF(AND(NOT(ISBLANK(ReconciliationData[[#This Row],[End_Date]])),ReconciliationData[[#This Row],[Order_Date]]&gt;ReconciliationData[[#This Row],[End_Date]]),1,0)</f>
        <v>0</v>
      </c>
      <c r="U2375">
        <f>IF(AND(NOT(ISBLANK(ReconciliationData[[#This Row],[last_return_date]])),ReconciliationData[[#This Row],[last_return_date]]&gt;ReconciliationData[[#This Row],[Order_Date]]+60),1,0)</f>
        <v>0</v>
      </c>
      <c r="V2375">
        <f>IF(ReconciliationData[[#This Row],[total_returned_units]]&gt;ReconciliationData[[#This Row],[ordered_units]],1,0)</f>
        <v>0</v>
      </c>
      <c r="W23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75">
        <f>ReconciliationData[[#This Row],[Billed_Units]]*ReconciliationData[[#This Row],[Billed_Price]]</f>
        <v>145606.1972</v>
      </c>
      <c r="Y2375">
        <f>ReconciliationData[[#This Row],[ordered_units]]*ReconciliationData[[#This Row],[List_Price]]</f>
        <v>144628.97440000001</v>
      </c>
      <c r="Z2375">
        <f>ReconciliationData[[#This Row],[billed_revenue]]-ReconciliationData[[#This Row],[expected_revenue]]</f>
        <v>977.22279999998864</v>
      </c>
      <c r="AA23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375" t="str">
        <f>IF(ReconciliationData[[#This Row],[severity_score]]=0,"LOW",
 IF(ReconciliationData[[#This Row],[severity_score]]&lt;=5,"MEDIUM","HIGH"))</f>
        <v>HIGH</v>
      </c>
      <c r="AC2375" t="str">
        <f>TEXT(ReconciliationData[[#This Row],[Order_Date]],"YYYY-MM")</f>
        <v>2023-12</v>
      </c>
    </row>
    <row r="2376" spans="1:29">
      <c r="A2376" t="s">
        <v>5938</v>
      </c>
      <c r="B2376" s="1">
        <v>45296</v>
      </c>
      <c r="C2376" t="s">
        <v>499</v>
      </c>
      <c r="D2376" t="s">
        <v>287</v>
      </c>
      <c r="E2376">
        <v>57</v>
      </c>
      <c r="F2376" t="s">
        <v>5939</v>
      </c>
      <c r="G2376">
        <v>57</v>
      </c>
      <c r="H2376">
        <v>637.18399999999997</v>
      </c>
      <c r="N2376">
        <v>637.18399999999997</v>
      </c>
      <c r="O2376" s="1">
        <v>45175</v>
      </c>
      <c r="P2376">
        <f>IF(ISBLANK(ReconciliationData[[#This Row],[Invoice_ID]]),1,0)</f>
        <v>0</v>
      </c>
      <c r="Q2376">
        <f>IF(AND(NOT(ISBLANK(ReconciliationData[[#This Row],[Billed_Units]])),ReconciliationData[[#This Row],[ordered_units]]&lt;&gt;ReconciliationData[[#This Row],[Billed_Units]]),1,0)</f>
        <v>0</v>
      </c>
      <c r="R23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6">
        <f>IF(AND(NOT(ISBLANK(ReconciliationData[[#This Row],[Contract_Price]])),ReconciliationData[[#This Row],[Billed_Price]]&lt;&gt;ReconciliationData[[#This Row],[Contract_Price]]),1,0)</f>
        <v>0</v>
      </c>
      <c r="T2376">
        <f>IF(AND(NOT(ISBLANK(ReconciliationData[[#This Row],[End_Date]])),ReconciliationData[[#This Row],[Order_Date]]&gt;ReconciliationData[[#This Row],[End_Date]]),1,0)</f>
        <v>0</v>
      </c>
      <c r="U2376">
        <f>IF(AND(NOT(ISBLANK(ReconciliationData[[#This Row],[last_return_date]])),ReconciliationData[[#This Row],[last_return_date]]&gt;ReconciliationData[[#This Row],[Order_Date]]+60),1,0)</f>
        <v>0</v>
      </c>
      <c r="V2376">
        <f>IF(ReconciliationData[[#This Row],[total_returned_units]]&gt;ReconciliationData[[#This Row],[ordered_units]],1,0)</f>
        <v>0</v>
      </c>
      <c r="W23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76">
        <f>ReconciliationData[[#This Row],[Billed_Units]]*ReconciliationData[[#This Row],[Billed_Price]]</f>
        <v>36319.487999999998</v>
      </c>
      <c r="Y2376">
        <f>ReconciliationData[[#This Row],[ordered_units]]*ReconciliationData[[#This Row],[List_Price]]</f>
        <v>36319.487999999998</v>
      </c>
      <c r="Z2376">
        <f>ReconciliationData[[#This Row],[billed_revenue]]-ReconciliationData[[#This Row],[expected_revenue]]</f>
        <v>0</v>
      </c>
      <c r="AA23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76" t="str">
        <f>IF(ReconciliationData[[#This Row],[severity_score]]=0,"LOW",
 IF(ReconciliationData[[#This Row],[severity_score]]&lt;=5,"MEDIUM","HIGH"))</f>
        <v>LOW</v>
      </c>
      <c r="AC2376" t="str">
        <f>TEXT(ReconciliationData[[#This Row],[Order_Date]],"YYYY-MM")</f>
        <v>2024-01</v>
      </c>
    </row>
    <row r="2377" spans="1:29">
      <c r="A2377" t="s">
        <v>5940</v>
      </c>
      <c r="B2377" s="1">
        <v>45534</v>
      </c>
      <c r="C2377" t="s">
        <v>4231</v>
      </c>
      <c r="D2377" t="s">
        <v>635</v>
      </c>
      <c r="E2377">
        <v>104</v>
      </c>
      <c r="F2377" t="s">
        <v>5941</v>
      </c>
      <c r="G2377">
        <v>104</v>
      </c>
      <c r="H2377">
        <v>951.54780000000005</v>
      </c>
      <c r="N2377">
        <v>951.54780000000005</v>
      </c>
      <c r="O2377" s="1">
        <v>44964</v>
      </c>
      <c r="P2377">
        <f>IF(ISBLANK(ReconciliationData[[#This Row],[Invoice_ID]]),1,0)</f>
        <v>0</v>
      </c>
      <c r="Q2377">
        <f>IF(AND(NOT(ISBLANK(ReconciliationData[[#This Row],[Billed_Units]])),ReconciliationData[[#This Row],[ordered_units]]&lt;&gt;ReconciliationData[[#This Row],[Billed_Units]]),1,0)</f>
        <v>0</v>
      </c>
      <c r="R23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7">
        <f>IF(AND(NOT(ISBLANK(ReconciliationData[[#This Row],[Contract_Price]])),ReconciliationData[[#This Row],[Billed_Price]]&lt;&gt;ReconciliationData[[#This Row],[Contract_Price]]),1,0)</f>
        <v>0</v>
      </c>
      <c r="T2377">
        <f>IF(AND(NOT(ISBLANK(ReconciliationData[[#This Row],[End_Date]])),ReconciliationData[[#This Row],[Order_Date]]&gt;ReconciliationData[[#This Row],[End_Date]]),1,0)</f>
        <v>0</v>
      </c>
      <c r="U2377">
        <f>IF(AND(NOT(ISBLANK(ReconciliationData[[#This Row],[last_return_date]])),ReconciliationData[[#This Row],[last_return_date]]&gt;ReconciliationData[[#This Row],[Order_Date]]+60),1,0)</f>
        <v>0</v>
      </c>
      <c r="V2377">
        <f>IF(ReconciliationData[[#This Row],[total_returned_units]]&gt;ReconciliationData[[#This Row],[ordered_units]],1,0)</f>
        <v>0</v>
      </c>
      <c r="W23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77">
        <f>ReconciliationData[[#This Row],[Billed_Units]]*ReconciliationData[[#This Row],[Billed_Price]]</f>
        <v>98960.9712</v>
      </c>
      <c r="Y2377">
        <f>ReconciliationData[[#This Row],[ordered_units]]*ReconciliationData[[#This Row],[List_Price]]</f>
        <v>98960.9712</v>
      </c>
      <c r="Z2377">
        <f>ReconciliationData[[#This Row],[billed_revenue]]-ReconciliationData[[#This Row],[expected_revenue]]</f>
        <v>0</v>
      </c>
      <c r="AA23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77" t="str">
        <f>IF(ReconciliationData[[#This Row],[severity_score]]=0,"LOW",
 IF(ReconciliationData[[#This Row],[severity_score]]&lt;=5,"MEDIUM","HIGH"))</f>
        <v>LOW</v>
      </c>
      <c r="AC2377" t="str">
        <f>TEXT(ReconciliationData[[#This Row],[Order_Date]],"YYYY-MM")</f>
        <v>2024-08</v>
      </c>
    </row>
    <row r="2378" spans="1:29">
      <c r="A2378" t="s">
        <v>5942</v>
      </c>
      <c r="B2378" s="1">
        <v>45123</v>
      </c>
      <c r="C2378" t="s">
        <v>623</v>
      </c>
      <c r="D2378" t="s">
        <v>453</v>
      </c>
      <c r="E2378">
        <v>143</v>
      </c>
      <c r="F2378" t="s">
        <v>5943</v>
      </c>
      <c r="G2378">
        <v>143</v>
      </c>
      <c r="H2378">
        <v>1138.4856</v>
      </c>
      <c r="N2378">
        <v>1138.4856</v>
      </c>
      <c r="O2378" s="1">
        <v>44865</v>
      </c>
      <c r="P2378">
        <f>IF(ISBLANK(ReconciliationData[[#This Row],[Invoice_ID]]),1,0)</f>
        <v>0</v>
      </c>
      <c r="Q2378">
        <f>IF(AND(NOT(ISBLANK(ReconciliationData[[#This Row],[Billed_Units]])),ReconciliationData[[#This Row],[ordered_units]]&lt;&gt;ReconciliationData[[#This Row],[Billed_Units]]),1,0)</f>
        <v>0</v>
      </c>
      <c r="R23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8">
        <f>IF(AND(NOT(ISBLANK(ReconciliationData[[#This Row],[Contract_Price]])),ReconciliationData[[#This Row],[Billed_Price]]&lt;&gt;ReconciliationData[[#This Row],[Contract_Price]]),1,0)</f>
        <v>0</v>
      </c>
      <c r="T2378">
        <f>IF(AND(NOT(ISBLANK(ReconciliationData[[#This Row],[End_Date]])),ReconciliationData[[#This Row],[Order_Date]]&gt;ReconciliationData[[#This Row],[End_Date]]),1,0)</f>
        <v>0</v>
      </c>
      <c r="U2378">
        <f>IF(AND(NOT(ISBLANK(ReconciliationData[[#This Row],[last_return_date]])),ReconciliationData[[#This Row],[last_return_date]]&gt;ReconciliationData[[#This Row],[Order_Date]]+60),1,0)</f>
        <v>0</v>
      </c>
      <c r="V2378">
        <f>IF(ReconciliationData[[#This Row],[total_returned_units]]&gt;ReconciliationData[[#This Row],[ordered_units]],1,0)</f>
        <v>0</v>
      </c>
      <c r="W23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78">
        <f>ReconciliationData[[#This Row],[Billed_Units]]*ReconciliationData[[#This Row],[Billed_Price]]</f>
        <v>162803.44079999998</v>
      </c>
      <c r="Y2378">
        <f>ReconciliationData[[#This Row],[ordered_units]]*ReconciliationData[[#This Row],[List_Price]]</f>
        <v>162803.44079999998</v>
      </c>
      <c r="Z2378">
        <f>ReconciliationData[[#This Row],[billed_revenue]]-ReconciliationData[[#This Row],[expected_revenue]]</f>
        <v>0</v>
      </c>
      <c r="AA23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78" t="str">
        <f>IF(ReconciliationData[[#This Row],[severity_score]]=0,"LOW",
 IF(ReconciliationData[[#This Row],[severity_score]]&lt;=5,"MEDIUM","HIGH"))</f>
        <v>LOW</v>
      </c>
      <c r="AC2378" t="str">
        <f>TEXT(ReconciliationData[[#This Row],[Order_Date]],"YYYY-MM")</f>
        <v>2023-07</v>
      </c>
    </row>
    <row r="2379" spans="1:29">
      <c r="A2379" t="s">
        <v>5944</v>
      </c>
      <c r="B2379" s="1">
        <v>45071</v>
      </c>
      <c r="C2379" t="s">
        <v>1182</v>
      </c>
      <c r="D2379" t="s">
        <v>389</v>
      </c>
      <c r="E2379">
        <v>48</v>
      </c>
      <c r="F2379" t="s">
        <v>5945</v>
      </c>
      <c r="G2379">
        <v>48</v>
      </c>
      <c r="H2379">
        <v>782.04880000000003</v>
      </c>
      <c r="I2379">
        <v>10</v>
      </c>
      <c r="J2379" s="1">
        <v>45214</v>
      </c>
      <c r="N2379">
        <v>782.04880000000003</v>
      </c>
      <c r="O2379" s="1">
        <v>44996</v>
      </c>
      <c r="P2379">
        <f>IF(ISBLANK(ReconciliationData[[#This Row],[Invoice_ID]]),1,0)</f>
        <v>0</v>
      </c>
      <c r="Q2379">
        <f>IF(AND(NOT(ISBLANK(ReconciliationData[[#This Row],[Billed_Units]])),ReconciliationData[[#This Row],[ordered_units]]&lt;&gt;ReconciliationData[[#This Row],[Billed_Units]]),1,0)</f>
        <v>0</v>
      </c>
      <c r="R23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79">
        <f>IF(AND(NOT(ISBLANK(ReconciliationData[[#This Row],[Contract_Price]])),ReconciliationData[[#This Row],[Billed_Price]]&lt;&gt;ReconciliationData[[#This Row],[Contract_Price]]),1,0)</f>
        <v>0</v>
      </c>
      <c r="T2379">
        <f>IF(AND(NOT(ISBLANK(ReconciliationData[[#This Row],[End_Date]])),ReconciliationData[[#This Row],[Order_Date]]&gt;ReconciliationData[[#This Row],[End_Date]]),1,0)</f>
        <v>0</v>
      </c>
      <c r="U2379">
        <f>IF(AND(NOT(ISBLANK(ReconciliationData[[#This Row],[last_return_date]])),ReconciliationData[[#This Row],[last_return_date]]&gt;ReconciliationData[[#This Row],[Order_Date]]+60),1,0)</f>
        <v>1</v>
      </c>
      <c r="V2379">
        <f>IF(ReconciliationData[[#This Row],[total_returned_units]]&gt;ReconciliationData[[#This Row],[ordered_units]],1,0)</f>
        <v>0</v>
      </c>
      <c r="W23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79">
        <f>ReconciliationData[[#This Row],[Billed_Units]]*ReconciliationData[[#This Row],[Billed_Price]]</f>
        <v>37538.342400000001</v>
      </c>
      <c r="Y2379">
        <f>ReconciliationData[[#This Row],[ordered_units]]*ReconciliationData[[#This Row],[List_Price]]</f>
        <v>37538.342400000001</v>
      </c>
      <c r="Z2379">
        <f>ReconciliationData[[#This Row],[billed_revenue]]-ReconciliationData[[#This Row],[expected_revenue]]</f>
        <v>0</v>
      </c>
      <c r="AA23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379" t="str">
        <f>IF(ReconciliationData[[#This Row],[severity_score]]=0,"LOW",
 IF(ReconciliationData[[#This Row],[severity_score]]&lt;=5,"MEDIUM","HIGH"))</f>
        <v>MEDIUM</v>
      </c>
      <c r="AC2379" t="str">
        <f>TEXT(ReconciliationData[[#This Row],[Order_Date]],"YYYY-MM")</f>
        <v>2023-05</v>
      </c>
    </row>
    <row r="2380" spans="1:29">
      <c r="A2380" t="s">
        <v>5946</v>
      </c>
      <c r="B2380" s="1">
        <v>45620</v>
      </c>
      <c r="C2380" t="s">
        <v>3979</v>
      </c>
      <c r="D2380" t="s">
        <v>216</v>
      </c>
      <c r="E2380">
        <v>107</v>
      </c>
      <c r="F2380" t="s">
        <v>5947</v>
      </c>
      <c r="G2380">
        <v>107</v>
      </c>
      <c r="H2380">
        <v>1046.741935003457</v>
      </c>
      <c r="I2380">
        <v>9</v>
      </c>
      <c r="J2380" s="1">
        <v>45121</v>
      </c>
      <c r="N2380">
        <v>1046.6099999999999</v>
      </c>
      <c r="O2380" s="1">
        <v>44940</v>
      </c>
      <c r="P2380">
        <f>IF(ISBLANK(ReconciliationData[[#This Row],[Invoice_ID]]),1,0)</f>
        <v>0</v>
      </c>
      <c r="Q2380">
        <f>IF(AND(NOT(ISBLANK(ReconciliationData[[#This Row],[Billed_Units]])),ReconciliationData[[#This Row],[ordered_units]]&lt;&gt;ReconciliationData[[#This Row],[Billed_Units]]),1,0)</f>
        <v>0</v>
      </c>
      <c r="R2380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380">
        <f>IF(AND(NOT(ISBLANK(ReconciliationData[[#This Row],[Contract_Price]])),ReconciliationData[[#This Row],[Billed_Price]]&lt;&gt;ReconciliationData[[#This Row],[Contract_Price]]),1,0)</f>
        <v>0</v>
      </c>
      <c r="T2380">
        <f>IF(AND(NOT(ISBLANK(ReconciliationData[[#This Row],[End_Date]])),ReconciliationData[[#This Row],[Order_Date]]&gt;ReconciliationData[[#This Row],[End_Date]]),1,0)</f>
        <v>0</v>
      </c>
      <c r="U2380">
        <f>IF(AND(NOT(ISBLANK(ReconciliationData[[#This Row],[last_return_date]])),ReconciliationData[[#This Row],[last_return_date]]&gt;ReconciliationData[[#This Row],[Order_Date]]+60),1,0)</f>
        <v>0</v>
      </c>
      <c r="V2380">
        <f>IF(ReconciliationData[[#This Row],[total_returned_units]]&gt;ReconciliationData[[#This Row],[ordered_units]],1,0)</f>
        <v>0</v>
      </c>
      <c r="W23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80">
        <f>ReconciliationData[[#This Row],[Billed_Units]]*ReconciliationData[[#This Row],[Billed_Price]]</f>
        <v>112001.38704536991</v>
      </c>
      <c r="Y2380">
        <f>ReconciliationData[[#This Row],[ordered_units]]*ReconciliationData[[#This Row],[List_Price]]</f>
        <v>111987.26999999999</v>
      </c>
      <c r="Z2380">
        <f>ReconciliationData[[#This Row],[billed_revenue]]-ReconciliationData[[#This Row],[expected_revenue]]</f>
        <v>14.117045369916013</v>
      </c>
      <c r="AA23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380" t="str">
        <f>IF(ReconciliationData[[#This Row],[severity_score]]=0,"LOW",
 IF(ReconciliationData[[#This Row],[severity_score]]&lt;=5,"MEDIUM","HIGH"))</f>
        <v>MEDIUM</v>
      </c>
      <c r="AC2380" t="str">
        <f>TEXT(ReconciliationData[[#This Row],[Order_Date]],"YYYY-MM")</f>
        <v>2024-11</v>
      </c>
    </row>
    <row r="2381" spans="1:29">
      <c r="A2381" t="s">
        <v>5948</v>
      </c>
      <c r="B2381" s="1">
        <v>45047</v>
      </c>
      <c r="C2381" t="s">
        <v>2175</v>
      </c>
      <c r="D2381" t="s">
        <v>1126</v>
      </c>
      <c r="E2381">
        <v>28</v>
      </c>
      <c r="F2381" t="s">
        <v>5949</v>
      </c>
      <c r="G2381">
        <v>28</v>
      </c>
      <c r="H2381">
        <v>1024.0545</v>
      </c>
      <c r="N2381">
        <v>1024.0545</v>
      </c>
      <c r="O2381" s="1">
        <v>45003</v>
      </c>
      <c r="P2381">
        <f>IF(ISBLANK(ReconciliationData[[#This Row],[Invoice_ID]]),1,0)</f>
        <v>0</v>
      </c>
      <c r="Q2381">
        <f>IF(AND(NOT(ISBLANK(ReconciliationData[[#This Row],[Billed_Units]])),ReconciliationData[[#This Row],[ordered_units]]&lt;&gt;ReconciliationData[[#This Row],[Billed_Units]]),1,0)</f>
        <v>0</v>
      </c>
      <c r="R23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81">
        <f>IF(AND(NOT(ISBLANK(ReconciliationData[[#This Row],[Contract_Price]])),ReconciliationData[[#This Row],[Billed_Price]]&lt;&gt;ReconciliationData[[#This Row],[Contract_Price]]),1,0)</f>
        <v>0</v>
      </c>
      <c r="T2381">
        <f>IF(AND(NOT(ISBLANK(ReconciliationData[[#This Row],[End_Date]])),ReconciliationData[[#This Row],[Order_Date]]&gt;ReconciliationData[[#This Row],[End_Date]]),1,0)</f>
        <v>0</v>
      </c>
      <c r="U2381">
        <f>IF(AND(NOT(ISBLANK(ReconciliationData[[#This Row],[last_return_date]])),ReconciliationData[[#This Row],[last_return_date]]&gt;ReconciliationData[[#This Row],[Order_Date]]+60),1,0)</f>
        <v>0</v>
      </c>
      <c r="V2381">
        <f>IF(ReconciliationData[[#This Row],[total_returned_units]]&gt;ReconciliationData[[#This Row],[ordered_units]],1,0)</f>
        <v>0</v>
      </c>
      <c r="W23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81">
        <f>ReconciliationData[[#This Row],[Billed_Units]]*ReconciliationData[[#This Row],[Billed_Price]]</f>
        <v>28673.525999999998</v>
      </c>
      <c r="Y2381">
        <f>ReconciliationData[[#This Row],[ordered_units]]*ReconciliationData[[#This Row],[List_Price]]</f>
        <v>28673.525999999998</v>
      </c>
      <c r="Z2381">
        <f>ReconciliationData[[#This Row],[billed_revenue]]-ReconciliationData[[#This Row],[expected_revenue]]</f>
        <v>0</v>
      </c>
      <c r="AA23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81" t="str">
        <f>IF(ReconciliationData[[#This Row],[severity_score]]=0,"LOW",
 IF(ReconciliationData[[#This Row],[severity_score]]&lt;=5,"MEDIUM","HIGH"))</f>
        <v>LOW</v>
      </c>
      <c r="AC2381" t="str">
        <f>TEXT(ReconciliationData[[#This Row],[Order_Date]],"YYYY-MM")</f>
        <v>2023-05</v>
      </c>
    </row>
    <row r="2382" spans="1:29">
      <c r="A2382" t="s">
        <v>5950</v>
      </c>
      <c r="B2382" s="1">
        <v>45449</v>
      </c>
      <c r="C2382" t="s">
        <v>2288</v>
      </c>
      <c r="D2382" t="s">
        <v>313</v>
      </c>
      <c r="E2382">
        <v>148</v>
      </c>
      <c r="F2382" t="s">
        <v>5951</v>
      </c>
      <c r="G2382">
        <v>148</v>
      </c>
      <c r="H2382">
        <v>1190.6054999999999</v>
      </c>
      <c r="N2382">
        <v>1190.6054999999999</v>
      </c>
      <c r="O2382" s="1">
        <v>44984</v>
      </c>
      <c r="P2382">
        <f>IF(ISBLANK(ReconciliationData[[#This Row],[Invoice_ID]]),1,0)</f>
        <v>0</v>
      </c>
      <c r="Q2382">
        <f>IF(AND(NOT(ISBLANK(ReconciliationData[[#This Row],[Billed_Units]])),ReconciliationData[[#This Row],[ordered_units]]&lt;&gt;ReconciliationData[[#This Row],[Billed_Units]]),1,0)</f>
        <v>0</v>
      </c>
      <c r="R23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82">
        <f>IF(AND(NOT(ISBLANK(ReconciliationData[[#This Row],[Contract_Price]])),ReconciliationData[[#This Row],[Billed_Price]]&lt;&gt;ReconciliationData[[#This Row],[Contract_Price]]),1,0)</f>
        <v>0</v>
      </c>
      <c r="T2382">
        <f>IF(AND(NOT(ISBLANK(ReconciliationData[[#This Row],[End_Date]])),ReconciliationData[[#This Row],[Order_Date]]&gt;ReconciliationData[[#This Row],[End_Date]]),1,0)</f>
        <v>0</v>
      </c>
      <c r="U2382">
        <f>IF(AND(NOT(ISBLANK(ReconciliationData[[#This Row],[last_return_date]])),ReconciliationData[[#This Row],[last_return_date]]&gt;ReconciliationData[[#This Row],[Order_Date]]+60),1,0)</f>
        <v>0</v>
      </c>
      <c r="V2382">
        <f>IF(ReconciliationData[[#This Row],[total_returned_units]]&gt;ReconciliationData[[#This Row],[ordered_units]],1,0)</f>
        <v>0</v>
      </c>
      <c r="W23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82">
        <f>ReconciliationData[[#This Row],[Billed_Units]]*ReconciliationData[[#This Row],[Billed_Price]]</f>
        <v>176209.61399999997</v>
      </c>
      <c r="Y2382">
        <f>ReconciliationData[[#This Row],[ordered_units]]*ReconciliationData[[#This Row],[List_Price]]</f>
        <v>176209.61399999997</v>
      </c>
      <c r="Z2382">
        <f>ReconciliationData[[#This Row],[billed_revenue]]-ReconciliationData[[#This Row],[expected_revenue]]</f>
        <v>0</v>
      </c>
      <c r="AA23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82" t="str">
        <f>IF(ReconciliationData[[#This Row],[severity_score]]=0,"LOW",
 IF(ReconciliationData[[#This Row],[severity_score]]&lt;=5,"MEDIUM","HIGH"))</f>
        <v>LOW</v>
      </c>
      <c r="AC2382" t="str">
        <f>TEXT(ReconciliationData[[#This Row],[Order_Date]],"YYYY-MM")</f>
        <v>2024-06</v>
      </c>
    </row>
    <row r="2383" spans="1:29">
      <c r="A2383" t="s">
        <v>5952</v>
      </c>
      <c r="B2383" s="1">
        <v>45361</v>
      </c>
      <c r="C2383" t="s">
        <v>1699</v>
      </c>
      <c r="D2383" t="s">
        <v>2331</v>
      </c>
      <c r="E2383">
        <v>77</v>
      </c>
      <c r="F2383" t="s">
        <v>5953</v>
      </c>
      <c r="G2383">
        <v>77</v>
      </c>
      <c r="H2383">
        <v>983.19460000000004</v>
      </c>
      <c r="N2383">
        <v>983.19460000000004</v>
      </c>
      <c r="O2383" s="1">
        <v>45142</v>
      </c>
      <c r="P2383">
        <f>IF(ISBLANK(ReconciliationData[[#This Row],[Invoice_ID]]),1,0)</f>
        <v>0</v>
      </c>
      <c r="Q2383">
        <f>IF(AND(NOT(ISBLANK(ReconciliationData[[#This Row],[Billed_Units]])),ReconciliationData[[#This Row],[ordered_units]]&lt;&gt;ReconciliationData[[#This Row],[Billed_Units]]),1,0)</f>
        <v>0</v>
      </c>
      <c r="R23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83">
        <f>IF(AND(NOT(ISBLANK(ReconciliationData[[#This Row],[Contract_Price]])),ReconciliationData[[#This Row],[Billed_Price]]&lt;&gt;ReconciliationData[[#This Row],[Contract_Price]]),1,0)</f>
        <v>0</v>
      </c>
      <c r="T2383">
        <f>IF(AND(NOT(ISBLANK(ReconciliationData[[#This Row],[End_Date]])),ReconciliationData[[#This Row],[Order_Date]]&gt;ReconciliationData[[#This Row],[End_Date]]),1,0)</f>
        <v>0</v>
      </c>
      <c r="U2383">
        <f>IF(AND(NOT(ISBLANK(ReconciliationData[[#This Row],[last_return_date]])),ReconciliationData[[#This Row],[last_return_date]]&gt;ReconciliationData[[#This Row],[Order_Date]]+60),1,0)</f>
        <v>0</v>
      </c>
      <c r="V2383">
        <f>IF(ReconciliationData[[#This Row],[total_returned_units]]&gt;ReconciliationData[[#This Row],[ordered_units]],1,0)</f>
        <v>0</v>
      </c>
      <c r="W23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83">
        <f>ReconciliationData[[#This Row],[Billed_Units]]*ReconciliationData[[#This Row],[Billed_Price]]</f>
        <v>75705.984200000006</v>
      </c>
      <c r="Y2383">
        <f>ReconciliationData[[#This Row],[ordered_units]]*ReconciliationData[[#This Row],[List_Price]]</f>
        <v>75705.984200000006</v>
      </c>
      <c r="Z2383">
        <f>ReconciliationData[[#This Row],[billed_revenue]]-ReconciliationData[[#This Row],[expected_revenue]]</f>
        <v>0</v>
      </c>
      <c r="AA23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83" t="str">
        <f>IF(ReconciliationData[[#This Row],[severity_score]]=0,"LOW",
 IF(ReconciliationData[[#This Row],[severity_score]]&lt;=5,"MEDIUM","HIGH"))</f>
        <v>LOW</v>
      </c>
      <c r="AC2383" t="str">
        <f>TEXT(ReconciliationData[[#This Row],[Order_Date]],"YYYY-MM")</f>
        <v>2024-03</v>
      </c>
    </row>
    <row r="2384" spans="1:29">
      <c r="A2384" t="s">
        <v>5954</v>
      </c>
      <c r="B2384" s="1">
        <v>45340</v>
      </c>
      <c r="C2384" t="s">
        <v>475</v>
      </c>
      <c r="D2384" t="s">
        <v>628</v>
      </c>
      <c r="E2384">
        <v>25</v>
      </c>
      <c r="F2384" t="s">
        <v>5955</v>
      </c>
      <c r="G2384">
        <v>25</v>
      </c>
      <c r="H2384">
        <v>322.71780000000001</v>
      </c>
      <c r="N2384">
        <v>322.71780000000001</v>
      </c>
      <c r="O2384" s="1">
        <v>45169</v>
      </c>
      <c r="P2384">
        <f>IF(ISBLANK(ReconciliationData[[#This Row],[Invoice_ID]]),1,0)</f>
        <v>0</v>
      </c>
      <c r="Q2384">
        <f>IF(AND(NOT(ISBLANK(ReconciliationData[[#This Row],[Billed_Units]])),ReconciliationData[[#This Row],[ordered_units]]&lt;&gt;ReconciliationData[[#This Row],[Billed_Units]]),1,0)</f>
        <v>0</v>
      </c>
      <c r="R23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84">
        <f>IF(AND(NOT(ISBLANK(ReconciliationData[[#This Row],[Contract_Price]])),ReconciliationData[[#This Row],[Billed_Price]]&lt;&gt;ReconciliationData[[#This Row],[Contract_Price]]),1,0)</f>
        <v>0</v>
      </c>
      <c r="T2384">
        <f>IF(AND(NOT(ISBLANK(ReconciliationData[[#This Row],[End_Date]])),ReconciliationData[[#This Row],[Order_Date]]&gt;ReconciliationData[[#This Row],[End_Date]]),1,0)</f>
        <v>0</v>
      </c>
      <c r="U2384">
        <f>IF(AND(NOT(ISBLANK(ReconciliationData[[#This Row],[last_return_date]])),ReconciliationData[[#This Row],[last_return_date]]&gt;ReconciliationData[[#This Row],[Order_Date]]+60),1,0)</f>
        <v>0</v>
      </c>
      <c r="V2384">
        <f>IF(ReconciliationData[[#This Row],[total_returned_units]]&gt;ReconciliationData[[#This Row],[ordered_units]],1,0)</f>
        <v>0</v>
      </c>
      <c r="W23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84">
        <f>ReconciliationData[[#This Row],[Billed_Units]]*ReconciliationData[[#This Row],[Billed_Price]]</f>
        <v>8067.9450000000006</v>
      </c>
      <c r="Y2384">
        <f>ReconciliationData[[#This Row],[ordered_units]]*ReconciliationData[[#This Row],[List_Price]]</f>
        <v>8067.9450000000006</v>
      </c>
      <c r="Z2384">
        <f>ReconciliationData[[#This Row],[billed_revenue]]-ReconciliationData[[#This Row],[expected_revenue]]</f>
        <v>0</v>
      </c>
      <c r="AA23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84" t="str">
        <f>IF(ReconciliationData[[#This Row],[severity_score]]=0,"LOW",
 IF(ReconciliationData[[#This Row],[severity_score]]&lt;=5,"MEDIUM","HIGH"))</f>
        <v>LOW</v>
      </c>
      <c r="AC2384" t="str">
        <f>TEXT(ReconciliationData[[#This Row],[Order_Date]],"YYYY-MM")</f>
        <v>2024-02</v>
      </c>
    </row>
    <row r="2385" spans="1:29">
      <c r="A2385" t="s">
        <v>5956</v>
      </c>
      <c r="B2385" s="1">
        <v>45311</v>
      </c>
      <c r="C2385" t="s">
        <v>2336</v>
      </c>
      <c r="D2385" t="s">
        <v>472</v>
      </c>
      <c r="E2385">
        <v>134</v>
      </c>
      <c r="F2385" t="s">
        <v>5957</v>
      </c>
      <c r="G2385">
        <v>134</v>
      </c>
      <c r="H2385">
        <v>730.7886000000002</v>
      </c>
      <c r="N2385">
        <v>730.7886000000002</v>
      </c>
      <c r="O2385" s="1">
        <v>45099</v>
      </c>
      <c r="P2385">
        <f>IF(ISBLANK(ReconciliationData[[#This Row],[Invoice_ID]]),1,0)</f>
        <v>0</v>
      </c>
      <c r="Q2385">
        <f>IF(AND(NOT(ISBLANK(ReconciliationData[[#This Row],[Billed_Units]])),ReconciliationData[[#This Row],[ordered_units]]&lt;&gt;ReconciliationData[[#This Row],[Billed_Units]]),1,0)</f>
        <v>0</v>
      </c>
      <c r="R23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85">
        <f>IF(AND(NOT(ISBLANK(ReconciliationData[[#This Row],[Contract_Price]])),ReconciliationData[[#This Row],[Billed_Price]]&lt;&gt;ReconciliationData[[#This Row],[Contract_Price]]),1,0)</f>
        <v>0</v>
      </c>
      <c r="T2385">
        <f>IF(AND(NOT(ISBLANK(ReconciliationData[[#This Row],[End_Date]])),ReconciliationData[[#This Row],[Order_Date]]&gt;ReconciliationData[[#This Row],[End_Date]]),1,0)</f>
        <v>0</v>
      </c>
      <c r="U2385">
        <f>IF(AND(NOT(ISBLANK(ReconciliationData[[#This Row],[last_return_date]])),ReconciliationData[[#This Row],[last_return_date]]&gt;ReconciliationData[[#This Row],[Order_Date]]+60),1,0)</f>
        <v>0</v>
      </c>
      <c r="V2385">
        <f>IF(ReconciliationData[[#This Row],[total_returned_units]]&gt;ReconciliationData[[#This Row],[ordered_units]],1,0)</f>
        <v>0</v>
      </c>
      <c r="W23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85">
        <f>ReconciliationData[[#This Row],[Billed_Units]]*ReconciliationData[[#This Row],[Billed_Price]]</f>
        <v>97925.672400000025</v>
      </c>
      <c r="Y2385">
        <f>ReconciliationData[[#This Row],[ordered_units]]*ReconciliationData[[#This Row],[List_Price]]</f>
        <v>97925.672400000025</v>
      </c>
      <c r="Z2385">
        <f>ReconciliationData[[#This Row],[billed_revenue]]-ReconciliationData[[#This Row],[expected_revenue]]</f>
        <v>0</v>
      </c>
      <c r="AA23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85" t="str">
        <f>IF(ReconciliationData[[#This Row],[severity_score]]=0,"LOW",
 IF(ReconciliationData[[#This Row],[severity_score]]&lt;=5,"MEDIUM","HIGH"))</f>
        <v>LOW</v>
      </c>
      <c r="AC2385" t="str">
        <f>TEXT(ReconciliationData[[#This Row],[Order_Date]],"YYYY-MM")</f>
        <v>2024-01</v>
      </c>
    </row>
    <row r="2386" spans="1:29">
      <c r="A2386" t="s">
        <v>5958</v>
      </c>
      <c r="B2386" s="1">
        <v>45202</v>
      </c>
      <c r="C2386" t="s">
        <v>1117</v>
      </c>
      <c r="D2386" t="s">
        <v>1083</v>
      </c>
      <c r="E2386">
        <v>194</v>
      </c>
      <c r="F2386" t="s">
        <v>5959</v>
      </c>
      <c r="G2386">
        <v>194</v>
      </c>
      <c r="H2386">
        <v>479.40280000000007</v>
      </c>
      <c r="N2386">
        <v>479.40280000000007</v>
      </c>
      <c r="O2386" s="1">
        <v>44941</v>
      </c>
      <c r="P2386">
        <f>IF(ISBLANK(ReconciliationData[[#This Row],[Invoice_ID]]),1,0)</f>
        <v>0</v>
      </c>
      <c r="Q2386">
        <f>IF(AND(NOT(ISBLANK(ReconciliationData[[#This Row],[Billed_Units]])),ReconciliationData[[#This Row],[ordered_units]]&lt;&gt;ReconciliationData[[#This Row],[Billed_Units]]),1,0)</f>
        <v>0</v>
      </c>
      <c r="R23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86">
        <f>IF(AND(NOT(ISBLANK(ReconciliationData[[#This Row],[Contract_Price]])),ReconciliationData[[#This Row],[Billed_Price]]&lt;&gt;ReconciliationData[[#This Row],[Contract_Price]]),1,0)</f>
        <v>0</v>
      </c>
      <c r="T2386">
        <f>IF(AND(NOT(ISBLANK(ReconciliationData[[#This Row],[End_Date]])),ReconciliationData[[#This Row],[Order_Date]]&gt;ReconciliationData[[#This Row],[End_Date]]),1,0)</f>
        <v>0</v>
      </c>
      <c r="U2386">
        <f>IF(AND(NOT(ISBLANK(ReconciliationData[[#This Row],[last_return_date]])),ReconciliationData[[#This Row],[last_return_date]]&gt;ReconciliationData[[#This Row],[Order_Date]]+60),1,0)</f>
        <v>0</v>
      </c>
      <c r="V2386">
        <f>IF(ReconciliationData[[#This Row],[total_returned_units]]&gt;ReconciliationData[[#This Row],[ordered_units]],1,0)</f>
        <v>0</v>
      </c>
      <c r="W23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86">
        <f>ReconciliationData[[#This Row],[Billed_Units]]*ReconciliationData[[#This Row],[Billed_Price]]</f>
        <v>93004.14320000002</v>
      </c>
      <c r="Y2386">
        <f>ReconciliationData[[#This Row],[ordered_units]]*ReconciliationData[[#This Row],[List_Price]]</f>
        <v>93004.14320000002</v>
      </c>
      <c r="Z2386">
        <f>ReconciliationData[[#This Row],[billed_revenue]]-ReconciliationData[[#This Row],[expected_revenue]]</f>
        <v>0</v>
      </c>
      <c r="AA23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86" t="str">
        <f>IF(ReconciliationData[[#This Row],[severity_score]]=0,"LOW",
 IF(ReconciliationData[[#This Row],[severity_score]]&lt;=5,"MEDIUM","HIGH"))</f>
        <v>LOW</v>
      </c>
      <c r="AC2386" t="str">
        <f>TEXT(ReconciliationData[[#This Row],[Order_Date]],"YYYY-MM")</f>
        <v>2023-10</v>
      </c>
    </row>
    <row r="2387" spans="1:29">
      <c r="A2387" t="s">
        <v>5960</v>
      </c>
      <c r="B2387" s="1">
        <v>45289</v>
      </c>
      <c r="C2387" t="s">
        <v>5961</v>
      </c>
      <c r="D2387" t="s">
        <v>150</v>
      </c>
      <c r="E2387">
        <v>46</v>
      </c>
      <c r="F2387" t="s">
        <v>5962</v>
      </c>
      <c r="G2387">
        <v>46</v>
      </c>
      <c r="H2387">
        <v>353.52719999999999</v>
      </c>
      <c r="N2387">
        <v>353.52719999999999</v>
      </c>
      <c r="O2387" s="1">
        <v>45182</v>
      </c>
      <c r="P2387">
        <f>IF(ISBLANK(ReconciliationData[[#This Row],[Invoice_ID]]),1,0)</f>
        <v>0</v>
      </c>
      <c r="Q2387">
        <f>IF(AND(NOT(ISBLANK(ReconciliationData[[#This Row],[Billed_Units]])),ReconciliationData[[#This Row],[ordered_units]]&lt;&gt;ReconciliationData[[#This Row],[Billed_Units]]),1,0)</f>
        <v>0</v>
      </c>
      <c r="R23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87">
        <f>IF(AND(NOT(ISBLANK(ReconciliationData[[#This Row],[Contract_Price]])),ReconciliationData[[#This Row],[Billed_Price]]&lt;&gt;ReconciliationData[[#This Row],[Contract_Price]]),1,0)</f>
        <v>0</v>
      </c>
      <c r="T2387">
        <f>IF(AND(NOT(ISBLANK(ReconciliationData[[#This Row],[End_Date]])),ReconciliationData[[#This Row],[Order_Date]]&gt;ReconciliationData[[#This Row],[End_Date]]),1,0)</f>
        <v>0</v>
      </c>
      <c r="U2387">
        <f>IF(AND(NOT(ISBLANK(ReconciliationData[[#This Row],[last_return_date]])),ReconciliationData[[#This Row],[last_return_date]]&gt;ReconciliationData[[#This Row],[Order_Date]]+60),1,0)</f>
        <v>0</v>
      </c>
      <c r="V2387">
        <f>IF(ReconciliationData[[#This Row],[total_returned_units]]&gt;ReconciliationData[[#This Row],[ordered_units]],1,0)</f>
        <v>0</v>
      </c>
      <c r="W23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87">
        <f>ReconciliationData[[#This Row],[Billed_Units]]*ReconciliationData[[#This Row],[Billed_Price]]</f>
        <v>16262.251199999999</v>
      </c>
      <c r="Y2387">
        <f>ReconciliationData[[#This Row],[ordered_units]]*ReconciliationData[[#This Row],[List_Price]]</f>
        <v>16262.251199999999</v>
      </c>
      <c r="Z2387">
        <f>ReconciliationData[[#This Row],[billed_revenue]]-ReconciliationData[[#This Row],[expected_revenue]]</f>
        <v>0</v>
      </c>
      <c r="AA23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87" t="str">
        <f>IF(ReconciliationData[[#This Row],[severity_score]]=0,"LOW",
 IF(ReconciliationData[[#This Row],[severity_score]]&lt;=5,"MEDIUM","HIGH"))</f>
        <v>LOW</v>
      </c>
      <c r="AC2387" t="str">
        <f>TEXT(ReconciliationData[[#This Row],[Order_Date]],"YYYY-MM")</f>
        <v>2023-12</v>
      </c>
    </row>
    <row r="2388" spans="1:29">
      <c r="A2388" t="s">
        <v>5963</v>
      </c>
      <c r="B2388" s="1">
        <v>45331</v>
      </c>
      <c r="C2388" t="s">
        <v>907</v>
      </c>
      <c r="D2388" t="s">
        <v>259</v>
      </c>
      <c r="E2388">
        <v>111</v>
      </c>
      <c r="F2388" t="s">
        <v>5964</v>
      </c>
      <c r="G2388">
        <v>111</v>
      </c>
      <c r="H2388">
        <v>360.68479999999994</v>
      </c>
      <c r="N2388">
        <v>360.68479999999994</v>
      </c>
      <c r="O2388" s="1">
        <v>45072</v>
      </c>
      <c r="P2388">
        <f>IF(ISBLANK(ReconciliationData[[#This Row],[Invoice_ID]]),1,0)</f>
        <v>0</v>
      </c>
      <c r="Q2388">
        <f>IF(AND(NOT(ISBLANK(ReconciliationData[[#This Row],[Billed_Units]])),ReconciliationData[[#This Row],[ordered_units]]&lt;&gt;ReconciliationData[[#This Row],[Billed_Units]]),1,0)</f>
        <v>0</v>
      </c>
      <c r="R23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88">
        <f>IF(AND(NOT(ISBLANK(ReconciliationData[[#This Row],[Contract_Price]])),ReconciliationData[[#This Row],[Billed_Price]]&lt;&gt;ReconciliationData[[#This Row],[Contract_Price]]),1,0)</f>
        <v>0</v>
      </c>
      <c r="T2388">
        <f>IF(AND(NOT(ISBLANK(ReconciliationData[[#This Row],[End_Date]])),ReconciliationData[[#This Row],[Order_Date]]&gt;ReconciliationData[[#This Row],[End_Date]]),1,0)</f>
        <v>0</v>
      </c>
      <c r="U2388">
        <f>IF(AND(NOT(ISBLANK(ReconciliationData[[#This Row],[last_return_date]])),ReconciliationData[[#This Row],[last_return_date]]&gt;ReconciliationData[[#This Row],[Order_Date]]+60),1,0)</f>
        <v>0</v>
      </c>
      <c r="V2388">
        <f>IF(ReconciliationData[[#This Row],[total_returned_units]]&gt;ReconciliationData[[#This Row],[ordered_units]],1,0)</f>
        <v>0</v>
      </c>
      <c r="W23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88">
        <f>ReconciliationData[[#This Row],[Billed_Units]]*ReconciliationData[[#This Row],[Billed_Price]]</f>
        <v>40036.012799999997</v>
      </c>
      <c r="Y2388">
        <f>ReconciliationData[[#This Row],[ordered_units]]*ReconciliationData[[#This Row],[List_Price]]</f>
        <v>40036.012799999997</v>
      </c>
      <c r="Z2388">
        <f>ReconciliationData[[#This Row],[billed_revenue]]-ReconciliationData[[#This Row],[expected_revenue]]</f>
        <v>0</v>
      </c>
      <c r="AA23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88" t="str">
        <f>IF(ReconciliationData[[#This Row],[severity_score]]=0,"LOW",
 IF(ReconciliationData[[#This Row],[severity_score]]&lt;=5,"MEDIUM","HIGH"))</f>
        <v>LOW</v>
      </c>
      <c r="AC2388" t="str">
        <f>TEXT(ReconciliationData[[#This Row],[Order_Date]],"YYYY-MM")</f>
        <v>2024-02</v>
      </c>
    </row>
    <row r="2389" spans="1:29">
      <c r="A2389" t="s">
        <v>5965</v>
      </c>
      <c r="B2389" s="1">
        <v>45347</v>
      </c>
      <c r="C2389" t="s">
        <v>3731</v>
      </c>
      <c r="D2389" t="s">
        <v>596</v>
      </c>
      <c r="E2389">
        <v>32</v>
      </c>
      <c r="F2389" t="s">
        <v>5966</v>
      </c>
      <c r="G2389">
        <v>32</v>
      </c>
      <c r="H2389">
        <v>652.1472</v>
      </c>
      <c r="N2389">
        <v>652.1472</v>
      </c>
      <c r="O2389" s="1">
        <v>44959</v>
      </c>
      <c r="P2389">
        <f>IF(ISBLANK(ReconciliationData[[#This Row],[Invoice_ID]]),1,0)</f>
        <v>0</v>
      </c>
      <c r="Q2389">
        <f>IF(AND(NOT(ISBLANK(ReconciliationData[[#This Row],[Billed_Units]])),ReconciliationData[[#This Row],[ordered_units]]&lt;&gt;ReconciliationData[[#This Row],[Billed_Units]]),1,0)</f>
        <v>0</v>
      </c>
      <c r="R23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89">
        <f>IF(AND(NOT(ISBLANK(ReconciliationData[[#This Row],[Contract_Price]])),ReconciliationData[[#This Row],[Billed_Price]]&lt;&gt;ReconciliationData[[#This Row],[Contract_Price]]),1,0)</f>
        <v>0</v>
      </c>
      <c r="T2389">
        <f>IF(AND(NOT(ISBLANK(ReconciliationData[[#This Row],[End_Date]])),ReconciliationData[[#This Row],[Order_Date]]&gt;ReconciliationData[[#This Row],[End_Date]]),1,0)</f>
        <v>0</v>
      </c>
      <c r="U2389">
        <f>IF(AND(NOT(ISBLANK(ReconciliationData[[#This Row],[last_return_date]])),ReconciliationData[[#This Row],[last_return_date]]&gt;ReconciliationData[[#This Row],[Order_Date]]+60),1,0)</f>
        <v>0</v>
      </c>
      <c r="V2389">
        <f>IF(ReconciliationData[[#This Row],[total_returned_units]]&gt;ReconciliationData[[#This Row],[ordered_units]],1,0)</f>
        <v>0</v>
      </c>
      <c r="W23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89">
        <f>ReconciliationData[[#This Row],[Billed_Units]]*ReconciliationData[[#This Row],[Billed_Price]]</f>
        <v>20868.7104</v>
      </c>
      <c r="Y2389">
        <f>ReconciliationData[[#This Row],[ordered_units]]*ReconciliationData[[#This Row],[List_Price]]</f>
        <v>20868.7104</v>
      </c>
      <c r="Z2389">
        <f>ReconciliationData[[#This Row],[billed_revenue]]-ReconciliationData[[#This Row],[expected_revenue]]</f>
        <v>0</v>
      </c>
      <c r="AA23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89" t="str">
        <f>IF(ReconciliationData[[#This Row],[severity_score]]=0,"LOW",
 IF(ReconciliationData[[#This Row],[severity_score]]&lt;=5,"MEDIUM","HIGH"))</f>
        <v>LOW</v>
      </c>
      <c r="AC2389" t="str">
        <f>TEXT(ReconciliationData[[#This Row],[Order_Date]],"YYYY-MM")</f>
        <v>2024-02</v>
      </c>
    </row>
    <row r="2390" spans="1:29">
      <c r="A2390" t="s">
        <v>5967</v>
      </c>
      <c r="B2390" s="1">
        <v>44986</v>
      </c>
      <c r="C2390" t="s">
        <v>3259</v>
      </c>
      <c r="D2390" t="s">
        <v>158</v>
      </c>
      <c r="E2390">
        <v>50</v>
      </c>
      <c r="F2390" t="s">
        <v>5968</v>
      </c>
      <c r="G2390">
        <v>50</v>
      </c>
      <c r="H2390">
        <v>634.80959999999993</v>
      </c>
      <c r="N2390">
        <v>634.80959999999993</v>
      </c>
      <c r="O2390" s="1">
        <v>44895</v>
      </c>
      <c r="P2390">
        <f>IF(ISBLANK(ReconciliationData[[#This Row],[Invoice_ID]]),1,0)</f>
        <v>0</v>
      </c>
      <c r="Q2390">
        <f>IF(AND(NOT(ISBLANK(ReconciliationData[[#This Row],[Billed_Units]])),ReconciliationData[[#This Row],[ordered_units]]&lt;&gt;ReconciliationData[[#This Row],[Billed_Units]]),1,0)</f>
        <v>0</v>
      </c>
      <c r="R23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0">
        <f>IF(AND(NOT(ISBLANK(ReconciliationData[[#This Row],[Contract_Price]])),ReconciliationData[[#This Row],[Billed_Price]]&lt;&gt;ReconciliationData[[#This Row],[Contract_Price]]),1,0)</f>
        <v>0</v>
      </c>
      <c r="T2390">
        <f>IF(AND(NOT(ISBLANK(ReconciliationData[[#This Row],[End_Date]])),ReconciliationData[[#This Row],[Order_Date]]&gt;ReconciliationData[[#This Row],[End_Date]]),1,0)</f>
        <v>0</v>
      </c>
      <c r="U2390">
        <f>IF(AND(NOT(ISBLANK(ReconciliationData[[#This Row],[last_return_date]])),ReconciliationData[[#This Row],[last_return_date]]&gt;ReconciliationData[[#This Row],[Order_Date]]+60),1,0)</f>
        <v>0</v>
      </c>
      <c r="V2390">
        <f>IF(ReconciliationData[[#This Row],[total_returned_units]]&gt;ReconciliationData[[#This Row],[ordered_units]],1,0)</f>
        <v>0</v>
      </c>
      <c r="W23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90">
        <f>ReconciliationData[[#This Row],[Billed_Units]]*ReconciliationData[[#This Row],[Billed_Price]]</f>
        <v>31740.479999999996</v>
      </c>
      <c r="Y2390">
        <f>ReconciliationData[[#This Row],[ordered_units]]*ReconciliationData[[#This Row],[List_Price]]</f>
        <v>31740.479999999996</v>
      </c>
      <c r="Z2390">
        <f>ReconciliationData[[#This Row],[billed_revenue]]-ReconciliationData[[#This Row],[expected_revenue]]</f>
        <v>0</v>
      </c>
      <c r="AA23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90" t="str">
        <f>IF(ReconciliationData[[#This Row],[severity_score]]=0,"LOW",
 IF(ReconciliationData[[#This Row],[severity_score]]&lt;=5,"MEDIUM","HIGH"))</f>
        <v>LOW</v>
      </c>
      <c r="AC2390" t="str">
        <f>TEXT(ReconciliationData[[#This Row],[Order_Date]],"YYYY-MM")</f>
        <v>2023-03</v>
      </c>
    </row>
    <row r="2391" spans="1:29">
      <c r="A2391" t="s">
        <v>5969</v>
      </c>
      <c r="B2391" s="1">
        <v>44930</v>
      </c>
      <c r="C2391" t="s">
        <v>1536</v>
      </c>
      <c r="D2391" t="s">
        <v>1294</v>
      </c>
      <c r="E2391">
        <v>66</v>
      </c>
      <c r="F2391" t="s">
        <v>5970</v>
      </c>
      <c r="G2391">
        <v>66</v>
      </c>
      <c r="H2391">
        <v>793.03560000000004</v>
      </c>
      <c r="N2391">
        <v>793.03560000000004</v>
      </c>
      <c r="O2391" s="1">
        <v>44892</v>
      </c>
      <c r="P2391">
        <f>IF(ISBLANK(ReconciliationData[[#This Row],[Invoice_ID]]),1,0)</f>
        <v>0</v>
      </c>
      <c r="Q2391">
        <f>IF(AND(NOT(ISBLANK(ReconciliationData[[#This Row],[Billed_Units]])),ReconciliationData[[#This Row],[ordered_units]]&lt;&gt;ReconciliationData[[#This Row],[Billed_Units]]),1,0)</f>
        <v>0</v>
      </c>
      <c r="R23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1">
        <f>IF(AND(NOT(ISBLANK(ReconciliationData[[#This Row],[Contract_Price]])),ReconciliationData[[#This Row],[Billed_Price]]&lt;&gt;ReconciliationData[[#This Row],[Contract_Price]]),1,0)</f>
        <v>0</v>
      </c>
      <c r="T2391">
        <f>IF(AND(NOT(ISBLANK(ReconciliationData[[#This Row],[End_Date]])),ReconciliationData[[#This Row],[Order_Date]]&gt;ReconciliationData[[#This Row],[End_Date]]),1,0)</f>
        <v>0</v>
      </c>
      <c r="U2391">
        <f>IF(AND(NOT(ISBLANK(ReconciliationData[[#This Row],[last_return_date]])),ReconciliationData[[#This Row],[last_return_date]]&gt;ReconciliationData[[#This Row],[Order_Date]]+60),1,0)</f>
        <v>0</v>
      </c>
      <c r="V2391">
        <f>IF(ReconciliationData[[#This Row],[total_returned_units]]&gt;ReconciliationData[[#This Row],[ordered_units]],1,0)</f>
        <v>0</v>
      </c>
      <c r="W23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91">
        <f>ReconciliationData[[#This Row],[Billed_Units]]*ReconciliationData[[#This Row],[Billed_Price]]</f>
        <v>52340.349600000001</v>
      </c>
      <c r="Y2391">
        <f>ReconciliationData[[#This Row],[ordered_units]]*ReconciliationData[[#This Row],[List_Price]]</f>
        <v>52340.349600000001</v>
      </c>
      <c r="Z2391">
        <f>ReconciliationData[[#This Row],[billed_revenue]]-ReconciliationData[[#This Row],[expected_revenue]]</f>
        <v>0</v>
      </c>
      <c r="AA23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91" t="str">
        <f>IF(ReconciliationData[[#This Row],[severity_score]]=0,"LOW",
 IF(ReconciliationData[[#This Row],[severity_score]]&lt;=5,"MEDIUM","HIGH"))</f>
        <v>LOW</v>
      </c>
      <c r="AC2391" t="str">
        <f>TEXT(ReconciliationData[[#This Row],[Order_Date]],"YYYY-MM")</f>
        <v>2023-01</v>
      </c>
    </row>
    <row r="2392" spans="1:29">
      <c r="A2392" t="s">
        <v>5971</v>
      </c>
      <c r="B2392" s="1">
        <v>45311</v>
      </c>
      <c r="C2392" t="s">
        <v>5186</v>
      </c>
      <c r="D2392" t="s">
        <v>798</v>
      </c>
      <c r="E2392">
        <v>136</v>
      </c>
      <c r="F2392" t="s">
        <v>5972</v>
      </c>
      <c r="G2392">
        <v>136</v>
      </c>
      <c r="H2392">
        <v>153.01650000000001</v>
      </c>
      <c r="N2392">
        <v>153.01650000000001</v>
      </c>
      <c r="O2392" s="1">
        <v>45064</v>
      </c>
      <c r="P2392">
        <f>IF(ISBLANK(ReconciliationData[[#This Row],[Invoice_ID]]),1,0)</f>
        <v>0</v>
      </c>
      <c r="Q2392">
        <f>IF(AND(NOT(ISBLANK(ReconciliationData[[#This Row],[Billed_Units]])),ReconciliationData[[#This Row],[ordered_units]]&lt;&gt;ReconciliationData[[#This Row],[Billed_Units]]),1,0)</f>
        <v>0</v>
      </c>
      <c r="R23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2">
        <f>IF(AND(NOT(ISBLANK(ReconciliationData[[#This Row],[Contract_Price]])),ReconciliationData[[#This Row],[Billed_Price]]&lt;&gt;ReconciliationData[[#This Row],[Contract_Price]]),1,0)</f>
        <v>0</v>
      </c>
      <c r="T2392">
        <f>IF(AND(NOT(ISBLANK(ReconciliationData[[#This Row],[End_Date]])),ReconciliationData[[#This Row],[Order_Date]]&gt;ReconciliationData[[#This Row],[End_Date]]),1,0)</f>
        <v>0</v>
      </c>
      <c r="U2392">
        <f>IF(AND(NOT(ISBLANK(ReconciliationData[[#This Row],[last_return_date]])),ReconciliationData[[#This Row],[last_return_date]]&gt;ReconciliationData[[#This Row],[Order_Date]]+60),1,0)</f>
        <v>0</v>
      </c>
      <c r="V2392">
        <f>IF(ReconciliationData[[#This Row],[total_returned_units]]&gt;ReconciliationData[[#This Row],[ordered_units]],1,0)</f>
        <v>0</v>
      </c>
      <c r="W23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92">
        <f>ReconciliationData[[#This Row],[Billed_Units]]*ReconciliationData[[#This Row],[Billed_Price]]</f>
        <v>20810.244000000002</v>
      </c>
      <c r="Y2392">
        <f>ReconciliationData[[#This Row],[ordered_units]]*ReconciliationData[[#This Row],[List_Price]]</f>
        <v>20810.244000000002</v>
      </c>
      <c r="Z2392">
        <f>ReconciliationData[[#This Row],[billed_revenue]]-ReconciliationData[[#This Row],[expected_revenue]]</f>
        <v>0</v>
      </c>
      <c r="AA23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92" t="str">
        <f>IF(ReconciliationData[[#This Row],[severity_score]]=0,"LOW",
 IF(ReconciliationData[[#This Row],[severity_score]]&lt;=5,"MEDIUM","HIGH"))</f>
        <v>LOW</v>
      </c>
      <c r="AC2392" t="str">
        <f>TEXT(ReconciliationData[[#This Row],[Order_Date]],"YYYY-MM")</f>
        <v>2024-01</v>
      </c>
    </row>
    <row r="2393" spans="1:29">
      <c r="A2393" t="s">
        <v>5973</v>
      </c>
      <c r="B2393" s="1">
        <v>45002</v>
      </c>
      <c r="C2393" t="s">
        <v>2210</v>
      </c>
      <c r="D2393" t="s">
        <v>1502</v>
      </c>
      <c r="E2393">
        <v>12</v>
      </c>
      <c r="F2393" t="s">
        <v>5974</v>
      </c>
      <c r="G2393">
        <v>12</v>
      </c>
      <c r="H2393">
        <v>302.05259999999998</v>
      </c>
      <c r="N2393">
        <v>302.05259999999998</v>
      </c>
      <c r="O2393" s="1">
        <v>44945</v>
      </c>
      <c r="P2393">
        <f>IF(ISBLANK(ReconciliationData[[#This Row],[Invoice_ID]]),1,0)</f>
        <v>0</v>
      </c>
      <c r="Q2393">
        <f>IF(AND(NOT(ISBLANK(ReconciliationData[[#This Row],[Billed_Units]])),ReconciliationData[[#This Row],[ordered_units]]&lt;&gt;ReconciliationData[[#This Row],[Billed_Units]]),1,0)</f>
        <v>0</v>
      </c>
      <c r="R23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3">
        <f>IF(AND(NOT(ISBLANK(ReconciliationData[[#This Row],[Contract_Price]])),ReconciliationData[[#This Row],[Billed_Price]]&lt;&gt;ReconciliationData[[#This Row],[Contract_Price]]),1,0)</f>
        <v>0</v>
      </c>
      <c r="T2393">
        <f>IF(AND(NOT(ISBLANK(ReconciliationData[[#This Row],[End_Date]])),ReconciliationData[[#This Row],[Order_Date]]&gt;ReconciliationData[[#This Row],[End_Date]]),1,0)</f>
        <v>0</v>
      </c>
      <c r="U2393">
        <f>IF(AND(NOT(ISBLANK(ReconciliationData[[#This Row],[last_return_date]])),ReconciliationData[[#This Row],[last_return_date]]&gt;ReconciliationData[[#This Row],[Order_Date]]+60),1,0)</f>
        <v>0</v>
      </c>
      <c r="V2393">
        <f>IF(ReconciliationData[[#This Row],[total_returned_units]]&gt;ReconciliationData[[#This Row],[ordered_units]],1,0)</f>
        <v>0</v>
      </c>
      <c r="W23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93">
        <f>ReconciliationData[[#This Row],[Billed_Units]]*ReconciliationData[[#This Row],[Billed_Price]]</f>
        <v>3624.6311999999998</v>
      </c>
      <c r="Y2393">
        <f>ReconciliationData[[#This Row],[ordered_units]]*ReconciliationData[[#This Row],[List_Price]]</f>
        <v>3624.6311999999998</v>
      </c>
      <c r="Z2393">
        <f>ReconciliationData[[#This Row],[billed_revenue]]-ReconciliationData[[#This Row],[expected_revenue]]</f>
        <v>0</v>
      </c>
      <c r="AA23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93" t="str">
        <f>IF(ReconciliationData[[#This Row],[severity_score]]=0,"LOW",
 IF(ReconciliationData[[#This Row],[severity_score]]&lt;=5,"MEDIUM","HIGH"))</f>
        <v>LOW</v>
      </c>
      <c r="AC2393" t="str">
        <f>TEXT(ReconciliationData[[#This Row],[Order_Date]],"YYYY-MM")</f>
        <v>2023-03</v>
      </c>
    </row>
    <row r="2394" spans="1:29">
      <c r="A2394" t="s">
        <v>5975</v>
      </c>
      <c r="B2394" s="1">
        <v>44945</v>
      </c>
      <c r="C2394" t="s">
        <v>4453</v>
      </c>
      <c r="D2394" t="s">
        <v>441</v>
      </c>
      <c r="E2394">
        <v>72</v>
      </c>
      <c r="F2394" t="s">
        <v>5976</v>
      </c>
      <c r="G2394">
        <v>82</v>
      </c>
      <c r="H2394">
        <v>238.7328</v>
      </c>
      <c r="N2394">
        <v>238.7328</v>
      </c>
      <c r="O2394" s="1">
        <v>44895</v>
      </c>
      <c r="P2394">
        <f>IF(ISBLANK(ReconciliationData[[#This Row],[Invoice_ID]]),1,0)</f>
        <v>0</v>
      </c>
      <c r="Q2394">
        <f>IF(AND(NOT(ISBLANK(ReconciliationData[[#This Row],[Billed_Units]])),ReconciliationData[[#This Row],[ordered_units]]&lt;&gt;ReconciliationData[[#This Row],[Billed_Units]]),1,0)</f>
        <v>1</v>
      </c>
      <c r="R23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4">
        <f>IF(AND(NOT(ISBLANK(ReconciliationData[[#This Row],[Contract_Price]])),ReconciliationData[[#This Row],[Billed_Price]]&lt;&gt;ReconciliationData[[#This Row],[Contract_Price]]),1,0)</f>
        <v>0</v>
      </c>
      <c r="T2394">
        <f>IF(AND(NOT(ISBLANK(ReconciliationData[[#This Row],[End_Date]])),ReconciliationData[[#This Row],[Order_Date]]&gt;ReconciliationData[[#This Row],[End_Date]]),1,0)</f>
        <v>0</v>
      </c>
      <c r="U2394">
        <f>IF(AND(NOT(ISBLANK(ReconciliationData[[#This Row],[last_return_date]])),ReconciliationData[[#This Row],[last_return_date]]&gt;ReconciliationData[[#This Row],[Order_Date]]+60),1,0)</f>
        <v>0</v>
      </c>
      <c r="V2394">
        <f>IF(ReconciliationData[[#This Row],[total_returned_units]]&gt;ReconciliationData[[#This Row],[ordered_units]],1,0)</f>
        <v>0</v>
      </c>
      <c r="W23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94">
        <f>ReconciliationData[[#This Row],[Billed_Units]]*ReconciliationData[[#This Row],[Billed_Price]]</f>
        <v>19576.089599999999</v>
      </c>
      <c r="Y2394">
        <f>ReconciliationData[[#This Row],[ordered_units]]*ReconciliationData[[#This Row],[List_Price]]</f>
        <v>17188.761599999998</v>
      </c>
      <c r="Z2394">
        <f>ReconciliationData[[#This Row],[billed_revenue]]-ReconciliationData[[#This Row],[expected_revenue]]</f>
        <v>2387.3280000000013</v>
      </c>
      <c r="AA23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394" t="str">
        <f>IF(ReconciliationData[[#This Row],[severity_score]]=0,"LOW",
 IF(ReconciliationData[[#This Row],[severity_score]]&lt;=5,"MEDIUM","HIGH"))</f>
        <v>HIGH</v>
      </c>
      <c r="AC2394" t="str">
        <f>TEXT(ReconciliationData[[#This Row],[Order_Date]],"YYYY-MM")</f>
        <v>2023-01</v>
      </c>
    </row>
    <row r="2395" spans="1:29">
      <c r="A2395" t="s">
        <v>5977</v>
      </c>
      <c r="B2395" s="1">
        <v>44991</v>
      </c>
      <c r="C2395" t="s">
        <v>1174</v>
      </c>
      <c r="D2395" t="s">
        <v>162</v>
      </c>
      <c r="E2395">
        <v>167</v>
      </c>
      <c r="F2395" t="s">
        <v>5978</v>
      </c>
      <c r="G2395">
        <v>167</v>
      </c>
      <c r="H2395">
        <v>510.91840000000002</v>
      </c>
      <c r="N2395">
        <v>510.91840000000002</v>
      </c>
      <c r="O2395" s="1">
        <v>44981</v>
      </c>
      <c r="P2395">
        <f>IF(ISBLANK(ReconciliationData[[#This Row],[Invoice_ID]]),1,0)</f>
        <v>0</v>
      </c>
      <c r="Q2395">
        <f>IF(AND(NOT(ISBLANK(ReconciliationData[[#This Row],[Billed_Units]])),ReconciliationData[[#This Row],[ordered_units]]&lt;&gt;ReconciliationData[[#This Row],[Billed_Units]]),1,0)</f>
        <v>0</v>
      </c>
      <c r="R23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5">
        <f>IF(AND(NOT(ISBLANK(ReconciliationData[[#This Row],[Contract_Price]])),ReconciliationData[[#This Row],[Billed_Price]]&lt;&gt;ReconciliationData[[#This Row],[Contract_Price]]),1,0)</f>
        <v>0</v>
      </c>
      <c r="T2395">
        <f>IF(AND(NOT(ISBLANK(ReconciliationData[[#This Row],[End_Date]])),ReconciliationData[[#This Row],[Order_Date]]&gt;ReconciliationData[[#This Row],[End_Date]]),1,0)</f>
        <v>0</v>
      </c>
      <c r="U2395">
        <f>IF(AND(NOT(ISBLANK(ReconciliationData[[#This Row],[last_return_date]])),ReconciliationData[[#This Row],[last_return_date]]&gt;ReconciliationData[[#This Row],[Order_Date]]+60),1,0)</f>
        <v>0</v>
      </c>
      <c r="V2395">
        <f>IF(ReconciliationData[[#This Row],[total_returned_units]]&gt;ReconciliationData[[#This Row],[ordered_units]],1,0)</f>
        <v>0</v>
      </c>
      <c r="W23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95">
        <f>ReconciliationData[[#This Row],[Billed_Units]]*ReconciliationData[[#This Row],[Billed_Price]]</f>
        <v>85323.372799999997</v>
      </c>
      <c r="Y2395">
        <f>ReconciliationData[[#This Row],[ordered_units]]*ReconciliationData[[#This Row],[List_Price]]</f>
        <v>85323.372799999997</v>
      </c>
      <c r="Z2395">
        <f>ReconciliationData[[#This Row],[billed_revenue]]-ReconciliationData[[#This Row],[expected_revenue]]</f>
        <v>0</v>
      </c>
      <c r="AA23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95" t="str">
        <f>IF(ReconciliationData[[#This Row],[severity_score]]=0,"LOW",
 IF(ReconciliationData[[#This Row],[severity_score]]&lt;=5,"MEDIUM","HIGH"))</f>
        <v>LOW</v>
      </c>
      <c r="AC2395" t="str">
        <f>TEXT(ReconciliationData[[#This Row],[Order_Date]],"YYYY-MM")</f>
        <v>2023-03</v>
      </c>
    </row>
    <row r="2396" spans="1:29">
      <c r="A2396" t="s">
        <v>5979</v>
      </c>
      <c r="B2396" s="1">
        <v>45166</v>
      </c>
      <c r="C2396" t="s">
        <v>3565</v>
      </c>
      <c r="D2396" t="s">
        <v>775</v>
      </c>
      <c r="E2396">
        <v>93</v>
      </c>
      <c r="F2396" t="s">
        <v>5980</v>
      </c>
      <c r="G2396">
        <v>91</v>
      </c>
      <c r="H2396">
        <v>1231.8180000000002</v>
      </c>
      <c r="N2396">
        <v>1231.8180000000002</v>
      </c>
      <c r="O2396" s="1">
        <v>45048</v>
      </c>
      <c r="P2396">
        <f>IF(ISBLANK(ReconciliationData[[#This Row],[Invoice_ID]]),1,0)</f>
        <v>0</v>
      </c>
      <c r="Q2396">
        <f>IF(AND(NOT(ISBLANK(ReconciliationData[[#This Row],[Billed_Units]])),ReconciliationData[[#This Row],[ordered_units]]&lt;&gt;ReconciliationData[[#This Row],[Billed_Units]]),1,0)</f>
        <v>1</v>
      </c>
      <c r="R23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6">
        <f>IF(AND(NOT(ISBLANK(ReconciliationData[[#This Row],[Contract_Price]])),ReconciliationData[[#This Row],[Billed_Price]]&lt;&gt;ReconciliationData[[#This Row],[Contract_Price]]),1,0)</f>
        <v>0</v>
      </c>
      <c r="T2396">
        <f>IF(AND(NOT(ISBLANK(ReconciliationData[[#This Row],[End_Date]])),ReconciliationData[[#This Row],[Order_Date]]&gt;ReconciliationData[[#This Row],[End_Date]]),1,0)</f>
        <v>0</v>
      </c>
      <c r="U2396">
        <f>IF(AND(NOT(ISBLANK(ReconciliationData[[#This Row],[last_return_date]])),ReconciliationData[[#This Row],[last_return_date]]&gt;ReconciliationData[[#This Row],[Order_Date]]+60),1,0)</f>
        <v>0</v>
      </c>
      <c r="V2396">
        <f>IF(ReconciliationData[[#This Row],[total_returned_units]]&gt;ReconciliationData[[#This Row],[ordered_units]],1,0)</f>
        <v>0</v>
      </c>
      <c r="W23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396">
        <f>ReconciliationData[[#This Row],[Billed_Units]]*ReconciliationData[[#This Row],[Billed_Price]]</f>
        <v>112095.43800000002</v>
      </c>
      <c r="Y2396">
        <f>ReconciliationData[[#This Row],[ordered_units]]*ReconciliationData[[#This Row],[List_Price]]</f>
        <v>114559.07400000002</v>
      </c>
      <c r="Z2396">
        <f>ReconciliationData[[#This Row],[billed_revenue]]-ReconciliationData[[#This Row],[expected_revenue]]</f>
        <v>-2463.6359999999986</v>
      </c>
      <c r="AA23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396" t="str">
        <f>IF(ReconciliationData[[#This Row],[severity_score]]=0,"LOW",
 IF(ReconciliationData[[#This Row],[severity_score]]&lt;=5,"MEDIUM","HIGH"))</f>
        <v>HIGH</v>
      </c>
      <c r="AC2396" t="str">
        <f>TEXT(ReconciliationData[[#This Row],[Order_Date]],"YYYY-MM")</f>
        <v>2023-08</v>
      </c>
    </row>
    <row r="2397" spans="1:29">
      <c r="A2397" t="s">
        <v>5981</v>
      </c>
      <c r="B2397" s="1">
        <v>44951</v>
      </c>
      <c r="C2397" t="s">
        <v>1670</v>
      </c>
      <c r="D2397" t="s">
        <v>711</v>
      </c>
      <c r="E2397">
        <v>48</v>
      </c>
      <c r="F2397" t="s">
        <v>5982</v>
      </c>
      <c r="G2397">
        <v>48</v>
      </c>
      <c r="H2397">
        <v>405.98</v>
      </c>
      <c r="N2397">
        <v>405.98</v>
      </c>
      <c r="O2397" s="1">
        <v>44743</v>
      </c>
      <c r="P2397">
        <f>IF(ISBLANK(ReconciliationData[[#This Row],[Invoice_ID]]),1,0)</f>
        <v>0</v>
      </c>
      <c r="Q2397">
        <f>IF(AND(NOT(ISBLANK(ReconciliationData[[#This Row],[Billed_Units]])),ReconciliationData[[#This Row],[ordered_units]]&lt;&gt;ReconciliationData[[#This Row],[Billed_Units]]),1,0)</f>
        <v>0</v>
      </c>
      <c r="R23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7">
        <f>IF(AND(NOT(ISBLANK(ReconciliationData[[#This Row],[Contract_Price]])),ReconciliationData[[#This Row],[Billed_Price]]&lt;&gt;ReconciliationData[[#This Row],[Contract_Price]]),1,0)</f>
        <v>0</v>
      </c>
      <c r="T2397">
        <f>IF(AND(NOT(ISBLANK(ReconciliationData[[#This Row],[End_Date]])),ReconciliationData[[#This Row],[Order_Date]]&gt;ReconciliationData[[#This Row],[End_Date]]),1,0)</f>
        <v>0</v>
      </c>
      <c r="U2397">
        <f>IF(AND(NOT(ISBLANK(ReconciliationData[[#This Row],[last_return_date]])),ReconciliationData[[#This Row],[last_return_date]]&gt;ReconciliationData[[#This Row],[Order_Date]]+60),1,0)</f>
        <v>0</v>
      </c>
      <c r="V2397">
        <f>IF(ReconciliationData[[#This Row],[total_returned_units]]&gt;ReconciliationData[[#This Row],[ordered_units]],1,0)</f>
        <v>0</v>
      </c>
      <c r="W23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97">
        <f>ReconciliationData[[#This Row],[Billed_Units]]*ReconciliationData[[#This Row],[Billed_Price]]</f>
        <v>19487.04</v>
      </c>
      <c r="Y2397">
        <f>ReconciliationData[[#This Row],[ordered_units]]*ReconciliationData[[#This Row],[List_Price]]</f>
        <v>19487.04</v>
      </c>
      <c r="Z2397">
        <f>ReconciliationData[[#This Row],[billed_revenue]]-ReconciliationData[[#This Row],[expected_revenue]]</f>
        <v>0</v>
      </c>
      <c r="AA23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97" t="str">
        <f>IF(ReconciliationData[[#This Row],[severity_score]]=0,"LOW",
 IF(ReconciliationData[[#This Row],[severity_score]]&lt;=5,"MEDIUM","HIGH"))</f>
        <v>LOW</v>
      </c>
      <c r="AC2397" t="str">
        <f>TEXT(ReconciliationData[[#This Row],[Order_Date]],"YYYY-MM")</f>
        <v>2023-01</v>
      </c>
    </row>
    <row r="2398" spans="1:29">
      <c r="A2398" t="s">
        <v>5983</v>
      </c>
      <c r="B2398" s="1">
        <v>45611</v>
      </c>
      <c r="C2398" t="s">
        <v>2104</v>
      </c>
      <c r="D2398" t="s">
        <v>2360</v>
      </c>
      <c r="E2398">
        <v>126</v>
      </c>
      <c r="F2398" t="s">
        <v>5984</v>
      </c>
      <c r="G2398">
        <v>126</v>
      </c>
      <c r="H2398">
        <v>852.46560000000011</v>
      </c>
      <c r="N2398">
        <v>852.46560000000011</v>
      </c>
      <c r="O2398" s="1">
        <v>44996</v>
      </c>
      <c r="P2398">
        <f>IF(ISBLANK(ReconciliationData[[#This Row],[Invoice_ID]]),1,0)</f>
        <v>0</v>
      </c>
      <c r="Q2398">
        <f>IF(AND(NOT(ISBLANK(ReconciliationData[[#This Row],[Billed_Units]])),ReconciliationData[[#This Row],[ordered_units]]&lt;&gt;ReconciliationData[[#This Row],[Billed_Units]]),1,0)</f>
        <v>0</v>
      </c>
      <c r="R23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8">
        <f>IF(AND(NOT(ISBLANK(ReconciliationData[[#This Row],[Contract_Price]])),ReconciliationData[[#This Row],[Billed_Price]]&lt;&gt;ReconciliationData[[#This Row],[Contract_Price]]),1,0)</f>
        <v>0</v>
      </c>
      <c r="T2398">
        <f>IF(AND(NOT(ISBLANK(ReconciliationData[[#This Row],[End_Date]])),ReconciliationData[[#This Row],[Order_Date]]&gt;ReconciliationData[[#This Row],[End_Date]]),1,0)</f>
        <v>0</v>
      </c>
      <c r="U2398">
        <f>IF(AND(NOT(ISBLANK(ReconciliationData[[#This Row],[last_return_date]])),ReconciliationData[[#This Row],[last_return_date]]&gt;ReconciliationData[[#This Row],[Order_Date]]+60),1,0)</f>
        <v>0</v>
      </c>
      <c r="V2398">
        <f>IF(ReconciliationData[[#This Row],[total_returned_units]]&gt;ReconciliationData[[#This Row],[ordered_units]],1,0)</f>
        <v>0</v>
      </c>
      <c r="W23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98">
        <f>ReconciliationData[[#This Row],[Billed_Units]]*ReconciliationData[[#This Row],[Billed_Price]]</f>
        <v>107410.66560000001</v>
      </c>
      <c r="Y2398">
        <f>ReconciliationData[[#This Row],[ordered_units]]*ReconciliationData[[#This Row],[List_Price]]</f>
        <v>107410.66560000001</v>
      </c>
      <c r="Z2398">
        <f>ReconciliationData[[#This Row],[billed_revenue]]-ReconciliationData[[#This Row],[expected_revenue]]</f>
        <v>0</v>
      </c>
      <c r="AA23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98" t="str">
        <f>IF(ReconciliationData[[#This Row],[severity_score]]=0,"LOW",
 IF(ReconciliationData[[#This Row],[severity_score]]&lt;=5,"MEDIUM","HIGH"))</f>
        <v>LOW</v>
      </c>
      <c r="AC2398" t="str">
        <f>TEXT(ReconciliationData[[#This Row],[Order_Date]],"YYYY-MM")</f>
        <v>2024-11</v>
      </c>
    </row>
    <row r="2399" spans="1:29">
      <c r="A2399" t="s">
        <v>5985</v>
      </c>
      <c r="B2399" s="1">
        <v>45311</v>
      </c>
      <c r="C2399" t="s">
        <v>250</v>
      </c>
      <c r="D2399" t="s">
        <v>1385</v>
      </c>
      <c r="E2399">
        <v>143</v>
      </c>
      <c r="F2399" t="s">
        <v>5986</v>
      </c>
      <c r="G2399">
        <v>143</v>
      </c>
      <c r="H2399">
        <v>287.90559999999999</v>
      </c>
      <c r="N2399">
        <v>287.90559999999999</v>
      </c>
      <c r="O2399" s="1">
        <v>45224</v>
      </c>
      <c r="P2399">
        <f>IF(ISBLANK(ReconciliationData[[#This Row],[Invoice_ID]]),1,0)</f>
        <v>0</v>
      </c>
      <c r="Q2399">
        <f>IF(AND(NOT(ISBLANK(ReconciliationData[[#This Row],[Billed_Units]])),ReconciliationData[[#This Row],[ordered_units]]&lt;&gt;ReconciliationData[[#This Row],[Billed_Units]]),1,0)</f>
        <v>0</v>
      </c>
      <c r="R23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399">
        <f>IF(AND(NOT(ISBLANK(ReconciliationData[[#This Row],[Contract_Price]])),ReconciliationData[[#This Row],[Billed_Price]]&lt;&gt;ReconciliationData[[#This Row],[Contract_Price]]),1,0)</f>
        <v>0</v>
      </c>
      <c r="T2399">
        <f>IF(AND(NOT(ISBLANK(ReconciliationData[[#This Row],[End_Date]])),ReconciliationData[[#This Row],[Order_Date]]&gt;ReconciliationData[[#This Row],[End_Date]]),1,0)</f>
        <v>0</v>
      </c>
      <c r="U2399">
        <f>IF(AND(NOT(ISBLANK(ReconciliationData[[#This Row],[last_return_date]])),ReconciliationData[[#This Row],[last_return_date]]&gt;ReconciliationData[[#This Row],[Order_Date]]+60),1,0)</f>
        <v>0</v>
      </c>
      <c r="V2399">
        <f>IF(ReconciliationData[[#This Row],[total_returned_units]]&gt;ReconciliationData[[#This Row],[ordered_units]],1,0)</f>
        <v>0</v>
      </c>
      <c r="W23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399">
        <f>ReconciliationData[[#This Row],[Billed_Units]]*ReconciliationData[[#This Row],[Billed_Price]]</f>
        <v>41170.500800000002</v>
      </c>
      <c r="Y2399">
        <f>ReconciliationData[[#This Row],[ordered_units]]*ReconciliationData[[#This Row],[List_Price]]</f>
        <v>41170.500800000002</v>
      </c>
      <c r="Z2399">
        <f>ReconciliationData[[#This Row],[billed_revenue]]-ReconciliationData[[#This Row],[expected_revenue]]</f>
        <v>0</v>
      </c>
      <c r="AA23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399" t="str">
        <f>IF(ReconciliationData[[#This Row],[severity_score]]=0,"LOW",
 IF(ReconciliationData[[#This Row],[severity_score]]&lt;=5,"MEDIUM","HIGH"))</f>
        <v>LOW</v>
      </c>
      <c r="AC2399" t="str">
        <f>TEXT(ReconciliationData[[#This Row],[Order_Date]],"YYYY-MM")</f>
        <v>2024-01</v>
      </c>
    </row>
    <row r="2400" spans="1:29">
      <c r="A2400" t="s">
        <v>5987</v>
      </c>
      <c r="B2400" s="1">
        <v>45234</v>
      </c>
      <c r="C2400" t="s">
        <v>369</v>
      </c>
      <c r="D2400" t="s">
        <v>684</v>
      </c>
      <c r="E2400">
        <v>15</v>
      </c>
      <c r="F2400" t="s">
        <v>5988</v>
      </c>
      <c r="G2400">
        <v>15</v>
      </c>
      <c r="H2400">
        <v>75.620999999999995</v>
      </c>
      <c r="N2400">
        <v>75.620999999999995</v>
      </c>
      <c r="O2400" s="1">
        <v>45108</v>
      </c>
      <c r="P2400">
        <f>IF(ISBLANK(ReconciliationData[[#This Row],[Invoice_ID]]),1,0)</f>
        <v>0</v>
      </c>
      <c r="Q2400">
        <f>IF(AND(NOT(ISBLANK(ReconciliationData[[#This Row],[Billed_Units]])),ReconciliationData[[#This Row],[ordered_units]]&lt;&gt;ReconciliationData[[#This Row],[Billed_Units]]),1,0)</f>
        <v>0</v>
      </c>
      <c r="R24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0">
        <f>IF(AND(NOT(ISBLANK(ReconciliationData[[#This Row],[Contract_Price]])),ReconciliationData[[#This Row],[Billed_Price]]&lt;&gt;ReconciliationData[[#This Row],[Contract_Price]]),1,0)</f>
        <v>0</v>
      </c>
      <c r="T2400">
        <f>IF(AND(NOT(ISBLANK(ReconciliationData[[#This Row],[End_Date]])),ReconciliationData[[#This Row],[Order_Date]]&gt;ReconciliationData[[#This Row],[End_Date]]),1,0)</f>
        <v>0</v>
      </c>
      <c r="U2400">
        <f>IF(AND(NOT(ISBLANK(ReconciliationData[[#This Row],[last_return_date]])),ReconciliationData[[#This Row],[last_return_date]]&gt;ReconciliationData[[#This Row],[Order_Date]]+60),1,0)</f>
        <v>0</v>
      </c>
      <c r="V2400">
        <f>IF(ReconciliationData[[#This Row],[total_returned_units]]&gt;ReconciliationData[[#This Row],[ordered_units]],1,0)</f>
        <v>0</v>
      </c>
      <c r="W24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0">
        <f>ReconciliationData[[#This Row],[Billed_Units]]*ReconciliationData[[#This Row],[Billed_Price]]</f>
        <v>1134.3149999999998</v>
      </c>
      <c r="Y2400">
        <f>ReconciliationData[[#This Row],[ordered_units]]*ReconciliationData[[#This Row],[List_Price]]</f>
        <v>1134.3149999999998</v>
      </c>
      <c r="Z2400">
        <f>ReconciliationData[[#This Row],[billed_revenue]]-ReconciliationData[[#This Row],[expected_revenue]]</f>
        <v>0</v>
      </c>
      <c r="AA24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0" t="str">
        <f>IF(ReconciliationData[[#This Row],[severity_score]]=0,"LOW",
 IF(ReconciliationData[[#This Row],[severity_score]]&lt;=5,"MEDIUM","HIGH"))</f>
        <v>LOW</v>
      </c>
      <c r="AC2400" t="str">
        <f>TEXT(ReconciliationData[[#This Row],[Order_Date]],"YYYY-MM")</f>
        <v>2023-11</v>
      </c>
    </row>
    <row r="2401" spans="1:29">
      <c r="A2401" t="s">
        <v>5989</v>
      </c>
      <c r="B2401" s="1">
        <v>45401</v>
      </c>
      <c r="C2401" t="s">
        <v>400</v>
      </c>
      <c r="D2401" t="s">
        <v>1071</v>
      </c>
      <c r="E2401">
        <v>6</v>
      </c>
      <c r="F2401" t="s">
        <v>5990</v>
      </c>
      <c r="G2401">
        <v>6</v>
      </c>
      <c r="H2401">
        <v>335.39150000000001</v>
      </c>
      <c r="N2401">
        <v>335.39150000000001</v>
      </c>
      <c r="O2401" s="1">
        <v>45151</v>
      </c>
      <c r="P2401">
        <f>IF(ISBLANK(ReconciliationData[[#This Row],[Invoice_ID]]),1,0)</f>
        <v>0</v>
      </c>
      <c r="Q2401">
        <f>IF(AND(NOT(ISBLANK(ReconciliationData[[#This Row],[Billed_Units]])),ReconciliationData[[#This Row],[ordered_units]]&lt;&gt;ReconciliationData[[#This Row],[Billed_Units]]),1,0)</f>
        <v>0</v>
      </c>
      <c r="R24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1">
        <f>IF(AND(NOT(ISBLANK(ReconciliationData[[#This Row],[Contract_Price]])),ReconciliationData[[#This Row],[Billed_Price]]&lt;&gt;ReconciliationData[[#This Row],[Contract_Price]]),1,0)</f>
        <v>0</v>
      </c>
      <c r="T2401">
        <f>IF(AND(NOT(ISBLANK(ReconciliationData[[#This Row],[End_Date]])),ReconciliationData[[#This Row],[Order_Date]]&gt;ReconciliationData[[#This Row],[End_Date]]),1,0)</f>
        <v>0</v>
      </c>
      <c r="U2401">
        <f>IF(AND(NOT(ISBLANK(ReconciliationData[[#This Row],[last_return_date]])),ReconciliationData[[#This Row],[last_return_date]]&gt;ReconciliationData[[#This Row],[Order_Date]]+60),1,0)</f>
        <v>0</v>
      </c>
      <c r="V2401">
        <f>IF(ReconciliationData[[#This Row],[total_returned_units]]&gt;ReconciliationData[[#This Row],[ordered_units]],1,0)</f>
        <v>0</v>
      </c>
      <c r="W24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1">
        <f>ReconciliationData[[#This Row],[Billed_Units]]*ReconciliationData[[#This Row],[Billed_Price]]</f>
        <v>2012.3490000000002</v>
      </c>
      <c r="Y2401">
        <f>ReconciliationData[[#This Row],[ordered_units]]*ReconciliationData[[#This Row],[List_Price]]</f>
        <v>2012.3490000000002</v>
      </c>
      <c r="Z2401">
        <f>ReconciliationData[[#This Row],[billed_revenue]]-ReconciliationData[[#This Row],[expected_revenue]]</f>
        <v>0</v>
      </c>
      <c r="AA24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1" t="str">
        <f>IF(ReconciliationData[[#This Row],[severity_score]]=0,"LOW",
 IF(ReconciliationData[[#This Row],[severity_score]]&lt;=5,"MEDIUM","HIGH"))</f>
        <v>LOW</v>
      </c>
      <c r="AC2401" t="str">
        <f>TEXT(ReconciliationData[[#This Row],[Order_Date]],"YYYY-MM")</f>
        <v>2024-04</v>
      </c>
    </row>
    <row r="2402" spans="1:29">
      <c r="A2402" t="s">
        <v>5991</v>
      </c>
      <c r="B2402" s="1">
        <v>45447</v>
      </c>
      <c r="C2402" t="s">
        <v>4381</v>
      </c>
      <c r="D2402" t="s">
        <v>1404</v>
      </c>
      <c r="E2402">
        <v>180</v>
      </c>
      <c r="F2402" t="s">
        <v>5992</v>
      </c>
      <c r="G2402">
        <v>180</v>
      </c>
      <c r="H2402">
        <v>655.93800000000022</v>
      </c>
      <c r="N2402">
        <v>655.93800000000022</v>
      </c>
      <c r="O2402" s="1">
        <v>45075</v>
      </c>
      <c r="P2402">
        <f>IF(ISBLANK(ReconciliationData[[#This Row],[Invoice_ID]]),1,0)</f>
        <v>0</v>
      </c>
      <c r="Q2402">
        <f>IF(AND(NOT(ISBLANK(ReconciliationData[[#This Row],[Billed_Units]])),ReconciliationData[[#This Row],[ordered_units]]&lt;&gt;ReconciliationData[[#This Row],[Billed_Units]]),1,0)</f>
        <v>0</v>
      </c>
      <c r="R24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2">
        <f>IF(AND(NOT(ISBLANK(ReconciliationData[[#This Row],[Contract_Price]])),ReconciliationData[[#This Row],[Billed_Price]]&lt;&gt;ReconciliationData[[#This Row],[Contract_Price]]),1,0)</f>
        <v>0</v>
      </c>
      <c r="T2402">
        <f>IF(AND(NOT(ISBLANK(ReconciliationData[[#This Row],[End_Date]])),ReconciliationData[[#This Row],[Order_Date]]&gt;ReconciliationData[[#This Row],[End_Date]]),1,0)</f>
        <v>0</v>
      </c>
      <c r="U2402">
        <f>IF(AND(NOT(ISBLANK(ReconciliationData[[#This Row],[last_return_date]])),ReconciliationData[[#This Row],[last_return_date]]&gt;ReconciliationData[[#This Row],[Order_Date]]+60),1,0)</f>
        <v>0</v>
      </c>
      <c r="V2402">
        <f>IF(ReconciliationData[[#This Row],[total_returned_units]]&gt;ReconciliationData[[#This Row],[ordered_units]],1,0)</f>
        <v>0</v>
      </c>
      <c r="W24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2">
        <f>ReconciliationData[[#This Row],[Billed_Units]]*ReconciliationData[[#This Row],[Billed_Price]]</f>
        <v>118068.84000000004</v>
      </c>
      <c r="Y2402">
        <f>ReconciliationData[[#This Row],[ordered_units]]*ReconciliationData[[#This Row],[List_Price]]</f>
        <v>118068.84000000004</v>
      </c>
      <c r="Z2402">
        <f>ReconciliationData[[#This Row],[billed_revenue]]-ReconciliationData[[#This Row],[expected_revenue]]</f>
        <v>0</v>
      </c>
      <c r="AA24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2" t="str">
        <f>IF(ReconciliationData[[#This Row],[severity_score]]=0,"LOW",
 IF(ReconciliationData[[#This Row],[severity_score]]&lt;=5,"MEDIUM","HIGH"))</f>
        <v>LOW</v>
      </c>
      <c r="AC2402" t="str">
        <f>TEXT(ReconciliationData[[#This Row],[Order_Date]],"YYYY-MM")</f>
        <v>2024-06</v>
      </c>
    </row>
    <row r="2403" spans="1:29">
      <c r="A2403" t="s">
        <v>5993</v>
      </c>
      <c r="B2403" s="1">
        <v>45597</v>
      </c>
      <c r="C2403" t="s">
        <v>1013</v>
      </c>
      <c r="D2403" t="s">
        <v>295</v>
      </c>
      <c r="E2403">
        <v>130</v>
      </c>
      <c r="F2403" t="s">
        <v>5994</v>
      </c>
      <c r="G2403">
        <v>130</v>
      </c>
      <c r="H2403">
        <v>862.73640000000012</v>
      </c>
      <c r="N2403">
        <v>862.73640000000012</v>
      </c>
      <c r="O2403" s="1">
        <v>45223</v>
      </c>
      <c r="P2403">
        <f>IF(ISBLANK(ReconciliationData[[#This Row],[Invoice_ID]]),1,0)</f>
        <v>0</v>
      </c>
      <c r="Q2403">
        <f>IF(AND(NOT(ISBLANK(ReconciliationData[[#This Row],[Billed_Units]])),ReconciliationData[[#This Row],[ordered_units]]&lt;&gt;ReconciliationData[[#This Row],[Billed_Units]]),1,0)</f>
        <v>0</v>
      </c>
      <c r="R24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3">
        <f>IF(AND(NOT(ISBLANK(ReconciliationData[[#This Row],[Contract_Price]])),ReconciliationData[[#This Row],[Billed_Price]]&lt;&gt;ReconciliationData[[#This Row],[Contract_Price]]),1,0)</f>
        <v>0</v>
      </c>
      <c r="T2403">
        <f>IF(AND(NOT(ISBLANK(ReconciliationData[[#This Row],[End_Date]])),ReconciliationData[[#This Row],[Order_Date]]&gt;ReconciliationData[[#This Row],[End_Date]]),1,0)</f>
        <v>0</v>
      </c>
      <c r="U2403">
        <f>IF(AND(NOT(ISBLANK(ReconciliationData[[#This Row],[last_return_date]])),ReconciliationData[[#This Row],[last_return_date]]&gt;ReconciliationData[[#This Row],[Order_Date]]+60),1,0)</f>
        <v>0</v>
      </c>
      <c r="V2403">
        <f>IF(ReconciliationData[[#This Row],[total_returned_units]]&gt;ReconciliationData[[#This Row],[ordered_units]],1,0)</f>
        <v>0</v>
      </c>
      <c r="W24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3">
        <f>ReconciliationData[[#This Row],[Billed_Units]]*ReconciliationData[[#This Row],[Billed_Price]]</f>
        <v>112155.73200000002</v>
      </c>
      <c r="Y2403">
        <f>ReconciliationData[[#This Row],[ordered_units]]*ReconciliationData[[#This Row],[List_Price]]</f>
        <v>112155.73200000002</v>
      </c>
      <c r="Z2403">
        <f>ReconciliationData[[#This Row],[billed_revenue]]-ReconciliationData[[#This Row],[expected_revenue]]</f>
        <v>0</v>
      </c>
      <c r="AA24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3" t="str">
        <f>IF(ReconciliationData[[#This Row],[severity_score]]=0,"LOW",
 IF(ReconciliationData[[#This Row],[severity_score]]&lt;=5,"MEDIUM","HIGH"))</f>
        <v>LOW</v>
      </c>
      <c r="AC2403" t="str">
        <f>TEXT(ReconciliationData[[#This Row],[Order_Date]],"YYYY-MM")</f>
        <v>2024-11</v>
      </c>
    </row>
    <row r="2404" spans="1:29">
      <c r="A2404" t="s">
        <v>5995</v>
      </c>
      <c r="B2404" s="1">
        <v>44976</v>
      </c>
      <c r="C2404" t="s">
        <v>1138</v>
      </c>
      <c r="D2404" t="s">
        <v>178</v>
      </c>
      <c r="E2404">
        <v>125</v>
      </c>
      <c r="F2404" t="s">
        <v>5996</v>
      </c>
      <c r="G2404">
        <v>125</v>
      </c>
      <c r="H2404">
        <v>634.76160000000004</v>
      </c>
      <c r="N2404">
        <v>634.76160000000004</v>
      </c>
      <c r="O2404" s="1">
        <v>44928</v>
      </c>
      <c r="P2404">
        <f>IF(ISBLANK(ReconciliationData[[#This Row],[Invoice_ID]]),1,0)</f>
        <v>0</v>
      </c>
      <c r="Q2404">
        <f>IF(AND(NOT(ISBLANK(ReconciliationData[[#This Row],[Billed_Units]])),ReconciliationData[[#This Row],[ordered_units]]&lt;&gt;ReconciliationData[[#This Row],[Billed_Units]]),1,0)</f>
        <v>0</v>
      </c>
      <c r="R24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4">
        <f>IF(AND(NOT(ISBLANK(ReconciliationData[[#This Row],[Contract_Price]])),ReconciliationData[[#This Row],[Billed_Price]]&lt;&gt;ReconciliationData[[#This Row],[Contract_Price]]),1,0)</f>
        <v>0</v>
      </c>
      <c r="T2404">
        <f>IF(AND(NOT(ISBLANK(ReconciliationData[[#This Row],[End_Date]])),ReconciliationData[[#This Row],[Order_Date]]&gt;ReconciliationData[[#This Row],[End_Date]]),1,0)</f>
        <v>0</v>
      </c>
      <c r="U2404">
        <f>IF(AND(NOT(ISBLANK(ReconciliationData[[#This Row],[last_return_date]])),ReconciliationData[[#This Row],[last_return_date]]&gt;ReconciliationData[[#This Row],[Order_Date]]+60),1,0)</f>
        <v>0</v>
      </c>
      <c r="V2404">
        <f>IF(ReconciliationData[[#This Row],[total_returned_units]]&gt;ReconciliationData[[#This Row],[ordered_units]],1,0)</f>
        <v>0</v>
      </c>
      <c r="W24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4">
        <f>ReconciliationData[[#This Row],[Billed_Units]]*ReconciliationData[[#This Row],[Billed_Price]]</f>
        <v>79345.200000000012</v>
      </c>
      <c r="Y2404">
        <f>ReconciliationData[[#This Row],[ordered_units]]*ReconciliationData[[#This Row],[List_Price]]</f>
        <v>79345.200000000012</v>
      </c>
      <c r="Z2404">
        <f>ReconciliationData[[#This Row],[billed_revenue]]-ReconciliationData[[#This Row],[expected_revenue]]</f>
        <v>0</v>
      </c>
      <c r="AA24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4" t="str">
        <f>IF(ReconciliationData[[#This Row],[severity_score]]=0,"LOW",
 IF(ReconciliationData[[#This Row],[severity_score]]&lt;=5,"MEDIUM","HIGH"))</f>
        <v>LOW</v>
      </c>
      <c r="AC2404" t="str">
        <f>TEXT(ReconciliationData[[#This Row],[Order_Date]],"YYYY-MM")</f>
        <v>2023-02</v>
      </c>
    </row>
    <row r="2405" spans="1:29">
      <c r="A2405" t="s">
        <v>5997</v>
      </c>
      <c r="B2405" s="1">
        <v>45492</v>
      </c>
      <c r="C2405" t="s">
        <v>940</v>
      </c>
      <c r="D2405" t="s">
        <v>299</v>
      </c>
      <c r="E2405">
        <v>87</v>
      </c>
      <c r="F2405" t="s">
        <v>5998</v>
      </c>
      <c r="G2405">
        <v>87</v>
      </c>
      <c r="H2405">
        <v>182.4273</v>
      </c>
      <c r="N2405">
        <v>182.4273</v>
      </c>
      <c r="O2405" s="1">
        <v>44989</v>
      </c>
      <c r="P2405">
        <f>IF(ISBLANK(ReconciliationData[[#This Row],[Invoice_ID]]),1,0)</f>
        <v>0</v>
      </c>
      <c r="Q2405">
        <f>IF(AND(NOT(ISBLANK(ReconciliationData[[#This Row],[Billed_Units]])),ReconciliationData[[#This Row],[ordered_units]]&lt;&gt;ReconciliationData[[#This Row],[Billed_Units]]),1,0)</f>
        <v>0</v>
      </c>
      <c r="R24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5">
        <f>IF(AND(NOT(ISBLANK(ReconciliationData[[#This Row],[Contract_Price]])),ReconciliationData[[#This Row],[Billed_Price]]&lt;&gt;ReconciliationData[[#This Row],[Contract_Price]]),1,0)</f>
        <v>0</v>
      </c>
      <c r="T2405">
        <f>IF(AND(NOT(ISBLANK(ReconciliationData[[#This Row],[End_Date]])),ReconciliationData[[#This Row],[Order_Date]]&gt;ReconciliationData[[#This Row],[End_Date]]),1,0)</f>
        <v>0</v>
      </c>
      <c r="U2405">
        <f>IF(AND(NOT(ISBLANK(ReconciliationData[[#This Row],[last_return_date]])),ReconciliationData[[#This Row],[last_return_date]]&gt;ReconciliationData[[#This Row],[Order_Date]]+60),1,0)</f>
        <v>0</v>
      </c>
      <c r="V2405">
        <f>IF(ReconciliationData[[#This Row],[total_returned_units]]&gt;ReconciliationData[[#This Row],[ordered_units]],1,0)</f>
        <v>0</v>
      </c>
      <c r="W24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5">
        <f>ReconciliationData[[#This Row],[Billed_Units]]*ReconciliationData[[#This Row],[Billed_Price]]</f>
        <v>15871.1751</v>
      </c>
      <c r="Y2405">
        <f>ReconciliationData[[#This Row],[ordered_units]]*ReconciliationData[[#This Row],[List_Price]]</f>
        <v>15871.1751</v>
      </c>
      <c r="Z2405">
        <f>ReconciliationData[[#This Row],[billed_revenue]]-ReconciliationData[[#This Row],[expected_revenue]]</f>
        <v>0</v>
      </c>
      <c r="AA24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5" t="str">
        <f>IF(ReconciliationData[[#This Row],[severity_score]]=0,"LOW",
 IF(ReconciliationData[[#This Row],[severity_score]]&lt;=5,"MEDIUM","HIGH"))</f>
        <v>LOW</v>
      </c>
      <c r="AC2405" t="str">
        <f>TEXT(ReconciliationData[[#This Row],[Order_Date]],"YYYY-MM")</f>
        <v>2024-07</v>
      </c>
    </row>
    <row r="2406" spans="1:29">
      <c r="A2406" t="s">
        <v>5999</v>
      </c>
      <c r="B2406" s="1">
        <v>45241</v>
      </c>
      <c r="C2406" t="s">
        <v>3003</v>
      </c>
      <c r="D2406" t="s">
        <v>1175</v>
      </c>
      <c r="E2406">
        <v>81</v>
      </c>
      <c r="F2406" t="s">
        <v>6000</v>
      </c>
      <c r="G2406">
        <v>81</v>
      </c>
      <c r="H2406">
        <v>589.66600000000005</v>
      </c>
      <c r="N2406">
        <v>589.66600000000005</v>
      </c>
      <c r="O2406" s="1">
        <v>45218</v>
      </c>
      <c r="P2406">
        <f>IF(ISBLANK(ReconciliationData[[#This Row],[Invoice_ID]]),1,0)</f>
        <v>0</v>
      </c>
      <c r="Q2406">
        <f>IF(AND(NOT(ISBLANK(ReconciliationData[[#This Row],[Billed_Units]])),ReconciliationData[[#This Row],[ordered_units]]&lt;&gt;ReconciliationData[[#This Row],[Billed_Units]]),1,0)</f>
        <v>0</v>
      </c>
      <c r="R24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6">
        <f>IF(AND(NOT(ISBLANK(ReconciliationData[[#This Row],[Contract_Price]])),ReconciliationData[[#This Row],[Billed_Price]]&lt;&gt;ReconciliationData[[#This Row],[Contract_Price]]),1,0)</f>
        <v>0</v>
      </c>
      <c r="T2406">
        <f>IF(AND(NOT(ISBLANK(ReconciliationData[[#This Row],[End_Date]])),ReconciliationData[[#This Row],[Order_Date]]&gt;ReconciliationData[[#This Row],[End_Date]]),1,0)</f>
        <v>0</v>
      </c>
      <c r="U2406">
        <f>IF(AND(NOT(ISBLANK(ReconciliationData[[#This Row],[last_return_date]])),ReconciliationData[[#This Row],[last_return_date]]&gt;ReconciliationData[[#This Row],[Order_Date]]+60),1,0)</f>
        <v>0</v>
      </c>
      <c r="V2406">
        <f>IF(ReconciliationData[[#This Row],[total_returned_units]]&gt;ReconciliationData[[#This Row],[ordered_units]],1,0)</f>
        <v>0</v>
      </c>
      <c r="W24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6">
        <f>ReconciliationData[[#This Row],[Billed_Units]]*ReconciliationData[[#This Row],[Billed_Price]]</f>
        <v>47762.946000000004</v>
      </c>
      <c r="Y2406">
        <f>ReconciliationData[[#This Row],[ordered_units]]*ReconciliationData[[#This Row],[List_Price]]</f>
        <v>47762.946000000004</v>
      </c>
      <c r="Z2406">
        <f>ReconciliationData[[#This Row],[billed_revenue]]-ReconciliationData[[#This Row],[expected_revenue]]</f>
        <v>0</v>
      </c>
      <c r="AA24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6" t="str">
        <f>IF(ReconciliationData[[#This Row],[severity_score]]=0,"LOW",
 IF(ReconciliationData[[#This Row],[severity_score]]&lt;=5,"MEDIUM","HIGH"))</f>
        <v>LOW</v>
      </c>
      <c r="AC2406" t="str">
        <f>TEXT(ReconciliationData[[#This Row],[Order_Date]],"YYYY-MM")</f>
        <v>2023-11</v>
      </c>
    </row>
    <row r="2407" spans="1:29">
      <c r="A2407" t="s">
        <v>6001</v>
      </c>
      <c r="B2407" s="1">
        <v>45322</v>
      </c>
      <c r="C2407" t="s">
        <v>6002</v>
      </c>
      <c r="D2407" t="s">
        <v>647</v>
      </c>
      <c r="E2407">
        <v>173</v>
      </c>
      <c r="F2407" t="s">
        <v>6003</v>
      </c>
      <c r="G2407">
        <v>173</v>
      </c>
      <c r="H2407">
        <v>279.42789999999997</v>
      </c>
      <c r="N2407">
        <v>279.42789999999997</v>
      </c>
      <c r="O2407" s="1">
        <v>45103</v>
      </c>
      <c r="P2407">
        <f>IF(ISBLANK(ReconciliationData[[#This Row],[Invoice_ID]]),1,0)</f>
        <v>0</v>
      </c>
      <c r="Q2407">
        <f>IF(AND(NOT(ISBLANK(ReconciliationData[[#This Row],[Billed_Units]])),ReconciliationData[[#This Row],[ordered_units]]&lt;&gt;ReconciliationData[[#This Row],[Billed_Units]]),1,0)</f>
        <v>0</v>
      </c>
      <c r="R24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7">
        <f>IF(AND(NOT(ISBLANK(ReconciliationData[[#This Row],[Contract_Price]])),ReconciliationData[[#This Row],[Billed_Price]]&lt;&gt;ReconciliationData[[#This Row],[Contract_Price]]),1,0)</f>
        <v>0</v>
      </c>
      <c r="T2407">
        <f>IF(AND(NOT(ISBLANK(ReconciliationData[[#This Row],[End_Date]])),ReconciliationData[[#This Row],[Order_Date]]&gt;ReconciliationData[[#This Row],[End_Date]]),1,0)</f>
        <v>0</v>
      </c>
      <c r="U2407">
        <f>IF(AND(NOT(ISBLANK(ReconciliationData[[#This Row],[last_return_date]])),ReconciliationData[[#This Row],[last_return_date]]&gt;ReconciliationData[[#This Row],[Order_Date]]+60),1,0)</f>
        <v>0</v>
      </c>
      <c r="V2407">
        <f>IF(ReconciliationData[[#This Row],[total_returned_units]]&gt;ReconciliationData[[#This Row],[ordered_units]],1,0)</f>
        <v>0</v>
      </c>
      <c r="W24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7">
        <f>ReconciliationData[[#This Row],[Billed_Units]]*ReconciliationData[[#This Row],[Billed_Price]]</f>
        <v>48341.026699999995</v>
      </c>
      <c r="Y2407">
        <f>ReconciliationData[[#This Row],[ordered_units]]*ReconciliationData[[#This Row],[List_Price]]</f>
        <v>48341.026699999995</v>
      </c>
      <c r="Z2407">
        <f>ReconciliationData[[#This Row],[billed_revenue]]-ReconciliationData[[#This Row],[expected_revenue]]</f>
        <v>0</v>
      </c>
      <c r="AA24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7" t="str">
        <f>IF(ReconciliationData[[#This Row],[severity_score]]=0,"LOW",
 IF(ReconciliationData[[#This Row],[severity_score]]&lt;=5,"MEDIUM","HIGH"))</f>
        <v>LOW</v>
      </c>
      <c r="AC2407" t="str">
        <f>TEXT(ReconciliationData[[#This Row],[Order_Date]],"YYYY-MM")</f>
        <v>2024-01</v>
      </c>
    </row>
    <row r="2408" spans="1:29">
      <c r="A2408" t="s">
        <v>6004</v>
      </c>
      <c r="B2408" s="1">
        <v>45300</v>
      </c>
      <c r="C2408" t="s">
        <v>993</v>
      </c>
      <c r="D2408" t="s">
        <v>1309</v>
      </c>
      <c r="E2408">
        <v>186</v>
      </c>
      <c r="F2408" t="s">
        <v>6005</v>
      </c>
      <c r="G2408">
        <v>186</v>
      </c>
      <c r="H2408">
        <v>906.88919999999996</v>
      </c>
      <c r="N2408">
        <v>906.88919999999996</v>
      </c>
      <c r="O2408" s="1">
        <v>44991</v>
      </c>
      <c r="P2408">
        <f>IF(ISBLANK(ReconciliationData[[#This Row],[Invoice_ID]]),1,0)</f>
        <v>0</v>
      </c>
      <c r="Q2408">
        <f>IF(AND(NOT(ISBLANK(ReconciliationData[[#This Row],[Billed_Units]])),ReconciliationData[[#This Row],[ordered_units]]&lt;&gt;ReconciliationData[[#This Row],[Billed_Units]]),1,0)</f>
        <v>0</v>
      </c>
      <c r="R24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8">
        <f>IF(AND(NOT(ISBLANK(ReconciliationData[[#This Row],[Contract_Price]])),ReconciliationData[[#This Row],[Billed_Price]]&lt;&gt;ReconciliationData[[#This Row],[Contract_Price]]),1,0)</f>
        <v>0</v>
      </c>
      <c r="T2408">
        <f>IF(AND(NOT(ISBLANK(ReconciliationData[[#This Row],[End_Date]])),ReconciliationData[[#This Row],[Order_Date]]&gt;ReconciliationData[[#This Row],[End_Date]]),1,0)</f>
        <v>0</v>
      </c>
      <c r="U2408">
        <f>IF(AND(NOT(ISBLANK(ReconciliationData[[#This Row],[last_return_date]])),ReconciliationData[[#This Row],[last_return_date]]&gt;ReconciliationData[[#This Row],[Order_Date]]+60),1,0)</f>
        <v>0</v>
      </c>
      <c r="V2408">
        <f>IF(ReconciliationData[[#This Row],[total_returned_units]]&gt;ReconciliationData[[#This Row],[ordered_units]],1,0)</f>
        <v>0</v>
      </c>
      <c r="W24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8">
        <f>ReconciliationData[[#This Row],[Billed_Units]]*ReconciliationData[[#This Row],[Billed_Price]]</f>
        <v>168681.39119999998</v>
      </c>
      <c r="Y2408">
        <f>ReconciliationData[[#This Row],[ordered_units]]*ReconciliationData[[#This Row],[List_Price]]</f>
        <v>168681.39119999998</v>
      </c>
      <c r="Z2408">
        <f>ReconciliationData[[#This Row],[billed_revenue]]-ReconciliationData[[#This Row],[expected_revenue]]</f>
        <v>0</v>
      </c>
      <c r="AA24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8" t="str">
        <f>IF(ReconciliationData[[#This Row],[severity_score]]=0,"LOW",
 IF(ReconciliationData[[#This Row],[severity_score]]&lt;=5,"MEDIUM","HIGH"))</f>
        <v>LOW</v>
      </c>
      <c r="AC2408" t="str">
        <f>TEXT(ReconciliationData[[#This Row],[Order_Date]],"YYYY-MM")</f>
        <v>2024-01</v>
      </c>
    </row>
    <row r="2409" spans="1:29">
      <c r="A2409" t="s">
        <v>6006</v>
      </c>
      <c r="B2409" s="1">
        <v>45253</v>
      </c>
      <c r="C2409" t="s">
        <v>4848</v>
      </c>
      <c r="D2409" t="s">
        <v>313</v>
      </c>
      <c r="E2409">
        <v>180</v>
      </c>
      <c r="F2409" t="s">
        <v>6007</v>
      </c>
      <c r="G2409">
        <v>180</v>
      </c>
      <c r="H2409">
        <v>1190.6054999999999</v>
      </c>
      <c r="N2409">
        <v>1190.6054999999999</v>
      </c>
      <c r="O2409" s="1">
        <v>44984</v>
      </c>
      <c r="P2409">
        <f>IF(ISBLANK(ReconciliationData[[#This Row],[Invoice_ID]]),1,0)</f>
        <v>0</v>
      </c>
      <c r="Q2409">
        <f>IF(AND(NOT(ISBLANK(ReconciliationData[[#This Row],[Billed_Units]])),ReconciliationData[[#This Row],[ordered_units]]&lt;&gt;ReconciliationData[[#This Row],[Billed_Units]]),1,0)</f>
        <v>0</v>
      </c>
      <c r="R24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09">
        <f>IF(AND(NOT(ISBLANK(ReconciliationData[[#This Row],[Contract_Price]])),ReconciliationData[[#This Row],[Billed_Price]]&lt;&gt;ReconciliationData[[#This Row],[Contract_Price]]),1,0)</f>
        <v>0</v>
      </c>
      <c r="T2409">
        <f>IF(AND(NOT(ISBLANK(ReconciliationData[[#This Row],[End_Date]])),ReconciliationData[[#This Row],[Order_Date]]&gt;ReconciliationData[[#This Row],[End_Date]]),1,0)</f>
        <v>0</v>
      </c>
      <c r="U2409">
        <f>IF(AND(NOT(ISBLANK(ReconciliationData[[#This Row],[last_return_date]])),ReconciliationData[[#This Row],[last_return_date]]&gt;ReconciliationData[[#This Row],[Order_Date]]+60),1,0)</f>
        <v>0</v>
      </c>
      <c r="V2409">
        <f>IF(ReconciliationData[[#This Row],[total_returned_units]]&gt;ReconciliationData[[#This Row],[ordered_units]],1,0)</f>
        <v>0</v>
      </c>
      <c r="W24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09">
        <f>ReconciliationData[[#This Row],[Billed_Units]]*ReconciliationData[[#This Row],[Billed_Price]]</f>
        <v>214308.99</v>
      </c>
      <c r="Y2409">
        <f>ReconciliationData[[#This Row],[ordered_units]]*ReconciliationData[[#This Row],[List_Price]]</f>
        <v>214308.99</v>
      </c>
      <c r="Z2409">
        <f>ReconciliationData[[#This Row],[billed_revenue]]-ReconciliationData[[#This Row],[expected_revenue]]</f>
        <v>0</v>
      </c>
      <c r="AA24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09" t="str">
        <f>IF(ReconciliationData[[#This Row],[severity_score]]=0,"LOW",
 IF(ReconciliationData[[#This Row],[severity_score]]&lt;=5,"MEDIUM","HIGH"))</f>
        <v>LOW</v>
      </c>
      <c r="AC2409" t="str">
        <f>TEXT(ReconciliationData[[#This Row],[Order_Date]],"YYYY-MM")</f>
        <v>2023-11</v>
      </c>
    </row>
    <row r="2410" spans="1:29">
      <c r="A2410" t="s">
        <v>6008</v>
      </c>
      <c r="B2410" s="1">
        <v>45240</v>
      </c>
      <c r="C2410" t="s">
        <v>1199</v>
      </c>
      <c r="D2410" t="s">
        <v>2360</v>
      </c>
      <c r="E2410">
        <v>161</v>
      </c>
      <c r="F2410" t="s">
        <v>6009</v>
      </c>
      <c r="G2410">
        <v>161</v>
      </c>
      <c r="H2410">
        <v>852.46560000000011</v>
      </c>
      <c r="N2410">
        <v>852.46560000000011</v>
      </c>
      <c r="O2410" s="1">
        <v>44996</v>
      </c>
      <c r="P2410">
        <f>IF(ISBLANK(ReconciliationData[[#This Row],[Invoice_ID]]),1,0)</f>
        <v>0</v>
      </c>
      <c r="Q2410">
        <f>IF(AND(NOT(ISBLANK(ReconciliationData[[#This Row],[Billed_Units]])),ReconciliationData[[#This Row],[ordered_units]]&lt;&gt;ReconciliationData[[#This Row],[Billed_Units]]),1,0)</f>
        <v>0</v>
      </c>
      <c r="R24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0">
        <f>IF(AND(NOT(ISBLANK(ReconciliationData[[#This Row],[Contract_Price]])),ReconciliationData[[#This Row],[Billed_Price]]&lt;&gt;ReconciliationData[[#This Row],[Contract_Price]]),1,0)</f>
        <v>0</v>
      </c>
      <c r="T2410">
        <f>IF(AND(NOT(ISBLANK(ReconciliationData[[#This Row],[End_Date]])),ReconciliationData[[#This Row],[Order_Date]]&gt;ReconciliationData[[#This Row],[End_Date]]),1,0)</f>
        <v>0</v>
      </c>
      <c r="U2410">
        <f>IF(AND(NOT(ISBLANK(ReconciliationData[[#This Row],[last_return_date]])),ReconciliationData[[#This Row],[last_return_date]]&gt;ReconciliationData[[#This Row],[Order_Date]]+60),1,0)</f>
        <v>0</v>
      </c>
      <c r="V2410">
        <f>IF(ReconciliationData[[#This Row],[total_returned_units]]&gt;ReconciliationData[[#This Row],[ordered_units]],1,0)</f>
        <v>0</v>
      </c>
      <c r="W24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0">
        <f>ReconciliationData[[#This Row],[Billed_Units]]*ReconciliationData[[#This Row],[Billed_Price]]</f>
        <v>137246.96160000001</v>
      </c>
      <c r="Y2410">
        <f>ReconciliationData[[#This Row],[ordered_units]]*ReconciliationData[[#This Row],[List_Price]]</f>
        <v>137246.96160000001</v>
      </c>
      <c r="Z2410">
        <f>ReconciliationData[[#This Row],[billed_revenue]]-ReconciliationData[[#This Row],[expected_revenue]]</f>
        <v>0</v>
      </c>
      <c r="AA24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0" t="str">
        <f>IF(ReconciliationData[[#This Row],[severity_score]]=0,"LOW",
 IF(ReconciliationData[[#This Row],[severity_score]]&lt;=5,"MEDIUM","HIGH"))</f>
        <v>LOW</v>
      </c>
      <c r="AC2410" t="str">
        <f>TEXT(ReconciliationData[[#This Row],[Order_Date]],"YYYY-MM")</f>
        <v>2023-11</v>
      </c>
    </row>
    <row r="2411" spans="1:29">
      <c r="A2411" t="s">
        <v>6010</v>
      </c>
      <c r="B2411" s="1">
        <v>45537</v>
      </c>
      <c r="C2411" t="s">
        <v>5686</v>
      </c>
      <c r="D2411" t="s">
        <v>1071</v>
      </c>
      <c r="E2411">
        <v>78</v>
      </c>
      <c r="F2411" t="s">
        <v>6011</v>
      </c>
      <c r="G2411">
        <v>78</v>
      </c>
      <c r="H2411">
        <v>335.39150000000001</v>
      </c>
      <c r="N2411">
        <v>335.39150000000001</v>
      </c>
      <c r="O2411" s="1">
        <v>45151</v>
      </c>
      <c r="P2411">
        <f>IF(ISBLANK(ReconciliationData[[#This Row],[Invoice_ID]]),1,0)</f>
        <v>0</v>
      </c>
      <c r="Q2411">
        <f>IF(AND(NOT(ISBLANK(ReconciliationData[[#This Row],[Billed_Units]])),ReconciliationData[[#This Row],[ordered_units]]&lt;&gt;ReconciliationData[[#This Row],[Billed_Units]]),1,0)</f>
        <v>0</v>
      </c>
      <c r="R24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1">
        <f>IF(AND(NOT(ISBLANK(ReconciliationData[[#This Row],[Contract_Price]])),ReconciliationData[[#This Row],[Billed_Price]]&lt;&gt;ReconciliationData[[#This Row],[Contract_Price]]),1,0)</f>
        <v>0</v>
      </c>
      <c r="T2411">
        <f>IF(AND(NOT(ISBLANK(ReconciliationData[[#This Row],[End_Date]])),ReconciliationData[[#This Row],[Order_Date]]&gt;ReconciliationData[[#This Row],[End_Date]]),1,0)</f>
        <v>0</v>
      </c>
      <c r="U2411">
        <f>IF(AND(NOT(ISBLANK(ReconciliationData[[#This Row],[last_return_date]])),ReconciliationData[[#This Row],[last_return_date]]&gt;ReconciliationData[[#This Row],[Order_Date]]+60),1,0)</f>
        <v>0</v>
      </c>
      <c r="V2411">
        <f>IF(ReconciliationData[[#This Row],[total_returned_units]]&gt;ReconciliationData[[#This Row],[ordered_units]],1,0)</f>
        <v>0</v>
      </c>
      <c r="W24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1">
        <f>ReconciliationData[[#This Row],[Billed_Units]]*ReconciliationData[[#This Row],[Billed_Price]]</f>
        <v>26160.537</v>
      </c>
      <c r="Y2411">
        <f>ReconciliationData[[#This Row],[ordered_units]]*ReconciliationData[[#This Row],[List_Price]]</f>
        <v>26160.537</v>
      </c>
      <c r="Z2411">
        <f>ReconciliationData[[#This Row],[billed_revenue]]-ReconciliationData[[#This Row],[expected_revenue]]</f>
        <v>0</v>
      </c>
      <c r="AA24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1" t="str">
        <f>IF(ReconciliationData[[#This Row],[severity_score]]=0,"LOW",
 IF(ReconciliationData[[#This Row],[severity_score]]&lt;=5,"MEDIUM","HIGH"))</f>
        <v>LOW</v>
      </c>
      <c r="AC2411" t="str">
        <f>TEXT(ReconciliationData[[#This Row],[Order_Date]],"YYYY-MM")</f>
        <v>2024-09</v>
      </c>
    </row>
    <row r="2412" spans="1:29">
      <c r="A2412" t="s">
        <v>6012</v>
      </c>
      <c r="B2412" s="1">
        <v>45532</v>
      </c>
      <c r="C2412" t="s">
        <v>714</v>
      </c>
      <c r="D2412" t="s">
        <v>1533</v>
      </c>
      <c r="E2412">
        <v>70</v>
      </c>
      <c r="F2412" t="s">
        <v>6013</v>
      </c>
      <c r="G2412">
        <v>70</v>
      </c>
      <c r="H2412">
        <v>952.36940000000004</v>
      </c>
      <c r="N2412">
        <v>952.36940000000004</v>
      </c>
      <c r="O2412" s="1">
        <v>45169</v>
      </c>
      <c r="P2412">
        <f>IF(ISBLANK(ReconciliationData[[#This Row],[Invoice_ID]]),1,0)</f>
        <v>0</v>
      </c>
      <c r="Q2412">
        <f>IF(AND(NOT(ISBLANK(ReconciliationData[[#This Row],[Billed_Units]])),ReconciliationData[[#This Row],[ordered_units]]&lt;&gt;ReconciliationData[[#This Row],[Billed_Units]]),1,0)</f>
        <v>0</v>
      </c>
      <c r="R24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2">
        <f>IF(AND(NOT(ISBLANK(ReconciliationData[[#This Row],[Contract_Price]])),ReconciliationData[[#This Row],[Billed_Price]]&lt;&gt;ReconciliationData[[#This Row],[Contract_Price]]),1,0)</f>
        <v>0</v>
      </c>
      <c r="T2412">
        <f>IF(AND(NOT(ISBLANK(ReconciliationData[[#This Row],[End_Date]])),ReconciliationData[[#This Row],[Order_Date]]&gt;ReconciliationData[[#This Row],[End_Date]]),1,0)</f>
        <v>0</v>
      </c>
      <c r="U2412">
        <f>IF(AND(NOT(ISBLANK(ReconciliationData[[#This Row],[last_return_date]])),ReconciliationData[[#This Row],[last_return_date]]&gt;ReconciliationData[[#This Row],[Order_Date]]+60),1,0)</f>
        <v>0</v>
      </c>
      <c r="V2412">
        <f>IF(ReconciliationData[[#This Row],[total_returned_units]]&gt;ReconciliationData[[#This Row],[ordered_units]],1,0)</f>
        <v>0</v>
      </c>
      <c r="W24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2">
        <f>ReconciliationData[[#This Row],[Billed_Units]]*ReconciliationData[[#This Row],[Billed_Price]]</f>
        <v>66665.858000000007</v>
      </c>
      <c r="Y2412">
        <f>ReconciliationData[[#This Row],[ordered_units]]*ReconciliationData[[#This Row],[List_Price]]</f>
        <v>66665.858000000007</v>
      </c>
      <c r="Z2412">
        <f>ReconciliationData[[#This Row],[billed_revenue]]-ReconciliationData[[#This Row],[expected_revenue]]</f>
        <v>0</v>
      </c>
      <c r="AA24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2" t="str">
        <f>IF(ReconciliationData[[#This Row],[severity_score]]=0,"LOW",
 IF(ReconciliationData[[#This Row],[severity_score]]&lt;=5,"MEDIUM","HIGH"))</f>
        <v>LOW</v>
      </c>
      <c r="AC2412" t="str">
        <f>TEXT(ReconciliationData[[#This Row],[Order_Date]],"YYYY-MM")</f>
        <v>2024-08</v>
      </c>
    </row>
    <row r="2413" spans="1:29">
      <c r="A2413" t="s">
        <v>6014</v>
      </c>
      <c r="B2413" s="1">
        <v>45435</v>
      </c>
      <c r="C2413" t="s">
        <v>1174</v>
      </c>
      <c r="D2413" t="s">
        <v>1309</v>
      </c>
      <c r="E2413">
        <v>33</v>
      </c>
      <c r="F2413" t="s">
        <v>6015</v>
      </c>
      <c r="G2413">
        <v>33</v>
      </c>
      <c r="H2413">
        <v>906.88919999999996</v>
      </c>
      <c r="N2413">
        <v>906.88919999999996</v>
      </c>
      <c r="O2413" s="1">
        <v>44991</v>
      </c>
      <c r="P2413">
        <f>IF(ISBLANK(ReconciliationData[[#This Row],[Invoice_ID]]),1,0)</f>
        <v>0</v>
      </c>
      <c r="Q2413">
        <f>IF(AND(NOT(ISBLANK(ReconciliationData[[#This Row],[Billed_Units]])),ReconciliationData[[#This Row],[ordered_units]]&lt;&gt;ReconciliationData[[#This Row],[Billed_Units]]),1,0)</f>
        <v>0</v>
      </c>
      <c r="R24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3">
        <f>IF(AND(NOT(ISBLANK(ReconciliationData[[#This Row],[Contract_Price]])),ReconciliationData[[#This Row],[Billed_Price]]&lt;&gt;ReconciliationData[[#This Row],[Contract_Price]]),1,0)</f>
        <v>0</v>
      </c>
      <c r="T2413">
        <f>IF(AND(NOT(ISBLANK(ReconciliationData[[#This Row],[End_Date]])),ReconciliationData[[#This Row],[Order_Date]]&gt;ReconciliationData[[#This Row],[End_Date]]),1,0)</f>
        <v>0</v>
      </c>
      <c r="U2413">
        <f>IF(AND(NOT(ISBLANK(ReconciliationData[[#This Row],[last_return_date]])),ReconciliationData[[#This Row],[last_return_date]]&gt;ReconciliationData[[#This Row],[Order_Date]]+60),1,0)</f>
        <v>0</v>
      </c>
      <c r="V2413">
        <f>IF(ReconciliationData[[#This Row],[total_returned_units]]&gt;ReconciliationData[[#This Row],[ordered_units]],1,0)</f>
        <v>0</v>
      </c>
      <c r="W24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3">
        <f>ReconciliationData[[#This Row],[Billed_Units]]*ReconciliationData[[#This Row],[Billed_Price]]</f>
        <v>29927.3436</v>
      </c>
      <c r="Y2413">
        <f>ReconciliationData[[#This Row],[ordered_units]]*ReconciliationData[[#This Row],[List_Price]]</f>
        <v>29927.3436</v>
      </c>
      <c r="Z2413">
        <f>ReconciliationData[[#This Row],[billed_revenue]]-ReconciliationData[[#This Row],[expected_revenue]]</f>
        <v>0</v>
      </c>
      <c r="AA24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3" t="str">
        <f>IF(ReconciliationData[[#This Row],[severity_score]]=0,"LOW",
 IF(ReconciliationData[[#This Row],[severity_score]]&lt;=5,"MEDIUM","HIGH"))</f>
        <v>LOW</v>
      </c>
      <c r="AC2413" t="str">
        <f>TEXT(ReconciliationData[[#This Row],[Order_Date]],"YYYY-MM")</f>
        <v>2024-05</v>
      </c>
    </row>
    <row r="2414" spans="1:29">
      <c r="A2414" t="s">
        <v>6016</v>
      </c>
      <c r="B2414" s="1">
        <v>45219</v>
      </c>
      <c r="C2414" t="s">
        <v>936</v>
      </c>
      <c r="D2414" t="s">
        <v>317</v>
      </c>
      <c r="E2414">
        <v>184</v>
      </c>
      <c r="F2414" t="s">
        <v>6017</v>
      </c>
      <c r="G2414">
        <v>184</v>
      </c>
      <c r="H2414">
        <v>1119.3012000000001</v>
      </c>
      <c r="N2414">
        <v>1119.3012000000001</v>
      </c>
      <c r="O2414" s="1">
        <v>45091</v>
      </c>
      <c r="P2414">
        <f>IF(ISBLANK(ReconciliationData[[#This Row],[Invoice_ID]]),1,0)</f>
        <v>0</v>
      </c>
      <c r="Q2414">
        <f>IF(AND(NOT(ISBLANK(ReconciliationData[[#This Row],[Billed_Units]])),ReconciliationData[[#This Row],[ordered_units]]&lt;&gt;ReconciliationData[[#This Row],[Billed_Units]]),1,0)</f>
        <v>0</v>
      </c>
      <c r="R24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4">
        <f>IF(AND(NOT(ISBLANK(ReconciliationData[[#This Row],[Contract_Price]])),ReconciliationData[[#This Row],[Billed_Price]]&lt;&gt;ReconciliationData[[#This Row],[Contract_Price]]),1,0)</f>
        <v>0</v>
      </c>
      <c r="T2414">
        <f>IF(AND(NOT(ISBLANK(ReconciliationData[[#This Row],[End_Date]])),ReconciliationData[[#This Row],[Order_Date]]&gt;ReconciliationData[[#This Row],[End_Date]]),1,0)</f>
        <v>0</v>
      </c>
      <c r="U2414">
        <f>IF(AND(NOT(ISBLANK(ReconciliationData[[#This Row],[last_return_date]])),ReconciliationData[[#This Row],[last_return_date]]&gt;ReconciliationData[[#This Row],[Order_Date]]+60),1,0)</f>
        <v>0</v>
      </c>
      <c r="V2414">
        <f>IF(ReconciliationData[[#This Row],[total_returned_units]]&gt;ReconciliationData[[#This Row],[ordered_units]],1,0)</f>
        <v>0</v>
      </c>
      <c r="W24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4">
        <f>ReconciliationData[[#This Row],[Billed_Units]]*ReconciliationData[[#This Row],[Billed_Price]]</f>
        <v>205951.42080000002</v>
      </c>
      <c r="Y2414">
        <f>ReconciliationData[[#This Row],[ordered_units]]*ReconciliationData[[#This Row],[List_Price]]</f>
        <v>205951.42080000002</v>
      </c>
      <c r="Z2414">
        <f>ReconciliationData[[#This Row],[billed_revenue]]-ReconciliationData[[#This Row],[expected_revenue]]</f>
        <v>0</v>
      </c>
      <c r="AA24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4" t="str">
        <f>IF(ReconciliationData[[#This Row],[severity_score]]=0,"LOW",
 IF(ReconciliationData[[#This Row],[severity_score]]&lt;=5,"MEDIUM","HIGH"))</f>
        <v>LOW</v>
      </c>
      <c r="AC2414" t="str">
        <f>TEXT(ReconciliationData[[#This Row],[Order_Date]],"YYYY-MM")</f>
        <v>2023-10</v>
      </c>
    </row>
    <row r="2415" spans="1:29">
      <c r="A2415" t="s">
        <v>6018</v>
      </c>
      <c r="B2415" s="1">
        <v>44983</v>
      </c>
      <c r="C2415" t="s">
        <v>1591</v>
      </c>
      <c r="D2415" t="s">
        <v>279</v>
      </c>
      <c r="E2415">
        <v>167</v>
      </c>
      <c r="F2415" t="s">
        <v>6019</v>
      </c>
      <c r="G2415">
        <v>167</v>
      </c>
      <c r="H2415">
        <v>1131.7511999999999</v>
      </c>
      <c r="N2415">
        <v>1131.7511999999999</v>
      </c>
      <c r="O2415" s="1">
        <v>44806</v>
      </c>
      <c r="P2415">
        <f>IF(ISBLANK(ReconciliationData[[#This Row],[Invoice_ID]]),1,0)</f>
        <v>0</v>
      </c>
      <c r="Q2415">
        <f>IF(AND(NOT(ISBLANK(ReconciliationData[[#This Row],[Billed_Units]])),ReconciliationData[[#This Row],[ordered_units]]&lt;&gt;ReconciliationData[[#This Row],[Billed_Units]]),1,0)</f>
        <v>0</v>
      </c>
      <c r="R24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5">
        <f>IF(AND(NOT(ISBLANK(ReconciliationData[[#This Row],[Contract_Price]])),ReconciliationData[[#This Row],[Billed_Price]]&lt;&gt;ReconciliationData[[#This Row],[Contract_Price]]),1,0)</f>
        <v>0</v>
      </c>
      <c r="T2415">
        <f>IF(AND(NOT(ISBLANK(ReconciliationData[[#This Row],[End_Date]])),ReconciliationData[[#This Row],[Order_Date]]&gt;ReconciliationData[[#This Row],[End_Date]]),1,0)</f>
        <v>0</v>
      </c>
      <c r="U2415">
        <f>IF(AND(NOT(ISBLANK(ReconciliationData[[#This Row],[last_return_date]])),ReconciliationData[[#This Row],[last_return_date]]&gt;ReconciliationData[[#This Row],[Order_Date]]+60),1,0)</f>
        <v>0</v>
      </c>
      <c r="V2415">
        <f>IF(ReconciliationData[[#This Row],[total_returned_units]]&gt;ReconciliationData[[#This Row],[ordered_units]],1,0)</f>
        <v>0</v>
      </c>
      <c r="W24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5">
        <f>ReconciliationData[[#This Row],[Billed_Units]]*ReconciliationData[[#This Row],[Billed_Price]]</f>
        <v>189002.4504</v>
      </c>
      <c r="Y2415">
        <f>ReconciliationData[[#This Row],[ordered_units]]*ReconciliationData[[#This Row],[List_Price]]</f>
        <v>189002.4504</v>
      </c>
      <c r="Z2415">
        <f>ReconciliationData[[#This Row],[billed_revenue]]-ReconciliationData[[#This Row],[expected_revenue]]</f>
        <v>0</v>
      </c>
      <c r="AA24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5" t="str">
        <f>IF(ReconciliationData[[#This Row],[severity_score]]=0,"LOW",
 IF(ReconciliationData[[#This Row],[severity_score]]&lt;=5,"MEDIUM","HIGH"))</f>
        <v>LOW</v>
      </c>
      <c r="AC2415" t="str">
        <f>TEXT(ReconciliationData[[#This Row],[Order_Date]],"YYYY-MM")</f>
        <v>2023-02</v>
      </c>
    </row>
    <row r="2416" spans="1:29">
      <c r="A2416" t="s">
        <v>6020</v>
      </c>
      <c r="B2416" s="1">
        <v>44944</v>
      </c>
      <c r="C2416" t="s">
        <v>2789</v>
      </c>
      <c r="D2416" t="s">
        <v>997</v>
      </c>
      <c r="E2416">
        <v>5</v>
      </c>
      <c r="F2416" t="s">
        <v>6021</v>
      </c>
      <c r="G2416">
        <v>5</v>
      </c>
      <c r="H2416">
        <v>1165.1500000000001</v>
      </c>
      <c r="N2416">
        <v>1165.1500000000001</v>
      </c>
      <c r="O2416" s="1">
        <v>44750</v>
      </c>
      <c r="P2416">
        <f>IF(ISBLANK(ReconciliationData[[#This Row],[Invoice_ID]]),1,0)</f>
        <v>0</v>
      </c>
      <c r="Q2416">
        <f>IF(AND(NOT(ISBLANK(ReconciliationData[[#This Row],[Billed_Units]])),ReconciliationData[[#This Row],[ordered_units]]&lt;&gt;ReconciliationData[[#This Row],[Billed_Units]]),1,0)</f>
        <v>0</v>
      </c>
      <c r="R24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6">
        <f>IF(AND(NOT(ISBLANK(ReconciliationData[[#This Row],[Contract_Price]])),ReconciliationData[[#This Row],[Billed_Price]]&lt;&gt;ReconciliationData[[#This Row],[Contract_Price]]),1,0)</f>
        <v>0</v>
      </c>
      <c r="T2416">
        <f>IF(AND(NOT(ISBLANK(ReconciliationData[[#This Row],[End_Date]])),ReconciliationData[[#This Row],[Order_Date]]&gt;ReconciliationData[[#This Row],[End_Date]]),1,0)</f>
        <v>0</v>
      </c>
      <c r="U2416">
        <f>IF(AND(NOT(ISBLANK(ReconciliationData[[#This Row],[last_return_date]])),ReconciliationData[[#This Row],[last_return_date]]&gt;ReconciliationData[[#This Row],[Order_Date]]+60),1,0)</f>
        <v>0</v>
      </c>
      <c r="V2416">
        <f>IF(ReconciliationData[[#This Row],[total_returned_units]]&gt;ReconciliationData[[#This Row],[ordered_units]],1,0)</f>
        <v>0</v>
      </c>
      <c r="W24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6">
        <f>ReconciliationData[[#This Row],[Billed_Units]]*ReconciliationData[[#This Row],[Billed_Price]]</f>
        <v>5825.75</v>
      </c>
      <c r="Y2416">
        <f>ReconciliationData[[#This Row],[ordered_units]]*ReconciliationData[[#This Row],[List_Price]]</f>
        <v>5825.75</v>
      </c>
      <c r="Z2416">
        <f>ReconciliationData[[#This Row],[billed_revenue]]-ReconciliationData[[#This Row],[expected_revenue]]</f>
        <v>0</v>
      </c>
      <c r="AA24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6" t="str">
        <f>IF(ReconciliationData[[#This Row],[severity_score]]=0,"LOW",
 IF(ReconciliationData[[#This Row],[severity_score]]&lt;=5,"MEDIUM","HIGH"))</f>
        <v>LOW</v>
      </c>
      <c r="AC2416" t="str">
        <f>TEXT(ReconciliationData[[#This Row],[Order_Date]],"YYYY-MM")</f>
        <v>2023-01</v>
      </c>
    </row>
    <row r="2417" spans="1:29">
      <c r="A2417" t="s">
        <v>6022</v>
      </c>
      <c r="B2417" s="1">
        <v>45387</v>
      </c>
      <c r="C2417" t="s">
        <v>6023</v>
      </c>
      <c r="D2417" t="s">
        <v>408</v>
      </c>
      <c r="E2417">
        <v>142</v>
      </c>
      <c r="F2417" t="s">
        <v>6024</v>
      </c>
      <c r="G2417">
        <v>142</v>
      </c>
      <c r="H2417">
        <v>660.96040000000005</v>
      </c>
      <c r="N2417">
        <v>660.96040000000005</v>
      </c>
      <c r="O2417" s="1">
        <v>44947</v>
      </c>
      <c r="P2417">
        <f>IF(ISBLANK(ReconciliationData[[#This Row],[Invoice_ID]]),1,0)</f>
        <v>0</v>
      </c>
      <c r="Q2417">
        <f>IF(AND(NOT(ISBLANK(ReconciliationData[[#This Row],[Billed_Units]])),ReconciliationData[[#This Row],[ordered_units]]&lt;&gt;ReconciliationData[[#This Row],[Billed_Units]]),1,0)</f>
        <v>0</v>
      </c>
      <c r="R24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7">
        <f>IF(AND(NOT(ISBLANK(ReconciliationData[[#This Row],[Contract_Price]])),ReconciliationData[[#This Row],[Billed_Price]]&lt;&gt;ReconciliationData[[#This Row],[Contract_Price]]),1,0)</f>
        <v>0</v>
      </c>
      <c r="T2417">
        <f>IF(AND(NOT(ISBLANK(ReconciliationData[[#This Row],[End_Date]])),ReconciliationData[[#This Row],[Order_Date]]&gt;ReconciliationData[[#This Row],[End_Date]]),1,0)</f>
        <v>0</v>
      </c>
      <c r="U2417">
        <f>IF(AND(NOT(ISBLANK(ReconciliationData[[#This Row],[last_return_date]])),ReconciliationData[[#This Row],[last_return_date]]&gt;ReconciliationData[[#This Row],[Order_Date]]+60),1,0)</f>
        <v>0</v>
      </c>
      <c r="V2417">
        <f>IF(ReconciliationData[[#This Row],[total_returned_units]]&gt;ReconciliationData[[#This Row],[ordered_units]],1,0)</f>
        <v>0</v>
      </c>
      <c r="W24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7">
        <f>ReconciliationData[[#This Row],[Billed_Units]]*ReconciliationData[[#This Row],[Billed_Price]]</f>
        <v>93856.376800000013</v>
      </c>
      <c r="Y2417">
        <f>ReconciliationData[[#This Row],[ordered_units]]*ReconciliationData[[#This Row],[List_Price]]</f>
        <v>93856.376800000013</v>
      </c>
      <c r="Z2417">
        <f>ReconciliationData[[#This Row],[billed_revenue]]-ReconciliationData[[#This Row],[expected_revenue]]</f>
        <v>0</v>
      </c>
      <c r="AA24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7" t="str">
        <f>IF(ReconciliationData[[#This Row],[severity_score]]=0,"LOW",
 IF(ReconciliationData[[#This Row],[severity_score]]&lt;=5,"MEDIUM","HIGH"))</f>
        <v>LOW</v>
      </c>
      <c r="AC2417" t="str">
        <f>TEXT(ReconciliationData[[#This Row],[Order_Date]],"YYYY-MM")</f>
        <v>2024-04</v>
      </c>
    </row>
    <row r="2418" spans="1:29">
      <c r="A2418" t="s">
        <v>6025</v>
      </c>
      <c r="B2418" s="1">
        <v>45037</v>
      </c>
      <c r="C2418" t="s">
        <v>5425</v>
      </c>
      <c r="D2418" t="s">
        <v>3409</v>
      </c>
      <c r="E2418">
        <v>98</v>
      </c>
      <c r="F2418" t="s">
        <v>6026</v>
      </c>
      <c r="G2418">
        <v>98</v>
      </c>
      <c r="H2418">
        <v>94.274299999999997</v>
      </c>
      <c r="N2418">
        <v>94.274299999999997</v>
      </c>
      <c r="O2418" s="1">
        <v>44906</v>
      </c>
      <c r="P2418">
        <f>IF(ISBLANK(ReconciliationData[[#This Row],[Invoice_ID]]),1,0)</f>
        <v>0</v>
      </c>
      <c r="Q2418">
        <f>IF(AND(NOT(ISBLANK(ReconciliationData[[#This Row],[Billed_Units]])),ReconciliationData[[#This Row],[ordered_units]]&lt;&gt;ReconciliationData[[#This Row],[Billed_Units]]),1,0)</f>
        <v>0</v>
      </c>
      <c r="R24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8">
        <f>IF(AND(NOT(ISBLANK(ReconciliationData[[#This Row],[Contract_Price]])),ReconciliationData[[#This Row],[Billed_Price]]&lt;&gt;ReconciliationData[[#This Row],[Contract_Price]]),1,0)</f>
        <v>0</v>
      </c>
      <c r="T2418">
        <f>IF(AND(NOT(ISBLANK(ReconciliationData[[#This Row],[End_Date]])),ReconciliationData[[#This Row],[Order_Date]]&gt;ReconciliationData[[#This Row],[End_Date]]),1,0)</f>
        <v>0</v>
      </c>
      <c r="U2418">
        <f>IF(AND(NOT(ISBLANK(ReconciliationData[[#This Row],[last_return_date]])),ReconciliationData[[#This Row],[last_return_date]]&gt;ReconciliationData[[#This Row],[Order_Date]]+60),1,0)</f>
        <v>0</v>
      </c>
      <c r="V2418">
        <f>IF(ReconciliationData[[#This Row],[total_returned_units]]&gt;ReconciliationData[[#This Row],[ordered_units]],1,0)</f>
        <v>0</v>
      </c>
      <c r="W24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8">
        <f>ReconciliationData[[#This Row],[Billed_Units]]*ReconciliationData[[#This Row],[Billed_Price]]</f>
        <v>9238.8814000000002</v>
      </c>
      <c r="Y2418">
        <f>ReconciliationData[[#This Row],[ordered_units]]*ReconciliationData[[#This Row],[List_Price]]</f>
        <v>9238.8814000000002</v>
      </c>
      <c r="Z2418">
        <f>ReconciliationData[[#This Row],[billed_revenue]]-ReconciliationData[[#This Row],[expected_revenue]]</f>
        <v>0</v>
      </c>
      <c r="AA24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8" t="str">
        <f>IF(ReconciliationData[[#This Row],[severity_score]]=0,"LOW",
 IF(ReconciliationData[[#This Row],[severity_score]]&lt;=5,"MEDIUM","HIGH"))</f>
        <v>LOW</v>
      </c>
      <c r="AC2418" t="str">
        <f>TEXT(ReconciliationData[[#This Row],[Order_Date]],"YYYY-MM")</f>
        <v>2023-04</v>
      </c>
    </row>
    <row r="2419" spans="1:29">
      <c r="A2419" t="s">
        <v>6027</v>
      </c>
      <c r="B2419" s="1">
        <v>45336</v>
      </c>
      <c r="C2419" t="s">
        <v>1825</v>
      </c>
      <c r="D2419" t="s">
        <v>461</v>
      </c>
      <c r="E2419">
        <v>99</v>
      </c>
      <c r="F2419" t="s">
        <v>6028</v>
      </c>
      <c r="G2419">
        <v>99</v>
      </c>
      <c r="H2419">
        <v>1114.2336</v>
      </c>
      <c r="N2419">
        <v>1114.2336</v>
      </c>
      <c r="O2419" s="1">
        <v>45141</v>
      </c>
      <c r="P2419">
        <f>IF(ISBLANK(ReconciliationData[[#This Row],[Invoice_ID]]),1,0)</f>
        <v>0</v>
      </c>
      <c r="Q2419">
        <f>IF(AND(NOT(ISBLANK(ReconciliationData[[#This Row],[Billed_Units]])),ReconciliationData[[#This Row],[ordered_units]]&lt;&gt;ReconciliationData[[#This Row],[Billed_Units]]),1,0)</f>
        <v>0</v>
      </c>
      <c r="R24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19">
        <f>IF(AND(NOT(ISBLANK(ReconciliationData[[#This Row],[Contract_Price]])),ReconciliationData[[#This Row],[Billed_Price]]&lt;&gt;ReconciliationData[[#This Row],[Contract_Price]]),1,0)</f>
        <v>0</v>
      </c>
      <c r="T2419">
        <f>IF(AND(NOT(ISBLANK(ReconciliationData[[#This Row],[End_Date]])),ReconciliationData[[#This Row],[Order_Date]]&gt;ReconciliationData[[#This Row],[End_Date]]),1,0)</f>
        <v>0</v>
      </c>
      <c r="U2419">
        <f>IF(AND(NOT(ISBLANK(ReconciliationData[[#This Row],[last_return_date]])),ReconciliationData[[#This Row],[last_return_date]]&gt;ReconciliationData[[#This Row],[Order_Date]]+60),1,0)</f>
        <v>0</v>
      </c>
      <c r="V2419">
        <f>IF(ReconciliationData[[#This Row],[total_returned_units]]&gt;ReconciliationData[[#This Row],[ordered_units]],1,0)</f>
        <v>0</v>
      </c>
      <c r="W24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19">
        <f>ReconciliationData[[#This Row],[Billed_Units]]*ReconciliationData[[#This Row],[Billed_Price]]</f>
        <v>110309.12640000001</v>
      </c>
      <c r="Y2419">
        <f>ReconciliationData[[#This Row],[ordered_units]]*ReconciliationData[[#This Row],[List_Price]]</f>
        <v>110309.12640000001</v>
      </c>
      <c r="Z2419">
        <f>ReconciliationData[[#This Row],[billed_revenue]]-ReconciliationData[[#This Row],[expected_revenue]]</f>
        <v>0</v>
      </c>
      <c r="AA24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19" t="str">
        <f>IF(ReconciliationData[[#This Row],[severity_score]]=0,"LOW",
 IF(ReconciliationData[[#This Row],[severity_score]]&lt;=5,"MEDIUM","HIGH"))</f>
        <v>LOW</v>
      </c>
      <c r="AC2419" t="str">
        <f>TEXT(ReconciliationData[[#This Row],[Order_Date]],"YYYY-MM")</f>
        <v>2024-02</v>
      </c>
    </row>
    <row r="2420" spans="1:29">
      <c r="A2420" t="s">
        <v>6029</v>
      </c>
      <c r="B2420" s="1">
        <v>45505</v>
      </c>
      <c r="C2420" t="s">
        <v>2288</v>
      </c>
      <c r="D2420" t="s">
        <v>2187</v>
      </c>
      <c r="E2420">
        <v>95</v>
      </c>
      <c r="F2420" t="s">
        <v>6030</v>
      </c>
      <c r="G2420">
        <v>95</v>
      </c>
      <c r="H2420">
        <v>223.6044</v>
      </c>
      <c r="N2420">
        <v>223.6044</v>
      </c>
      <c r="O2420" s="1">
        <v>45091</v>
      </c>
      <c r="P2420">
        <f>IF(ISBLANK(ReconciliationData[[#This Row],[Invoice_ID]]),1,0)</f>
        <v>0</v>
      </c>
      <c r="Q2420">
        <f>IF(AND(NOT(ISBLANK(ReconciliationData[[#This Row],[Billed_Units]])),ReconciliationData[[#This Row],[ordered_units]]&lt;&gt;ReconciliationData[[#This Row],[Billed_Units]]),1,0)</f>
        <v>0</v>
      </c>
      <c r="R24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0">
        <f>IF(AND(NOT(ISBLANK(ReconciliationData[[#This Row],[Contract_Price]])),ReconciliationData[[#This Row],[Billed_Price]]&lt;&gt;ReconciliationData[[#This Row],[Contract_Price]]),1,0)</f>
        <v>0</v>
      </c>
      <c r="T2420">
        <f>IF(AND(NOT(ISBLANK(ReconciliationData[[#This Row],[End_Date]])),ReconciliationData[[#This Row],[Order_Date]]&gt;ReconciliationData[[#This Row],[End_Date]]),1,0)</f>
        <v>0</v>
      </c>
      <c r="U2420">
        <f>IF(AND(NOT(ISBLANK(ReconciliationData[[#This Row],[last_return_date]])),ReconciliationData[[#This Row],[last_return_date]]&gt;ReconciliationData[[#This Row],[Order_Date]]+60),1,0)</f>
        <v>0</v>
      </c>
      <c r="V2420">
        <f>IF(ReconciliationData[[#This Row],[total_returned_units]]&gt;ReconciliationData[[#This Row],[ordered_units]],1,0)</f>
        <v>0</v>
      </c>
      <c r="W24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20">
        <f>ReconciliationData[[#This Row],[Billed_Units]]*ReconciliationData[[#This Row],[Billed_Price]]</f>
        <v>21242.418000000001</v>
      </c>
      <c r="Y2420">
        <f>ReconciliationData[[#This Row],[ordered_units]]*ReconciliationData[[#This Row],[List_Price]]</f>
        <v>21242.418000000001</v>
      </c>
      <c r="Z2420">
        <f>ReconciliationData[[#This Row],[billed_revenue]]-ReconciliationData[[#This Row],[expected_revenue]]</f>
        <v>0</v>
      </c>
      <c r="AA24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20" t="str">
        <f>IF(ReconciliationData[[#This Row],[severity_score]]=0,"LOW",
 IF(ReconciliationData[[#This Row],[severity_score]]&lt;=5,"MEDIUM","HIGH"))</f>
        <v>LOW</v>
      </c>
      <c r="AC2420" t="str">
        <f>TEXT(ReconciliationData[[#This Row],[Order_Date]],"YYYY-MM")</f>
        <v>2024-08</v>
      </c>
    </row>
    <row r="2421" spans="1:29">
      <c r="A2421" t="s">
        <v>6031</v>
      </c>
      <c r="B2421" s="1">
        <v>45015</v>
      </c>
      <c r="C2421" t="s">
        <v>3087</v>
      </c>
      <c r="D2421" t="s">
        <v>2568</v>
      </c>
      <c r="E2421">
        <v>34</v>
      </c>
      <c r="F2421" t="s">
        <v>6032</v>
      </c>
      <c r="G2421">
        <v>34</v>
      </c>
      <c r="H2421">
        <v>461.00940000000003</v>
      </c>
      <c r="N2421">
        <v>461.00940000000003</v>
      </c>
      <c r="O2421" s="1">
        <v>44955</v>
      </c>
      <c r="P2421">
        <f>IF(ISBLANK(ReconciliationData[[#This Row],[Invoice_ID]]),1,0)</f>
        <v>0</v>
      </c>
      <c r="Q2421">
        <f>IF(AND(NOT(ISBLANK(ReconciliationData[[#This Row],[Billed_Units]])),ReconciliationData[[#This Row],[ordered_units]]&lt;&gt;ReconciliationData[[#This Row],[Billed_Units]]),1,0)</f>
        <v>0</v>
      </c>
      <c r="R24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1">
        <f>IF(AND(NOT(ISBLANK(ReconciliationData[[#This Row],[Contract_Price]])),ReconciliationData[[#This Row],[Billed_Price]]&lt;&gt;ReconciliationData[[#This Row],[Contract_Price]]),1,0)</f>
        <v>0</v>
      </c>
      <c r="T2421">
        <f>IF(AND(NOT(ISBLANK(ReconciliationData[[#This Row],[End_Date]])),ReconciliationData[[#This Row],[Order_Date]]&gt;ReconciliationData[[#This Row],[End_Date]]),1,0)</f>
        <v>0</v>
      </c>
      <c r="U2421">
        <f>IF(AND(NOT(ISBLANK(ReconciliationData[[#This Row],[last_return_date]])),ReconciliationData[[#This Row],[last_return_date]]&gt;ReconciliationData[[#This Row],[Order_Date]]+60),1,0)</f>
        <v>0</v>
      </c>
      <c r="V2421">
        <f>IF(ReconciliationData[[#This Row],[total_returned_units]]&gt;ReconciliationData[[#This Row],[ordered_units]],1,0)</f>
        <v>0</v>
      </c>
      <c r="W24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21">
        <f>ReconciliationData[[#This Row],[Billed_Units]]*ReconciliationData[[#This Row],[Billed_Price]]</f>
        <v>15674.319600000001</v>
      </c>
      <c r="Y2421">
        <f>ReconciliationData[[#This Row],[ordered_units]]*ReconciliationData[[#This Row],[List_Price]]</f>
        <v>15674.319600000001</v>
      </c>
      <c r="Z2421">
        <f>ReconciliationData[[#This Row],[billed_revenue]]-ReconciliationData[[#This Row],[expected_revenue]]</f>
        <v>0</v>
      </c>
      <c r="AA24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21" t="str">
        <f>IF(ReconciliationData[[#This Row],[severity_score]]=0,"LOW",
 IF(ReconciliationData[[#This Row],[severity_score]]&lt;=5,"MEDIUM","HIGH"))</f>
        <v>LOW</v>
      </c>
      <c r="AC2421" t="str">
        <f>TEXT(ReconciliationData[[#This Row],[Order_Date]],"YYYY-MM")</f>
        <v>2023-03</v>
      </c>
    </row>
    <row r="2422" spans="1:29">
      <c r="A2422" t="s">
        <v>6033</v>
      </c>
      <c r="B2422" s="1">
        <v>45198</v>
      </c>
      <c r="C2422" t="s">
        <v>1132</v>
      </c>
      <c r="D2422" t="s">
        <v>684</v>
      </c>
      <c r="E2422">
        <v>190</v>
      </c>
      <c r="F2422" t="s">
        <v>6034</v>
      </c>
      <c r="G2422">
        <v>190</v>
      </c>
      <c r="H2422">
        <v>75.620999999999995</v>
      </c>
      <c r="N2422">
        <v>75.620999999999995</v>
      </c>
      <c r="O2422" s="1">
        <v>45108</v>
      </c>
      <c r="P2422">
        <f>IF(ISBLANK(ReconciliationData[[#This Row],[Invoice_ID]]),1,0)</f>
        <v>0</v>
      </c>
      <c r="Q2422">
        <f>IF(AND(NOT(ISBLANK(ReconciliationData[[#This Row],[Billed_Units]])),ReconciliationData[[#This Row],[ordered_units]]&lt;&gt;ReconciliationData[[#This Row],[Billed_Units]]),1,0)</f>
        <v>0</v>
      </c>
      <c r="R24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2">
        <f>IF(AND(NOT(ISBLANK(ReconciliationData[[#This Row],[Contract_Price]])),ReconciliationData[[#This Row],[Billed_Price]]&lt;&gt;ReconciliationData[[#This Row],[Contract_Price]]),1,0)</f>
        <v>0</v>
      </c>
      <c r="T2422">
        <f>IF(AND(NOT(ISBLANK(ReconciliationData[[#This Row],[End_Date]])),ReconciliationData[[#This Row],[Order_Date]]&gt;ReconciliationData[[#This Row],[End_Date]]),1,0)</f>
        <v>0</v>
      </c>
      <c r="U2422">
        <f>IF(AND(NOT(ISBLANK(ReconciliationData[[#This Row],[last_return_date]])),ReconciliationData[[#This Row],[last_return_date]]&gt;ReconciliationData[[#This Row],[Order_Date]]+60),1,0)</f>
        <v>0</v>
      </c>
      <c r="V2422">
        <f>IF(ReconciliationData[[#This Row],[total_returned_units]]&gt;ReconciliationData[[#This Row],[ordered_units]],1,0)</f>
        <v>0</v>
      </c>
      <c r="W24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22">
        <f>ReconciliationData[[#This Row],[Billed_Units]]*ReconciliationData[[#This Row],[Billed_Price]]</f>
        <v>14367.99</v>
      </c>
      <c r="Y2422">
        <f>ReconciliationData[[#This Row],[ordered_units]]*ReconciliationData[[#This Row],[List_Price]]</f>
        <v>14367.99</v>
      </c>
      <c r="Z2422">
        <f>ReconciliationData[[#This Row],[billed_revenue]]-ReconciliationData[[#This Row],[expected_revenue]]</f>
        <v>0</v>
      </c>
      <c r="AA24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22" t="str">
        <f>IF(ReconciliationData[[#This Row],[severity_score]]=0,"LOW",
 IF(ReconciliationData[[#This Row],[severity_score]]&lt;=5,"MEDIUM","HIGH"))</f>
        <v>LOW</v>
      </c>
      <c r="AC2422" t="str">
        <f>TEXT(ReconciliationData[[#This Row],[Order_Date]],"YYYY-MM")</f>
        <v>2023-09</v>
      </c>
    </row>
    <row r="2423" spans="1:29">
      <c r="A2423" t="s">
        <v>6035</v>
      </c>
      <c r="B2423" s="1">
        <v>45118</v>
      </c>
      <c r="C2423" t="s">
        <v>6036</v>
      </c>
      <c r="D2423" t="s">
        <v>596</v>
      </c>
      <c r="E2423">
        <v>33</v>
      </c>
      <c r="F2423" t="s">
        <v>6037</v>
      </c>
      <c r="G2423">
        <v>33</v>
      </c>
      <c r="H2423">
        <v>652.1472</v>
      </c>
      <c r="K2423">
        <v>557.04</v>
      </c>
      <c r="L2423" s="1">
        <v>44670</v>
      </c>
      <c r="M2423" s="1">
        <v>45042</v>
      </c>
      <c r="N2423">
        <v>652.1472</v>
      </c>
      <c r="O2423" s="1">
        <v>44959</v>
      </c>
      <c r="P2423">
        <f>IF(ISBLANK(ReconciliationData[[#This Row],[Invoice_ID]]),1,0)</f>
        <v>0</v>
      </c>
      <c r="Q2423">
        <f>IF(AND(NOT(ISBLANK(ReconciliationData[[#This Row],[Billed_Units]])),ReconciliationData[[#This Row],[ordered_units]]&lt;&gt;ReconciliationData[[#This Row],[Billed_Units]]),1,0)</f>
        <v>0</v>
      </c>
      <c r="R24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3">
        <f>IF(AND(NOT(ISBLANK(ReconciliationData[[#This Row],[Contract_Price]])),ReconciliationData[[#This Row],[Billed_Price]]&lt;&gt;ReconciliationData[[#This Row],[Contract_Price]]),1,0)</f>
        <v>1</v>
      </c>
      <c r="T2423">
        <f>IF(AND(NOT(ISBLANK(ReconciliationData[[#This Row],[End_Date]])),ReconciliationData[[#This Row],[Order_Date]]&gt;ReconciliationData[[#This Row],[End_Date]]),1,0)</f>
        <v>1</v>
      </c>
      <c r="U2423">
        <f>IF(AND(NOT(ISBLANK(ReconciliationData[[#This Row],[last_return_date]])),ReconciliationData[[#This Row],[last_return_date]]&gt;ReconciliationData[[#This Row],[Order_Date]]+60),1,0)</f>
        <v>0</v>
      </c>
      <c r="V2423">
        <f>IF(ReconciliationData[[#This Row],[total_returned_units]]&gt;ReconciliationData[[#This Row],[ordered_units]],1,0)</f>
        <v>0</v>
      </c>
      <c r="W24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423">
        <f>ReconciliationData[[#This Row],[Billed_Units]]*ReconciliationData[[#This Row],[Billed_Price]]</f>
        <v>21520.857599999999</v>
      </c>
      <c r="Y2423">
        <f>ReconciliationData[[#This Row],[ordered_units]]*ReconciliationData[[#This Row],[List_Price]]</f>
        <v>21520.857599999999</v>
      </c>
      <c r="Z2423">
        <f>ReconciliationData[[#This Row],[billed_revenue]]-ReconciliationData[[#This Row],[expected_revenue]]</f>
        <v>0</v>
      </c>
      <c r="AA24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423" t="str">
        <f>IF(ReconciliationData[[#This Row],[severity_score]]=0,"LOW",
 IF(ReconciliationData[[#This Row],[severity_score]]&lt;=5,"MEDIUM","HIGH"))</f>
        <v>HIGH</v>
      </c>
      <c r="AC2423" t="str">
        <f>TEXT(ReconciliationData[[#This Row],[Order_Date]],"YYYY-MM")</f>
        <v>2023-07</v>
      </c>
    </row>
    <row r="2424" spans="1:29">
      <c r="A2424" t="s">
        <v>6038</v>
      </c>
      <c r="B2424" s="1">
        <v>45188</v>
      </c>
      <c r="C2424" t="s">
        <v>1013</v>
      </c>
      <c r="D2424" t="s">
        <v>1735</v>
      </c>
      <c r="E2424">
        <v>155</v>
      </c>
      <c r="F2424" t="s">
        <v>6039</v>
      </c>
      <c r="G2424">
        <v>155</v>
      </c>
      <c r="H2424">
        <v>191.1936</v>
      </c>
      <c r="I2424">
        <v>8</v>
      </c>
      <c r="J2424" s="1">
        <v>45671</v>
      </c>
      <c r="N2424">
        <v>191.1936</v>
      </c>
      <c r="O2424" s="1">
        <v>45026</v>
      </c>
      <c r="P2424">
        <f>IF(ISBLANK(ReconciliationData[[#This Row],[Invoice_ID]]),1,0)</f>
        <v>0</v>
      </c>
      <c r="Q2424">
        <f>IF(AND(NOT(ISBLANK(ReconciliationData[[#This Row],[Billed_Units]])),ReconciliationData[[#This Row],[ordered_units]]&lt;&gt;ReconciliationData[[#This Row],[Billed_Units]]),1,0)</f>
        <v>0</v>
      </c>
      <c r="R24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4">
        <f>IF(AND(NOT(ISBLANK(ReconciliationData[[#This Row],[Contract_Price]])),ReconciliationData[[#This Row],[Billed_Price]]&lt;&gt;ReconciliationData[[#This Row],[Contract_Price]]),1,0)</f>
        <v>0</v>
      </c>
      <c r="T2424">
        <f>IF(AND(NOT(ISBLANK(ReconciliationData[[#This Row],[End_Date]])),ReconciliationData[[#This Row],[Order_Date]]&gt;ReconciliationData[[#This Row],[End_Date]]),1,0)</f>
        <v>0</v>
      </c>
      <c r="U2424">
        <f>IF(AND(NOT(ISBLANK(ReconciliationData[[#This Row],[last_return_date]])),ReconciliationData[[#This Row],[last_return_date]]&gt;ReconciliationData[[#This Row],[Order_Date]]+60),1,0)</f>
        <v>1</v>
      </c>
      <c r="V2424">
        <f>IF(ReconciliationData[[#This Row],[total_returned_units]]&gt;ReconciliationData[[#This Row],[ordered_units]],1,0)</f>
        <v>0</v>
      </c>
      <c r="W24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424">
        <f>ReconciliationData[[#This Row],[Billed_Units]]*ReconciliationData[[#This Row],[Billed_Price]]</f>
        <v>29635.008000000002</v>
      </c>
      <c r="Y2424">
        <f>ReconciliationData[[#This Row],[ordered_units]]*ReconciliationData[[#This Row],[List_Price]]</f>
        <v>29635.008000000002</v>
      </c>
      <c r="Z2424">
        <f>ReconciliationData[[#This Row],[billed_revenue]]-ReconciliationData[[#This Row],[expected_revenue]]</f>
        <v>0</v>
      </c>
      <c r="AA24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424" t="str">
        <f>IF(ReconciliationData[[#This Row],[severity_score]]=0,"LOW",
 IF(ReconciliationData[[#This Row],[severity_score]]&lt;=5,"MEDIUM","HIGH"))</f>
        <v>MEDIUM</v>
      </c>
      <c r="AC2424" t="str">
        <f>TEXT(ReconciliationData[[#This Row],[Order_Date]],"YYYY-MM")</f>
        <v>2023-09</v>
      </c>
    </row>
    <row r="2425" spans="1:29">
      <c r="A2425" t="s">
        <v>6040</v>
      </c>
      <c r="B2425" s="1">
        <v>45072</v>
      </c>
      <c r="C2425" t="s">
        <v>3196</v>
      </c>
      <c r="D2425" t="s">
        <v>711</v>
      </c>
      <c r="E2425">
        <v>71</v>
      </c>
      <c r="F2425" t="s">
        <v>6041</v>
      </c>
      <c r="G2425">
        <v>71</v>
      </c>
      <c r="H2425">
        <v>405.98</v>
      </c>
      <c r="N2425">
        <v>405.98</v>
      </c>
      <c r="O2425" s="1">
        <v>44970</v>
      </c>
      <c r="P2425">
        <f>IF(ISBLANK(ReconciliationData[[#This Row],[Invoice_ID]]),1,0)</f>
        <v>0</v>
      </c>
      <c r="Q2425">
        <f>IF(AND(NOT(ISBLANK(ReconciliationData[[#This Row],[Billed_Units]])),ReconciliationData[[#This Row],[ordered_units]]&lt;&gt;ReconciliationData[[#This Row],[Billed_Units]]),1,0)</f>
        <v>0</v>
      </c>
      <c r="R24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5">
        <f>IF(AND(NOT(ISBLANK(ReconciliationData[[#This Row],[Contract_Price]])),ReconciliationData[[#This Row],[Billed_Price]]&lt;&gt;ReconciliationData[[#This Row],[Contract_Price]]),1,0)</f>
        <v>0</v>
      </c>
      <c r="T2425">
        <f>IF(AND(NOT(ISBLANK(ReconciliationData[[#This Row],[End_Date]])),ReconciliationData[[#This Row],[Order_Date]]&gt;ReconciliationData[[#This Row],[End_Date]]),1,0)</f>
        <v>0</v>
      </c>
      <c r="U2425">
        <f>IF(AND(NOT(ISBLANK(ReconciliationData[[#This Row],[last_return_date]])),ReconciliationData[[#This Row],[last_return_date]]&gt;ReconciliationData[[#This Row],[Order_Date]]+60),1,0)</f>
        <v>0</v>
      </c>
      <c r="V2425">
        <f>IF(ReconciliationData[[#This Row],[total_returned_units]]&gt;ReconciliationData[[#This Row],[ordered_units]],1,0)</f>
        <v>0</v>
      </c>
      <c r="W24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25">
        <f>ReconciliationData[[#This Row],[Billed_Units]]*ReconciliationData[[#This Row],[Billed_Price]]</f>
        <v>28824.58</v>
      </c>
      <c r="Y2425">
        <f>ReconciliationData[[#This Row],[ordered_units]]*ReconciliationData[[#This Row],[List_Price]]</f>
        <v>28824.58</v>
      </c>
      <c r="Z2425">
        <f>ReconciliationData[[#This Row],[billed_revenue]]-ReconciliationData[[#This Row],[expected_revenue]]</f>
        <v>0</v>
      </c>
      <c r="AA24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25" t="str">
        <f>IF(ReconciliationData[[#This Row],[severity_score]]=0,"LOW",
 IF(ReconciliationData[[#This Row],[severity_score]]&lt;=5,"MEDIUM","HIGH"))</f>
        <v>LOW</v>
      </c>
      <c r="AC2425" t="str">
        <f>TEXT(ReconciliationData[[#This Row],[Order_Date]],"YYYY-MM")</f>
        <v>2023-05</v>
      </c>
    </row>
    <row r="2426" spans="1:29">
      <c r="A2426" t="s">
        <v>6042</v>
      </c>
      <c r="B2426" s="1">
        <v>45414</v>
      </c>
      <c r="C2426" t="s">
        <v>460</v>
      </c>
      <c r="D2426" t="s">
        <v>2489</v>
      </c>
      <c r="E2426">
        <v>21</v>
      </c>
      <c r="F2426" t="s">
        <v>6043</v>
      </c>
      <c r="G2426">
        <v>21</v>
      </c>
      <c r="H2426">
        <v>544.5</v>
      </c>
      <c r="N2426">
        <v>544.5</v>
      </c>
      <c r="O2426" s="1">
        <v>45159</v>
      </c>
      <c r="P2426">
        <f>IF(ISBLANK(ReconciliationData[[#This Row],[Invoice_ID]]),1,0)</f>
        <v>0</v>
      </c>
      <c r="Q2426">
        <f>IF(AND(NOT(ISBLANK(ReconciliationData[[#This Row],[Billed_Units]])),ReconciliationData[[#This Row],[ordered_units]]&lt;&gt;ReconciliationData[[#This Row],[Billed_Units]]),1,0)</f>
        <v>0</v>
      </c>
      <c r="R24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6">
        <f>IF(AND(NOT(ISBLANK(ReconciliationData[[#This Row],[Contract_Price]])),ReconciliationData[[#This Row],[Billed_Price]]&lt;&gt;ReconciliationData[[#This Row],[Contract_Price]]),1,0)</f>
        <v>0</v>
      </c>
      <c r="T2426">
        <f>IF(AND(NOT(ISBLANK(ReconciliationData[[#This Row],[End_Date]])),ReconciliationData[[#This Row],[Order_Date]]&gt;ReconciliationData[[#This Row],[End_Date]]),1,0)</f>
        <v>0</v>
      </c>
      <c r="U2426">
        <f>IF(AND(NOT(ISBLANK(ReconciliationData[[#This Row],[last_return_date]])),ReconciliationData[[#This Row],[last_return_date]]&gt;ReconciliationData[[#This Row],[Order_Date]]+60),1,0)</f>
        <v>0</v>
      </c>
      <c r="V2426">
        <f>IF(ReconciliationData[[#This Row],[total_returned_units]]&gt;ReconciliationData[[#This Row],[ordered_units]],1,0)</f>
        <v>0</v>
      </c>
      <c r="W24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26">
        <f>ReconciliationData[[#This Row],[Billed_Units]]*ReconciliationData[[#This Row],[Billed_Price]]</f>
        <v>11434.5</v>
      </c>
      <c r="Y2426">
        <f>ReconciliationData[[#This Row],[ordered_units]]*ReconciliationData[[#This Row],[List_Price]]</f>
        <v>11434.5</v>
      </c>
      <c r="Z2426">
        <f>ReconciliationData[[#This Row],[billed_revenue]]-ReconciliationData[[#This Row],[expected_revenue]]</f>
        <v>0</v>
      </c>
      <c r="AA24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26" t="str">
        <f>IF(ReconciliationData[[#This Row],[severity_score]]=0,"LOW",
 IF(ReconciliationData[[#This Row],[severity_score]]&lt;=5,"MEDIUM","HIGH"))</f>
        <v>LOW</v>
      </c>
      <c r="AC2426" t="str">
        <f>TEXT(ReconciliationData[[#This Row],[Order_Date]],"YYYY-MM")</f>
        <v>2024-05</v>
      </c>
    </row>
    <row r="2427" spans="1:29">
      <c r="A2427" t="s">
        <v>6044</v>
      </c>
      <c r="B2427" s="1">
        <v>45144</v>
      </c>
      <c r="C2427" t="s">
        <v>165</v>
      </c>
      <c r="D2427" t="s">
        <v>2563</v>
      </c>
      <c r="E2427">
        <v>170</v>
      </c>
      <c r="F2427" t="s">
        <v>6045</v>
      </c>
      <c r="G2427">
        <v>170</v>
      </c>
      <c r="H2427">
        <v>312.56310000000002</v>
      </c>
      <c r="N2427">
        <v>312.56310000000002</v>
      </c>
      <c r="O2427" s="1">
        <v>45028</v>
      </c>
      <c r="P2427">
        <f>IF(ISBLANK(ReconciliationData[[#This Row],[Invoice_ID]]),1,0)</f>
        <v>0</v>
      </c>
      <c r="Q2427">
        <f>IF(AND(NOT(ISBLANK(ReconciliationData[[#This Row],[Billed_Units]])),ReconciliationData[[#This Row],[ordered_units]]&lt;&gt;ReconciliationData[[#This Row],[Billed_Units]]),1,0)</f>
        <v>0</v>
      </c>
      <c r="R24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7">
        <f>IF(AND(NOT(ISBLANK(ReconciliationData[[#This Row],[Contract_Price]])),ReconciliationData[[#This Row],[Billed_Price]]&lt;&gt;ReconciliationData[[#This Row],[Contract_Price]]),1,0)</f>
        <v>0</v>
      </c>
      <c r="T2427">
        <f>IF(AND(NOT(ISBLANK(ReconciliationData[[#This Row],[End_Date]])),ReconciliationData[[#This Row],[Order_Date]]&gt;ReconciliationData[[#This Row],[End_Date]]),1,0)</f>
        <v>0</v>
      </c>
      <c r="U2427">
        <f>IF(AND(NOT(ISBLANK(ReconciliationData[[#This Row],[last_return_date]])),ReconciliationData[[#This Row],[last_return_date]]&gt;ReconciliationData[[#This Row],[Order_Date]]+60),1,0)</f>
        <v>0</v>
      </c>
      <c r="V2427">
        <f>IF(ReconciliationData[[#This Row],[total_returned_units]]&gt;ReconciliationData[[#This Row],[ordered_units]],1,0)</f>
        <v>0</v>
      </c>
      <c r="W24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27">
        <f>ReconciliationData[[#This Row],[Billed_Units]]*ReconciliationData[[#This Row],[Billed_Price]]</f>
        <v>53135.727000000006</v>
      </c>
      <c r="Y2427">
        <f>ReconciliationData[[#This Row],[ordered_units]]*ReconciliationData[[#This Row],[List_Price]]</f>
        <v>53135.727000000006</v>
      </c>
      <c r="Z2427">
        <f>ReconciliationData[[#This Row],[billed_revenue]]-ReconciliationData[[#This Row],[expected_revenue]]</f>
        <v>0</v>
      </c>
      <c r="AA24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27" t="str">
        <f>IF(ReconciliationData[[#This Row],[severity_score]]=0,"LOW",
 IF(ReconciliationData[[#This Row],[severity_score]]&lt;=5,"MEDIUM","HIGH"))</f>
        <v>LOW</v>
      </c>
      <c r="AC2427" t="str">
        <f>TEXT(ReconciliationData[[#This Row],[Order_Date]],"YYYY-MM")</f>
        <v>2023-08</v>
      </c>
    </row>
    <row r="2428" spans="1:29">
      <c r="A2428" t="s">
        <v>6046</v>
      </c>
      <c r="B2428" s="1">
        <v>45336</v>
      </c>
      <c r="C2428" t="s">
        <v>2415</v>
      </c>
      <c r="D2428" t="s">
        <v>2471</v>
      </c>
      <c r="E2428">
        <v>80</v>
      </c>
      <c r="F2428" t="s">
        <v>6047</v>
      </c>
      <c r="G2428">
        <v>80</v>
      </c>
      <c r="H2428">
        <v>1066.4874</v>
      </c>
      <c r="N2428">
        <v>1066.4874</v>
      </c>
      <c r="O2428" s="1">
        <v>45077</v>
      </c>
      <c r="P2428">
        <f>IF(ISBLANK(ReconciliationData[[#This Row],[Invoice_ID]]),1,0)</f>
        <v>0</v>
      </c>
      <c r="Q2428">
        <f>IF(AND(NOT(ISBLANK(ReconciliationData[[#This Row],[Billed_Units]])),ReconciliationData[[#This Row],[ordered_units]]&lt;&gt;ReconciliationData[[#This Row],[Billed_Units]]),1,0)</f>
        <v>0</v>
      </c>
      <c r="R24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8">
        <f>IF(AND(NOT(ISBLANK(ReconciliationData[[#This Row],[Contract_Price]])),ReconciliationData[[#This Row],[Billed_Price]]&lt;&gt;ReconciliationData[[#This Row],[Contract_Price]]),1,0)</f>
        <v>0</v>
      </c>
      <c r="T2428">
        <f>IF(AND(NOT(ISBLANK(ReconciliationData[[#This Row],[End_Date]])),ReconciliationData[[#This Row],[Order_Date]]&gt;ReconciliationData[[#This Row],[End_Date]]),1,0)</f>
        <v>0</v>
      </c>
      <c r="U2428">
        <f>IF(AND(NOT(ISBLANK(ReconciliationData[[#This Row],[last_return_date]])),ReconciliationData[[#This Row],[last_return_date]]&gt;ReconciliationData[[#This Row],[Order_Date]]+60),1,0)</f>
        <v>0</v>
      </c>
      <c r="V2428">
        <f>IF(ReconciliationData[[#This Row],[total_returned_units]]&gt;ReconciliationData[[#This Row],[ordered_units]],1,0)</f>
        <v>0</v>
      </c>
      <c r="W24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28">
        <f>ReconciliationData[[#This Row],[Billed_Units]]*ReconciliationData[[#This Row],[Billed_Price]]</f>
        <v>85318.991999999998</v>
      </c>
      <c r="Y2428">
        <f>ReconciliationData[[#This Row],[ordered_units]]*ReconciliationData[[#This Row],[List_Price]]</f>
        <v>85318.991999999998</v>
      </c>
      <c r="Z2428">
        <f>ReconciliationData[[#This Row],[billed_revenue]]-ReconciliationData[[#This Row],[expected_revenue]]</f>
        <v>0</v>
      </c>
      <c r="AA24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28" t="str">
        <f>IF(ReconciliationData[[#This Row],[severity_score]]=0,"LOW",
 IF(ReconciliationData[[#This Row],[severity_score]]&lt;=5,"MEDIUM","HIGH"))</f>
        <v>LOW</v>
      </c>
      <c r="AC2428" t="str">
        <f>TEXT(ReconciliationData[[#This Row],[Order_Date]],"YYYY-MM")</f>
        <v>2024-02</v>
      </c>
    </row>
    <row r="2429" spans="1:29">
      <c r="A2429" t="s">
        <v>6048</v>
      </c>
      <c r="B2429" s="1">
        <v>45166</v>
      </c>
      <c r="C2429" t="s">
        <v>1483</v>
      </c>
      <c r="D2429" t="s">
        <v>2045</v>
      </c>
      <c r="E2429">
        <v>200</v>
      </c>
      <c r="F2429" t="s">
        <v>6049</v>
      </c>
      <c r="G2429">
        <v>200</v>
      </c>
      <c r="H2429">
        <v>990.72749999999996</v>
      </c>
      <c r="N2429">
        <v>990.72749999999996</v>
      </c>
      <c r="O2429" s="1">
        <v>45068</v>
      </c>
      <c r="P2429">
        <f>IF(ISBLANK(ReconciliationData[[#This Row],[Invoice_ID]]),1,0)</f>
        <v>0</v>
      </c>
      <c r="Q2429">
        <f>IF(AND(NOT(ISBLANK(ReconciliationData[[#This Row],[Billed_Units]])),ReconciliationData[[#This Row],[ordered_units]]&lt;&gt;ReconciliationData[[#This Row],[Billed_Units]]),1,0)</f>
        <v>0</v>
      </c>
      <c r="R24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29">
        <f>IF(AND(NOT(ISBLANK(ReconciliationData[[#This Row],[Contract_Price]])),ReconciliationData[[#This Row],[Billed_Price]]&lt;&gt;ReconciliationData[[#This Row],[Contract_Price]]),1,0)</f>
        <v>0</v>
      </c>
      <c r="T2429">
        <f>IF(AND(NOT(ISBLANK(ReconciliationData[[#This Row],[End_Date]])),ReconciliationData[[#This Row],[Order_Date]]&gt;ReconciliationData[[#This Row],[End_Date]]),1,0)</f>
        <v>0</v>
      </c>
      <c r="U2429">
        <f>IF(AND(NOT(ISBLANK(ReconciliationData[[#This Row],[last_return_date]])),ReconciliationData[[#This Row],[last_return_date]]&gt;ReconciliationData[[#This Row],[Order_Date]]+60),1,0)</f>
        <v>0</v>
      </c>
      <c r="V2429">
        <f>IF(ReconciliationData[[#This Row],[total_returned_units]]&gt;ReconciliationData[[#This Row],[ordered_units]],1,0)</f>
        <v>0</v>
      </c>
      <c r="W24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29">
        <f>ReconciliationData[[#This Row],[Billed_Units]]*ReconciliationData[[#This Row],[Billed_Price]]</f>
        <v>198145.5</v>
      </c>
      <c r="Y2429">
        <f>ReconciliationData[[#This Row],[ordered_units]]*ReconciliationData[[#This Row],[List_Price]]</f>
        <v>198145.5</v>
      </c>
      <c r="Z2429">
        <f>ReconciliationData[[#This Row],[billed_revenue]]-ReconciliationData[[#This Row],[expected_revenue]]</f>
        <v>0</v>
      </c>
      <c r="AA24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29" t="str">
        <f>IF(ReconciliationData[[#This Row],[severity_score]]=0,"LOW",
 IF(ReconciliationData[[#This Row],[severity_score]]&lt;=5,"MEDIUM","HIGH"))</f>
        <v>LOW</v>
      </c>
      <c r="AC2429" t="str">
        <f>TEXT(ReconciliationData[[#This Row],[Order_Date]],"YYYY-MM")</f>
        <v>2023-08</v>
      </c>
    </row>
    <row r="2430" spans="1:29">
      <c r="A2430" t="s">
        <v>6050</v>
      </c>
      <c r="B2430" s="1">
        <v>45353</v>
      </c>
      <c r="C2430" t="s">
        <v>6051</v>
      </c>
      <c r="D2430" t="s">
        <v>1238</v>
      </c>
      <c r="E2430">
        <v>87</v>
      </c>
      <c r="F2430" t="s">
        <v>6052</v>
      </c>
      <c r="G2430">
        <v>87</v>
      </c>
      <c r="H2430">
        <v>355.32000000000005</v>
      </c>
      <c r="I2430">
        <v>2</v>
      </c>
      <c r="J2430" s="1">
        <v>45716</v>
      </c>
      <c r="N2430">
        <v>355.32000000000005</v>
      </c>
      <c r="O2430" s="1">
        <v>45058</v>
      </c>
      <c r="P2430">
        <f>IF(ISBLANK(ReconciliationData[[#This Row],[Invoice_ID]]),1,0)</f>
        <v>0</v>
      </c>
      <c r="Q2430">
        <f>IF(AND(NOT(ISBLANK(ReconciliationData[[#This Row],[Billed_Units]])),ReconciliationData[[#This Row],[ordered_units]]&lt;&gt;ReconciliationData[[#This Row],[Billed_Units]]),1,0)</f>
        <v>0</v>
      </c>
      <c r="R24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0">
        <f>IF(AND(NOT(ISBLANK(ReconciliationData[[#This Row],[Contract_Price]])),ReconciliationData[[#This Row],[Billed_Price]]&lt;&gt;ReconciliationData[[#This Row],[Contract_Price]]),1,0)</f>
        <v>0</v>
      </c>
      <c r="T2430">
        <f>IF(AND(NOT(ISBLANK(ReconciliationData[[#This Row],[End_Date]])),ReconciliationData[[#This Row],[Order_Date]]&gt;ReconciliationData[[#This Row],[End_Date]]),1,0)</f>
        <v>0</v>
      </c>
      <c r="U2430">
        <f>IF(AND(NOT(ISBLANK(ReconciliationData[[#This Row],[last_return_date]])),ReconciliationData[[#This Row],[last_return_date]]&gt;ReconciliationData[[#This Row],[Order_Date]]+60),1,0)</f>
        <v>1</v>
      </c>
      <c r="V2430">
        <f>IF(ReconciliationData[[#This Row],[total_returned_units]]&gt;ReconciliationData[[#This Row],[ordered_units]],1,0)</f>
        <v>0</v>
      </c>
      <c r="W24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430">
        <f>ReconciliationData[[#This Row],[Billed_Units]]*ReconciliationData[[#This Row],[Billed_Price]]</f>
        <v>30912.840000000004</v>
      </c>
      <c r="Y2430">
        <f>ReconciliationData[[#This Row],[ordered_units]]*ReconciliationData[[#This Row],[List_Price]]</f>
        <v>30912.840000000004</v>
      </c>
      <c r="Z2430">
        <f>ReconciliationData[[#This Row],[billed_revenue]]-ReconciliationData[[#This Row],[expected_revenue]]</f>
        <v>0</v>
      </c>
      <c r="AA24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430" t="str">
        <f>IF(ReconciliationData[[#This Row],[severity_score]]=0,"LOW",
 IF(ReconciliationData[[#This Row],[severity_score]]&lt;=5,"MEDIUM","HIGH"))</f>
        <v>MEDIUM</v>
      </c>
      <c r="AC2430" t="str">
        <f>TEXT(ReconciliationData[[#This Row],[Order_Date]],"YYYY-MM")</f>
        <v>2024-03</v>
      </c>
    </row>
    <row r="2431" spans="1:29">
      <c r="A2431" t="s">
        <v>6053</v>
      </c>
      <c r="B2431" s="1">
        <v>45532</v>
      </c>
      <c r="C2431" t="s">
        <v>6054</v>
      </c>
      <c r="D2431" t="s">
        <v>1238</v>
      </c>
      <c r="E2431">
        <v>137</v>
      </c>
      <c r="F2431" t="s">
        <v>6055</v>
      </c>
      <c r="G2431">
        <v>137</v>
      </c>
      <c r="H2431">
        <v>355.32000000000005</v>
      </c>
      <c r="N2431">
        <v>355.32000000000005</v>
      </c>
      <c r="O2431" s="1">
        <v>45058</v>
      </c>
      <c r="P2431">
        <f>IF(ISBLANK(ReconciliationData[[#This Row],[Invoice_ID]]),1,0)</f>
        <v>0</v>
      </c>
      <c r="Q2431">
        <f>IF(AND(NOT(ISBLANK(ReconciliationData[[#This Row],[Billed_Units]])),ReconciliationData[[#This Row],[ordered_units]]&lt;&gt;ReconciliationData[[#This Row],[Billed_Units]]),1,0)</f>
        <v>0</v>
      </c>
      <c r="R24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1">
        <f>IF(AND(NOT(ISBLANK(ReconciliationData[[#This Row],[Contract_Price]])),ReconciliationData[[#This Row],[Billed_Price]]&lt;&gt;ReconciliationData[[#This Row],[Contract_Price]]),1,0)</f>
        <v>0</v>
      </c>
      <c r="T2431">
        <f>IF(AND(NOT(ISBLANK(ReconciliationData[[#This Row],[End_Date]])),ReconciliationData[[#This Row],[Order_Date]]&gt;ReconciliationData[[#This Row],[End_Date]]),1,0)</f>
        <v>0</v>
      </c>
      <c r="U2431">
        <f>IF(AND(NOT(ISBLANK(ReconciliationData[[#This Row],[last_return_date]])),ReconciliationData[[#This Row],[last_return_date]]&gt;ReconciliationData[[#This Row],[Order_Date]]+60),1,0)</f>
        <v>0</v>
      </c>
      <c r="V2431">
        <f>IF(ReconciliationData[[#This Row],[total_returned_units]]&gt;ReconciliationData[[#This Row],[ordered_units]],1,0)</f>
        <v>0</v>
      </c>
      <c r="W24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31">
        <f>ReconciliationData[[#This Row],[Billed_Units]]*ReconciliationData[[#This Row],[Billed_Price]]</f>
        <v>48678.840000000004</v>
      </c>
      <c r="Y2431">
        <f>ReconciliationData[[#This Row],[ordered_units]]*ReconciliationData[[#This Row],[List_Price]]</f>
        <v>48678.840000000004</v>
      </c>
      <c r="Z2431">
        <f>ReconciliationData[[#This Row],[billed_revenue]]-ReconciliationData[[#This Row],[expected_revenue]]</f>
        <v>0</v>
      </c>
      <c r="AA24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31" t="str">
        <f>IF(ReconciliationData[[#This Row],[severity_score]]=0,"LOW",
 IF(ReconciliationData[[#This Row],[severity_score]]&lt;=5,"MEDIUM","HIGH"))</f>
        <v>LOW</v>
      </c>
      <c r="AC2431" t="str">
        <f>TEXT(ReconciliationData[[#This Row],[Order_Date]],"YYYY-MM")</f>
        <v>2024-08</v>
      </c>
    </row>
    <row r="2432" spans="1:29">
      <c r="A2432" t="s">
        <v>6056</v>
      </c>
      <c r="B2432" s="1">
        <v>45215</v>
      </c>
      <c r="C2432" t="s">
        <v>642</v>
      </c>
      <c r="D2432" t="s">
        <v>182</v>
      </c>
      <c r="E2432">
        <v>86</v>
      </c>
      <c r="F2432" t="s">
        <v>6057</v>
      </c>
      <c r="G2432">
        <v>86</v>
      </c>
      <c r="H2432">
        <v>725.50320000000011</v>
      </c>
      <c r="N2432">
        <v>725.50320000000011</v>
      </c>
      <c r="O2432" s="1">
        <v>44858</v>
      </c>
      <c r="P2432">
        <f>IF(ISBLANK(ReconciliationData[[#This Row],[Invoice_ID]]),1,0)</f>
        <v>0</v>
      </c>
      <c r="Q2432">
        <f>IF(AND(NOT(ISBLANK(ReconciliationData[[#This Row],[Billed_Units]])),ReconciliationData[[#This Row],[ordered_units]]&lt;&gt;ReconciliationData[[#This Row],[Billed_Units]]),1,0)</f>
        <v>0</v>
      </c>
      <c r="R24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2">
        <f>IF(AND(NOT(ISBLANK(ReconciliationData[[#This Row],[Contract_Price]])),ReconciliationData[[#This Row],[Billed_Price]]&lt;&gt;ReconciliationData[[#This Row],[Contract_Price]]),1,0)</f>
        <v>0</v>
      </c>
      <c r="T2432">
        <f>IF(AND(NOT(ISBLANK(ReconciliationData[[#This Row],[End_Date]])),ReconciliationData[[#This Row],[Order_Date]]&gt;ReconciliationData[[#This Row],[End_Date]]),1,0)</f>
        <v>0</v>
      </c>
      <c r="U2432">
        <f>IF(AND(NOT(ISBLANK(ReconciliationData[[#This Row],[last_return_date]])),ReconciliationData[[#This Row],[last_return_date]]&gt;ReconciliationData[[#This Row],[Order_Date]]+60),1,0)</f>
        <v>0</v>
      </c>
      <c r="V2432">
        <f>IF(ReconciliationData[[#This Row],[total_returned_units]]&gt;ReconciliationData[[#This Row],[ordered_units]],1,0)</f>
        <v>0</v>
      </c>
      <c r="W24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32">
        <f>ReconciliationData[[#This Row],[Billed_Units]]*ReconciliationData[[#This Row],[Billed_Price]]</f>
        <v>62393.275200000011</v>
      </c>
      <c r="Y2432">
        <f>ReconciliationData[[#This Row],[ordered_units]]*ReconciliationData[[#This Row],[List_Price]]</f>
        <v>62393.275200000011</v>
      </c>
      <c r="Z2432">
        <f>ReconciliationData[[#This Row],[billed_revenue]]-ReconciliationData[[#This Row],[expected_revenue]]</f>
        <v>0</v>
      </c>
      <c r="AA24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32" t="str">
        <f>IF(ReconciliationData[[#This Row],[severity_score]]=0,"LOW",
 IF(ReconciliationData[[#This Row],[severity_score]]&lt;=5,"MEDIUM","HIGH"))</f>
        <v>LOW</v>
      </c>
      <c r="AC2432" t="str">
        <f>TEXT(ReconciliationData[[#This Row],[Order_Date]],"YYYY-MM")</f>
        <v>2023-10</v>
      </c>
    </row>
    <row r="2433" spans="1:29">
      <c r="A2433" t="s">
        <v>6058</v>
      </c>
      <c r="B2433" s="1">
        <v>45541</v>
      </c>
      <c r="C2433" t="s">
        <v>153</v>
      </c>
      <c r="D2433" t="s">
        <v>1495</v>
      </c>
      <c r="E2433">
        <v>68</v>
      </c>
      <c r="F2433" t="s">
        <v>6059</v>
      </c>
      <c r="G2433">
        <v>68</v>
      </c>
      <c r="H2433">
        <v>377.08350000000002</v>
      </c>
      <c r="N2433">
        <v>377.08350000000002</v>
      </c>
      <c r="O2433" s="1">
        <v>45064</v>
      </c>
      <c r="P2433">
        <f>IF(ISBLANK(ReconciliationData[[#This Row],[Invoice_ID]]),1,0)</f>
        <v>0</v>
      </c>
      <c r="Q2433">
        <f>IF(AND(NOT(ISBLANK(ReconciliationData[[#This Row],[Billed_Units]])),ReconciliationData[[#This Row],[ordered_units]]&lt;&gt;ReconciliationData[[#This Row],[Billed_Units]]),1,0)</f>
        <v>0</v>
      </c>
      <c r="R24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3">
        <f>IF(AND(NOT(ISBLANK(ReconciliationData[[#This Row],[Contract_Price]])),ReconciliationData[[#This Row],[Billed_Price]]&lt;&gt;ReconciliationData[[#This Row],[Contract_Price]]),1,0)</f>
        <v>0</v>
      </c>
      <c r="T2433">
        <f>IF(AND(NOT(ISBLANK(ReconciliationData[[#This Row],[End_Date]])),ReconciliationData[[#This Row],[Order_Date]]&gt;ReconciliationData[[#This Row],[End_Date]]),1,0)</f>
        <v>0</v>
      </c>
      <c r="U2433">
        <f>IF(AND(NOT(ISBLANK(ReconciliationData[[#This Row],[last_return_date]])),ReconciliationData[[#This Row],[last_return_date]]&gt;ReconciliationData[[#This Row],[Order_Date]]+60),1,0)</f>
        <v>0</v>
      </c>
      <c r="V2433">
        <f>IF(ReconciliationData[[#This Row],[total_returned_units]]&gt;ReconciliationData[[#This Row],[ordered_units]],1,0)</f>
        <v>0</v>
      </c>
      <c r="W24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33">
        <f>ReconciliationData[[#This Row],[Billed_Units]]*ReconciliationData[[#This Row],[Billed_Price]]</f>
        <v>25641.678</v>
      </c>
      <c r="Y2433">
        <f>ReconciliationData[[#This Row],[ordered_units]]*ReconciliationData[[#This Row],[List_Price]]</f>
        <v>25641.678</v>
      </c>
      <c r="Z2433">
        <f>ReconciliationData[[#This Row],[billed_revenue]]-ReconciliationData[[#This Row],[expected_revenue]]</f>
        <v>0</v>
      </c>
      <c r="AA24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33" t="str">
        <f>IF(ReconciliationData[[#This Row],[severity_score]]=0,"LOW",
 IF(ReconciliationData[[#This Row],[severity_score]]&lt;=5,"MEDIUM","HIGH"))</f>
        <v>LOW</v>
      </c>
      <c r="AC2433" t="str">
        <f>TEXT(ReconciliationData[[#This Row],[Order_Date]],"YYYY-MM")</f>
        <v>2024-09</v>
      </c>
    </row>
    <row r="2434" spans="1:29">
      <c r="A2434" t="s">
        <v>6060</v>
      </c>
      <c r="B2434" s="1">
        <v>45587</v>
      </c>
      <c r="C2434" t="s">
        <v>1232</v>
      </c>
      <c r="D2434" t="s">
        <v>522</v>
      </c>
      <c r="E2434">
        <v>174</v>
      </c>
      <c r="F2434" t="s">
        <v>6061</v>
      </c>
      <c r="G2434">
        <v>174</v>
      </c>
      <c r="H2434">
        <v>826.46400000000006</v>
      </c>
      <c r="N2434">
        <v>826.46400000000006</v>
      </c>
      <c r="O2434" s="1">
        <v>45128</v>
      </c>
      <c r="P2434">
        <f>IF(ISBLANK(ReconciliationData[[#This Row],[Invoice_ID]]),1,0)</f>
        <v>0</v>
      </c>
      <c r="Q2434">
        <f>IF(AND(NOT(ISBLANK(ReconciliationData[[#This Row],[Billed_Units]])),ReconciliationData[[#This Row],[ordered_units]]&lt;&gt;ReconciliationData[[#This Row],[Billed_Units]]),1,0)</f>
        <v>0</v>
      </c>
      <c r="R24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4">
        <f>IF(AND(NOT(ISBLANK(ReconciliationData[[#This Row],[Contract_Price]])),ReconciliationData[[#This Row],[Billed_Price]]&lt;&gt;ReconciliationData[[#This Row],[Contract_Price]]),1,0)</f>
        <v>0</v>
      </c>
      <c r="T2434">
        <f>IF(AND(NOT(ISBLANK(ReconciliationData[[#This Row],[End_Date]])),ReconciliationData[[#This Row],[Order_Date]]&gt;ReconciliationData[[#This Row],[End_Date]]),1,0)</f>
        <v>0</v>
      </c>
      <c r="U2434">
        <f>IF(AND(NOT(ISBLANK(ReconciliationData[[#This Row],[last_return_date]])),ReconciliationData[[#This Row],[last_return_date]]&gt;ReconciliationData[[#This Row],[Order_Date]]+60),1,0)</f>
        <v>0</v>
      </c>
      <c r="V2434">
        <f>IF(ReconciliationData[[#This Row],[total_returned_units]]&gt;ReconciliationData[[#This Row],[ordered_units]],1,0)</f>
        <v>0</v>
      </c>
      <c r="W24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34">
        <f>ReconciliationData[[#This Row],[Billed_Units]]*ReconciliationData[[#This Row],[Billed_Price]]</f>
        <v>143804.736</v>
      </c>
      <c r="Y2434">
        <f>ReconciliationData[[#This Row],[ordered_units]]*ReconciliationData[[#This Row],[List_Price]]</f>
        <v>143804.736</v>
      </c>
      <c r="Z2434">
        <f>ReconciliationData[[#This Row],[billed_revenue]]-ReconciliationData[[#This Row],[expected_revenue]]</f>
        <v>0</v>
      </c>
      <c r="AA24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34" t="str">
        <f>IF(ReconciliationData[[#This Row],[severity_score]]=0,"LOW",
 IF(ReconciliationData[[#This Row],[severity_score]]&lt;=5,"MEDIUM","HIGH"))</f>
        <v>LOW</v>
      </c>
      <c r="AC2434" t="str">
        <f>TEXT(ReconciliationData[[#This Row],[Order_Date]],"YYYY-MM")</f>
        <v>2024-10</v>
      </c>
    </row>
    <row r="2435" spans="1:29">
      <c r="A2435" t="s">
        <v>6062</v>
      </c>
      <c r="B2435" s="1">
        <v>45193</v>
      </c>
      <c r="C2435" t="s">
        <v>642</v>
      </c>
      <c r="D2435" t="s">
        <v>479</v>
      </c>
      <c r="E2435">
        <v>89</v>
      </c>
      <c r="F2435" t="s">
        <v>6063</v>
      </c>
      <c r="G2435">
        <v>89</v>
      </c>
      <c r="H2435">
        <v>1014.5718000000001</v>
      </c>
      <c r="N2435">
        <v>1014.5718000000001</v>
      </c>
      <c r="O2435" s="1">
        <v>45035</v>
      </c>
      <c r="P2435">
        <f>IF(ISBLANK(ReconciliationData[[#This Row],[Invoice_ID]]),1,0)</f>
        <v>0</v>
      </c>
      <c r="Q2435">
        <f>IF(AND(NOT(ISBLANK(ReconciliationData[[#This Row],[Billed_Units]])),ReconciliationData[[#This Row],[ordered_units]]&lt;&gt;ReconciliationData[[#This Row],[Billed_Units]]),1,0)</f>
        <v>0</v>
      </c>
      <c r="R24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5">
        <f>IF(AND(NOT(ISBLANK(ReconciliationData[[#This Row],[Contract_Price]])),ReconciliationData[[#This Row],[Billed_Price]]&lt;&gt;ReconciliationData[[#This Row],[Contract_Price]]),1,0)</f>
        <v>0</v>
      </c>
      <c r="T2435">
        <f>IF(AND(NOT(ISBLANK(ReconciliationData[[#This Row],[End_Date]])),ReconciliationData[[#This Row],[Order_Date]]&gt;ReconciliationData[[#This Row],[End_Date]]),1,0)</f>
        <v>0</v>
      </c>
      <c r="U2435">
        <f>IF(AND(NOT(ISBLANK(ReconciliationData[[#This Row],[last_return_date]])),ReconciliationData[[#This Row],[last_return_date]]&gt;ReconciliationData[[#This Row],[Order_Date]]+60),1,0)</f>
        <v>0</v>
      </c>
      <c r="V2435">
        <f>IF(ReconciliationData[[#This Row],[total_returned_units]]&gt;ReconciliationData[[#This Row],[ordered_units]],1,0)</f>
        <v>0</v>
      </c>
      <c r="W24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35">
        <f>ReconciliationData[[#This Row],[Billed_Units]]*ReconciliationData[[#This Row],[Billed_Price]]</f>
        <v>90296.890200000009</v>
      </c>
      <c r="Y2435">
        <f>ReconciliationData[[#This Row],[ordered_units]]*ReconciliationData[[#This Row],[List_Price]]</f>
        <v>90296.890200000009</v>
      </c>
      <c r="Z2435">
        <f>ReconciliationData[[#This Row],[billed_revenue]]-ReconciliationData[[#This Row],[expected_revenue]]</f>
        <v>0</v>
      </c>
      <c r="AA24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35" t="str">
        <f>IF(ReconciliationData[[#This Row],[severity_score]]=0,"LOW",
 IF(ReconciliationData[[#This Row],[severity_score]]&lt;=5,"MEDIUM","HIGH"))</f>
        <v>LOW</v>
      </c>
      <c r="AC2435" t="str">
        <f>TEXT(ReconciliationData[[#This Row],[Order_Date]],"YYYY-MM")</f>
        <v>2023-09</v>
      </c>
    </row>
    <row r="2436" spans="1:29">
      <c r="A2436" t="s">
        <v>6064</v>
      </c>
      <c r="B2436" s="1">
        <v>45243</v>
      </c>
      <c r="C2436" t="s">
        <v>2197</v>
      </c>
      <c r="D2436" t="s">
        <v>2097</v>
      </c>
      <c r="E2436">
        <v>169</v>
      </c>
      <c r="F2436" t="s">
        <v>6065</v>
      </c>
      <c r="G2436">
        <v>169</v>
      </c>
      <c r="H2436">
        <v>599.90620000000001</v>
      </c>
      <c r="N2436">
        <v>599.90620000000001</v>
      </c>
      <c r="O2436" s="1">
        <v>45060</v>
      </c>
      <c r="P2436">
        <f>IF(ISBLANK(ReconciliationData[[#This Row],[Invoice_ID]]),1,0)</f>
        <v>0</v>
      </c>
      <c r="Q2436">
        <f>IF(AND(NOT(ISBLANK(ReconciliationData[[#This Row],[Billed_Units]])),ReconciliationData[[#This Row],[ordered_units]]&lt;&gt;ReconciliationData[[#This Row],[Billed_Units]]),1,0)</f>
        <v>0</v>
      </c>
      <c r="R24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6">
        <f>IF(AND(NOT(ISBLANK(ReconciliationData[[#This Row],[Contract_Price]])),ReconciliationData[[#This Row],[Billed_Price]]&lt;&gt;ReconciliationData[[#This Row],[Contract_Price]]),1,0)</f>
        <v>0</v>
      </c>
      <c r="T2436">
        <f>IF(AND(NOT(ISBLANK(ReconciliationData[[#This Row],[End_Date]])),ReconciliationData[[#This Row],[Order_Date]]&gt;ReconciliationData[[#This Row],[End_Date]]),1,0)</f>
        <v>0</v>
      </c>
      <c r="U2436">
        <f>IF(AND(NOT(ISBLANK(ReconciliationData[[#This Row],[last_return_date]])),ReconciliationData[[#This Row],[last_return_date]]&gt;ReconciliationData[[#This Row],[Order_Date]]+60),1,0)</f>
        <v>0</v>
      </c>
      <c r="V2436">
        <f>IF(ReconciliationData[[#This Row],[total_returned_units]]&gt;ReconciliationData[[#This Row],[ordered_units]],1,0)</f>
        <v>0</v>
      </c>
      <c r="W24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36">
        <f>ReconciliationData[[#This Row],[Billed_Units]]*ReconciliationData[[#This Row],[Billed_Price]]</f>
        <v>101384.14780000001</v>
      </c>
      <c r="Y2436">
        <f>ReconciliationData[[#This Row],[ordered_units]]*ReconciliationData[[#This Row],[List_Price]]</f>
        <v>101384.14780000001</v>
      </c>
      <c r="Z2436">
        <f>ReconciliationData[[#This Row],[billed_revenue]]-ReconciliationData[[#This Row],[expected_revenue]]</f>
        <v>0</v>
      </c>
      <c r="AA24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36" t="str">
        <f>IF(ReconciliationData[[#This Row],[severity_score]]=0,"LOW",
 IF(ReconciliationData[[#This Row],[severity_score]]&lt;=5,"MEDIUM","HIGH"))</f>
        <v>LOW</v>
      </c>
      <c r="AC2436" t="str">
        <f>TEXT(ReconciliationData[[#This Row],[Order_Date]],"YYYY-MM")</f>
        <v>2023-11</v>
      </c>
    </row>
    <row r="2437" spans="1:29">
      <c r="A2437" t="s">
        <v>6066</v>
      </c>
      <c r="B2437" s="1">
        <v>45494</v>
      </c>
      <c r="C2437" t="s">
        <v>4015</v>
      </c>
      <c r="D2437" t="s">
        <v>2187</v>
      </c>
      <c r="E2437">
        <v>46</v>
      </c>
      <c r="F2437" t="s">
        <v>6067</v>
      </c>
      <c r="G2437">
        <v>46</v>
      </c>
      <c r="H2437">
        <v>223.6044</v>
      </c>
      <c r="N2437">
        <v>223.6044</v>
      </c>
      <c r="O2437" s="1">
        <v>45091</v>
      </c>
      <c r="P2437">
        <f>IF(ISBLANK(ReconciliationData[[#This Row],[Invoice_ID]]),1,0)</f>
        <v>0</v>
      </c>
      <c r="Q2437">
        <f>IF(AND(NOT(ISBLANK(ReconciliationData[[#This Row],[Billed_Units]])),ReconciliationData[[#This Row],[ordered_units]]&lt;&gt;ReconciliationData[[#This Row],[Billed_Units]]),1,0)</f>
        <v>0</v>
      </c>
      <c r="R24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7">
        <f>IF(AND(NOT(ISBLANK(ReconciliationData[[#This Row],[Contract_Price]])),ReconciliationData[[#This Row],[Billed_Price]]&lt;&gt;ReconciliationData[[#This Row],[Contract_Price]]),1,0)</f>
        <v>0</v>
      </c>
      <c r="T2437">
        <f>IF(AND(NOT(ISBLANK(ReconciliationData[[#This Row],[End_Date]])),ReconciliationData[[#This Row],[Order_Date]]&gt;ReconciliationData[[#This Row],[End_Date]]),1,0)</f>
        <v>0</v>
      </c>
      <c r="U2437">
        <f>IF(AND(NOT(ISBLANK(ReconciliationData[[#This Row],[last_return_date]])),ReconciliationData[[#This Row],[last_return_date]]&gt;ReconciliationData[[#This Row],[Order_Date]]+60),1,0)</f>
        <v>0</v>
      </c>
      <c r="V2437">
        <f>IF(ReconciliationData[[#This Row],[total_returned_units]]&gt;ReconciliationData[[#This Row],[ordered_units]],1,0)</f>
        <v>0</v>
      </c>
      <c r="W24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37">
        <f>ReconciliationData[[#This Row],[Billed_Units]]*ReconciliationData[[#This Row],[Billed_Price]]</f>
        <v>10285.8024</v>
      </c>
      <c r="Y2437">
        <f>ReconciliationData[[#This Row],[ordered_units]]*ReconciliationData[[#This Row],[List_Price]]</f>
        <v>10285.8024</v>
      </c>
      <c r="Z2437">
        <f>ReconciliationData[[#This Row],[billed_revenue]]-ReconciliationData[[#This Row],[expected_revenue]]</f>
        <v>0</v>
      </c>
      <c r="AA24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37" t="str">
        <f>IF(ReconciliationData[[#This Row],[severity_score]]=0,"LOW",
 IF(ReconciliationData[[#This Row],[severity_score]]&lt;=5,"MEDIUM","HIGH"))</f>
        <v>LOW</v>
      </c>
      <c r="AC2437" t="str">
        <f>TEXT(ReconciliationData[[#This Row],[Order_Date]],"YYYY-MM")</f>
        <v>2024-07</v>
      </c>
    </row>
    <row r="2438" spans="1:29">
      <c r="A2438" t="s">
        <v>6068</v>
      </c>
      <c r="B2438" s="1">
        <v>45591</v>
      </c>
      <c r="C2438" t="s">
        <v>3687</v>
      </c>
      <c r="D2438" t="s">
        <v>1315</v>
      </c>
      <c r="E2438">
        <v>117</v>
      </c>
      <c r="F2438" t="s">
        <v>6069</v>
      </c>
      <c r="G2438">
        <v>117</v>
      </c>
      <c r="H2438">
        <v>334.24649999999997</v>
      </c>
      <c r="N2438">
        <v>334.24649999999997</v>
      </c>
      <c r="O2438" s="1">
        <v>45125</v>
      </c>
      <c r="P2438">
        <f>IF(ISBLANK(ReconciliationData[[#This Row],[Invoice_ID]]),1,0)</f>
        <v>0</v>
      </c>
      <c r="Q2438">
        <f>IF(AND(NOT(ISBLANK(ReconciliationData[[#This Row],[Billed_Units]])),ReconciliationData[[#This Row],[ordered_units]]&lt;&gt;ReconciliationData[[#This Row],[Billed_Units]]),1,0)</f>
        <v>0</v>
      </c>
      <c r="R24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8">
        <f>IF(AND(NOT(ISBLANK(ReconciliationData[[#This Row],[Contract_Price]])),ReconciliationData[[#This Row],[Billed_Price]]&lt;&gt;ReconciliationData[[#This Row],[Contract_Price]]),1,0)</f>
        <v>0</v>
      </c>
      <c r="T2438">
        <f>IF(AND(NOT(ISBLANK(ReconciliationData[[#This Row],[End_Date]])),ReconciliationData[[#This Row],[Order_Date]]&gt;ReconciliationData[[#This Row],[End_Date]]),1,0)</f>
        <v>0</v>
      </c>
      <c r="U2438">
        <f>IF(AND(NOT(ISBLANK(ReconciliationData[[#This Row],[last_return_date]])),ReconciliationData[[#This Row],[last_return_date]]&gt;ReconciliationData[[#This Row],[Order_Date]]+60),1,0)</f>
        <v>0</v>
      </c>
      <c r="V2438">
        <f>IF(ReconciliationData[[#This Row],[total_returned_units]]&gt;ReconciliationData[[#This Row],[ordered_units]],1,0)</f>
        <v>0</v>
      </c>
      <c r="W24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38">
        <f>ReconciliationData[[#This Row],[Billed_Units]]*ReconciliationData[[#This Row],[Billed_Price]]</f>
        <v>39106.840499999998</v>
      </c>
      <c r="Y2438">
        <f>ReconciliationData[[#This Row],[ordered_units]]*ReconciliationData[[#This Row],[List_Price]]</f>
        <v>39106.840499999998</v>
      </c>
      <c r="Z2438">
        <f>ReconciliationData[[#This Row],[billed_revenue]]-ReconciliationData[[#This Row],[expected_revenue]]</f>
        <v>0</v>
      </c>
      <c r="AA24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38" t="str">
        <f>IF(ReconciliationData[[#This Row],[severity_score]]=0,"LOW",
 IF(ReconciliationData[[#This Row],[severity_score]]&lt;=5,"MEDIUM","HIGH"))</f>
        <v>LOW</v>
      </c>
      <c r="AC2438" t="str">
        <f>TEXT(ReconciliationData[[#This Row],[Order_Date]],"YYYY-MM")</f>
        <v>2024-10</v>
      </c>
    </row>
    <row r="2439" spans="1:29">
      <c r="A2439" t="s">
        <v>6070</v>
      </c>
      <c r="B2439" s="1">
        <v>45339</v>
      </c>
      <c r="C2439" t="s">
        <v>511</v>
      </c>
      <c r="D2439" t="s">
        <v>600</v>
      </c>
      <c r="E2439">
        <v>126</v>
      </c>
      <c r="F2439" t="s">
        <v>6071</v>
      </c>
      <c r="G2439">
        <v>126</v>
      </c>
      <c r="H2439">
        <v>52.185000000000002</v>
      </c>
      <c r="N2439">
        <v>52.185000000000002</v>
      </c>
      <c r="O2439" s="1">
        <v>44998</v>
      </c>
      <c r="P2439">
        <f>IF(ISBLANK(ReconciliationData[[#This Row],[Invoice_ID]]),1,0)</f>
        <v>0</v>
      </c>
      <c r="Q2439">
        <f>IF(AND(NOT(ISBLANK(ReconciliationData[[#This Row],[Billed_Units]])),ReconciliationData[[#This Row],[ordered_units]]&lt;&gt;ReconciliationData[[#This Row],[Billed_Units]]),1,0)</f>
        <v>0</v>
      </c>
      <c r="R24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39">
        <f>IF(AND(NOT(ISBLANK(ReconciliationData[[#This Row],[Contract_Price]])),ReconciliationData[[#This Row],[Billed_Price]]&lt;&gt;ReconciliationData[[#This Row],[Contract_Price]]),1,0)</f>
        <v>0</v>
      </c>
      <c r="T2439">
        <f>IF(AND(NOT(ISBLANK(ReconciliationData[[#This Row],[End_Date]])),ReconciliationData[[#This Row],[Order_Date]]&gt;ReconciliationData[[#This Row],[End_Date]]),1,0)</f>
        <v>0</v>
      </c>
      <c r="U2439">
        <f>IF(AND(NOT(ISBLANK(ReconciliationData[[#This Row],[last_return_date]])),ReconciliationData[[#This Row],[last_return_date]]&gt;ReconciliationData[[#This Row],[Order_Date]]+60),1,0)</f>
        <v>0</v>
      </c>
      <c r="V2439">
        <f>IF(ReconciliationData[[#This Row],[total_returned_units]]&gt;ReconciliationData[[#This Row],[ordered_units]],1,0)</f>
        <v>0</v>
      </c>
      <c r="W24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39">
        <f>ReconciliationData[[#This Row],[Billed_Units]]*ReconciliationData[[#This Row],[Billed_Price]]</f>
        <v>6575.31</v>
      </c>
      <c r="Y2439">
        <f>ReconciliationData[[#This Row],[ordered_units]]*ReconciliationData[[#This Row],[List_Price]]</f>
        <v>6575.31</v>
      </c>
      <c r="Z2439">
        <f>ReconciliationData[[#This Row],[billed_revenue]]-ReconciliationData[[#This Row],[expected_revenue]]</f>
        <v>0</v>
      </c>
      <c r="AA24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39" t="str">
        <f>IF(ReconciliationData[[#This Row],[severity_score]]=0,"LOW",
 IF(ReconciliationData[[#This Row],[severity_score]]&lt;=5,"MEDIUM","HIGH"))</f>
        <v>LOW</v>
      </c>
      <c r="AC2439" t="str">
        <f>TEXT(ReconciliationData[[#This Row],[Order_Date]],"YYYY-MM")</f>
        <v>2024-02</v>
      </c>
    </row>
    <row r="2440" spans="1:29">
      <c r="A2440" t="s">
        <v>6072</v>
      </c>
      <c r="B2440" s="1">
        <v>45137</v>
      </c>
      <c r="C2440" t="s">
        <v>1174</v>
      </c>
      <c r="D2440" t="s">
        <v>3404</v>
      </c>
      <c r="E2440">
        <v>95</v>
      </c>
      <c r="F2440" t="s">
        <v>6073</v>
      </c>
      <c r="G2440">
        <v>95</v>
      </c>
      <c r="H2440">
        <v>850.88400000000001</v>
      </c>
      <c r="I2440">
        <v>18</v>
      </c>
      <c r="J2440" s="1">
        <v>45479</v>
      </c>
      <c r="N2440">
        <v>850.88400000000001</v>
      </c>
      <c r="O2440" s="1">
        <v>45100</v>
      </c>
      <c r="P2440">
        <f>IF(ISBLANK(ReconciliationData[[#This Row],[Invoice_ID]]),1,0)</f>
        <v>0</v>
      </c>
      <c r="Q2440">
        <f>IF(AND(NOT(ISBLANK(ReconciliationData[[#This Row],[Billed_Units]])),ReconciliationData[[#This Row],[ordered_units]]&lt;&gt;ReconciliationData[[#This Row],[Billed_Units]]),1,0)</f>
        <v>0</v>
      </c>
      <c r="R24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0">
        <f>IF(AND(NOT(ISBLANK(ReconciliationData[[#This Row],[Contract_Price]])),ReconciliationData[[#This Row],[Billed_Price]]&lt;&gt;ReconciliationData[[#This Row],[Contract_Price]]),1,0)</f>
        <v>0</v>
      </c>
      <c r="T2440">
        <f>IF(AND(NOT(ISBLANK(ReconciliationData[[#This Row],[End_Date]])),ReconciliationData[[#This Row],[Order_Date]]&gt;ReconciliationData[[#This Row],[End_Date]]),1,0)</f>
        <v>0</v>
      </c>
      <c r="U2440">
        <f>IF(AND(NOT(ISBLANK(ReconciliationData[[#This Row],[last_return_date]])),ReconciliationData[[#This Row],[last_return_date]]&gt;ReconciliationData[[#This Row],[Order_Date]]+60),1,0)</f>
        <v>1</v>
      </c>
      <c r="V2440">
        <f>IF(ReconciliationData[[#This Row],[total_returned_units]]&gt;ReconciliationData[[#This Row],[ordered_units]],1,0)</f>
        <v>0</v>
      </c>
      <c r="W24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440">
        <f>ReconciliationData[[#This Row],[Billed_Units]]*ReconciliationData[[#This Row],[Billed_Price]]</f>
        <v>80833.98</v>
      </c>
      <c r="Y2440">
        <f>ReconciliationData[[#This Row],[ordered_units]]*ReconciliationData[[#This Row],[List_Price]]</f>
        <v>80833.98</v>
      </c>
      <c r="Z2440">
        <f>ReconciliationData[[#This Row],[billed_revenue]]-ReconciliationData[[#This Row],[expected_revenue]]</f>
        <v>0</v>
      </c>
      <c r="AA24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440" t="str">
        <f>IF(ReconciliationData[[#This Row],[severity_score]]=0,"LOW",
 IF(ReconciliationData[[#This Row],[severity_score]]&lt;=5,"MEDIUM","HIGH"))</f>
        <v>MEDIUM</v>
      </c>
      <c r="AC2440" t="str">
        <f>TEXT(ReconciliationData[[#This Row],[Order_Date]],"YYYY-MM")</f>
        <v>2023-07</v>
      </c>
    </row>
    <row r="2441" spans="1:29">
      <c r="A2441" t="s">
        <v>6074</v>
      </c>
      <c r="B2441" s="1">
        <v>45518</v>
      </c>
      <c r="C2441" t="s">
        <v>2000</v>
      </c>
      <c r="D2441" t="s">
        <v>2331</v>
      </c>
      <c r="E2441">
        <v>188</v>
      </c>
      <c r="F2441" t="s">
        <v>6075</v>
      </c>
      <c r="G2441">
        <v>188</v>
      </c>
      <c r="H2441">
        <v>983.19460000000004</v>
      </c>
      <c r="N2441">
        <v>983.19460000000004</v>
      </c>
      <c r="O2441" s="1">
        <v>45142</v>
      </c>
      <c r="P2441">
        <f>IF(ISBLANK(ReconciliationData[[#This Row],[Invoice_ID]]),1,0)</f>
        <v>0</v>
      </c>
      <c r="Q2441">
        <f>IF(AND(NOT(ISBLANK(ReconciliationData[[#This Row],[Billed_Units]])),ReconciliationData[[#This Row],[ordered_units]]&lt;&gt;ReconciliationData[[#This Row],[Billed_Units]]),1,0)</f>
        <v>0</v>
      </c>
      <c r="R24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1">
        <f>IF(AND(NOT(ISBLANK(ReconciliationData[[#This Row],[Contract_Price]])),ReconciliationData[[#This Row],[Billed_Price]]&lt;&gt;ReconciliationData[[#This Row],[Contract_Price]]),1,0)</f>
        <v>0</v>
      </c>
      <c r="T2441">
        <f>IF(AND(NOT(ISBLANK(ReconciliationData[[#This Row],[End_Date]])),ReconciliationData[[#This Row],[Order_Date]]&gt;ReconciliationData[[#This Row],[End_Date]]),1,0)</f>
        <v>0</v>
      </c>
      <c r="U2441">
        <f>IF(AND(NOT(ISBLANK(ReconciliationData[[#This Row],[last_return_date]])),ReconciliationData[[#This Row],[last_return_date]]&gt;ReconciliationData[[#This Row],[Order_Date]]+60),1,0)</f>
        <v>0</v>
      </c>
      <c r="V2441">
        <f>IF(ReconciliationData[[#This Row],[total_returned_units]]&gt;ReconciliationData[[#This Row],[ordered_units]],1,0)</f>
        <v>0</v>
      </c>
      <c r="W24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41">
        <f>ReconciliationData[[#This Row],[Billed_Units]]*ReconciliationData[[#This Row],[Billed_Price]]</f>
        <v>184840.58480000001</v>
      </c>
      <c r="Y2441">
        <f>ReconciliationData[[#This Row],[ordered_units]]*ReconciliationData[[#This Row],[List_Price]]</f>
        <v>184840.58480000001</v>
      </c>
      <c r="Z2441">
        <f>ReconciliationData[[#This Row],[billed_revenue]]-ReconciliationData[[#This Row],[expected_revenue]]</f>
        <v>0</v>
      </c>
      <c r="AA24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41" t="str">
        <f>IF(ReconciliationData[[#This Row],[severity_score]]=0,"LOW",
 IF(ReconciliationData[[#This Row],[severity_score]]&lt;=5,"MEDIUM","HIGH"))</f>
        <v>LOW</v>
      </c>
      <c r="AC2441" t="str">
        <f>TEXT(ReconciliationData[[#This Row],[Order_Date]],"YYYY-MM")</f>
        <v>2024-08</v>
      </c>
    </row>
    <row r="2442" spans="1:29">
      <c r="A2442" t="s">
        <v>6076</v>
      </c>
      <c r="B2442" s="1">
        <v>45360</v>
      </c>
      <c r="C2442" t="s">
        <v>201</v>
      </c>
      <c r="D2442" t="s">
        <v>271</v>
      </c>
      <c r="E2442">
        <v>192</v>
      </c>
      <c r="F2442" t="s">
        <v>6077</v>
      </c>
      <c r="G2442">
        <v>192</v>
      </c>
      <c r="H2442">
        <v>54.580199999999998</v>
      </c>
      <c r="N2442">
        <v>54.580199999999998</v>
      </c>
      <c r="O2442" s="1">
        <v>44984</v>
      </c>
      <c r="P2442">
        <f>IF(ISBLANK(ReconciliationData[[#This Row],[Invoice_ID]]),1,0)</f>
        <v>0</v>
      </c>
      <c r="Q2442">
        <f>IF(AND(NOT(ISBLANK(ReconciliationData[[#This Row],[Billed_Units]])),ReconciliationData[[#This Row],[ordered_units]]&lt;&gt;ReconciliationData[[#This Row],[Billed_Units]]),1,0)</f>
        <v>0</v>
      </c>
      <c r="R24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2">
        <f>IF(AND(NOT(ISBLANK(ReconciliationData[[#This Row],[Contract_Price]])),ReconciliationData[[#This Row],[Billed_Price]]&lt;&gt;ReconciliationData[[#This Row],[Contract_Price]]),1,0)</f>
        <v>0</v>
      </c>
      <c r="T2442">
        <f>IF(AND(NOT(ISBLANK(ReconciliationData[[#This Row],[End_Date]])),ReconciliationData[[#This Row],[Order_Date]]&gt;ReconciliationData[[#This Row],[End_Date]]),1,0)</f>
        <v>0</v>
      </c>
      <c r="U2442">
        <f>IF(AND(NOT(ISBLANK(ReconciliationData[[#This Row],[last_return_date]])),ReconciliationData[[#This Row],[last_return_date]]&gt;ReconciliationData[[#This Row],[Order_Date]]+60),1,0)</f>
        <v>0</v>
      </c>
      <c r="V2442">
        <f>IF(ReconciliationData[[#This Row],[total_returned_units]]&gt;ReconciliationData[[#This Row],[ordered_units]],1,0)</f>
        <v>0</v>
      </c>
      <c r="W24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42">
        <f>ReconciliationData[[#This Row],[Billed_Units]]*ReconciliationData[[#This Row],[Billed_Price]]</f>
        <v>10479.3984</v>
      </c>
      <c r="Y2442">
        <f>ReconciliationData[[#This Row],[ordered_units]]*ReconciliationData[[#This Row],[List_Price]]</f>
        <v>10479.3984</v>
      </c>
      <c r="Z2442">
        <f>ReconciliationData[[#This Row],[billed_revenue]]-ReconciliationData[[#This Row],[expected_revenue]]</f>
        <v>0</v>
      </c>
      <c r="AA24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42" t="str">
        <f>IF(ReconciliationData[[#This Row],[severity_score]]=0,"LOW",
 IF(ReconciliationData[[#This Row],[severity_score]]&lt;=5,"MEDIUM","HIGH"))</f>
        <v>LOW</v>
      </c>
      <c r="AC2442" t="str">
        <f>TEXT(ReconciliationData[[#This Row],[Order_Date]],"YYYY-MM")</f>
        <v>2024-03</v>
      </c>
    </row>
    <row r="2443" spans="1:29">
      <c r="A2443" t="s">
        <v>6078</v>
      </c>
      <c r="B2443" s="1">
        <v>44981</v>
      </c>
      <c r="C2443" t="s">
        <v>5118</v>
      </c>
      <c r="D2443" t="s">
        <v>923</v>
      </c>
      <c r="E2443">
        <v>65</v>
      </c>
      <c r="F2443" t="s">
        <v>6079</v>
      </c>
      <c r="G2443">
        <v>65</v>
      </c>
      <c r="H2443">
        <v>732.452</v>
      </c>
      <c r="I2443">
        <v>7</v>
      </c>
      <c r="J2443" s="1">
        <v>45178</v>
      </c>
      <c r="N2443">
        <v>732.452</v>
      </c>
      <c r="O2443" s="1">
        <v>44941</v>
      </c>
      <c r="P2443">
        <f>IF(ISBLANK(ReconciliationData[[#This Row],[Invoice_ID]]),1,0)</f>
        <v>0</v>
      </c>
      <c r="Q2443">
        <f>IF(AND(NOT(ISBLANK(ReconciliationData[[#This Row],[Billed_Units]])),ReconciliationData[[#This Row],[ordered_units]]&lt;&gt;ReconciliationData[[#This Row],[Billed_Units]]),1,0)</f>
        <v>0</v>
      </c>
      <c r="R24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3">
        <f>IF(AND(NOT(ISBLANK(ReconciliationData[[#This Row],[Contract_Price]])),ReconciliationData[[#This Row],[Billed_Price]]&lt;&gt;ReconciliationData[[#This Row],[Contract_Price]]),1,0)</f>
        <v>0</v>
      </c>
      <c r="T2443">
        <f>IF(AND(NOT(ISBLANK(ReconciliationData[[#This Row],[End_Date]])),ReconciliationData[[#This Row],[Order_Date]]&gt;ReconciliationData[[#This Row],[End_Date]]),1,0)</f>
        <v>0</v>
      </c>
      <c r="U2443">
        <f>IF(AND(NOT(ISBLANK(ReconciliationData[[#This Row],[last_return_date]])),ReconciliationData[[#This Row],[last_return_date]]&gt;ReconciliationData[[#This Row],[Order_Date]]+60),1,0)</f>
        <v>1</v>
      </c>
      <c r="V2443">
        <f>IF(ReconciliationData[[#This Row],[total_returned_units]]&gt;ReconciliationData[[#This Row],[ordered_units]],1,0)</f>
        <v>0</v>
      </c>
      <c r="W24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443">
        <f>ReconciliationData[[#This Row],[Billed_Units]]*ReconciliationData[[#This Row],[Billed_Price]]</f>
        <v>47609.38</v>
      </c>
      <c r="Y2443">
        <f>ReconciliationData[[#This Row],[ordered_units]]*ReconciliationData[[#This Row],[List_Price]]</f>
        <v>47609.38</v>
      </c>
      <c r="Z2443">
        <f>ReconciliationData[[#This Row],[billed_revenue]]-ReconciliationData[[#This Row],[expected_revenue]]</f>
        <v>0</v>
      </c>
      <c r="AA24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443" t="str">
        <f>IF(ReconciliationData[[#This Row],[severity_score]]=0,"LOW",
 IF(ReconciliationData[[#This Row],[severity_score]]&lt;=5,"MEDIUM","HIGH"))</f>
        <v>MEDIUM</v>
      </c>
      <c r="AC2443" t="str">
        <f>TEXT(ReconciliationData[[#This Row],[Order_Date]],"YYYY-MM")</f>
        <v>2023-02</v>
      </c>
    </row>
    <row r="2444" spans="1:29">
      <c r="A2444" t="s">
        <v>6080</v>
      </c>
      <c r="B2444" s="1">
        <v>45620</v>
      </c>
      <c r="C2444" t="s">
        <v>2542</v>
      </c>
      <c r="D2444" t="s">
        <v>1083</v>
      </c>
      <c r="E2444">
        <v>16</v>
      </c>
      <c r="F2444" t="s">
        <v>6081</v>
      </c>
      <c r="G2444">
        <v>16</v>
      </c>
      <c r="H2444">
        <v>479.40280000000007</v>
      </c>
      <c r="N2444">
        <v>479.40280000000007</v>
      </c>
      <c r="O2444" s="1">
        <v>44941</v>
      </c>
      <c r="P2444">
        <f>IF(ISBLANK(ReconciliationData[[#This Row],[Invoice_ID]]),1,0)</f>
        <v>0</v>
      </c>
      <c r="Q2444">
        <f>IF(AND(NOT(ISBLANK(ReconciliationData[[#This Row],[Billed_Units]])),ReconciliationData[[#This Row],[ordered_units]]&lt;&gt;ReconciliationData[[#This Row],[Billed_Units]]),1,0)</f>
        <v>0</v>
      </c>
      <c r="R24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4">
        <f>IF(AND(NOT(ISBLANK(ReconciliationData[[#This Row],[Contract_Price]])),ReconciliationData[[#This Row],[Billed_Price]]&lt;&gt;ReconciliationData[[#This Row],[Contract_Price]]),1,0)</f>
        <v>0</v>
      </c>
      <c r="T2444">
        <f>IF(AND(NOT(ISBLANK(ReconciliationData[[#This Row],[End_Date]])),ReconciliationData[[#This Row],[Order_Date]]&gt;ReconciliationData[[#This Row],[End_Date]]),1,0)</f>
        <v>0</v>
      </c>
      <c r="U2444">
        <f>IF(AND(NOT(ISBLANK(ReconciliationData[[#This Row],[last_return_date]])),ReconciliationData[[#This Row],[last_return_date]]&gt;ReconciliationData[[#This Row],[Order_Date]]+60),1,0)</f>
        <v>0</v>
      </c>
      <c r="V2444">
        <f>IF(ReconciliationData[[#This Row],[total_returned_units]]&gt;ReconciliationData[[#This Row],[ordered_units]],1,0)</f>
        <v>0</v>
      </c>
      <c r="W24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44">
        <f>ReconciliationData[[#This Row],[Billed_Units]]*ReconciliationData[[#This Row],[Billed_Price]]</f>
        <v>7670.4448000000011</v>
      </c>
      <c r="Y2444">
        <f>ReconciliationData[[#This Row],[ordered_units]]*ReconciliationData[[#This Row],[List_Price]]</f>
        <v>7670.4448000000011</v>
      </c>
      <c r="Z2444">
        <f>ReconciliationData[[#This Row],[billed_revenue]]-ReconciliationData[[#This Row],[expected_revenue]]</f>
        <v>0</v>
      </c>
      <c r="AA24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44" t="str">
        <f>IF(ReconciliationData[[#This Row],[severity_score]]=0,"LOW",
 IF(ReconciliationData[[#This Row],[severity_score]]&lt;=5,"MEDIUM","HIGH"))</f>
        <v>LOW</v>
      </c>
      <c r="AC2444" t="str">
        <f>TEXT(ReconciliationData[[#This Row],[Order_Date]],"YYYY-MM")</f>
        <v>2024-11</v>
      </c>
    </row>
    <row r="2445" spans="1:29">
      <c r="A2445" t="s">
        <v>6082</v>
      </c>
      <c r="B2445" s="1">
        <v>45149</v>
      </c>
      <c r="C2445" t="s">
        <v>3225</v>
      </c>
      <c r="D2445" t="s">
        <v>306</v>
      </c>
      <c r="E2445">
        <v>40</v>
      </c>
      <c r="F2445" t="s">
        <v>6083</v>
      </c>
      <c r="G2445">
        <v>40</v>
      </c>
      <c r="H2445">
        <v>1065.9095</v>
      </c>
      <c r="N2445">
        <v>1065.9095</v>
      </c>
      <c r="O2445" s="1">
        <v>44963</v>
      </c>
      <c r="P2445">
        <f>IF(ISBLANK(ReconciliationData[[#This Row],[Invoice_ID]]),1,0)</f>
        <v>0</v>
      </c>
      <c r="Q2445">
        <f>IF(AND(NOT(ISBLANK(ReconciliationData[[#This Row],[Billed_Units]])),ReconciliationData[[#This Row],[ordered_units]]&lt;&gt;ReconciliationData[[#This Row],[Billed_Units]]),1,0)</f>
        <v>0</v>
      </c>
      <c r="R24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5">
        <f>IF(AND(NOT(ISBLANK(ReconciliationData[[#This Row],[Contract_Price]])),ReconciliationData[[#This Row],[Billed_Price]]&lt;&gt;ReconciliationData[[#This Row],[Contract_Price]]),1,0)</f>
        <v>0</v>
      </c>
      <c r="T2445">
        <f>IF(AND(NOT(ISBLANK(ReconciliationData[[#This Row],[End_Date]])),ReconciliationData[[#This Row],[Order_Date]]&gt;ReconciliationData[[#This Row],[End_Date]]),1,0)</f>
        <v>0</v>
      </c>
      <c r="U2445">
        <f>IF(AND(NOT(ISBLANK(ReconciliationData[[#This Row],[last_return_date]])),ReconciliationData[[#This Row],[last_return_date]]&gt;ReconciliationData[[#This Row],[Order_Date]]+60),1,0)</f>
        <v>0</v>
      </c>
      <c r="V2445">
        <f>IF(ReconciliationData[[#This Row],[total_returned_units]]&gt;ReconciliationData[[#This Row],[ordered_units]],1,0)</f>
        <v>0</v>
      </c>
      <c r="W24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45">
        <f>ReconciliationData[[#This Row],[Billed_Units]]*ReconciliationData[[#This Row],[Billed_Price]]</f>
        <v>42636.38</v>
      </c>
      <c r="Y2445">
        <f>ReconciliationData[[#This Row],[ordered_units]]*ReconciliationData[[#This Row],[List_Price]]</f>
        <v>42636.38</v>
      </c>
      <c r="Z2445">
        <f>ReconciliationData[[#This Row],[billed_revenue]]-ReconciliationData[[#This Row],[expected_revenue]]</f>
        <v>0</v>
      </c>
      <c r="AA24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45" t="str">
        <f>IF(ReconciliationData[[#This Row],[severity_score]]=0,"LOW",
 IF(ReconciliationData[[#This Row],[severity_score]]&lt;=5,"MEDIUM","HIGH"))</f>
        <v>LOW</v>
      </c>
      <c r="AC2445" t="str">
        <f>TEXT(ReconciliationData[[#This Row],[Order_Date]],"YYYY-MM")</f>
        <v>2023-08</v>
      </c>
    </row>
    <row r="2446" spans="1:29">
      <c r="A2446" t="s">
        <v>6084</v>
      </c>
      <c r="B2446" s="1">
        <v>45339</v>
      </c>
      <c r="C2446" t="s">
        <v>1435</v>
      </c>
      <c r="D2446" t="s">
        <v>2035</v>
      </c>
      <c r="E2446">
        <v>126</v>
      </c>
      <c r="F2446" t="s">
        <v>6085</v>
      </c>
      <c r="G2446">
        <v>126</v>
      </c>
      <c r="H2446">
        <v>1160.71</v>
      </c>
      <c r="N2446">
        <v>1160.71</v>
      </c>
      <c r="O2446" s="1">
        <v>44964</v>
      </c>
      <c r="P2446">
        <f>IF(ISBLANK(ReconciliationData[[#This Row],[Invoice_ID]]),1,0)</f>
        <v>0</v>
      </c>
      <c r="Q2446">
        <f>IF(AND(NOT(ISBLANK(ReconciliationData[[#This Row],[Billed_Units]])),ReconciliationData[[#This Row],[ordered_units]]&lt;&gt;ReconciliationData[[#This Row],[Billed_Units]]),1,0)</f>
        <v>0</v>
      </c>
      <c r="R24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6">
        <f>IF(AND(NOT(ISBLANK(ReconciliationData[[#This Row],[Contract_Price]])),ReconciliationData[[#This Row],[Billed_Price]]&lt;&gt;ReconciliationData[[#This Row],[Contract_Price]]),1,0)</f>
        <v>0</v>
      </c>
      <c r="T2446">
        <f>IF(AND(NOT(ISBLANK(ReconciliationData[[#This Row],[End_Date]])),ReconciliationData[[#This Row],[Order_Date]]&gt;ReconciliationData[[#This Row],[End_Date]]),1,0)</f>
        <v>0</v>
      </c>
      <c r="U2446">
        <f>IF(AND(NOT(ISBLANK(ReconciliationData[[#This Row],[last_return_date]])),ReconciliationData[[#This Row],[last_return_date]]&gt;ReconciliationData[[#This Row],[Order_Date]]+60),1,0)</f>
        <v>0</v>
      </c>
      <c r="V2446">
        <f>IF(ReconciliationData[[#This Row],[total_returned_units]]&gt;ReconciliationData[[#This Row],[ordered_units]],1,0)</f>
        <v>0</v>
      </c>
      <c r="W24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46">
        <f>ReconciliationData[[#This Row],[Billed_Units]]*ReconciliationData[[#This Row],[Billed_Price]]</f>
        <v>146249.46</v>
      </c>
      <c r="Y2446">
        <f>ReconciliationData[[#This Row],[ordered_units]]*ReconciliationData[[#This Row],[List_Price]]</f>
        <v>146249.46</v>
      </c>
      <c r="Z2446">
        <f>ReconciliationData[[#This Row],[billed_revenue]]-ReconciliationData[[#This Row],[expected_revenue]]</f>
        <v>0</v>
      </c>
      <c r="AA24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46" t="str">
        <f>IF(ReconciliationData[[#This Row],[severity_score]]=0,"LOW",
 IF(ReconciliationData[[#This Row],[severity_score]]&lt;=5,"MEDIUM","HIGH"))</f>
        <v>LOW</v>
      </c>
      <c r="AC2446" t="str">
        <f>TEXT(ReconciliationData[[#This Row],[Order_Date]],"YYYY-MM")</f>
        <v>2024-02</v>
      </c>
    </row>
    <row r="2447" spans="1:29">
      <c r="A2447" t="s">
        <v>6086</v>
      </c>
      <c r="B2447" s="1">
        <v>45213</v>
      </c>
      <c r="C2447" t="s">
        <v>1908</v>
      </c>
      <c r="D2447" t="s">
        <v>828</v>
      </c>
      <c r="E2447">
        <v>63</v>
      </c>
      <c r="F2447" t="s">
        <v>6087</v>
      </c>
      <c r="G2447">
        <v>63</v>
      </c>
      <c r="H2447">
        <v>893.8972</v>
      </c>
      <c r="N2447">
        <v>893.8972</v>
      </c>
      <c r="O2447" s="1">
        <v>45049</v>
      </c>
      <c r="P2447">
        <f>IF(ISBLANK(ReconciliationData[[#This Row],[Invoice_ID]]),1,0)</f>
        <v>0</v>
      </c>
      <c r="Q2447">
        <f>IF(AND(NOT(ISBLANK(ReconciliationData[[#This Row],[Billed_Units]])),ReconciliationData[[#This Row],[ordered_units]]&lt;&gt;ReconciliationData[[#This Row],[Billed_Units]]),1,0)</f>
        <v>0</v>
      </c>
      <c r="R24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7">
        <f>IF(AND(NOT(ISBLANK(ReconciliationData[[#This Row],[Contract_Price]])),ReconciliationData[[#This Row],[Billed_Price]]&lt;&gt;ReconciliationData[[#This Row],[Contract_Price]]),1,0)</f>
        <v>0</v>
      </c>
      <c r="T2447">
        <f>IF(AND(NOT(ISBLANK(ReconciliationData[[#This Row],[End_Date]])),ReconciliationData[[#This Row],[Order_Date]]&gt;ReconciliationData[[#This Row],[End_Date]]),1,0)</f>
        <v>0</v>
      </c>
      <c r="U2447">
        <f>IF(AND(NOT(ISBLANK(ReconciliationData[[#This Row],[last_return_date]])),ReconciliationData[[#This Row],[last_return_date]]&gt;ReconciliationData[[#This Row],[Order_Date]]+60),1,0)</f>
        <v>0</v>
      </c>
      <c r="V2447">
        <f>IF(ReconciliationData[[#This Row],[total_returned_units]]&gt;ReconciliationData[[#This Row],[ordered_units]],1,0)</f>
        <v>0</v>
      </c>
      <c r="W24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47">
        <f>ReconciliationData[[#This Row],[Billed_Units]]*ReconciliationData[[#This Row],[Billed_Price]]</f>
        <v>56315.5236</v>
      </c>
      <c r="Y2447">
        <f>ReconciliationData[[#This Row],[ordered_units]]*ReconciliationData[[#This Row],[List_Price]]</f>
        <v>56315.5236</v>
      </c>
      <c r="Z2447">
        <f>ReconciliationData[[#This Row],[billed_revenue]]-ReconciliationData[[#This Row],[expected_revenue]]</f>
        <v>0</v>
      </c>
      <c r="AA24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47" t="str">
        <f>IF(ReconciliationData[[#This Row],[severity_score]]=0,"LOW",
 IF(ReconciliationData[[#This Row],[severity_score]]&lt;=5,"MEDIUM","HIGH"))</f>
        <v>LOW</v>
      </c>
      <c r="AC2447" t="str">
        <f>TEXT(ReconciliationData[[#This Row],[Order_Date]],"YYYY-MM")</f>
        <v>2023-10</v>
      </c>
    </row>
    <row r="2448" spans="1:29">
      <c r="A2448" t="s">
        <v>6088</v>
      </c>
      <c r="B2448" s="1">
        <v>45054</v>
      </c>
      <c r="C2448" t="s">
        <v>2005</v>
      </c>
      <c r="D2448" t="s">
        <v>3409</v>
      </c>
      <c r="E2448">
        <v>143</v>
      </c>
      <c r="F2448" t="s">
        <v>6089</v>
      </c>
      <c r="G2448">
        <v>143</v>
      </c>
      <c r="H2448">
        <v>94.274299999999997</v>
      </c>
      <c r="N2448">
        <v>94.274299999999997</v>
      </c>
      <c r="O2448" s="1">
        <v>44906</v>
      </c>
      <c r="P2448">
        <f>IF(ISBLANK(ReconciliationData[[#This Row],[Invoice_ID]]),1,0)</f>
        <v>0</v>
      </c>
      <c r="Q2448">
        <f>IF(AND(NOT(ISBLANK(ReconciliationData[[#This Row],[Billed_Units]])),ReconciliationData[[#This Row],[ordered_units]]&lt;&gt;ReconciliationData[[#This Row],[Billed_Units]]),1,0)</f>
        <v>0</v>
      </c>
      <c r="R24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8">
        <f>IF(AND(NOT(ISBLANK(ReconciliationData[[#This Row],[Contract_Price]])),ReconciliationData[[#This Row],[Billed_Price]]&lt;&gt;ReconciliationData[[#This Row],[Contract_Price]]),1,0)</f>
        <v>0</v>
      </c>
      <c r="T2448">
        <f>IF(AND(NOT(ISBLANK(ReconciliationData[[#This Row],[End_Date]])),ReconciliationData[[#This Row],[Order_Date]]&gt;ReconciliationData[[#This Row],[End_Date]]),1,0)</f>
        <v>0</v>
      </c>
      <c r="U2448">
        <f>IF(AND(NOT(ISBLANK(ReconciliationData[[#This Row],[last_return_date]])),ReconciliationData[[#This Row],[last_return_date]]&gt;ReconciliationData[[#This Row],[Order_Date]]+60),1,0)</f>
        <v>0</v>
      </c>
      <c r="V2448">
        <f>IF(ReconciliationData[[#This Row],[total_returned_units]]&gt;ReconciliationData[[#This Row],[ordered_units]],1,0)</f>
        <v>0</v>
      </c>
      <c r="W24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48">
        <f>ReconciliationData[[#This Row],[Billed_Units]]*ReconciliationData[[#This Row],[Billed_Price]]</f>
        <v>13481.224899999999</v>
      </c>
      <c r="Y2448">
        <f>ReconciliationData[[#This Row],[ordered_units]]*ReconciliationData[[#This Row],[List_Price]]</f>
        <v>13481.224899999999</v>
      </c>
      <c r="Z2448">
        <f>ReconciliationData[[#This Row],[billed_revenue]]-ReconciliationData[[#This Row],[expected_revenue]]</f>
        <v>0</v>
      </c>
      <c r="AA24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48" t="str">
        <f>IF(ReconciliationData[[#This Row],[severity_score]]=0,"LOW",
 IF(ReconciliationData[[#This Row],[severity_score]]&lt;=5,"MEDIUM","HIGH"))</f>
        <v>LOW</v>
      </c>
      <c r="AC2448" t="str">
        <f>TEXT(ReconciliationData[[#This Row],[Order_Date]],"YYYY-MM")</f>
        <v>2023-05</v>
      </c>
    </row>
    <row r="2449" spans="1:29">
      <c r="A2449" t="s">
        <v>6090</v>
      </c>
      <c r="B2449" s="1">
        <v>44997</v>
      </c>
      <c r="C2449" t="s">
        <v>400</v>
      </c>
      <c r="D2449" t="s">
        <v>643</v>
      </c>
      <c r="E2449">
        <v>163</v>
      </c>
      <c r="F2449" t="s">
        <v>6091</v>
      </c>
      <c r="G2449">
        <v>163</v>
      </c>
      <c r="H2449">
        <v>208.65799999999999</v>
      </c>
      <c r="N2449">
        <v>208.65799999999999</v>
      </c>
      <c r="O2449" s="1">
        <v>44971</v>
      </c>
      <c r="P2449">
        <f>IF(ISBLANK(ReconciliationData[[#This Row],[Invoice_ID]]),1,0)</f>
        <v>0</v>
      </c>
      <c r="Q2449">
        <f>IF(AND(NOT(ISBLANK(ReconciliationData[[#This Row],[Billed_Units]])),ReconciliationData[[#This Row],[ordered_units]]&lt;&gt;ReconciliationData[[#This Row],[Billed_Units]]),1,0)</f>
        <v>0</v>
      </c>
      <c r="R24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49">
        <f>IF(AND(NOT(ISBLANK(ReconciliationData[[#This Row],[Contract_Price]])),ReconciliationData[[#This Row],[Billed_Price]]&lt;&gt;ReconciliationData[[#This Row],[Contract_Price]]),1,0)</f>
        <v>0</v>
      </c>
      <c r="T2449">
        <f>IF(AND(NOT(ISBLANK(ReconciliationData[[#This Row],[End_Date]])),ReconciliationData[[#This Row],[Order_Date]]&gt;ReconciliationData[[#This Row],[End_Date]]),1,0)</f>
        <v>0</v>
      </c>
      <c r="U2449">
        <f>IF(AND(NOT(ISBLANK(ReconciliationData[[#This Row],[last_return_date]])),ReconciliationData[[#This Row],[last_return_date]]&gt;ReconciliationData[[#This Row],[Order_Date]]+60),1,0)</f>
        <v>0</v>
      </c>
      <c r="V2449">
        <f>IF(ReconciliationData[[#This Row],[total_returned_units]]&gt;ReconciliationData[[#This Row],[ordered_units]],1,0)</f>
        <v>0</v>
      </c>
      <c r="W24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49">
        <f>ReconciliationData[[#This Row],[Billed_Units]]*ReconciliationData[[#This Row],[Billed_Price]]</f>
        <v>34011.254000000001</v>
      </c>
      <c r="Y2449">
        <f>ReconciliationData[[#This Row],[ordered_units]]*ReconciliationData[[#This Row],[List_Price]]</f>
        <v>34011.254000000001</v>
      </c>
      <c r="Z2449">
        <f>ReconciliationData[[#This Row],[billed_revenue]]-ReconciliationData[[#This Row],[expected_revenue]]</f>
        <v>0</v>
      </c>
      <c r="AA24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49" t="str">
        <f>IF(ReconciliationData[[#This Row],[severity_score]]=0,"LOW",
 IF(ReconciliationData[[#This Row],[severity_score]]&lt;=5,"MEDIUM","HIGH"))</f>
        <v>LOW</v>
      </c>
      <c r="AC2449" t="str">
        <f>TEXT(ReconciliationData[[#This Row],[Order_Date]],"YYYY-MM")</f>
        <v>2023-03</v>
      </c>
    </row>
    <row r="2450" spans="1:29">
      <c r="A2450" t="s">
        <v>6092</v>
      </c>
      <c r="B2450" s="1">
        <v>45481</v>
      </c>
      <c r="C2450" t="s">
        <v>1423</v>
      </c>
      <c r="D2450" t="s">
        <v>1188</v>
      </c>
      <c r="E2450">
        <v>68</v>
      </c>
      <c r="F2450" t="s">
        <v>6093</v>
      </c>
      <c r="G2450">
        <v>68</v>
      </c>
      <c r="H2450">
        <v>73.305100000000024</v>
      </c>
      <c r="N2450">
        <v>73.305100000000024</v>
      </c>
      <c r="O2450" s="1">
        <v>45046</v>
      </c>
      <c r="P2450">
        <f>IF(ISBLANK(ReconciliationData[[#This Row],[Invoice_ID]]),1,0)</f>
        <v>0</v>
      </c>
      <c r="Q2450">
        <f>IF(AND(NOT(ISBLANK(ReconciliationData[[#This Row],[Billed_Units]])),ReconciliationData[[#This Row],[ordered_units]]&lt;&gt;ReconciliationData[[#This Row],[Billed_Units]]),1,0)</f>
        <v>0</v>
      </c>
      <c r="R24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0">
        <f>IF(AND(NOT(ISBLANK(ReconciliationData[[#This Row],[Contract_Price]])),ReconciliationData[[#This Row],[Billed_Price]]&lt;&gt;ReconciliationData[[#This Row],[Contract_Price]]),1,0)</f>
        <v>0</v>
      </c>
      <c r="T2450">
        <f>IF(AND(NOT(ISBLANK(ReconciliationData[[#This Row],[End_Date]])),ReconciliationData[[#This Row],[Order_Date]]&gt;ReconciliationData[[#This Row],[End_Date]]),1,0)</f>
        <v>0</v>
      </c>
      <c r="U2450">
        <f>IF(AND(NOT(ISBLANK(ReconciliationData[[#This Row],[last_return_date]])),ReconciliationData[[#This Row],[last_return_date]]&gt;ReconciliationData[[#This Row],[Order_Date]]+60),1,0)</f>
        <v>0</v>
      </c>
      <c r="V2450">
        <f>IF(ReconciliationData[[#This Row],[total_returned_units]]&gt;ReconciliationData[[#This Row],[ordered_units]],1,0)</f>
        <v>0</v>
      </c>
      <c r="W24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50">
        <f>ReconciliationData[[#This Row],[Billed_Units]]*ReconciliationData[[#This Row],[Billed_Price]]</f>
        <v>4984.7468000000017</v>
      </c>
      <c r="Y2450">
        <f>ReconciliationData[[#This Row],[ordered_units]]*ReconciliationData[[#This Row],[List_Price]]</f>
        <v>4984.7468000000017</v>
      </c>
      <c r="Z2450">
        <f>ReconciliationData[[#This Row],[billed_revenue]]-ReconciliationData[[#This Row],[expected_revenue]]</f>
        <v>0</v>
      </c>
      <c r="AA24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50" t="str">
        <f>IF(ReconciliationData[[#This Row],[severity_score]]=0,"LOW",
 IF(ReconciliationData[[#This Row],[severity_score]]&lt;=5,"MEDIUM","HIGH"))</f>
        <v>LOW</v>
      </c>
      <c r="AC2450" t="str">
        <f>TEXT(ReconciliationData[[#This Row],[Order_Date]],"YYYY-MM")</f>
        <v>2024-07</v>
      </c>
    </row>
    <row r="2451" spans="1:29">
      <c r="A2451" t="s">
        <v>6094</v>
      </c>
      <c r="B2451" s="1">
        <v>45248</v>
      </c>
      <c r="C2451" t="s">
        <v>4265</v>
      </c>
      <c r="D2451" t="s">
        <v>1470</v>
      </c>
      <c r="E2451">
        <v>76</v>
      </c>
      <c r="F2451" t="s">
        <v>6095</v>
      </c>
      <c r="G2451">
        <v>76</v>
      </c>
      <c r="H2451">
        <v>690.05370000000005</v>
      </c>
      <c r="N2451">
        <v>690.05370000000005</v>
      </c>
      <c r="O2451" s="1">
        <v>44976</v>
      </c>
      <c r="P2451">
        <f>IF(ISBLANK(ReconciliationData[[#This Row],[Invoice_ID]]),1,0)</f>
        <v>0</v>
      </c>
      <c r="Q2451">
        <f>IF(AND(NOT(ISBLANK(ReconciliationData[[#This Row],[Billed_Units]])),ReconciliationData[[#This Row],[ordered_units]]&lt;&gt;ReconciliationData[[#This Row],[Billed_Units]]),1,0)</f>
        <v>0</v>
      </c>
      <c r="R24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1">
        <f>IF(AND(NOT(ISBLANK(ReconciliationData[[#This Row],[Contract_Price]])),ReconciliationData[[#This Row],[Billed_Price]]&lt;&gt;ReconciliationData[[#This Row],[Contract_Price]]),1,0)</f>
        <v>0</v>
      </c>
      <c r="T2451">
        <f>IF(AND(NOT(ISBLANK(ReconciliationData[[#This Row],[End_Date]])),ReconciliationData[[#This Row],[Order_Date]]&gt;ReconciliationData[[#This Row],[End_Date]]),1,0)</f>
        <v>0</v>
      </c>
      <c r="U2451">
        <f>IF(AND(NOT(ISBLANK(ReconciliationData[[#This Row],[last_return_date]])),ReconciliationData[[#This Row],[last_return_date]]&gt;ReconciliationData[[#This Row],[Order_Date]]+60),1,0)</f>
        <v>0</v>
      </c>
      <c r="V2451">
        <f>IF(ReconciliationData[[#This Row],[total_returned_units]]&gt;ReconciliationData[[#This Row],[ordered_units]],1,0)</f>
        <v>0</v>
      </c>
      <c r="W24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51">
        <f>ReconciliationData[[#This Row],[Billed_Units]]*ReconciliationData[[#This Row],[Billed_Price]]</f>
        <v>52444.081200000001</v>
      </c>
      <c r="Y2451">
        <f>ReconciliationData[[#This Row],[ordered_units]]*ReconciliationData[[#This Row],[List_Price]]</f>
        <v>52444.081200000001</v>
      </c>
      <c r="Z2451">
        <f>ReconciliationData[[#This Row],[billed_revenue]]-ReconciliationData[[#This Row],[expected_revenue]]</f>
        <v>0</v>
      </c>
      <c r="AA24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51" t="str">
        <f>IF(ReconciliationData[[#This Row],[severity_score]]=0,"LOW",
 IF(ReconciliationData[[#This Row],[severity_score]]&lt;=5,"MEDIUM","HIGH"))</f>
        <v>LOW</v>
      </c>
      <c r="AC2451" t="str">
        <f>TEXT(ReconciliationData[[#This Row],[Order_Date]],"YYYY-MM")</f>
        <v>2023-11</v>
      </c>
    </row>
    <row r="2452" spans="1:29">
      <c r="A2452" t="s">
        <v>6096</v>
      </c>
      <c r="B2452" s="1">
        <v>44952</v>
      </c>
      <c r="C2452" t="s">
        <v>373</v>
      </c>
      <c r="D2452" t="s">
        <v>174</v>
      </c>
      <c r="E2452">
        <v>144</v>
      </c>
      <c r="F2452" t="s">
        <v>6097</v>
      </c>
      <c r="G2452">
        <v>144</v>
      </c>
      <c r="H2452">
        <v>452.64</v>
      </c>
      <c r="N2452">
        <v>452.64</v>
      </c>
      <c r="O2452" s="1">
        <v>44694</v>
      </c>
      <c r="P2452">
        <f>IF(ISBLANK(ReconciliationData[[#This Row],[Invoice_ID]]),1,0)</f>
        <v>0</v>
      </c>
      <c r="Q2452">
        <f>IF(AND(NOT(ISBLANK(ReconciliationData[[#This Row],[Billed_Units]])),ReconciliationData[[#This Row],[ordered_units]]&lt;&gt;ReconciliationData[[#This Row],[Billed_Units]]),1,0)</f>
        <v>0</v>
      </c>
      <c r="R24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2">
        <f>IF(AND(NOT(ISBLANK(ReconciliationData[[#This Row],[Contract_Price]])),ReconciliationData[[#This Row],[Billed_Price]]&lt;&gt;ReconciliationData[[#This Row],[Contract_Price]]),1,0)</f>
        <v>0</v>
      </c>
      <c r="T2452">
        <f>IF(AND(NOT(ISBLANK(ReconciliationData[[#This Row],[End_Date]])),ReconciliationData[[#This Row],[Order_Date]]&gt;ReconciliationData[[#This Row],[End_Date]]),1,0)</f>
        <v>0</v>
      </c>
      <c r="U2452">
        <f>IF(AND(NOT(ISBLANK(ReconciliationData[[#This Row],[last_return_date]])),ReconciliationData[[#This Row],[last_return_date]]&gt;ReconciliationData[[#This Row],[Order_Date]]+60),1,0)</f>
        <v>0</v>
      </c>
      <c r="V2452">
        <f>IF(ReconciliationData[[#This Row],[total_returned_units]]&gt;ReconciliationData[[#This Row],[ordered_units]],1,0)</f>
        <v>0</v>
      </c>
      <c r="W24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52">
        <f>ReconciliationData[[#This Row],[Billed_Units]]*ReconciliationData[[#This Row],[Billed_Price]]</f>
        <v>65180.159999999996</v>
      </c>
      <c r="Y2452">
        <f>ReconciliationData[[#This Row],[ordered_units]]*ReconciliationData[[#This Row],[List_Price]]</f>
        <v>65180.159999999996</v>
      </c>
      <c r="Z2452">
        <f>ReconciliationData[[#This Row],[billed_revenue]]-ReconciliationData[[#This Row],[expected_revenue]]</f>
        <v>0</v>
      </c>
      <c r="AA24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52" t="str">
        <f>IF(ReconciliationData[[#This Row],[severity_score]]=0,"LOW",
 IF(ReconciliationData[[#This Row],[severity_score]]&lt;=5,"MEDIUM","HIGH"))</f>
        <v>LOW</v>
      </c>
      <c r="AC2452" t="str">
        <f>TEXT(ReconciliationData[[#This Row],[Order_Date]],"YYYY-MM")</f>
        <v>2023-01</v>
      </c>
    </row>
    <row r="2453" spans="1:29">
      <c r="A2453" t="s">
        <v>6098</v>
      </c>
      <c r="B2453" s="1">
        <v>45442</v>
      </c>
      <c r="C2453" t="s">
        <v>340</v>
      </c>
      <c r="D2453" t="s">
        <v>235</v>
      </c>
      <c r="E2453">
        <v>142</v>
      </c>
      <c r="F2453" t="s">
        <v>6099</v>
      </c>
      <c r="G2453">
        <v>142</v>
      </c>
      <c r="H2453">
        <v>426.10500000000002</v>
      </c>
      <c r="N2453">
        <v>426.10500000000002</v>
      </c>
      <c r="O2453" s="1">
        <v>45215</v>
      </c>
      <c r="P2453">
        <f>IF(ISBLANK(ReconciliationData[[#This Row],[Invoice_ID]]),1,0)</f>
        <v>0</v>
      </c>
      <c r="Q2453">
        <f>IF(AND(NOT(ISBLANK(ReconciliationData[[#This Row],[Billed_Units]])),ReconciliationData[[#This Row],[ordered_units]]&lt;&gt;ReconciliationData[[#This Row],[Billed_Units]]),1,0)</f>
        <v>0</v>
      </c>
      <c r="R24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3">
        <f>IF(AND(NOT(ISBLANK(ReconciliationData[[#This Row],[Contract_Price]])),ReconciliationData[[#This Row],[Billed_Price]]&lt;&gt;ReconciliationData[[#This Row],[Contract_Price]]),1,0)</f>
        <v>0</v>
      </c>
      <c r="T2453">
        <f>IF(AND(NOT(ISBLANK(ReconciliationData[[#This Row],[End_Date]])),ReconciliationData[[#This Row],[Order_Date]]&gt;ReconciliationData[[#This Row],[End_Date]]),1,0)</f>
        <v>0</v>
      </c>
      <c r="U2453">
        <f>IF(AND(NOT(ISBLANK(ReconciliationData[[#This Row],[last_return_date]])),ReconciliationData[[#This Row],[last_return_date]]&gt;ReconciliationData[[#This Row],[Order_Date]]+60),1,0)</f>
        <v>0</v>
      </c>
      <c r="V2453">
        <f>IF(ReconciliationData[[#This Row],[total_returned_units]]&gt;ReconciliationData[[#This Row],[ordered_units]],1,0)</f>
        <v>0</v>
      </c>
      <c r="W24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53">
        <f>ReconciliationData[[#This Row],[Billed_Units]]*ReconciliationData[[#This Row],[Billed_Price]]</f>
        <v>60506.91</v>
      </c>
      <c r="Y2453">
        <f>ReconciliationData[[#This Row],[ordered_units]]*ReconciliationData[[#This Row],[List_Price]]</f>
        <v>60506.91</v>
      </c>
      <c r="Z2453">
        <f>ReconciliationData[[#This Row],[billed_revenue]]-ReconciliationData[[#This Row],[expected_revenue]]</f>
        <v>0</v>
      </c>
      <c r="AA24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53" t="str">
        <f>IF(ReconciliationData[[#This Row],[severity_score]]=0,"LOW",
 IF(ReconciliationData[[#This Row],[severity_score]]&lt;=5,"MEDIUM","HIGH"))</f>
        <v>LOW</v>
      </c>
      <c r="AC2453" t="str">
        <f>TEXT(ReconciliationData[[#This Row],[Order_Date]],"YYYY-MM")</f>
        <v>2024-05</v>
      </c>
    </row>
    <row r="2454" spans="1:29">
      <c r="A2454" t="s">
        <v>6100</v>
      </c>
      <c r="B2454" s="1">
        <v>45556</v>
      </c>
      <c r="C2454" t="s">
        <v>1318</v>
      </c>
      <c r="D2454" t="s">
        <v>1961</v>
      </c>
      <c r="E2454">
        <v>171</v>
      </c>
      <c r="F2454" t="s">
        <v>6101</v>
      </c>
      <c r="G2454">
        <v>171</v>
      </c>
      <c r="H2454">
        <v>717.0471</v>
      </c>
      <c r="N2454">
        <v>717.0471</v>
      </c>
      <c r="O2454" s="1">
        <v>44984</v>
      </c>
      <c r="P2454">
        <f>IF(ISBLANK(ReconciliationData[[#This Row],[Invoice_ID]]),1,0)</f>
        <v>0</v>
      </c>
      <c r="Q2454">
        <f>IF(AND(NOT(ISBLANK(ReconciliationData[[#This Row],[Billed_Units]])),ReconciliationData[[#This Row],[ordered_units]]&lt;&gt;ReconciliationData[[#This Row],[Billed_Units]]),1,0)</f>
        <v>0</v>
      </c>
      <c r="R24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4">
        <f>IF(AND(NOT(ISBLANK(ReconciliationData[[#This Row],[Contract_Price]])),ReconciliationData[[#This Row],[Billed_Price]]&lt;&gt;ReconciliationData[[#This Row],[Contract_Price]]),1,0)</f>
        <v>0</v>
      </c>
      <c r="T2454">
        <f>IF(AND(NOT(ISBLANK(ReconciliationData[[#This Row],[End_Date]])),ReconciliationData[[#This Row],[Order_Date]]&gt;ReconciliationData[[#This Row],[End_Date]]),1,0)</f>
        <v>0</v>
      </c>
      <c r="U2454">
        <f>IF(AND(NOT(ISBLANK(ReconciliationData[[#This Row],[last_return_date]])),ReconciliationData[[#This Row],[last_return_date]]&gt;ReconciliationData[[#This Row],[Order_Date]]+60),1,0)</f>
        <v>0</v>
      </c>
      <c r="V2454">
        <f>IF(ReconciliationData[[#This Row],[total_returned_units]]&gt;ReconciliationData[[#This Row],[ordered_units]],1,0)</f>
        <v>0</v>
      </c>
      <c r="W24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54">
        <f>ReconciliationData[[#This Row],[Billed_Units]]*ReconciliationData[[#This Row],[Billed_Price]]</f>
        <v>122615.05409999999</v>
      </c>
      <c r="Y2454">
        <f>ReconciliationData[[#This Row],[ordered_units]]*ReconciliationData[[#This Row],[List_Price]]</f>
        <v>122615.05409999999</v>
      </c>
      <c r="Z2454">
        <f>ReconciliationData[[#This Row],[billed_revenue]]-ReconciliationData[[#This Row],[expected_revenue]]</f>
        <v>0</v>
      </c>
      <c r="AA24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54" t="str">
        <f>IF(ReconciliationData[[#This Row],[severity_score]]=0,"LOW",
 IF(ReconciliationData[[#This Row],[severity_score]]&lt;=5,"MEDIUM","HIGH"))</f>
        <v>LOW</v>
      </c>
      <c r="AC2454" t="str">
        <f>TEXT(ReconciliationData[[#This Row],[Order_Date]],"YYYY-MM")</f>
        <v>2024-09</v>
      </c>
    </row>
    <row r="2455" spans="1:29">
      <c r="A2455" t="s">
        <v>6102</v>
      </c>
      <c r="B2455" s="1">
        <v>45323</v>
      </c>
      <c r="C2455" t="s">
        <v>2018</v>
      </c>
      <c r="D2455" t="s">
        <v>589</v>
      </c>
      <c r="E2455">
        <v>60</v>
      </c>
      <c r="F2455" t="s">
        <v>6103</v>
      </c>
      <c r="G2455">
        <v>60</v>
      </c>
      <c r="H2455">
        <v>1085.8974999999998</v>
      </c>
      <c r="N2455">
        <v>1085.8974999999998</v>
      </c>
      <c r="O2455" s="1">
        <v>45147</v>
      </c>
      <c r="P2455">
        <f>IF(ISBLANK(ReconciliationData[[#This Row],[Invoice_ID]]),1,0)</f>
        <v>0</v>
      </c>
      <c r="Q2455">
        <f>IF(AND(NOT(ISBLANK(ReconciliationData[[#This Row],[Billed_Units]])),ReconciliationData[[#This Row],[ordered_units]]&lt;&gt;ReconciliationData[[#This Row],[Billed_Units]]),1,0)</f>
        <v>0</v>
      </c>
      <c r="R24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5">
        <f>IF(AND(NOT(ISBLANK(ReconciliationData[[#This Row],[Contract_Price]])),ReconciliationData[[#This Row],[Billed_Price]]&lt;&gt;ReconciliationData[[#This Row],[Contract_Price]]),1,0)</f>
        <v>0</v>
      </c>
      <c r="T2455">
        <f>IF(AND(NOT(ISBLANK(ReconciliationData[[#This Row],[End_Date]])),ReconciliationData[[#This Row],[Order_Date]]&gt;ReconciliationData[[#This Row],[End_Date]]),1,0)</f>
        <v>0</v>
      </c>
      <c r="U2455">
        <f>IF(AND(NOT(ISBLANK(ReconciliationData[[#This Row],[last_return_date]])),ReconciliationData[[#This Row],[last_return_date]]&gt;ReconciliationData[[#This Row],[Order_Date]]+60),1,0)</f>
        <v>0</v>
      </c>
      <c r="V2455">
        <f>IF(ReconciliationData[[#This Row],[total_returned_units]]&gt;ReconciliationData[[#This Row],[ordered_units]],1,0)</f>
        <v>0</v>
      </c>
      <c r="W24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55">
        <f>ReconciliationData[[#This Row],[Billed_Units]]*ReconciliationData[[#This Row],[Billed_Price]]</f>
        <v>65153.849999999991</v>
      </c>
      <c r="Y2455">
        <f>ReconciliationData[[#This Row],[ordered_units]]*ReconciliationData[[#This Row],[List_Price]]</f>
        <v>65153.849999999991</v>
      </c>
      <c r="Z2455">
        <f>ReconciliationData[[#This Row],[billed_revenue]]-ReconciliationData[[#This Row],[expected_revenue]]</f>
        <v>0</v>
      </c>
      <c r="AA24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55" t="str">
        <f>IF(ReconciliationData[[#This Row],[severity_score]]=0,"LOW",
 IF(ReconciliationData[[#This Row],[severity_score]]&lt;=5,"MEDIUM","HIGH"))</f>
        <v>LOW</v>
      </c>
      <c r="AC2455" t="str">
        <f>TEXT(ReconciliationData[[#This Row],[Order_Date]],"YYYY-MM")</f>
        <v>2024-02</v>
      </c>
    </row>
    <row r="2456" spans="1:29">
      <c r="A2456" t="s">
        <v>6104</v>
      </c>
      <c r="B2456" s="1">
        <v>45027</v>
      </c>
      <c r="C2456" t="s">
        <v>2152</v>
      </c>
      <c r="D2456" t="s">
        <v>345</v>
      </c>
      <c r="E2456">
        <v>86</v>
      </c>
      <c r="F2456" t="s">
        <v>6105</v>
      </c>
      <c r="G2456">
        <v>86</v>
      </c>
      <c r="H2456">
        <v>574.3415</v>
      </c>
      <c r="N2456">
        <v>574.3415</v>
      </c>
      <c r="O2456" s="1">
        <v>44806</v>
      </c>
      <c r="P2456">
        <f>IF(ISBLANK(ReconciliationData[[#This Row],[Invoice_ID]]),1,0)</f>
        <v>0</v>
      </c>
      <c r="Q2456">
        <f>IF(AND(NOT(ISBLANK(ReconciliationData[[#This Row],[Billed_Units]])),ReconciliationData[[#This Row],[ordered_units]]&lt;&gt;ReconciliationData[[#This Row],[Billed_Units]]),1,0)</f>
        <v>0</v>
      </c>
      <c r="R24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6">
        <f>IF(AND(NOT(ISBLANK(ReconciliationData[[#This Row],[Contract_Price]])),ReconciliationData[[#This Row],[Billed_Price]]&lt;&gt;ReconciliationData[[#This Row],[Contract_Price]]),1,0)</f>
        <v>0</v>
      </c>
      <c r="T2456">
        <f>IF(AND(NOT(ISBLANK(ReconciliationData[[#This Row],[End_Date]])),ReconciliationData[[#This Row],[Order_Date]]&gt;ReconciliationData[[#This Row],[End_Date]]),1,0)</f>
        <v>0</v>
      </c>
      <c r="U2456">
        <f>IF(AND(NOT(ISBLANK(ReconciliationData[[#This Row],[last_return_date]])),ReconciliationData[[#This Row],[last_return_date]]&gt;ReconciliationData[[#This Row],[Order_Date]]+60),1,0)</f>
        <v>0</v>
      </c>
      <c r="V2456">
        <f>IF(ReconciliationData[[#This Row],[total_returned_units]]&gt;ReconciliationData[[#This Row],[ordered_units]],1,0)</f>
        <v>0</v>
      </c>
      <c r="W24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56">
        <f>ReconciliationData[[#This Row],[Billed_Units]]*ReconciliationData[[#This Row],[Billed_Price]]</f>
        <v>49393.368999999999</v>
      </c>
      <c r="Y2456">
        <f>ReconciliationData[[#This Row],[ordered_units]]*ReconciliationData[[#This Row],[List_Price]]</f>
        <v>49393.368999999999</v>
      </c>
      <c r="Z2456">
        <f>ReconciliationData[[#This Row],[billed_revenue]]-ReconciliationData[[#This Row],[expected_revenue]]</f>
        <v>0</v>
      </c>
      <c r="AA24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56" t="str">
        <f>IF(ReconciliationData[[#This Row],[severity_score]]=0,"LOW",
 IF(ReconciliationData[[#This Row],[severity_score]]&lt;=5,"MEDIUM","HIGH"))</f>
        <v>LOW</v>
      </c>
      <c r="AC2456" t="str">
        <f>TEXT(ReconciliationData[[#This Row],[Order_Date]],"YYYY-MM")</f>
        <v>2023-04</v>
      </c>
    </row>
    <row r="2457" spans="1:29">
      <c r="A2457" t="s">
        <v>6106</v>
      </c>
      <c r="B2457" s="1">
        <v>45265</v>
      </c>
      <c r="C2457" t="s">
        <v>1367</v>
      </c>
      <c r="D2457" t="s">
        <v>227</v>
      </c>
      <c r="E2457">
        <v>11</v>
      </c>
      <c r="F2457" t="s">
        <v>6107</v>
      </c>
      <c r="G2457">
        <v>11</v>
      </c>
      <c r="H2457">
        <v>626.68790000000001</v>
      </c>
      <c r="I2457">
        <v>6</v>
      </c>
      <c r="J2457" s="1">
        <v>45690</v>
      </c>
      <c r="N2457">
        <v>626.68790000000001</v>
      </c>
      <c r="O2457" s="1">
        <v>45103</v>
      </c>
      <c r="P2457">
        <f>IF(ISBLANK(ReconciliationData[[#This Row],[Invoice_ID]]),1,0)</f>
        <v>0</v>
      </c>
      <c r="Q2457">
        <f>IF(AND(NOT(ISBLANK(ReconciliationData[[#This Row],[Billed_Units]])),ReconciliationData[[#This Row],[ordered_units]]&lt;&gt;ReconciliationData[[#This Row],[Billed_Units]]),1,0)</f>
        <v>0</v>
      </c>
      <c r="R24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7">
        <f>IF(AND(NOT(ISBLANK(ReconciliationData[[#This Row],[Contract_Price]])),ReconciliationData[[#This Row],[Billed_Price]]&lt;&gt;ReconciliationData[[#This Row],[Contract_Price]]),1,0)</f>
        <v>0</v>
      </c>
      <c r="T2457">
        <f>IF(AND(NOT(ISBLANK(ReconciliationData[[#This Row],[End_Date]])),ReconciliationData[[#This Row],[Order_Date]]&gt;ReconciliationData[[#This Row],[End_Date]]),1,0)</f>
        <v>0</v>
      </c>
      <c r="U2457">
        <f>IF(AND(NOT(ISBLANK(ReconciliationData[[#This Row],[last_return_date]])),ReconciliationData[[#This Row],[last_return_date]]&gt;ReconciliationData[[#This Row],[Order_Date]]+60),1,0)</f>
        <v>1</v>
      </c>
      <c r="V2457">
        <f>IF(ReconciliationData[[#This Row],[total_returned_units]]&gt;ReconciliationData[[#This Row],[ordered_units]],1,0)</f>
        <v>0</v>
      </c>
      <c r="W24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457">
        <f>ReconciliationData[[#This Row],[Billed_Units]]*ReconciliationData[[#This Row],[Billed_Price]]</f>
        <v>6893.5668999999998</v>
      </c>
      <c r="Y2457">
        <f>ReconciliationData[[#This Row],[ordered_units]]*ReconciliationData[[#This Row],[List_Price]]</f>
        <v>6893.5668999999998</v>
      </c>
      <c r="Z2457">
        <f>ReconciliationData[[#This Row],[billed_revenue]]-ReconciliationData[[#This Row],[expected_revenue]]</f>
        <v>0</v>
      </c>
      <c r="AA24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457" t="str">
        <f>IF(ReconciliationData[[#This Row],[severity_score]]=0,"LOW",
 IF(ReconciliationData[[#This Row],[severity_score]]&lt;=5,"MEDIUM","HIGH"))</f>
        <v>MEDIUM</v>
      </c>
      <c r="AC2457" t="str">
        <f>TEXT(ReconciliationData[[#This Row],[Order_Date]],"YYYY-MM")</f>
        <v>2023-12</v>
      </c>
    </row>
    <row r="2458" spans="1:29">
      <c r="A2458" t="s">
        <v>6108</v>
      </c>
      <c r="B2458" s="1">
        <v>45412</v>
      </c>
      <c r="C2458" t="s">
        <v>149</v>
      </c>
      <c r="D2458" t="s">
        <v>239</v>
      </c>
      <c r="E2458">
        <v>46</v>
      </c>
      <c r="F2458" t="s">
        <v>6109</v>
      </c>
      <c r="G2458">
        <v>46</v>
      </c>
      <c r="H2458">
        <v>1218.568</v>
      </c>
      <c r="N2458">
        <v>1218.568</v>
      </c>
      <c r="O2458" s="1">
        <v>45061</v>
      </c>
      <c r="P2458">
        <f>IF(ISBLANK(ReconciliationData[[#This Row],[Invoice_ID]]),1,0)</f>
        <v>0</v>
      </c>
      <c r="Q2458">
        <f>IF(AND(NOT(ISBLANK(ReconciliationData[[#This Row],[Billed_Units]])),ReconciliationData[[#This Row],[ordered_units]]&lt;&gt;ReconciliationData[[#This Row],[Billed_Units]]),1,0)</f>
        <v>0</v>
      </c>
      <c r="R24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8">
        <f>IF(AND(NOT(ISBLANK(ReconciliationData[[#This Row],[Contract_Price]])),ReconciliationData[[#This Row],[Billed_Price]]&lt;&gt;ReconciliationData[[#This Row],[Contract_Price]]),1,0)</f>
        <v>0</v>
      </c>
      <c r="T2458">
        <f>IF(AND(NOT(ISBLANK(ReconciliationData[[#This Row],[End_Date]])),ReconciliationData[[#This Row],[Order_Date]]&gt;ReconciliationData[[#This Row],[End_Date]]),1,0)</f>
        <v>0</v>
      </c>
      <c r="U2458">
        <f>IF(AND(NOT(ISBLANK(ReconciliationData[[#This Row],[last_return_date]])),ReconciliationData[[#This Row],[last_return_date]]&gt;ReconciliationData[[#This Row],[Order_Date]]+60),1,0)</f>
        <v>0</v>
      </c>
      <c r="V2458">
        <f>IF(ReconciliationData[[#This Row],[total_returned_units]]&gt;ReconciliationData[[#This Row],[ordered_units]],1,0)</f>
        <v>0</v>
      </c>
      <c r="W24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58">
        <f>ReconciliationData[[#This Row],[Billed_Units]]*ReconciliationData[[#This Row],[Billed_Price]]</f>
        <v>56054.127999999997</v>
      </c>
      <c r="Y2458">
        <f>ReconciliationData[[#This Row],[ordered_units]]*ReconciliationData[[#This Row],[List_Price]]</f>
        <v>56054.127999999997</v>
      </c>
      <c r="Z2458">
        <f>ReconciliationData[[#This Row],[billed_revenue]]-ReconciliationData[[#This Row],[expected_revenue]]</f>
        <v>0</v>
      </c>
      <c r="AA24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58" t="str">
        <f>IF(ReconciliationData[[#This Row],[severity_score]]=0,"LOW",
 IF(ReconciliationData[[#This Row],[severity_score]]&lt;=5,"MEDIUM","HIGH"))</f>
        <v>LOW</v>
      </c>
      <c r="AC2458" t="str">
        <f>TEXT(ReconciliationData[[#This Row],[Order_Date]],"YYYY-MM")</f>
        <v>2024-04</v>
      </c>
    </row>
    <row r="2459" spans="1:29">
      <c r="A2459" t="s">
        <v>6110</v>
      </c>
      <c r="B2459" s="1">
        <v>45163</v>
      </c>
      <c r="C2459" t="s">
        <v>620</v>
      </c>
      <c r="D2459" t="s">
        <v>158</v>
      </c>
      <c r="E2459">
        <v>150</v>
      </c>
      <c r="F2459" t="s">
        <v>6111</v>
      </c>
      <c r="G2459">
        <v>150</v>
      </c>
      <c r="H2459">
        <v>700.93560000000002</v>
      </c>
      <c r="N2459">
        <v>700.93560000000002</v>
      </c>
      <c r="O2459" s="1">
        <v>45077</v>
      </c>
      <c r="P2459">
        <f>IF(ISBLANK(ReconciliationData[[#This Row],[Invoice_ID]]),1,0)</f>
        <v>0</v>
      </c>
      <c r="Q2459">
        <f>IF(AND(NOT(ISBLANK(ReconciliationData[[#This Row],[Billed_Units]])),ReconciliationData[[#This Row],[ordered_units]]&lt;&gt;ReconciliationData[[#This Row],[Billed_Units]]),1,0)</f>
        <v>0</v>
      </c>
      <c r="R24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59">
        <f>IF(AND(NOT(ISBLANK(ReconciliationData[[#This Row],[Contract_Price]])),ReconciliationData[[#This Row],[Billed_Price]]&lt;&gt;ReconciliationData[[#This Row],[Contract_Price]]),1,0)</f>
        <v>0</v>
      </c>
      <c r="T2459">
        <f>IF(AND(NOT(ISBLANK(ReconciliationData[[#This Row],[End_Date]])),ReconciliationData[[#This Row],[Order_Date]]&gt;ReconciliationData[[#This Row],[End_Date]]),1,0)</f>
        <v>0</v>
      </c>
      <c r="U2459">
        <f>IF(AND(NOT(ISBLANK(ReconciliationData[[#This Row],[last_return_date]])),ReconciliationData[[#This Row],[last_return_date]]&gt;ReconciliationData[[#This Row],[Order_Date]]+60),1,0)</f>
        <v>0</v>
      </c>
      <c r="V2459">
        <f>IF(ReconciliationData[[#This Row],[total_returned_units]]&gt;ReconciliationData[[#This Row],[ordered_units]],1,0)</f>
        <v>0</v>
      </c>
      <c r="W24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59">
        <f>ReconciliationData[[#This Row],[Billed_Units]]*ReconciliationData[[#This Row],[Billed_Price]]</f>
        <v>105140.34</v>
      </c>
      <c r="Y2459">
        <f>ReconciliationData[[#This Row],[ordered_units]]*ReconciliationData[[#This Row],[List_Price]]</f>
        <v>105140.34</v>
      </c>
      <c r="Z2459">
        <f>ReconciliationData[[#This Row],[billed_revenue]]-ReconciliationData[[#This Row],[expected_revenue]]</f>
        <v>0</v>
      </c>
      <c r="AA24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59" t="str">
        <f>IF(ReconciliationData[[#This Row],[severity_score]]=0,"LOW",
 IF(ReconciliationData[[#This Row],[severity_score]]&lt;=5,"MEDIUM","HIGH"))</f>
        <v>LOW</v>
      </c>
      <c r="AC2459" t="str">
        <f>TEXT(ReconciliationData[[#This Row],[Order_Date]],"YYYY-MM")</f>
        <v>2023-08</v>
      </c>
    </row>
    <row r="2460" spans="1:29">
      <c r="A2460" t="s">
        <v>6112</v>
      </c>
      <c r="B2460" s="1">
        <v>44958</v>
      </c>
      <c r="C2460" t="s">
        <v>359</v>
      </c>
      <c r="D2460" t="s">
        <v>533</v>
      </c>
      <c r="E2460">
        <v>12</v>
      </c>
      <c r="F2460" t="s">
        <v>6113</v>
      </c>
      <c r="G2460">
        <v>12</v>
      </c>
      <c r="H2460">
        <v>859.25750000000005</v>
      </c>
      <c r="N2460">
        <v>859.25750000000005</v>
      </c>
      <c r="O2460" s="1">
        <v>44782</v>
      </c>
      <c r="P2460">
        <f>IF(ISBLANK(ReconciliationData[[#This Row],[Invoice_ID]]),1,0)</f>
        <v>0</v>
      </c>
      <c r="Q2460">
        <f>IF(AND(NOT(ISBLANK(ReconciliationData[[#This Row],[Billed_Units]])),ReconciliationData[[#This Row],[ordered_units]]&lt;&gt;ReconciliationData[[#This Row],[Billed_Units]]),1,0)</f>
        <v>0</v>
      </c>
      <c r="R24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60">
        <f>IF(AND(NOT(ISBLANK(ReconciliationData[[#This Row],[Contract_Price]])),ReconciliationData[[#This Row],[Billed_Price]]&lt;&gt;ReconciliationData[[#This Row],[Contract_Price]]),1,0)</f>
        <v>0</v>
      </c>
      <c r="T2460">
        <f>IF(AND(NOT(ISBLANK(ReconciliationData[[#This Row],[End_Date]])),ReconciliationData[[#This Row],[Order_Date]]&gt;ReconciliationData[[#This Row],[End_Date]]),1,0)</f>
        <v>0</v>
      </c>
      <c r="U2460">
        <f>IF(AND(NOT(ISBLANK(ReconciliationData[[#This Row],[last_return_date]])),ReconciliationData[[#This Row],[last_return_date]]&gt;ReconciliationData[[#This Row],[Order_Date]]+60),1,0)</f>
        <v>0</v>
      </c>
      <c r="V2460">
        <f>IF(ReconciliationData[[#This Row],[total_returned_units]]&gt;ReconciliationData[[#This Row],[ordered_units]],1,0)</f>
        <v>0</v>
      </c>
      <c r="W24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60">
        <f>ReconciliationData[[#This Row],[Billed_Units]]*ReconciliationData[[#This Row],[Billed_Price]]</f>
        <v>10311.09</v>
      </c>
      <c r="Y2460">
        <f>ReconciliationData[[#This Row],[ordered_units]]*ReconciliationData[[#This Row],[List_Price]]</f>
        <v>10311.09</v>
      </c>
      <c r="Z2460">
        <f>ReconciliationData[[#This Row],[billed_revenue]]-ReconciliationData[[#This Row],[expected_revenue]]</f>
        <v>0</v>
      </c>
      <c r="AA24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60" t="str">
        <f>IF(ReconciliationData[[#This Row],[severity_score]]=0,"LOW",
 IF(ReconciliationData[[#This Row],[severity_score]]&lt;=5,"MEDIUM","HIGH"))</f>
        <v>LOW</v>
      </c>
      <c r="AC2460" t="str">
        <f>TEXT(ReconciliationData[[#This Row],[Order_Date]],"YYYY-MM")</f>
        <v>2023-02</v>
      </c>
    </row>
    <row r="2461" spans="1:29">
      <c r="A2461" t="s">
        <v>6114</v>
      </c>
      <c r="B2461" s="1">
        <v>45396</v>
      </c>
      <c r="C2461" t="s">
        <v>2809</v>
      </c>
      <c r="D2461" t="s">
        <v>1717</v>
      </c>
      <c r="E2461">
        <v>131</v>
      </c>
      <c r="F2461" t="s">
        <v>6115</v>
      </c>
      <c r="G2461">
        <v>131</v>
      </c>
      <c r="H2461">
        <v>1166.4765000000002</v>
      </c>
      <c r="N2461">
        <v>1166.4765000000002</v>
      </c>
      <c r="O2461" s="1">
        <v>45114</v>
      </c>
      <c r="P2461">
        <f>IF(ISBLANK(ReconciliationData[[#This Row],[Invoice_ID]]),1,0)</f>
        <v>0</v>
      </c>
      <c r="Q2461">
        <f>IF(AND(NOT(ISBLANK(ReconciliationData[[#This Row],[Billed_Units]])),ReconciliationData[[#This Row],[ordered_units]]&lt;&gt;ReconciliationData[[#This Row],[Billed_Units]]),1,0)</f>
        <v>0</v>
      </c>
      <c r="R24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61">
        <f>IF(AND(NOT(ISBLANK(ReconciliationData[[#This Row],[Contract_Price]])),ReconciliationData[[#This Row],[Billed_Price]]&lt;&gt;ReconciliationData[[#This Row],[Contract_Price]]),1,0)</f>
        <v>0</v>
      </c>
      <c r="T2461">
        <f>IF(AND(NOT(ISBLANK(ReconciliationData[[#This Row],[End_Date]])),ReconciliationData[[#This Row],[Order_Date]]&gt;ReconciliationData[[#This Row],[End_Date]]),1,0)</f>
        <v>0</v>
      </c>
      <c r="U2461">
        <f>IF(AND(NOT(ISBLANK(ReconciliationData[[#This Row],[last_return_date]])),ReconciliationData[[#This Row],[last_return_date]]&gt;ReconciliationData[[#This Row],[Order_Date]]+60),1,0)</f>
        <v>0</v>
      </c>
      <c r="V2461">
        <f>IF(ReconciliationData[[#This Row],[total_returned_units]]&gt;ReconciliationData[[#This Row],[ordered_units]],1,0)</f>
        <v>0</v>
      </c>
      <c r="W24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61">
        <f>ReconciliationData[[#This Row],[Billed_Units]]*ReconciliationData[[#This Row],[Billed_Price]]</f>
        <v>152808.42150000003</v>
      </c>
      <c r="Y2461">
        <f>ReconciliationData[[#This Row],[ordered_units]]*ReconciliationData[[#This Row],[List_Price]]</f>
        <v>152808.42150000003</v>
      </c>
      <c r="Z2461">
        <f>ReconciliationData[[#This Row],[billed_revenue]]-ReconciliationData[[#This Row],[expected_revenue]]</f>
        <v>0</v>
      </c>
      <c r="AA24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61" t="str">
        <f>IF(ReconciliationData[[#This Row],[severity_score]]=0,"LOW",
 IF(ReconciliationData[[#This Row],[severity_score]]&lt;=5,"MEDIUM","HIGH"))</f>
        <v>LOW</v>
      </c>
      <c r="AC2461" t="str">
        <f>TEXT(ReconciliationData[[#This Row],[Order_Date]],"YYYY-MM")</f>
        <v>2024-04</v>
      </c>
    </row>
    <row r="2462" spans="1:29">
      <c r="A2462" t="s">
        <v>6116</v>
      </c>
      <c r="B2462" s="1">
        <v>45217</v>
      </c>
      <c r="C2462" t="s">
        <v>728</v>
      </c>
      <c r="D2462" t="s">
        <v>832</v>
      </c>
      <c r="E2462">
        <v>175</v>
      </c>
      <c r="F2462" t="s">
        <v>6117</v>
      </c>
      <c r="G2462">
        <v>175</v>
      </c>
      <c r="H2462">
        <v>324.52350000000001</v>
      </c>
      <c r="N2462">
        <v>324.52350000000001</v>
      </c>
      <c r="O2462" s="1">
        <v>45100</v>
      </c>
      <c r="P2462">
        <f>IF(ISBLANK(ReconciliationData[[#This Row],[Invoice_ID]]),1,0)</f>
        <v>0</v>
      </c>
      <c r="Q2462">
        <f>IF(AND(NOT(ISBLANK(ReconciliationData[[#This Row],[Billed_Units]])),ReconciliationData[[#This Row],[ordered_units]]&lt;&gt;ReconciliationData[[#This Row],[Billed_Units]]),1,0)</f>
        <v>0</v>
      </c>
      <c r="R24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62">
        <f>IF(AND(NOT(ISBLANK(ReconciliationData[[#This Row],[Contract_Price]])),ReconciliationData[[#This Row],[Billed_Price]]&lt;&gt;ReconciliationData[[#This Row],[Contract_Price]]),1,0)</f>
        <v>0</v>
      </c>
      <c r="T2462">
        <f>IF(AND(NOT(ISBLANK(ReconciliationData[[#This Row],[End_Date]])),ReconciliationData[[#This Row],[Order_Date]]&gt;ReconciliationData[[#This Row],[End_Date]]),1,0)</f>
        <v>0</v>
      </c>
      <c r="U2462">
        <f>IF(AND(NOT(ISBLANK(ReconciliationData[[#This Row],[last_return_date]])),ReconciliationData[[#This Row],[last_return_date]]&gt;ReconciliationData[[#This Row],[Order_Date]]+60),1,0)</f>
        <v>0</v>
      </c>
      <c r="V2462">
        <f>IF(ReconciliationData[[#This Row],[total_returned_units]]&gt;ReconciliationData[[#This Row],[ordered_units]],1,0)</f>
        <v>0</v>
      </c>
      <c r="W24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62">
        <f>ReconciliationData[[#This Row],[Billed_Units]]*ReconciliationData[[#This Row],[Billed_Price]]</f>
        <v>56791.612500000003</v>
      </c>
      <c r="Y2462">
        <f>ReconciliationData[[#This Row],[ordered_units]]*ReconciliationData[[#This Row],[List_Price]]</f>
        <v>56791.612500000003</v>
      </c>
      <c r="Z2462">
        <f>ReconciliationData[[#This Row],[billed_revenue]]-ReconciliationData[[#This Row],[expected_revenue]]</f>
        <v>0</v>
      </c>
      <c r="AA24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62" t="str">
        <f>IF(ReconciliationData[[#This Row],[severity_score]]=0,"LOW",
 IF(ReconciliationData[[#This Row],[severity_score]]&lt;=5,"MEDIUM","HIGH"))</f>
        <v>LOW</v>
      </c>
      <c r="AC2462" t="str">
        <f>TEXT(ReconciliationData[[#This Row],[Order_Date]],"YYYY-MM")</f>
        <v>2023-10</v>
      </c>
    </row>
    <row r="2463" spans="1:29">
      <c r="A2463" t="s">
        <v>6118</v>
      </c>
      <c r="B2463" s="1">
        <v>45384</v>
      </c>
      <c r="C2463" t="s">
        <v>3744</v>
      </c>
      <c r="D2463" t="s">
        <v>1411</v>
      </c>
      <c r="E2463">
        <v>116</v>
      </c>
      <c r="F2463" t="s">
        <v>6119</v>
      </c>
      <c r="G2463">
        <v>116</v>
      </c>
      <c r="H2463">
        <v>1167.9120000000005</v>
      </c>
      <c r="N2463">
        <v>1167.9120000000005</v>
      </c>
      <c r="O2463" s="1">
        <v>45019</v>
      </c>
      <c r="P2463">
        <f>IF(ISBLANK(ReconciliationData[[#This Row],[Invoice_ID]]),1,0)</f>
        <v>0</v>
      </c>
      <c r="Q2463">
        <f>IF(AND(NOT(ISBLANK(ReconciliationData[[#This Row],[Billed_Units]])),ReconciliationData[[#This Row],[ordered_units]]&lt;&gt;ReconciliationData[[#This Row],[Billed_Units]]),1,0)</f>
        <v>0</v>
      </c>
      <c r="R24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63">
        <f>IF(AND(NOT(ISBLANK(ReconciliationData[[#This Row],[Contract_Price]])),ReconciliationData[[#This Row],[Billed_Price]]&lt;&gt;ReconciliationData[[#This Row],[Contract_Price]]),1,0)</f>
        <v>0</v>
      </c>
      <c r="T2463">
        <f>IF(AND(NOT(ISBLANK(ReconciliationData[[#This Row],[End_Date]])),ReconciliationData[[#This Row],[Order_Date]]&gt;ReconciliationData[[#This Row],[End_Date]]),1,0)</f>
        <v>0</v>
      </c>
      <c r="U2463">
        <f>IF(AND(NOT(ISBLANK(ReconciliationData[[#This Row],[last_return_date]])),ReconciliationData[[#This Row],[last_return_date]]&gt;ReconciliationData[[#This Row],[Order_Date]]+60),1,0)</f>
        <v>0</v>
      </c>
      <c r="V2463">
        <f>IF(ReconciliationData[[#This Row],[total_returned_units]]&gt;ReconciliationData[[#This Row],[ordered_units]],1,0)</f>
        <v>0</v>
      </c>
      <c r="W24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63">
        <f>ReconciliationData[[#This Row],[Billed_Units]]*ReconciliationData[[#This Row],[Billed_Price]]</f>
        <v>135477.79200000004</v>
      </c>
      <c r="Y2463">
        <f>ReconciliationData[[#This Row],[ordered_units]]*ReconciliationData[[#This Row],[List_Price]]</f>
        <v>135477.79200000004</v>
      </c>
      <c r="Z2463">
        <f>ReconciliationData[[#This Row],[billed_revenue]]-ReconciliationData[[#This Row],[expected_revenue]]</f>
        <v>0</v>
      </c>
      <c r="AA24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63" t="str">
        <f>IF(ReconciliationData[[#This Row],[severity_score]]=0,"LOW",
 IF(ReconciliationData[[#This Row],[severity_score]]&lt;=5,"MEDIUM","HIGH"))</f>
        <v>LOW</v>
      </c>
      <c r="AC2463" t="str">
        <f>TEXT(ReconciliationData[[#This Row],[Order_Date]],"YYYY-MM")</f>
        <v>2024-04</v>
      </c>
    </row>
    <row r="2464" spans="1:29">
      <c r="A2464" t="s">
        <v>6120</v>
      </c>
      <c r="B2464" s="1">
        <v>45526</v>
      </c>
      <c r="C2464" t="s">
        <v>6121</v>
      </c>
      <c r="D2464" t="s">
        <v>1385</v>
      </c>
      <c r="E2464">
        <v>83</v>
      </c>
      <c r="F2464" t="s">
        <v>6122</v>
      </c>
      <c r="G2464">
        <v>83</v>
      </c>
      <c r="H2464">
        <v>288.11460137556998</v>
      </c>
      <c r="N2464">
        <v>287.90559999999999</v>
      </c>
      <c r="O2464" s="1">
        <v>45224</v>
      </c>
      <c r="P2464">
        <f>IF(ISBLANK(ReconciliationData[[#This Row],[Invoice_ID]]),1,0)</f>
        <v>0</v>
      </c>
      <c r="Q2464">
        <f>IF(AND(NOT(ISBLANK(ReconciliationData[[#This Row],[Billed_Units]])),ReconciliationData[[#This Row],[ordered_units]]&lt;&gt;ReconciliationData[[#This Row],[Billed_Units]]),1,0)</f>
        <v>0</v>
      </c>
      <c r="R246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464">
        <f>IF(AND(NOT(ISBLANK(ReconciliationData[[#This Row],[Contract_Price]])),ReconciliationData[[#This Row],[Billed_Price]]&lt;&gt;ReconciliationData[[#This Row],[Contract_Price]]),1,0)</f>
        <v>0</v>
      </c>
      <c r="T2464">
        <f>IF(AND(NOT(ISBLANK(ReconciliationData[[#This Row],[End_Date]])),ReconciliationData[[#This Row],[Order_Date]]&gt;ReconciliationData[[#This Row],[End_Date]]),1,0)</f>
        <v>0</v>
      </c>
      <c r="U2464">
        <f>IF(AND(NOT(ISBLANK(ReconciliationData[[#This Row],[last_return_date]])),ReconciliationData[[#This Row],[last_return_date]]&gt;ReconciliationData[[#This Row],[Order_Date]]+60),1,0)</f>
        <v>0</v>
      </c>
      <c r="V2464">
        <f>IF(ReconciliationData[[#This Row],[total_returned_units]]&gt;ReconciliationData[[#This Row],[ordered_units]],1,0)</f>
        <v>0</v>
      </c>
      <c r="W24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464">
        <f>ReconciliationData[[#This Row],[Billed_Units]]*ReconciliationData[[#This Row],[Billed_Price]]</f>
        <v>23913.511914172308</v>
      </c>
      <c r="Y2464">
        <f>ReconciliationData[[#This Row],[ordered_units]]*ReconciliationData[[#This Row],[List_Price]]</f>
        <v>23896.164799999999</v>
      </c>
      <c r="Z2464">
        <f>ReconciliationData[[#This Row],[billed_revenue]]-ReconciliationData[[#This Row],[expected_revenue]]</f>
        <v>17.347114172309375</v>
      </c>
      <c r="AA24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464" t="str">
        <f>IF(ReconciliationData[[#This Row],[severity_score]]=0,"LOW",
 IF(ReconciliationData[[#This Row],[severity_score]]&lt;=5,"MEDIUM","HIGH"))</f>
        <v>MEDIUM</v>
      </c>
      <c r="AC2464" t="str">
        <f>TEXT(ReconciliationData[[#This Row],[Order_Date]],"YYYY-MM")</f>
        <v>2024-08</v>
      </c>
    </row>
    <row r="2465" spans="1:29">
      <c r="A2465" t="s">
        <v>6123</v>
      </c>
      <c r="B2465" s="1">
        <v>45640</v>
      </c>
      <c r="C2465" t="s">
        <v>831</v>
      </c>
      <c r="D2465" t="s">
        <v>3006</v>
      </c>
      <c r="E2465">
        <v>34</v>
      </c>
      <c r="F2465" t="s">
        <v>6124</v>
      </c>
      <c r="G2465">
        <v>34</v>
      </c>
      <c r="H2465">
        <v>720.47380000000021</v>
      </c>
      <c r="N2465">
        <v>720.47380000000021</v>
      </c>
      <c r="O2465" s="1">
        <v>45026</v>
      </c>
      <c r="P2465">
        <f>IF(ISBLANK(ReconciliationData[[#This Row],[Invoice_ID]]),1,0)</f>
        <v>0</v>
      </c>
      <c r="Q2465">
        <f>IF(AND(NOT(ISBLANK(ReconciliationData[[#This Row],[Billed_Units]])),ReconciliationData[[#This Row],[ordered_units]]&lt;&gt;ReconciliationData[[#This Row],[Billed_Units]]),1,0)</f>
        <v>0</v>
      </c>
      <c r="R24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65">
        <f>IF(AND(NOT(ISBLANK(ReconciliationData[[#This Row],[Contract_Price]])),ReconciliationData[[#This Row],[Billed_Price]]&lt;&gt;ReconciliationData[[#This Row],[Contract_Price]]),1,0)</f>
        <v>0</v>
      </c>
      <c r="T2465">
        <f>IF(AND(NOT(ISBLANK(ReconciliationData[[#This Row],[End_Date]])),ReconciliationData[[#This Row],[Order_Date]]&gt;ReconciliationData[[#This Row],[End_Date]]),1,0)</f>
        <v>0</v>
      </c>
      <c r="U2465">
        <f>IF(AND(NOT(ISBLANK(ReconciliationData[[#This Row],[last_return_date]])),ReconciliationData[[#This Row],[last_return_date]]&gt;ReconciliationData[[#This Row],[Order_Date]]+60),1,0)</f>
        <v>0</v>
      </c>
      <c r="V2465">
        <f>IF(ReconciliationData[[#This Row],[total_returned_units]]&gt;ReconciliationData[[#This Row],[ordered_units]],1,0)</f>
        <v>0</v>
      </c>
      <c r="W24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65">
        <f>ReconciliationData[[#This Row],[Billed_Units]]*ReconciliationData[[#This Row],[Billed_Price]]</f>
        <v>24496.109200000006</v>
      </c>
      <c r="Y2465">
        <f>ReconciliationData[[#This Row],[ordered_units]]*ReconciliationData[[#This Row],[List_Price]]</f>
        <v>24496.109200000006</v>
      </c>
      <c r="Z2465">
        <f>ReconciliationData[[#This Row],[billed_revenue]]-ReconciliationData[[#This Row],[expected_revenue]]</f>
        <v>0</v>
      </c>
      <c r="AA24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65" t="str">
        <f>IF(ReconciliationData[[#This Row],[severity_score]]=0,"LOW",
 IF(ReconciliationData[[#This Row],[severity_score]]&lt;=5,"MEDIUM","HIGH"))</f>
        <v>LOW</v>
      </c>
      <c r="AC2465" t="str">
        <f>TEXT(ReconciliationData[[#This Row],[Order_Date]],"YYYY-MM")</f>
        <v>2024-12</v>
      </c>
    </row>
    <row r="2466" spans="1:29">
      <c r="A2466" t="s">
        <v>6125</v>
      </c>
      <c r="B2466" s="1">
        <v>45124</v>
      </c>
      <c r="C2466" t="s">
        <v>5606</v>
      </c>
      <c r="D2466" t="s">
        <v>883</v>
      </c>
      <c r="E2466">
        <v>125</v>
      </c>
      <c r="F2466" t="s">
        <v>6126</v>
      </c>
      <c r="G2466">
        <v>125</v>
      </c>
      <c r="H2466">
        <v>403.01909999999998</v>
      </c>
      <c r="N2466">
        <v>403.01909999999998</v>
      </c>
      <c r="O2466" s="1">
        <v>45056</v>
      </c>
      <c r="P2466">
        <f>IF(ISBLANK(ReconciliationData[[#This Row],[Invoice_ID]]),1,0)</f>
        <v>0</v>
      </c>
      <c r="Q2466">
        <f>IF(AND(NOT(ISBLANK(ReconciliationData[[#This Row],[Billed_Units]])),ReconciliationData[[#This Row],[ordered_units]]&lt;&gt;ReconciliationData[[#This Row],[Billed_Units]]),1,0)</f>
        <v>0</v>
      </c>
      <c r="R24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66">
        <f>IF(AND(NOT(ISBLANK(ReconciliationData[[#This Row],[Contract_Price]])),ReconciliationData[[#This Row],[Billed_Price]]&lt;&gt;ReconciliationData[[#This Row],[Contract_Price]]),1,0)</f>
        <v>0</v>
      </c>
      <c r="T2466">
        <f>IF(AND(NOT(ISBLANK(ReconciliationData[[#This Row],[End_Date]])),ReconciliationData[[#This Row],[Order_Date]]&gt;ReconciliationData[[#This Row],[End_Date]]),1,0)</f>
        <v>0</v>
      </c>
      <c r="U2466">
        <f>IF(AND(NOT(ISBLANK(ReconciliationData[[#This Row],[last_return_date]])),ReconciliationData[[#This Row],[last_return_date]]&gt;ReconciliationData[[#This Row],[Order_Date]]+60),1,0)</f>
        <v>0</v>
      </c>
      <c r="V2466">
        <f>IF(ReconciliationData[[#This Row],[total_returned_units]]&gt;ReconciliationData[[#This Row],[ordered_units]],1,0)</f>
        <v>0</v>
      </c>
      <c r="W24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66">
        <f>ReconciliationData[[#This Row],[Billed_Units]]*ReconciliationData[[#This Row],[Billed_Price]]</f>
        <v>50377.387499999997</v>
      </c>
      <c r="Y2466">
        <f>ReconciliationData[[#This Row],[ordered_units]]*ReconciliationData[[#This Row],[List_Price]]</f>
        <v>50377.387499999997</v>
      </c>
      <c r="Z2466">
        <f>ReconciliationData[[#This Row],[billed_revenue]]-ReconciliationData[[#This Row],[expected_revenue]]</f>
        <v>0</v>
      </c>
      <c r="AA24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66" t="str">
        <f>IF(ReconciliationData[[#This Row],[severity_score]]=0,"LOW",
 IF(ReconciliationData[[#This Row],[severity_score]]&lt;=5,"MEDIUM","HIGH"))</f>
        <v>LOW</v>
      </c>
      <c r="AC2466" t="str">
        <f>TEXT(ReconciliationData[[#This Row],[Order_Date]],"YYYY-MM")</f>
        <v>2023-07</v>
      </c>
    </row>
    <row r="2467" spans="1:29">
      <c r="A2467" t="s">
        <v>6127</v>
      </c>
      <c r="B2467" s="1">
        <v>45081</v>
      </c>
      <c r="C2467" t="s">
        <v>1944</v>
      </c>
      <c r="D2467" t="s">
        <v>381</v>
      </c>
      <c r="E2467">
        <v>45</v>
      </c>
      <c r="F2467" t="s">
        <v>6128</v>
      </c>
      <c r="G2467">
        <v>45</v>
      </c>
      <c r="H2467">
        <v>933.82110000000011</v>
      </c>
      <c r="N2467">
        <v>933.82110000000011</v>
      </c>
      <c r="O2467" s="1">
        <v>44855</v>
      </c>
      <c r="P2467">
        <f>IF(ISBLANK(ReconciliationData[[#This Row],[Invoice_ID]]),1,0)</f>
        <v>0</v>
      </c>
      <c r="Q2467">
        <f>IF(AND(NOT(ISBLANK(ReconciliationData[[#This Row],[Billed_Units]])),ReconciliationData[[#This Row],[ordered_units]]&lt;&gt;ReconciliationData[[#This Row],[Billed_Units]]),1,0)</f>
        <v>0</v>
      </c>
      <c r="R24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67">
        <f>IF(AND(NOT(ISBLANK(ReconciliationData[[#This Row],[Contract_Price]])),ReconciliationData[[#This Row],[Billed_Price]]&lt;&gt;ReconciliationData[[#This Row],[Contract_Price]]),1,0)</f>
        <v>0</v>
      </c>
      <c r="T2467">
        <f>IF(AND(NOT(ISBLANK(ReconciliationData[[#This Row],[End_Date]])),ReconciliationData[[#This Row],[Order_Date]]&gt;ReconciliationData[[#This Row],[End_Date]]),1,0)</f>
        <v>0</v>
      </c>
      <c r="U2467">
        <f>IF(AND(NOT(ISBLANK(ReconciliationData[[#This Row],[last_return_date]])),ReconciliationData[[#This Row],[last_return_date]]&gt;ReconciliationData[[#This Row],[Order_Date]]+60),1,0)</f>
        <v>0</v>
      </c>
      <c r="V2467">
        <f>IF(ReconciliationData[[#This Row],[total_returned_units]]&gt;ReconciliationData[[#This Row],[ordered_units]],1,0)</f>
        <v>0</v>
      </c>
      <c r="W24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67">
        <f>ReconciliationData[[#This Row],[Billed_Units]]*ReconciliationData[[#This Row],[Billed_Price]]</f>
        <v>42021.949500000002</v>
      </c>
      <c r="Y2467">
        <f>ReconciliationData[[#This Row],[ordered_units]]*ReconciliationData[[#This Row],[List_Price]]</f>
        <v>42021.949500000002</v>
      </c>
      <c r="Z2467">
        <f>ReconciliationData[[#This Row],[billed_revenue]]-ReconciliationData[[#This Row],[expected_revenue]]</f>
        <v>0</v>
      </c>
      <c r="AA24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67" t="str">
        <f>IF(ReconciliationData[[#This Row],[severity_score]]=0,"LOW",
 IF(ReconciliationData[[#This Row],[severity_score]]&lt;=5,"MEDIUM","HIGH"))</f>
        <v>LOW</v>
      </c>
      <c r="AC2467" t="str">
        <f>TEXT(ReconciliationData[[#This Row],[Order_Date]],"YYYY-MM")</f>
        <v>2023-06</v>
      </c>
    </row>
    <row r="2468" spans="1:29">
      <c r="A2468" t="s">
        <v>6129</v>
      </c>
      <c r="B2468" s="1">
        <v>45269</v>
      </c>
      <c r="C2468" t="s">
        <v>2485</v>
      </c>
      <c r="D2468" t="s">
        <v>1794</v>
      </c>
      <c r="E2468">
        <v>132</v>
      </c>
      <c r="F2468" t="s">
        <v>6130</v>
      </c>
      <c r="G2468">
        <v>132</v>
      </c>
      <c r="H2468">
        <v>491.10239999999999</v>
      </c>
      <c r="N2468">
        <v>491.10239999999999</v>
      </c>
      <c r="O2468" s="1">
        <v>45187</v>
      </c>
      <c r="P2468">
        <f>IF(ISBLANK(ReconciliationData[[#This Row],[Invoice_ID]]),1,0)</f>
        <v>0</v>
      </c>
      <c r="Q2468">
        <f>IF(AND(NOT(ISBLANK(ReconciliationData[[#This Row],[Billed_Units]])),ReconciliationData[[#This Row],[ordered_units]]&lt;&gt;ReconciliationData[[#This Row],[Billed_Units]]),1,0)</f>
        <v>0</v>
      </c>
      <c r="R24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68">
        <f>IF(AND(NOT(ISBLANK(ReconciliationData[[#This Row],[Contract_Price]])),ReconciliationData[[#This Row],[Billed_Price]]&lt;&gt;ReconciliationData[[#This Row],[Contract_Price]]),1,0)</f>
        <v>0</v>
      </c>
      <c r="T2468">
        <f>IF(AND(NOT(ISBLANK(ReconciliationData[[#This Row],[End_Date]])),ReconciliationData[[#This Row],[Order_Date]]&gt;ReconciliationData[[#This Row],[End_Date]]),1,0)</f>
        <v>0</v>
      </c>
      <c r="U2468">
        <f>IF(AND(NOT(ISBLANK(ReconciliationData[[#This Row],[last_return_date]])),ReconciliationData[[#This Row],[last_return_date]]&gt;ReconciliationData[[#This Row],[Order_Date]]+60),1,0)</f>
        <v>0</v>
      </c>
      <c r="V2468">
        <f>IF(ReconciliationData[[#This Row],[total_returned_units]]&gt;ReconciliationData[[#This Row],[ordered_units]],1,0)</f>
        <v>0</v>
      </c>
      <c r="W24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68">
        <f>ReconciliationData[[#This Row],[Billed_Units]]*ReconciliationData[[#This Row],[Billed_Price]]</f>
        <v>64825.516799999998</v>
      </c>
      <c r="Y2468">
        <f>ReconciliationData[[#This Row],[ordered_units]]*ReconciliationData[[#This Row],[List_Price]]</f>
        <v>64825.516799999998</v>
      </c>
      <c r="Z2468">
        <f>ReconciliationData[[#This Row],[billed_revenue]]-ReconciliationData[[#This Row],[expected_revenue]]</f>
        <v>0</v>
      </c>
      <c r="AA24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68" t="str">
        <f>IF(ReconciliationData[[#This Row],[severity_score]]=0,"LOW",
 IF(ReconciliationData[[#This Row],[severity_score]]&lt;=5,"MEDIUM","HIGH"))</f>
        <v>LOW</v>
      </c>
      <c r="AC2468" t="str">
        <f>TEXT(ReconciliationData[[#This Row],[Order_Date]],"YYYY-MM")</f>
        <v>2023-12</v>
      </c>
    </row>
    <row r="2469" spans="1:29">
      <c r="A2469" t="s">
        <v>6131</v>
      </c>
      <c r="B2469" s="1">
        <v>45514</v>
      </c>
      <c r="C2469" t="s">
        <v>3196</v>
      </c>
      <c r="D2469" t="s">
        <v>2050</v>
      </c>
      <c r="E2469">
        <v>94</v>
      </c>
      <c r="F2469" t="s">
        <v>6132</v>
      </c>
      <c r="G2469">
        <v>94</v>
      </c>
      <c r="H2469">
        <v>994.85640000000001</v>
      </c>
      <c r="N2469">
        <v>994.85640000000001</v>
      </c>
      <c r="O2469" s="1">
        <v>45149</v>
      </c>
      <c r="P2469">
        <f>IF(ISBLANK(ReconciliationData[[#This Row],[Invoice_ID]]),1,0)</f>
        <v>0</v>
      </c>
      <c r="Q2469">
        <f>IF(AND(NOT(ISBLANK(ReconciliationData[[#This Row],[Billed_Units]])),ReconciliationData[[#This Row],[ordered_units]]&lt;&gt;ReconciliationData[[#This Row],[Billed_Units]]),1,0)</f>
        <v>0</v>
      </c>
      <c r="R24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69">
        <f>IF(AND(NOT(ISBLANK(ReconciliationData[[#This Row],[Contract_Price]])),ReconciliationData[[#This Row],[Billed_Price]]&lt;&gt;ReconciliationData[[#This Row],[Contract_Price]]),1,0)</f>
        <v>0</v>
      </c>
      <c r="T2469">
        <f>IF(AND(NOT(ISBLANK(ReconciliationData[[#This Row],[End_Date]])),ReconciliationData[[#This Row],[Order_Date]]&gt;ReconciliationData[[#This Row],[End_Date]]),1,0)</f>
        <v>0</v>
      </c>
      <c r="U2469">
        <f>IF(AND(NOT(ISBLANK(ReconciliationData[[#This Row],[last_return_date]])),ReconciliationData[[#This Row],[last_return_date]]&gt;ReconciliationData[[#This Row],[Order_Date]]+60),1,0)</f>
        <v>0</v>
      </c>
      <c r="V2469">
        <f>IF(ReconciliationData[[#This Row],[total_returned_units]]&gt;ReconciliationData[[#This Row],[ordered_units]],1,0)</f>
        <v>0</v>
      </c>
      <c r="W24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69">
        <f>ReconciliationData[[#This Row],[Billed_Units]]*ReconciliationData[[#This Row],[Billed_Price]]</f>
        <v>93516.501600000003</v>
      </c>
      <c r="Y2469">
        <f>ReconciliationData[[#This Row],[ordered_units]]*ReconciliationData[[#This Row],[List_Price]]</f>
        <v>93516.501600000003</v>
      </c>
      <c r="Z2469">
        <f>ReconciliationData[[#This Row],[billed_revenue]]-ReconciliationData[[#This Row],[expected_revenue]]</f>
        <v>0</v>
      </c>
      <c r="AA24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69" t="str">
        <f>IF(ReconciliationData[[#This Row],[severity_score]]=0,"LOW",
 IF(ReconciliationData[[#This Row],[severity_score]]&lt;=5,"MEDIUM","HIGH"))</f>
        <v>LOW</v>
      </c>
      <c r="AC2469" t="str">
        <f>TEXT(ReconciliationData[[#This Row],[Order_Date]],"YYYY-MM")</f>
        <v>2024-08</v>
      </c>
    </row>
    <row r="2470" spans="1:29">
      <c r="A2470" t="s">
        <v>6133</v>
      </c>
      <c r="B2470" s="1">
        <v>44953</v>
      </c>
      <c r="C2470" t="s">
        <v>6134</v>
      </c>
      <c r="D2470" t="s">
        <v>472</v>
      </c>
      <c r="E2470">
        <v>129</v>
      </c>
      <c r="F2470" t="s">
        <v>6135</v>
      </c>
      <c r="G2470">
        <v>129</v>
      </c>
      <c r="H2470">
        <v>682.98</v>
      </c>
      <c r="N2470">
        <v>682.98</v>
      </c>
      <c r="O2470" s="1">
        <v>44629</v>
      </c>
      <c r="P2470">
        <f>IF(ISBLANK(ReconciliationData[[#This Row],[Invoice_ID]]),1,0)</f>
        <v>0</v>
      </c>
      <c r="Q2470">
        <f>IF(AND(NOT(ISBLANK(ReconciliationData[[#This Row],[Billed_Units]])),ReconciliationData[[#This Row],[ordered_units]]&lt;&gt;ReconciliationData[[#This Row],[Billed_Units]]),1,0)</f>
        <v>0</v>
      </c>
      <c r="R24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0">
        <f>IF(AND(NOT(ISBLANK(ReconciliationData[[#This Row],[Contract_Price]])),ReconciliationData[[#This Row],[Billed_Price]]&lt;&gt;ReconciliationData[[#This Row],[Contract_Price]]),1,0)</f>
        <v>0</v>
      </c>
      <c r="T2470">
        <f>IF(AND(NOT(ISBLANK(ReconciliationData[[#This Row],[End_Date]])),ReconciliationData[[#This Row],[Order_Date]]&gt;ReconciliationData[[#This Row],[End_Date]]),1,0)</f>
        <v>0</v>
      </c>
      <c r="U2470">
        <f>IF(AND(NOT(ISBLANK(ReconciliationData[[#This Row],[last_return_date]])),ReconciliationData[[#This Row],[last_return_date]]&gt;ReconciliationData[[#This Row],[Order_Date]]+60),1,0)</f>
        <v>0</v>
      </c>
      <c r="V2470">
        <f>IF(ReconciliationData[[#This Row],[total_returned_units]]&gt;ReconciliationData[[#This Row],[ordered_units]],1,0)</f>
        <v>0</v>
      </c>
      <c r="W24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70">
        <f>ReconciliationData[[#This Row],[Billed_Units]]*ReconciliationData[[#This Row],[Billed_Price]]</f>
        <v>88104.42</v>
      </c>
      <c r="Y2470">
        <f>ReconciliationData[[#This Row],[ordered_units]]*ReconciliationData[[#This Row],[List_Price]]</f>
        <v>88104.42</v>
      </c>
      <c r="Z2470">
        <f>ReconciliationData[[#This Row],[billed_revenue]]-ReconciliationData[[#This Row],[expected_revenue]]</f>
        <v>0</v>
      </c>
      <c r="AA24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70" t="str">
        <f>IF(ReconciliationData[[#This Row],[severity_score]]=0,"LOW",
 IF(ReconciliationData[[#This Row],[severity_score]]&lt;=5,"MEDIUM","HIGH"))</f>
        <v>LOW</v>
      </c>
      <c r="AC2470" t="str">
        <f>TEXT(ReconciliationData[[#This Row],[Order_Date]],"YYYY-MM")</f>
        <v>2023-01</v>
      </c>
    </row>
    <row r="2471" spans="1:29">
      <c r="A2471" t="s">
        <v>6136</v>
      </c>
      <c r="B2471" s="1">
        <v>45391</v>
      </c>
      <c r="C2471" t="s">
        <v>1682</v>
      </c>
      <c r="D2471" t="s">
        <v>962</v>
      </c>
      <c r="E2471">
        <v>161</v>
      </c>
      <c r="F2471" t="s">
        <v>6137</v>
      </c>
      <c r="G2471">
        <v>161</v>
      </c>
      <c r="H2471">
        <v>709.52</v>
      </c>
      <c r="N2471">
        <v>709.52</v>
      </c>
      <c r="O2471" s="1">
        <v>44952</v>
      </c>
      <c r="P2471">
        <f>IF(ISBLANK(ReconciliationData[[#This Row],[Invoice_ID]]),1,0)</f>
        <v>0</v>
      </c>
      <c r="Q2471">
        <f>IF(AND(NOT(ISBLANK(ReconciliationData[[#This Row],[Billed_Units]])),ReconciliationData[[#This Row],[ordered_units]]&lt;&gt;ReconciliationData[[#This Row],[Billed_Units]]),1,0)</f>
        <v>0</v>
      </c>
      <c r="R24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1">
        <f>IF(AND(NOT(ISBLANK(ReconciliationData[[#This Row],[Contract_Price]])),ReconciliationData[[#This Row],[Billed_Price]]&lt;&gt;ReconciliationData[[#This Row],[Contract_Price]]),1,0)</f>
        <v>0</v>
      </c>
      <c r="T2471">
        <f>IF(AND(NOT(ISBLANK(ReconciliationData[[#This Row],[End_Date]])),ReconciliationData[[#This Row],[Order_Date]]&gt;ReconciliationData[[#This Row],[End_Date]]),1,0)</f>
        <v>0</v>
      </c>
      <c r="U2471">
        <f>IF(AND(NOT(ISBLANK(ReconciliationData[[#This Row],[last_return_date]])),ReconciliationData[[#This Row],[last_return_date]]&gt;ReconciliationData[[#This Row],[Order_Date]]+60),1,0)</f>
        <v>0</v>
      </c>
      <c r="V2471">
        <f>IF(ReconciliationData[[#This Row],[total_returned_units]]&gt;ReconciliationData[[#This Row],[ordered_units]],1,0)</f>
        <v>0</v>
      </c>
      <c r="W24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71">
        <f>ReconciliationData[[#This Row],[Billed_Units]]*ReconciliationData[[#This Row],[Billed_Price]]</f>
        <v>114232.72</v>
      </c>
      <c r="Y2471">
        <f>ReconciliationData[[#This Row],[ordered_units]]*ReconciliationData[[#This Row],[List_Price]]</f>
        <v>114232.72</v>
      </c>
      <c r="Z2471">
        <f>ReconciliationData[[#This Row],[billed_revenue]]-ReconciliationData[[#This Row],[expected_revenue]]</f>
        <v>0</v>
      </c>
      <c r="AA24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71" t="str">
        <f>IF(ReconciliationData[[#This Row],[severity_score]]=0,"LOW",
 IF(ReconciliationData[[#This Row],[severity_score]]&lt;=5,"MEDIUM","HIGH"))</f>
        <v>LOW</v>
      </c>
      <c r="AC2471" t="str">
        <f>TEXT(ReconciliationData[[#This Row],[Order_Date]],"YYYY-MM")</f>
        <v>2024-04</v>
      </c>
    </row>
    <row r="2472" spans="1:29">
      <c r="A2472" t="s">
        <v>6138</v>
      </c>
      <c r="B2472" s="1">
        <v>45280</v>
      </c>
      <c r="C2472" t="s">
        <v>936</v>
      </c>
      <c r="D2472" t="s">
        <v>247</v>
      </c>
      <c r="E2472">
        <v>188</v>
      </c>
      <c r="F2472" t="s">
        <v>6139</v>
      </c>
      <c r="G2472">
        <v>188</v>
      </c>
      <c r="H2472">
        <v>715.86900000000003</v>
      </c>
      <c r="N2472">
        <v>715.86900000000003</v>
      </c>
      <c r="O2472" s="1">
        <v>45140</v>
      </c>
      <c r="P2472">
        <f>IF(ISBLANK(ReconciliationData[[#This Row],[Invoice_ID]]),1,0)</f>
        <v>0</v>
      </c>
      <c r="Q2472">
        <f>IF(AND(NOT(ISBLANK(ReconciliationData[[#This Row],[Billed_Units]])),ReconciliationData[[#This Row],[ordered_units]]&lt;&gt;ReconciliationData[[#This Row],[Billed_Units]]),1,0)</f>
        <v>0</v>
      </c>
      <c r="R24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2">
        <f>IF(AND(NOT(ISBLANK(ReconciliationData[[#This Row],[Contract_Price]])),ReconciliationData[[#This Row],[Billed_Price]]&lt;&gt;ReconciliationData[[#This Row],[Contract_Price]]),1,0)</f>
        <v>0</v>
      </c>
      <c r="T2472">
        <f>IF(AND(NOT(ISBLANK(ReconciliationData[[#This Row],[End_Date]])),ReconciliationData[[#This Row],[Order_Date]]&gt;ReconciliationData[[#This Row],[End_Date]]),1,0)</f>
        <v>0</v>
      </c>
      <c r="U2472">
        <f>IF(AND(NOT(ISBLANK(ReconciliationData[[#This Row],[last_return_date]])),ReconciliationData[[#This Row],[last_return_date]]&gt;ReconciliationData[[#This Row],[Order_Date]]+60),1,0)</f>
        <v>0</v>
      </c>
      <c r="V2472">
        <f>IF(ReconciliationData[[#This Row],[total_returned_units]]&gt;ReconciliationData[[#This Row],[ordered_units]],1,0)</f>
        <v>0</v>
      </c>
      <c r="W24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72">
        <f>ReconciliationData[[#This Row],[Billed_Units]]*ReconciliationData[[#This Row],[Billed_Price]]</f>
        <v>134583.372</v>
      </c>
      <c r="Y2472">
        <f>ReconciliationData[[#This Row],[ordered_units]]*ReconciliationData[[#This Row],[List_Price]]</f>
        <v>134583.372</v>
      </c>
      <c r="Z2472">
        <f>ReconciliationData[[#This Row],[billed_revenue]]-ReconciliationData[[#This Row],[expected_revenue]]</f>
        <v>0</v>
      </c>
      <c r="AA24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72" t="str">
        <f>IF(ReconciliationData[[#This Row],[severity_score]]=0,"LOW",
 IF(ReconciliationData[[#This Row],[severity_score]]&lt;=5,"MEDIUM","HIGH"))</f>
        <v>LOW</v>
      </c>
      <c r="AC2472" t="str">
        <f>TEXT(ReconciliationData[[#This Row],[Order_Date]],"YYYY-MM")</f>
        <v>2023-12</v>
      </c>
    </row>
    <row r="2473" spans="1:29">
      <c r="A2473" t="s">
        <v>6140</v>
      </c>
      <c r="B2473" s="1">
        <v>45495</v>
      </c>
      <c r="C2473" t="s">
        <v>3580</v>
      </c>
      <c r="D2473" t="s">
        <v>178</v>
      </c>
      <c r="E2473">
        <v>183</v>
      </c>
      <c r="F2473" t="s">
        <v>6141</v>
      </c>
      <c r="G2473">
        <v>183</v>
      </c>
      <c r="H2473">
        <v>687.65840000000003</v>
      </c>
      <c r="N2473">
        <v>687.65840000000003</v>
      </c>
      <c r="O2473" s="1">
        <v>45139</v>
      </c>
      <c r="P2473">
        <f>IF(ISBLANK(ReconciliationData[[#This Row],[Invoice_ID]]),1,0)</f>
        <v>0</v>
      </c>
      <c r="Q2473">
        <f>IF(AND(NOT(ISBLANK(ReconciliationData[[#This Row],[Billed_Units]])),ReconciliationData[[#This Row],[ordered_units]]&lt;&gt;ReconciliationData[[#This Row],[Billed_Units]]),1,0)</f>
        <v>0</v>
      </c>
      <c r="R24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3">
        <f>IF(AND(NOT(ISBLANK(ReconciliationData[[#This Row],[Contract_Price]])),ReconciliationData[[#This Row],[Billed_Price]]&lt;&gt;ReconciliationData[[#This Row],[Contract_Price]]),1,0)</f>
        <v>0</v>
      </c>
      <c r="T2473">
        <f>IF(AND(NOT(ISBLANK(ReconciliationData[[#This Row],[End_Date]])),ReconciliationData[[#This Row],[Order_Date]]&gt;ReconciliationData[[#This Row],[End_Date]]),1,0)</f>
        <v>0</v>
      </c>
      <c r="U2473">
        <f>IF(AND(NOT(ISBLANK(ReconciliationData[[#This Row],[last_return_date]])),ReconciliationData[[#This Row],[last_return_date]]&gt;ReconciliationData[[#This Row],[Order_Date]]+60),1,0)</f>
        <v>0</v>
      </c>
      <c r="V2473">
        <f>IF(ReconciliationData[[#This Row],[total_returned_units]]&gt;ReconciliationData[[#This Row],[ordered_units]],1,0)</f>
        <v>0</v>
      </c>
      <c r="W24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73">
        <f>ReconciliationData[[#This Row],[Billed_Units]]*ReconciliationData[[#This Row],[Billed_Price]]</f>
        <v>125841.4872</v>
      </c>
      <c r="Y2473">
        <f>ReconciliationData[[#This Row],[ordered_units]]*ReconciliationData[[#This Row],[List_Price]]</f>
        <v>125841.4872</v>
      </c>
      <c r="Z2473">
        <f>ReconciliationData[[#This Row],[billed_revenue]]-ReconciliationData[[#This Row],[expected_revenue]]</f>
        <v>0</v>
      </c>
      <c r="AA24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73" t="str">
        <f>IF(ReconciliationData[[#This Row],[severity_score]]=0,"LOW",
 IF(ReconciliationData[[#This Row],[severity_score]]&lt;=5,"MEDIUM","HIGH"))</f>
        <v>LOW</v>
      </c>
      <c r="AC2473" t="str">
        <f>TEXT(ReconciliationData[[#This Row],[Order_Date]],"YYYY-MM")</f>
        <v>2024-07</v>
      </c>
    </row>
    <row r="2474" spans="1:29">
      <c r="A2474" t="s">
        <v>6142</v>
      </c>
      <c r="B2474" s="1">
        <v>45650</v>
      </c>
      <c r="C2474" t="s">
        <v>5961</v>
      </c>
      <c r="D2474" t="s">
        <v>944</v>
      </c>
      <c r="E2474">
        <v>11</v>
      </c>
      <c r="F2474" t="s">
        <v>6143</v>
      </c>
      <c r="G2474">
        <v>11</v>
      </c>
      <c r="H2474">
        <v>1006.8318</v>
      </c>
      <c r="N2474">
        <v>1006.8318</v>
      </c>
      <c r="O2474" s="1">
        <v>45204</v>
      </c>
      <c r="P2474">
        <f>IF(ISBLANK(ReconciliationData[[#This Row],[Invoice_ID]]),1,0)</f>
        <v>0</v>
      </c>
      <c r="Q2474">
        <f>IF(AND(NOT(ISBLANK(ReconciliationData[[#This Row],[Billed_Units]])),ReconciliationData[[#This Row],[ordered_units]]&lt;&gt;ReconciliationData[[#This Row],[Billed_Units]]),1,0)</f>
        <v>0</v>
      </c>
      <c r="R24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4">
        <f>IF(AND(NOT(ISBLANK(ReconciliationData[[#This Row],[Contract_Price]])),ReconciliationData[[#This Row],[Billed_Price]]&lt;&gt;ReconciliationData[[#This Row],[Contract_Price]]),1,0)</f>
        <v>0</v>
      </c>
      <c r="T2474">
        <f>IF(AND(NOT(ISBLANK(ReconciliationData[[#This Row],[End_Date]])),ReconciliationData[[#This Row],[Order_Date]]&gt;ReconciliationData[[#This Row],[End_Date]]),1,0)</f>
        <v>0</v>
      </c>
      <c r="U2474">
        <f>IF(AND(NOT(ISBLANK(ReconciliationData[[#This Row],[last_return_date]])),ReconciliationData[[#This Row],[last_return_date]]&gt;ReconciliationData[[#This Row],[Order_Date]]+60),1,0)</f>
        <v>0</v>
      </c>
      <c r="V2474">
        <f>IF(ReconciliationData[[#This Row],[total_returned_units]]&gt;ReconciliationData[[#This Row],[ordered_units]],1,0)</f>
        <v>0</v>
      </c>
      <c r="W24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74">
        <f>ReconciliationData[[#This Row],[Billed_Units]]*ReconciliationData[[#This Row],[Billed_Price]]</f>
        <v>11075.149800000001</v>
      </c>
      <c r="Y2474">
        <f>ReconciliationData[[#This Row],[ordered_units]]*ReconciliationData[[#This Row],[List_Price]]</f>
        <v>11075.149800000001</v>
      </c>
      <c r="Z2474">
        <f>ReconciliationData[[#This Row],[billed_revenue]]-ReconciliationData[[#This Row],[expected_revenue]]</f>
        <v>0</v>
      </c>
      <c r="AA24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74" t="str">
        <f>IF(ReconciliationData[[#This Row],[severity_score]]=0,"LOW",
 IF(ReconciliationData[[#This Row],[severity_score]]&lt;=5,"MEDIUM","HIGH"))</f>
        <v>LOW</v>
      </c>
      <c r="AC2474" t="str">
        <f>TEXT(ReconciliationData[[#This Row],[Order_Date]],"YYYY-MM")</f>
        <v>2024-12</v>
      </c>
    </row>
    <row r="2475" spans="1:29">
      <c r="A2475" t="s">
        <v>6144</v>
      </c>
      <c r="B2475" s="1">
        <v>45542</v>
      </c>
      <c r="C2475" t="s">
        <v>1077</v>
      </c>
      <c r="D2475" t="s">
        <v>1309</v>
      </c>
      <c r="E2475">
        <v>173</v>
      </c>
      <c r="F2475" t="s">
        <v>6145</v>
      </c>
      <c r="G2475">
        <v>173</v>
      </c>
      <c r="H2475">
        <v>906.88919999999996</v>
      </c>
      <c r="N2475">
        <v>906.88919999999996</v>
      </c>
      <c r="O2475" s="1">
        <v>44991</v>
      </c>
      <c r="P2475">
        <f>IF(ISBLANK(ReconciliationData[[#This Row],[Invoice_ID]]),1,0)</f>
        <v>0</v>
      </c>
      <c r="Q2475">
        <f>IF(AND(NOT(ISBLANK(ReconciliationData[[#This Row],[Billed_Units]])),ReconciliationData[[#This Row],[ordered_units]]&lt;&gt;ReconciliationData[[#This Row],[Billed_Units]]),1,0)</f>
        <v>0</v>
      </c>
      <c r="R24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5">
        <f>IF(AND(NOT(ISBLANK(ReconciliationData[[#This Row],[Contract_Price]])),ReconciliationData[[#This Row],[Billed_Price]]&lt;&gt;ReconciliationData[[#This Row],[Contract_Price]]),1,0)</f>
        <v>0</v>
      </c>
      <c r="T2475">
        <f>IF(AND(NOT(ISBLANK(ReconciliationData[[#This Row],[End_Date]])),ReconciliationData[[#This Row],[Order_Date]]&gt;ReconciliationData[[#This Row],[End_Date]]),1,0)</f>
        <v>0</v>
      </c>
      <c r="U2475">
        <f>IF(AND(NOT(ISBLANK(ReconciliationData[[#This Row],[last_return_date]])),ReconciliationData[[#This Row],[last_return_date]]&gt;ReconciliationData[[#This Row],[Order_Date]]+60),1,0)</f>
        <v>0</v>
      </c>
      <c r="V2475">
        <f>IF(ReconciliationData[[#This Row],[total_returned_units]]&gt;ReconciliationData[[#This Row],[ordered_units]],1,0)</f>
        <v>0</v>
      </c>
      <c r="W24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75">
        <f>ReconciliationData[[#This Row],[Billed_Units]]*ReconciliationData[[#This Row],[Billed_Price]]</f>
        <v>156891.8316</v>
      </c>
      <c r="Y2475">
        <f>ReconciliationData[[#This Row],[ordered_units]]*ReconciliationData[[#This Row],[List_Price]]</f>
        <v>156891.8316</v>
      </c>
      <c r="Z2475">
        <f>ReconciliationData[[#This Row],[billed_revenue]]-ReconciliationData[[#This Row],[expected_revenue]]</f>
        <v>0</v>
      </c>
      <c r="AA24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75" t="str">
        <f>IF(ReconciliationData[[#This Row],[severity_score]]=0,"LOW",
 IF(ReconciliationData[[#This Row],[severity_score]]&lt;=5,"MEDIUM","HIGH"))</f>
        <v>LOW</v>
      </c>
      <c r="AC2475" t="str">
        <f>TEXT(ReconciliationData[[#This Row],[Order_Date]],"YYYY-MM")</f>
        <v>2024-09</v>
      </c>
    </row>
    <row r="2476" spans="1:29">
      <c r="A2476" t="s">
        <v>6146</v>
      </c>
      <c r="B2476" s="1">
        <v>45031</v>
      </c>
      <c r="C2476" t="s">
        <v>2200</v>
      </c>
      <c r="D2476" t="s">
        <v>423</v>
      </c>
      <c r="E2476">
        <v>139</v>
      </c>
      <c r="F2476" t="s">
        <v>6147</v>
      </c>
      <c r="G2476">
        <v>139</v>
      </c>
      <c r="H2476">
        <v>168.12909999999999</v>
      </c>
      <c r="N2476">
        <v>168.12909999999999</v>
      </c>
      <c r="O2476" s="1">
        <v>45013</v>
      </c>
      <c r="P2476">
        <f>IF(ISBLANK(ReconciliationData[[#This Row],[Invoice_ID]]),1,0)</f>
        <v>0</v>
      </c>
      <c r="Q2476">
        <f>IF(AND(NOT(ISBLANK(ReconciliationData[[#This Row],[Billed_Units]])),ReconciliationData[[#This Row],[ordered_units]]&lt;&gt;ReconciliationData[[#This Row],[Billed_Units]]),1,0)</f>
        <v>0</v>
      </c>
      <c r="R24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6">
        <f>IF(AND(NOT(ISBLANK(ReconciliationData[[#This Row],[Contract_Price]])),ReconciliationData[[#This Row],[Billed_Price]]&lt;&gt;ReconciliationData[[#This Row],[Contract_Price]]),1,0)</f>
        <v>0</v>
      </c>
      <c r="T2476">
        <f>IF(AND(NOT(ISBLANK(ReconciliationData[[#This Row],[End_Date]])),ReconciliationData[[#This Row],[Order_Date]]&gt;ReconciliationData[[#This Row],[End_Date]]),1,0)</f>
        <v>0</v>
      </c>
      <c r="U2476">
        <f>IF(AND(NOT(ISBLANK(ReconciliationData[[#This Row],[last_return_date]])),ReconciliationData[[#This Row],[last_return_date]]&gt;ReconciliationData[[#This Row],[Order_Date]]+60),1,0)</f>
        <v>0</v>
      </c>
      <c r="V2476">
        <f>IF(ReconciliationData[[#This Row],[total_returned_units]]&gt;ReconciliationData[[#This Row],[ordered_units]],1,0)</f>
        <v>0</v>
      </c>
      <c r="W24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76">
        <f>ReconciliationData[[#This Row],[Billed_Units]]*ReconciliationData[[#This Row],[Billed_Price]]</f>
        <v>23369.944899999999</v>
      </c>
      <c r="Y2476">
        <f>ReconciliationData[[#This Row],[ordered_units]]*ReconciliationData[[#This Row],[List_Price]]</f>
        <v>23369.944899999999</v>
      </c>
      <c r="Z2476">
        <f>ReconciliationData[[#This Row],[billed_revenue]]-ReconciliationData[[#This Row],[expected_revenue]]</f>
        <v>0</v>
      </c>
      <c r="AA24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76" t="str">
        <f>IF(ReconciliationData[[#This Row],[severity_score]]=0,"LOW",
 IF(ReconciliationData[[#This Row],[severity_score]]&lt;=5,"MEDIUM","HIGH"))</f>
        <v>LOW</v>
      </c>
      <c r="AC2476" t="str">
        <f>TEXT(ReconciliationData[[#This Row],[Order_Date]],"YYYY-MM")</f>
        <v>2023-04</v>
      </c>
    </row>
    <row r="2477" spans="1:29">
      <c r="A2477" t="s">
        <v>6148</v>
      </c>
      <c r="B2477" s="1">
        <v>44935</v>
      </c>
      <c r="C2477" t="s">
        <v>452</v>
      </c>
      <c r="D2477" t="s">
        <v>170</v>
      </c>
      <c r="E2477">
        <v>78</v>
      </c>
      <c r="F2477" t="s">
        <v>6149</v>
      </c>
      <c r="G2477">
        <v>78</v>
      </c>
      <c r="H2477">
        <v>426.37880000000001</v>
      </c>
      <c r="N2477">
        <v>426.37880000000001</v>
      </c>
      <c r="O2477" s="1">
        <v>44923</v>
      </c>
      <c r="P2477">
        <f>IF(ISBLANK(ReconciliationData[[#This Row],[Invoice_ID]]),1,0)</f>
        <v>0</v>
      </c>
      <c r="Q2477">
        <f>IF(AND(NOT(ISBLANK(ReconciliationData[[#This Row],[Billed_Units]])),ReconciliationData[[#This Row],[ordered_units]]&lt;&gt;ReconciliationData[[#This Row],[Billed_Units]]),1,0)</f>
        <v>0</v>
      </c>
      <c r="R24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7">
        <f>IF(AND(NOT(ISBLANK(ReconciliationData[[#This Row],[Contract_Price]])),ReconciliationData[[#This Row],[Billed_Price]]&lt;&gt;ReconciliationData[[#This Row],[Contract_Price]]),1,0)</f>
        <v>0</v>
      </c>
      <c r="T2477">
        <f>IF(AND(NOT(ISBLANK(ReconciliationData[[#This Row],[End_Date]])),ReconciliationData[[#This Row],[Order_Date]]&gt;ReconciliationData[[#This Row],[End_Date]]),1,0)</f>
        <v>0</v>
      </c>
      <c r="U2477">
        <f>IF(AND(NOT(ISBLANK(ReconciliationData[[#This Row],[last_return_date]])),ReconciliationData[[#This Row],[last_return_date]]&gt;ReconciliationData[[#This Row],[Order_Date]]+60),1,0)</f>
        <v>0</v>
      </c>
      <c r="V2477">
        <f>IF(ReconciliationData[[#This Row],[total_returned_units]]&gt;ReconciliationData[[#This Row],[ordered_units]],1,0)</f>
        <v>0</v>
      </c>
      <c r="W24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77">
        <f>ReconciliationData[[#This Row],[Billed_Units]]*ReconciliationData[[#This Row],[Billed_Price]]</f>
        <v>33257.546399999999</v>
      </c>
      <c r="Y2477">
        <f>ReconciliationData[[#This Row],[ordered_units]]*ReconciliationData[[#This Row],[List_Price]]</f>
        <v>33257.546399999999</v>
      </c>
      <c r="Z2477">
        <f>ReconciliationData[[#This Row],[billed_revenue]]-ReconciliationData[[#This Row],[expected_revenue]]</f>
        <v>0</v>
      </c>
      <c r="AA24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77" t="str">
        <f>IF(ReconciliationData[[#This Row],[severity_score]]=0,"LOW",
 IF(ReconciliationData[[#This Row],[severity_score]]&lt;=5,"MEDIUM","HIGH"))</f>
        <v>LOW</v>
      </c>
      <c r="AC2477" t="str">
        <f>TEXT(ReconciliationData[[#This Row],[Order_Date]],"YYYY-MM")</f>
        <v>2023-01</v>
      </c>
    </row>
    <row r="2478" spans="1:29">
      <c r="A2478" t="s">
        <v>6150</v>
      </c>
      <c r="B2478" s="1">
        <v>45273</v>
      </c>
      <c r="C2478" t="s">
        <v>1399</v>
      </c>
      <c r="D2478" t="s">
        <v>1432</v>
      </c>
      <c r="E2478">
        <v>62</v>
      </c>
      <c r="F2478" t="s">
        <v>6151</v>
      </c>
      <c r="G2478">
        <v>62</v>
      </c>
      <c r="H2478">
        <v>828.36189999999999</v>
      </c>
      <c r="I2478">
        <v>7</v>
      </c>
      <c r="J2478" s="1">
        <v>45633</v>
      </c>
      <c r="N2478">
        <v>828.36189999999999</v>
      </c>
      <c r="O2478" s="1">
        <v>45137</v>
      </c>
      <c r="P2478">
        <f>IF(ISBLANK(ReconciliationData[[#This Row],[Invoice_ID]]),1,0)</f>
        <v>0</v>
      </c>
      <c r="Q2478">
        <f>IF(AND(NOT(ISBLANK(ReconciliationData[[#This Row],[Billed_Units]])),ReconciliationData[[#This Row],[ordered_units]]&lt;&gt;ReconciliationData[[#This Row],[Billed_Units]]),1,0)</f>
        <v>0</v>
      </c>
      <c r="R24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8">
        <f>IF(AND(NOT(ISBLANK(ReconciliationData[[#This Row],[Contract_Price]])),ReconciliationData[[#This Row],[Billed_Price]]&lt;&gt;ReconciliationData[[#This Row],[Contract_Price]]),1,0)</f>
        <v>0</v>
      </c>
      <c r="T2478">
        <f>IF(AND(NOT(ISBLANK(ReconciliationData[[#This Row],[End_Date]])),ReconciliationData[[#This Row],[Order_Date]]&gt;ReconciliationData[[#This Row],[End_Date]]),1,0)</f>
        <v>0</v>
      </c>
      <c r="U2478">
        <f>IF(AND(NOT(ISBLANK(ReconciliationData[[#This Row],[last_return_date]])),ReconciliationData[[#This Row],[last_return_date]]&gt;ReconciliationData[[#This Row],[Order_Date]]+60),1,0)</f>
        <v>1</v>
      </c>
      <c r="V2478">
        <f>IF(ReconciliationData[[#This Row],[total_returned_units]]&gt;ReconciliationData[[#This Row],[ordered_units]],1,0)</f>
        <v>0</v>
      </c>
      <c r="W24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478">
        <f>ReconciliationData[[#This Row],[Billed_Units]]*ReconciliationData[[#This Row],[Billed_Price]]</f>
        <v>51358.4378</v>
      </c>
      <c r="Y2478">
        <f>ReconciliationData[[#This Row],[ordered_units]]*ReconciliationData[[#This Row],[List_Price]]</f>
        <v>51358.4378</v>
      </c>
      <c r="Z2478">
        <f>ReconciliationData[[#This Row],[billed_revenue]]-ReconciliationData[[#This Row],[expected_revenue]]</f>
        <v>0</v>
      </c>
      <c r="AA24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478" t="str">
        <f>IF(ReconciliationData[[#This Row],[severity_score]]=0,"LOW",
 IF(ReconciliationData[[#This Row],[severity_score]]&lt;=5,"MEDIUM","HIGH"))</f>
        <v>MEDIUM</v>
      </c>
      <c r="AC2478" t="str">
        <f>TEXT(ReconciliationData[[#This Row],[Order_Date]],"YYYY-MM")</f>
        <v>2023-12</v>
      </c>
    </row>
    <row r="2479" spans="1:29">
      <c r="A2479" t="s">
        <v>6152</v>
      </c>
      <c r="B2479" s="1">
        <v>45389</v>
      </c>
      <c r="C2479" t="s">
        <v>6153</v>
      </c>
      <c r="D2479" t="s">
        <v>490</v>
      </c>
      <c r="E2479">
        <v>104</v>
      </c>
      <c r="F2479" t="s">
        <v>6154</v>
      </c>
      <c r="G2479">
        <v>104</v>
      </c>
      <c r="H2479">
        <v>1157.6343999999999</v>
      </c>
      <c r="N2479">
        <v>1157.6343999999999</v>
      </c>
      <c r="O2479" s="1">
        <v>44959</v>
      </c>
      <c r="P2479">
        <f>IF(ISBLANK(ReconciliationData[[#This Row],[Invoice_ID]]),1,0)</f>
        <v>0</v>
      </c>
      <c r="Q2479">
        <f>IF(AND(NOT(ISBLANK(ReconciliationData[[#This Row],[Billed_Units]])),ReconciliationData[[#This Row],[ordered_units]]&lt;&gt;ReconciliationData[[#This Row],[Billed_Units]]),1,0)</f>
        <v>0</v>
      </c>
      <c r="R24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79">
        <f>IF(AND(NOT(ISBLANK(ReconciliationData[[#This Row],[Contract_Price]])),ReconciliationData[[#This Row],[Billed_Price]]&lt;&gt;ReconciliationData[[#This Row],[Contract_Price]]),1,0)</f>
        <v>0</v>
      </c>
      <c r="T2479">
        <f>IF(AND(NOT(ISBLANK(ReconciliationData[[#This Row],[End_Date]])),ReconciliationData[[#This Row],[Order_Date]]&gt;ReconciliationData[[#This Row],[End_Date]]),1,0)</f>
        <v>0</v>
      </c>
      <c r="U2479">
        <f>IF(AND(NOT(ISBLANK(ReconciliationData[[#This Row],[last_return_date]])),ReconciliationData[[#This Row],[last_return_date]]&gt;ReconciliationData[[#This Row],[Order_Date]]+60),1,0)</f>
        <v>0</v>
      </c>
      <c r="V2479">
        <f>IF(ReconciliationData[[#This Row],[total_returned_units]]&gt;ReconciliationData[[#This Row],[ordered_units]],1,0)</f>
        <v>0</v>
      </c>
      <c r="W24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79">
        <f>ReconciliationData[[#This Row],[Billed_Units]]*ReconciliationData[[#This Row],[Billed_Price]]</f>
        <v>120393.97759999998</v>
      </c>
      <c r="Y2479">
        <f>ReconciliationData[[#This Row],[ordered_units]]*ReconciliationData[[#This Row],[List_Price]]</f>
        <v>120393.97759999998</v>
      </c>
      <c r="Z2479">
        <f>ReconciliationData[[#This Row],[billed_revenue]]-ReconciliationData[[#This Row],[expected_revenue]]</f>
        <v>0</v>
      </c>
      <c r="AA24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79" t="str">
        <f>IF(ReconciliationData[[#This Row],[severity_score]]=0,"LOW",
 IF(ReconciliationData[[#This Row],[severity_score]]&lt;=5,"MEDIUM","HIGH"))</f>
        <v>LOW</v>
      </c>
      <c r="AC2479" t="str">
        <f>TEXT(ReconciliationData[[#This Row],[Order_Date]],"YYYY-MM")</f>
        <v>2024-04</v>
      </c>
    </row>
    <row r="2480" spans="1:29">
      <c r="A2480" t="s">
        <v>6155</v>
      </c>
      <c r="B2480" s="1">
        <v>45460</v>
      </c>
      <c r="C2480" t="s">
        <v>6156</v>
      </c>
      <c r="D2480" t="s">
        <v>908</v>
      </c>
      <c r="E2480">
        <v>138</v>
      </c>
      <c r="F2480" t="s">
        <v>6157</v>
      </c>
      <c r="G2480">
        <v>138</v>
      </c>
      <c r="H2480">
        <v>565.82459999999992</v>
      </c>
      <c r="N2480">
        <v>565.82459999999992</v>
      </c>
      <c r="O2480" s="1">
        <v>45013</v>
      </c>
      <c r="P2480">
        <f>IF(ISBLANK(ReconciliationData[[#This Row],[Invoice_ID]]),1,0)</f>
        <v>0</v>
      </c>
      <c r="Q2480">
        <f>IF(AND(NOT(ISBLANK(ReconciliationData[[#This Row],[Billed_Units]])),ReconciliationData[[#This Row],[ordered_units]]&lt;&gt;ReconciliationData[[#This Row],[Billed_Units]]),1,0)</f>
        <v>0</v>
      </c>
      <c r="R24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80">
        <f>IF(AND(NOT(ISBLANK(ReconciliationData[[#This Row],[Contract_Price]])),ReconciliationData[[#This Row],[Billed_Price]]&lt;&gt;ReconciliationData[[#This Row],[Contract_Price]]),1,0)</f>
        <v>0</v>
      </c>
      <c r="T2480">
        <f>IF(AND(NOT(ISBLANK(ReconciliationData[[#This Row],[End_Date]])),ReconciliationData[[#This Row],[Order_Date]]&gt;ReconciliationData[[#This Row],[End_Date]]),1,0)</f>
        <v>0</v>
      </c>
      <c r="U2480">
        <f>IF(AND(NOT(ISBLANK(ReconciliationData[[#This Row],[last_return_date]])),ReconciliationData[[#This Row],[last_return_date]]&gt;ReconciliationData[[#This Row],[Order_Date]]+60),1,0)</f>
        <v>0</v>
      </c>
      <c r="V2480">
        <f>IF(ReconciliationData[[#This Row],[total_returned_units]]&gt;ReconciliationData[[#This Row],[ordered_units]],1,0)</f>
        <v>0</v>
      </c>
      <c r="W24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80">
        <f>ReconciliationData[[#This Row],[Billed_Units]]*ReconciliationData[[#This Row],[Billed_Price]]</f>
        <v>78083.794799999989</v>
      </c>
      <c r="Y2480">
        <f>ReconciliationData[[#This Row],[ordered_units]]*ReconciliationData[[#This Row],[List_Price]]</f>
        <v>78083.794799999989</v>
      </c>
      <c r="Z2480">
        <f>ReconciliationData[[#This Row],[billed_revenue]]-ReconciliationData[[#This Row],[expected_revenue]]</f>
        <v>0</v>
      </c>
      <c r="AA24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80" t="str">
        <f>IF(ReconciliationData[[#This Row],[severity_score]]=0,"LOW",
 IF(ReconciliationData[[#This Row],[severity_score]]&lt;=5,"MEDIUM","HIGH"))</f>
        <v>LOW</v>
      </c>
      <c r="AC2480" t="str">
        <f>TEXT(ReconciliationData[[#This Row],[Order_Date]],"YYYY-MM")</f>
        <v>2024-06</v>
      </c>
    </row>
    <row r="2481" spans="1:29">
      <c r="A2481" t="s">
        <v>6158</v>
      </c>
      <c r="B2481" s="1">
        <v>45327</v>
      </c>
      <c r="C2481" t="s">
        <v>2663</v>
      </c>
      <c r="D2481" t="s">
        <v>419</v>
      </c>
      <c r="E2481">
        <v>103</v>
      </c>
      <c r="F2481" t="s">
        <v>6159</v>
      </c>
      <c r="G2481">
        <v>103</v>
      </c>
      <c r="H2481">
        <v>1016.9848</v>
      </c>
      <c r="N2481">
        <v>1016.9848</v>
      </c>
      <c r="O2481" s="1">
        <v>45033</v>
      </c>
      <c r="P2481">
        <f>IF(ISBLANK(ReconciliationData[[#This Row],[Invoice_ID]]),1,0)</f>
        <v>0</v>
      </c>
      <c r="Q2481">
        <f>IF(AND(NOT(ISBLANK(ReconciliationData[[#This Row],[Billed_Units]])),ReconciliationData[[#This Row],[ordered_units]]&lt;&gt;ReconciliationData[[#This Row],[Billed_Units]]),1,0)</f>
        <v>0</v>
      </c>
      <c r="R24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81">
        <f>IF(AND(NOT(ISBLANK(ReconciliationData[[#This Row],[Contract_Price]])),ReconciliationData[[#This Row],[Billed_Price]]&lt;&gt;ReconciliationData[[#This Row],[Contract_Price]]),1,0)</f>
        <v>0</v>
      </c>
      <c r="T2481">
        <f>IF(AND(NOT(ISBLANK(ReconciliationData[[#This Row],[End_Date]])),ReconciliationData[[#This Row],[Order_Date]]&gt;ReconciliationData[[#This Row],[End_Date]]),1,0)</f>
        <v>0</v>
      </c>
      <c r="U2481">
        <f>IF(AND(NOT(ISBLANK(ReconciliationData[[#This Row],[last_return_date]])),ReconciliationData[[#This Row],[last_return_date]]&gt;ReconciliationData[[#This Row],[Order_Date]]+60),1,0)</f>
        <v>0</v>
      </c>
      <c r="V2481">
        <f>IF(ReconciliationData[[#This Row],[total_returned_units]]&gt;ReconciliationData[[#This Row],[ordered_units]],1,0)</f>
        <v>0</v>
      </c>
      <c r="W24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81">
        <f>ReconciliationData[[#This Row],[Billed_Units]]*ReconciliationData[[#This Row],[Billed_Price]]</f>
        <v>104749.4344</v>
      </c>
      <c r="Y2481">
        <f>ReconciliationData[[#This Row],[ordered_units]]*ReconciliationData[[#This Row],[List_Price]]</f>
        <v>104749.4344</v>
      </c>
      <c r="Z2481">
        <f>ReconciliationData[[#This Row],[billed_revenue]]-ReconciliationData[[#This Row],[expected_revenue]]</f>
        <v>0</v>
      </c>
      <c r="AA24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81" t="str">
        <f>IF(ReconciliationData[[#This Row],[severity_score]]=0,"LOW",
 IF(ReconciliationData[[#This Row],[severity_score]]&lt;=5,"MEDIUM","HIGH"))</f>
        <v>LOW</v>
      </c>
      <c r="AC2481" t="str">
        <f>TEXT(ReconciliationData[[#This Row],[Order_Date]],"YYYY-MM")</f>
        <v>2024-02</v>
      </c>
    </row>
    <row r="2482" spans="1:29">
      <c r="A2482" t="s">
        <v>6160</v>
      </c>
      <c r="B2482" s="1">
        <v>45221</v>
      </c>
      <c r="C2482" t="s">
        <v>3337</v>
      </c>
      <c r="D2482" t="s">
        <v>883</v>
      </c>
      <c r="E2482">
        <v>157</v>
      </c>
      <c r="F2482" t="s">
        <v>6161</v>
      </c>
      <c r="G2482">
        <v>157</v>
      </c>
      <c r="H2482">
        <v>403.01909999999998</v>
      </c>
      <c r="N2482">
        <v>403.01909999999998</v>
      </c>
      <c r="O2482" s="1">
        <v>45056</v>
      </c>
      <c r="P2482">
        <f>IF(ISBLANK(ReconciliationData[[#This Row],[Invoice_ID]]),1,0)</f>
        <v>0</v>
      </c>
      <c r="Q2482">
        <f>IF(AND(NOT(ISBLANK(ReconciliationData[[#This Row],[Billed_Units]])),ReconciliationData[[#This Row],[ordered_units]]&lt;&gt;ReconciliationData[[#This Row],[Billed_Units]]),1,0)</f>
        <v>0</v>
      </c>
      <c r="R24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82">
        <f>IF(AND(NOT(ISBLANK(ReconciliationData[[#This Row],[Contract_Price]])),ReconciliationData[[#This Row],[Billed_Price]]&lt;&gt;ReconciliationData[[#This Row],[Contract_Price]]),1,0)</f>
        <v>0</v>
      </c>
      <c r="T2482">
        <f>IF(AND(NOT(ISBLANK(ReconciliationData[[#This Row],[End_Date]])),ReconciliationData[[#This Row],[Order_Date]]&gt;ReconciliationData[[#This Row],[End_Date]]),1,0)</f>
        <v>0</v>
      </c>
      <c r="U2482">
        <f>IF(AND(NOT(ISBLANK(ReconciliationData[[#This Row],[last_return_date]])),ReconciliationData[[#This Row],[last_return_date]]&gt;ReconciliationData[[#This Row],[Order_Date]]+60),1,0)</f>
        <v>0</v>
      </c>
      <c r="V2482">
        <f>IF(ReconciliationData[[#This Row],[total_returned_units]]&gt;ReconciliationData[[#This Row],[ordered_units]],1,0)</f>
        <v>0</v>
      </c>
      <c r="W24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82">
        <f>ReconciliationData[[#This Row],[Billed_Units]]*ReconciliationData[[#This Row],[Billed_Price]]</f>
        <v>63273.998699999996</v>
      </c>
      <c r="Y2482">
        <f>ReconciliationData[[#This Row],[ordered_units]]*ReconciliationData[[#This Row],[List_Price]]</f>
        <v>63273.998699999996</v>
      </c>
      <c r="Z2482">
        <f>ReconciliationData[[#This Row],[billed_revenue]]-ReconciliationData[[#This Row],[expected_revenue]]</f>
        <v>0</v>
      </c>
      <c r="AA24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82" t="str">
        <f>IF(ReconciliationData[[#This Row],[severity_score]]=0,"LOW",
 IF(ReconciliationData[[#This Row],[severity_score]]&lt;=5,"MEDIUM","HIGH"))</f>
        <v>LOW</v>
      </c>
      <c r="AC2482" t="str">
        <f>TEXT(ReconciliationData[[#This Row],[Order_Date]],"YYYY-MM")</f>
        <v>2023-10</v>
      </c>
    </row>
    <row r="2483" spans="1:29">
      <c r="A2483" t="s">
        <v>6162</v>
      </c>
      <c r="B2483" s="1">
        <v>44978</v>
      </c>
      <c r="C2483" t="s">
        <v>683</v>
      </c>
      <c r="D2483" t="s">
        <v>374</v>
      </c>
      <c r="E2483">
        <v>200</v>
      </c>
      <c r="F2483" t="s">
        <v>6163</v>
      </c>
      <c r="G2483">
        <v>200</v>
      </c>
      <c r="H2483">
        <v>538.50900000000001</v>
      </c>
      <c r="N2483">
        <v>538.50900000000001</v>
      </c>
      <c r="O2483" s="1">
        <v>44974</v>
      </c>
      <c r="P2483">
        <f>IF(ISBLANK(ReconciliationData[[#This Row],[Invoice_ID]]),1,0)</f>
        <v>0</v>
      </c>
      <c r="Q2483">
        <f>IF(AND(NOT(ISBLANK(ReconciliationData[[#This Row],[Billed_Units]])),ReconciliationData[[#This Row],[ordered_units]]&lt;&gt;ReconciliationData[[#This Row],[Billed_Units]]),1,0)</f>
        <v>0</v>
      </c>
      <c r="R24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83">
        <f>IF(AND(NOT(ISBLANK(ReconciliationData[[#This Row],[Contract_Price]])),ReconciliationData[[#This Row],[Billed_Price]]&lt;&gt;ReconciliationData[[#This Row],[Contract_Price]]),1,0)</f>
        <v>0</v>
      </c>
      <c r="T2483">
        <f>IF(AND(NOT(ISBLANK(ReconciliationData[[#This Row],[End_Date]])),ReconciliationData[[#This Row],[Order_Date]]&gt;ReconciliationData[[#This Row],[End_Date]]),1,0)</f>
        <v>0</v>
      </c>
      <c r="U2483">
        <f>IF(AND(NOT(ISBLANK(ReconciliationData[[#This Row],[last_return_date]])),ReconciliationData[[#This Row],[last_return_date]]&gt;ReconciliationData[[#This Row],[Order_Date]]+60),1,0)</f>
        <v>0</v>
      </c>
      <c r="V2483">
        <f>IF(ReconciliationData[[#This Row],[total_returned_units]]&gt;ReconciliationData[[#This Row],[ordered_units]],1,0)</f>
        <v>0</v>
      </c>
      <c r="W24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83">
        <f>ReconciliationData[[#This Row],[Billed_Units]]*ReconciliationData[[#This Row],[Billed_Price]]</f>
        <v>107701.8</v>
      </c>
      <c r="Y2483">
        <f>ReconciliationData[[#This Row],[ordered_units]]*ReconciliationData[[#This Row],[List_Price]]</f>
        <v>107701.8</v>
      </c>
      <c r="Z2483">
        <f>ReconciliationData[[#This Row],[billed_revenue]]-ReconciliationData[[#This Row],[expected_revenue]]</f>
        <v>0</v>
      </c>
      <c r="AA24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83" t="str">
        <f>IF(ReconciliationData[[#This Row],[severity_score]]=0,"LOW",
 IF(ReconciliationData[[#This Row],[severity_score]]&lt;=5,"MEDIUM","HIGH"))</f>
        <v>LOW</v>
      </c>
      <c r="AC2483" t="str">
        <f>TEXT(ReconciliationData[[#This Row],[Order_Date]],"YYYY-MM")</f>
        <v>2023-02</v>
      </c>
    </row>
    <row r="2484" spans="1:29">
      <c r="A2484" t="s">
        <v>6164</v>
      </c>
      <c r="B2484" s="1">
        <v>45323</v>
      </c>
      <c r="C2484" t="s">
        <v>5392</v>
      </c>
      <c r="D2484" t="s">
        <v>3297</v>
      </c>
      <c r="E2484">
        <v>161</v>
      </c>
      <c r="F2484" t="s">
        <v>6165</v>
      </c>
      <c r="G2484">
        <v>161</v>
      </c>
      <c r="H2484">
        <v>933.43190000000004</v>
      </c>
      <c r="N2484">
        <v>933.43190000000004</v>
      </c>
      <c r="O2484" s="1">
        <v>45011</v>
      </c>
      <c r="P2484">
        <f>IF(ISBLANK(ReconciliationData[[#This Row],[Invoice_ID]]),1,0)</f>
        <v>0</v>
      </c>
      <c r="Q2484">
        <f>IF(AND(NOT(ISBLANK(ReconciliationData[[#This Row],[Billed_Units]])),ReconciliationData[[#This Row],[ordered_units]]&lt;&gt;ReconciliationData[[#This Row],[Billed_Units]]),1,0)</f>
        <v>0</v>
      </c>
      <c r="R24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84">
        <f>IF(AND(NOT(ISBLANK(ReconciliationData[[#This Row],[Contract_Price]])),ReconciliationData[[#This Row],[Billed_Price]]&lt;&gt;ReconciliationData[[#This Row],[Contract_Price]]),1,0)</f>
        <v>0</v>
      </c>
      <c r="T2484">
        <f>IF(AND(NOT(ISBLANK(ReconciliationData[[#This Row],[End_Date]])),ReconciliationData[[#This Row],[Order_Date]]&gt;ReconciliationData[[#This Row],[End_Date]]),1,0)</f>
        <v>0</v>
      </c>
      <c r="U2484">
        <f>IF(AND(NOT(ISBLANK(ReconciliationData[[#This Row],[last_return_date]])),ReconciliationData[[#This Row],[last_return_date]]&gt;ReconciliationData[[#This Row],[Order_Date]]+60),1,0)</f>
        <v>0</v>
      </c>
      <c r="V2484">
        <f>IF(ReconciliationData[[#This Row],[total_returned_units]]&gt;ReconciliationData[[#This Row],[ordered_units]],1,0)</f>
        <v>0</v>
      </c>
      <c r="W24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84">
        <f>ReconciliationData[[#This Row],[Billed_Units]]*ReconciliationData[[#This Row],[Billed_Price]]</f>
        <v>150282.53590000002</v>
      </c>
      <c r="Y2484">
        <f>ReconciliationData[[#This Row],[ordered_units]]*ReconciliationData[[#This Row],[List_Price]]</f>
        <v>150282.53590000002</v>
      </c>
      <c r="Z2484">
        <f>ReconciliationData[[#This Row],[billed_revenue]]-ReconciliationData[[#This Row],[expected_revenue]]</f>
        <v>0</v>
      </c>
      <c r="AA24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84" t="str">
        <f>IF(ReconciliationData[[#This Row],[severity_score]]=0,"LOW",
 IF(ReconciliationData[[#This Row],[severity_score]]&lt;=5,"MEDIUM","HIGH"))</f>
        <v>LOW</v>
      </c>
      <c r="AC2484" t="str">
        <f>TEXT(ReconciliationData[[#This Row],[Order_Date]],"YYYY-MM")</f>
        <v>2024-02</v>
      </c>
    </row>
    <row r="2485" spans="1:29">
      <c r="A2485" t="s">
        <v>6166</v>
      </c>
      <c r="B2485" s="1">
        <v>45292</v>
      </c>
      <c r="C2485" t="s">
        <v>2814</v>
      </c>
      <c r="D2485" t="s">
        <v>798</v>
      </c>
      <c r="E2485">
        <v>171</v>
      </c>
      <c r="F2485" t="s">
        <v>6167</v>
      </c>
      <c r="G2485">
        <v>171</v>
      </c>
      <c r="H2485">
        <v>153.01650000000001</v>
      </c>
      <c r="N2485">
        <v>153.01650000000001</v>
      </c>
      <c r="O2485" s="1">
        <v>45064</v>
      </c>
      <c r="P2485">
        <f>IF(ISBLANK(ReconciliationData[[#This Row],[Invoice_ID]]),1,0)</f>
        <v>0</v>
      </c>
      <c r="Q2485">
        <f>IF(AND(NOT(ISBLANK(ReconciliationData[[#This Row],[Billed_Units]])),ReconciliationData[[#This Row],[ordered_units]]&lt;&gt;ReconciliationData[[#This Row],[Billed_Units]]),1,0)</f>
        <v>0</v>
      </c>
      <c r="R24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85">
        <f>IF(AND(NOT(ISBLANK(ReconciliationData[[#This Row],[Contract_Price]])),ReconciliationData[[#This Row],[Billed_Price]]&lt;&gt;ReconciliationData[[#This Row],[Contract_Price]]),1,0)</f>
        <v>0</v>
      </c>
      <c r="T2485">
        <f>IF(AND(NOT(ISBLANK(ReconciliationData[[#This Row],[End_Date]])),ReconciliationData[[#This Row],[Order_Date]]&gt;ReconciliationData[[#This Row],[End_Date]]),1,0)</f>
        <v>0</v>
      </c>
      <c r="U2485">
        <f>IF(AND(NOT(ISBLANK(ReconciliationData[[#This Row],[last_return_date]])),ReconciliationData[[#This Row],[last_return_date]]&gt;ReconciliationData[[#This Row],[Order_Date]]+60),1,0)</f>
        <v>0</v>
      </c>
      <c r="V2485">
        <f>IF(ReconciliationData[[#This Row],[total_returned_units]]&gt;ReconciliationData[[#This Row],[ordered_units]],1,0)</f>
        <v>0</v>
      </c>
      <c r="W24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85">
        <f>ReconciliationData[[#This Row],[Billed_Units]]*ReconciliationData[[#This Row],[Billed_Price]]</f>
        <v>26165.821500000002</v>
      </c>
      <c r="Y2485">
        <f>ReconciliationData[[#This Row],[ordered_units]]*ReconciliationData[[#This Row],[List_Price]]</f>
        <v>26165.821500000002</v>
      </c>
      <c r="Z2485">
        <f>ReconciliationData[[#This Row],[billed_revenue]]-ReconciliationData[[#This Row],[expected_revenue]]</f>
        <v>0</v>
      </c>
      <c r="AA24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85" t="str">
        <f>IF(ReconciliationData[[#This Row],[severity_score]]=0,"LOW",
 IF(ReconciliationData[[#This Row],[severity_score]]&lt;=5,"MEDIUM","HIGH"))</f>
        <v>LOW</v>
      </c>
      <c r="AC2485" t="str">
        <f>TEXT(ReconciliationData[[#This Row],[Order_Date]],"YYYY-MM")</f>
        <v>2024-01</v>
      </c>
    </row>
    <row r="2486" spans="1:29">
      <c r="A2486" t="s">
        <v>6168</v>
      </c>
      <c r="B2486" s="1">
        <v>45026</v>
      </c>
      <c r="C2486" t="s">
        <v>149</v>
      </c>
      <c r="D2486" t="s">
        <v>643</v>
      </c>
      <c r="E2486">
        <v>42</v>
      </c>
      <c r="F2486" t="s">
        <v>6169</v>
      </c>
      <c r="G2486">
        <v>42</v>
      </c>
      <c r="H2486">
        <v>208.65799999999999</v>
      </c>
      <c r="N2486">
        <v>208.65799999999999</v>
      </c>
      <c r="O2486" s="1">
        <v>44971</v>
      </c>
      <c r="P2486">
        <f>IF(ISBLANK(ReconciliationData[[#This Row],[Invoice_ID]]),1,0)</f>
        <v>0</v>
      </c>
      <c r="Q2486">
        <f>IF(AND(NOT(ISBLANK(ReconciliationData[[#This Row],[Billed_Units]])),ReconciliationData[[#This Row],[ordered_units]]&lt;&gt;ReconciliationData[[#This Row],[Billed_Units]]),1,0)</f>
        <v>0</v>
      </c>
      <c r="R24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86">
        <f>IF(AND(NOT(ISBLANK(ReconciliationData[[#This Row],[Contract_Price]])),ReconciliationData[[#This Row],[Billed_Price]]&lt;&gt;ReconciliationData[[#This Row],[Contract_Price]]),1,0)</f>
        <v>0</v>
      </c>
      <c r="T2486">
        <f>IF(AND(NOT(ISBLANK(ReconciliationData[[#This Row],[End_Date]])),ReconciliationData[[#This Row],[Order_Date]]&gt;ReconciliationData[[#This Row],[End_Date]]),1,0)</f>
        <v>0</v>
      </c>
      <c r="U2486">
        <f>IF(AND(NOT(ISBLANK(ReconciliationData[[#This Row],[last_return_date]])),ReconciliationData[[#This Row],[last_return_date]]&gt;ReconciliationData[[#This Row],[Order_Date]]+60),1,0)</f>
        <v>0</v>
      </c>
      <c r="V2486">
        <f>IF(ReconciliationData[[#This Row],[total_returned_units]]&gt;ReconciliationData[[#This Row],[ordered_units]],1,0)</f>
        <v>0</v>
      </c>
      <c r="W24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86">
        <f>ReconciliationData[[#This Row],[Billed_Units]]*ReconciliationData[[#This Row],[Billed_Price]]</f>
        <v>8763.6359999999986</v>
      </c>
      <c r="Y2486">
        <f>ReconciliationData[[#This Row],[ordered_units]]*ReconciliationData[[#This Row],[List_Price]]</f>
        <v>8763.6359999999986</v>
      </c>
      <c r="Z2486">
        <f>ReconciliationData[[#This Row],[billed_revenue]]-ReconciliationData[[#This Row],[expected_revenue]]</f>
        <v>0</v>
      </c>
      <c r="AA24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86" t="str">
        <f>IF(ReconciliationData[[#This Row],[severity_score]]=0,"LOW",
 IF(ReconciliationData[[#This Row],[severity_score]]&lt;=5,"MEDIUM","HIGH"))</f>
        <v>LOW</v>
      </c>
      <c r="AC2486" t="str">
        <f>TEXT(ReconciliationData[[#This Row],[Order_Date]],"YYYY-MM")</f>
        <v>2023-04</v>
      </c>
    </row>
    <row r="2487" spans="1:29">
      <c r="A2487" t="s">
        <v>6170</v>
      </c>
      <c r="B2487" s="1">
        <v>45231</v>
      </c>
      <c r="C2487" t="s">
        <v>1570</v>
      </c>
      <c r="D2487" t="s">
        <v>2622</v>
      </c>
      <c r="E2487">
        <v>150</v>
      </c>
      <c r="F2487" t="s">
        <v>6171</v>
      </c>
      <c r="G2487">
        <v>150</v>
      </c>
      <c r="H2487">
        <v>381.16543462208278</v>
      </c>
      <c r="N2487">
        <v>380.976</v>
      </c>
      <c r="O2487" s="1">
        <v>45172</v>
      </c>
      <c r="P2487">
        <f>IF(ISBLANK(ReconciliationData[[#This Row],[Invoice_ID]]),1,0)</f>
        <v>0</v>
      </c>
      <c r="Q2487">
        <f>IF(AND(NOT(ISBLANK(ReconciliationData[[#This Row],[Billed_Units]])),ReconciliationData[[#This Row],[ordered_units]]&lt;&gt;ReconciliationData[[#This Row],[Billed_Units]]),1,0)</f>
        <v>0</v>
      </c>
      <c r="R248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487">
        <f>IF(AND(NOT(ISBLANK(ReconciliationData[[#This Row],[Contract_Price]])),ReconciliationData[[#This Row],[Billed_Price]]&lt;&gt;ReconciliationData[[#This Row],[Contract_Price]]),1,0)</f>
        <v>0</v>
      </c>
      <c r="T2487">
        <f>IF(AND(NOT(ISBLANK(ReconciliationData[[#This Row],[End_Date]])),ReconciliationData[[#This Row],[Order_Date]]&gt;ReconciliationData[[#This Row],[End_Date]]),1,0)</f>
        <v>0</v>
      </c>
      <c r="U2487">
        <f>IF(AND(NOT(ISBLANK(ReconciliationData[[#This Row],[last_return_date]])),ReconciliationData[[#This Row],[last_return_date]]&gt;ReconciliationData[[#This Row],[Order_Date]]+60),1,0)</f>
        <v>0</v>
      </c>
      <c r="V2487">
        <f>IF(ReconciliationData[[#This Row],[total_returned_units]]&gt;ReconciliationData[[#This Row],[ordered_units]],1,0)</f>
        <v>0</v>
      </c>
      <c r="W24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487">
        <f>ReconciliationData[[#This Row],[Billed_Units]]*ReconciliationData[[#This Row],[Billed_Price]]</f>
        <v>57174.815193312417</v>
      </c>
      <c r="Y2487">
        <f>ReconciliationData[[#This Row],[ordered_units]]*ReconciliationData[[#This Row],[List_Price]]</f>
        <v>57146.400000000001</v>
      </c>
      <c r="Z2487">
        <f>ReconciliationData[[#This Row],[billed_revenue]]-ReconciliationData[[#This Row],[expected_revenue]]</f>
        <v>28.415193312415795</v>
      </c>
      <c r="AA24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487" t="str">
        <f>IF(ReconciliationData[[#This Row],[severity_score]]=0,"LOW",
 IF(ReconciliationData[[#This Row],[severity_score]]&lt;=5,"MEDIUM","HIGH"))</f>
        <v>MEDIUM</v>
      </c>
      <c r="AC2487" t="str">
        <f>TEXT(ReconciliationData[[#This Row],[Order_Date]],"YYYY-MM")</f>
        <v>2023-11</v>
      </c>
    </row>
    <row r="2488" spans="1:29">
      <c r="A2488" t="s">
        <v>6172</v>
      </c>
      <c r="B2488" s="1">
        <v>45006</v>
      </c>
      <c r="C2488" t="s">
        <v>3236</v>
      </c>
      <c r="D2488" t="s">
        <v>1146</v>
      </c>
      <c r="E2488">
        <v>132</v>
      </c>
      <c r="F2488" t="s">
        <v>6173</v>
      </c>
      <c r="G2488">
        <v>132</v>
      </c>
      <c r="H2488">
        <v>440.25290000000001</v>
      </c>
      <c r="N2488">
        <v>440.25290000000001</v>
      </c>
      <c r="O2488" s="1">
        <v>44809</v>
      </c>
      <c r="P2488">
        <f>IF(ISBLANK(ReconciliationData[[#This Row],[Invoice_ID]]),1,0)</f>
        <v>0</v>
      </c>
      <c r="Q2488">
        <f>IF(AND(NOT(ISBLANK(ReconciliationData[[#This Row],[Billed_Units]])),ReconciliationData[[#This Row],[ordered_units]]&lt;&gt;ReconciliationData[[#This Row],[Billed_Units]]),1,0)</f>
        <v>0</v>
      </c>
      <c r="R24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88">
        <f>IF(AND(NOT(ISBLANK(ReconciliationData[[#This Row],[Contract_Price]])),ReconciliationData[[#This Row],[Billed_Price]]&lt;&gt;ReconciliationData[[#This Row],[Contract_Price]]),1,0)</f>
        <v>0</v>
      </c>
      <c r="T2488">
        <f>IF(AND(NOT(ISBLANK(ReconciliationData[[#This Row],[End_Date]])),ReconciliationData[[#This Row],[Order_Date]]&gt;ReconciliationData[[#This Row],[End_Date]]),1,0)</f>
        <v>0</v>
      </c>
      <c r="U2488">
        <f>IF(AND(NOT(ISBLANK(ReconciliationData[[#This Row],[last_return_date]])),ReconciliationData[[#This Row],[last_return_date]]&gt;ReconciliationData[[#This Row],[Order_Date]]+60),1,0)</f>
        <v>0</v>
      </c>
      <c r="V2488">
        <f>IF(ReconciliationData[[#This Row],[total_returned_units]]&gt;ReconciliationData[[#This Row],[ordered_units]],1,0)</f>
        <v>0</v>
      </c>
      <c r="W24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88">
        <f>ReconciliationData[[#This Row],[Billed_Units]]*ReconciliationData[[#This Row],[Billed_Price]]</f>
        <v>58113.382799999999</v>
      </c>
      <c r="Y2488">
        <f>ReconciliationData[[#This Row],[ordered_units]]*ReconciliationData[[#This Row],[List_Price]]</f>
        <v>58113.382799999999</v>
      </c>
      <c r="Z2488">
        <f>ReconciliationData[[#This Row],[billed_revenue]]-ReconciliationData[[#This Row],[expected_revenue]]</f>
        <v>0</v>
      </c>
      <c r="AA24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88" t="str">
        <f>IF(ReconciliationData[[#This Row],[severity_score]]=0,"LOW",
 IF(ReconciliationData[[#This Row],[severity_score]]&lt;=5,"MEDIUM","HIGH"))</f>
        <v>LOW</v>
      </c>
      <c r="AC2488" t="str">
        <f>TEXT(ReconciliationData[[#This Row],[Order_Date]],"YYYY-MM")</f>
        <v>2023-03</v>
      </c>
    </row>
    <row r="2489" spans="1:29">
      <c r="A2489" t="s">
        <v>6174</v>
      </c>
      <c r="B2489" s="1">
        <v>44963</v>
      </c>
      <c r="C2489" t="s">
        <v>515</v>
      </c>
      <c r="D2489" t="s">
        <v>944</v>
      </c>
      <c r="E2489">
        <v>72</v>
      </c>
      <c r="F2489" t="s">
        <v>6175</v>
      </c>
      <c r="G2489">
        <v>72</v>
      </c>
      <c r="H2489">
        <v>1016.7027</v>
      </c>
      <c r="N2489">
        <v>1016.7027</v>
      </c>
      <c r="O2489" s="1">
        <v>44955</v>
      </c>
      <c r="P2489">
        <f>IF(ISBLANK(ReconciliationData[[#This Row],[Invoice_ID]]),1,0)</f>
        <v>0</v>
      </c>
      <c r="Q2489">
        <f>IF(AND(NOT(ISBLANK(ReconciliationData[[#This Row],[Billed_Units]])),ReconciliationData[[#This Row],[ordered_units]]&lt;&gt;ReconciliationData[[#This Row],[Billed_Units]]),1,0)</f>
        <v>0</v>
      </c>
      <c r="R24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89">
        <f>IF(AND(NOT(ISBLANK(ReconciliationData[[#This Row],[Contract_Price]])),ReconciliationData[[#This Row],[Billed_Price]]&lt;&gt;ReconciliationData[[#This Row],[Contract_Price]]),1,0)</f>
        <v>0</v>
      </c>
      <c r="T2489">
        <f>IF(AND(NOT(ISBLANK(ReconciliationData[[#This Row],[End_Date]])),ReconciliationData[[#This Row],[Order_Date]]&gt;ReconciliationData[[#This Row],[End_Date]]),1,0)</f>
        <v>0</v>
      </c>
      <c r="U2489">
        <f>IF(AND(NOT(ISBLANK(ReconciliationData[[#This Row],[last_return_date]])),ReconciliationData[[#This Row],[last_return_date]]&gt;ReconciliationData[[#This Row],[Order_Date]]+60),1,0)</f>
        <v>0</v>
      </c>
      <c r="V2489">
        <f>IF(ReconciliationData[[#This Row],[total_returned_units]]&gt;ReconciliationData[[#This Row],[ordered_units]],1,0)</f>
        <v>0</v>
      </c>
      <c r="W24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89">
        <f>ReconciliationData[[#This Row],[Billed_Units]]*ReconciliationData[[#This Row],[Billed_Price]]</f>
        <v>73202.594400000002</v>
      </c>
      <c r="Y2489">
        <f>ReconciliationData[[#This Row],[ordered_units]]*ReconciliationData[[#This Row],[List_Price]]</f>
        <v>73202.594400000002</v>
      </c>
      <c r="Z2489">
        <f>ReconciliationData[[#This Row],[billed_revenue]]-ReconciliationData[[#This Row],[expected_revenue]]</f>
        <v>0</v>
      </c>
      <c r="AA24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89" t="str">
        <f>IF(ReconciliationData[[#This Row],[severity_score]]=0,"LOW",
 IF(ReconciliationData[[#This Row],[severity_score]]&lt;=5,"MEDIUM","HIGH"))</f>
        <v>LOW</v>
      </c>
      <c r="AC2489" t="str">
        <f>TEXT(ReconciliationData[[#This Row],[Order_Date]],"YYYY-MM")</f>
        <v>2023-02</v>
      </c>
    </row>
    <row r="2490" spans="1:29">
      <c r="A2490" t="s">
        <v>6176</v>
      </c>
      <c r="B2490" s="1">
        <v>45121</v>
      </c>
      <c r="C2490" t="s">
        <v>1889</v>
      </c>
      <c r="D2490" t="s">
        <v>768</v>
      </c>
      <c r="E2490">
        <v>174</v>
      </c>
      <c r="F2490" t="s">
        <v>6177</v>
      </c>
      <c r="G2490">
        <v>174</v>
      </c>
      <c r="H2490">
        <v>410.02</v>
      </c>
      <c r="N2490">
        <v>410.02</v>
      </c>
      <c r="O2490" s="1">
        <v>45017</v>
      </c>
      <c r="P2490">
        <f>IF(ISBLANK(ReconciliationData[[#This Row],[Invoice_ID]]),1,0)</f>
        <v>0</v>
      </c>
      <c r="Q2490">
        <f>IF(AND(NOT(ISBLANK(ReconciliationData[[#This Row],[Billed_Units]])),ReconciliationData[[#This Row],[ordered_units]]&lt;&gt;ReconciliationData[[#This Row],[Billed_Units]]),1,0)</f>
        <v>0</v>
      </c>
      <c r="R24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0">
        <f>IF(AND(NOT(ISBLANK(ReconciliationData[[#This Row],[Contract_Price]])),ReconciliationData[[#This Row],[Billed_Price]]&lt;&gt;ReconciliationData[[#This Row],[Contract_Price]]),1,0)</f>
        <v>0</v>
      </c>
      <c r="T2490">
        <f>IF(AND(NOT(ISBLANK(ReconciliationData[[#This Row],[End_Date]])),ReconciliationData[[#This Row],[Order_Date]]&gt;ReconciliationData[[#This Row],[End_Date]]),1,0)</f>
        <v>0</v>
      </c>
      <c r="U2490">
        <f>IF(AND(NOT(ISBLANK(ReconciliationData[[#This Row],[last_return_date]])),ReconciliationData[[#This Row],[last_return_date]]&gt;ReconciliationData[[#This Row],[Order_Date]]+60),1,0)</f>
        <v>0</v>
      </c>
      <c r="V2490">
        <f>IF(ReconciliationData[[#This Row],[total_returned_units]]&gt;ReconciliationData[[#This Row],[ordered_units]],1,0)</f>
        <v>0</v>
      </c>
      <c r="W24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0">
        <f>ReconciliationData[[#This Row],[Billed_Units]]*ReconciliationData[[#This Row],[Billed_Price]]</f>
        <v>71343.48</v>
      </c>
      <c r="Y2490">
        <f>ReconciliationData[[#This Row],[ordered_units]]*ReconciliationData[[#This Row],[List_Price]]</f>
        <v>71343.48</v>
      </c>
      <c r="Z2490">
        <f>ReconciliationData[[#This Row],[billed_revenue]]-ReconciliationData[[#This Row],[expected_revenue]]</f>
        <v>0</v>
      </c>
      <c r="AA24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0" t="str">
        <f>IF(ReconciliationData[[#This Row],[severity_score]]=0,"LOW",
 IF(ReconciliationData[[#This Row],[severity_score]]&lt;=5,"MEDIUM","HIGH"))</f>
        <v>LOW</v>
      </c>
      <c r="AC2490" t="str">
        <f>TEXT(ReconciliationData[[#This Row],[Order_Date]],"YYYY-MM")</f>
        <v>2023-07</v>
      </c>
    </row>
    <row r="2491" spans="1:29">
      <c r="A2491" t="s">
        <v>6178</v>
      </c>
      <c r="B2491" s="1">
        <v>45039</v>
      </c>
      <c r="C2491" t="s">
        <v>1381</v>
      </c>
      <c r="D2491" t="s">
        <v>533</v>
      </c>
      <c r="E2491">
        <v>92</v>
      </c>
      <c r="F2491" t="s">
        <v>6179</v>
      </c>
      <c r="G2491">
        <v>92</v>
      </c>
      <c r="H2491">
        <v>859.25750000000005</v>
      </c>
      <c r="N2491">
        <v>859.25750000000005</v>
      </c>
      <c r="O2491" s="1">
        <v>44782</v>
      </c>
      <c r="P2491">
        <f>IF(ISBLANK(ReconciliationData[[#This Row],[Invoice_ID]]),1,0)</f>
        <v>0</v>
      </c>
      <c r="Q2491">
        <f>IF(AND(NOT(ISBLANK(ReconciliationData[[#This Row],[Billed_Units]])),ReconciliationData[[#This Row],[ordered_units]]&lt;&gt;ReconciliationData[[#This Row],[Billed_Units]]),1,0)</f>
        <v>0</v>
      </c>
      <c r="R24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1">
        <f>IF(AND(NOT(ISBLANK(ReconciliationData[[#This Row],[Contract_Price]])),ReconciliationData[[#This Row],[Billed_Price]]&lt;&gt;ReconciliationData[[#This Row],[Contract_Price]]),1,0)</f>
        <v>0</v>
      </c>
      <c r="T2491">
        <f>IF(AND(NOT(ISBLANK(ReconciliationData[[#This Row],[End_Date]])),ReconciliationData[[#This Row],[Order_Date]]&gt;ReconciliationData[[#This Row],[End_Date]]),1,0)</f>
        <v>0</v>
      </c>
      <c r="U2491">
        <f>IF(AND(NOT(ISBLANK(ReconciliationData[[#This Row],[last_return_date]])),ReconciliationData[[#This Row],[last_return_date]]&gt;ReconciliationData[[#This Row],[Order_Date]]+60),1,0)</f>
        <v>0</v>
      </c>
      <c r="V2491">
        <f>IF(ReconciliationData[[#This Row],[total_returned_units]]&gt;ReconciliationData[[#This Row],[ordered_units]],1,0)</f>
        <v>0</v>
      </c>
      <c r="W24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1">
        <f>ReconciliationData[[#This Row],[Billed_Units]]*ReconciliationData[[#This Row],[Billed_Price]]</f>
        <v>79051.69</v>
      </c>
      <c r="Y2491">
        <f>ReconciliationData[[#This Row],[ordered_units]]*ReconciliationData[[#This Row],[List_Price]]</f>
        <v>79051.69</v>
      </c>
      <c r="Z2491">
        <f>ReconciliationData[[#This Row],[billed_revenue]]-ReconciliationData[[#This Row],[expected_revenue]]</f>
        <v>0</v>
      </c>
      <c r="AA24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1" t="str">
        <f>IF(ReconciliationData[[#This Row],[severity_score]]=0,"LOW",
 IF(ReconciliationData[[#This Row],[severity_score]]&lt;=5,"MEDIUM","HIGH"))</f>
        <v>LOW</v>
      </c>
      <c r="AC2491" t="str">
        <f>TEXT(ReconciliationData[[#This Row],[Order_Date]],"YYYY-MM")</f>
        <v>2023-04</v>
      </c>
    </row>
    <row r="2492" spans="1:29">
      <c r="A2492" t="s">
        <v>6180</v>
      </c>
      <c r="B2492" s="1">
        <v>45561</v>
      </c>
      <c r="C2492" t="s">
        <v>316</v>
      </c>
      <c r="D2492" t="s">
        <v>3220</v>
      </c>
      <c r="E2492">
        <v>32</v>
      </c>
      <c r="F2492" t="s">
        <v>6181</v>
      </c>
      <c r="G2492">
        <v>32</v>
      </c>
      <c r="H2492">
        <v>380.30540000000002</v>
      </c>
      <c r="N2492">
        <v>380.30540000000002</v>
      </c>
      <c r="O2492" s="1">
        <v>45212</v>
      </c>
      <c r="P2492">
        <f>IF(ISBLANK(ReconciliationData[[#This Row],[Invoice_ID]]),1,0)</f>
        <v>0</v>
      </c>
      <c r="Q2492">
        <f>IF(AND(NOT(ISBLANK(ReconciliationData[[#This Row],[Billed_Units]])),ReconciliationData[[#This Row],[ordered_units]]&lt;&gt;ReconciliationData[[#This Row],[Billed_Units]]),1,0)</f>
        <v>0</v>
      </c>
      <c r="R24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2">
        <f>IF(AND(NOT(ISBLANK(ReconciliationData[[#This Row],[Contract_Price]])),ReconciliationData[[#This Row],[Billed_Price]]&lt;&gt;ReconciliationData[[#This Row],[Contract_Price]]),1,0)</f>
        <v>0</v>
      </c>
      <c r="T2492">
        <f>IF(AND(NOT(ISBLANK(ReconciliationData[[#This Row],[End_Date]])),ReconciliationData[[#This Row],[Order_Date]]&gt;ReconciliationData[[#This Row],[End_Date]]),1,0)</f>
        <v>0</v>
      </c>
      <c r="U2492">
        <f>IF(AND(NOT(ISBLANK(ReconciliationData[[#This Row],[last_return_date]])),ReconciliationData[[#This Row],[last_return_date]]&gt;ReconciliationData[[#This Row],[Order_Date]]+60),1,0)</f>
        <v>0</v>
      </c>
      <c r="V2492">
        <f>IF(ReconciliationData[[#This Row],[total_returned_units]]&gt;ReconciliationData[[#This Row],[ordered_units]],1,0)</f>
        <v>0</v>
      </c>
      <c r="W24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2">
        <f>ReconciliationData[[#This Row],[Billed_Units]]*ReconciliationData[[#This Row],[Billed_Price]]</f>
        <v>12169.772800000001</v>
      </c>
      <c r="Y2492">
        <f>ReconciliationData[[#This Row],[ordered_units]]*ReconciliationData[[#This Row],[List_Price]]</f>
        <v>12169.772800000001</v>
      </c>
      <c r="Z2492">
        <f>ReconciliationData[[#This Row],[billed_revenue]]-ReconciliationData[[#This Row],[expected_revenue]]</f>
        <v>0</v>
      </c>
      <c r="AA24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2" t="str">
        <f>IF(ReconciliationData[[#This Row],[severity_score]]=0,"LOW",
 IF(ReconciliationData[[#This Row],[severity_score]]&lt;=5,"MEDIUM","HIGH"))</f>
        <v>LOW</v>
      </c>
      <c r="AC2492" t="str">
        <f>TEXT(ReconciliationData[[#This Row],[Order_Date]],"YYYY-MM")</f>
        <v>2024-09</v>
      </c>
    </row>
    <row r="2493" spans="1:29">
      <c r="A2493" t="s">
        <v>6182</v>
      </c>
      <c r="B2493" s="1">
        <v>45031</v>
      </c>
      <c r="C2493" t="s">
        <v>1357</v>
      </c>
      <c r="D2493" t="s">
        <v>2050</v>
      </c>
      <c r="E2493">
        <v>71</v>
      </c>
      <c r="F2493" t="s">
        <v>6183</v>
      </c>
      <c r="G2493">
        <v>71</v>
      </c>
      <c r="H2493">
        <v>956.22119999999995</v>
      </c>
      <c r="N2493">
        <v>956.22119999999995</v>
      </c>
      <c r="O2493" s="1">
        <v>44906</v>
      </c>
      <c r="P2493">
        <f>IF(ISBLANK(ReconciliationData[[#This Row],[Invoice_ID]]),1,0)</f>
        <v>0</v>
      </c>
      <c r="Q2493">
        <f>IF(AND(NOT(ISBLANK(ReconciliationData[[#This Row],[Billed_Units]])),ReconciliationData[[#This Row],[ordered_units]]&lt;&gt;ReconciliationData[[#This Row],[Billed_Units]]),1,0)</f>
        <v>0</v>
      </c>
      <c r="R24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3">
        <f>IF(AND(NOT(ISBLANK(ReconciliationData[[#This Row],[Contract_Price]])),ReconciliationData[[#This Row],[Billed_Price]]&lt;&gt;ReconciliationData[[#This Row],[Contract_Price]]),1,0)</f>
        <v>0</v>
      </c>
      <c r="T2493">
        <f>IF(AND(NOT(ISBLANK(ReconciliationData[[#This Row],[End_Date]])),ReconciliationData[[#This Row],[Order_Date]]&gt;ReconciliationData[[#This Row],[End_Date]]),1,0)</f>
        <v>0</v>
      </c>
      <c r="U2493">
        <f>IF(AND(NOT(ISBLANK(ReconciliationData[[#This Row],[last_return_date]])),ReconciliationData[[#This Row],[last_return_date]]&gt;ReconciliationData[[#This Row],[Order_Date]]+60),1,0)</f>
        <v>0</v>
      </c>
      <c r="V2493">
        <f>IF(ReconciliationData[[#This Row],[total_returned_units]]&gt;ReconciliationData[[#This Row],[ordered_units]],1,0)</f>
        <v>0</v>
      </c>
      <c r="W24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3">
        <f>ReconciliationData[[#This Row],[Billed_Units]]*ReconciliationData[[#This Row],[Billed_Price]]</f>
        <v>67891.705199999997</v>
      </c>
      <c r="Y2493">
        <f>ReconciliationData[[#This Row],[ordered_units]]*ReconciliationData[[#This Row],[List_Price]]</f>
        <v>67891.705199999997</v>
      </c>
      <c r="Z2493">
        <f>ReconciliationData[[#This Row],[billed_revenue]]-ReconciliationData[[#This Row],[expected_revenue]]</f>
        <v>0</v>
      </c>
      <c r="AA24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3" t="str">
        <f>IF(ReconciliationData[[#This Row],[severity_score]]=0,"LOW",
 IF(ReconciliationData[[#This Row],[severity_score]]&lt;=5,"MEDIUM","HIGH"))</f>
        <v>LOW</v>
      </c>
      <c r="AC2493" t="str">
        <f>TEXT(ReconciliationData[[#This Row],[Order_Date]],"YYYY-MM")</f>
        <v>2023-04</v>
      </c>
    </row>
    <row r="2494" spans="1:29">
      <c r="A2494" t="s">
        <v>6184</v>
      </c>
      <c r="B2494" s="1">
        <v>45267</v>
      </c>
      <c r="C2494" t="s">
        <v>661</v>
      </c>
      <c r="D2494" t="s">
        <v>441</v>
      </c>
      <c r="E2494">
        <v>159</v>
      </c>
      <c r="F2494" t="s">
        <v>6185</v>
      </c>
      <c r="G2494">
        <v>159</v>
      </c>
      <c r="H2494">
        <v>238.7328</v>
      </c>
      <c r="N2494">
        <v>238.7328</v>
      </c>
      <c r="O2494" s="1">
        <v>44987</v>
      </c>
      <c r="P2494">
        <f>IF(ISBLANK(ReconciliationData[[#This Row],[Invoice_ID]]),1,0)</f>
        <v>0</v>
      </c>
      <c r="Q2494">
        <f>IF(AND(NOT(ISBLANK(ReconciliationData[[#This Row],[Billed_Units]])),ReconciliationData[[#This Row],[ordered_units]]&lt;&gt;ReconciliationData[[#This Row],[Billed_Units]]),1,0)</f>
        <v>0</v>
      </c>
      <c r="R24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4">
        <f>IF(AND(NOT(ISBLANK(ReconciliationData[[#This Row],[Contract_Price]])),ReconciliationData[[#This Row],[Billed_Price]]&lt;&gt;ReconciliationData[[#This Row],[Contract_Price]]),1,0)</f>
        <v>0</v>
      </c>
      <c r="T2494">
        <f>IF(AND(NOT(ISBLANK(ReconciliationData[[#This Row],[End_Date]])),ReconciliationData[[#This Row],[Order_Date]]&gt;ReconciliationData[[#This Row],[End_Date]]),1,0)</f>
        <v>0</v>
      </c>
      <c r="U2494">
        <f>IF(AND(NOT(ISBLANK(ReconciliationData[[#This Row],[last_return_date]])),ReconciliationData[[#This Row],[last_return_date]]&gt;ReconciliationData[[#This Row],[Order_Date]]+60),1,0)</f>
        <v>0</v>
      </c>
      <c r="V2494">
        <f>IF(ReconciliationData[[#This Row],[total_returned_units]]&gt;ReconciliationData[[#This Row],[ordered_units]],1,0)</f>
        <v>0</v>
      </c>
      <c r="W24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4">
        <f>ReconciliationData[[#This Row],[Billed_Units]]*ReconciliationData[[#This Row],[Billed_Price]]</f>
        <v>37958.515200000002</v>
      </c>
      <c r="Y2494">
        <f>ReconciliationData[[#This Row],[ordered_units]]*ReconciliationData[[#This Row],[List_Price]]</f>
        <v>37958.515200000002</v>
      </c>
      <c r="Z2494">
        <f>ReconciliationData[[#This Row],[billed_revenue]]-ReconciliationData[[#This Row],[expected_revenue]]</f>
        <v>0</v>
      </c>
      <c r="AA24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4" t="str">
        <f>IF(ReconciliationData[[#This Row],[severity_score]]=0,"LOW",
 IF(ReconciliationData[[#This Row],[severity_score]]&lt;=5,"MEDIUM","HIGH"))</f>
        <v>LOW</v>
      </c>
      <c r="AC2494" t="str">
        <f>TEXT(ReconciliationData[[#This Row],[Order_Date]],"YYYY-MM")</f>
        <v>2023-12</v>
      </c>
    </row>
    <row r="2495" spans="1:29">
      <c r="A2495" t="s">
        <v>6186</v>
      </c>
      <c r="B2495" s="1">
        <v>45330</v>
      </c>
      <c r="C2495" t="s">
        <v>332</v>
      </c>
      <c r="D2495" t="s">
        <v>247</v>
      </c>
      <c r="E2495">
        <v>123</v>
      </c>
      <c r="F2495" t="s">
        <v>6187</v>
      </c>
      <c r="G2495">
        <v>123</v>
      </c>
      <c r="H2495">
        <v>715.86900000000003</v>
      </c>
      <c r="N2495">
        <v>715.86900000000003</v>
      </c>
      <c r="O2495" s="1">
        <v>45140</v>
      </c>
      <c r="P2495">
        <f>IF(ISBLANK(ReconciliationData[[#This Row],[Invoice_ID]]),1,0)</f>
        <v>0</v>
      </c>
      <c r="Q2495">
        <f>IF(AND(NOT(ISBLANK(ReconciliationData[[#This Row],[Billed_Units]])),ReconciliationData[[#This Row],[ordered_units]]&lt;&gt;ReconciliationData[[#This Row],[Billed_Units]]),1,0)</f>
        <v>0</v>
      </c>
      <c r="R24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5">
        <f>IF(AND(NOT(ISBLANK(ReconciliationData[[#This Row],[Contract_Price]])),ReconciliationData[[#This Row],[Billed_Price]]&lt;&gt;ReconciliationData[[#This Row],[Contract_Price]]),1,0)</f>
        <v>0</v>
      </c>
      <c r="T2495">
        <f>IF(AND(NOT(ISBLANK(ReconciliationData[[#This Row],[End_Date]])),ReconciliationData[[#This Row],[Order_Date]]&gt;ReconciliationData[[#This Row],[End_Date]]),1,0)</f>
        <v>0</v>
      </c>
      <c r="U2495">
        <f>IF(AND(NOT(ISBLANK(ReconciliationData[[#This Row],[last_return_date]])),ReconciliationData[[#This Row],[last_return_date]]&gt;ReconciliationData[[#This Row],[Order_Date]]+60),1,0)</f>
        <v>0</v>
      </c>
      <c r="V2495">
        <f>IF(ReconciliationData[[#This Row],[total_returned_units]]&gt;ReconciliationData[[#This Row],[ordered_units]],1,0)</f>
        <v>0</v>
      </c>
      <c r="W24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5">
        <f>ReconciliationData[[#This Row],[Billed_Units]]*ReconciliationData[[#This Row],[Billed_Price]]</f>
        <v>88051.887000000002</v>
      </c>
      <c r="Y2495">
        <f>ReconciliationData[[#This Row],[ordered_units]]*ReconciliationData[[#This Row],[List_Price]]</f>
        <v>88051.887000000002</v>
      </c>
      <c r="Z2495">
        <f>ReconciliationData[[#This Row],[billed_revenue]]-ReconciliationData[[#This Row],[expected_revenue]]</f>
        <v>0</v>
      </c>
      <c r="AA24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5" t="str">
        <f>IF(ReconciliationData[[#This Row],[severity_score]]=0,"LOW",
 IF(ReconciliationData[[#This Row],[severity_score]]&lt;=5,"MEDIUM","HIGH"))</f>
        <v>LOW</v>
      </c>
      <c r="AC2495" t="str">
        <f>TEXT(ReconciliationData[[#This Row],[Order_Date]],"YYYY-MM")</f>
        <v>2024-02</v>
      </c>
    </row>
    <row r="2496" spans="1:29">
      <c r="A2496" t="s">
        <v>6188</v>
      </c>
      <c r="B2496" s="1">
        <v>45437</v>
      </c>
      <c r="C2496" t="s">
        <v>1728</v>
      </c>
      <c r="D2496" t="s">
        <v>4508</v>
      </c>
      <c r="E2496">
        <v>159</v>
      </c>
      <c r="F2496" t="s">
        <v>6189</v>
      </c>
      <c r="G2496">
        <v>159</v>
      </c>
      <c r="H2496">
        <v>750.70520000000022</v>
      </c>
      <c r="I2496">
        <v>13</v>
      </c>
      <c r="J2496" s="1">
        <v>45171</v>
      </c>
      <c r="N2496">
        <v>750.70520000000022</v>
      </c>
      <c r="O2496" s="1">
        <v>45226</v>
      </c>
      <c r="P2496">
        <f>IF(ISBLANK(ReconciliationData[[#This Row],[Invoice_ID]]),1,0)</f>
        <v>0</v>
      </c>
      <c r="Q2496">
        <f>IF(AND(NOT(ISBLANK(ReconciliationData[[#This Row],[Billed_Units]])),ReconciliationData[[#This Row],[ordered_units]]&lt;&gt;ReconciliationData[[#This Row],[Billed_Units]]),1,0)</f>
        <v>0</v>
      </c>
      <c r="R24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6">
        <f>IF(AND(NOT(ISBLANK(ReconciliationData[[#This Row],[Contract_Price]])),ReconciliationData[[#This Row],[Billed_Price]]&lt;&gt;ReconciliationData[[#This Row],[Contract_Price]]),1,0)</f>
        <v>0</v>
      </c>
      <c r="T2496">
        <f>IF(AND(NOT(ISBLANK(ReconciliationData[[#This Row],[End_Date]])),ReconciliationData[[#This Row],[Order_Date]]&gt;ReconciliationData[[#This Row],[End_Date]]),1,0)</f>
        <v>0</v>
      </c>
      <c r="U2496">
        <f>IF(AND(NOT(ISBLANK(ReconciliationData[[#This Row],[last_return_date]])),ReconciliationData[[#This Row],[last_return_date]]&gt;ReconciliationData[[#This Row],[Order_Date]]+60),1,0)</f>
        <v>0</v>
      </c>
      <c r="V2496">
        <f>IF(ReconciliationData[[#This Row],[total_returned_units]]&gt;ReconciliationData[[#This Row],[ordered_units]],1,0)</f>
        <v>0</v>
      </c>
      <c r="W24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6">
        <f>ReconciliationData[[#This Row],[Billed_Units]]*ReconciliationData[[#This Row],[Billed_Price]]</f>
        <v>119362.12680000004</v>
      </c>
      <c r="Y2496">
        <f>ReconciliationData[[#This Row],[ordered_units]]*ReconciliationData[[#This Row],[List_Price]]</f>
        <v>119362.12680000004</v>
      </c>
      <c r="Z2496">
        <f>ReconciliationData[[#This Row],[billed_revenue]]-ReconciliationData[[#This Row],[expected_revenue]]</f>
        <v>0</v>
      </c>
      <c r="AA24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6" t="str">
        <f>IF(ReconciliationData[[#This Row],[severity_score]]=0,"LOW",
 IF(ReconciliationData[[#This Row],[severity_score]]&lt;=5,"MEDIUM","HIGH"))</f>
        <v>LOW</v>
      </c>
      <c r="AC2496" t="str">
        <f>TEXT(ReconciliationData[[#This Row],[Order_Date]],"YYYY-MM")</f>
        <v>2024-05</v>
      </c>
    </row>
    <row r="2497" spans="1:29">
      <c r="A2497" t="s">
        <v>6190</v>
      </c>
      <c r="B2497" s="1">
        <v>45481</v>
      </c>
      <c r="C2497" t="s">
        <v>4282</v>
      </c>
      <c r="D2497" t="s">
        <v>468</v>
      </c>
      <c r="E2497">
        <v>149</v>
      </c>
      <c r="F2497" t="s">
        <v>6191</v>
      </c>
      <c r="G2497">
        <v>149</v>
      </c>
      <c r="H2497">
        <v>372.85379999999998</v>
      </c>
      <c r="N2497">
        <v>372.85379999999998</v>
      </c>
      <c r="O2497" s="1">
        <v>45175</v>
      </c>
      <c r="P2497">
        <f>IF(ISBLANK(ReconciliationData[[#This Row],[Invoice_ID]]),1,0)</f>
        <v>0</v>
      </c>
      <c r="Q2497">
        <f>IF(AND(NOT(ISBLANK(ReconciliationData[[#This Row],[Billed_Units]])),ReconciliationData[[#This Row],[ordered_units]]&lt;&gt;ReconciliationData[[#This Row],[Billed_Units]]),1,0)</f>
        <v>0</v>
      </c>
      <c r="R24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7">
        <f>IF(AND(NOT(ISBLANK(ReconciliationData[[#This Row],[Contract_Price]])),ReconciliationData[[#This Row],[Billed_Price]]&lt;&gt;ReconciliationData[[#This Row],[Contract_Price]]),1,0)</f>
        <v>0</v>
      </c>
      <c r="T2497">
        <f>IF(AND(NOT(ISBLANK(ReconciliationData[[#This Row],[End_Date]])),ReconciliationData[[#This Row],[Order_Date]]&gt;ReconciliationData[[#This Row],[End_Date]]),1,0)</f>
        <v>0</v>
      </c>
      <c r="U2497">
        <f>IF(AND(NOT(ISBLANK(ReconciliationData[[#This Row],[last_return_date]])),ReconciliationData[[#This Row],[last_return_date]]&gt;ReconciliationData[[#This Row],[Order_Date]]+60),1,0)</f>
        <v>0</v>
      </c>
      <c r="V2497">
        <f>IF(ReconciliationData[[#This Row],[total_returned_units]]&gt;ReconciliationData[[#This Row],[ordered_units]],1,0)</f>
        <v>0</v>
      </c>
      <c r="W24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7">
        <f>ReconciliationData[[#This Row],[Billed_Units]]*ReconciliationData[[#This Row],[Billed_Price]]</f>
        <v>55555.216199999995</v>
      </c>
      <c r="Y2497">
        <f>ReconciliationData[[#This Row],[ordered_units]]*ReconciliationData[[#This Row],[List_Price]]</f>
        <v>55555.216199999995</v>
      </c>
      <c r="Z2497">
        <f>ReconciliationData[[#This Row],[billed_revenue]]-ReconciliationData[[#This Row],[expected_revenue]]</f>
        <v>0</v>
      </c>
      <c r="AA24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7" t="str">
        <f>IF(ReconciliationData[[#This Row],[severity_score]]=0,"LOW",
 IF(ReconciliationData[[#This Row],[severity_score]]&lt;=5,"MEDIUM","HIGH"))</f>
        <v>LOW</v>
      </c>
      <c r="AC2497" t="str">
        <f>TEXT(ReconciliationData[[#This Row],[Order_Date]],"YYYY-MM")</f>
        <v>2024-07</v>
      </c>
    </row>
    <row r="2498" spans="1:29">
      <c r="A2498" t="s">
        <v>6192</v>
      </c>
      <c r="B2498" s="1">
        <v>45477</v>
      </c>
      <c r="C2498" t="s">
        <v>879</v>
      </c>
      <c r="D2498" t="s">
        <v>3220</v>
      </c>
      <c r="E2498">
        <v>28</v>
      </c>
      <c r="F2498" t="s">
        <v>6193</v>
      </c>
      <c r="G2498">
        <v>28</v>
      </c>
      <c r="H2498">
        <v>380.30540000000002</v>
      </c>
      <c r="N2498">
        <v>380.30540000000002</v>
      </c>
      <c r="O2498" s="1">
        <v>45212</v>
      </c>
      <c r="P2498">
        <f>IF(ISBLANK(ReconciliationData[[#This Row],[Invoice_ID]]),1,0)</f>
        <v>0</v>
      </c>
      <c r="Q2498">
        <f>IF(AND(NOT(ISBLANK(ReconciliationData[[#This Row],[Billed_Units]])),ReconciliationData[[#This Row],[ordered_units]]&lt;&gt;ReconciliationData[[#This Row],[Billed_Units]]),1,0)</f>
        <v>0</v>
      </c>
      <c r="R24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8">
        <f>IF(AND(NOT(ISBLANK(ReconciliationData[[#This Row],[Contract_Price]])),ReconciliationData[[#This Row],[Billed_Price]]&lt;&gt;ReconciliationData[[#This Row],[Contract_Price]]),1,0)</f>
        <v>0</v>
      </c>
      <c r="T2498">
        <f>IF(AND(NOT(ISBLANK(ReconciliationData[[#This Row],[End_Date]])),ReconciliationData[[#This Row],[Order_Date]]&gt;ReconciliationData[[#This Row],[End_Date]]),1,0)</f>
        <v>0</v>
      </c>
      <c r="U2498">
        <f>IF(AND(NOT(ISBLANK(ReconciliationData[[#This Row],[last_return_date]])),ReconciliationData[[#This Row],[last_return_date]]&gt;ReconciliationData[[#This Row],[Order_Date]]+60),1,0)</f>
        <v>0</v>
      </c>
      <c r="V2498">
        <f>IF(ReconciliationData[[#This Row],[total_returned_units]]&gt;ReconciliationData[[#This Row],[ordered_units]],1,0)</f>
        <v>0</v>
      </c>
      <c r="W24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8">
        <f>ReconciliationData[[#This Row],[Billed_Units]]*ReconciliationData[[#This Row],[Billed_Price]]</f>
        <v>10648.5512</v>
      </c>
      <c r="Y2498">
        <f>ReconciliationData[[#This Row],[ordered_units]]*ReconciliationData[[#This Row],[List_Price]]</f>
        <v>10648.5512</v>
      </c>
      <c r="Z2498">
        <f>ReconciliationData[[#This Row],[billed_revenue]]-ReconciliationData[[#This Row],[expected_revenue]]</f>
        <v>0</v>
      </c>
      <c r="AA24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8" t="str">
        <f>IF(ReconciliationData[[#This Row],[severity_score]]=0,"LOW",
 IF(ReconciliationData[[#This Row],[severity_score]]&lt;=5,"MEDIUM","HIGH"))</f>
        <v>LOW</v>
      </c>
      <c r="AC2498" t="str">
        <f>TEXT(ReconciliationData[[#This Row],[Order_Date]],"YYYY-MM")</f>
        <v>2024-07</v>
      </c>
    </row>
    <row r="2499" spans="1:29">
      <c r="A2499" t="s">
        <v>6194</v>
      </c>
      <c r="B2499" s="1">
        <v>45138</v>
      </c>
      <c r="C2499" t="s">
        <v>3525</v>
      </c>
      <c r="D2499" t="s">
        <v>483</v>
      </c>
      <c r="E2499">
        <v>48</v>
      </c>
      <c r="F2499" t="s">
        <v>6195</v>
      </c>
      <c r="G2499">
        <v>48</v>
      </c>
      <c r="H2499">
        <v>263.89999999999998</v>
      </c>
      <c r="N2499">
        <v>263.89999999999998</v>
      </c>
      <c r="O2499" s="1">
        <v>44855</v>
      </c>
      <c r="P2499">
        <f>IF(ISBLANK(ReconciliationData[[#This Row],[Invoice_ID]]),1,0)</f>
        <v>0</v>
      </c>
      <c r="Q2499">
        <f>IF(AND(NOT(ISBLANK(ReconciliationData[[#This Row],[Billed_Units]])),ReconciliationData[[#This Row],[ordered_units]]&lt;&gt;ReconciliationData[[#This Row],[Billed_Units]]),1,0)</f>
        <v>0</v>
      </c>
      <c r="R24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499">
        <f>IF(AND(NOT(ISBLANK(ReconciliationData[[#This Row],[Contract_Price]])),ReconciliationData[[#This Row],[Billed_Price]]&lt;&gt;ReconciliationData[[#This Row],[Contract_Price]]),1,0)</f>
        <v>0</v>
      </c>
      <c r="T2499">
        <f>IF(AND(NOT(ISBLANK(ReconciliationData[[#This Row],[End_Date]])),ReconciliationData[[#This Row],[Order_Date]]&gt;ReconciliationData[[#This Row],[End_Date]]),1,0)</f>
        <v>0</v>
      </c>
      <c r="U2499">
        <f>IF(AND(NOT(ISBLANK(ReconciliationData[[#This Row],[last_return_date]])),ReconciliationData[[#This Row],[last_return_date]]&gt;ReconciliationData[[#This Row],[Order_Date]]+60),1,0)</f>
        <v>0</v>
      </c>
      <c r="V2499">
        <f>IF(ReconciliationData[[#This Row],[total_returned_units]]&gt;ReconciliationData[[#This Row],[ordered_units]],1,0)</f>
        <v>0</v>
      </c>
      <c r="W24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499">
        <f>ReconciliationData[[#This Row],[Billed_Units]]*ReconciliationData[[#This Row],[Billed_Price]]</f>
        <v>12667.199999999999</v>
      </c>
      <c r="Y2499">
        <f>ReconciliationData[[#This Row],[ordered_units]]*ReconciliationData[[#This Row],[List_Price]]</f>
        <v>12667.199999999999</v>
      </c>
      <c r="Z2499">
        <f>ReconciliationData[[#This Row],[billed_revenue]]-ReconciliationData[[#This Row],[expected_revenue]]</f>
        <v>0</v>
      </c>
      <c r="AA24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499" t="str">
        <f>IF(ReconciliationData[[#This Row],[severity_score]]=0,"LOW",
 IF(ReconciliationData[[#This Row],[severity_score]]&lt;=5,"MEDIUM","HIGH"))</f>
        <v>LOW</v>
      </c>
      <c r="AC2499" t="str">
        <f>TEXT(ReconciliationData[[#This Row],[Order_Date]],"YYYY-MM")</f>
        <v>2023-07</v>
      </c>
    </row>
    <row r="2500" spans="1:29">
      <c r="A2500" t="s">
        <v>6196</v>
      </c>
      <c r="B2500" s="1">
        <v>45043</v>
      </c>
      <c r="C2500" t="s">
        <v>471</v>
      </c>
      <c r="D2500" t="s">
        <v>1580</v>
      </c>
      <c r="E2500">
        <v>75</v>
      </c>
      <c r="F2500" t="s">
        <v>6197</v>
      </c>
      <c r="G2500">
        <v>75</v>
      </c>
      <c r="H2500">
        <v>688.27559999999994</v>
      </c>
      <c r="I2500">
        <v>6</v>
      </c>
      <c r="J2500" s="1">
        <v>45099</v>
      </c>
      <c r="N2500">
        <v>688.27559999999994</v>
      </c>
      <c r="O2500" s="1">
        <v>45036</v>
      </c>
      <c r="P2500">
        <f>IF(ISBLANK(ReconciliationData[[#This Row],[Invoice_ID]]),1,0)</f>
        <v>0</v>
      </c>
      <c r="Q2500">
        <f>IF(AND(NOT(ISBLANK(ReconciliationData[[#This Row],[Billed_Units]])),ReconciliationData[[#This Row],[ordered_units]]&lt;&gt;ReconciliationData[[#This Row],[Billed_Units]]),1,0)</f>
        <v>0</v>
      </c>
      <c r="R25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0">
        <f>IF(AND(NOT(ISBLANK(ReconciliationData[[#This Row],[Contract_Price]])),ReconciliationData[[#This Row],[Billed_Price]]&lt;&gt;ReconciliationData[[#This Row],[Contract_Price]]),1,0)</f>
        <v>0</v>
      </c>
      <c r="T2500">
        <f>IF(AND(NOT(ISBLANK(ReconciliationData[[#This Row],[End_Date]])),ReconciliationData[[#This Row],[Order_Date]]&gt;ReconciliationData[[#This Row],[End_Date]]),1,0)</f>
        <v>0</v>
      </c>
      <c r="U2500">
        <f>IF(AND(NOT(ISBLANK(ReconciliationData[[#This Row],[last_return_date]])),ReconciliationData[[#This Row],[last_return_date]]&gt;ReconciliationData[[#This Row],[Order_Date]]+60),1,0)</f>
        <v>0</v>
      </c>
      <c r="V2500">
        <f>IF(ReconciliationData[[#This Row],[total_returned_units]]&gt;ReconciliationData[[#This Row],[ordered_units]],1,0)</f>
        <v>0</v>
      </c>
      <c r="W25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00">
        <f>ReconciliationData[[#This Row],[Billed_Units]]*ReconciliationData[[#This Row],[Billed_Price]]</f>
        <v>51620.67</v>
      </c>
      <c r="Y2500">
        <f>ReconciliationData[[#This Row],[ordered_units]]*ReconciliationData[[#This Row],[List_Price]]</f>
        <v>51620.67</v>
      </c>
      <c r="Z2500">
        <f>ReconciliationData[[#This Row],[billed_revenue]]-ReconciliationData[[#This Row],[expected_revenue]]</f>
        <v>0</v>
      </c>
      <c r="AA25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00" t="str">
        <f>IF(ReconciliationData[[#This Row],[severity_score]]=0,"LOW",
 IF(ReconciliationData[[#This Row],[severity_score]]&lt;=5,"MEDIUM","HIGH"))</f>
        <v>LOW</v>
      </c>
      <c r="AC2500" t="str">
        <f>TEXT(ReconciliationData[[#This Row],[Order_Date]],"YYYY-MM")</f>
        <v>2023-04</v>
      </c>
    </row>
    <row r="2501" spans="1:29">
      <c r="A2501" t="s">
        <v>6198</v>
      </c>
      <c r="B2501" s="1">
        <v>45200</v>
      </c>
      <c r="C2501" t="s">
        <v>2268</v>
      </c>
      <c r="D2501" t="s">
        <v>1061</v>
      </c>
      <c r="E2501">
        <v>82</v>
      </c>
      <c r="F2501" t="s">
        <v>6199</v>
      </c>
      <c r="G2501">
        <v>82</v>
      </c>
      <c r="H2501">
        <v>78.298400000000001</v>
      </c>
      <c r="I2501">
        <v>8</v>
      </c>
      <c r="J2501" s="1">
        <v>45440</v>
      </c>
      <c r="N2501">
        <v>78.298400000000001</v>
      </c>
      <c r="O2501" s="1">
        <v>44919</v>
      </c>
      <c r="P2501">
        <f>IF(ISBLANK(ReconciliationData[[#This Row],[Invoice_ID]]),1,0)</f>
        <v>0</v>
      </c>
      <c r="Q2501">
        <f>IF(AND(NOT(ISBLANK(ReconciliationData[[#This Row],[Billed_Units]])),ReconciliationData[[#This Row],[ordered_units]]&lt;&gt;ReconciliationData[[#This Row],[Billed_Units]]),1,0)</f>
        <v>0</v>
      </c>
      <c r="R25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1">
        <f>IF(AND(NOT(ISBLANK(ReconciliationData[[#This Row],[Contract_Price]])),ReconciliationData[[#This Row],[Billed_Price]]&lt;&gt;ReconciliationData[[#This Row],[Contract_Price]]),1,0)</f>
        <v>0</v>
      </c>
      <c r="T2501">
        <f>IF(AND(NOT(ISBLANK(ReconciliationData[[#This Row],[End_Date]])),ReconciliationData[[#This Row],[Order_Date]]&gt;ReconciliationData[[#This Row],[End_Date]]),1,0)</f>
        <v>0</v>
      </c>
      <c r="U2501">
        <f>IF(AND(NOT(ISBLANK(ReconciliationData[[#This Row],[last_return_date]])),ReconciliationData[[#This Row],[last_return_date]]&gt;ReconciliationData[[#This Row],[Order_Date]]+60),1,0)</f>
        <v>1</v>
      </c>
      <c r="V2501">
        <f>IF(ReconciliationData[[#This Row],[total_returned_units]]&gt;ReconciliationData[[#This Row],[ordered_units]],1,0)</f>
        <v>0</v>
      </c>
      <c r="W25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01">
        <f>ReconciliationData[[#This Row],[Billed_Units]]*ReconciliationData[[#This Row],[Billed_Price]]</f>
        <v>6420.4687999999996</v>
      </c>
      <c r="Y2501">
        <f>ReconciliationData[[#This Row],[ordered_units]]*ReconciliationData[[#This Row],[List_Price]]</f>
        <v>6420.4687999999996</v>
      </c>
      <c r="Z2501">
        <f>ReconciliationData[[#This Row],[billed_revenue]]-ReconciliationData[[#This Row],[expected_revenue]]</f>
        <v>0</v>
      </c>
      <c r="AA25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501" t="str">
        <f>IF(ReconciliationData[[#This Row],[severity_score]]=0,"LOW",
 IF(ReconciliationData[[#This Row],[severity_score]]&lt;=5,"MEDIUM","HIGH"))</f>
        <v>MEDIUM</v>
      </c>
      <c r="AC2501" t="str">
        <f>TEXT(ReconciliationData[[#This Row],[Order_Date]],"YYYY-MM")</f>
        <v>2023-10</v>
      </c>
    </row>
    <row r="2502" spans="1:29">
      <c r="A2502" t="s">
        <v>6200</v>
      </c>
      <c r="B2502" s="1">
        <v>45234</v>
      </c>
      <c r="C2502" t="s">
        <v>1220</v>
      </c>
      <c r="D2502" t="s">
        <v>1305</v>
      </c>
      <c r="E2502">
        <v>41</v>
      </c>
      <c r="F2502" t="s">
        <v>6201</v>
      </c>
      <c r="G2502">
        <v>41</v>
      </c>
      <c r="H2502">
        <v>250.3184</v>
      </c>
      <c r="N2502">
        <v>250.3184</v>
      </c>
      <c r="O2502" s="1">
        <v>45212</v>
      </c>
      <c r="P2502">
        <f>IF(ISBLANK(ReconciliationData[[#This Row],[Invoice_ID]]),1,0)</f>
        <v>0</v>
      </c>
      <c r="Q2502">
        <f>IF(AND(NOT(ISBLANK(ReconciliationData[[#This Row],[Billed_Units]])),ReconciliationData[[#This Row],[ordered_units]]&lt;&gt;ReconciliationData[[#This Row],[Billed_Units]]),1,0)</f>
        <v>0</v>
      </c>
      <c r="R25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2">
        <f>IF(AND(NOT(ISBLANK(ReconciliationData[[#This Row],[Contract_Price]])),ReconciliationData[[#This Row],[Billed_Price]]&lt;&gt;ReconciliationData[[#This Row],[Contract_Price]]),1,0)</f>
        <v>0</v>
      </c>
      <c r="T2502">
        <f>IF(AND(NOT(ISBLANK(ReconciliationData[[#This Row],[End_Date]])),ReconciliationData[[#This Row],[Order_Date]]&gt;ReconciliationData[[#This Row],[End_Date]]),1,0)</f>
        <v>0</v>
      </c>
      <c r="U2502">
        <f>IF(AND(NOT(ISBLANK(ReconciliationData[[#This Row],[last_return_date]])),ReconciliationData[[#This Row],[last_return_date]]&gt;ReconciliationData[[#This Row],[Order_Date]]+60),1,0)</f>
        <v>0</v>
      </c>
      <c r="V2502">
        <f>IF(ReconciliationData[[#This Row],[total_returned_units]]&gt;ReconciliationData[[#This Row],[ordered_units]],1,0)</f>
        <v>0</v>
      </c>
      <c r="W25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02">
        <f>ReconciliationData[[#This Row],[Billed_Units]]*ReconciliationData[[#This Row],[Billed_Price]]</f>
        <v>10263.054399999999</v>
      </c>
      <c r="Y2502">
        <f>ReconciliationData[[#This Row],[ordered_units]]*ReconciliationData[[#This Row],[List_Price]]</f>
        <v>10263.054399999999</v>
      </c>
      <c r="Z2502">
        <f>ReconciliationData[[#This Row],[billed_revenue]]-ReconciliationData[[#This Row],[expected_revenue]]</f>
        <v>0</v>
      </c>
      <c r="AA25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02" t="str">
        <f>IF(ReconciliationData[[#This Row],[severity_score]]=0,"LOW",
 IF(ReconciliationData[[#This Row],[severity_score]]&lt;=5,"MEDIUM","HIGH"))</f>
        <v>LOW</v>
      </c>
      <c r="AC2502" t="str">
        <f>TEXT(ReconciliationData[[#This Row],[Order_Date]],"YYYY-MM")</f>
        <v>2023-11</v>
      </c>
    </row>
    <row r="2503" spans="1:29">
      <c r="A2503" t="s">
        <v>6202</v>
      </c>
      <c r="B2503" s="1">
        <v>45212</v>
      </c>
      <c r="C2503" t="s">
        <v>2375</v>
      </c>
      <c r="D2503" t="s">
        <v>1869</v>
      </c>
      <c r="E2503">
        <v>164</v>
      </c>
      <c r="F2503" t="s">
        <v>6203</v>
      </c>
      <c r="G2503">
        <v>164</v>
      </c>
      <c r="H2503">
        <v>75.504800000000003</v>
      </c>
      <c r="I2503">
        <v>10</v>
      </c>
      <c r="J2503" s="1">
        <v>44948</v>
      </c>
      <c r="N2503">
        <v>75.504800000000003</v>
      </c>
      <c r="O2503" s="1">
        <v>45080</v>
      </c>
      <c r="P2503">
        <f>IF(ISBLANK(ReconciliationData[[#This Row],[Invoice_ID]]),1,0)</f>
        <v>0</v>
      </c>
      <c r="Q2503">
        <f>IF(AND(NOT(ISBLANK(ReconciliationData[[#This Row],[Billed_Units]])),ReconciliationData[[#This Row],[ordered_units]]&lt;&gt;ReconciliationData[[#This Row],[Billed_Units]]),1,0)</f>
        <v>0</v>
      </c>
      <c r="R25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3">
        <f>IF(AND(NOT(ISBLANK(ReconciliationData[[#This Row],[Contract_Price]])),ReconciliationData[[#This Row],[Billed_Price]]&lt;&gt;ReconciliationData[[#This Row],[Contract_Price]]),1,0)</f>
        <v>0</v>
      </c>
      <c r="T2503">
        <f>IF(AND(NOT(ISBLANK(ReconciliationData[[#This Row],[End_Date]])),ReconciliationData[[#This Row],[Order_Date]]&gt;ReconciliationData[[#This Row],[End_Date]]),1,0)</f>
        <v>0</v>
      </c>
      <c r="U2503">
        <f>IF(AND(NOT(ISBLANK(ReconciliationData[[#This Row],[last_return_date]])),ReconciliationData[[#This Row],[last_return_date]]&gt;ReconciliationData[[#This Row],[Order_Date]]+60),1,0)</f>
        <v>0</v>
      </c>
      <c r="V2503">
        <f>IF(ReconciliationData[[#This Row],[total_returned_units]]&gt;ReconciliationData[[#This Row],[ordered_units]],1,0)</f>
        <v>0</v>
      </c>
      <c r="W25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03">
        <f>ReconciliationData[[#This Row],[Billed_Units]]*ReconciliationData[[#This Row],[Billed_Price]]</f>
        <v>12382.787200000001</v>
      </c>
      <c r="Y2503">
        <f>ReconciliationData[[#This Row],[ordered_units]]*ReconciliationData[[#This Row],[List_Price]]</f>
        <v>12382.787200000001</v>
      </c>
      <c r="Z2503">
        <f>ReconciliationData[[#This Row],[billed_revenue]]-ReconciliationData[[#This Row],[expected_revenue]]</f>
        <v>0</v>
      </c>
      <c r="AA25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03" t="str">
        <f>IF(ReconciliationData[[#This Row],[severity_score]]=0,"LOW",
 IF(ReconciliationData[[#This Row],[severity_score]]&lt;=5,"MEDIUM","HIGH"))</f>
        <v>LOW</v>
      </c>
      <c r="AC2503" t="str">
        <f>TEXT(ReconciliationData[[#This Row],[Order_Date]],"YYYY-MM")</f>
        <v>2023-10</v>
      </c>
    </row>
    <row r="2504" spans="1:29">
      <c r="A2504" t="s">
        <v>6204</v>
      </c>
      <c r="B2504" s="1">
        <v>45004</v>
      </c>
      <c r="C2504" t="s">
        <v>1941</v>
      </c>
      <c r="D2504" t="s">
        <v>1432</v>
      </c>
      <c r="E2504">
        <v>172</v>
      </c>
      <c r="F2504" t="s">
        <v>6205</v>
      </c>
      <c r="G2504">
        <v>172</v>
      </c>
      <c r="H2504">
        <v>774.17</v>
      </c>
      <c r="N2504">
        <v>774.17</v>
      </c>
      <c r="O2504" s="1">
        <v>44675</v>
      </c>
      <c r="P2504">
        <f>IF(ISBLANK(ReconciliationData[[#This Row],[Invoice_ID]]),1,0)</f>
        <v>0</v>
      </c>
      <c r="Q2504">
        <f>IF(AND(NOT(ISBLANK(ReconciliationData[[#This Row],[Billed_Units]])),ReconciliationData[[#This Row],[ordered_units]]&lt;&gt;ReconciliationData[[#This Row],[Billed_Units]]),1,0)</f>
        <v>0</v>
      </c>
      <c r="R25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4">
        <f>IF(AND(NOT(ISBLANK(ReconciliationData[[#This Row],[Contract_Price]])),ReconciliationData[[#This Row],[Billed_Price]]&lt;&gt;ReconciliationData[[#This Row],[Contract_Price]]),1,0)</f>
        <v>0</v>
      </c>
      <c r="T2504">
        <f>IF(AND(NOT(ISBLANK(ReconciliationData[[#This Row],[End_Date]])),ReconciliationData[[#This Row],[Order_Date]]&gt;ReconciliationData[[#This Row],[End_Date]]),1,0)</f>
        <v>0</v>
      </c>
      <c r="U2504">
        <f>IF(AND(NOT(ISBLANK(ReconciliationData[[#This Row],[last_return_date]])),ReconciliationData[[#This Row],[last_return_date]]&gt;ReconciliationData[[#This Row],[Order_Date]]+60),1,0)</f>
        <v>0</v>
      </c>
      <c r="V2504">
        <f>IF(ReconciliationData[[#This Row],[total_returned_units]]&gt;ReconciliationData[[#This Row],[ordered_units]],1,0)</f>
        <v>0</v>
      </c>
      <c r="W25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04">
        <f>ReconciliationData[[#This Row],[Billed_Units]]*ReconciliationData[[#This Row],[Billed_Price]]</f>
        <v>133157.24</v>
      </c>
      <c r="Y2504">
        <f>ReconciliationData[[#This Row],[ordered_units]]*ReconciliationData[[#This Row],[List_Price]]</f>
        <v>133157.24</v>
      </c>
      <c r="Z2504">
        <f>ReconciliationData[[#This Row],[billed_revenue]]-ReconciliationData[[#This Row],[expected_revenue]]</f>
        <v>0</v>
      </c>
      <c r="AA25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04" t="str">
        <f>IF(ReconciliationData[[#This Row],[severity_score]]=0,"LOW",
 IF(ReconciliationData[[#This Row],[severity_score]]&lt;=5,"MEDIUM","HIGH"))</f>
        <v>LOW</v>
      </c>
      <c r="AC2504" t="str">
        <f>TEXT(ReconciliationData[[#This Row],[Order_Date]],"YYYY-MM")</f>
        <v>2023-03</v>
      </c>
    </row>
    <row r="2505" spans="1:29">
      <c r="A2505" t="s">
        <v>6206</v>
      </c>
      <c r="B2505" s="1">
        <v>45212</v>
      </c>
      <c r="C2505" t="s">
        <v>1120</v>
      </c>
      <c r="D2505" t="s">
        <v>1126</v>
      </c>
      <c r="E2505">
        <v>96</v>
      </c>
      <c r="F2505" t="s">
        <v>6207</v>
      </c>
      <c r="G2505">
        <v>96</v>
      </c>
      <c r="H2505">
        <v>926.52549999999997</v>
      </c>
      <c r="N2505">
        <v>926.52549999999997</v>
      </c>
      <c r="O2505" s="1">
        <v>45183</v>
      </c>
      <c r="P2505">
        <f>IF(ISBLANK(ReconciliationData[[#This Row],[Invoice_ID]]),1,0)</f>
        <v>0</v>
      </c>
      <c r="Q2505">
        <f>IF(AND(NOT(ISBLANK(ReconciliationData[[#This Row],[Billed_Units]])),ReconciliationData[[#This Row],[ordered_units]]&lt;&gt;ReconciliationData[[#This Row],[Billed_Units]]),1,0)</f>
        <v>0</v>
      </c>
      <c r="R25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5">
        <f>IF(AND(NOT(ISBLANK(ReconciliationData[[#This Row],[Contract_Price]])),ReconciliationData[[#This Row],[Billed_Price]]&lt;&gt;ReconciliationData[[#This Row],[Contract_Price]]),1,0)</f>
        <v>0</v>
      </c>
      <c r="T2505">
        <f>IF(AND(NOT(ISBLANK(ReconciliationData[[#This Row],[End_Date]])),ReconciliationData[[#This Row],[Order_Date]]&gt;ReconciliationData[[#This Row],[End_Date]]),1,0)</f>
        <v>0</v>
      </c>
      <c r="U2505">
        <f>IF(AND(NOT(ISBLANK(ReconciliationData[[#This Row],[last_return_date]])),ReconciliationData[[#This Row],[last_return_date]]&gt;ReconciliationData[[#This Row],[Order_Date]]+60),1,0)</f>
        <v>0</v>
      </c>
      <c r="V2505">
        <f>IF(ReconciliationData[[#This Row],[total_returned_units]]&gt;ReconciliationData[[#This Row],[ordered_units]],1,0)</f>
        <v>0</v>
      </c>
      <c r="W25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05">
        <f>ReconciliationData[[#This Row],[Billed_Units]]*ReconciliationData[[#This Row],[Billed_Price]]</f>
        <v>88946.448000000004</v>
      </c>
      <c r="Y2505">
        <f>ReconciliationData[[#This Row],[ordered_units]]*ReconciliationData[[#This Row],[List_Price]]</f>
        <v>88946.448000000004</v>
      </c>
      <c r="Z2505">
        <f>ReconciliationData[[#This Row],[billed_revenue]]-ReconciliationData[[#This Row],[expected_revenue]]</f>
        <v>0</v>
      </c>
      <c r="AA25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05" t="str">
        <f>IF(ReconciliationData[[#This Row],[severity_score]]=0,"LOW",
 IF(ReconciliationData[[#This Row],[severity_score]]&lt;=5,"MEDIUM","HIGH"))</f>
        <v>LOW</v>
      </c>
      <c r="AC2505" t="str">
        <f>TEXT(ReconciliationData[[#This Row],[Order_Date]],"YYYY-MM")</f>
        <v>2023-10</v>
      </c>
    </row>
    <row r="2506" spans="1:29">
      <c r="A2506" t="s">
        <v>6208</v>
      </c>
      <c r="B2506" s="1">
        <v>45128</v>
      </c>
      <c r="C2506" t="s">
        <v>133</v>
      </c>
      <c r="D2506" t="s">
        <v>577</v>
      </c>
      <c r="E2506">
        <v>166</v>
      </c>
      <c r="F2506" t="s">
        <v>6209</v>
      </c>
      <c r="G2506">
        <v>166</v>
      </c>
      <c r="H2506">
        <v>1093.1199999999999</v>
      </c>
      <c r="N2506">
        <v>1093.1199999999999</v>
      </c>
      <c r="O2506" s="1">
        <v>45035</v>
      </c>
      <c r="P2506">
        <f>IF(ISBLANK(ReconciliationData[[#This Row],[Invoice_ID]]),1,0)</f>
        <v>0</v>
      </c>
      <c r="Q2506">
        <f>IF(AND(NOT(ISBLANK(ReconciliationData[[#This Row],[Billed_Units]])),ReconciliationData[[#This Row],[ordered_units]]&lt;&gt;ReconciliationData[[#This Row],[Billed_Units]]),1,0)</f>
        <v>0</v>
      </c>
      <c r="R25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6">
        <f>IF(AND(NOT(ISBLANK(ReconciliationData[[#This Row],[Contract_Price]])),ReconciliationData[[#This Row],[Billed_Price]]&lt;&gt;ReconciliationData[[#This Row],[Contract_Price]]),1,0)</f>
        <v>0</v>
      </c>
      <c r="T2506">
        <f>IF(AND(NOT(ISBLANK(ReconciliationData[[#This Row],[End_Date]])),ReconciliationData[[#This Row],[Order_Date]]&gt;ReconciliationData[[#This Row],[End_Date]]),1,0)</f>
        <v>0</v>
      </c>
      <c r="U2506">
        <f>IF(AND(NOT(ISBLANK(ReconciliationData[[#This Row],[last_return_date]])),ReconciliationData[[#This Row],[last_return_date]]&gt;ReconciliationData[[#This Row],[Order_Date]]+60),1,0)</f>
        <v>0</v>
      </c>
      <c r="V2506">
        <f>IF(ReconciliationData[[#This Row],[total_returned_units]]&gt;ReconciliationData[[#This Row],[ordered_units]],1,0)</f>
        <v>0</v>
      </c>
      <c r="W25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06">
        <f>ReconciliationData[[#This Row],[Billed_Units]]*ReconciliationData[[#This Row],[Billed_Price]]</f>
        <v>181457.91999999998</v>
      </c>
      <c r="Y2506">
        <f>ReconciliationData[[#This Row],[ordered_units]]*ReconciliationData[[#This Row],[List_Price]]</f>
        <v>181457.91999999998</v>
      </c>
      <c r="Z2506">
        <f>ReconciliationData[[#This Row],[billed_revenue]]-ReconciliationData[[#This Row],[expected_revenue]]</f>
        <v>0</v>
      </c>
      <c r="AA25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06" t="str">
        <f>IF(ReconciliationData[[#This Row],[severity_score]]=0,"LOW",
 IF(ReconciliationData[[#This Row],[severity_score]]&lt;=5,"MEDIUM","HIGH"))</f>
        <v>LOW</v>
      </c>
      <c r="AC2506" t="str">
        <f>TEXT(ReconciliationData[[#This Row],[Order_Date]],"YYYY-MM")</f>
        <v>2023-07</v>
      </c>
    </row>
    <row r="2507" spans="1:29">
      <c r="A2507" t="s">
        <v>6210</v>
      </c>
      <c r="B2507" s="1">
        <v>45504</v>
      </c>
      <c r="C2507" t="s">
        <v>1828</v>
      </c>
      <c r="D2507" t="s">
        <v>4607</v>
      </c>
      <c r="E2507">
        <v>161</v>
      </c>
      <c r="F2507" t="s">
        <v>6211</v>
      </c>
      <c r="G2507">
        <v>161</v>
      </c>
      <c r="H2507">
        <v>1005.2222</v>
      </c>
      <c r="N2507">
        <v>1005.2222</v>
      </c>
      <c r="O2507" s="1">
        <v>45143</v>
      </c>
      <c r="P2507">
        <f>IF(ISBLANK(ReconciliationData[[#This Row],[Invoice_ID]]),1,0)</f>
        <v>0</v>
      </c>
      <c r="Q2507">
        <f>IF(AND(NOT(ISBLANK(ReconciliationData[[#This Row],[Billed_Units]])),ReconciliationData[[#This Row],[ordered_units]]&lt;&gt;ReconciliationData[[#This Row],[Billed_Units]]),1,0)</f>
        <v>0</v>
      </c>
      <c r="R25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7">
        <f>IF(AND(NOT(ISBLANK(ReconciliationData[[#This Row],[Contract_Price]])),ReconciliationData[[#This Row],[Billed_Price]]&lt;&gt;ReconciliationData[[#This Row],[Contract_Price]]),1,0)</f>
        <v>0</v>
      </c>
      <c r="T2507">
        <f>IF(AND(NOT(ISBLANK(ReconciliationData[[#This Row],[End_Date]])),ReconciliationData[[#This Row],[Order_Date]]&gt;ReconciliationData[[#This Row],[End_Date]]),1,0)</f>
        <v>0</v>
      </c>
      <c r="U2507">
        <f>IF(AND(NOT(ISBLANK(ReconciliationData[[#This Row],[last_return_date]])),ReconciliationData[[#This Row],[last_return_date]]&gt;ReconciliationData[[#This Row],[Order_Date]]+60),1,0)</f>
        <v>0</v>
      </c>
      <c r="V2507">
        <f>IF(ReconciliationData[[#This Row],[total_returned_units]]&gt;ReconciliationData[[#This Row],[ordered_units]],1,0)</f>
        <v>0</v>
      </c>
      <c r="W25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07">
        <f>ReconciliationData[[#This Row],[Billed_Units]]*ReconciliationData[[#This Row],[Billed_Price]]</f>
        <v>161840.77420000001</v>
      </c>
      <c r="Y2507">
        <f>ReconciliationData[[#This Row],[ordered_units]]*ReconciliationData[[#This Row],[List_Price]]</f>
        <v>161840.77420000001</v>
      </c>
      <c r="Z2507">
        <f>ReconciliationData[[#This Row],[billed_revenue]]-ReconciliationData[[#This Row],[expected_revenue]]</f>
        <v>0</v>
      </c>
      <c r="AA25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07" t="str">
        <f>IF(ReconciliationData[[#This Row],[severity_score]]=0,"LOW",
 IF(ReconciliationData[[#This Row],[severity_score]]&lt;=5,"MEDIUM","HIGH"))</f>
        <v>LOW</v>
      </c>
      <c r="AC2507" t="str">
        <f>TEXT(ReconciliationData[[#This Row],[Order_Date]],"YYYY-MM")</f>
        <v>2024-07</v>
      </c>
    </row>
    <row r="2508" spans="1:29">
      <c r="A2508" t="s">
        <v>6212</v>
      </c>
      <c r="B2508" s="1">
        <v>44974</v>
      </c>
      <c r="C2508" t="s">
        <v>1682</v>
      </c>
      <c r="D2508" t="s">
        <v>1606</v>
      </c>
      <c r="E2508">
        <v>140</v>
      </c>
      <c r="F2508" t="s">
        <v>6213</v>
      </c>
      <c r="G2508">
        <v>140</v>
      </c>
      <c r="H2508">
        <v>579.65</v>
      </c>
      <c r="I2508">
        <v>15</v>
      </c>
      <c r="J2508" s="1">
        <v>45027</v>
      </c>
      <c r="N2508">
        <v>579.65</v>
      </c>
      <c r="O2508" s="1">
        <v>44837</v>
      </c>
      <c r="P2508">
        <f>IF(ISBLANK(ReconciliationData[[#This Row],[Invoice_ID]]),1,0)</f>
        <v>0</v>
      </c>
      <c r="Q2508">
        <f>IF(AND(NOT(ISBLANK(ReconciliationData[[#This Row],[Billed_Units]])),ReconciliationData[[#This Row],[ordered_units]]&lt;&gt;ReconciliationData[[#This Row],[Billed_Units]]),1,0)</f>
        <v>0</v>
      </c>
      <c r="R25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8">
        <f>IF(AND(NOT(ISBLANK(ReconciliationData[[#This Row],[Contract_Price]])),ReconciliationData[[#This Row],[Billed_Price]]&lt;&gt;ReconciliationData[[#This Row],[Contract_Price]]),1,0)</f>
        <v>0</v>
      </c>
      <c r="T2508">
        <f>IF(AND(NOT(ISBLANK(ReconciliationData[[#This Row],[End_Date]])),ReconciliationData[[#This Row],[Order_Date]]&gt;ReconciliationData[[#This Row],[End_Date]]),1,0)</f>
        <v>0</v>
      </c>
      <c r="U2508">
        <f>IF(AND(NOT(ISBLANK(ReconciliationData[[#This Row],[last_return_date]])),ReconciliationData[[#This Row],[last_return_date]]&gt;ReconciliationData[[#This Row],[Order_Date]]+60),1,0)</f>
        <v>0</v>
      </c>
      <c r="V2508">
        <f>IF(ReconciliationData[[#This Row],[total_returned_units]]&gt;ReconciliationData[[#This Row],[ordered_units]],1,0)</f>
        <v>0</v>
      </c>
      <c r="W25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08">
        <f>ReconciliationData[[#This Row],[Billed_Units]]*ReconciliationData[[#This Row],[Billed_Price]]</f>
        <v>81151</v>
      </c>
      <c r="Y2508">
        <f>ReconciliationData[[#This Row],[ordered_units]]*ReconciliationData[[#This Row],[List_Price]]</f>
        <v>81151</v>
      </c>
      <c r="Z2508">
        <f>ReconciliationData[[#This Row],[billed_revenue]]-ReconciliationData[[#This Row],[expected_revenue]]</f>
        <v>0</v>
      </c>
      <c r="AA25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08" t="str">
        <f>IF(ReconciliationData[[#This Row],[severity_score]]=0,"LOW",
 IF(ReconciliationData[[#This Row],[severity_score]]&lt;=5,"MEDIUM","HIGH"))</f>
        <v>LOW</v>
      </c>
      <c r="AC2508" t="str">
        <f>TEXT(ReconciliationData[[#This Row],[Order_Date]],"YYYY-MM")</f>
        <v>2023-02</v>
      </c>
    </row>
    <row r="2509" spans="1:29">
      <c r="A2509" t="s">
        <v>6214</v>
      </c>
      <c r="B2509" s="1">
        <v>44931</v>
      </c>
      <c r="C2509" t="s">
        <v>540</v>
      </c>
      <c r="D2509" t="s">
        <v>1878</v>
      </c>
      <c r="E2509">
        <v>84</v>
      </c>
      <c r="F2509" t="s">
        <v>6215</v>
      </c>
      <c r="G2509">
        <v>84</v>
      </c>
      <c r="H2509">
        <v>752.34559999999999</v>
      </c>
      <c r="N2509">
        <v>752.34559999999999</v>
      </c>
      <c r="O2509" s="1">
        <v>44900</v>
      </c>
      <c r="P2509">
        <f>IF(ISBLANK(ReconciliationData[[#This Row],[Invoice_ID]]),1,0)</f>
        <v>0</v>
      </c>
      <c r="Q2509">
        <f>IF(AND(NOT(ISBLANK(ReconciliationData[[#This Row],[Billed_Units]])),ReconciliationData[[#This Row],[ordered_units]]&lt;&gt;ReconciliationData[[#This Row],[Billed_Units]]),1,0)</f>
        <v>0</v>
      </c>
      <c r="R25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09">
        <f>IF(AND(NOT(ISBLANK(ReconciliationData[[#This Row],[Contract_Price]])),ReconciliationData[[#This Row],[Billed_Price]]&lt;&gt;ReconciliationData[[#This Row],[Contract_Price]]),1,0)</f>
        <v>0</v>
      </c>
      <c r="T2509">
        <f>IF(AND(NOT(ISBLANK(ReconciliationData[[#This Row],[End_Date]])),ReconciliationData[[#This Row],[Order_Date]]&gt;ReconciliationData[[#This Row],[End_Date]]),1,0)</f>
        <v>0</v>
      </c>
      <c r="U2509">
        <f>IF(AND(NOT(ISBLANK(ReconciliationData[[#This Row],[last_return_date]])),ReconciliationData[[#This Row],[last_return_date]]&gt;ReconciliationData[[#This Row],[Order_Date]]+60),1,0)</f>
        <v>0</v>
      </c>
      <c r="V2509">
        <f>IF(ReconciliationData[[#This Row],[total_returned_units]]&gt;ReconciliationData[[#This Row],[ordered_units]],1,0)</f>
        <v>0</v>
      </c>
      <c r="W25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09">
        <f>ReconciliationData[[#This Row],[Billed_Units]]*ReconciliationData[[#This Row],[Billed_Price]]</f>
        <v>63197.030399999996</v>
      </c>
      <c r="Y2509">
        <f>ReconciliationData[[#This Row],[ordered_units]]*ReconciliationData[[#This Row],[List_Price]]</f>
        <v>63197.030399999996</v>
      </c>
      <c r="Z2509">
        <f>ReconciliationData[[#This Row],[billed_revenue]]-ReconciliationData[[#This Row],[expected_revenue]]</f>
        <v>0</v>
      </c>
      <c r="AA25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09" t="str">
        <f>IF(ReconciliationData[[#This Row],[severity_score]]=0,"LOW",
 IF(ReconciliationData[[#This Row],[severity_score]]&lt;=5,"MEDIUM","HIGH"))</f>
        <v>LOW</v>
      </c>
      <c r="AC2509" t="str">
        <f>TEXT(ReconciliationData[[#This Row],[Order_Date]],"YYYY-MM")</f>
        <v>2023-01</v>
      </c>
    </row>
    <row r="2510" spans="1:29">
      <c r="A2510" t="s">
        <v>6216</v>
      </c>
      <c r="B2510" s="1">
        <v>45338</v>
      </c>
      <c r="C2510" t="s">
        <v>4381</v>
      </c>
      <c r="D2510" t="s">
        <v>1245</v>
      </c>
      <c r="E2510">
        <v>105</v>
      </c>
      <c r="F2510" t="s">
        <v>6217</v>
      </c>
      <c r="G2510">
        <v>105</v>
      </c>
      <c r="H2510">
        <v>247.48920000000001</v>
      </c>
      <c r="N2510">
        <v>247.48920000000001</v>
      </c>
      <c r="O2510" s="1">
        <v>45088</v>
      </c>
      <c r="P2510">
        <f>IF(ISBLANK(ReconciliationData[[#This Row],[Invoice_ID]]),1,0)</f>
        <v>0</v>
      </c>
      <c r="Q2510">
        <f>IF(AND(NOT(ISBLANK(ReconciliationData[[#This Row],[Billed_Units]])),ReconciliationData[[#This Row],[ordered_units]]&lt;&gt;ReconciliationData[[#This Row],[Billed_Units]]),1,0)</f>
        <v>0</v>
      </c>
      <c r="R25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0">
        <f>IF(AND(NOT(ISBLANK(ReconciliationData[[#This Row],[Contract_Price]])),ReconciliationData[[#This Row],[Billed_Price]]&lt;&gt;ReconciliationData[[#This Row],[Contract_Price]]),1,0)</f>
        <v>0</v>
      </c>
      <c r="T2510">
        <f>IF(AND(NOT(ISBLANK(ReconciliationData[[#This Row],[End_Date]])),ReconciliationData[[#This Row],[Order_Date]]&gt;ReconciliationData[[#This Row],[End_Date]]),1,0)</f>
        <v>0</v>
      </c>
      <c r="U2510">
        <f>IF(AND(NOT(ISBLANK(ReconciliationData[[#This Row],[last_return_date]])),ReconciliationData[[#This Row],[last_return_date]]&gt;ReconciliationData[[#This Row],[Order_Date]]+60),1,0)</f>
        <v>0</v>
      </c>
      <c r="V2510">
        <f>IF(ReconciliationData[[#This Row],[total_returned_units]]&gt;ReconciliationData[[#This Row],[ordered_units]],1,0)</f>
        <v>0</v>
      </c>
      <c r="W25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10">
        <f>ReconciliationData[[#This Row],[Billed_Units]]*ReconciliationData[[#This Row],[Billed_Price]]</f>
        <v>25986.366000000002</v>
      </c>
      <c r="Y2510">
        <f>ReconciliationData[[#This Row],[ordered_units]]*ReconciliationData[[#This Row],[List_Price]]</f>
        <v>25986.366000000002</v>
      </c>
      <c r="Z2510">
        <f>ReconciliationData[[#This Row],[billed_revenue]]-ReconciliationData[[#This Row],[expected_revenue]]</f>
        <v>0</v>
      </c>
      <c r="AA25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10" t="str">
        <f>IF(ReconciliationData[[#This Row],[severity_score]]=0,"LOW",
 IF(ReconciliationData[[#This Row],[severity_score]]&lt;=5,"MEDIUM","HIGH"))</f>
        <v>LOW</v>
      </c>
      <c r="AC2510" t="str">
        <f>TEXT(ReconciliationData[[#This Row],[Order_Date]],"YYYY-MM")</f>
        <v>2024-02</v>
      </c>
    </row>
    <row r="2511" spans="1:29">
      <c r="A2511" t="s">
        <v>6218</v>
      </c>
      <c r="B2511" s="1">
        <v>45388</v>
      </c>
      <c r="C2511" t="s">
        <v>4896</v>
      </c>
      <c r="D2511" t="s">
        <v>585</v>
      </c>
      <c r="E2511">
        <v>164</v>
      </c>
      <c r="F2511" t="s">
        <v>6219</v>
      </c>
      <c r="G2511">
        <v>164</v>
      </c>
      <c r="H2511">
        <v>898.02300000000002</v>
      </c>
      <c r="N2511">
        <v>898.02300000000002</v>
      </c>
      <c r="O2511" s="1">
        <v>45026</v>
      </c>
      <c r="P2511">
        <f>IF(ISBLANK(ReconciliationData[[#This Row],[Invoice_ID]]),1,0)</f>
        <v>0</v>
      </c>
      <c r="Q2511">
        <f>IF(AND(NOT(ISBLANK(ReconciliationData[[#This Row],[Billed_Units]])),ReconciliationData[[#This Row],[ordered_units]]&lt;&gt;ReconciliationData[[#This Row],[Billed_Units]]),1,0)</f>
        <v>0</v>
      </c>
      <c r="R25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1">
        <f>IF(AND(NOT(ISBLANK(ReconciliationData[[#This Row],[Contract_Price]])),ReconciliationData[[#This Row],[Billed_Price]]&lt;&gt;ReconciliationData[[#This Row],[Contract_Price]]),1,0)</f>
        <v>0</v>
      </c>
      <c r="T2511">
        <f>IF(AND(NOT(ISBLANK(ReconciliationData[[#This Row],[End_Date]])),ReconciliationData[[#This Row],[Order_Date]]&gt;ReconciliationData[[#This Row],[End_Date]]),1,0)</f>
        <v>0</v>
      </c>
      <c r="U2511">
        <f>IF(AND(NOT(ISBLANK(ReconciliationData[[#This Row],[last_return_date]])),ReconciliationData[[#This Row],[last_return_date]]&gt;ReconciliationData[[#This Row],[Order_Date]]+60),1,0)</f>
        <v>0</v>
      </c>
      <c r="V2511">
        <f>IF(ReconciliationData[[#This Row],[total_returned_units]]&gt;ReconciliationData[[#This Row],[ordered_units]],1,0)</f>
        <v>0</v>
      </c>
      <c r="W25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11">
        <f>ReconciliationData[[#This Row],[Billed_Units]]*ReconciliationData[[#This Row],[Billed_Price]]</f>
        <v>147275.772</v>
      </c>
      <c r="Y2511">
        <f>ReconciliationData[[#This Row],[ordered_units]]*ReconciliationData[[#This Row],[List_Price]]</f>
        <v>147275.772</v>
      </c>
      <c r="Z2511">
        <f>ReconciliationData[[#This Row],[billed_revenue]]-ReconciliationData[[#This Row],[expected_revenue]]</f>
        <v>0</v>
      </c>
      <c r="AA25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11" t="str">
        <f>IF(ReconciliationData[[#This Row],[severity_score]]=0,"LOW",
 IF(ReconciliationData[[#This Row],[severity_score]]&lt;=5,"MEDIUM","HIGH"))</f>
        <v>LOW</v>
      </c>
      <c r="AC2511" t="str">
        <f>TEXT(ReconciliationData[[#This Row],[Order_Date]],"YYYY-MM")</f>
        <v>2024-04</v>
      </c>
    </row>
    <row r="2512" spans="1:29">
      <c r="A2512" t="s">
        <v>6220</v>
      </c>
      <c r="B2512" s="1">
        <v>45292</v>
      </c>
      <c r="C2512" t="s">
        <v>1469</v>
      </c>
      <c r="D2512" t="s">
        <v>1003</v>
      </c>
      <c r="E2512">
        <v>177</v>
      </c>
      <c r="F2512" t="s">
        <v>6221</v>
      </c>
      <c r="G2512">
        <v>177</v>
      </c>
      <c r="H2512">
        <v>825.13580000000002</v>
      </c>
      <c r="N2512">
        <v>825.13580000000002</v>
      </c>
      <c r="O2512" s="1">
        <v>44998</v>
      </c>
      <c r="P2512">
        <f>IF(ISBLANK(ReconciliationData[[#This Row],[Invoice_ID]]),1,0)</f>
        <v>0</v>
      </c>
      <c r="Q2512">
        <f>IF(AND(NOT(ISBLANK(ReconciliationData[[#This Row],[Billed_Units]])),ReconciliationData[[#This Row],[ordered_units]]&lt;&gt;ReconciliationData[[#This Row],[Billed_Units]]),1,0)</f>
        <v>0</v>
      </c>
      <c r="R25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2">
        <f>IF(AND(NOT(ISBLANK(ReconciliationData[[#This Row],[Contract_Price]])),ReconciliationData[[#This Row],[Billed_Price]]&lt;&gt;ReconciliationData[[#This Row],[Contract_Price]]),1,0)</f>
        <v>0</v>
      </c>
      <c r="T2512">
        <f>IF(AND(NOT(ISBLANK(ReconciliationData[[#This Row],[End_Date]])),ReconciliationData[[#This Row],[Order_Date]]&gt;ReconciliationData[[#This Row],[End_Date]]),1,0)</f>
        <v>0</v>
      </c>
      <c r="U2512">
        <f>IF(AND(NOT(ISBLANK(ReconciliationData[[#This Row],[last_return_date]])),ReconciliationData[[#This Row],[last_return_date]]&gt;ReconciliationData[[#This Row],[Order_Date]]+60),1,0)</f>
        <v>0</v>
      </c>
      <c r="V2512">
        <f>IF(ReconciliationData[[#This Row],[total_returned_units]]&gt;ReconciliationData[[#This Row],[ordered_units]],1,0)</f>
        <v>0</v>
      </c>
      <c r="W25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12">
        <f>ReconciliationData[[#This Row],[Billed_Units]]*ReconciliationData[[#This Row],[Billed_Price]]</f>
        <v>146049.03659999999</v>
      </c>
      <c r="Y2512">
        <f>ReconciliationData[[#This Row],[ordered_units]]*ReconciliationData[[#This Row],[List_Price]]</f>
        <v>146049.03659999999</v>
      </c>
      <c r="Z2512">
        <f>ReconciliationData[[#This Row],[billed_revenue]]-ReconciliationData[[#This Row],[expected_revenue]]</f>
        <v>0</v>
      </c>
      <c r="AA25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12" t="str">
        <f>IF(ReconciliationData[[#This Row],[severity_score]]=0,"LOW",
 IF(ReconciliationData[[#This Row],[severity_score]]&lt;=5,"MEDIUM","HIGH"))</f>
        <v>LOW</v>
      </c>
      <c r="AC2512" t="str">
        <f>TEXT(ReconciliationData[[#This Row],[Order_Date]],"YYYY-MM")</f>
        <v>2024-01</v>
      </c>
    </row>
    <row r="2513" spans="1:29">
      <c r="A2513" t="s">
        <v>6222</v>
      </c>
      <c r="B2513" s="1">
        <v>45632</v>
      </c>
      <c r="C2513" t="s">
        <v>634</v>
      </c>
      <c r="D2513" t="s">
        <v>337</v>
      </c>
      <c r="E2513">
        <v>169</v>
      </c>
      <c r="F2513" t="s">
        <v>6223</v>
      </c>
      <c r="G2513">
        <v>169</v>
      </c>
      <c r="H2513">
        <v>991.84019999999998</v>
      </c>
      <c r="N2513">
        <v>991.84019999999998</v>
      </c>
      <c r="O2513" s="1">
        <v>45222</v>
      </c>
      <c r="P2513">
        <f>IF(ISBLANK(ReconciliationData[[#This Row],[Invoice_ID]]),1,0)</f>
        <v>0</v>
      </c>
      <c r="Q2513">
        <f>IF(AND(NOT(ISBLANK(ReconciliationData[[#This Row],[Billed_Units]])),ReconciliationData[[#This Row],[ordered_units]]&lt;&gt;ReconciliationData[[#This Row],[Billed_Units]]),1,0)</f>
        <v>0</v>
      </c>
      <c r="R25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3">
        <f>IF(AND(NOT(ISBLANK(ReconciliationData[[#This Row],[Contract_Price]])),ReconciliationData[[#This Row],[Billed_Price]]&lt;&gt;ReconciliationData[[#This Row],[Contract_Price]]),1,0)</f>
        <v>0</v>
      </c>
      <c r="T2513">
        <f>IF(AND(NOT(ISBLANK(ReconciliationData[[#This Row],[End_Date]])),ReconciliationData[[#This Row],[Order_Date]]&gt;ReconciliationData[[#This Row],[End_Date]]),1,0)</f>
        <v>0</v>
      </c>
      <c r="U2513">
        <f>IF(AND(NOT(ISBLANK(ReconciliationData[[#This Row],[last_return_date]])),ReconciliationData[[#This Row],[last_return_date]]&gt;ReconciliationData[[#This Row],[Order_Date]]+60),1,0)</f>
        <v>0</v>
      </c>
      <c r="V2513">
        <f>IF(ReconciliationData[[#This Row],[total_returned_units]]&gt;ReconciliationData[[#This Row],[ordered_units]],1,0)</f>
        <v>0</v>
      </c>
      <c r="W25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13">
        <f>ReconciliationData[[#This Row],[Billed_Units]]*ReconciliationData[[#This Row],[Billed_Price]]</f>
        <v>167620.9938</v>
      </c>
      <c r="Y2513">
        <f>ReconciliationData[[#This Row],[ordered_units]]*ReconciliationData[[#This Row],[List_Price]]</f>
        <v>167620.9938</v>
      </c>
      <c r="Z2513">
        <f>ReconciliationData[[#This Row],[billed_revenue]]-ReconciliationData[[#This Row],[expected_revenue]]</f>
        <v>0</v>
      </c>
      <c r="AA25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13" t="str">
        <f>IF(ReconciliationData[[#This Row],[severity_score]]=0,"LOW",
 IF(ReconciliationData[[#This Row],[severity_score]]&lt;=5,"MEDIUM","HIGH"))</f>
        <v>LOW</v>
      </c>
      <c r="AC2513" t="str">
        <f>TEXT(ReconciliationData[[#This Row],[Order_Date]],"YYYY-MM")</f>
        <v>2024-12</v>
      </c>
    </row>
    <row r="2514" spans="1:29">
      <c r="A2514" t="s">
        <v>6224</v>
      </c>
      <c r="B2514" s="1">
        <v>45377</v>
      </c>
      <c r="C2514" t="s">
        <v>4392</v>
      </c>
      <c r="D2514" t="s">
        <v>1717</v>
      </c>
      <c r="E2514">
        <v>149</v>
      </c>
      <c r="F2514" t="s">
        <v>6225</v>
      </c>
      <c r="G2514">
        <v>145</v>
      </c>
      <c r="H2514">
        <v>1166.4765000000002</v>
      </c>
      <c r="N2514">
        <v>1166.4765000000002</v>
      </c>
      <c r="O2514" s="1">
        <v>45114</v>
      </c>
      <c r="P2514">
        <f>IF(ISBLANK(ReconciliationData[[#This Row],[Invoice_ID]]),1,0)</f>
        <v>0</v>
      </c>
      <c r="Q2514">
        <f>IF(AND(NOT(ISBLANK(ReconciliationData[[#This Row],[Billed_Units]])),ReconciliationData[[#This Row],[ordered_units]]&lt;&gt;ReconciliationData[[#This Row],[Billed_Units]]),1,0)</f>
        <v>1</v>
      </c>
      <c r="R25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4">
        <f>IF(AND(NOT(ISBLANK(ReconciliationData[[#This Row],[Contract_Price]])),ReconciliationData[[#This Row],[Billed_Price]]&lt;&gt;ReconciliationData[[#This Row],[Contract_Price]]),1,0)</f>
        <v>0</v>
      </c>
      <c r="T2514">
        <f>IF(AND(NOT(ISBLANK(ReconciliationData[[#This Row],[End_Date]])),ReconciliationData[[#This Row],[Order_Date]]&gt;ReconciliationData[[#This Row],[End_Date]]),1,0)</f>
        <v>0</v>
      </c>
      <c r="U2514">
        <f>IF(AND(NOT(ISBLANK(ReconciliationData[[#This Row],[last_return_date]])),ReconciliationData[[#This Row],[last_return_date]]&gt;ReconciliationData[[#This Row],[Order_Date]]+60),1,0)</f>
        <v>0</v>
      </c>
      <c r="V2514">
        <f>IF(ReconciliationData[[#This Row],[total_returned_units]]&gt;ReconciliationData[[#This Row],[ordered_units]],1,0)</f>
        <v>0</v>
      </c>
      <c r="W25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14">
        <f>ReconciliationData[[#This Row],[Billed_Units]]*ReconciliationData[[#This Row],[Billed_Price]]</f>
        <v>169139.09250000003</v>
      </c>
      <c r="Y2514">
        <f>ReconciliationData[[#This Row],[ordered_units]]*ReconciliationData[[#This Row],[List_Price]]</f>
        <v>173804.99850000005</v>
      </c>
      <c r="Z2514">
        <f>ReconciliationData[[#This Row],[billed_revenue]]-ReconciliationData[[#This Row],[expected_revenue]]</f>
        <v>-4665.9060000000172</v>
      </c>
      <c r="AA25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514" t="str">
        <f>IF(ReconciliationData[[#This Row],[severity_score]]=0,"LOW",
 IF(ReconciliationData[[#This Row],[severity_score]]&lt;=5,"MEDIUM","HIGH"))</f>
        <v>HIGH</v>
      </c>
      <c r="AC2514" t="str">
        <f>TEXT(ReconciliationData[[#This Row],[Order_Date]],"YYYY-MM")</f>
        <v>2024-03</v>
      </c>
    </row>
    <row r="2515" spans="1:29">
      <c r="A2515" t="s">
        <v>6226</v>
      </c>
      <c r="B2515" s="1">
        <v>45318</v>
      </c>
      <c r="C2515" t="s">
        <v>1403</v>
      </c>
      <c r="D2515" t="s">
        <v>1333</v>
      </c>
      <c r="E2515">
        <v>98</v>
      </c>
      <c r="F2515" t="s">
        <v>6227</v>
      </c>
      <c r="G2515">
        <v>98</v>
      </c>
      <c r="H2515">
        <v>418.93040000000002</v>
      </c>
      <c r="N2515">
        <v>418.93040000000002</v>
      </c>
      <c r="O2515" s="1">
        <v>45214</v>
      </c>
      <c r="P2515">
        <f>IF(ISBLANK(ReconciliationData[[#This Row],[Invoice_ID]]),1,0)</f>
        <v>0</v>
      </c>
      <c r="Q2515">
        <f>IF(AND(NOT(ISBLANK(ReconciliationData[[#This Row],[Billed_Units]])),ReconciliationData[[#This Row],[ordered_units]]&lt;&gt;ReconciliationData[[#This Row],[Billed_Units]]),1,0)</f>
        <v>0</v>
      </c>
      <c r="R25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5">
        <f>IF(AND(NOT(ISBLANK(ReconciliationData[[#This Row],[Contract_Price]])),ReconciliationData[[#This Row],[Billed_Price]]&lt;&gt;ReconciliationData[[#This Row],[Contract_Price]]),1,0)</f>
        <v>0</v>
      </c>
      <c r="T2515">
        <f>IF(AND(NOT(ISBLANK(ReconciliationData[[#This Row],[End_Date]])),ReconciliationData[[#This Row],[Order_Date]]&gt;ReconciliationData[[#This Row],[End_Date]]),1,0)</f>
        <v>0</v>
      </c>
      <c r="U2515">
        <f>IF(AND(NOT(ISBLANK(ReconciliationData[[#This Row],[last_return_date]])),ReconciliationData[[#This Row],[last_return_date]]&gt;ReconciliationData[[#This Row],[Order_Date]]+60),1,0)</f>
        <v>0</v>
      </c>
      <c r="V2515">
        <f>IF(ReconciliationData[[#This Row],[total_returned_units]]&gt;ReconciliationData[[#This Row],[ordered_units]],1,0)</f>
        <v>0</v>
      </c>
      <c r="W25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15">
        <f>ReconciliationData[[#This Row],[Billed_Units]]*ReconciliationData[[#This Row],[Billed_Price]]</f>
        <v>41055.179199999999</v>
      </c>
      <c r="Y2515">
        <f>ReconciliationData[[#This Row],[ordered_units]]*ReconciliationData[[#This Row],[List_Price]]</f>
        <v>41055.179199999999</v>
      </c>
      <c r="Z2515">
        <f>ReconciliationData[[#This Row],[billed_revenue]]-ReconciliationData[[#This Row],[expected_revenue]]</f>
        <v>0</v>
      </c>
      <c r="AA25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15" t="str">
        <f>IF(ReconciliationData[[#This Row],[severity_score]]=0,"LOW",
 IF(ReconciliationData[[#This Row],[severity_score]]&lt;=5,"MEDIUM","HIGH"))</f>
        <v>LOW</v>
      </c>
      <c r="AC2515" t="str">
        <f>TEXT(ReconciliationData[[#This Row],[Order_Date]],"YYYY-MM")</f>
        <v>2024-01</v>
      </c>
    </row>
    <row r="2516" spans="1:29">
      <c r="A2516" t="s">
        <v>6228</v>
      </c>
      <c r="B2516" s="1">
        <v>44981</v>
      </c>
      <c r="C2516" t="s">
        <v>392</v>
      </c>
      <c r="D2516" t="s">
        <v>243</v>
      </c>
      <c r="E2516">
        <v>22</v>
      </c>
      <c r="F2516" t="s">
        <v>6229</v>
      </c>
      <c r="G2516">
        <v>22</v>
      </c>
      <c r="H2516">
        <v>126.5656</v>
      </c>
      <c r="N2516">
        <v>126.5656</v>
      </c>
      <c r="O2516" s="1">
        <v>44947</v>
      </c>
      <c r="P2516">
        <f>IF(ISBLANK(ReconciliationData[[#This Row],[Invoice_ID]]),1,0)</f>
        <v>0</v>
      </c>
      <c r="Q2516">
        <f>IF(AND(NOT(ISBLANK(ReconciliationData[[#This Row],[Billed_Units]])),ReconciliationData[[#This Row],[ordered_units]]&lt;&gt;ReconciliationData[[#This Row],[Billed_Units]]),1,0)</f>
        <v>0</v>
      </c>
      <c r="R25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6">
        <f>IF(AND(NOT(ISBLANK(ReconciliationData[[#This Row],[Contract_Price]])),ReconciliationData[[#This Row],[Billed_Price]]&lt;&gt;ReconciliationData[[#This Row],[Contract_Price]]),1,0)</f>
        <v>0</v>
      </c>
      <c r="T2516">
        <f>IF(AND(NOT(ISBLANK(ReconciliationData[[#This Row],[End_Date]])),ReconciliationData[[#This Row],[Order_Date]]&gt;ReconciliationData[[#This Row],[End_Date]]),1,0)</f>
        <v>0</v>
      </c>
      <c r="U2516">
        <f>IF(AND(NOT(ISBLANK(ReconciliationData[[#This Row],[last_return_date]])),ReconciliationData[[#This Row],[last_return_date]]&gt;ReconciliationData[[#This Row],[Order_Date]]+60),1,0)</f>
        <v>0</v>
      </c>
      <c r="V2516">
        <f>IF(ReconciliationData[[#This Row],[total_returned_units]]&gt;ReconciliationData[[#This Row],[ordered_units]],1,0)</f>
        <v>0</v>
      </c>
      <c r="W25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16">
        <f>ReconciliationData[[#This Row],[Billed_Units]]*ReconciliationData[[#This Row],[Billed_Price]]</f>
        <v>2784.4432000000002</v>
      </c>
      <c r="Y2516">
        <f>ReconciliationData[[#This Row],[ordered_units]]*ReconciliationData[[#This Row],[List_Price]]</f>
        <v>2784.4432000000002</v>
      </c>
      <c r="Z2516">
        <f>ReconciliationData[[#This Row],[billed_revenue]]-ReconciliationData[[#This Row],[expected_revenue]]</f>
        <v>0</v>
      </c>
      <c r="AA25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16" t="str">
        <f>IF(ReconciliationData[[#This Row],[severity_score]]=0,"LOW",
 IF(ReconciliationData[[#This Row],[severity_score]]&lt;=5,"MEDIUM","HIGH"))</f>
        <v>LOW</v>
      </c>
      <c r="AC2516" t="str">
        <f>TEXT(ReconciliationData[[#This Row],[Order_Date]],"YYYY-MM")</f>
        <v>2023-02</v>
      </c>
    </row>
    <row r="2517" spans="1:29">
      <c r="A2517" t="s">
        <v>6230</v>
      </c>
      <c r="B2517" s="1">
        <v>45357</v>
      </c>
      <c r="C2517" t="s">
        <v>547</v>
      </c>
      <c r="D2517" t="s">
        <v>768</v>
      </c>
      <c r="E2517">
        <v>91</v>
      </c>
      <c r="F2517" t="s">
        <v>6231</v>
      </c>
      <c r="G2517">
        <v>91</v>
      </c>
      <c r="H2517">
        <v>410.02</v>
      </c>
      <c r="N2517">
        <v>410.02</v>
      </c>
      <c r="O2517" s="1">
        <v>45017</v>
      </c>
      <c r="P2517">
        <f>IF(ISBLANK(ReconciliationData[[#This Row],[Invoice_ID]]),1,0)</f>
        <v>0</v>
      </c>
      <c r="Q2517">
        <f>IF(AND(NOT(ISBLANK(ReconciliationData[[#This Row],[Billed_Units]])),ReconciliationData[[#This Row],[ordered_units]]&lt;&gt;ReconciliationData[[#This Row],[Billed_Units]]),1,0)</f>
        <v>0</v>
      </c>
      <c r="R25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7">
        <f>IF(AND(NOT(ISBLANK(ReconciliationData[[#This Row],[Contract_Price]])),ReconciliationData[[#This Row],[Billed_Price]]&lt;&gt;ReconciliationData[[#This Row],[Contract_Price]]),1,0)</f>
        <v>0</v>
      </c>
      <c r="T2517">
        <f>IF(AND(NOT(ISBLANK(ReconciliationData[[#This Row],[End_Date]])),ReconciliationData[[#This Row],[Order_Date]]&gt;ReconciliationData[[#This Row],[End_Date]]),1,0)</f>
        <v>0</v>
      </c>
      <c r="U2517">
        <f>IF(AND(NOT(ISBLANK(ReconciliationData[[#This Row],[last_return_date]])),ReconciliationData[[#This Row],[last_return_date]]&gt;ReconciliationData[[#This Row],[Order_Date]]+60),1,0)</f>
        <v>0</v>
      </c>
      <c r="V2517">
        <f>IF(ReconciliationData[[#This Row],[total_returned_units]]&gt;ReconciliationData[[#This Row],[ordered_units]],1,0)</f>
        <v>0</v>
      </c>
      <c r="W25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17">
        <f>ReconciliationData[[#This Row],[Billed_Units]]*ReconciliationData[[#This Row],[Billed_Price]]</f>
        <v>37311.82</v>
      </c>
      <c r="Y2517">
        <f>ReconciliationData[[#This Row],[ordered_units]]*ReconciliationData[[#This Row],[List_Price]]</f>
        <v>37311.82</v>
      </c>
      <c r="Z2517">
        <f>ReconciliationData[[#This Row],[billed_revenue]]-ReconciliationData[[#This Row],[expected_revenue]]</f>
        <v>0</v>
      </c>
      <c r="AA25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17" t="str">
        <f>IF(ReconciliationData[[#This Row],[severity_score]]=0,"LOW",
 IF(ReconciliationData[[#This Row],[severity_score]]&lt;=5,"MEDIUM","HIGH"))</f>
        <v>LOW</v>
      </c>
      <c r="AC2517" t="str">
        <f>TEXT(ReconciliationData[[#This Row],[Order_Date]],"YYYY-MM")</f>
        <v>2024-03</v>
      </c>
    </row>
    <row r="2518" spans="1:29">
      <c r="A2518" t="s">
        <v>6232</v>
      </c>
      <c r="B2518" s="1">
        <v>45506</v>
      </c>
      <c r="C2518" t="s">
        <v>2681</v>
      </c>
      <c r="D2518" t="s">
        <v>178</v>
      </c>
      <c r="E2518">
        <v>89</v>
      </c>
      <c r="F2518" t="s">
        <v>6233</v>
      </c>
      <c r="G2518">
        <v>89</v>
      </c>
      <c r="H2518">
        <v>687.65840000000003</v>
      </c>
      <c r="N2518">
        <v>687.65840000000003</v>
      </c>
      <c r="O2518" s="1">
        <v>45139</v>
      </c>
      <c r="P2518">
        <f>IF(ISBLANK(ReconciliationData[[#This Row],[Invoice_ID]]),1,0)</f>
        <v>0</v>
      </c>
      <c r="Q2518">
        <f>IF(AND(NOT(ISBLANK(ReconciliationData[[#This Row],[Billed_Units]])),ReconciliationData[[#This Row],[ordered_units]]&lt;&gt;ReconciliationData[[#This Row],[Billed_Units]]),1,0)</f>
        <v>0</v>
      </c>
      <c r="R25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8">
        <f>IF(AND(NOT(ISBLANK(ReconciliationData[[#This Row],[Contract_Price]])),ReconciliationData[[#This Row],[Billed_Price]]&lt;&gt;ReconciliationData[[#This Row],[Contract_Price]]),1,0)</f>
        <v>0</v>
      </c>
      <c r="T2518">
        <f>IF(AND(NOT(ISBLANK(ReconciliationData[[#This Row],[End_Date]])),ReconciliationData[[#This Row],[Order_Date]]&gt;ReconciliationData[[#This Row],[End_Date]]),1,0)</f>
        <v>0</v>
      </c>
      <c r="U2518">
        <f>IF(AND(NOT(ISBLANK(ReconciliationData[[#This Row],[last_return_date]])),ReconciliationData[[#This Row],[last_return_date]]&gt;ReconciliationData[[#This Row],[Order_Date]]+60),1,0)</f>
        <v>0</v>
      </c>
      <c r="V2518">
        <f>IF(ReconciliationData[[#This Row],[total_returned_units]]&gt;ReconciliationData[[#This Row],[ordered_units]],1,0)</f>
        <v>0</v>
      </c>
      <c r="W25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18">
        <f>ReconciliationData[[#This Row],[Billed_Units]]*ReconciliationData[[#This Row],[Billed_Price]]</f>
        <v>61201.597600000001</v>
      </c>
      <c r="Y2518">
        <f>ReconciliationData[[#This Row],[ordered_units]]*ReconciliationData[[#This Row],[List_Price]]</f>
        <v>61201.597600000001</v>
      </c>
      <c r="Z2518">
        <f>ReconciliationData[[#This Row],[billed_revenue]]-ReconciliationData[[#This Row],[expected_revenue]]</f>
        <v>0</v>
      </c>
      <c r="AA25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18" t="str">
        <f>IF(ReconciliationData[[#This Row],[severity_score]]=0,"LOW",
 IF(ReconciliationData[[#This Row],[severity_score]]&lt;=5,"MEDIUM","HIGH"))</f>
        <v>LOW</v>
      </c>
      <c r="AC2518" t="str">
        <f>TEXT(ReconciliationData[[#This Row],[Order_Date]],"YYYY-MM")</f>
        <v>2024-08</v>
      </c>
    </row>
    <row r="2519" spans="1:29">
      <c r="A2519" t="s">
        <v>6234</v>
      </c>
      <c r="B2519" s="1">
        <v>45075</v>
      </c>
      <c r="C2519" t="s">
        <v>915</v>
      </c>
      <c r="D2519" t="s">
        <v>3770</v>
      </c>
      <c r="E2519">
        <v>59</v>
      </c>
      <c r="F2519" t="s">
        <v>6235</v>
      </c>
      <c r="G2519">
        <v>59</v>
      </c>
      <c r="H2519">
        <v>724.16120000000001</v>
      </c>
      <c r="N2519">
        <v>724.16120000000001</v>
      </c>
      <c r="O2519" s="1">
        <v>45044</v>
      </c>
      <c r="P2519">
        <f>IF(ISBLANK(ReconciliationData[[#This Row],[Invoice_ID]]),1,0)</f>
        <v>0</v>
      </c>
      <c r="Q2519">
        <f>IF(AND(NOT(ISBLANK(ReconciliationData[[#This Row],[Billed_Units]])),ReconciliationData[[#This Row],[ordered_units]]&lt;&gt;ReconciliationData[[#This Row],[Billed_Units]]),1,0)</f>
        <v>0</v>
      </c>
      <c r="R25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19">
        <f>IF(AND(NOT(ISBLANK(ReconciliationData[[#This Row],[Contract_Price]])),ReconciliationData[[#This Row],[Billed_Price]]&lt;&gt;ReconciliationData[[#This Row],[Contract_Price]]),1,0)</f>
        <v>0</v>
      </c>
      <c r="T2519">
        <f>IF(AND(NOT(ISBLANK(ReconciliationData[[#This Row],[End_Date]])),ReconciliationData[[#This Row],[Order_Date]]&gt;ReconciliationData[[#This Row],[End_Date]]),1,0)</f>
        <v>0</v>
      </c>
      <c r="U2519">
        <f>IF(AND(NOT(ISBLANK(ReconciliationData[[#This Row],[last_return_date]])),ReconciliationData[[#This Row],[last_return_date]]&gt;ReconciliationData[[#This Row],[Order_Date]]+60),1,0)</f>
        <v>0</v>
      </c>
      <c r="V2519">
        <f>IF(ReconciliationData[[#This Row],[total_returned_units]]&gt;ReconciliationData[[#This Row],[ordered_units]],1,0)</f>
        <v>0</v>
      </c>
      <c r="W25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19">
        <f>ReconciliationData[[#This Row],[Billed_Units]]*ReconciliationData[[#This Row],[Billed_Price]]</f>
        <v>42725.510800000004</v>
      </c>
      <c r="Y2519">
        <f>ReconciliationData[[#This Row],[ordered_units]]*ReconciliationData[[#This Row],[List_Price]]</f>
        <v>42725.510800000004</v>
      </c>
      <c r="Z2519">
        <f>ReconciliationData[[#This Row],[billed_revenue]]-ReconciliationData[[#This Row],[expected_revenue]]</f>
        <v>0</v>
      </c>
      <c r="AA25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19" t="str">
        <f>IF(ReconciliationData[[#This Row],[severity_score]]=0,"LOW",
 IF(ReconciliationData[[#This Row],[severity_score]]&lt;=5,"MEDIUM","HIGH"))</f>
        <v>LOW</v>
      </c>
      <c r="AC2519" t="str">
        <f>TEXT(ReconciliationData[[#This Row],[Order_Date]],"YYYY-MM")</f>
        <v>2023-05</v>
      </c>
    </row>
    <row r="2520" spans="1:29">
      <c r="A2520" t="s">
        <v>6236</v>
      </c>
      <c r="B2520" s="1">
        <v>45091</v>
      </c>
      <c r="C2520" t="s">
        <v>3087</v>
      </c>
      <c r="D2520" t="s">
        <v>3770</v>
      </c>
      <c r="E2520">
        <v>30</v>
      </c>
      <c r="F2520" t="s">
        <v>6237</v>
      </c>
      <c r="G2520">
        <v>30</v>
      </c>
      <c r="H2520">
        <v>724.16120000000001</v>
      </c>
      <c r="N2520">
        <v>724.16120000000001</v>
      </c>
      <c r="O2520" s="1">
        <v>45044</v>
      </c>
      <c r="P2520">
        <f>IF(ISBLANK(ReconciliationData[[#This Row],[Invoice_ID]]),1,0)</f>
        <v>0</v>
      </c>
      <c r="Q2520">
        <f>IF(AND(NOT(ISBLANK(ReconciliationData[[#This Row],[Billed_Units]])),ReconciliationData[[#This Row],[ordered_units]]&lt;&gt;ReconciliationData[[#This Row],[Billed_Units]]),1,0)</f>
        <v>0</v>
      </c>
      <c r="R25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20">
        <f>IF(AND(NOT(ISBLANK(ReconciliationData[[#This Row],[Contract_Price]])),ReconciliationData[[#This Row],[Billed_Price]]&lt;&gt;ReconciliationData[[#This Row],[Contract_Price]]),1,0)</f>
        <v>0</v>
      </c>
      <c r="T2520">
        <f>IF(AND(NOT(ISBLANK(ReconciliationData[[#This Row],[End_Date]])),ReconciliationData[[#This Row],[Order_Date]]&gt;ReconciliationData[[#This Row],[End_Date]]),1,0)</f>
        <v>0</v>
      </c>
      <c r="U2520">
        <f>IF(AND(NOT(ISBLANK(ReconciliationData[[#This Row],[last_return_date]])),ReconciliationData[[#This Row],[last_return_date]]&gt;ReconciliationData[[#This Row],[Order_Date]]+60),1,0)</f>
        <v>0</v>
      </c>
      <c r="V2520">
        <f>IF(ReconciliationData[[#This Row],[total_returned_units]]&gt;ReconciliationData[[#This Row],[ordered_units]],1,0)</f>
        <v>0</v>
      </c>
      <c r="W25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20">
        <f>ReconciliationData[[#This Row],[Billed_Units]]*ReconciliationData[[#This Row],[Billed_Price]]</f>
        <v>21724.835999999999</v>
      </c>
      <c r="Y2520">
        <f>ReconciliationData[[#This Row],[ordered_units]]*ReconciliationData[[#This Row],[List_Price]]</f>
        <v>21724.835999999999</v>
      </c>
      <c r="Z2520">
        <f>ReconciliationData[[#This Row],[billed_revenue]]-ReconciliationData[[#This Row],[expected_revenue]]</f>
        <v>0</v>
      </c>
      <c r="AA25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20" t="str">
        <f>IF(ReconciliationData[[#This Row],[severity_score]]=0,"LOW",
 IF(ReconciliationData[[#This Row],[severity_score]]&lt;=5,"MEDIUM","HIGH"))</f>
        <v>LOW</v>
      </c>
      <c r="AC2520" t="str">
        <f>TEXT(ReconciliationData[[#This Row],[Order_Date]],"YYYY-MM")</f>
        <v>2023-06</v>
      </c>
    </row>
    <row r="2521" spans="1:29">
      <c r="A2521" t="s">
        <v>6238</v>
      </c>
      <c r="B2521" s="1">
        <v>45442</v>
      </c>
      <c r="C2521" t="s">
        <v>1967</v>
      </c>
      <c r="D2521" t="s">
        <v>814</v>
      </c>
      <c r="E2521">
        <v>181</v>
      </c>
      <c r="F2521" t="s">
        <v>6239</v>
      </c>
      <c r="G2521">
        <v>181</v>
      </c>
      <c r="H2521">
        <v>521.54959999999994</v>
      </c>
      <c r="N2521">
        <v>521.54959999999994</v>
      </c>
      <c r="O2521" s="1">
        <v>44994</v>
      </c>
      <c r="P2521">
        <f>IF(ISBLANK(ReconciliationData[[#This Row],[Invoice_ID]]),1,0)</f>
        <v>0</v>
      </c>
      <c r="Q2521">
        <f>IF(AND(NOT(ISBLANK(ReconciliationData[[#This Row],[Billed_Units]])),ReconciliationData[[#This Row],[ordered_units]]&lt;&gt;ReconciliationData[[#This Row],[Billed_Units]]),1,0)</f>
        <v>0</v>
      </c>
      <c r="R25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21">
        <f>IF(AND(NOT(ISBLANK(ReconciliationData[[#This Row],[Contract_Price]])),ReconciliationData[[#This Row],[Billed_Price]]&lt;&gt;ReconciliationData[[#This Row],[Contract_Price]]),1,0)</f>
        <v>0</v>
      </c>
      <c r="T2521">
        <f>IF(AND(NOT(ISBLANK(ReconciliationData[[#This Row],[End_Date]])),ReconciliationData[[#This Row],[Order_Date]]&gt;ReconciliationData[[#This Row],[End_Date]]),1,0)</f>
        <v>0</v>
      </c>
      <c r="U2521">
        <f>IF(AND(NOT(ISBLANK(ReconciliationData[[#This Row],[last_return_date]])),ReconciliationData[[#This Row],[last_return_date]]&gt;ReconciliationData[[#This Row],[Order_Date]]+60),1,0)</f>
        <v>0</v>
      </c>
      <c r="V2521">
        <f>IF(ReconciliationData[[#This Row],[total_returned_units]]&gt;ReconciliationData[[#This Row],[ordered_units]],1,0)</f>
        <v>0</v>
      </c>
      <c r="W25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21">
        <f>ReconciliationData[[#This Row],[Billed_Units]]*ReconciliationData[[#This Row],[Billed_Price]]</f>
        <v>94400.477599999984</v>
      </c>
      <c r="Y2521">
        <f>ReconciliationData[[#This Row],[ordered_units]]*ReconciliationData[[#This Row],[List_Price]]</f>
        <v>94400.477599999984</v>
      </c>
      <c r="Z2521">
        <f>ReconciliationData[[#This Row],[billed_revenue]]-ReconciliationData[[#This Row],[expected_revenue]]</f>
        <v>0</v>
      </c>
      <c r="AA25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21" t="str">
        <f>IF(ReconciliationData[[#This Row],[severity_score]]=0,"LOW",
 IF(ReconciliationData[[#This Row],[severity_score]]&lt;=5,"MEDIUM","HIGH"))</f>
        <v>LOW</v>
      </c>
      <c r="AC2521" t="str">
        <f>TEXT(ReconciliationData[[#This Row],[Order_Date]],"YYYY-MM")</f>
        <v>2024-05</v>
      </c>
    </row>
    <row r="2522" spans="1:29">
      <c r="A2522" t="s">
        <v>6240</v>
      </c>
      <c r="B2522" s="1">
        <v>45534</v>
      </c>
      <c r="C2522" t="s">
        <v>467</v>
      </c>
      <c r="D2522" t="s">
        <v>1298</v>
      </c>
      <c r="E2522">
        <v>165</v>
      </c>
      <c r="F2522" t="s">
        <v>6241</v>
      </c>
      <c r="G2522">
        <v>165</v>
      </c>
      <c r="H2522">
        <v>1099.82</v>
      </c>
      <c r="N2522">
        <v>1099.82</v>
      </c>
      <c r="O2522" s="1">
        <v>44962</v>
      </c>
      <c r="P2522">
        <f>IF(ISBLANK(ReconciliationData[[#This Row],[Invoice_ID]]),1,0)</f>
        <v>0</v>
      </c>
      <c r="Q2522">
        <f>IF(AND(NOT(ISBLANK(ReconciliationData[[#This Row],[Billed_Units]])),ReconciliationData[[#This Row],[ordered_units]]&lt;&gt;ReconciliationData[[#This Row],[Billed_Units]]),1,0)</f>
        <v>0</v>
      </c>
      <c r="R25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22">
        <f>IF(AND(NOT(ISBLANK(ReconciliationData[[#This Row],[Contract_Price]])),ReconciliationData[[#This Row],[Billed_Price]]&lt;&gt;ReconciliationData[[#This Row],[Contract_Price]]),1,0)</f>
        <v>0</v>
      </c>
      <c r="T2522">
        <f>IF(AND(NOT(ISBLANK(ReconciliationData[[#This Row],[End_Date]])),ReconciliationData[[#This Row],[Order_Date]]&gt;ReconciliationData[[#This Row],[End_Date]]),1,0)</f>
        <v>0</v>
      </c>
      <c r="U2522">
        <f>IF(AND(NOT(ISBLANK(ReconciliationData[[#This Row],[last_return_date]])),ReconciliationData[[#This Row],[last_return_date]]&gt;ReconciliationData[[#This Row],[Order_Date]]+60),1,0)</f>
        <v>0</v>
      </c>
      <c r="V2522">
        <f>IF(ReconciliationData[[#This Row],[total_returned_units]]&gt;ReconciliationData[[#This Row],[ordered_units]],1,0)</f>
        <v>0</v>
      </c>
      <c r="W25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22">
        <f>ReconciliationData[[#This Row],[Billed_Units]]*ReconciliationData[[#This Row],[Billed_Price]]</f>
        <v>181470.3</v>
      </c>
      <c r="Y2522">
        <f>ReconciliationData[[#This Row],[ordered_units]]*ReconciliationData[[#This Row],[List_Price]]</f>
        <v>181470.3</v>
      </c>
      <c r="Z2522">
        <f>ReconciliationData[[#This Row],[billed_revenue]]-ReconciliationData[[#This Row],[expected_revenue]]</f>
        <v>0</v>
      </c>
      <c r="AA25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22" t="str">
        <f>IF(ReconciliationData[[#This Row],[severity_score]]=0,"LOW",
 IF(ReconciliationData[[#This Row],[severity_score]]&lt;=5,"MEDIUM","HIGH"))</f>
        <v>LOW</v>
      </c>
      <c r="AC2522" t="str">
        <f>TEXT(ReconciliationData[[#This Row],[Order_Date]],"YYYY-MM")</f>
        <v>2024-08</v>
      </c>
    </row>
    <row r="2523" spans="1:29">
      <c r="A2523" t="s">
        <v>6242</v>
      </c>
      <c r="B2523" s="1">
        <v>45143</v>
      </c>
      <c r="C2523" t="s">
        <v>1000</v>
      </c>
      <c r="D2523" t="s">
        <v>345</v>
      </c>
      <c r="E2523">
        <v>182</v>
      </c>
      <c r="F2523" t="s">
        <v>6243</v>
      </c>
      <c r="G2523">
        <v>182</v>
      </c>
      <c r="H2523">
        <v>574.3415</v>
      </c>
      <c r="N2523">
        <v>574.3415</v>
      </c>
      <c r="O2523" s="1">
        <v>44806</v>
      </c>
      <c r="P2523">
        <f>IF(ISBLANK(ReconciliationData[[#This Row],[Invoice_ID]]),1,0)</f>
        <v>0</v>
      </c>
      <c r="Q2523">
        <f>IF(AND(NOT(ISBLANK(ReconciliationData[[#This Row],[Billed_Units]])),ReconciliationData[[#This Row],[ordered_units]]&lt;&gt;ReconciliationData[[#This Row],[Billed_Units]]),1,0)</f>
        <v>0</v>
      </c>
      <c r="R25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23">
        <f>IF(AND(NOT(ISBLANK(ReconciliationData[[#This Row],[Contract_Price]])),ReconciliationData[[#This Row],[Billed_Price]]&lt;&gt;ReconciliationData[[#This Row],[Contract_Price]]),1,0)</f>
        <v>0</v>
      </c>
      <c r="T2523">
        <f>IF(AND(NOT(ISBLANK(ReconciliationData[[#This Row],[End_Date]])),ReconciliationData[[#This Row],[Order_Date]]&gt;ReconciliationData[[#This Row],[End_Date]]),1,0)</f>
        <v>0</v>
      </c>
      <c r="U2523">
        <f>IF(AND(NOT(ISBLANK(ReconciliationData[[#This Row],[last_return_date]])),ReconciliationData[[#This Row],[last_return_date]]&gt;ReconciliationData[[#This Row],[Order_Date]]+60),1,0)</f>
        <v>0</v>
      </c>
      <c r="V2523">
        <f>IF(ReconciliationData[[#This Row],[total_returned_units]]&gt;ReconciliationData[[#This Row],[ordered_units]],1,0)</f>
        <v>0</v>
      </c>
      <c r="W25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23">
        <f>ReconciliationData[[#This Row],[Billed_Units]]*ReconciliationData[[#This Row],[Billed_Price]]</f>
        <v>104530.15300000001</v>
      </c>
      <c r="Y2523">
        <f>ReconciliationData[[#This Row],[ordered_units]]*ReconciliationData[[#This Row],[List_Price]]</f>
        <v>104530.15300000001</v>
      </c>
      <c r="Z2523">
        <f>ReconciliationData[[#This Row],[billed_revenue]]-ReconciliationData[[#This Row],[expected_revenue]]</f>
        <v>0</v>
      </c>
      <c r="AA25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23" t="str">
        <f>IF(ReconciliationData[[#This Row],[severity_score]]=0,"LOW",
 IF(ReconciliationData[[#This Row],[severity_score]]&lt;=5,"MEDIUM","HIGH"))</f>
        <v>LOW</v>
      </c>
      <c r="AC2523" t="str">
        <f>TEXT(ReconciliationData[[#This Row],[Order_Date]],"YYYY-MM")</f>
        <v>2023-08</v>
      </c>
    </row>
    <row r="2524" spans="1:29">
      <c r="A2524" t="s">
        <v>6244</v>
      </c>
      <c r="B2524" s="1">
        <v>45304</v>
      </c>
      <c r="C2524" t="s">
        <v>1082</v>
      </c>
      <c r="D2524" t="s">
        <v>255</v>
      </c>
      <c r="E2524">
        <v>45</v>
      </c>
      <c r="F2524" t="s">
        <v>6245</v>
      </c>
      <c r="G2524">
        <v>45</v>
      </c>
      <c r="H2524">
        <v>1103.0465999999999</v>
      </c>
      <c r="N2524">
        <v>1103.0465999999999</v>
      </c>
      <c r="O2524" s="1">
        <v>45214</v>
      </c>
      <c r="P2524">
        <f>IF(ISBLANK(ReconciliationData[[#This Row],[Invoice_ID]]),1,0)</f>
        <v>0</v>
      </c>
      <c r="Q2524">
        <f>IF(AND(NOT(ISBLANK(ReconciliationData[[#This Row],[Billed_Units]])),ReconciliationData[[#This Row],[ordered_units]]&lt;&gt;ReconciliationData[[#This Row],[Billed_Units]]),1,0)</f>
        <v>0</v>
      </c>
      <c r="R25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24">
        <f>IF(AND(NOT(ISBLANK(ReconciliationData[[#This Row],[Contract_Price]])),ReconciliationData[[#This Row],[Billed_Price]]&lt;&gt;ReconciliationData[[#This Row],[Contract_Price]]),1,0)</f>
        <v>0</v>
      </c>
      <c r="T2524">
        <f>IF(AND(NOT(ISBLANK(ReconciliationData[[#This Row],[End_Date]])),ReconciliationData[[#This Row],[Order_Date]]&gt;ReconciliationData[[#This Row],[End_Date]]),1,0)</f>
        <v>0</v>
      </c>
      <c r="U2524">
        <f>IF(AND(NOT(ISBLANK(ReconciliationData[[#This Row],[last_return_date]])),ReconciliationData[[#This Row],[last_return_date]]&gt;ReconciliationData[[#This Row],[Order_Date]]+60),1,0)</f>
        <v>0</v>
      </c>
      <c r="V2524">
        <f>IF(ReconciliationData[[#This Row],[total_returned_units]]&gt;ReconciliationData[[#This Row],[ordered_units]],1,0)</f>
        <v>0</v>
      </c>
      <c r="W25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24">
        <f>ReconciliationData[[#This Row],[Billed_Units]]*ReconciliationData[[#This Row],[Billed_Price]]</f>
        <v>49637.096999999994</v>
      </c>
      <c r="Y2524">
        <f>ReconciliationData[[#This Row],[ordered_units]]*ReconciliationData[[#This Row],[List_Price]]</f>
        <v>49637.096999999994</v>
      </c>
      <c r="Z2524">
        <f>ReconciliationData[[#This Row],[billed_revenue]]-ReconciliationData[[#This Row],[expected_revenue]]</f>
        <v>0</v>
      </c>
      <c r="AA25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24" t="str">
        <f>IF(ReconciliationData[[#This Row],[severity_score]]=0,"LOW",
 IF(ReconciliationData[[#This Row],[severity_score]]&lt;=5,"MEDIUM","HIGH"))</f>
        <v>LOW</v>
      </c>
      <c r="AC2524" t="str">
        <f>TEXT(ReconciliationData[[#This Row],[Order_Date]],"YYYY-MM")</f>
        <v>2024-01</v>
      </c>
    </row>
    <row r="2525" spans="1:29">
      <c r="A2525" t="s">
        <v>6246</v>
      </c>
      <c r="B2525" s="1">
        <v>45126</v>
      </c>
      <c r="C2525" t="s">
        <v>1178</v>
      </c>
      <c r="D2525" t="s">
        <v>997</v>
      </c>
      <c r="E2525">
        <v>114</v>
      </c>
      <c r="F2525" t="s">
        <v>6247</v>
      </c>
      <c r="G2525">
        <v>114</v>
      </c>
      <c r="H2525">
        <v>1153.4984999999999</v>
      </c>
      <c r="N2525">
        <v>1153.4984999999999</v>
      </c>
      <c r="O2525" s="1">
        <v>44962</v>
      </c>
      <c r="P2525">
        <f>IF(ISBLANK(ReconciliationData[[#This Row],[Invoice_ID]]),1,0)</f>
        <v>0</v>
      </c>
      <c r="Q2525">
        <f>IF(AND(NOT(ISBLANK(ReconciliationData[[#This Row],[Billed_Units]])),ReconciliationData[[#This Row],[ordered_units]]&lt;&gt;ReconciliationData[[#This Row],[Billed_Units]]),1,0)</f>
        <v>0</v>
      </c>
      <c r="R25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25">
        <f>IF(AND(NOT(ISBLANK(ReconciliationData[[#This Row],[Contract_Price]])),ReconciliationData[[#This Row],[Billed_Price]]&lt;&gt;ReconciliationData[[#This Row],[Contract_Price]]),1,0)</f>
        <v>0</v>
      </c>
      <c r="T2525">
        <f>IF(AND(NOT(ISBLANK(ReconciliationData[[#This Row],[End_Date]])),ReconciliationData[[#This Row],[Order_Date]]&gt;ReconciliationData[[#This Row],[End_Date]]),1,0)</f>
        <v>0</v>
      </c>
      <c r="U2525">
        <f>IF(AND(NOT(ISBLANK(ReconciliationData[[#This Row],[last_return_date]])),ReconciliationData[[#This Row],[last_return_date]]&gt;ReconciliationData[[#This Row],[Order_Date]]+60),1,0)</f>
        <v>0</v>
      </c>
      <c r="V2525">
        <f>IF(ReconciliationData[[#This Row],[total_returned_units]]&gt;ReconciliationData[[#This Row],[ordered_units]],1,0)</f>
        <v>0</v>
      </c>
      <c r="W25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25">
        <f>ReconciliationData[[#This Row],[Billed_Units]]*ReconciliationData[[#This Row],[Billed_Price]]</f>
        <v>131498.829</v>
      </c>
      <c r="Y2525">
        <f>ReconciliationData[[#This Row],[ordered_units]]*ReconciliationData[[#This Row],[List_Price]]</f>
        <v>131498.829</v>
      </c>
      <c r="Z2525">
        <f>ReconciliationData[[#This Row],[billed_revenue]]-ReconciliationData[[#This Row],[expected_revenue]]</f>
        <v>0</v>
      </c>
      <c r="AA25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25" t="str">
        <f>IF(ReconciliationData[[#This Row],[severity_score]]=0,"LOW",
 IF(ReconciliationData[[#This Row],[severity_score]]&lt;=5,"MEDIUM","HIGH"))</f>
        <v>LOW</v>
      </c>
      <c r="AC2525" t="str">
        <f>TEXT(ReconciliationData[[#This Row],[Order_Date]],"YYYY-MM")</f>
        <v>2023-07</v>
      </c>
    </row>
    <row r="2526" spans="1:29">
      <c r="A2526" t="s">
        <v>6248</v>
      </c>
      <c r="B2526" s="1">
        <v>45407</v>
      </c>
      <c r="C2526" t="s">
        <v>993</v>
      </c>
      <c r="D2526" t="s">
        <v>1392</v>
      </c>
      <c r="E2526">
        <v>39</v>
      </c>
      <c r="F2526" t="s">
        <v>6249</v>
      </c>
      <c r="G2526">
        <v>39</v>
      </c>
      <c r="H2526">
        <v>107.1605</v>
      </c>
      <c r="N2526">
        <v>107.1605</v>
      </c>
      <c r="O2526" s="1">
        <v>44970</v>
      </c>
      <c r="P2526">
        <f>IF(ISBLANK(ReconciliationData[[#This Row],[Invoice_ID]]),1,0)</f>
        <v>0</v>
      </c>
      <c r="Q2526">
        <f>IF(AND(NOT(ISBLANK(ReconciliationData[[#This Row],[Billed_Units]])),ReconciliationData[[#This Row],[ordered_units]]&lt;&gt;ReconciliationData[[#This Row],[Billed_Units]]),1,0)</f>
        <v>0</v>
      </c>
      <c r="R25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26">
        <f>IF(AND(NOT(ISBLANK(ReconciliationData[[#This Row],[Contract_Price]])),ReconciliationData[[#This Row],[Billed_Price]]&lt;&gt;ReconciliationData[[#This Row],[Contract_Price]]),1,0)</f>
        <v>0</v>
      </c>
      <c r="T2526">
        <f>IF(AND(NOT(ISBLANK(ReconciliationData[[#This Row],[End_Date]])),ReconciliationData[[#This Row],[Order_Date]]&gt;ReconciliationData[[#This Row],[End_Date]]),1,0)</f>
        <v>0</v>
      </c>
      <c r="U2526">
        <f>IF(AND(NOT(ISBLANK(ReconciliationData[[#This Row],[last_return_date]])),ReconciliationData[[#This Row],[last_return_date]]&gt;ReconciliationData[[#This Row],[Order_Date]]+60),1,0)</f>
        <v>0</v>
      </c>
      <c r="V2526">
        <f>IF(ReconciliationData[[#This Row],[total_returned_units]]&gt;ReconciliationData[[#This Row],[ordered_units]],1,0)</f>
        <v>0</v>
      </c>
      <c r="W25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26">
        <f>ReconciliationData[[#This Row],[Billed_Units]]*ReconciliationData[[#This Row],[Billed_Price]]</f>
        <v>4179.2595000000001</v>
      </c>
      <c r="Y2526">
        <f>ReconciliationData[[#This Row],[ordered_units]]*ReconciliationData[[#This Row],[List_Price]]</f>
        <v>4179.2595000000001</v>
      </c>
      <c r="Z2526">
        <f>ReconciliationData[[#This Row],[billed_revenue]]-ReconciliationData[[#This Row],[expected_revenue]]</f>
        <v>0</v>
      </c>
      <c r="AA25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26" t="str">
        <f>IF(ReconciliationData[[#This Row],[severity_score]]=0,"LOW",
 IF(ReconciliationData[[#This Row],[severity_score]]&lt;=5,"MEDIUM","HIGH"))</f>
        <v>LOW</v>
      </c>
      <c r="AC2526" t="str">
        <f>TEXT(ReconciliationData[[#This Row],[Order_Date]],"YYYY-MM")</f>
        <v>2024-04</v>
      </c>
    </row>
    <row r="2527" spans="1:29">
      <c r="A2527" t="s">
        <v>6250</v>
      </c>
      <c r="B2527" s="1">
        <v>45026</v>
      </c>
      <c r="C2527" t="s">
        <v>6251</v>
      </c>
      <c r="D2527" t="s">
        <v>1470</v>
      </c>
      <c r="E2527">
        <v>141</v>
      </c>
      <c r="F2527" t="s">
        <v>6252</v>
      </c>
      <c r="G2527">
        <v>141</v>
      </c>
      <c r="H2527">
        <v>690.05370000000005</v>
      </c>
      <c r="N2527">
        <v>690.05370000000005</v>
      </c>
      <c r="O2527" s="1">
        <v>44976</v>
      </c>
      <c r="P2527">
        <f>IF(ISBLANK(ReconciliationData[[#This Row],[Invoice_ID]]),1,0)</f>
        <v>0</v>
      </c>
      <c r="Q2527">
        <f>IF(AND(NOT(ISBLANK(ReconciliationData[[#This Row],[Billed_Units]])),ReconciliationData[[#This Row],[ordered_units]]&lt;&gt;ReconciliationData[[#This Row],[Billed_Units]]),1,0)</f>
        <v>0</v>
      </c>
      <c r="R25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27">
        <f>IF(AND(NOT(ISBLANK(ReconciliationData[[#This Row],[Contract_Price]])),ReconciliationData[[#This Row],[Billed_Price]]&lt;&gt;ReconciliationData[[#This Row],[Contract_Price]]),1,0)</f>
        <v>0</v>
      </c>
      <c r="T2527">
        <f>IF(AND(NOT(ISBLANK(ReconciliationData[[#This Row],[End_Date]])),ReconciliationData[[#This Row],[Order_Date]]&gt;ReconciliationData[[#This Row],[End_Date]]),1,0)</f>
        <v>0</v>
      </c>
      <c r="U2527">
        <f>IF(AND(NOT(ISBLANK(ReconciliationData[[#This Row],[last_return_date]])),ReconciliationData[[#This Row],[last_return_date]]&gt;ReconciliationData[[#This Row],[Order_Date]]+60),1,0)</f>
        <v>0</v>
      </c>
      <c r="V2527">
        <f>IF(ReconciliationData[[#This Row],[total_returned_units]]&gt;ReconciliationData[[#This Row],[ordered_units]],1,0)</f>
        <v>0</v>
      </c>
      <c r="W25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27">
        <f>ReconciliationData[[#This Row],[Billed_Units]]*ReconciliationData[[#This Row],[Billed_Price]]</f>
        <v>97297.5717</v>
      </c>
      <c r="Y2527">
        <f>ReconciliationData[[#This Row],[ordered_units]]*ReconciliationData[[#This Row],[List_Price]]</f>
        <v>97297.5717</v>
      </c>
      <c r="Z2527">
        <f>ReconciliationData[[#This Row],[billed_revenue]]-ReconciliationData[[#This Row],[expected_revenue]]</f>
        <v>0</v>
      </c>
      <c r="AA25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27" t="str">
        <f>IF(ReconciliationData[[#This Row],[severity_score]]=0,"LOW",
 IF(ReconciliationData[[#This Row],[severity_score]]&lt;=5,"MEDIUM","HIGH"))</f>
        <v>LOW</v>
      </c>
      <c r="AC2527" t="str">
        <f>TEXT(ReconciliationData[[#This Row],[Order_Date]],"YYYY-MM")</f>
        <v>2023-04</v>
      </c>
    </row>
    <row r="2528" spans="1:29">
      <c r="A2528" t="s">
        <v>6253</v>
      </c>
      <c r="B2528" s="1">
        <v>44985</v>
      </c>
      <c r="C2528" t="s">
        <v>415</v>
      </c>
      <c r="D2528" t="s">
        <v>1094</v>
      </c>
      <c r="E2528">
        <v>137</v>
      </c>
      <c r="F2528" t="s">
        <v>6254</v>
      </c>
      <c r="G2528">
        <v>137</v>
      </c>
      <c r="H2528">
        <v>977.22280000000001</v>
      </c>
      <c r="N2528">
        <v>977.22280000000001</v>
      </c>
      <c r="O2528" s="1">
        <v>44984</v>
      </c>
      <c r="P2528">
        <f>IF(ISBLANK(ReconciliationData[[#This Row],[Invoice_ID]]),1,0)</f>
        <v>0</v>
      </c>
      <c r="Q2528">
        <f>IF(AND(NOT(ISBLANK(ReconciliationData[[#This Row],[Billed_Units]])),ReconciliationData[[#This Row],[ordered_units]]&lt;&gt;ReconciliationData[[#This Row],[Billed_Units]]),1,0)</f>
        <v>0</v>
      </c>
      <c r="R25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28">
        <f>IF(AND(NOT(ISBLANK(ReconciliationData[[#This Row],[Contract_Price]])),ReconciliationData[[#This Row],[Billed_Price]]&lt;&gt;ReconciliationData[[#This Row],[Contract_Price]]),1,0)</f>
        <v>0</v>
      </c>
      <c r="T2528">
        <f>IF(AND(NOT(ISBLANK(ReconciliationData[[#This Row],[End_Date]])),ReconciliationData[[#This Row],[Order_Date]]&gt;ReconciliationData[[#This Row],[End_Date]]),1,0)</f>
        <v>0</v>
      </c>
      <c r="U2528">
        <f>IF(AND(NOT(ISBLANK(ReconciliationData[[#This Row],[last_return_date]])),ReconciliationData[[#This Row],[last_return_date]]&gt;ReconciliationData[[#This Row],[Order_Date]]+60),1,0)</f>
        <v>0</v>
      </c>
      <c r="V2528">
        <f>IF(ReconciliationData[[#This Row],[total_returned_units]]&gt;ReconciliationData[[#This Row],[ordered_units]],1,0)</f>
        <v>0</v>
      </c>
      <c r="W25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28">
        <f>ReconciliationData[[#This Row],[Billed_Units]]*ReconciliationData[[#This Row],[Billed_Price]]</f>
        <v>133879.52360000001</v>
      </c>
      <c r="Y2528">
        <f>ReconciliationData[[#This Row],[ordered_units]]*ReconciliationData[[#This Row],[List_Price]]</f>
        <v>133879.52360000001</v>
      </c>
      <c r="Z2528">
        <f>ReconciliationData[[#This Row],[billed_revenue]]-ReconciliationData[[#This Row],[expected_revenue]]</f>
        <v>0</v>
      </c>
      <c r="AA25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28" t="str">
        <f>IF(ReconciliationData[[#This Row],[severity_score]]=0,"LOW",
 IF(ReconciliationData[[#This Row],[severity_score]]&lt;=5,"MEDIUM","HIGH"))</f>
        <v>LOW</v>
      </c>
      <c r="AC2528" t="str">
        <f>TEXT(ReconciliationData[[#This Row],[Order_Date]],"YYYY-MM")</f>
        <v>2023-02</v>
      </c>
    </row>
    <row r="2529" spans="1:29">
      <c r="A2529" t="s">
        <v>6255</v>
      </c>
      <c r="B2529" s="1">
        <v>45476</v>
      </c>
      <c r="C2529" t="s">
        <v>2814</v>
      </c>
      <c r="D2529" t="s">
        <v>1583</v>
      </c>
      <c r="E2529">
        <v>148</v>
      </c>
      <c r="F2529" t="s">
        <v>6256</v>
      </c>
      <c r="G2529">
        <v>148</v>
      </c>
      <c r="H2529">
        <v>1182.1979214338389</v>
      </c>
      <c r="N2529">
        <v>1182.1740000000002</v>
      </c>
      <c r="O2529" s="1">
        <v>45130</v>
      </c>
      <c r="P2529">
        <f>IF(ISBLANK(ReconciliationData[[#This Row],[Invoice_ID]]),1,0)</f>
        <v>0</v>
      </c>
      <c r="Q2529">
        <f>IF(AND(NOT(ISBLANK(ReconciliationData[[#This Row],[Billed_Units]])),ReconciliationData[[#This Row],[ordered_units]]&lt;&gt;ReconciliationData[[#This Row],[Billed_Units]]),1,0)</f>
        <v>0</v>
      </c>
      <c r="R252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529">
        <f>IF(AND(NOT(ISBLANK(ReconciliationData[[#This Row],[Contract_Price]])),ReconciliationData[[#This Row],[Billed_Price]]&lt;&gt;ReconciliationData[[#This Row],[Contract_Price]]),1,0)</f>
        <v>0</v>
      </c>
      <c r="T2529">
        <f>IF(AND(NOT(ISBLANK(ReconciliationData[[#This Row],[End_Date]])),ReconciliationData[[#This Row],[Order_Date]]&gt;ReconciliationData[[#This Row],[End_Date]]),1,0)</f>
        <v>0</v>
      </c>
      <c r="U2529">
        <f>IF(AND(NOT(ISBLANK(ReconciliationData[[#This Row],[last_return_date]])),ReconciliationData[[#This Row],[last_return_date]]&gt;ReconciliationData[[#This Row],[Order_Date]]+60),1,0)</f>
        <v>0</v>
      </c>
      <c r="V2529">
        <f>IF(ReconciliationData[[#This Row],[total_returned_units]]&gt;ReconciliationData[[#This Row],[ordered_units]],1,0)</f>
        <v>0</v>
      </c>
      <c r="W25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29">
        <f>ReconciliationData[[#This Row],[Billed_Units]]*ReconciliationData[[#This Row],[Billed_Price]]</f>
        <v>174965.29237220815</v>
      </c>
      <c r="Y2529">
        <f>ReconciliationData[[#This Row],[ordered_units]]*ReconciliationData[[#This Row],[List_Price]]</f>
        <v>174961.75200000004</v>
      </c>
      <c r="Z2529">
        <f>ReconciliationData[[#This Row],[billed_revenue]]-ReconciliationData[[#This Row],[expected_revenue]]</f>
        <v>3.5403722081100568</v>
      </c>
      <c r="AA25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529" t="str">
        <f>IF(ReconciliationData[[#This Row],[severity_score]]=0,"LOW",
 IF(ReconciliationData[[#This Row],[severity_score]]&lt;=5,"MEDIUM","HIGH"))</f>
        <v>MEDIUM</v>
      </c>
      <c r="AC2529" t="str">
        <f>TEXT(ReconciliationData[[#This Row],[Order_Date]],"YYYY-MM")</f>
        <v>2024-07</v>
      </c>
    </row>
    <row r="2530" spans="1:29">
      <c r="A2530" t="s">
        <v>6257</v>
      </c>
      <c r="B2530" s="1">
        <v>45200</v>
      </c>
      <c r="C2530" t="s">
        <v>2871</v>
      </c>
      <c r="D2530" t="s">
        <v>1362</v>
      </c>
      <c r="E2530">
        <v>193</v>
      </c>
      <c r="F2530" t="s">
        <v>6258</v>
      </c>
      <c r="G2530">
        <v>193</v>
      </c>
      <c r="H2530">
        <v>82.749600000000015</v>
      </c>
      <c r="N2530">
        <v>82.749600000000015</v>
      </c>
      <c r="O2530" s="1">
        <v>45068</v>
      </c>
      <c r="P2530">
        <f>IF(ISBLANK(ReconciliationData[[#This Row],[Invoice_ID]]),1,0)</f>
        <v>0</v>
      </c>
      <c r="Q2530">
        <f>IF(AND(NOT(ISBLANK(ReconciliationData[[#This Row],[Billed_Units]])),ReconciliationData[[#This Row],[ordered_units]]&lt;&gt;ReconciliationData[[#This Row],[Billed_Units]]),1,0)</f>
        <v>0</v>
      </c>
      <c r="R25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0">
        <f>IF(AND(NOT(ISBLANK(ReconciliationData[[#This Row],[Contract_Price]])),ReconciliationData[[#This Row],[Billed_Price]]&lt;&gt;ReconciliationData[[#This Row],[Contract_Price]]),1,0)</f>
        <v>0</v>
      </c>
      <c r="T2530">
        <f>IF(AND(NOT(ISBLANK(ReconciliationData[[#This Row],[End_Date]])),ReconciliationData[[#This Row],[Order_Date]]&gt;ReconciliationData[[#This Row],[End_Date]]),1,0)</f>
        <v>0</v>
      </c>
      <c r="U2530">
        <f>IF(AND(NOT(ISBLANK(ReconciliationData[[#This Row],[last_return_date]])),ReconciliationData[[#This Row],[last_return_date]]&gt;ReconciliationData[[#This Row],[Order_Date]]+60),1,0)</f>
        <v>0</v>
      </c>
      <c r="V2530">
        <f>IF(ReconciliationData[[#This Row],[total_returned_units]]&gt;ReconciliationData[[#This Row],[ordered_units]],1,0)</f>
        <v>0</v>
      </c>
      <c r="W25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30">
        <f>ReconciliationData[[#This Row],[Billed_Units]]*ReconciliationData[[#This Row],[Billed_Price]]</f>
        <v>15970.672800000002</v>
      </c>
      <c r="Y2530">
        <f>ReconciliationData[[#This Row],[ordered_units]]*ReconciliationData[[#This Row],[List_Price]]</f>
        <v>15970.672800000002</v>
      </c>
      <c r="Z2530">
        <f>ReconciliationData[[#This Row],[billed_revenue]]-ReconciliationData[[#This Row],[expected_revenue]]</f>
        <v>0</v>
      </c>
      <c r="AA25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30" t="str">
        <f>IF(ReconciliationData[[#This Row],[severity_score]]=0,"LOW",
 IF(ReconciliationData[[#This Row],[severity_score]]&lt;=5,"MEDIUM","HIGH"))</f>
        <v>LOW</v>
      </c>
      <c r="AC2530" t="str">
        <f>TEXT(ReconciliationData[[#This Row],[Order_Date]],"YYYY-MM")</f>
        <v>2023-10</v>
      </c>
    </row>
    <row r="2531" spans="1:29">
      <c r="A2531" t="s">
        <v>6259</v>
      </c>
      <c r="B2531" s="1">
        <v>45548</v>
      </c>
      <c r="C2531" t="s">
        <v>1539</v>
      </c>
      <c r="D2531" t="s">
        <v>1487</v>
      </c>
      <c r="E2531">
        <v>146</v>
      </c>
      <c r="F2531" t="s">
        <v>6260</v>
      </c>
      <c r="G2531">
        <v>146</v>
      </c>
      <c r="H2531">
        <v>273.24680000000001</v>
      </c>
      <c r="N2531">
        <v>273.24680000000001</v>
      </c>
      <c r="O2531" s="1">
        <v>45103</v>
      </c>
      <c r="P2531">
        <f>IF(ISBLANK(ReconciliationData[[#This Row],[Invoice_ID]]),1,0)</f>
        <v>0</v>
      </c>
      <c r="Q2531">
        <f>IF(AND(NOT(ISBLANK(ReconciliationData[[#This Row],[Billed_Units]])),ReconciliationData[[#This Row],[ordered_units]]&lt;&gt;ReconciliationData[[#This Row],[Billed_Units]]),1,0)</f>
        <v>0</v>
      </c>
      <c r="R25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1">
        <f>IF(AND(NOT(ISBLANK(ReconciliationData[[#This Row],[Contract_Price]])),ReconciliationData[[#This Row],[Billed_Price]]&lt;&gt;ReconciliationData[[#This Row],[Contract_Price]]),1,0)</f>
        <v>0</v>
      </c>
      <c r="T2531">
        <f>IF(AND(NOT(ISBLANK(ReconciliationData[[#This Row],[End_Date]])),ReconciliationData[[#This Row],[Order_Date]]&gt;ReconciliationData[[#This Row],[End_Date]]),1,0)</f>
        <v>0</v>
      </c>
      <c r="U2531">
        <f>IF(AND(NOT(ISBLANK(ReconciliationData[[#This Row],[last_return_date]])),ReconciliationData[[#This Row],[last_return_date]]&gt;ReconciliationData[[#This Row],[Order_Date]]+60),1,0)</f>
        <v>0</v>
      </c>
      <c r="V2531">
        <f>IF(ReconciliationData[[#This Row],[total_returned_units]]&gt;ReconciliationData[[#This Row],[ordered_units]],1,0)</f>
        <v>0</v>
      </c>
      <c r="W25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31">
        <f>ReconciliationData[[#This Row],[Billed_Units]]*ReconciliationData[[#This Row],[Billed_Price]]</f>
        <v>39894.032800000001</v>
      </c>
      <c r="Y2531">
        <f>ReconciliationData[[#This Row],[ordered_units]]*ReconciliationData[[#This Row],[List_Price]]</f>
        <v>39894.032800000001</v>
      </c>
      <c r="Z2531">
        <f>ReconciliationData[[#This Row],[billed_revenue]]-ReconciliationData[[#This Row],[expected_revenue]]</f>
        <v>0</v>
      </c>
      <c r="AA25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31" t="str">
        <f>IF(ReconciliationData[[#This Row],[severity_score]]=0,"LOW",
 IF(ReconciliationData[[#This Row],[severity_score]]&lt;=5,"MEDIUM","HIGH"))</f>
        <v>LOW</v>
      </c>
      <c r="AC2531" t="str">
        <f>TEXT(ReconciliationData[[#This Row],[Order_Date]],"YYYY-MM")</f>
        <v>2024-09</v>
      </c>
    </row>
    <row r="2532" spans="1:29">
      <c r="A2532" t="s">
        <v>6261</v>
      </c>
      <c r="B2532" s="1">
        <v>45566</v>
      </c>
      <c r="C2532" t="s">
        <v>1789</v>
      </c>
      <c r="D2532" t="s">
        <v>4607</v>
      </c>
      <c r="E2532">
        <v>116</v>
      </c>
      <c r="F2532" t="s">
        <v>6262</v>
      </c>
      <c r="G2532">
        <v>116</v>
      </c>
      <c r="H2532">
        <v>1005.2222</v>
      </c>
      <c r="N2532">
        <v>1005.2222</v>
      </c>
      <c r="O2532" s="1">
        <v>45143</v>
      </c>
      <c r="P2532">
        <f>IF(ISBLANK(ReconciliationData[[#This Row],[Invoice_ID]]),1,0)</f>
        <v>0</v>
      </c>
      <c r="Q2532">
        <f>IF(AND(NOT(ISBLANK(ReconciliationData[[#This Row],[Billed_Units]])),ReconciliationData[[#This Row],[ordered_units]]&lt;&gt;ReconciliationData[[#This Row],[Billed_Units]]),1,0)</f>
        <v>0</v>
      </c>
      <c r="R25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2">
        <f>IF(AND(NOT(ISBLANK(ReconciliationData[[#This Row],[Contract_Price]])),ReconciliationData[[#This Row],[Billed_Price]]&lt;&gt;ReconciliationData[[#This Row],[Contract_Price]]),1,0)</f>
        <v>0</v>
      </c>
      <c r="T2532">
        <f>IF(AND(NOT(ISBLANK(ReconciliationData[[#This Row],[End_Date]])),ReconciliationData[[#This Row],[Order_Date]]&gt;ReconciliationData[[#This Row],[End_Date]]),1,0)</f>
        <v>0</v>
      </c>
      <c r="U2532">
        <f>IF(AND(NOT(ISBLANK(ReconciliationData[[#This Row],[last_return_date]])),ReconciliationData[[#This Row],[last_return_date]]&gt;ReconciliationData[[#This Row],[Order_Date]]+60),1,0)</f>
        <v>0</v>
      </c>
      <c r="V2532">
        <f>IF(ReconciliationData[[#This Row],[total_returned_units]]&gt;ReconciliationData[[#This Row],[ordered_units]],1,0)</f>
        <v>0</v>
      </c>
      <c r="W25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32">
        <f>ReconciliationData[[#This Row],[Billed_Units]]*ReconciliationData[[#This Row],[Billed_Price]]</f>
        <v>116605.7752</v>
      </c>
      <c r="Y2532">
        <f>ReconciliationData[[#This Row],[ordered_units]]*ReconciliationData[[#This Row],[List_Price]]</f>
        <v>116605.7752</v>
      </c>
      <c r="Z2532">
        <f>ReconciliationData[[#This Row],[billed_revenue]]-ReconciliationData[[#This Row],[expected_revenue]]</f>
        <v>0</v>
      </c>
      <c r="AA25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32" t="str">
        <f>IF(ReconciliationData[[#This Row],[severity_score]]=0,"LOW",
 IF(ReconciliationData[[#This Row],[severity_score]]&lt;=5,"MEDIUM","HIGH"))</f>
        <v>LOW</v>
      </c>
      <c r="AC2532" t="str">
        <f>TEXT(ReconciliationData[[#This Row],[Order_Date]],"YYYY-MM")</f>
        <v>2024-10</v>
      </c>
    </row>
    <row r="2533" spans="1:29">
      <c r="A2533" t="s">
        <v>6263</v>
      </c>
      <c r="B2533" s="1">
        <v>45249</v>
      </c>
      <c r="C2533" t="s">
        <v>879</v>
      </c>
      <c r="D2533" t="s">
        <v>1580</v>
      </c>
      <c r="E2533">
        <v>63</v>
      </c>
      <c r="F2533" t="s">
        <v>6264</v>
      </c>
      <c r="G2533">
        <v>72</v>
      </c>
      <c r="H2533">
        <v>708.51900000000001</v>
      </c>
      <c r="N2533">
        <v>708.51900000000001</v>
      </c>
      <c r="O2533" s="1">
        <v>45063</v>
      </c>
      <c r="P2533">
        <f>IF(ISBLANK(ReconciliationData[[#This Row],[Invoice_ID]]),1,0)</f>
        <v>0</v>
      </c>
      <c r="Q2533">
        <f>IF(AND(NOT(ISBLANK(ReconciliationData[[#This Row],[Billed_Units]])),ReconciliationData[[#This Row],[ordered_units]]&lt;&gt;ReconciliationData[[#This Row],[Billed_Units]]),1,0)</f>
        <v>1</v>
      </c>
      <c r="R25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3">
        <f>IF(AND(NOT(ISBLANK(ReconciliationData[[#This Row],[Contract_Price]])),ReconciliationData[[#This Row],[Billed_Price]]&lt;&gt;ReconciliationData[[#This Row],[Contract_Price]]),1,0)</f>
        <v>0</v>
      </c>
      <c r="T2533">
        <f>IF(AND(NOT(ISBLANK(ReconciliationData[[#This Row],[End_Date]])),ReconciliationData[[#This Row],[Order_Date]]&gt;ReconciliationData[[#This Row],[End_Date]]),1,0)</f>
        <v>0</v>
      </c>
      <c r="U2533">
        <f>IF(AND(NOT(ISBLANK(ReconciliationData[[#This Row],[last_return_date]])),ReconciliationData[[#This Row],[last_return_date]]&gt;ReconciliationData[[#This Row],[Order_Date]]+60),1,0)</f>
        <v>0</v>
      </c>
      <c r="V2533">
        <f>IF(ReconciliationData[[#This Row],[total_returned_units]]&gt;ReconciliationData[[#This Row],[ordered_units]],1,0)</f>
        <v>0</v>
      </c>
      <c r="W25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33">
        <f>ReconciliationData[[#This Row],[Billed_Units]]*ReconciliationData[[#This Row],[Billed_Price]]</f>
        <v>51013.368000000002</v>
      </c>
      <c r="Y2533">
        <f>ReconciliationData[[#This Row],[ordered_units]]*ReconciliationData[[#This Row],[List_Price]]</f>
        <v>44636.697</v>
      </c>
      <c r="Z2533">
        <f>ReconciliationData[[#This Row],[billed_revenue]]-ReconciliationData[[#This Row],[expected_revenue]]</f>
        <v>6376.6710000000021</v>
      </c>
      <c r="AA25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533" t="str">
        <f>IF(ReconciliationData[[#This Row],[severity_score]]=0,"LOW",
 IF(ReconciliationData[[#This Row],[severity_score]]&lt;=5,"MEDIUM","HIGH"))</f>
        <v>HIGH</v>
      </c>
      <c r="AC2533" t="str">
        <f>TEXT(ReconciliationData[[#This Row],[Order_Date]],"YYYY-MM")</f>
        <v>2023-11</v>
      </c>
    </row>
    <row r="2534" spans="1:29">
      <c r="A2534" t="s">
        <v>6265</v>
      </c>
      <c r="B2534" s="1">
        <v>45172</v>
      </c>
      <c r="C2534" t="s">
        <v>5082</v>
      </c>
      <c r="D2534" t="s">
        <v>2064</v>
      </c>
      <c r="E2534">
        <v>43</v>
      </c>
      <c r="F2534" t="s">
        <v>6266</v>
      </c>
      <c r="G2534">
        <v>43</v>
      </c>
      <c r="H2534">
        <v>251.7122</v>
      </c>
      <c r="I2534">
        <v>8</v>
      </c>
      <c r="J2534" s="1">
        <v>45100</v>
      </c>
      <c r="N2534">
        <v>251.7122</v>
      </c>
      <c r="O2534" s="1">
        <v>45088</v>
      </c>
      <c r="P2534">
        <f>IF(ISBLANK(ReconciliationData[[#This Row],[Invoice_ID]]),1,0)</f>
        <v>0</v>
      </c>
      <c r="Q2534">
        <f>IF(AND(NOT(ISBLANK(ReconciliationData[[#This Row],[Billed_Units]])),ReconciliationData[[#This Row],[ordered_units]]&lt;&gt;ReconciliationData[[#This Row],[Billed_Units]]),1,0)</f>
        <v>0</v>
      </c>
      <c r="R25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4">
        <f>IF(AND(NOT(ISBLANK(ReconciliationData[[#This Row],[Contract_Price]])),ReconciliationData[[#This Row],[Billed_Price]]&lt;&gt;ReconciliationData[[#This Row],[Contract_Price]]),1,0)</f>
        <v>0</v>
      </c>
      <c r="T2534">
        <f>IF(AND(NOT(ISBLANK(ReconciliationData[[#This Row],[End_Date]])),ReconciliationData[[#This Row],[Order_Date]]&gt;ReconciliationData[[#This Row],[End_Date]]),1,0)</f>
        <v>0</v>
      </c>
      <c r="U2534">
        <f>IF(AND(NOT(ISBLANK(ReconciliationData[[#This Row],[last_return_date]])),ReconciliationData[[#This Row],[last_return_date]]&gt;ReconciliationData[[#This Row],[Order_Date]]+60),1,0)</f>
        <v>0</v>
      </c>
      <c r="V2534">
        <f>IF(ReconciliationData[[#This Row],[total_returned_units]]&gt;ReconciliationData[[#This Row],[ordered_units]],1,0)</f>
        <v>0</v>
      </c>
      <c r="W25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34">
        <f>ReconciliationData[[#This Row],[Billed_Units]]*ReconciliationData[[#This Row],[Billed_Price]]</f>
        <v>10823.624599999999</v>
      </c>
      <c r="Y2534">
        <f>ReconciliationData[[#This Row],[ordered_units]]*ReconciliationData[[#This Row],[List_Price]]</f>
        <v>10823.624599999999</v>
      </c>
      <c r="Z2534">
        <f>ReconciliationData[[#This Row],[billed_revenue]]-ReconciliationData[[#This Row],[expected_revenue]]</f>
        <v>0</v>
      </c>
      <c r="AA25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34" t="str">
        <f>IF(ReconciliationData[[#This Row],[severity_score]]=0,"LOW",
 IF(ReconciliationData[[#This Row],[severity_score]]&lt;=5,"MEDIUM","HIGH"))</f>
        <v>LOW</v>
      </c>
      <c r="AC2534" t="str">
        <f>TEXT(ReconciliationData[[#This Row],[Order_Date]],"YYYY-MM")</f>
        <v>2023-09</v>
      </c>
    </row>
    <row r="2535" spans="1:29">
      <c r="A2535" t="s">
        <v>6267</v>
      </c>
      <c r="B2535" s="1">
        <v>44964</v>
      </c>
      <c r="C2535" t="s">
        <v>1872</v>
      </c>
      <c r="D2535" t="s">
        <v>504</v>
      </c>
      <c r="E2535">
        <v>53</v>
      </c>
      <c r="F2535" t="s">
        <v>6268</v>
      </c>
      <c r="G2535">
        <v>53</v>
      </c>
      <c r="H2535">
        <v>266.16450000000003</v>
      </c>
      <c r="N2535">
        <v>266.16450000000003</v>
      </c>
      <c r="O2535" s="1">
        <v>44765</v>
      </c>
      <c r="P2535">
        <f>IF(ISBLANK(ReconciliationData[[#This Row],[Invoice_ID]]),1,0)</f>
        <v>0</v>
      </c>
      <c r="Q2535">
        <f>IF(AND(NOT(ISBLANK(ReconciliationData[[#This Row],[Billed_Units]])),ReconciliationData[[#This Row],[ordered_units]]&lt;&gt;ReconciliationData[[#This Row],[Billed_Units]]),1,0)</f>
        <v>0</v>
      </c>
      <c r="R25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5">
        <f>IF(AND(NOT(ISBLANK(ReconciliationData[[#This Row],[Contract_Price]])),ReconciliationData[[#This Row],[Billed_Price]]&lt;&gt;ReconciliationData[[#This Row],[Contract_Price]]),1,0)</f>
        <v>0</v>
      </c>
      <c r="T2535">
        <f>IF(AND(NOT(ISBLANK(ReconciliationData[[#This Row],[End_Date]])),ReconciliationData[[#This Row],[Order_Date]]&gt;ReconciliationData[[#This Row],[End_Date]]),1,0)</f>
        <v>0</v>
      </c>
      <c r="U2535">
        <f>IF(AND(NOT(ISBLANK(ReconciliationData[[#This Row],[last_return_date]])),ReconciliationData[[#This Row],[last_return_date]]&gt;ReconciliationData[[#This Row],[Order_Date]]+60),1,0)</f>
        <v>0</v>
      </c>
      <c r="V2535">
        <f>IF(ReconciliationData[[#This Row],[total_returned_units]]&gt;ReconciliationData[[#This Row],[ordered_units]],1,0)</f>
        <v>0</v>
      </c>
      <c r="W25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35">
        <f>ReconciliationData[[#This Row],[Billed_Units]]*ReconciliationData[[#This Row],[Billed_Price]]</f>
        <v>14106.718500000001</v>
      </c>
      <c r="Y2535">
        <f>ReconciliationData[[#This Row],[ordered_units]]*ReconciliationData[[#This Row],[List_Price]]</f>
        <v>14106.718500000001</v>
      </c>
      <c r="Z2535">
        <f>ReconciliationData[[#This Row],[billed_revenue]]-ReconciliationData[[#This Row],[expected_revenue]]</f>
        <v>0</v>
      </c>
      <c r="AA25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35" t="str">
        <f>IF(ReconciliationData[[#This Row],[severity_score]]=0,"LOW",
 IF(ReconciliationData[[#This Row],[severity_score]]&lt;=5,"MEDIUM","HIGH"))</f>
        <v>LOW</v>
      </c>
      <c r="AC2535" t="str">
        <f>TEXT(ReconciliationData[[#This Row],[Order_Date]],"YYYY-MM")</f>
        <v>2023-02</v>
      </c>
    </row>
    <row r="2536" spans="1:29">
      <c r="A2536" t="s">
        <v>6269</v>
      </c>
      <c r="B2536" s="1">
        <v>45287</v>
      </c>
      <c r="C2536" t="s">
        <v>2291</v>
      </c>
      <c r="D2536" t="s">
        <v>916</v>
      </c>
      <c r="E2536">
        <v>100</v>
      </c>
      <c r="F2536" t="s">
        <v>6270</v>
      </c>
      <c r="G2536">
        <v>100</v>
      </c>
      <c r="H2536">
        <v>1158.2643</v>
      </c>
      <c r="N2536">
        <v>1158.2643</v>
      </c>
      <c r="O2536" s="1">
        <v>45119</v>
      </c>
      <c r="P2536">
        <f>IF(ISBLANK(ReconciliationData[[#This Row],[Invoice_ID]]),1,0)</f>
        <v>0</v>
      </c>
      <c r="Q2536">
        <f>IF(AND(NOT(ISBLANK(ReconciliationData[[#This Row],[Billed_Units]])),ReconciliationData[[#This Row],[ordered_units]]&lt;&gt;ReconciliationData[[#This Row],[Billed_Units]]),1,0)</f>
        <v>0</v>
      </c>
      <c r="R25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6">
        <f>IF(AND(NOT(ISBLANK(ReconciliationData[[#This Row],[Contract_Price]])),ReconciliationData[[#This Row],[Billed_Price]]&lt;&gt;ReconciliationData[[#This Row],[Contract_Price]]),1,0)</f>
        <v>0</v>
      </c>
      <c r="T2536">
        <f>IF(AND(NOT(ISBLANK(ReconciliationData[[#This Row],[End_Date]])),ReconciliationData[[#This Row],[Order_Date]]&gt;ReconciliationData[[#This Row],[End_Date]]),1,0)</f>
        <v>0</v>
      </c>
      <c r="U2536">
        <f>IF(AND(NOT(ISBLANK(ReconciliationData[[#This Row],[last_return_date]])),ReconciliationData[[#This Row],[last_return_date]]&gt;ReconciliationData[[#This Row],[Order_Date]]+60),1,0)</f>
        <v>0</v>
      </c>
      <c r="V2536">
        <f>IF(ReconciliationData[[#This Row],[total_returned_units]]&gt;ReconciliationData[[#This Row],[ordered_units]],1,0)</f>
        <v>0</v>
      </c>
      <c r="W25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36">
        <f>ReconciliationData[[#This Row],[Billed_Units]]*ReconciliationData[[#This Row],[Billed_Price]]</f>
        <v>115826.43000000001</v>
      </c>
      <c r="Y2536">
        <f>ReconciliationData[[#This Row],[ordered_units]]*ReconciliationData[[#This Row],[List_Price]]</f>
        <v>115826.43000000001</v>
      </c>
      <c r="Z2536">
        <f>ReconciliationData[[#This Row],[billed_revenue]]-ReconciliationData[[#This Row],[expected_revenue]]</f>
        <v>0</v>
      </c>
      <c r="AA25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36" t="str">
        <f>IF(ReconciliationData[[#This Row],[severity_score]]=0,"LOW",
 IF(ReconciliationData[[#This Row],[severity_score]]&lt;=5,"MEDIUM","HIGH"))</f>
        <v>LOW</v>
      </c>
      <c r="AC2536" t="str">
        <f>TEXT(ReconciliationData[[#This Row],[Order_Date]],"YYYY-MM")</f>
        <v>2023-12</v>
      </c>
    </row>
    <row r="2537" spans="1:29">
      <c r="A2537" t="s">
        <v>6271</v>
      </c>
      <c r="B2537" s="1">
        <v>45210</v>
      </c>
      <c r="C2537" t="s">
        <v>1381</v>
      </c>
      <c r="D2537" t="s">
        <v>283</v>
      </c>
      <c r="E2537">
        <v>117</v>
      </c>
      <c r="F2537" t="s">
        <v>6272</v>
      </c>
      <c r="G2537">
        <v>117</v>
      </c>
      <c r="H2537">
        <v>415.70589999999999</v>
      </c>
      <c r="N2537">
        <v>415.70589999999999</v>
      </c>
      <c r="O2537" s="1">
        <v>44989</v>
      </c>
      <c r="P2537">
        <f>IF(ISBLANK(ReconciliationData[[#This Row],[Invoice_ID]]),1,0)</f>
        <v>0</v>
      </c>
      <c r="Q2537">
        <f>IF(AND(NOT(ISBLANK(ReconciliationData[[#This Row],[Billed_Units]])),ReconciliationData[[#This Row],[ordered_units]]&lt;&gt;ReconciliationData[[#This Row],[Billed_Units]]),1,0)</f>
        <v>0</v>
      </c>
      <c r="R25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7">
        <f>IF(AND(NOT(ISBLANK(ReconciliationData[[#This Row],[Contract_Price]])),ReconciliationData[[#This Row],[Billed_Price]]&lt;&gt;ReconciliationData[[#This Row],[Contract_Price]]),1,0)</f>
        <v>0</v>
      </c>
      <c r="T2537">
        <f>IF(AND(NOT(ISBLANK(ReconciliationData[[#This Row],[End_Date]])),ReconciliationData[[#This Row],[Order_Date]]&gt;ReconciliationData[[#This Row],[End_Date]]),1,0)</f>
        <v>0</v>
      </c>
      <c r="U2537">
        <f>IF(AND(NOT(ISBLANK(ReconciliationData[[#This Row],[last_return_date]])),ReconciliationData[[#This Row],[last_return_date]]&gt;ReconciliationData[[#This Row],[Order_Date]]+60),1,0)</f>
        <v>0</v>
      </c>
      <c r="V2537">
        <f>IF(ReconciliationData[[#This Row],[total_returned_units]]&gt;ReconciliationData[[#This Row],[ordered_units]],1,0)</f>
        <v>0</v>
      </c>
      <c r="W25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37">
        <f>ReconciliationData[[#This Row],[Billed_Units]]*ReconciliationData[[#This Row],[Billed_Price]]</f>
        <v>48637.590299999996</v>
      </c>
      <c r="Y2537">
        <f>ReconciliationData[[#This Row],[ordered_units]]*ReconciliationData[[#This Row],[List_Price]]</f>
        <v>48637.590299999996</v>
      </c>
      <c r="Z2537">
        <f>ReconciliationData[[#This Row],[billed_revenue]]-ReconciliationData[[#This Row],[expected_revenue]]</f>
        <v>0</v>
      </c>
      <c r="AA25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37" t="str">
        <f>IF(ReconciliationData[[#This Row],[severity_score]]=0,"LOW",
 IF(ReconciliationData[[#This Row],[severity_score]]&lt;=5,"MEDIUM","HIGH"))</f>
        <v>LOW</v>
      </c>
      <c r="AC2537" t="str">
        <f>TEXT(ReconciliationData[[#This Row],[Order_Date]],"YYYY-MM")</f>
        <v>2023-10</v>
      </c>
    </row>
    <row r="2538" spans="1:29">
      <c r="A2538" t="s">
        <v>6273</v>
      </c>
      <c r="B2538" s="1">
        <v>45297</v>
      </c>
      <c r="C2538" t="s">
        <v>1452</v>
      </c>
      <c r="D2538" t="s">
        <v>610</v>
      </c>
      <c r="E2538">
        <v>34</v>
      </c>
      <c r="F2538" t="s">
        <v>6274</v>
      </c>
      <c r="G2538">
        <v>34</v>
      </c>
      <c r="H2538">
        <v>457.65019999999998</v>
      </c>
      <c r="N2538">
        <v>457.65019999999998</v>
      </c>
      <c r="O2538" s="1">
        <v>44950</v>
      </c>
      <c r="P2538">
        <f>IF(ISBLANK(ReconciliationData[[#This Row],[Invoice_ID]]),1,0)</f>
        <v>0</v>
      </c>
      <c r="Q2538">
        <f>IF(AND(NOT(ISBLANK(ReconciliationData[[#This Row],[Billed_Units]])),ReconciliationData[[#This Row],[ordered_units]]&lt;&gt;ReconciliationData[[#This Row],[Billed_Units]]),1,0)</f>
        <v>0</v>
      </c>
      <c r="R25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8">
        <f>IF(AND(NOT(ISBLANK(ReconciliationData[[#This Row],[Contract_Price]])),ReconciliationData[[#This Row],[Billed_Price]]&lt;&gt;ReconciliationData[[#This Row],[Contract_Price]]),1,0)</f>
        <v>0</v>
      </c>
      <c r="T2538">
        <f>IF(AND(NOT(ISBLANK(ReconciliationData[[#This Row],[End_Date]])),ReconciliationData[[#This Row],[Order_Date]]&gt;ReconciliationData[[#This Row],[End_Date]]),1,0)</f>
        <v>0</v>
      </c>
      <c r="U2538">
        <f>IF(AND(NOT(ISBLANK(ReconciliationData[[#This Row],[last_return_date]])),ReconciliationData[[#This Row],[last_return_date]]&gt;ReconciliationData[[#This Row],[Order_Date]]+60),1,0)</f>
        <v>0</v>
      </c>
      <c r="V2538">
        <f>IF(ReconciliationData[[#This Row],[total_returned_units]]&gt;ReconciliationData[[#This Row],[ordered_units]],1,0)</f>
        <v>0</v>
      </c>
      <c r="W25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38">
        <f>ReconciliationData[[#This Row],[Billed_Units]]*ReconciliationData[[#This Row],[Billed_Price]]</f>
        <v>15560.1068</v>
      </c>
      <c r="Y2538">
        <f>ReconciliationData[[#This Row],[ordered_units]]*ReconciliationData[[#This Row],[List_Price]]</f>
        <v>15560.1068</v>
      </c>
      <c r="Z2538">
        <f>ReconciliationData[[#This Row],[billed_revenue]]-ReconciliationData[[#This Row],[expected_revenue]]</f>
        <v>0</v>
      </c>
      <c r="AA25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38" t="str">
        <f>IF(ReconciliationData[[#This Row],[severity_score]]=0,"LOW",
 IF(ReconciliationData[[#This Row],[severity_score]]&lt;=5,"MEDIUM","HIGH"))</f>
        <v>LOW</v>
      </c>
      <c r="AC2538" t="str">
        <f>TEXT(ReconciliationData[[#This Row],[Order_Date]],"YYYY-MM")</f>
        <v>2024-01</v>
      </c>
    </row>
    <row r="2539" spans="1:29">
      <c r="A2539" t="s">
        <v>6275</v>
      </c>
      <c r="B2539" s="1">
        <v>45381</v>
      </c>
      <c r="C2539" t="s">
        <v>785</v>
      </c>
      <c r="D2539" t="s">
        <v>3220</v>
      </c>
      <c r="E2539">
        <v>89</v>
      </c>
      <c r="F2539" t="s">
        <v>6276</v>
      </c>
      <c r="G2539">
        <v>89</v>
      </c>
      <c r="H2539">
        <v>380.30540000000002</v>
      </c>
      <c r="N2539">
        <v>380.30540000000002</v>
      </c>
      <c r="O2539" s="1">
        <v>45212</v>
      </c>
      <c r="P2539">
        <f>IF(ISBLANK(ReconciliationData[[#This Row],[Invoice_ID]]),1,0)</f>
        <v>0</v>
      </c>
      <c r="Q2539">
        <f>IF(AND(NOT(ISBLANK(ReconciliationData[[#This Row],[Billed_Units]])),ReconciliationData[[#This Row],[ordered_units]]&lt;&gt;ReconciliationData[[#This Row],[Billed_Units]]),1,0)</f>
        <v>0</v>
      </c>
      <c r="R25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39">
        <f>IF(AND(NOT(ISBLANK(ReconciliationData[[#This Row],[Contract_Price]])),ReconciliationData[[#This Row],[Billed_Price]]&lt;&gt;ReconciliationData[[#This Row],[Contract_Price]]),1,0)</f>
        <v>0</v>
      </c>
      <c r="T2539">
        <f>IF(AND(NOT(ISBLANK(ReconciliationData[[#This Row],[End_Date]])),ReconciliationData[[#This Row],[Order_Date]]&gt;ReconciliationData[[#This Row],[End_Date]]),1,0)</f>
        <v>0</v>
      </c>
      <c r="U2539">
        <f>IF(AND(NOT(ISBLANK(ReconciliationData[[#This Row],[last_return_date]])),ReconciliationData[[#This Row],[last_return_date]]&gt;ReconciliationData[[#This Row],[Order_Date]]+60),1,0)</f>
        <v>0</v>
      </c>
      <c r="V2539">
        <f>IF(ReconciliationData[[#This Row],[total_returned_units]]&gt;ReconciliationData[[#This Row],[ordered_units]],1,0)</f>
        <v>0</v>
      </c>
      <c r="W25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39">
        <f>ReconciliationData[[#This Row],[Billed_Units]]*ReconciliationData[[#This Row],[Billed_Price]]</f>
        <v>33847.1806</v>
      </c>
      <c r="Y2539">
        <f>ReconciliationData[[#This Row],[ordered_units]]*ReconciliationData[[#This Row],[List_Price]]</f>
        <v>33847.1806</v>
      </c>
      <c r="Z2539">
        <f>ReconciliationData[[#This Row],[billed_revenue]]-ReconciliationData[[#This Row],[expected_revenue]]</f>
        <v>0</v>
      </c>
      <c r="AA25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39" t="str">
        <f>IF(ReconciliationData[[#This Row],[severity_score]]=0,"LOW",
 IF(ReconciliationData[[#This Row],[severity_score]]&lt;=5,"MEDIUM","HIGH"))</f>
        <v>LOW</v>
      </c>
      <c r="AC2539" t="str">
        <f>TEXT(ReconciliationData[[#This Row],[Order_Date]],"YYYY-MM")</f>
        <v>2024-03</v>
      </c>
    </row>
    <row r="2540" spans="1:29">
      <c r="A2540" t="s">
        <v>6277</v>
      </c>
      <c r="B2540" s="1">
        <v>45509</v>
      </c>
      <c r="C2540" t="s">
        <v>4710</v>
      </c>
      <c r="D2540" t="s">
        <v>2489</v>
      </c>
      <c r="E2540">
        <v>63</v>
      </c>
      <c r="F2540" t="s">
        <v>6278</v>
      </c>
      <c r="G2540">
        <v>63</v>
      </c>
      <c r="H2540">
        <v>544.5</v>
      </c>
      <c r="N2540">
        <v>544.5</v>
      </c>
      <c r="O2540" s="1">
        <v>45159</v>
      </c>
      <c r="P2540">
        <f>IF(ISBLANK(ReconciliationData[[#This Row],[Invoice_ID]]),1,0)</f>
        <v>0</v>
      </c>
      <c r="Q2540">
        <f>IF(AND(NOT(ISBLANK(ReconciliationData[[#This Row],[Billed_Units]])),ReconciliationData[[#This Row],[ordered_units]]&lt;&gt;ReconciliationData[[#This Row],[Billed_Units]]),1,0)</f>
        <v>0</v>
      </c>
      <c r="R25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0">
        <f>IF(AND(NOT(ISBLANK(ReconciliationData[[#This Row],[Contract_Price]])),ReconciliationData[[#This Row],[Billed_Price]]&lt;&gt;ReconciliationData[[#This Row],[Contract_Price]]),1,0)</f>
        <v>0</v>
      </c>
      <c r="T2540">
        <f>IF(AND(NOT(ISBLANK(ReconciliationData[[#This Row],[End_Date]])),ReconciliationData[[#This Row],[Order_Date]]&gt;ReconciliationData[[#This Row],[End_Date]]),1,0)</f>
        <v>0</v>
      </c>
      <c r="U2540">
        <f>IF(AND(NOT(ISBLANK(ReconciliationData[[#This Row],[last_return_date]])),ReconciliationData[[#This Row],[last_return_date]]&gt;ReconciliationData[[#This Row],[Order_Date]]+60),1,0)</f>
        <v>0</v>
      </c>
      <c r="V2540">
        <f>IF(ReconciliationData[[#This Row],[total_returned_units]]&gt;ReconciliationData[[#This Row],[ordered_units]],1,0)</f>
        <v>0</v>
      </c>
      <c r="W25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40">
        <f>ReconciliationData[[#This Row],[Billed_Units]]*ReconciliationData[[#This Row],[Billed_Price]]</f>
        <v>34303.5</v>
      </c>
      <c r="Y2540">
        <f>ReconciliationData[[#This Row],[ordered_units]]*ReconciliationData[[#This Row],[List_Price]]</f>
        <v>34303.5</v>
      </c>
      <c r="Z2540">
        <f>ReconciliationData[[#This Row],[billed_revenue]]-ReconciliationData[[#This Row],[expected_revenue]]</f>
        <v>0</v>
      </c>
      <c r="AA25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40" t="str">
        <f>IF(ReconciliationData[[#This Row],[severity_score]]=0,"LOW",
 IF(ReconciliationData[[#This Row],[severity_score]]&lt;=5,"MEDIUM","HIGH"))</f>
        <v>LOW</v>
      </c>
      <c r="AC2540" t="str">
        <f>TEXT(ReconciliationData[[#This Row],[Order_Date]],"YYYY-MM")</f>
        <v>2024-08</v>
      </c>
    </row>
    <row r="2541" spans="1:29">
      <c r="A2541" t="s">
        <v>6279</v>
      </c>
      <c r="B2541" s="1">
        <v>45277</v>
      </c>
      <c r="C2541" t="s">
        <v>3627</v>
      </c>
      <c r="D2541" t="s">
        <v>275</v>
      </c>
      <c r="E2541">
        <v>1</v>
      </c>
      <c r="F2541" t="s">
        <v>6280</v>
      </c>
      <c r="G2541">
        <v>1</v>
      </c>
      <c r="H2541">
        <v>397.19560000000001</v>
      </c>
      <c r="N2541">
        <v>397.19560000000001</v>
      </c>
      <c r="O2541" s="1">
        <v>44932</v>
      </c>
      <c r="P2541">
        <f>IF(ISBLANK(ReconciliationData[[#This Row],[Invoice_ID]]),1,0)</f>
        <v>0</v>
      </c>
      <c r="Q2541">
        <f>IF(AND(NOT(ISBLANK(ReconciliationData[[#This Row],[Billed_Units]])),ReconciliationData[[#This Row],[ordered_units]]&lt;&gt;ReconciliationData[[#This Row],[Billed_Units]]),1,0)</f>
        <v>0</v>
      </c>
      <c r="R25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1">
        <f>IF(AND(NOT(ISBLANK(ReconciliationData[[#This Row],[Contract_Price]])),ReconciliationData[[#This Row],[Billed_Price]]&lt;&gt;ReconciliationData[[#This Row],[Contract_Price]]),1,0)</f>
        <v>0</v>
      </c>
      <c r="T2541">
        <f>IF(AND(NOT(ISBLANK(ReconciliationData[[#This Row],[End_Date]])),ReconciliationData[[#This Row],[Order_Date]]&gt;ReconciliationData[[#This Row],[End_Date]]),1,0)</f>
        <v>0</v>
      </c>
      <c r="U2541">
        <f>IF(AND(NOT(ISBLANK(ReconciliationData[[#This Row],[last_return_date]])),ReconciliationData[[#This Row],[last_return_date]]&gt;ReconciliationData[[#This Row],[Order_Date]]+60),1,0)</f>
        <v>0</v>
      </c>
      <c r="V2541">
        <f>IF(ReconciliationData[[#This Row],[total_returned_units]]&gt;ReconciliationData[[#This Row],[ordered_units]],1,0)</f>
        <v>0</v>
      </c>
      <c r="W25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41">
        <f>ReconciliationData[[#This Row],[Billed_Units]]*ReconciliationData[[#This Row],[Billed_Price]]</f>
        <v>397.19560000000001</v>
      </c>
      <c r="Y2541">
        <f>ReconciliationData[[#This Row],[ordered_units]]*ReconciliationData[[#This Row],[List_Price]]</f>
        <v>397.19560000000001</v>
      </c>
      <c r="Z2541">
        <f>ReconciliationData[[#This Row],[billed_revenue]]-ReconciliationData[[#This Row],[expected_revenue]]</f>
        <v>0</v>
      </c>
      <c r="AA25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41" t="str">
        <f>IF(ReconciliationData[[#This Row],[severity_score]]=0,"LOW",
 IF(ReconciliationData[[#This Row],[severity_score]]&lt;=5,"MEDIUM","HIGH"))</f>
        <v>LOW</v>
      </c>
      <c r="AC2541" t="str">
        <f>TEXT(ReconciliationData[[#This Row],[Order_Date]],"YYYY-MM")</f>
        <v>2023-12</v>
      </c>
    </row>
    <row r="2542" spans="1:29">
      <c r="A2542" t="s">
        <v>6281</v>
      </c>
      <c r="B2542" s="1">
        <v>45472</v>
      </c>
      <c r="C2542" t="s">
        <v>852</v>
      </c>
      <c r="D2542" t="s">
        <v>216</v>
      </c>
      <c r="E2542">
        <v>145</v>
      </c>
      <c r="F2542" t="s">
        <v>6282</v>
      </c>
      <c r="G2542">
        <v>154</v>
      </c>
      <c r="H2542">
        <v>1046.6099999999999</v>
      </c>
      <c r="N2542">
        <v>1046.6099999999999</v>
      </c>
      <c r="O2542" s="1">
        <v>44940</v>
      </c>
      <c r="P2542">
        <f>IF(ISBLANK(ReconciliationData[[#This Row],[Invoice_ID]]),1,0)</f>
        <v>0</v>
      </c>
      <c r="Q2542">
        <f>IF(AND(NOT(ISBLANK(ReconciliationData[[#This Row],[Billed_Units]])),ReconciliationData[[#This Row],[ordered_units]]&lt;&gt;ReconciliationData[[#This Row],[Billed_Units]]),1,0)</f>
        <v>1</v>
      </c>
      <c r="R25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2">
        <f>IF(AND(NOT(ISBLANK(ReconciliationData[[#This Row],[Contract_Price]])),ReconciliationData[[#This Row],[Billed_Price]]&lt;&gt;ReconciliationData[[#This Row],[Contract_Price]]),1,0)</f>
        <v>0</v>
      </c>
      <c r="T2542">
        <f>IF(AND(NOT(ISBLANK(ReconciliationData[[#This Row],[End_Date]])),ReconciliationData[[#This Row],[Order_Date]]&gt;ReconciliationData[[#This Row],[End_Date]]),1,0)</f>
        <v>0</v>
      </c>
      <c r="U2542">
        <f>IF(AND(NOT(ISBLANK(ReconciliationData[[#This Row],[last_return_date]])),ReconciliationData[[#This Row],[last_return_date]]&gt;ReconciliationData[[#This Row],[Order_Date]]+60),1,0)</f>
        <v>0</v>
      </c>
      <c r="V2542">
        <f>IF(ReconciliationData[[#This Row],[total_returned_units]]&gt;ReconciliationData[[#This Row],[ordered_units]],1,0)</f>
        <v>0</v>
      </c>
      <c r="W25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42">
        <f>ReconciliationData[[#This Row],[Billed_Units]]*ReconciliationData[[#This Row],[Billed_Price]]</f>
        <v>161177.93999999997</v>
      </c>
      <c r="Y2542">
        <f>ReconciliationData[[#This Row],[ordered_units]]*ReconciliationData[[#This Row],[List_Price]]</f>
        <v>151758.44999999998</v>
      </c>
      <c r="Z2542">
        <f>ReconciliationData[[#This Row],[billed_revenue]]-ReconciliationData[[#This Row],[expected_revenue]]</f>
        <v>9419.4899999999907</v>
      </c>
      <c r="AA25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542" t="str">
        <f>IF(ReconciliationData[[#This Row],[severity_score]]=0,"LOW",
 IF(ReconciliationData[[#This Row],[severity_score]]&lt;=5,"MEDIUM","HIGH"))</f>
        <v>HIGH</v>
      </c>
      <c r="AC2542" t="str">
        <f>TEXT(ReconciliationData[[#This Row],[Order_Date]],"YYYY-MM")</f>
        <v>2024-06</v>
      </c>
    </row>
    <row r="2543" spans="1:29">
      <c r="A2543" t="s">
        <v>6283</v>
      </c>
      <c r="B2543" s="1">
        <v>45184</v>
      </c>
      <c r="C2543" t="s">
        <v>1367</v>
      </c>
      <c r="D2543" t="s">
        <v>337</v>
      </c>
      <c r="E2543">
        <v>48</v>
      </c>
      <c r="F2543" t="s">
        <v>6284</v>
      </c>
      <c r="G2543">
        <v>48</v>
      </c>
      <c r="H2543">
        <v>1040.9412</v>
      </c>
      <c r="N2543">
        <v>1040.9412</v>
      </c>
      <c r="O2543" s="1">
        <v>44983</v>
      </c>
      <c r="P2543">
        <f>IF(ISBLANK(ReconciliationData[[#This Row],[Invoice_ID]]),1,0)</f>
        <v>0</v>
      </c>
      <c r="Q2543">
        <f>IF(AND(NOT(ISBLANK(ReconciliationData[[#This Row],[Billed_Units]])),ReconciliationData[[#This Row],[ordered_units]]&lt;&gt;ReconciliationData[[#This Row],[Billed_Units]]),1,0)</f>
        <v>0</v>
      </c>
      <c r="R25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3">
        <f>IF(AND(NOT(ISBLANK(ReconciliationData[[#This Row],[Contract_Price]])),ReconciliationData[[#This Row],[Billed_Price]]&lt;&gt;ReconciliationData[[#This Row],[Contract_Price]]),1,0)</f>
        <v>0</v>
      </c>
      <c r="T2543">
        <f>IF(AND(NOT(ISBLANK(ReconciliationData[[#This Row],[End_Date]])),ReconciliationData[[#This Row],[Order_Date]]&gt;ReconciliationData[[#This Row],[End_Date]]),1,0)</f>
        <v>0</v>
      </c>
      <c r="U2543">
        <f>IF(AND(NOT(ISBLANK(ReconciliationData[[#This Row],[last_return_date]])),ReconciliationData[[#This Row],[last_return_date]]&gt;ReconciliationData[[#This Row],[Order_Date]]+60),1,0)</f>
        <v>0</v>
      </c>
      <c r="V2543">
        <f>IF(ReconciliationData[[#This Row],[total_returned_units]]&gt;ReconciliationData[[#This Row],[ordered_units]],1,0)</f>
        <v>0</v>
      </c>
      <c r="W25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43">
        <f>ReconciliationData[[#This Row],[Billed_Units]]*ReconciliationData[[#This Row],[Billed_Price]]</f>
        <v>49965.177599999995</v>
      </c>
      <c r="Y2543">
        <f>ReconciliationData[[#This Row],[ordered_units]]*ReconciliationData[[#This Row],[List_Price]]</f>
        <v>49965.177599999995</v>
      </c>
      <c r="Z2543">
        <f>ReconciliationData[[#This Row],[billed_revenue]]-ReconciliationData[[#This Row],[expected_revenue]]</f>
        <v>0</v>
      </c>
      <c r="AA25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43" t="str">
        <f>IF(ReconciliationData[[#This Row],[severity_score]]=0,"LOW",
 IF(ReconciliationData[[#This Row],[severity_score]]&lt;=5,"MEDIUM","HIGH"))</f>
        <v>LOW</v>
      </c>
      <c r="AC2543" t="str">
        <f>TEXT(ReconciliationData[[#This Row],[Order_Date]],"YYYY-MM")</f>
        <v>2023-09</v>
      </c>
    </row>
    <row r="2544" spans="1:29">
      <c r="A2544" t="s">
        <v>6285</v>
      </c>
      <c r="B2544" s="1">
        <v>45315</v>
      </c>
      <c r="C2544" t="s">
        <v>2595</v>
      </c>
      <c r="D2544" t="s">
        <v>1030</v>
      </c>
      <c r="E2544">
        <v>127</v>
      </c>
      <c r="F2544" t="s">
        <v>6286</v>
      </c>
      <c r="G2544">
        <v>129</v>
      </c>
      <c r="H2544">
        <v>370.82850000000002</v>
      </c>
      <c r="N2544">
        <v>370.82850000000002</v>
      </c>
      <c r="O2544" s="1">
        <v>45187</v>
      </c>
      <c r="P2544">
        <f>IF(ISBLANK(ReconciliationData[[#This Row],[Invoice_ID]]),1,0)</f>
        <v>0</v>
      </c>
      <c r="Q2544">
        <f>IF(AND(NOT(ISBLANK(ReconciliationData[[#This Row],[Billed_Units]])),ReconciliationData[[#This Row],[ordered_units]]&lt;&gt;ReconciliationData[[#This Row],[Billed_Units]]),1,0)</f>
        <v>1</v>
      </c>
      <c r="R25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4">
        <f>IF(AND(NOT(ISBLANK(ReconciliationData[[#This Row],[Contract_Price]])),ReconciliationData[[#This Row],[Billed_Price]]&lt;&gt;ReconciliationData[[#This Row],[Contract_Price]]),1,0)</f>
        <v>0</v>
      </c>
      <c r="T2544">
        <f>IF(AND(NOT(ISBLANK(ReconciliationData[[#This Row],[End_Date]])),ReconciliationData[[#This Row],[Order_Date]]&gt;ReconciliationData[[#This Row],[End_Date]]),1,0)</f>
        <v>0</v>
      </c>
      <c r="U2544">
        <f>IF(AND(NOT(ISBLANK(ReconciliationData[[#This Row],[last_return_date]])),ReconciliationData[[#This Row],[last_return_date]]&gt;ReconciliationData[[#This Row],[Order_Date]]+60),1,0)</f>
        <v>0</v>
      </c>
      <c r="V2544">
        <f>IF(ReconciliationData[[#This Row],[total_returned_units]]&gt;ReconciliationData[[#This Row],[ordered_units]],1,0)</f>
        <v>0</v>
      </c>
      <c r="W25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44">
        <f>ReconciliationData[[#This Row],[Billed_Units]]*ReconciliationData[[#This Row],[Billed_Price]]</f>
        <v>47836.876500000006</v>
      </c>
      <c r="Y2544">
        <f>ReconciliationData[[#This Row],[ordered_units]]*ReconciliationData[[#This Row],[List_Price]]</f>
        <v>47095.219499999999</v>
      </c>
      <c r="Z2544">
        <f>ReconciliationData[[#This Row],[billed_revenue]]-ReconciliationData[[#This Row],[expected_revenue]]</f>
        <v>741.65700000000652</v>
      </c>
      <c r="AA25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544" t="str">
        <f>IF(ReconciliationData[[#This Row],[severity_score]]=0,"LOW",
 IF(ReconciliationData[[#This Row],[severity_score]]&lt;=5,"MEDIUM","HIGH"))</f>
        <v>HIGH</v>
      </c>
      <c r="AC2544" t="str">
        <f>TEXT(ReconciliationData[[#This Row],[Order_Date]],"YYYY-MM")</f>
        <v>2024-01</v>
      </c>
    </row>
    <row r="2545" spans="1:29">
      <c r="A2545" t="s">
        <v>6287</v>
      </c>
      <c r="B2545" s="1">
        <v>45608</v>
      </c>
      <c r="C2545" t="s">
        <v>181</v>
      </c>
      <c r="D2545" t="s">
        <v>1396</v>
      </c>
      <c r="E2545">
        <v>31</v>
      </c>
      <c r="F2545" t="s">
        <v>6288</v>
      </c>
      <c r="G2545">
        <v>31</v>
      </c>
      <c r="H2545">
        <v>880.66300000000001</v>
      </c>
      <c r="N2545">
        <v>880.66300000000001</v>
      </c>
      <c r="O2545" s="1">
        <v>44966</v>
      </c>
      <c r="P2545">
        <f>IF(ISBLANK(ReconciliationData[[#This Row],[Invoice_ID]]),1,0)</f>
        <v>0</v>
      </c>
      <c r="Q2545">
        <f>IF(AND(NOT(ISBLANK(ReconciliationData[[#This Row],[Billed_Units]])),ReconciliationData[[#This Row],[ordered_units]]&lt;&gt;ReconciliationData[[#This Row],[Billed_Units]]),1,0)</f>
        <v>0</v>
      </c>
      <c r="R25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5">
        <f>IF(AND(NOT(ISBLANK(ReconciliationData[[#This Row],[Contract_Price]])),ReconciliationData[[#This Row],[Billed_Price]]&lt;&gt;ReconciliationData[[#This Row],[Contract_Price]]),1,0)</f>
        <v>0</v>
      </c>
      <c r="T2545">
        <f>IF(AND(NOT(ISBLANK(ReconciliationData[[#This Row],[End_Date]])),ReconciliationData[[#This Row],[Order_Date]]&gt;ReconciliationData[[#This Row],[End_Date]]),1,0)</f>
        <v>0</v>
      </c>
      <c r="U2545">
        <f>IF(AND(NOT(ISBLANK(ReconciliationData[[#This Row],[last_return_date]])),ReconciliationData[[#This Row],[last_return_date]]&gt;ReconciliationData[[#This Row],[Order_Date]]+60),1,0)</f>
        <v>0</v>
      </c>
      <c r="V2545">
        <f>IF(ReconciliationData[[#This Row],[total_returned_units]]&gt;ReconciliationData[[#This Row],[ordered_units]],1,0)</f>
        <v>0</v>
      </c>
      <c r="W25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45">
        <f>ReconciliationData[[#This Row],[Billed_Units]]*ReconciliationData[[#This Row],[Billed_Price]]</f>
        <v>27300.553</v>
      </c>
      <c r="Y2545">
        <f>ReconciliationData[[#This Row],[ordered_units]]*ReconciliationData[[#This Row],[List_Price]]</f>
        <v>27300.553</v>
      </c>
      <c r="Z2545">
        <f>ReconciliationData[[#This Row],[billed_revenue]]-ReconciliationData[[#This Row],[expected_revenue]]</f>
        <v>0</v>
      </c>
      <c r="AA25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45" t="str">
        <f>IF(ReconciliationData[[#This Row],[severity_score]]=0,"LOW",
 IF(ReconciliationData[[#This Row],[severity_score]]&lt;=5,"MEDIUM","HIGH"))</f>
        <v>LOW</v>
      </c>
      <c r="AC2545" t="str">
        <f>TEXT(ReconciliationData[[#This Row],[Order_Date]],"YYYY-MM")</f>
        <v>2024-11</v>
      </c>
    </row>
    <row r="2546" spans="1:29">
      <c r="A2546" t="s">
        <v>6289</v>
      </c>
      <c r="B2546" s="1">
        <v>45583</v>
      </c>
      <c r="C2546" t="s">
        <v>3562</v>
      </c>
      <c r="D2546" t="s">
        <v>533</v>
      </c>
      <c r="E2546">
        <v>107</v>
      </c>
      <c r="F2546" t="s">
        <v>6290</v>
      </c>
      <c r="G2546">
        <v>107</v>
      </c>
      <c r="H2546">
        <v>833.73500000000001</v>
      </c>
      <c r="N2546">
        <v>833.73500000000001</v>
      </c>
      <c r="O2546" s="1">
        <v>45167</v>
      </c>
      <c r="P2546">
        <f>IF(ISBLANK(ReconciliationData[[#This Row],[Invoice_ID]]),1,0)</f>
        <v>0</v>
      </c>
      <c r="Q2546">
        <f>IF(AND(NOT(ISBLANK(ReconciliationData[[#This Row],[Billed_Units]])),ReconciliationData[[#This Row],[ordered_units]]&lt;&gt;ReconciliationData[[#This Row],[Billed_Units]]),1,0)</f>
        <v>0</v>
      </c>
      <c r="R25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6">
        <f>IF(AND(NOT(ISBLANK(ReconciliationData[[#This Row],[Contract_Price]])),ReconciliationData[[#This Row],[Billed_Price]]&lt;&gt;ReconciliationData[[#This Row],[Contract_Price]]),1,0)</f>
        <v>0</v>
      </c>
      <c r="T2546">
        <f>IF(AND(NOT(ISBLANK(ReconciliationData[[#This Row],[End_Date]])),ReconciliationData[[#This Row],[Order_Date]]&gt;ReconciliationData[[#This Row],[End_Date]]),1,0)</f>
        <v>0</v>
      </c>
      <c r="U2546">
        <f>IF(AND(NOT(ISBLANK(ReconciliationData[[#This Row],[last_return_date]])),ReconciliationData[[#This Row],[last_return_date]]&gt;ReconciliationData[[#This Row],[Order_Date]]+60),1,0)</f>
        <v>0</v>
      </c>
      <c r="V2546">
        <f>IF(ReconciliationData[[#This Row],[total_returned_units]]&gt;ReconciliationData[[#This Row],[ordered_units]],1,0)</f>
        <v>0</v>
      </c>
      <c r="W25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46">
        <f>ReconciliationData[[#This Row],[Billed_Units]]*ReconciliationData[[#This Row],[Billed_Price]]</f>
        <v>89209.645000000004</v>
      </c>
      <c r="Y2546">
        <f>ReconciliationData[[#This Row],[ordered_units]]*ReconciliationData[[#This Row],[List_Price]]</f>
        <v>89209.645000000004</v>
      </c>
      <c r="Z2546">
        <f>ReconciliationData[[#This Row],[billed_revenue]]-ReconciliationData[[#This Row],[expected_revenue]]</f>
        <v>0</v>
      </c>
      <c r="AA25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46" t="str">
        <f>IF(ReconciliationData[[#This Row],[severity_score]]=0,"LOW",
 IF(ReconciliationData[[#This Row],[severity_score]]&lt;=5,"MEDIUM","HIGH"))</f>
        <v>LOW</v>
      </c>
      <c r="AC2546" t="str">
        <f>TEXT(ReconciliationData[[#This Row],[Order_Date]],"YYYY-MM")</f>
        <v>2024-10</v>
      </c>
    </row>
    <row r="2547" spans="1:29">
      <c r="A2547" t="s">
        <v>6291</v>
      </c>
      <c r="B2547" s="1">
        <v>45485</v>
      </c>
      <c r="C2547" t="s">
        <v>355</v>
      </c>
      <c r="D2547" t="s">
        <v>170</v>
      </c>
      <c r="E2547">
        <v>82</v>
      </c>
      <c r="F2547" t="s">
        <v>6292</v>
      </c>
      <c r="G2547">
        <v>82</v>
      </c>
      <c r="H2547">
        <v>397.40159999999997</v>
      </c>
      <c r="N2547">
        <v>397.40159999999997</v>
      </c>
      <c r="O2547" s="1">
        <v>45021</v>
      </c>
      <c r="P2547">
        <f>IF(ISBLANK(ReconciliationData[[#This Row],[Invoice_ID]]),1,0)</f>
        <v>0</v>
      </c>
      <c r="Q2547">
        <f>IF(AND(NOT(ISBLANK(ReconciliationData[[#This Row],[Billed_Units]])),ReconciliationData[[#This Row],[ordered_units]]&lt;&gt;ReconciliationData[[#This Row],[Billed_Units]]),1,0)</f>
        <v>0</v>
      </c>
      <c r="R25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7">
        <f>IF(AND(NOT(ISBLANK(ReconciliationData[[#This Row],[Contract_Price]])),ReconciliationData[[#This Row],[Billed_Price]]&lt;&gt;ReconciliationData[[#This Row],[Contract_Price]]),1,0)</f>
        <v>0</v>
      </c>
      <c r="T2547">
        <f>IF(AND(NOT(ISBLANK(ReconciliationData[[#This Row],[End_Date]])),ReconciliationData[[#This Row],[Order_Date]]&gt;ReconciliationData[[#This Row],[End_Date]]),1,0)</f>
        <v>0</v>
      </c>
      <c r="U2547">
        <f>IF(AND(NOT(ISBLANK(ReconciliationData[[#This Row],[last_return_date]])),ReconciliationData[[#This Row],[last_return_date]]&gt;ReconciliationData[[#This Row],[Order_Date]]+60),1,0)</f>
        <v>0</v>
      </c>
      <c r="V2547">
        <f>IF(ReconciliationData[[#This Row],[total_returned_units]]&gt;ReconciliationData[[#This Row],[ordered_units]],1,0)</f>
        <v>0</v>
      </c>
      <c r="W25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47">
        <f>ReconciliationData[[#This Row],[Billed_Units]]*ReconciliationData[[#This Row],[Billed_Price]]</f>
        <v>32586.931199999999</v>
      </c>
      <c r="Y2547">
        <f>ReconciliationData[[#This Row],[ordered_units]]*ReconciliationData[[#This Row],[List_Price]]</f>
        <v>32586.931199999999</v>
      </c>
      <c r="Z2547">
        <f>ReconciliationData[[#This Row],[billed_revenue]]-ReconciliationData[[#This Row],[expected_revenue]]</f>
        <v>0</v>
      </c>
      <c r="AA25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47" t="str">
        <f>IF(ReconciliationData[[#This Row],[severity_score]]=0,"LOW",
 IF(ReconciliationData[[#This Row],[severity_score]]&lt;=5,"MEDIUM","HIGH"))</f>
        <v>LOW</v>
      </c>
      <c r="AC2547" t="str">
        <f>TEXT(ReconciliationData[[#This Row],[Order_Date]],"YYYY-MM")</f>
        <v>2024-07</v>
      </c>
    </row>
    <row r="2548" spans="1:29">
      <c r="A2548" t="s">
        <v>6293</v>
      </c>
      <c r="B2548" s="1">
        <v>45172</v>
      </c>
      <c r="C2548" t="s">
        <v>6294</v>
      </c>
      <c r="D2548" t="s">
        <v>1654</v>
      </c>
      <c r="E2548">
        <v>98</v>
      </c>
      <c r="F2548" t="s">
        <v>6295</v>
      </c>
      <c r="G2548">
        <v>98</v>
      </c>
      <c r="H2548">
        <v>1197.9306999999999</v>
      </c>
      <c r="N2548">
        <v>1197.9306999999999</v>
      </c>
      <c r="O2548" s="1">
        <v>45089</v>
      </c>
      <c r="P2548">
        <f>IF(ISBLANK(ReconciliationData[[#This Row],[Invoice_ID]]),1,0)</f>
        <v>0</v>
      </c>
      <c r="Q2548">
        <f>IF(AND(NOT(ISBLANK(ReconciliationData[[#This Row],[Billed_Units]])),ReconciliationData[[#This Row],[ordered_units]]&lt;&gt;ReconciliationData[[#This Row],[Billed_Units]]),1,0)</f>
        <v>0</v>
      </c>
      <c r="R25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8">
        <f>IF(AND(NOT(ISBLANK(ReconciliationData[[#This Row],[Contract_Price]])),ReconciliationData[[#This Row],[Billed_Price]]&lt;&gt;ReconciliationData[[#This Row],[Contract_Price]]),1,0)</f>
        <v>0</v>
      </c>
      <c r="T2548">
        <f>IF(AND(NOT(ISBLANK(ReconciliationData[[#This Row],[End_Date]])),ReconciliationData[[#This Row],[Order_Date]]&gt;ReconciliationData[[#This Row],[End_Date]]),1,0)</f>
        <v>0</v>
      </c>
      <c r="U2548">
        <f>IF(AND(NOT(ISBLANK(ReconciliationData[[#This Row],[last_return_date]])),ReconciliationData[[#This Row],[last_return_date]]&gt;ReconciliationData[[#This Row],[Order_Date]]+60),1,0)</f>
        <v>0</v>
      </c>
      <c r="V2548">
        <f>IF(ReconciliationData[[#This Row],[total_returned_units]]&gt;ReconciliationData[[#This Row],[ordered_units]],1,0)</f>
        <v>0</v>
      </c>
      <c r="W25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48">
        <f>ReconciliationData[[#This Row],[Billed_Units]]*ReconciliationData[[#This Row],[Billed_Price]]</f>
        <v>117397.20859999998</v>
      </c>
      <c r="Y2548">
        <f>ReconciliationData[[#This Row],[ordered_units]]*ReconciliationData[[#This Row],[List_Price]]</f>
        <v>117397.20859999998</v>
      </c>
      <c r="Z2548">
        <f>ReconciliationData[[#This Row],[billed_revenue]]-ReconciliationData[[#This Row],[expected_revenue]]</f>
        <v>0</v>
      </c>
      <c r="AA25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48" t="str">
        <f>IF(ReconciliationData[[#This Row],[severity_score]]=0,"LOW",
 IF(ReconciliationData[[#This Row],[severity_score]]&lt;=5,"MEDIUM","HIGH"))</f>
        <v>LOW</v>
      </c>
      <c r="AC2548" t="str">
        <f>TEXT(ReconciliationData[[#This Row],[Order_Date]],"YYYY-MM")</f>
        <v>2023-09</v>
      </c>
    </row>
    <row r="2549" spans="1:29">
      <c r="A2549" t="s">
        <v>6296</v>
      </c>
      <c r="B2549" s="1">
        <v>45550</v>
      </c>
      <c r="C2549" t="s">
        <v>2131</v>
      </c>
      <c r="D2549" t="s">
        <v>789</v>
      </c>
      <c r="E2549">
        <v>98</v>
      </c>
      <c r="F2549" t="s">
        <v>6297</v>
      </c>
      <c r="G2549">
        <v>98</v>
      </c>
      <c r="H2549">
        <v>1026.4637</v>
      </c>
      <c r="N2549">
        <v>1026.4637</v>
      </c>
      <c r="O2549" s="1">
        <v>44967</v>
      </c>
      <c r="P2549">
        <f>IF(ISBLANK(ReconciliationData[[#This Row],[Invoice_ID]]),1,0)</f>
        <v>0</v>
      </c>
      <c r="Q2549">
        <f>IF(AND(NOT(ISBLANK(ReconciliationData[[#This Row],[Billed_Units]])),ReconciliationData[[#This Row],[ordered_units]]&lt;&gt;ReconciliationData[[#This Row],[Billed_Units]]),1,0)</f>
        <v>0</v>
      </c>
      <c r="R25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49">
        <f>IF(AND(NOT(ISBLANK(ReconciliationData[[#This Row],[Contract_Price]])),ReconciliationData[[#This Row],[Billed_Price]]&lt;&gt;ReconciliationData[[#This Row],[Contract_Price]]),1,0)</f>
        <v>0</v>
      </c>
      <c r="T2549">
        <f>IF(AND(NOT(ISBLANK(ReconciliationData[[#This Row],[End_Date]])),ReconciliationData[[#This Row],[Order_Date]]&gt;ReconciliationData[[#This Row],[End_Date]]),1,0)</f>
        <v>0</v>
      </c>
      <c r="U2549">
        <f>IF(AND(NOT(ISBLANK(ReconciliationData[[#This Row],[last_return_date]])),ReconciliationData[[#This Row],[last_return_date]]&gt;ReconciliationData[[#This Row],[Order_Date]]+60),1,0)</f>
        <v>0</v>
      </c>
      <c r="V2549">
        <f>IF(ReconciliationData[[#This Row],[total_returned_units]]&gt;ReconciliationData[[#This Row],[ordered_units]],1,0)</f>
        <v>0</v>
      </c>
      <c r="W25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49">
        <f>ReconciliationData[[#This Row],[Billed_Units]]*ReconciliationData[[#This Row],[Billed_Price]]</f>
        <v>100593.44259999999</v>
      </c>
      <c r="Y2549">
        <f>ReconciliationData[[#This Row],[ordered_units]]*ReconciliationData[[#This Row],[List_Price]]</f>
        <v>100593.44259999999</v>
      </c>
      <c r="Z2549">
        <f>ReconciliationData[[#This Row],[billed_revenue]]-ReconciliationData[[#This Row],[expected_revenue]]</f>
        <v>0</v>
      </c>
      <c r="AA25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49" t="str">
        <f>IF(ReconciliationData[[#This Row],[severity_score]]=0,"LOW",
 IF(ReconciliationData[[#This Row],[severity_score]]&lt;=5,"MEDIUM","HIGH"))</f>
        <v>LOW</v>
      </c>
      <c r="AC2549" t="str">
        <f>TEXT(ReconciliationData[[#This Row],[Order_Date]],"YYYY-MM")</f>
        <v>2024-09</v>
      </c>
    </row>
    <row r="2550" spans="1:29">
      <c r="A2550" t="s">
        <v>6298</v>
      </c>
      <c r="B2550" s="1">
        <v>45083</v>
      </c>
      <c r="C2550" t="s">
        <v>1036</v>
      </c>
      <c r="D2550" t="s">
        <v>1003</v>
      </c>
      <c r="E2550">
        <v>32</v>
      </c>
      <c r="F2550" t="s">
        <v>6299</v>
      </c>
      <c r="G2550">
        <v>32</v>
      </c>
      <c r="H2550">
        <v>825.13580000000002</v>
      </c>
      <c r="N2550">
        <v>825.13580000000002</v>
      </c>
      <c r="O2550" s="1">
        <v>44998</v>
      </c>
      <c r="P2550">
        <f>IF(ISBLANK(ReconciliationData[[#This Row],[Invoice_ID]]),1,0)</f>
        <v>0</v>
      </c>
      <c r="Q2550">
        <f>IF(AND(NOT(ISBLANK(ReconciliationData[[#This Row],[Billed_Units]])),ReconciliationData[[#This Row],[ordered_units]]&lt;&gt;ReconciliationData[[#This Row],[Billed_Units]]),1,0)</f>
        <v>0</v>
      </c>
      <c r="R25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0">
        <f>IF(AND(NOT(ISBLANK(ReconciliationData[[#This Row],[Contract_Price]])),ReconciliationData[[#This Row],[Billed_Price]]&lt;&gt;ReconciliationData[[#This Row],[Contract_Price]]),1,0)</f>
        <v>0</v>
      </c>
      <c r="T2550">
        <f>IF(AND(NOT(ISBLANK(ReconciliationData[[#This Row],[End_Date]])),ReconciliationData[[#This Row],[Order_Date]]&gt;ReconciliationData[[#This Row],[End_Date]]),1,0)</f>
        <v>0</v>
      </c>
      <c r="U2550">
        <f>IF(AND(NOT(ISBLANK(ReconciliationData[[#This Row],[last_return_date]])),ReconciliationData[[#This Row],[last_return_date]]&gt;ReconciliationData[[#This Row],[Order_Date]]+60),1,0)</f>
        <v>0</v>
      </c>
      <c r="V2550">
        <f>IF(ReconciliationData[[#This Row],[total_returned_units]]&gt;ReconciliationData[[#This Row],[ordered_units]],1,0)</f>
        <v>0</v>
      </c>
      <c r="W25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0">
        <f>ReconciliationData[[#This Row],[Billed_Units]]*ReconciliationData[[#This Row],[Billed_Price]]</f>
        <v>26404.345600000001</v>
      </c>
      <c r="Y2550">
        <f>ReconciliationData[[#This Row],[ordered_units]]*ReconciliationData[[#This Row],[List_Price]]</f>
        <v>26404.345600000001</v>
      </c>
      <c r="Z2550">
        <f>ReconciliationData[[#This Row],[billed_revenue]]-ReconciliationData[[#This Row],[expected_revenue]]</f>
        <v>0</v>
      </c>
      <c r="AA25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0" t="str">
        <f>IF(ReconciliationData[[#This Row],[severity_score]]=0,"LOW",
 IF(ReconciliationData[[#This Row],[severity_score]]&lt;=5,"MEDIUM","HIGH"))</f>
        <v>LOW</v>
      </c>
      <c r="AC2550" t="str">
        <f>TEXT(ReconciliationData[[#This Row],[Order_Date]],"YYYY-MM")</f>
        <v>2023-06</v>
      </c>
    </row>
    <row r="2551" spans="1:29">
      <c r="A2551" t="s">
        <v>6300</v>
      </c>
      <c r="B2551" s="1">
        <v>45627</v>
      </c>
      <c r="C2551" t="s">
        <v>1064</v>
      </c>
      <c r="D2551" t="s">
        <v>544</v>
      </c>
      <c r="E2551">
        <v>21</v>
      </c>
      <c r="F2551" t="s">
        <v>6301</v>
      </c>
      <c r="G2551">
        <v>21</v>
      </c>
      <c r="H2551">
        <v>765.52319999999997</v>
      </c>
      <c r="N2551">
        <v>765.52319999999997</v>
      </c>
      <c r="O2551" s="1">
        <v>45174</v>
      </c>
      <c r="P2551">
        <f>IF(ISBLANK(ReconciliationData[[#This Row],[Invoice_ID]]),1,0)</f>
        <v>0</v>
      </c>
      <c r="Q2551">
        <f>IF(AND(NOT(ISBLANK(ReconciliationData[[#This Row],[Billed_Units]])),ReconciliationData[[#This Row],[ordered_units]]&lt;&gt;ReconciliationData[[#This Row],[Billed_Units]]),1,0)</f>
        <v>0</v>
      </c>
      <c r="R25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1">
        <f>IF(AND(NOT(ISBLANK(ReconciliationData[[#This Row],[Contract_Price]])),ReconciliationData[[#This Row],[Billed_Price]]&lt;&gt;ReconciliationData[[#This Row],[Contract_Price]]),1,0)</f>
        <v>0</v>
      </c>
      <c r="T2551">
        <f>IF(AND(NOT(ISBLANK(ReconciliationData[[#This Row],[End_Date]])),ReconciliationData[[#This Row],[Order_Date]]&gt;ReconciliationData[[#This Row],[End_Date]]),1,0)</f>
        <v>0</v>
      </c>
      <c r="U2551">
        <f>IF(AND(NOT(ISBLANK(ReconciliationData[[#This Row],[last_return_date]])),ReconciliationData[[#This Row],[last_return_date]]&gt;ReconciliationData[[#This Row],[Order_Date]]+60),1,0)</f>
        <v>0</v>
      </c>
      <c r="V2551">
        <f>IF(ReconciliationData[[#This Row],[total_returned_units]]&gt;ReconciliationData[[#This Row],[ordered_units]],1,0)</f>
        <v>0</v>
      </c>
      <c r="W25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1">
        <f>ReconciliationData[[#This Row],[Billed_Units]]*ReconciliationData[[#This Row],[Billed_Price]]</f>
        <v>16075.9872</v>
      </c>
      <c r="Y2551">
        <f>ReconciliationData[[#This Row],[ordered_units]]*ReconciliationData[[#This Row],[List_Price]]</f>
        <v>16075.9872</v>
      </c>
      <c r="Z2551">
        <f>ReconciliationData[[#This Row],[billed_revenue]]-ReconciliationData[[#This Row],[expected_revenue]]</f>
        <v>0</v>
      </c>
      <c r="AA25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1" t="str">
        <f>IF(ReconciliationData[[#This Row],[severity_score]]=0,"LOW",
 IF(ReconciliationData[[#This Row],[severity_score]]&lt;=5,"MEDIUM","HIGH"))</f>
        <v>LOW</v>
      </c>
      <c r="AC2551" t="str">
        <f>TEXT(ReconciliationData[[#This Row],[Order_Date]],"YYYY-MM")</f>
        <v>2024-12</v>
      </c>
    </row>
    <row r="2552" spans="1:29">
      <c r="A2552" t="s">
        <v>6302</v>
      </c>
      <c r="B2552" s="1">
        <v>45141</v>
      </c>
      <c r="C2552" t="s">
        <v>1984</v>
      </c>
      <c r="D2552" t="s">
        <v>1188</v>
      </c>
      <c r="E2552">
        <v>106</v>
      </c>
      <c r="F2552" t="s">
        <v>6303</v>
      </c>
      <c r="G2552">
        <v>106</v>
      </c>
      <c r="H2552">
        <v>73.305100000000024</v>
      </c>
      <c r="N2552">
        <v>73.305100000000024</v>
      </c>
      <c r="O2552" s="1">
        <v>45046</v>
      </c>
      <c r="P2552">
        <f>IF(ISBLANK(ReconciliationData[[#This Row],[Invoice_ID]]),1,0)</f>
        <v>0</v>
      </c>
      <c r="Q2552">
        <f>IF(AND(NOT(ISBLANK(ReconciliationData[[#This Row],[Billed_Units]])),ReconciliationData[[#This Row],[ordered_units]]&lt;&gt;ReconciliationData[[#This Row],[Billed_Units]]),1,0)</f>
        <v>0</v>
      </c>
      <c r="R25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2">
        <f>IF(AND(NOT(ISBLANK(ReconciliationData[[#This Row],[Contract_Price]])),ReconciliationData[[#This Row],[Billed_Price]]&lt;&gt;ReconciliationData[[#This Row],[Contract_Price]]),1,0)</f>
        <v>0</v>
      </c>
      <c r="T2552">
        <f>IF(AND(NOT(ISBLANK(ReconciliationData[[#This Row],[End_Date]])),ReconciliationData[[#This Row],[Order_Date]]&gt;ReconciliationData[[#This Row],[End_Date]]),1,0)</f>
        <v>0</v>
      </c>
      <c r="U2552">
        <f>IF(AND(NOT(ISBLANK(ReconciliationData[[#This Row],[last_return_date]])),ReconciliationData[[#This Row],[last_return_date]]&gt;ReconciliationData[[#This Row],[Order_Date]]+60),1,0)</f>
        <v>0</v>
      </c>
      <c r="V2552">
        <f>IF(ReconciliationData[[#This Row],[total_returned_units]]&gt;ReconciliationData[[#This Row],[ordered_units]],1,0)</f>
        <v>0</v>
      </c>
      <c r="W25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2">
        <f>ReconciliationData[[#This Row],[Billed_Units]]*ReconciliationData[[#This Row],[Billed_Price]]</f>
        <v>7770.3406000000023</v>
      </c>
      <c r="Y2552">
        <f>ReconciliationData[[#This Row],[ordered_units]]*ReconciliationData[[#This Row],[List_Price]]</f>
        <v>7770.3406000000023</v>
      </c>
      <c r="Z2552">
        <f>ReconciliationData[[#This Row],[billed_revenue]]-ReconciliationData[[#This Row],[expected_revenue]]</f>
        <v>0</v>
      </c>
      <c r="AA25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2" t="str">
        <f>IF(ReconciliationData[[#This Row],[severity_score]]=0,"LOW",
 IF(ReconciliationData[[#This Row],[severity_score]]&lt;=5,"MEDIUM","HIGH"))</f>
        <v>LOW</v>
      </c>
      <c r="AC2552" t="str">
        <f>TEXT(ReconciliationData[[#This Row],[Order_Date]],"YYYY-MM")</f>
        <v>2023-08</v>
      </c>
    </row>
    <row r="2553" spans="1:29">
      <c r="A2553" t="s">
        <v>6304</v>
      </c>
      <c r="B2553" s="1">
        <v>44964</v>
      </c>
      <c r="C2553" t="s">
        <v>2207</v>
      </c>
      <c r="D2553" t="s">
        <v>1171</v>
      </c>
      <c r="E2553">
        <v>106</v>
      </c>
      <c r="F2553" t="s">
        <v>6305</v>
      </c>
      <c r="G2553">
        <v>106</v>
      </c>
      <c r="H2553">
        <v>452.32560000000001</v>
      </c>
      <c r="N2553">
        <v>452.32560000000001</v>
      </c>
      <c r="O2553" s="1">
        <v>44883</v>
      </c>
      <c r="P2553">
        <f>IF(ISBLANK(ReconciliationData[[#This Row],[Invoice_ID]]),1,0)</f>
        <v>0</v>
      </c>
      <c r="Q2553">
        <f>IF(AND(NOT(ISBLANK(ReconciliationData[[#This Row],[Billed_Units]])),ReconciliationData[[#This Row],[ordered_units]]&lt;&gt;ReconciliationData[[#This Row],[Billed_Units]]),1,0)</f>
        <v>0</v>
      </c>
      <c r="R25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3">
        <f>IF(AND(NOT(ISBLANK(ReconciliationData[[#This Row],[Contract_Price]])),ReconciliationData[[#This Row],[Billed_Price]]&lt;&gt;ReconciliationData[[#This Row],[Contract_Price]]),1,0)</f>
        <v>0</v>
      </c>
      <c r="T2553">
        <f>IF(AND(NOT(ISBLANK(ReconciliationData[[#This Row],[End_Date]])),ReconciliationData[[#This Row],[Order_Date]]&gt;ReconciliationData[[#This Row],[End_Date]]),1,0)</f>
        <v>0</v>
      </c>
      <c r="U2553">
        <f>IF(AND(NOT(ISBLANK(ReconciliationData[[#This Row],[last_return_date]])),ReconciliationData[[#This Row],[last_return_date]]&gt;ReconciliationData[[#This Row],[Order_Date]]+60),1,0)</f>
        <v>0</v>
      </c>
      <c r="V2553">
        <f>IF(ReconciliationData[[#This Row],[total_returned_units]]&gt;ReconciliationData[[#This Row],[ordered_units]],1,0)</f>
        <v>0</v>
      </c>
      <c r="W25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3">
        <f>ReconciliationData[[#This Row],[Billed_Units]]*ReconciliationData[[#This Row],[Billed_Price]]</f>
        <v>47946.513599999998</v>
      </c>
      <c r="Y2553">
        <f>ReconciliationData[[#This Row],[ordered_units]]*ReconciliationData[[#This Row],[List_Price]]</f>
        <v>47946.513599999998</v>
      </c>
      <c r="Z2553">
        <f>ReconciliationData[[#This Row],[billed_revenue]]-ReconciliationData[[#This Row],[expected_revenue]]</f>
        <v>0</v>
      </c>
      <c r="AA25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3" t="str">
        <f>IF(ReconciliationData[[#This Row],[severity_score]]=0,"LOW",
 IF(ReconciliationData[[#This Row],[severity_score]]&lt;=5,"MEDIUM","HIGH"))</f>
        <v>LOW</v>
      </c>
      <c r="AC2553" t="str">
        <f>TEXT(ReconciliationData[[#This Row],[Order_Date]],"YYYY-MM")</f>
        <v>2023-02</v>
      </c>
    </row>
    <row r="2554" spans="1:29">
      <c r="A2554" t="s">
        <v>6306</v>
      </c>
      <c r="B2554" s="1">
        <v>45036</v>
      </c>
      <c r="C2554" t="s">
        <v>3912</v>
      </c>
      <c r="D2554" t="s">
        <v>533</v>
      </c>
      <c r="E2554">
        <v>163</v>
      </c>
      <c r="F2554" t="s">
        <v>6307</v>
      </c>
      <c r="G2554">
        <v>163</v>
      </c>
      <c r="H2554">
        <v>859.25750000000005</v>
      </c>
      <c r="N2554">
        <v>859.25750000000005</v>
      </c>
      <c r="O2554" s="1">
        <v>44782</v>
      </c>
      <c r="P2554">
        <f>IF(ISBLANK(ReconciliationData[[#This Row],[Invoice_ID]]),1,0)</f>
        <v>0</v>
      </c>
      <c r="Q2554">
        <f>IF(AND(NOT(ISBLANK(ReconciliationData[[#This Row],[Billed_Units]])),ReconciliationData[[#This Row],[ordered_units]]&lt;&gt;ReconciliationData[[#This Row],[Billed_Units]]),1,0)</f>
        <v>0</v>
      </c>
      <c r="R25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4">
        <f>IF(AND(NOT(ISBLANK(ReconciliationData[[#This Row],[Contract_Price]])),ReconciliationData[[#This Row],[Billed_Price]]&lt;&gt;ReconciliationData[[#This Row],[Contract_Price]]),1,0)</f>
        <v>0</v>
      </c>
      <c r="T2554">
        <f>IF(AND(NOT(ISBLANK(ReconciliationData[[#This Row],[End_Date]])),ReconciliationData[[#This Row],[Order_Date]]&gt;ReconciliationData[[#This Row],[End_Date]]),1,0)</f>
        <v>0</v>
      </c>
      <c r="U2554">
        <f>IF(AND(NOT(ISBLANK(ReconciliationData[[#This Row],[last_return_date]])),ReconciliationData[[#This Row],[last_return_date]]&gt;ReconciliationData[[#This Row],[Order_Date]]+60),1,0)</f>
        <v>0</v>
      </c>
      <c r="V2554">
        <f>IF(ReconciliationData[[#This Row],[total_returned_units]]&gt;ReconciliationData[[#This Row],[ordered_units]],1,0)</f>
        <v>0</v>
      </c>
      <c r="W25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4">
        <f>ReconciliationData[[#This Row],[Billed_Units]]*ReconciliationData[[#This Row],[Billed_Price]]</f>
        <v>140058.9725</v>
      </c>
      <c r="Y2554">
        <f>ReconciliationData[[#This Row],[ordered_units]]*ReconciliationData[[#This Row],[List_Price]]</f>
        <v>140058.9725</v>
      </c>
      <c r="Z2554">
        <f>ReconciliationData[[#This Row],[billed_revenue]]-ReconciliationData[[#This Row],[expected_revenue]]</f>
        <v>0</v>
      </c>
      <c r="AA25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4" t="str">
        <f>IF(ReconciliationData[[#This Row],[severity_score]]=0,"LOW",
 IF(ReconciliationData[[#This Row],[severity_score]]&lt;=5,"MEDIUM","HIGH"))</f>
        <v>LOW</v>
      </c>
      <c r="AC2554" t="str">
        <f>TEXT(ReconciliationData[[#This Row],[Order_Date]],"YYYY-MM")</f>
        <v>2023-04</v>
      </c>
    </row>
    <row r="2555" spans="1:29">
      <c r="A2555" t="s">
        <v>6308</v>
      </c>
      <c r="B2555" s="1">
        <v>45325</v>
      </c>
      <c r="C2555" t="s">
        <v>429</v>
      </c>
      <c r="D2555" t="s">
        <v>1315</v>
      </c>
      <c r="E2555">
        <v>172</v>
      </c>
      <c r="F2555" t="s">
        <v>6309</v>
      </c>
      <c r="G2555">
        <v>172</v>
      </c>
      <c r="H2555">
        <v>334.24649999999997</v>
      </c>
      <c r="N2555">
        <v>334.24649999999997</v>
      </c>
      <c r="O2555" s="1">
        <v>45125</v>
      </c>
      <c r="P2555">
        <f>IF(ISBLANK(ReconciliationData[[#This Row],[Invoice_ID]]),1,0)</f>
        <v>0</v>
      </c>
      <c r="Q2555">
        <f>IF(AND(NOT(ISBLANK(ReconciliationData[[#This Row],[Billed_Units]])),ReconciliationData[[#This Row],[ordered_units]]&lt;&gt;ReconciliationData[[#This Row],[Billed_Units]]),1,0)</f>
        <v>0</v>
      </c>
      <c r="R25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5">
        <f>IF(AND(NOT(ISBLANK(ReconciliationData[[#This Row],[Contract_Price]])),ReconciliationData[[#This Row],[Billed_Price]]&lt;&gt;ReconciliationData[[#This Row],[Contract_Price]]),1,0)</f>
        <v>0</v>
      </c>
      <c r="T2555">
        <f>IF(AND(NOT(ISBLANK(ReconciliationData[[#This Row],[End_Date]])),ReconciliationData[[#This Row],[Order_Date]]&gt;ReconciliationData[[#This Row],[End_Date]]),1,0)</f>
        <v>0</v>
      </c>
      <c r="U2555">
        <f>IF(AND(NOT(ISBLANK(ReconciliationData[[#This Row],[last_return_date]])),ReconciliationData[[#This Row],[last_return_date]]&gt;ReconciliationData[[#This Row],[Order_Date]]+60),1,0)</f>
        <v>0</v>
      </c>
      <c r="V2555">
        <f>IF(ReconciliationData[[#This Row],[total_returned_units]]&gt;ReconciliationData[[#This Row],[ordered_units]],1,0)</f>
        <v>0</v>
      </c>
      <c r="W25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5">
        <f>ReconciliationData[[#This Row],[Billed_Units]]*ReconciliationData[[#This Row],[Billed_Price]]</f>
        <v>57490.397999999994</v>
      </c>
      <c r="Y2555">
        <f>ReconciliationData[[#This Row],[ordered_units]]*ReconciliationData[[#This Row],[List_Price]]</f>
        <v>57490.397999999994</v>
      </c>
      <c r="Z2555">
        <f>ReconciliationData[[#This Row],[billed_revenue]]-ReconciliationData[[#This Row],[expected_revenue]]</f>
        <v>0</v>
      </c>
      <c r="AA25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5" t="str">
        <f>IF(ReconciliationData[[#This Row],[severity_score]]=0,"LOW",
 IF(ReconciliationData[[#This Row],[severity_score]]&lt;=5,"MEDIUM","HIGH"))</f>
        <v>LOW</v>
      </c>
      <c r="AC2555" t="str">
        <f>TEXT(ReconciliationData[[#This Row],[Order_Date]],"YYYY-MM")</f>
        <v>2024-02</v>
      </c>
    </row>
    <row r="2556" spans="1:29">
      <c r="A2556" t="s">
        <v>6310</v>
      </c>
      <c r="B2556" s="1">
        <v>45634</v>
      </c>
      <c r="C2556" t="s">
        <v>3084</v>
      </c>
      <c r="D2556" t="s">
        <v>1385</v>
      </c>
      <c r="E2556">
        <v>42</v>
      </c>
      <c r="F2556" t="s">
        <v>6311</v>
      </c>
      <c r="G2556">
        <v>42</v>
      </c>
      <c r="H2556">
        <v>287.90559999999999</v>
      </c>
      <c r="N2556">
        <v>287.90559999999999</v>
      </c>
      <c r="O2556" s="1">
        <v>45224</v>
      </c>
      <c r="P2556">
        <f>IF(ISBLANK(ReconciliationData[[#This Row],[Invoice_ID]]),1,0)</f>
        <v>0</v>
      </c>
      <c r="Q2556">
        <f>IF(AND(NOT(ISBLANK(ReconciliationData[[#This Row],[Billed_Units]])),ReconciliationData[[#This Row],[ordered_units]]&lt;&gt;ReconciliationData[[#This Row],[Billed_Units]]),1,0)</f>
        <v>0</v>
      </c>
      <c r="R25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6">
        <f>IF(AND(NOT(ISBLANK(ReconciliationData[[#This Row],[Contract_Price]])),ReconciliationData[[#This Row],[Billed_Price]]&lt;&gt;ReconciliationData[[#This Row],[Contract_Price]]),1,0)</f>
        <v>0</v>
      </c>
      <c r="T2556">
        <f>IF(AND(NOT(ISBLANK(ReconciliationData[[#This Row],[End_Date]])),ReconciliationData[[#This Row],[Order_Date]]&gt;ReconciliationData[[#This Row],[End_Date]]),1,0)</f>
        <v>0</v>
      </c>
      <c r="U2556">
        <f>IF(AND(NOT(ISBLANK(ReconciliationData[[#This Row],[last_return_date]])),ReconciliationData[[#This Row],[last_return_date]]&gt;ReconciliationData[[#This Row],[Order_Date]]+60),1,0)</f>
        <v>0</v>
      </c>
      <c r="V2556">
        <f>IF(ReconciliationData[[#This Row],[total_returned_units]]&gt;ReconciliationData[[#This Row],[ordered_units]],1,0)</f>
        <v>0</v>
      </c>
      <c r="W25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6">
        <f>ReconciliationData[[#This Row],[Billed_Units]]*ReconciliationData[[#This Row],[Billed_Price]]</f>
        <v>12092.0352</v>
      </c>
      <c r="Y2556">
        <f>ReconciliationData[[#This Row],[ordered_units]]*ReconciliationData[[#This Row],[List_Price]]</f>
        <v>12092.0352</v>
      </c>
      <c r="Z2556">
        <f>ReconciliationData[[#This Row],[billed_revenue]]-ReconciliationData[[#This Row],[expected_revenue]]</f>
        <v>0</v>
      </c>
      <c r="AA25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6" t="str">
        <f>IF(ReconciliationData[[#This Row],[severity_score]]=0,"LOW",
 IF(ReconciliationData[[#This Row],[severity_score]]&lt;=5,"MEDIUM","HIGH"))</f>
        <v>LOW</v>
      </c>
      <c r="AC2556" t="str">
        <f>TEXT(ReconciliationData[[#This Row],[Order_Date]],"YYYY-MM")</f>
        <v>2024-12</v>
      </c>
    </row>
    <row r="2557" spans="1:29">
      <c r="A2557" t="s">
        <v>6312</v>
      </c>
      <c r="B2557" s="1">
        <v>45237</v>
      </c>
      <c r="C2557" t="s">
        <v>444</v>
      </c>
      <c r="D2557" t="s">
        <v>522</v>
      </c>
      <c r="E2557">
        <v>164</v>
      </c>
      <c r="F2557" t="s">
        <v>6313</v>
      </c>
      <c r="G2557">
        <v>164</v>
      </c>
      <c r="H2557">
        <v>826.46400000000006</v>
      </c>
      <c r="N2557">
        <v>826.46400000000006</v>
      </c>
      <c r="O2557" s="1">
        <v>45128</v>
      </c>
      <c r="P2557">
        <f>IF(ISBLANK(ReconciliationData[[#This Row],[Invoice_ID]]),1,0)</f>
        <v>0</v>
      </c>
      <c r="Q2557">
        <f>IF(AND(NOT(ISBLANK(ReconciliationData[[#This Row],[Billed_Units]])),ReconciliationData[[#This Row],[ordered_units]]&lt;&gt;ReconciliationData[[#This Row],[Billed_Units]]),1,0)</f>
        <v>0</v>
      </c>
      <c r="R25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7">
        <f>IF(AND(NOT(ISBLANK(ReconciliationData[[#This Row],[Contract_Price]])),ReconciliationData[[#This Row],[Billed_Price]]&lt;&gt;ReconciliationData[[#This Row],[Contract_Price]]),1,0)</f>
        <v>0</v>
      </c>
      <c r="T2557">
        <f>IF(AND(NOT(ISBLANK(ReconciliationData[[#This Row],[End_Date]])),ReconciliationData[[#This Row],[Order_Date]]&gt;ReconciliationData[[#This Row],[End_Date]]),1,0)</f>
        <v>0</v>
      </c>
      <c r="U2557">
        <f>IF(AND(NOT(ISBLANK(ReconciliationData[[#This Row],[last_return_date]])),ReconciliationData[[#This Row],[last_return_date]]&gt;ReconciliationData[[#This Row],[Order_Date]]+60),1,0)</f>
        <v>0</v>
      </c>
      <c r="V2557">
        <f>IF(ReconciliationData[[#This Row],[total_returned_units]]&gt;ReconciliationData[[#This Row],[ordered_units]],1,0)</f>
        <v>0</v>
      </c>
      <c r="W25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7">
        <f>ReconciliationData[[#This Row],[Billed_Units]]*ReconciliationData[[#This Row],[Billed_Price]]</f>
        <v>135540.09600000002</v>
      </c>
      <c r="Y2557">
        <f>ReconciliationData[[#This Row],[ordered_units]]*ReconciliationData[[#This Row],[List_Price]]</f>
        <v>135540.09600000002</v>
      </c>
      <c r="Z2557">
        <f>ReconciliationData[[#This Row],[billed_revenue]]-ReconciliationData[[#This Row],[expected_revenue]]</f>
        <v>0</v>
      </c>
      <c r="AA25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7" t="str">
        <f>IF(ReconciliationData[[#This Row],[severity_score]]=0,"LOW",
 IF(ReconciliationData[[#This Row],[severity_score]]&lt;=5,"MEDIUM","HIGH"))</f>
        <v>LOW</v>
      </c>
      <c r="AC2557" t="str">
        <f>TEXT(ReconciliationData[[#This Row],[Order_Date]],"YYYY-MM")</f>
        <v>2023-11</v>
      </c>
    </row>
    <row r="2558" spans="1:29">
      <c r="A2558" t="s">
        <v>6314</v>
      </c>
      <c r="B2558" s="1">
        <v>45309</v>
      </c>
      <c r="C2558" t="s">
        <v>290</v>
      </c>
      <c r="D2558" t="s">
        <v>1333</v>
      </c>
      <c r="E2558">
        <v>69</v>
      </c>
      <c r="F2558" t="s">
        <v>6315</v>
      </c>
      <c r="G2558">
        <v>69</v>
      </c>
      <c r="H2558">
        <v>418.93040000000002</v>
      </c>
      <c r="N2558">
        <v>418.93040000000002</v>
      </c>
      <c r="O2558" s="1">
        <v>45214</v>
      </c>
      <c r="P2558">
        <f>IF(ISBLANK(ReconciliationData[[#This Row],[Invoice_ID]]),1,0)</f>
        <v>0</v>
      </c>
      <c r="Q2558">
        <f>IF(AND(NOT(ISBLANK(ReconciliationData[[#This Row],[Billed_Units]])),ReconciliationData[[#This Row],[ordered_units]]&lt;&gt;ReconciliationData[[#This Row],[Billed_Units]]),1,0)</f>
        <v>0</v>
      </c>
      <c r="R25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8">
        <f>IF(AND(NOT(ISBLANK(ReconciliationData[[#This Row],[Contract_Price]])),ReconciliationData[[#This Row],[Billed_Price]]&lt;&gt;ReconciliationData[[#This Row],[Contract_Price]]),1,0)</f>
        <v>0</v>
      </c>
      <c r="T2558">
        <f>IF(AND(NOT(ISBLANK(ReconciliationData[[#This Row],[End_Date]])),ReconciliationData[[#This Row],[Order_Date]]&gt;ReconciliationData[[#This Row],[End_Date]]),1,0)</f>
        <v>0</v>
      </c>
      <c r="U2558">
        <f>IF(AND(NOT(ISBLANK(ReconciliationData[[#This Row],[last_return_date]])),ReconciliationData[[#This Row],[last_return_date]]&gt;ReconciliationData[[#This Row],[Order_Date]]+60),1,0)</f>
        <v>0</v>
      </c>
      <c r="V2558">
        <f>IF(ReconciliationData[[#This Row],[total_returned_units]]&gt;ReconciliationData[[#This Row],[ordered_units]],1,0)</f>
        <v>0</v>
      </c>
      <c r="W25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8">
        <f>ReconciliationData[[#This Row],[Billed_Units]]*ReconciliationData[[#This Row],[Billed_Price]]</f>
        <v>28906.197600000003</v>
      </c>
      <c r="Y2558">
        <f>ReconciliationData[[#This Row],[ordered_units]]*ReconciliationData[[#This Row],[List_Price]]</f>
        <v>28906.197600000003</v>
      </c>
      <c r="Z2558">
        <f>ReconciliationData[[#This Row],[billed_revenue]]-ReconciliationData[[#This Row],[expected_revenue]]</f>
        <v>0</v>
      </c>
      <c r="AA25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8" t="str">
        <f>IF(ReconciliationData[[#This Row],[severity_score]]=0,"LOW",
 IF(ReconciliationData[[#This Row],[severity_score]]&lt;=5,"MEDIUM","HIGH"))</f>
        <v>LOW</v>
      </c>
      <c r="AC2558" t="str">
        <f>TEXT(ReconciliationData[[#This Row],[Order_Date]],"YYYY-MM")</f>
        <v>2024-01</v>
      </c>
    </row>
    <row r="2559" spans="1:29">
      <c r="A2559" t="s">
        <v>6316</v>
      </c>
      <c r="B2559" s="1">
        <v>45245</v>
      </c>
      <c r="C2559" t="s">
        <v>373</v>
      </c>
      <c r="D2559" t="s">
        <v>309</v>
      </c>
      <c r="E2559">
        <v>45</v>
      </c>
      <c r="F2559" t="s">
        <v>6317</v>
      </c>
      <c r="G2559">
        <v>45</v>
      </c>
      <c r="H2559">
        <v>946.74860000000001</v>
      </c>
      <c r="N2559">
        <v>946.74860000000001</v>
      </c>
      <c r="O2559" s="1">
        <v>45038</v>
      </c>
      <c r="P2559">
        <f>IF(ISBLANK(ReconciliationData[[#This Row],[Invoice_ID]]),1,0)</f>
        <v>0</v>
      </c>
      <c r="Q2559">
        <f>IF(AND(NOT(ISBLANK(ReconciliationData[[#This Row],[Billed_Units]])),ReconciliationData[[#This Row],[ordered_units]]&lt;&gt;ReconciliationData[[#This Row],[Billed_Units]]),1,0)</f>
        <v>0</v>
      </c>
      <c r="R25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59">
        <f>IF(AND(NOT(ISBLANK(ReconciliationData[[#This Row],[Contract_Price]])),ReconciliationData[[#This Row],[Billed_Price]]&lt;&gt;ReconciliationData[[#This Row],[Contract_Price]]),1,0)</f>
        <v>0</v>
      </c>
      <c r="T2559">
        <f>IF(AND(NOT(ISBLANK(ReconciliationData[[#This Row],[End_Date]])),ReconciliationData[[#This Row],[Order_Date]]&gt;ReconciliationData[[#This Row],[End_Date]]),1,0)</f>
        <v>0</v>
      </c>
      <c r="U2559">
        <f>IF(AND(NOT(ISBLANK(ReconciliationData[[#This Row],[last_return_date]])),ReconciliationData[[#This Row],[last_return_date]]&gt;ReconciliationData[[#This Row],[Order_Date]]+60),1,0)</f>
        <v>0</v>
      </c>
      <c r="V2559">
        <f>IF(ReconciliationData[[#This Row],[total_returned_units]]&gt;ReconciliationData[[#This Row],[ordered_units]],1,0)</f>
        <v>0</v>
      </c>
      <c r="W25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59">
        <f>ReconciliationData[[#This Row],[Billed_Units]]*ReconciliationData[[#This Row],[Billed_Price]]</f>
        <v>42603.686999999998</v>
      </c>
      <c r="Y2559">
        <f>ReconciliationData[[#This Row],[ordered_units]]*ReconciliationData[[#This Row],[List_Price]]</f>
        <v>42603.686999999998</v>
      </c>
      <c r="Z2559">
        <f>ReconciliationData[[#This Row],[billed_revenue]]-ReconciliationData[[#This Row],[expected_revenue]]</f>
        <v>0</v>
      </c>
      <c r="AA25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59" t="str">
        <f>IF(ReconciliationData[[#This Row],[severity_score]]=0,"LOW",
 IF(ReconciliationData[[#This Row],[severity_score]]&lt;=5,"MEDIUM","HIGH"))</f>
        <v>LOW</v>
      </c>
      <c r="AC2559" t="str">
        <f>TEXT(ReconciliationData[[#This Row],[Order_Date]],"YYYY-MM")</f>
        <v>2023-11</v>
      </c>
    </row>
    <row r="2560" spans="1:29">
      <c r="A2560" t="s">
        <v>6318</v>
      </c>
      <c r="B2560" s="1">
        <v>45548</v>
      </c>
      <c r="C2560" t="s">
        <v>274</v>
      </c>
      <c r="D2560" t="s">
        <v>2023</v>
      </c>
      <c r="E2560">
        <v>56</v>
      </c>
      <c r="F2560" t="s">
        <v>6319</v>
      </c>
      <c r="G2560">
        <v>56</v>
      </c>
      <c r="H2560">
        <v>510.27839999999998</v>
      </c>
      <c r="N2560">
        <v>510.27839999999998</v>
      </c>
      <c r="O2560" s="1">
        <v>45127</v>
      </c>
      <c r="P2560">
        <f>IF(ISBLANK(ReconciliationData[[#This Row],[Invoice_ID]]),1,0)</f>
        <v>0</v>
      </c>
      <c r="Q2560">
        <f>IF(AND(NOT(ISBLANK(ReconciliationData[[#This Row],[Billed_Units]])),ReconciliationData[[#This Row],[ordered_units]]&lt;&gt;ReconciliationData[[#This Row],[Billed_Units]]),1,0)</f>
        <v>0</v>
      </c>
      <c r="R25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0">
        <f>IF(AND(NOT(ISBLANK(ReconciliationData[[#This Row],[Contract_Price]])),ReconciliationData[[#This Row],[Billed_Price]]&lt;&gt;ReconciliationData[[#This Row],[Contract_Price]]),1,0)</f>
        <v>0</v>
      </c>
      <c r="T2560">
        <f>IF(AND(NOT(ISBLANK(ReconciliationData[[#This Row],[End_Date]])),ReconciliationData[[#This Row],[Order_Date]]&gt;ReconciliationData[[#This Row],[End_Date]]),1,0)</f>
        <v>0</v>
      </c>
      <c r="U2560">
        <f>IF(AND(NOT(ISBLANK(ReconciliationData[[#This Row],[last_return_date]])),ReconciliationData[[#This Row],[last_return_date]]&gt;ReconciliationData[[#This Row],[Order_Date]]+60),1,0)</f>
        <v>0</v>
      </c>
      <c r="V2560">
        <f>IF(ReconciliationData[[#This Row],[total_returned_units]]&gt;ReconciliationData[[#This Row],[ordered_units]],1,0)</f>
        <v>0</v>
      </c>
      <c r="W25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60">
        <f>ReconciliationData[[#This Row],[Billed_Units]]*ReconciliationData[[#This Row],[Billed_Price]]</f>
        <v>28575.590399999997</v>
      </c>
      <c r="Y2560">
        <f>ReconciliationData[[#This Row],[ordered_units]]*ReconciliationData[[#This Row],[List_Price]]</f>
        <v>28575.590399999997</v>
      </c>
      <c r="Z2560">
        <f>ReconciliationData[[#This Row],[billed_revenue]]-ReconciliationData[[#This Row],[expected_revenue]]</f>
        <v>0</v>
      </c>
      <c r="AA25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60" t="str">
        <f>IF(ReconciliationData[[#This Row],[severity_score]]=0,"LOW",
 IF(ReconciliationData[[#This Row],[severity_score]]&lt;=5,"MEDIUM","HIGH"))</f>
        <v>LOW</v>
      </c>
      <c r="AC2560" t="str">
        <f>TEXT(ReconciliationData[[#This Row],[Order_Date]],"YYYY-MM")</f>
        <v>2024-09</v>
      </c>
    </row>
    <row r="2561" spans="1:29">
      <c r="A2561" t="s">
        <v>6320</v>
      </c>
      <c r="B2561" s="1">
        <v>45230</v>
      </c>
      <c r="C2561" t="s">
        <v>3979</v>
      </c>
      <c r="D2561" t="s">
        <v>667</v>
      </c>
      <c r="E2561">
        <v>134</v>
      </c>
      <c r="F2561" t="s">
        <v>6321</v>
      </c>
      <c r="G2561">
        <v>134</v>
      </c>
      <c r="H2561">
        <v>989.96579999999994</v>
      </c>
      <c r="N2561">
        <v>989.96579999999994</v>
      </c>
      <c r="O2561" s="1">
        <v>44975</v>
      </c>
      <c r="P2561">
        <f>IF(ISBLANK(ReconciliationData[[#This Row],[Invoice_ID]]),1,0)</f>
        <v>0</v>
      </c>
      <c r="Q2561">
        <f>IF(AND(NOT(ISBLANK(ReconciliationData[[#This Row],[Billed_Units]])),ReconciliationData[[#This Row],[ordered_units]]&lt;&gt;ReconciliationData[[#This Row],[Billed_Units]]),1,0)</f>
        <v>0</v>
      </c>
      <c r="R25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1">
        <f>IF(AND(NOT(ISBLANK(ReconciliationData[[#This Row],[Contract_Price]])),ReconciliationData[[#This Row],[Billed_Price]]&lt;&gt;ReconciliationData[[#This Row],[Contract_Price]]),1,0)</f>
        <v>0</v>
      </c>
      <c r="T2561">
        <f>IF(AND(NOT(ISBLANK(ReconciliationData[[#This Row],[End_Date]])),ReconciliationData[[#This Row],[Order_Date]]&gt;ReconciliationData[[#This Row],[End_Date]]),1,0)</f>
        <v>0</v>
      </c>
      <c r="U2561">
        <f>IF(AND(NOT(ISBLANK(ReconciliationData[[#This Row],[last_return_date]])),ReconciliationData[[#This Row],[last_return_date]]&gt;ReconciliationData[[#This Row],[Order_Date]]+60),1,0)</f>
        <v>0</v>
      </c>
      <c r="V2561">
        <f>IF(ReconciliationData[[#This Row],[total_returned_units]]&gt;ReconciliationData[[#This Row],[ordered_units]],1,0)</f>
        <v>0</v>
      </c>
      <c r="W25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61">
        <f>ReconciliationData[[#This Row],[Billed_Units]]*ReconciliationData[[#This Row],[Billed_Price]]</f>
        <v>132655.4172</v>
      </c>
      <c r="Y2561">
        <f>ReconciliationData[[#This Row],[ordered_units]]*ReconciliationData[[#This Row],[List_Price]]</f>
        <v>132655.4172</v>
      </c>
      <c r="Z2561">
        <f>ReconciliationData[[#This Row],[billed_revenue]]-ReconciliationData[[#This Row],[expected_revenue]]</f>
        <v>0</v>
      </c>
      <c r="AA25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61" t="str">
        <f>IF(ReconciliationData[[#This Row],[severity_score]]=0,"LOW",
 IF(ReconciliationData[[#This Row],[severity_score]]&lt;=5,"MEDIUM","HIGH"))</f>
        <v>LOW</v>
      </c>
      <c r="AC2561" t="str">
        <f>TEXT(ReconciliationData[[#This Row],[Order_Date]],"YYYY-MM")</f>
        <v>2023-10</v>
      </c>
    </row>
    <row r="2562" spans="1:29">
      <c r="A2562" t="s">
        <v>6322</v>
      </c>
      <c r="B2562" s="1">
        <v>45309</v>
      </c>
      <c r="C2562" t="s">
        <v>1789</v>
      </c>
      <c r="D2562" t="s">
        <v>962</v>
      </c>
      <c r="E2562">
        <v>153</v>
      </c>
      <c r="F2562" t="s">
        <v>6323</v>
      </c>
      <c r="G2562">
        <v>153</v>
      </c>
      <c r="H2562">
        <v>709.52</v>
      </c>
      <c r="N2562">
        <v>709.52</v>
      </c>
      <c r="O2562" s="1">
        <v>44952</v>
      </c>
      <c r="P2562">
        <f>IF(ISBLANK(ReconciliationData[[#This Row],[Invoice_ID]]),1,0)</f>
        <v>0</v>
      </c>
      <c r="Q2562">
        <f>IF(AND(NOT(ISBLANK(ReconciliationData[[#This Row],[Billed_Units]])),ReconciliationData[[#This Row],[ordered_units]]&lt;&gt;ReconciliationData[[#This Row],[Billed_Units]]),1,0)</f>
        <v>0</v>
      </c>
      <c r="R25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2">
        <f>IF(AND(NOT(ISBLANK(ReconciliationData[[#This Row],[Contract_Price]])),ReconciliationData[[#This Row],[Billed_Price]]&lt;&gt;ReconciliationData[[#This Row],[Contract_Price]]),1,0)</f>
        <v>0</v>
      </c>
      <c r="T2562">
        <f>IF(AND(NOT(ISBLANK(ReconciliationData[[#This Row],[End_Date]])),ReconciliationData[[#This Row],[Order_Date]]&gt;ReconciliationData[[#This Row],[End_Date]]),1,0)</f>
        <v>0</v>
      </c>
      <c r="U2562">
        <f>IF(AND(NOT(ISBLANK(ReconciliationData[[#This Row],[last_return_date]])),ReconciliationData[[#This Row],[last_return_date]]&gt;ReconciliationData[[#This Row],[Order_Date]]+60),1,0)</f>
        <v>0</v>
      </c>
      <c r="V2562">
        <f>IF(ReconciliationData[[#This Row],[total_returned_units]]&gt;ReconciliationData[[#This Row],[ordered_units]],1,0)</f>
        <v>0</v>
      </c>
      <c r="W25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62">
        <f>ReconciliationData[[#This Row],[Billed_Units]]*ReconciliationData[[#This Row],[Billed_Price]]</f>
        <v>108556.56</v>
      </c>
      <c r="Y2562">
        <f>ReconciliationData[[#This Row],[ordered_units]]*ReconciliationData[[#This Row],[List_Price]]</f>
        <v>108556.56</v>
      </c>
      <c r="Z2562">
        <f>ReconciliationData[[#This Row],[billed_revenue]]-ReconciliationData[[#This Row],[expected_revenue]]</f>
        <v>0</v>
      </c>
      <c r="AA25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62" t="str">
        <f>IF(ReconciliationData[[#This Row],[severity_score]]=0,"LOW",
 IF(ReconciliationData[[#This Row],[severity_score]]&lt;=5,"MEDIUM","HIGH"))</f>
        <v>LOW</v>
      </c>
      <c r="AC2562" t="str">
        <f>TEXT(ReconciliationData[[#This Row],[Order_Date]],"YYYY-MM")</f>
        <v>2024-01</v>
      </c>
    </row>
    <row r="2563" spans="1:29">
      <c r="A2563" t="s">
        <v>6324</v>
      </c>
      <c r="B2563" s="1">
        <v>45501</v>
      </c>
      <c r="C2563" t="s">
        <v>673</v>
      </c>
      <c r="D2563" t="s">
        <v>508</v>
      </c>
      <c r="E2563">
        <v>22</v>
      </c>
      <c r="F2563" t="s">
        <v>6325</v>
      </c>
      <c r="G2563">
        <v>28</v>
      </c>
      <c r="H2563">
        <v>443.27359999999999</v>
      </c>
      <c r="N2563">
        <v>443.27359999999999</v>
      </c>
      <c r="O2563" s="1">
        <v>44972</v>
      </c>
      <c r="P2563">
        <f>IF(ISBLANK(ReconciliationData[[#This Row],[Invoice_ID]]),1,0)</f>
        <v>0</v>
      </c>
      <c r="Q2563">
        <f>IF(AND(NOT(ISBLANK(ReconciliationData[[#This Row],[Billed_Units]])),ReconciliationData[[#This Row],[ordered_units]]&lt;&gt;ReconciliationData[[#This Row],[Billed_Units]]),1,0)</f>
        <v>1</v>
      </c>
      <c r="R25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3">
        <f>IF(AND(NOT(ISBLANK(ReconciliationData[[#This Row],[Contract_Price]])),ReconciliationData[[#This Row],[Billed_Price]]&lt;&gt;ReconciliationData[[#This Row],[Contract_Price]]),1,0)</f>
        <v>0</v>
      </c>
      <c r="T2563">
        <f>IF(AND(NOT(ISBLANK(ReconciliationData[[#This Row],[End_Date]])),ReconciliationData[[#This Row],[Order_Date]]&gt;ReconciliationData[[#This Row],[End_Date]]),1,0)</f>
        <v>0</v>
      </c>
      <c r="U2563">
        <f>IF(AND(NOT(ISBLANK(ReconciliationData[[#This Row],[last_return_date]])),ReconciliationData[[#This Row],[last_return_date]]&gt;ReconciliationData[[#This Row],[Order_Date]]+60),1,0)</f>
        <v>0</v>
      </c>
      <c r="V2563">
        <f>IF(ReconciliationData[[#This Row],[total_returned_units]]&gt;ReconciliationData[[#This Row],[ordered_units]],1,0)</f>
        <v>0</v>
      </c>
      <c r="W25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63">
        <f>ReconciliationData[[#This Row],[Billed_Units]]*ReconciliationData[[#This Row],[Billed_Price]]</f>
        <v>12411.6608</v>
      </c>
      <c r="Y2563">
        <f>ReconciliationData[[#This Row],[ordered_units]]*ReconciliationData[[#This Row],[List_Price]]</f>
        <v>9752.0191999999988</v>
      </c>
      <c r="Z2563">
        <f>ReconciliationData[[#This Row],[billed_revenue]]-ReconciliationData[[#This Row],[expected_revenue]]</f>
        <v>2659.6416000000008</v>
      </c>
      <c r="AA25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563" t="str">
        <f>IF(ReconciliationData[[#This Row],[severity_score]]=0,"LOW",
 IF(ReconciliationData[[#This Row],[severity_score]]&lt;=5,"MEDIUM","HIGH"))</f>
        <v>HIGH</v>
      </c>
      <c r="AC2563" t="str">
        <f>TEXT(ReconciliationData[[#This Row],[Order_Date]],"YYYY-MM")</f>
        <v>2024-07</v>
      </c>
    </row>
    <row r="2564" spans="1:29">
      <c r="A2564" t="s">
        <v>6326</v>
      </c>
      <c r="B2564" s="1">
        <v>45585</v>
      </c>
      <c r="C2564" t="s">
        <v>3949</v>
      </c>
      <c r="D2564" t="s">
        <v>166</v>
      </c>
      <c r="E2564">
        <v>161</v>
      </c>
      <c r="F2564" t="s">
        <v>6327</v>
      </c>
      <c r="G2564">
        <v>161</v>
      </c>
      <c r="H2564">
        <v>376.82319999999999</v>
      </c>
      <c r="N2564">
        <v>376.82319999999999</v>
      </c>
      <c r="O2564" s="1">
        <v>45171</v>
      </c>
      <c r="P2564">
        <f>IF(ISBLANK(ReconciliationData[[#This Row],[Invoice_ID]]),1,0)</f>
        <v>0</v>
      </c>
      <c r="Q2564">
        <f>IF(AND(NOT(ISBLANK(ReconciliationData[[#This Row],[Billed_Units]])),ReconciliationData[[#This Row],[ordered_units]]&lt;&gt;ReconciliationData[[#This Row],[Billed_Units]]),1,0)</f>
        <v>0</v>
      </c>
      <c r="R25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4">
        <f>IF(AND(NOT(ISBLANK(ReconciliationData[[#This Row],[Contract_Price]])),ReconciliationData[[#This Row],[Billed_Price]]&lt;&gt;ReconciliationData[[#This Row],[Contract_Price]]),1,0)</f>
        <v>0</v>
      </c>
      <c r="T2564">
        <f>IF(AND(NOT(ISBLANK(ReconciliationData[[#This Row],[End_Date]])),ReconciliationData[[#This Row],[Order_Date]]&gt;ReconciliationData[[#This Row],[End_Date]]),1,0)</f>
        <v>0</v>
      </c>
      <c r="U2564">
        <f>IF(AND(NOT(ISBLANK(ReconciliationData[[#This Row],[last_return_date]])),ReconciliationData[[#This Row],[last_return_date]]&gt;ReconciliationData[[#This Row],[Order_Date]]+60),1,0)</f>
        <v>0</v>
      </c>
      <c r="V2564">
        <f>IF(ReconciliationData[[#This Row],[total_returned_units]]&gt;ReconciliationData[[#This Row],[ordered_units]],1,0)</f>
        <v>0</v>
      </c>
      <c r="W25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64">
        <f>ReconciliationData[[#This Row],[Billed_Units]]*ReconciliationData[[#This Row],[Billed_Price]]</f>
        <v>60668.535199999998</v>
      </c>
      <c r="Y2564">
        <f>ReconciliationData[[#This Row],[ordered_units]]*ReconciliationData[[#This Row],[List_Price]]</f>
        <v>60668.535199999998</v>
      </c>
      <c r="Z2564">
        <f>ReconciliationData[[#This Row],[billed_revenue]]-ReconciliationData[[#This Row],[expected_revenue]]</f>
        <v>0</v>
      </c>
      <c r="AA25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64" t="str">
        <f>IF(ReconciliationData[[#This Row],[severity_score]]=0,"LOW",
 IF(ReconciliationData[[#This Row],[severity_score]]&lt;=5,"MEDIUM","HIGH"))</f>
        <v>LOW</v>
      </c>
      <c r="AC2564" t="str">
        <f>TEXT(ReconciliationData[[#This Row],[Order_Date]],"YYYY-MM")</f>
        <v>2024-10</v>
      </c>
    </row>
    <row r="2565" spans="1:29">
      <c r="A2565" t="s">
        <v>6328</v>
      </c>
      <c r="B2565" s="1">
        <v>44940</v>
      </c>
      <c r="C2565" t="s">
        <v>486</v>
      </c>
      <c r="D2565" t="s">
        <v>166</v>
      </c>
      <c r="E2565">
        <v>46</v>
      </c>
      <c r="F2565" t="s">
        <v>6329</v>
      </c>
      <c r="G2565">
        <v>46</v>
      </c>
      <c r="H2565">
        <v>365.95330000000001</v>
      </c>
      <c r="N2565">
        <v>365.95330000000001</v>
      </c>
      <c r="O2565" s="1">
        <v>44824</v>
      </c>
      <c r="P2565">
        <f>IF(ISBLANK(ReconciliationData[[#This Row],[Invoice_ID]]),1,0)</f>
        <v>0</v>
      </c>
      <c r="Q2565">
        <f>IF(AND(NOT(ISBLANK(ReconciliationData[[#This Row],[Billed_Units]])),ReconciliationData[[#This Row],[ordered_units]]&lt;&gt;ReconciliationData[[#This Row],[Billed_Units]]),1,0)</f>
        <v>0</v>
      </c>
      <c r="R25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5">
        <f>IF(AND(NOT(ISBLANK(ReconciliationData[[#This Row],[Contract_Price]])),ReconciliationData[[#This Row],[Billed_Price]]&lt;&gt;ReconciliationData[[#This Row],[Contract_Price]]),1,0)</f>
        <v>0</v>
      </c>
      <c r="T2565">
        <f>IF(AND(NOT(ISBLANK(ReconciliationData[[#This Row],[End_Date]])),ReconciliationData[[#This Row],[Order_Date]]&gt;ReconciliationData[[#This Row],[End_Date]]),1,0)</f>
        <v>0</v>
      </c>
      <c r="U2565">
        <f>IF(AND(NOT(ISBLANK(ReconciliationData[[#This Row],[last_return_date]])),ReconciliationData[[#This Row],[last_return_date]]&gt;ReconciliationData[[#This Row],[Order_Date]]+60),1,0)</f>
        <v>0</v>
      </c>
      <c r="V2565">
        <f>IF(ReconciliationData[[#This Row],[total_returned_units]]&gt;ReconciliationData[[#This Row],[ordered_units]],1,0)</f>
        <v>0</v>
      </c>
      <c r="W25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65">
        <f>ReconciliationData[[#This Row],[Billed_Units]]*ReconciliationData[[#This Row],[Billed_Price]]</f>
        <v>16833.8518</v>
      </c>
      <c r="Y2565">
        <f>ReconciliationData[[#This Row],[ordered_units]]*ReconciliationData[[#This Row],[List_Price]]</f>
        <v>16833.8518</v>
      </c>
      <c r="Z2565">
        <f>ReconciliationData[[#This Row],[billed_revenue]]-ReconciliationData[[#This Row],[expected_revenue]]</f>
        <v>0</v>
      </c>
      <c r="AA25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65" t="str">
        <f>IF(ReconciliationData[[#This Row],[severity_score]]=0,"LOW",
 IF(ReconciliationData[[#This Row],[severity_score]]&lt;=5,"MEDIUM","HIGH"))</f>
        <v>LOW</v>
      </c>
      <c r="AC2565" t="str">
        <f>TEXT(ReconciliationData[[#This Row],[Order_Date]],"YYYY-MM")</f>
        <v>2023-01</v>
      </c>
    </row>
    <row r="2566" spans="1:29">
      <c r="A2566" t="s">
        <v>6330</v>
      </c>
      <c r="B2566" s="1">
        <v>45135</v>
      </c>
      <c r="C2566" t="s">
        <v>1223</v>
      </c>
      <c r="D2566" t="s">
        <v>732</v>
      </c>
      <c r="E2566">
        <v>72</v>
      </c>
      <c r="F2566" t="s">
        <v>6331</v>
      </c>
      <c r="G2566">
        <v>72</v>
      </c>
      <c r="H2566">
        <v>440.38799999999998</v>
      </c>
      <c r="I2566">
        <v>5</v>
      </c>
      <c r="J2566" s="1">
        <v>45389</v>
      </c>
      <c r="N2566">
        <v>440.38799999999998</v>
      </c>
      <c r="O2566" s="1">
        <v>45016</v>
      </c>
      <c r="P2566">
        <f>IF(ISBLANK(ReconciliationData[[#This Row],[Invoice_ID]]),1,0)</f>
        <v>0</v>
      </c>
      <c r="Q2566">
        <f>IF(AND(NOT(ISBLANK(ReconciliationData[[#This Row],[Billed_Units]])),ReconciliationData[[#This Row],[ordered_units]]&lt;&gt;ReconciliationData[[#This Row],[Billed_Units]]),1,0)</f>
        <v>0</v>
      </c>
      <c r="R25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6">
        <f>IF(AND(NOT(ISBLANK(ReconciliationData[[#This Row],[Contract_Price]])),ReconciliationData[[#This Row],[Billed_Price]]&lt;&gt;ReconciliationData[[#This Row],[Contract_Price]]),1,0)</f>
        <v>0</v>
      </c>
      <c r="T2566">
        <f>IF(AND(NOT(ISBLANK(ReconciliationData[[#This Row],[End_Date]])),ReconciliationData[[#This Row],[Order_Date]]&gt;ReconciliationData[[#This Row],[End_Date]]),1,0)</f>
        <v>0</v>
      </c>
      <c r="U2566">
        <f>IF(AND(NOT(ISBLANK(ReconciliationData[[#This Row],[last_return_date]])),ReconciliationData[[#This Row],[last_return_date]]&gt;ReconciliationData[[#This Row],[Order_Date]]+60),1,0)</f>
        <v>1</v>
      </c>
      <c r="V2566">
        <f>IF(ReconciliationData[[#This Row],[total_returned_units]]&gt;ReconciliationData[[#This Row],[ordered_units]],1,0)</f>
        <v>0</v>
      </c>
      <c r="W25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66">
        <f>ReconciliationData[[#This Row],[Billed_Units]]*ReconciliationData[[#This Row],[Billed_Price]]</f>
        <v>31707.935999999998</v>
      </c>
      <c r="Y2566">
        <f>ReconciliationData[[#This Row],[ordered_units]]*ReconciliationData[[#This Row],[List_Price]]</f>
        <v>31707.935999999998</v>
      </c>
      <c r="Z2566">
        <f>ReconciliationData[[#This Row],[billed_revenue]]-ReconciliationData[[#This Row],[expected_revenue]]</f>
        <v>0</v>
      </c>
      <c r="AA25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566" t="str">
        <f>IF(ReconciliationData[[#This Row],[severity_score]]=0,"LOW",
 IF(ReconciliationData[[#This Row],[severity_score]]&lt;=5,"MEDIUM","HIGH"))</f>
        <v>MEDIUM</v>
      </c>
      <c r="AC2566" t="str">
        <f>TEXT(ReconciliationData[[#This Row],[Order_Date]],"YYYY-MM")</f>
        <v>2023-07</v>
      </c>
    </row>
    <row r="2567" spans="1:29">
      <c r="A2567" t="s">
        <v>6332</v>
      </c>
      <c r="B2567" s="1">
        <v>45561</v>
      </c>
      <c r="C2567" t="s">
        <v>1270</v>
      </c>
      <c r="D2567" t="s">
        <v>453</v>
      </c>
      <c r="E2567">
        <v>22</v>
      </c>
      <c r="F2567" t="s">
        <v>6333</v>
      </c>
      <c r="G2567">
        <v>22</v>
      </c>
      <c r="H2567">
        <v>1184.9544000000001</v>
      </c>
      <c r="N2567">
        <v>1184.9544000000001</v>
      </c>
      <c r="O2567" s="1">
        <v>45171</v>
      </c>
      <c r="P2567">
        <f>IF(ISBLANK(ReconciliationData[[#This Row],[Invoice_ID]]),1,0)</f>
        <v>0</v>
      </c>
      <c r="Q2567">
        <f>IF(AND(NOT(ISBLANK(ReconciliationData[[#This Row],[Billed_Units]])),ReconciliationData[[#This Row],[ordered_units]]&lt;&gt;ReconciliationData[[#This Row],[Billed_Units]]),1,0)</f>
        <v>0</v>
      </c>
      <c r="R25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7">
        <f>IF(AND(NOT(ISBLANK(ReconciliationData[[#This Row],[Contract_Price]])),ReconciliationData[[#This Row],[Billed_Price]]&lt;&gt;ReconciliationData[[#This Row],[Contract_Price]]),1,0)</f>
        <v>0</v>
      </c>
      <c r="T2567">
        <f>IF(AND(NOT(ISBLANK(ReconciliationData[[#This Row],[End_Date]])),ReconciliationData[[#This Row],[Order_Date]]&gt;ReconciliationData[[#This Row],[End_Date]]),1,0)</f>
        <v>0</v>
      </c>
      <c r="U2567">
        <f>IF(AND(NOT(ISBLANK(ReconciliationData[[#This Row],[last_return_date]])),ReconciliationData[[#This Row],[last_return_date]]&gt;ReconciliationData[[#This Row],[Order_Date]]+60),1,0)</f>
        <v>0</v>
      </c>
      <c r="V2567">
        <f>IF(ReconciliationData[[#This Row],[total_returned_units]]&gt;ReconciliationData[[#This Row],[ordered_units]],1,0)</f>
        <v>0</v>
      </c>
      <c r="W25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67">
        <f>ReconciliationData[[#This Row],[Billed_Units]]*ReconciliationData[[#This Row],[Billed_Price]]</f>
        <v>26068.996800000001</v>
      </c>
      <c r="Y2567">
        <f>ReconciliationData[[#This Row],[ordered_units]]*ReconciliationData[[#This Row],[List_Price]]</f>
        <v>26068.996800000001</v>
      </c>
      <c r="Z2567">
        <f>ReconciliationData[[#This Row],[billed_revenue]]-ReconciliationData[[#This Row],[expected_revenue]]</f>
        <v>0</v>
      </c>
      <c r="AA25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67" t="str">
        <f>IF(ReconciliationData[[#This Row],[severity_score]]=0,"LOW",
 IF(ReconciliationData[[#This Row],[severity_score]]&lt;=5,"MEDIUM","HIGH"))</f>
        <v>LOW</v>
      </c>
      <c r="AC2567" t="str">
        <f>TEXT(ReconciliationData[[#This Row],[Order_Date]],"YYYY-MM")</f>
        <v>2024-09</v>
      </c>
    </row>
    <row r="2568" spans="1:29">
      <c r="A2568" t="s">
        <v>6334</v>
      </c>
      <c r="B2568" s="1">
        <v>45346</v>
      </c>
      <c r="C2568" t="s">
        <v>1944</v>
      </c>
      <c r="D2568" t="s">
        <v>1671</v>
      </c>
      <c r="E2568">
        <v>65</v>
      </c>
      <c r="F2568" t="s">
        <v>6335</v>
      </c>
      <c r="G2568">
        <v>65</v>
      </c>
      <c r="H2568">
        <v>488.43360000000007</v>
      </c>
      <c r="I2568">
        <v>14</v>
      </c>
      <c r="J2568" s="1">
        <v>45068</v>
      </c>
      <c r="N2568">
        <v>488.43360000000007</v>
      </c>
      <c r="O2568" s="1">
        <v>45107</v>
      </c>
      <c r="P2568">
        <f>IF(ISBLANK(ReconciliationData[[#This Row],[Invoice_ID]]),1,0)</f>
        <v>0</v>
      </c>
      <c r="Q2568">
        <f>IF(AND(NOT(ISBLANK(ReconciliationData[[#This Row],[Billed_Units]])),ReconciliationData[[#This Row],[ordered_units]]&lt;&gt;ReconciliationData[[#This Row],[Billed_Units]]),1,0)</f>
        <v>0</v>
      </c>
      <c r="R25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8">
        <f>IF(AND(NOT(ISBLANK(ReconciliationData[[#This Row],[Contract_Price]])),ReconciliationData[[#This Row],[Billed_Price]]&lt;&gt;ReconciliationData[[#This Row],[Contract_Price]]),1,0)</f>
        <v>0</v>
      </c>
      <c r="T2568">
        <f>IF(AND(NOT(ISBLANK(ReconciliationData[[#This Row],[End_Date]])),ReconciliationData[[#This Row],[Order_Date]]&gt;ReconciliationData[[#This Row],[End_Date]]),1,0)</f>
        <v>0</v>
      </c>
      <c r="U2568">
        <f>IF(AND(NOT(ISBLANK(ReconciliationData[[#This Row],[last_return_date]])),ReconciliationData[[#This Row],[last_return_date]]&gt;ReconciliationData[[#This Row],[Order_Date]]+60),1,0)</f>
        <v>0</v>
      </c>
      <c r="V2568">
        <f>IF(ReconciliationData[[#This Row],[total_returned_units]]&gt;ReconciliationData[[#This Row],[ordered_units]],1,0)</f>
        <v>0</v>
      </c>
      <c r="W25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68">
        <f>ReconciliationData[[#This Row],[Billed_Units]]*ReconciliationData[[#This Row],[Billed_Price]]</f>
        <v>31748.184000000005</v>
      </c>
      <c r="Y2568">
        <f>ReconciliationData[[#This Row],[ordered_units]]*ReconciliationData[[#This Row],[List_Price]]</f>
        <v>31748.184000000005</v>
      </c>
      <c r="Z2568">
        <f>ReconciliationData[[#This Row],[billed_revenue]]-ReconciliationData[[#This Row],[expected_revenue]]</f>
        <v>0</v>
      </c>
      <c r="AA25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68" t="str">
        <f>IF(ReconciliationData[[#This Row],[severity_score]]=0,"LOW",
 IF(ReconciliationData[[#This Row],[severity_score]]&lt;=5,"MEDIUM","HIGH"))</f>
        <v>LOW</v>
      </c>
      <c r="AC2568" t="str">
        <f>TEXT(ReconciliationData[[#This Row],[Order_Date]],"YYYY-MM")</f>
        <v>2024-02</v>
      </c>
    </row>
    <row r="2569" spans="1:29">
      <c r="A2569" t="s">
        <v>6336</v>
      </c>
      <c r="B2569" s="1">
        <v>45300</v>
      </c>
      <c r="C2569" t="s">
        <v>2723</v>
      </c>
      <c r="D2569" t="s">
        <v>206</v>
      </c>
      <c r="E2569">
        <v>75</v>
      </c>
      <c r="F2569" t="s">
        <v>6337</v>
      </c>
      <c r="G2569">
        <v>75</v>
      </c>
      <c r="H2569">
        <v>337.47280000000001</v>
      </c>
      <c r="N2569">
        <v>337.47280000000001</v>
      </c>
      <c r="O2569" s="1">
        <v>45171</v>
      </c>
      <c r="P2569">
        <f>IF(ISBLANK(ReconciliationData[[#This Row],[Invoice_ID]]),1,0)</f>
        <v>0</v>
      </c>
      <c r="Q2569">
        <f>IF(AND(NOT(ISBLANK(ReconciliationData[[#This Row],[Billed_Units]])),ReconciliationData[[#This Row],[ordered_units]]&lt;&gt;ReconciliationData[[#This Row],[Billed_Units]]),1,0)</f>
        <v>0</v>
      </c>
      <c r="R25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69">
        <f>IF(AND(NOT(ISBLANK(ReconciliationData[[#This Row],[Contract_Price]])),ReconciliationData[[#This Row],[Billed_Price]]&lt;&gt;ReconciliationData[[#This Row],[Contract_Price]]),1,0)</f>
        <v>0</v>
      </c>
      <c r="T2569">
        <f>IF(AND(NOT(ISBLANK(ReconciliationData[[#This Row],[End_Date]])),ReconciliationData[[#This Row],[Order_Date]]&gt;ReconciliationData[[#This Row],[End_Date]]),1,0)</f>
        <v>0</v>
      </c>
      <c r="U2569">
        <f>IF(AND(NOT(ISBLANK(ReconciliationData[[#This Row],[last_return_date]])),ReconciliationData[[#This Row],[last_return_date]]&gt;ReconciliationData[[#This Row],[Order_Date]]+60),1,0)</f>
        <v>0</v>
      </c>
      <c r="V2569">
        <f>IF(ReconciliationData[[#This Row],[total_returned_units]]&gt;ReconciliationData[[#This Row],[ordered_units]],1,0)</f>
        <v>0</v>
      </c>
      <c r="W25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69">
        <f>ReconciliationData[[#This Row],[Billed_Units]]*ReconciliationData[[#This Row],[Billed_Price]]</f>
        <v>25310.46</v>
      </c>
      <c r="Y2569">
        <f>ReconciliationData[[#This Row],[ordered_units]]*ReconciliationData[[#This Row],[List_Price]]</f>
        <v>25310.46</v>
      </c>
      <c r="Z2569">
        <f>ReconciliationData[[#This Row],[billed_revenue]]-ReconciliationData[[#This Row],[expected_revenue]]</f>
        <v>0</v>
      </c>
      <c r="AA25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69" t="str">
        <f>IF(ReconciliationData[[#This Row],[severity_score]]=0,"LOW",
 IF(ReconciliationData[[#This Row],[severity_score]]&lt;=5,"MEDIUM","HIGH"))</f>
        <v>LOW</v>
      </c>
      <c r="AC2569" t="str">
        <f>TEXT(ReconciliationData[[#This Row],[Order_Date]],"YYYY-MM")</f>
        <v>2024-01</v>
      </c>
    </row>
    <row r="2570" spans="1:29">
      <c r="A2570" t="s">
        <v>6338</v>
      </c>
      <c r="B2570" s="1">
        <v>45089</v>
      </c>
      <c r="C2570" t="s">
        <v>4297</v>
      </c>
      <c r="D2570" t="s">
        <v>537</v>
      </c>
      <c r="E2570">
        <v>91</v>
      </c>
      <c r="F2570" t="s">
        <v>6339</v>
      </c>
      <c r="G2570">
        <v>91</v>
      </c>
      <c r="H2570">
        <v>432.839</v>
      </c>
      <c r="N2570">
        <v>432.839</v>
      </c>
      <c r="O2570" s="1">
        <v>45048</v>
      </c>
      <c r="P2570">
        <f>IF(ISBLANK(ReconciliationData[[#This Row],[Invoice_ID]]),1,0)</f>
        <v>0</v>
      </c>
      <c r="Q2570">
        <f>IF(AND(NOT(ISBLANK(ReconciliationData[[#This Row],[Billed_Units]])),ReconciliationData[[#This Row],[ordered_units]]&lt;&gt;ReconciliationData[[#This Row],[Billed_Units]]),1,0)</f>
        <v>0</v>
      </c>
      <c r="R25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0">
        <f>IF(AND(NOT(ISBLANK(ReconciliationData[[#This Row],[Contract_Price]])),ReconciliationData[[#This Row],[Billed_Price]]&lt;&gt;ReconciliationData[[#This Row],[Contract_Price]]),1,0)</f>
        <v>0</v>
      </c>
      <c r="T2570">
        <f>IF(AND(NOT(ISBLANK(ReconciliationData[[#This Row],[End_Date]])),ReconciliationData[[#This Row],[Order_Date]]&gt;ReconciliationData[[#This Row],[End_Date]]),1,0)</f>
        <v>0</v>
      </c>
      <c r="U2570">
        <f>IF(AND(NOT(ISBLANK(ReconciliationData[[#This Row],[last_return_date]])),ReconciliationData[[#This Row],[last_return_date]]&gt;ReconciliationData[[#This Row],[Order_Date]]+60),1,0)</f>
        <v>0</v>
      </c>
      <c r="V2570">
        <f>IF(ReconciliationData[[#This Row],[total_returned_units]]&gt;ReconciliationData[[#This Row],[ordered_units]],1,0)</f>
        <v>0</v>
      </c>
      <c r="W25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70">
        <f>ReconciliationData[[#This Row],[Billed_Units]]*ReconciliationData[[#This Row],[Billed_Price]]</f>
        <v>39388.349000000002</v>
      </c>
      <c r="Y2570">
        <f>ReconciliationData[[#This Row],[ordered_units]]*ReconciliationData[[#This Row],[List_Price]]</f>
        <v>39388.349000000002</v>
      </c>
      <c r="Z2570">
        <f>ReconciliationData[[#This Row],[billed_revenue]]-ReconciliationData[[#This Row],[expected_revenue]]</f>
        <v>0</v>
      </c>
      <c r="AA25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70" t="str">
        <f>IF(ReconciliationData[[#This Row],[severity_score]]=0,"LOW",
 IF(ReconciliationData[[#This Row],[severity_score]]&lt;=5,"MEDIUM","HIGH"))</f>
        <v>LOW</v>
      </c>
      <c r="AC2570" t="str">
        <f>TEXT(ReconciliationData[[#This Row],[Order_Date]],"YYYY-MM")</f>
        <v>2023-06</v>
      </c>
    </row>
    <row r="2571" spans="1:29">
      <c r="A2571" t="s">
        <v>6340</v>
      </c>
      <c r="B2571" s="1">
        <v>45408</v>
      </c>
      <c r="C2571" t="s">
        <v>2632</v>
      </c>
      <c r="D2571" t="s">
        <v>1309</v>
      </c>
      <c r="E2571">
        <v>111</v>
      </c>
      <c r="F2571" t="s">
        <v>6341</v>
      </c>
      <c r="G2571">
        <v>111</v>
      </c>
      <c r="H2571">
        <v>906.88919999999996</v>
      </c>
      <c r="N2571">
        <v>906.88919999999996</v>
      </c>
      <c r="O2571" s="1">
        <v>44991</v>
      </c>
      <c r="P2571">
        <f>IF(ISBLANK(ReconciliationData[[#This Row],[Invoice_ID]]),1,0)</f>
        <v>0</v>
      </c>
      <c r="Q2571">
        <f>IF(AND(NOT(ISBLANK(ReconciliationData[[#This Row],[Billed_Units]])),ReconciliationData[[#This Row],[ordered_units]]&lt;&gt;ReconciliationData[[#This Row],[Billed_Units]]),1,0)</f>
        <v>0</v>
      </c>
      <c r="R25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1">
        <f>IF(AND(NOT(ISBLANK(ReconciliationData[[#This Row],[Contract_Price]])),ReconciliationData[[#This Row],[Billed_Price]]&lt;&gt;ReconciliationData[[#This Row],[Contract_Price]]),1,0)</f>
        <v>0</v>
      </c>
      <c r="T2571">
        <f>IF(AND(NOT(ISBLANK(ReconciliationData[[#This Row],[End_Date]])),ReconciliationData[[#This Row],[Order_Date]]&gt;ReconciliationData[[#This Row],[End_Date]]),1,0)</f>
        <v>0</v>
      </c>
      <c r="U2571">
        <f>IF(AND(NOT(ISBLANK(ReconciliationData[[#This Row],[last_return_date]])),ReconciliationData[[#This Row],[last_return_date]]&gt;ReconciliationData[[#This Row],[Order_Date]]+60),1,0)</f>
        <v>0</v>
      </c>
      <c r="V2571">
        <f>IF(ReconciliationData[[#This Row],[total_returned_units]]&gt;ReconciliationData[[#This Row],[ordered_units]],1,0)</f>
        <v>0</v>
      </c>
      <c r="W25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71">
        <f>ReconciliationData[[#This Row],[Billed_Units]]*ReconciliationData[[#This Row],[Billed_Price]]</f>
        <v>100664.7012</v>
      </c>
      <c r="Y2571">
        <f>ReconciliationData[[#This Row],[ordered_units]]*ReconciliationData[[#This Row],[List_Price]]</f>
        <v>100664.7012</v>
      </c>
      <c r="Z2571">
        <f>ReconciliationData[[#This Row],[billed_revenue]]-ReconciliationData[[#This Row],[expected_revenue]]</f>
        <v>0</v>
      </c>
      <c r="AA25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71" t="str">
        <f>IF(ReconciliationData[[#This Row],[severity_score]]=0,"LOW",
 IF(ReconciliationData[[#This Row],[severity_score]]&lt;=5,"MEDIUM","HIGH"))</f>
        <v>LOW</v>
      </c>
      <c r="AC2571" t="str">
        <f>TEXT(ReconciliationData[[#This Row],[Order_Date]],"YYYY-MM")</f>
        <v>2024-04</v>
      </c>
    </row>
    <row r="2572" spans="1:29">
      <c r="A2572" t="s">
        <v>6342</v>
      </c>
      <c r="B2572" s="1">
        <v>45082</v>
      </c>
      <c r="C2572" t="s">
        <v>4124</v>
      </c>
      <c r="D2572" t="s">
        <v>317</v>
      </c>
      <c r="E2572">
        <v>85</v>
      </c>
      <c r="F2572" t="s">
        <v>6343</v>
      </c>
      <c r="G2572">
        <v>92</v>
      </c>
      <c r="H2572">
        <v>1015.6622</v>
      </c>
      <c r="N2572">
        <v>1015.6622</v>
      </c>
      <c r="O2572" s="1">
        <v>44797</v>
      </c>
      <c r="P2572">
        <f>IF(ISBLANK(ReconciliationData[[#This Row],[Invoice_ID]]),1,0)</f>
        <v>0</v>
      </c>
      <c r="Q2572">
        <f>IF(AND(NOT(ISBLANK(ReconciliationData[[#This Row],[Billed_Units]])),ReconciliationData[[#This Row],[ordered_units]]&lt;&gt;ReconciliationData[[#This Row],[Billed_Units]]),1,0)</f>
        <v>1</v>
      </c>
      <c r="R25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2">
        <f>IF(AND(NOT(ISBLANK(ReconciliationData[[#This Row],[Contract_Price]])),ReconciliationData[[#This Row],[Billed_Price]]&lt;&gt;ReconciliationData[[#This Row],[Contract_Price]]),1,0)</f>
        <v>0</v>
      </c>
      <c r="T2572">
        <f>IF(AND(NOT(ISBLANK(ReconciliationData[[#This Row],[End_Date]])),ReconciliationData[[#This Row],[Order_Date]]&gt;ReconciliationData[[#This Row],[End_Date]]),1,0)</f>
        <v>0</v>
      </c>
      <c r="U2572">
        <f>IF(AND(NOT(ISBLANK(ReconciliationData[[#This Row],[last_return_date]])),ReconciliationData[[#This Row],[last_return_date]]&gt;ReconciliationData[[#This Row],[Order_Date]]+60),1,0)</f>
        <v>0</v>
      </c>
      <c r="V2572">
        <f>IF(ReconciliationData[[#This Row],[total_returned_units]]&gt;ReconciliationData[[#This Row],[ordered_units]],1,0)</f>
        <v>0</v>
      </c>
      <c r="W25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72">
        <f>ReconciliationData[[#This Row],[Billed_Units]]*ReconciliationData[[#This Row],[Billed_Price]]</f>
        <v>93440.922399999996</v>
      </c>
      <c r="Y2572">
        <f>ReconciliationData[[#This Row],[ordered_units]]*ReconciliationData[[#This Row],[List_Price]]</f>
        <v>86331.286999999997</v>
      </c>
      <c r="Z2572">
        <f>ReconciliationData[[#This Row],[billed_revenue]]-ReconciliationData[[#This Row],[expected_revenue]]</f>
        <v>7109.6353999999992</v>
      </c>
      <c r="AA25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572" t="str">
        <f>IF(ReconciliationData[[#This Row],[severity_score]]=0,"LOW",
 IF(ReconciliationData[[#This Row],[severity_score]]&lt;=5,"MEDIUM","HIGH"))</f>
        <v>HIGH</v>
      </c>
      <c r="AC2572" t="str">
        <f>TEXT(ReconciliationData[[#This Row],[Order_Date]],"YYYY-MM")</f>
        <v>2023-06</v>
      </c>
    </row>
    <row r="2573" spans="1:29">
      <c r="A2573" t="s">
        <v>6344</v>
      </c>
      <c r="B2573" s="1">
        <v>44943</v>
      </c>
      <c r="C2573" t="s">
        <v>2162</v>
      </c>
      <c r="D2573" t="s">
        <v>1470</v>
      </c>
      <c r="E2573">
        <v>196</v>
      </c>
      <c r="F2573" t="s">
        <v>6345</v>
      </c>
      <c r="G2573">
        <v>196</v>
      </c>
      <c r="H2573">
        <v>644.91</v>
      </c>
      <c r="N2573">
        <v>644.91</v>
      </c>
      <c r="O2573" s="1">
        <v>44590</v>
      </c>
      <c r="P2573">
        <f>IF(ISBLANK(ReconciliationData[[#This Row],[Invoice_ID]]),1,0)</f>
        <v>0</v>
      </c>
      <c r="Q2573">
        <f>IF(AND(NOT(ISBLANK(ReconciliationData[[#This Row],[Billed_Units]])),ReconciliationData[[#This Row],[ordered_units]]&lt;&gt;ReconciliationData[[#This Row],[Billed_Units]]),1,0)</f>
        <v>0</v>
      </c>
      <c r="R25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3">
        <f>IF(AND(NOT(ISBLANK(ReconciliationData[[#This Row],[Contract_Price]])),ReconciliationData[[#This Row],[Billed_Price]]&lt;&gt;ReconciliationData[[#This Row],[Contract_Price]]),1,0)</f>
        <v>0</v>
      </c>
      <c r="T2573">
        <f>IF(AND(NOT(ISBLANK(ReconciliationData[[#This Row],[End_Date]])),ReconciliationData[[#This Row],[Order_Date]]&gt;ReconciliationData[[#This Row],[End_Date]]),1,0)</f>
        <v>0</v>
      </c>
      <c r="U2573">
        <f>IF(AND(NOT(ISBLANK(ReconciliationData[[#This Row],[last_return_date]])),ReconciliationData[[#This Row],[last_return_date]]&gt;ReconciliationData[[#This Row],[Order_Date]]+60),1,0)</f>
        <v>0</v>
      </c>
      <c r="V2573">
        <f>IF(ReconciliationData[[#This Row],[total_returned_units]]&gt;ReconciliationData[[#This Row],[ordered_units]],1,0)</f>
        <v>0</v>
      </c>
      <c r="W25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73">
        <f>ReconciliationData[[#This Row],[Billed_Units]]*ReconciliationData[[#This Row],[Billed_Price]]</f>
        <v>126402.36</v>
      </c>
      <c r="Y2573">
        <f>ReconciliationData[[#This Row],[ordered_units]]*ReconciliationData[[#This Row],[List_Price]]</f>
        <v>126402.36</v>
      </c>
      <c r="Z2573">
        <f>ReconciliationData[[#This Row],[billed_revenue]]-ReconciliationData[[#This Row],[expected_revenue]]</f>
        <v>0</v>
      </c>
      <c r="AA25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73" t="str">
        <f>IF(ReconciliationData[[#This Row],[severity_score]]=0,"LOW",
 IF(ReconciliationData[[#This Row],[severity_score]]&lt;=5,"MEDIUM","HIGH"))</f>
        <v>LOW</v>
      </c>
      <c r="AC2573" t="str">
        <f>TEXT(ReconciliationData[[#This Row],[Order_Date]],"YYYY-MM")</f>
        <v>2023-01</v>
      </c>
    </row>
    <row r="2574" spans="1:29">
      <c r="A2574" t="s">
        <v>6346</v>
      </c>
      <c r="B2574" s="1">
        <v>45461</v>
      </c>
      <c r="C2574" t="s">
        <v>1811</v>
      </c>
      <c r="D2574" t="s">
        <v>560</v>
      </c>
      <c r="E2574">
        <v>129</v>
      </c>
      <c r="F2574" t="s">
        <v>6347</v>
      </c>
      <c r="G2574">
        <v>129</v>
      </c>
      <c r="H2574">
        <v>1119.6587000000002</v>
      </c>
      <c r="N2574">
        <v>1119.6587000000002</v>
      </c>
      <c r="O2574" s="1">
        <v>45147</v>
      </c>
      <c r="P2574">
        <f>IF(ISBLANK(ReconciliationData[[#This Row],[Invoice_ID]]),1,0)</f>
        <v>0</v>
      </c>
      <c r="Q2574">
        <f>IF(AND(NOT(ISBLANK(ReconciliationData[[#This Row],[Billed_Units]])),ReconciliationData[[#This Row],[ordered_units]]&lt;&gt;ReconciliationData[[#This Row],[Billed_Units]]),1,0)</f>
        <v>0</v>
      </c>
      <c r="R25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4">
        <f>IF(AND(NOT(ISBLANK(ReconciliationData[[#This Row],[Contract_Price]])),ReconciliationData[[#This Row],[Billed_Price]]&lt;&gt;ReconciliationData[[#This Row],[Contract_Price]]),1,0)</f>
        <v>0</v>
      </c>
      <c r="T2574">
        <f>IF(AND(NOT(ISBLANK(ReconciliationData[[#This Row],[End_Date]])),ReconciliationData[[#This Row],[Order_Date]]&gt;ReconciliationData[[#This Row],[End_Date]]),1,0)</f>
        <v>0</v>
      </c>
      <c r="U2574">
        <f>IF(AND(NOT(ISBLANK(ReconciliationData[[#This Row],[last_return_date]])),ReconciliationData[[#This Row],[last_return_date]]&gt;ReconciliationData[[#This Row],[Order_Date]]+60),1,0)</f>
        <v>0</v>
      </c>
      <c r="V2574">
        <f>IF(ReconciliationData[[#This Row],[total_returned_units]]&gt;ReconciliationData[[#This Row],[ordered_units]],1,0)</f>
        <v>0</v>
      </c>
      <c r="W25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74">
        <f>ReconciliationData[[#This Row],[Billed_Units]]*ReconciliationData[[#This Row],[Billed_Price]]</f>
        <v>144435.97230000002</v>
      </c>
      <c r="Y2574">
        <f>ReconciliationData[[#This Row],[ordered_units]]*ReconciliationData[[#This Row],[List_Price]]</f>
        <v>144435.97230000002</v>
      </c>
      <c r="Z2574">
        <f>ReconciliationData[[#This Row],[billed_revenue]]-ReconciliationData[[#This Row],[expected_revenue]]</f>
        <v>0</v>
      </c>
      <c r="AA25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74" t="str">
        <f>IF(ReconciliationData[[#This Row],[severity_score]]=0,"LOW",
 IF(ReconciliationData[[#This Row],[severity_score]]&lt;=5,"MEDIUM","HIGH"))</f>
        <v>LOW</v>
      </c>
      <c r="AC2574" t="str">
        <f>TEXT(ReconciliationData[[#This Row],[Order_Date]],"YYYY-MM")</f>
        <v>2024-06</v>
      </c>
    </row>
    <row r="2575" spans="1:29">
      <c r="A2575" t="s">
        <v>6348</v>
      </c>
      <c r="B2575" s="1">
        <v>45629</v>
      </c>
      <c r="C2575" t="s">
        <v>2542</v>
      </c>
      <c r="D2575" t="s">
        <v>883</v>
      </c>
      <c r="E2575">
        <v>164</v>
      </c>
      <c r="F2575" t="s">
        <v>6349</v>
      </c>
      <c r="G2575">
        <v>164</v>
      </c>
      <c r="H2575">
        <v>403.01909999999998</v>
      </c>
      <c r="I2575">
        <v>14</v>
      </c>
      <c r="J2575" s="1">
        <v>45131</v>
      </c>
      <c r="N2575">
        <v>403.01909999999998</v>
      </c>
      <c r="O2575" s="1">
        <v>45056</v>
      </c>
      <c r="P2575">
        <f>IF(ISBLANK(ReconciliationData[[#This Row],[Invoice_ID]]),1,0)</f>
        <v>0</v>
      </c>
      <c r="Q2575">
        <f>IF(AND(NOT(ISBLANK(ReconciliationData[[#This Row],[Billed_Units]])),ReconciliationData[[#This Row],[ordered_units]]&lt;&gt;ReconciliationData[[#This Row],[Billed_Units]]),1,0)</f>
        <v>0</v>
      </c>
      <c r="R25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5">
        <f>IF(AND(NOT(ISBLANK(ReconciliationData[[#This Row],[Contract_Price]])),ReconciliationData[[#This Row],[Billed_Price]]&lt;&gt;ReconciliationData[[#This Row],[Contract_Price]]),1,0)</f>
        <v>0</v>
      </c>
      <c r="T2575">
        <f>IF(AND(NOT(ISBLANK(ReconciliationData[[#This Row],[End_Date]])),ReconciliationData[[#This Row],[Order_Date]]&gt;ReconciliationData[[#This Row],[End_Date]]),1,0)</f>
        <v>0</v>
      </c>
      <c r="U2575">
        <f>IF(AND(NOT(ISBLANK(ReconciliationData[[#This Row],[last_return_date]])),ReconciliationData[[#This Row],[last_return_date]]&gt;ReconciliationData[[#This Row],[Order_Date]]+60),1,0)</f>
        <v>0</v>
      </c>
      <c r="V2575">
        <f>IF(ReconciliationData[[#This Row],[total_returned_units]]&gt;ReconciliationData[[#This Row],[ordered_units]],1,0)</f>
        <v>0</v>
      </c>
      <c r="W25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75">
        <f>ReconciliationData[[#This Row],[Billed_Units]]*ReconciliationData[[#This Row],[Billed_Price]]</f>
        <v>66095.132400000002</v>
      </c>
      <c r="Y2575">
        <f>ReconciliationData[[#This Row],[ordered_units]]*ReconciliationData[[#This Row],[List_Price]]</f>
        <v>66095.132400000002</v>
      </c>
      <c r="Z2575">
        <f>ReconciliationData[[#This Row],[billed_revenue]]-ReconciliationData[[#This Row],[expected_revenue]]</f>
        <v>0</v>
      </c>
      <c r="AA25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75" t="str">
        <f>IF(ReconciliationData[[#This Row],[severity_score]]=0,"LOW",
 IF(ReconciliationData[[#This Row],[severity_score]]&lt;=5,"MEDIUM","HIGH"))</f>
        <v>LOW</v>
      </c>
      <c r="AC2575" t="str">
        <f>TEXT(ReconciliationData[[#This Row],[Order_Date]],"YYYY-MM")</f>
        <v>2024-12</v>
      </c>
    </row>
    <row r="2576" spans="1:29">
      <c r="A2576" t="s">
        <v>6350</v>
      </c>
      <c r="B2576" s="1">
        <v>45472</v>
      </c>
      <c r="C2576" t="s">
        <v>3903</v>
      </c>
      <c r="D2576" t="s">
        <v>2331</v>
      </c>
      <c r="E2576">
        <v>196</v>
      </c>
      <c r="F2576" t="s">
        <v>6351</v>
      </c>
      <c r="G2576">
        <v>196</v>
      </c>
      <c r="H2576">
        <v>983.19460000000004</v>
      </c>
      <c r="N2576">
        <v>983.19460000000004</v>
      </c>
      <c r="O2576" s="1">
        <v>45142</v>
      </c>
      <c r="P2576">
        <f>IF(ISBLANK(ReconciliationData[[#This Row],[Invoice_ID]]),1,0)</f>
        <v>0</v>
      </c>
      <c r="Q2576">
        <f>IF(AND(NOT(ISBLANK(ReconciliationData[[#This Row],[Billed_Units]])),ReconciliationData[[#This Row],[ordered_units]]&lt;&gt;ReconciliationData[[#This Row],[Billed_Units]]),1,0)</f>
        <v>0</v>
      </c>
      <c r="R25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6">
        <f>IF(AND(NOT(ISBLANK(ReconciliationData[[#This Row],[Contract_Price]])),ReconciliationData[[#This Row],[Billed_Price]]&lt;&gt;ReconciliationData[[#This Row],[Contract_Price]]),1,0)</f>
        <v>0</v>
      </c>
      <c r="T2576">
        <f>IF(AND(NOT(ISBLANK(ReconciliationData[[#This Row],[End_Date]])),ReconciliationData[[#This Row],[Order_Date]]&gt;ReconciliationData[[#This Row],[End_Date]]),1,0)</f>
        <v>0</v>
      </c>
      <c r="U2576">
        <f>IF(AND(NOT(ISBLANK(ReconciliationData[[#This Row],[last_return_date]])),ReconciliationData[[#This Row],[last_return_date]]&gt;ReconciliationData[[#This Row],[Order_Date]]+60),1,0)</f>
        <v>0</v>
      </c>
      <c r="V2576">
        <f>IF(ReconciliationData[[#This Row],[total_returned_units]]&gt;ReconciliationData[[#This Row],[ordered_units]],1,0)</f>
        <v>0</v>
      </c>
      <c r="W25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76">
        <f>ReconciliationData[[#This Row],[Billed_Units]]*ReconciliationData[[#This Row],[Billed_Price]]</f>
        <v>192706.1416</v>
      </c>
      <c r="Y2576">
        <f>ReconciliationData[[#This Row],[ordered_units]]*ReconciliationData[[#This Row],[List_Price]]</f>
        <v>192706.1416</v>
      </c>
      <c r="Z2576">
        <f>ReconciliationData[[#This Row],[billed_revenue]]-ReconciliationData[[#This Row],[expected_revenue]]</f>
        <v>0</v>
      </c>
      <c r="AA25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76" t="str">
        <f>IF(ReconciliationData[[#This Row],[severity_score]]=0,"LOW",
 IF(ReconciliationData[[#This Row],[severity_score]]&lt;=5,"MEDIUM","HIGH"))</f>
        <v>LOW</v>
      </c>
      <c r="AC2576" t="str">
        <f>TEXT(ReconciliationData[[#This Row],[Order_Date]],"YYYY-MM")</f>
        <v>2024-06</v>
      </c>
    </row>
    <row r="2577" spans="1:29">
      <c r="A2577" t="s">
        <v>6352</v>
      </c>
      <c r="B2577" s="1">
        <v>45294</v>
      </c>
      <c r="C2577" t="s">
        <v>1851</v>
      </c>
      <c r="D2577" t="s">
        <v>891</v>
      </c>
      <c r="E2577">
        <v>25</v>
      </c>
      <c r="F2577" t="s">
        <v>6353</v>
      </c>
      <c r="G2577">
        <v>25</v>
      </c>
      <c r="H2577">
        <v>680.30940000000021</v>
      </c>
      <c r="N2577">
        <v>680.30940000000021</v>
      </c>
      <c r="O2577" s="1">
        <v>44934</v>
      </c>
      <c r="P2577">
        <f>IF(ISBLANK(ReconciliationData[[#This Row],[Invoice_ID]]),1,0)</f>
        <v>0</v>
      </c>
      <c r="Q2577">
        <f>IF(AND(NOT(ISBLANK(ReconciliationData[[#This Row],[Billed_Units]])),ReconciliationData[[#This Row],[ordered_units]]&lt;&gt;ReconciliationData[[#This Row],[Billed_Units]]),1,0)</f>
        <v>0</v>
      </c>
      <c r="R25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7">
        <f>IF(AND(NOT(ISBLANK(ReconciliationData[[#This Row],[Contract_Price]])),ReconciliationData[[#This Row],[Billed_Price]]&lt;&gt;ReconciliationData[[#This Row],[Contract_Price]]),1,0)</f>
        <v>0</v>
      </c>
      <c r="T2577">
        <f>IF(AND(NOT(ISBLANK(ReconciliationData[[#This Row],[End_Date]])),ReconciliationData[[#This Row],[Order_Date]]&gt;ReconciliationData[[#This Row],[End_Date]]),1,0)</f>
        <v>0</v>
      </c>
      <c r="U2577">
        <f>IF(AND(NOT(ISBLANK(ReconciliationData[[#This Row],[last_return_date]])),ReconciliationData[[#This Row],[last_return_date]]&gt;ReconciliationData[[#This Row],[Order_Date]]+60),1,0)</f>
        <v>0</v>
      </c>
      <c r="V2577">
        <f>IF(ReconciliationData[[#This Row],[total_returned_units]]&gt;ReconciliationData[[#This Row],[ordered_units]],1,0)</f>
        <v>0</v>
      </c>
      <c r="W25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77">
        <f>ReconciliationData[[#This Row],[Billed_Units]]*ReconciliationData[[#This Row],[Billed_Price]]</f>
        <v>17007.735000000004</v>
      </c>
      <c r="Y2577">
        <f>ReconciliationData[[#This Row],[ordered_units]]*ReconciliationData[[#This Row],[List_Price]]</f>
        <v>17007.735000000004</v>
      </c>
      <c r="Z2577">
        <f>ReconciliationData[[#This Row],[billed_revenue]]-ReconciliationData[[#This Row],[expected_revenue]]</f>
        <v>0</v>
      </c>
      <c r="AA25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77" t="str">
        <f>IF(ReconciliationData[[#This Row],[severity_score]]=0,"LOW",
 IF(ReconciliationData[[#This Row],[severity_score]]&lt;=5,"MEDIUM","HIGH"))</f>
        <v>LOW</v>
      </c>
      <c r="AC2577" t="str">
        <f>TEXT(ReconciliationData[[#This Row],[Order_Date]],"YYYY-MM")</f>
        <v>2024-01</v>
      </c>
    </row>
    <row r="2578" spans="1:29">
      <c r="A2578" t="s">
        <v>6354</v>
      </c>
      <c r="B2578" s="1">
        <v>45110</v>
      </c>
      <c r="C2578" t="s">
        <v>5118</v>
      </c>
      <c r="D2578" t="s">
        <v>374</v>
      </c>
      <c r="E2578">
        <v>140</v>
      </c>
      <c r="F2578" t="s">
        <v>6355</v>
      </c>
      <c r="G2578">
        <v>140</v>
      </c>
      <c r="H2578">
        <v>517.39100000000008</v>
      </c>
      <c r="N2578">
        <v>517.39100000000008</v>
      </c>
      <c r="O2578" s="1">
        <v>45045</v>
      </c>
      <c r="P2578">
        <f>IF(ISBLANK(ReconciliationData[[#This Row],[Invoice_ID]]),1,0)</f>
        <v>0</v>
      </c>
      <c r="Q2578">
        <f>IF(AND(NOT(ISBLANK(ReconciliationData[[#This Row],[Billed_Units]])),ReconciliationData[[#This Row],[ordered_units]]&lt;&gt;ReconciliationData[[#This Row],[Billed_Units]]),1,0)</f>
        <v>0</v>
      </c>
      <c r="R25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8">
        <f>IF(AND(NOT(ISBLANK(ReconciliationData[[#This Row],[Contract_Price]])),ReconciliationData[[#This Row],[Billed_Price]]&lt;&gt;ReconciliationData[[#This Row],[Contract_Price]]),1,0)</f>
        <v>0</v>
      </c>
      <c r="T2578">
        <f>IF(AND(NOT(ISBLANK(ReconciliationData[[#This Row],[End_Date]])),ReconciliationData[[#This Row],[Order_Date]]&gt;ReconciliationData[[#This Row],[End_Date]]),1,0)</f>
        <v>0</v>
      </c>
      <c r="U2578">
        <f>IF(AND(NOT(ISBLANK(ReconciliationData[[#This Row],[last_return_date]])),ReconciliationData[[#This Row],[last_return_date]]&gt;ReconciliationData[[#This Row],[Order_Date]]+60),1,0)</f>
        <v>0</v>
      </c>
      <c r="V2578">
        <f>IF(ReconciliationData[[#This Row],[total_returned_units]]&gt;ReconciliationData[[#This Row],[ordered_units]],1,0)</f>
        <v>0</v>
      </c>
      <c r="W25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78">
        <f>ReconciliationData[[#This Row],[Billed_Units]]*ReconciliationData[[#This Row],[Billed_Price]]</f>
        <v>72434.740000000005</v>
      </c>
      <c r="Y2578">
        <f>ReconciliationData[[#This Row],[ordered_units]]*ReconciliationData[[#This Row],[List_Price]]</f>
        <v>72434.740000000005</v>
      </c>
      <c r="Z2578">
        <f>ReconciliationData[[#This Row],[billed_revenue]]-ReconciliationData[[#This Row],[expected_revenue]]</f>
        <v>0</v>
      </c>
      <c r="AA25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78" t="str">
        <f>IF(ReconciliationData[[#This Row],[severity_score]]=0,"LOW",
 IF(ReconciliationData[[#This Row],[severity_score]]&lt;=5,"MEDIUM","HIGH"))</f>
        <v>LOW</v>
      </c>
      <c r="AC2578" t="str">
        <f>TEXT(ReconciliationData[[#This Row],[Order_Date]],"YYYY-MM")</f>
        <v>2023-07</v>
      </c>
    </row>
    <row r="2579" spans="1:29">
      <c r="A2579" t="s">
        <v>6356</v>
      </c>
      <c r="B2579" s="1">
        <v>45180</v>
      </c>
      <c r="C2579" t="s">
        <v>1232</v>
      </c>
      <c r="D2579" t="s">
        <v>753</v>
      </c>
      <c r="E2579">
        <v>180</v>
      </c>
      <c r="F2579" t="s">
        <v>6357</v>
      </c>
      <c r="G2579">
        <v>180</v>
      </c>
      <c r="H2579">
        <v>741.88620000000003</v>
      </c>
      <c r="N2579">
        <v>741.88620000000003</v>
      </c>
      <c r="O2579" s="1">
        <v>44930</v>
      </c>
      <c r="P2579">
        <f>IF(ISBLANK(ReconciliationData[[#This Row],[Invoice_ID]]),1,0)</f>
        <v>0</v>
      </c>
      <c r="Q2579">
        <f>IF(AND(NOT(ISBLANK(ReconciliationData[[#This Row],[Billed_Units]])),ReconciliationData[[#This Row],[ordered_units]]&lt;&gt;ReconciliationData[[#This Row],[Billed_Units]]),1,0)</f>
        <v>0</v>
      </c>
      <c r="R25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79">
        <f>IF(AND(NOT(ISBLANK(ReconciliationData[[#This Row],[Contract_Price]])),ReconciliationData[[#This Row],[Billed_Price]]&lt;&gt;ReconciliationData[[#This Row],[Contract_Price]]),1,0)</f>
        <v>0</v>
      </c>
      <c r="T2579">
        <f>IF(AND(NOT(ISBLANK(ReconciliationData[[#This Row],[End_Date]])),ReconciliationData[[#This Row],[Order_Date]]&gt;ReconciliationData[[#This Row],[End_Date]]),1,0)</f>
        <v>0</v>
      </c>
      <c r="U2579">
        <f>IF(AND(NOT(ISBLANK(ReconciliationData[[#This Row],[last_return_date]])),ReconciliationData[[#This Row],[last_return_date]]&gt;ReconciliationData[[#This Row],[Order_Date]]+60),1,0)</f>
        <v>0</v>
      </c>
      <c r="V2579">
        <f>IF(ReconciliationData[[#This Row],[total_returned_units]]&gt;ReconciliationData[[#This Row],[ordered_units]],1,0)</f>
        <v>0</v>
      </c>
      <c r="W25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79">
        <f>ReconciliationData[[#This Row],[Billed_Units]]*ReconciliationData[[#This Row],[Billed_Price]]</f>
        <v>133539.516</v>
      </c>
      <c r="Y2579">
        <f>ReconciliationData[[#This Row],[ordered_units]]*ReconciliationData[[#This Row],[List_Price]]</f>
        <v>133539.516</v>
      </c>
      <c r="Z2579">
        <f>ReconciliationData[[#This Row],[billed_revenue]]-ReconciliationData[[#This Row],[expected_revenue]]</f>
        <v>0</v>
      </c>
      <c r="AA25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79" t="str">
        <f>IF(ReconciliationData[[#This Row],[severity_score]]=0,"LOW",
 IF(ReconciliationData[[#This Row],[severity_score]]&lt;=5,"MEDIUM","HIGH"))</f>
        <v>LOW</v>
      </c>
      <c r="AC2579" t="str">
        <f>TEXT(ReconciliationData[[#This Row],[Order_Date]],"YYYY-MM")</f>
        <v>2023-09</v>
      </c>
    </row>
    <row r="2580" spans="1:29">
      <c r="A2580" t="s">
        <v>6358</v>
      </c>
      <c r="B2580" s="1">
        <v>45122</v>
      </c>
      <c r="C2580" t="s">
        <v>1872</v>
      </c>
      <c r="D2580" t="s">
        <v>1869</v>
      </c>
      <c r="E2580">
        <v>192</v>
      </c>
      <c r="F2580" t="s">
        <v>6359</v>
      </c>
      <c r="G2580">
        <v>192</v>
      </c>
      <c r="H2580">
        <v>75.504800000000003</v>
      </c>
      <c r="N2580">
        <v>75.504800000000003</v>
      </c>
      <c r="O2580" s="1">
        <v>45080</v>
      </c>
      <c r="P2580">
        <f>IF(ISBLANK(ReconciliationData[[#This Row],[Invoice_ID]]),1,0)</f>
        <v>0</v>
      </c>
      <c r="Q2580">
        <f>IF(AND(NOT(ISBLANK(ReconciliationData[[#This Row],[Billed_Units]])),ReconciliationData[[#This Row],[ordered_units]]&lt;&gt;ReconciliationData[[#This Row],[Billed_Units]]),1,0)</f>
        <v>0</v>
      </c>
      <c r="R25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0">
        <f>IF(AND(NOT(ISBLANK(ReconciliationData[[#This Row],[Contract_Price]])),ReconciliationData[[#This Row],[Billed_Price]]&lt;&gt;ReconciliationData[[#This Row],[Contract_Price]]),1,0)</f>
        <v>0</v>
      </c>
      <c r="T2580">
        <f>IF(AND(NOT(ISBLANK(ReconciliationData[[#This Row],[End_Date]])),ReconciliationData[[#This Row],[Order_Date]]&gt;ReconciliationData[[#This Row],[End_Date]]),1,0)</f>
        <v>0</v>
      </c>
      <c r="U2580">
        <f>IF(AND(NOT(ISBLANK(ReconciliationData[[#This Row],[last_return_date]])),ReconciliationData[[#This Row],[last_return_date]]&gt;ReconciliationData[[#This Row],[Order_Date]]+60),1,0)</f>
        <v>0</v>
      </c>
      <c r="V2580">
        <f>IF(ReconciliationData[[#This Row],[total_returned_units]]&gt;ReconciliationData[[#This Row],[ordered_units]],1,0)</f>
        <v>0</v>
      </c>
      <c r="W25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0">
        <f>ReconciliationData[[#This Row],[Billed_Units]]*ReconciliationData[[#This Row],[Billed_Price]]</f>
        <v>14496.921600000001</v>
      </c>
      <c r="Y2580">
        <f>ReconciliationData[[#This Row],[ordered_units]]*ReconciliationData[[#This Row],[List_Price]]</f>
        <v>14496.921600000001</v>
      </c>
      <c r="Z2580">
        <f>ReconciliationData[[#This Row],[billed_revenue]]-ReconciliationData[[#This Row],[expected_revenue]]</f>
        <v>0</v>
      </c>
      <c r="AA25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0" t="str">
        <f>IF(ReconciliationData[[#This Row],[severity_score]]=0,"LOW",
 IF(ReconciliationData[[#This Row],[severity_score]]&lt;=5,"MEDIUM","HIGH"))</f>
        <v>LOW</v>
      </c>
      <c r="AC2580" t="str">
        <f>TEXT(ReconciliationData[[#This Row],[Order_Date]],"YYYY-MM")</f>
        <v>2023-07</v>
      </c>
    </row>
    <row r="2581" spans="1:29">
      <c r="A2581" t="s">
        <v>6360</v>
      </c>
      <c r="B2581" s="1">
        <v>45350</v>
      </c>
      <c r="C2581" t="s">
        <v>1033</v>
      </c>
      <c r="D2581" t="s">
        <v>747</v>
      </c>
      <c r="E2581">
        <v>33</v>
      </c>
      <c r="F2581" t="s">
        <v>6361</v>
      </c>
      <c r="G2581">
        <v>33</v>
      </c>
      <c r="H2581">
        <v>58.98</v>
      </c>
      <c r="N2581">
        <v>58.98</v>
      </c>
      <c r="O2581" s="1">
        <v>44934</v>
      </c>
      <c r="P2581">
        <f>IF(ISBLANK(ReconciliationData[[#This Row],[Invoice_ID]]),1,0)</f>
        <v>0</v>
      </c>
      <c r="Q2581">
        <f>IF(AND(NOT(ISBLANK(ReconciliationData[[#This Row],[Billed_Units]])),ReconciliationData[[#This Row],[ordered_units]]&lt;&gt;ReconciliationData[[#This Row],[Billed_Units]]),1,0)</f>
        <v>0</v>
      </c>
      <c r="R25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1">
        <f>IF(AND(NOT(ISBLANK(ReconciliationData[[#This Row],[Contract_Price]])),ReconciliationData[[#This Row],[Billed_Price]]&lt;&gt;ReconciliationData[[#This Row],[Contract_Price]]),1,0)</f>
        <v>0</v>
      </c>
      <c r="T2581">
        <f>IF(AND(NOT(ISBLANK(ReconciliationData[[#This Row],[End_Date]])),ReconciliationData[[#This Row],[Order_Date]]&gt;ReconciliationData[[#This Row],[End_Date]]),1,0)</f>
        <v>0</v>
      </c>
      <c r="U2581">
        <f>IF(AND(NOT(ISBLANK(ReconciliationData[[#This Row],[last_return_date]])),ReconciliationData[[#This Row],[last_return_date]]&gt;ReconciliationData[[#This Row],[Order_Date]]+60),1,0)</f>
        <v>0</v>
      </c>
      <c r="V2581">
        <f>IF(ReconciliationData[[#This Row],[total_returned_units]]&gt;ReconciliationData[[#This Row],[ordered_units]],1,0)</f>
        <v>0</v>
      </c>
      <c r="W25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1">
        <f>ReconciliationData[[#This Row],[Billed_Units]]*ReconciliationData[[#This Row],[Billed_Price]]</f>
        <v>1946.34</v>
      </c>
      <c r="Y2581">
        <f>ReconciliationData[[#This Row],[ordered_units]]*ReconciliationData[[#This Row],[List_Price]]</f>
        <v>1946.34</v>
      </c>
      <c r="Z2581">
        <f>ReconciliationData[[#This Row],[billed_revenue]]-ReconciliationData[[#This Row],[expected_revenue]]</f>
        <v>0</v>
      </c>
      <c r="AA25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1" t="str">
        <f>IF(ReconciliationData[[#This Row],[severity_score]]=0,"LOW",
 IF(ReconciliationData[[#This Row],[severity_score]]&lt;=5,"MEDIUM","HIGH"))</f>
        <v>LOW</v>
      </c>
      <c r="AC2581" t="str">
        <f>TEXT(ReconciliationData[[#This Row],[Order_Date]],"YYYY-MM")</f>
        <v>2024-02</v>
      </c>
    </row>
    <row r="2582" spans="1:29">
      <c r="A2582" t="s">
        <v>6362</v>
      </c>
      <c r="B2582" s="1">
        <v>45078</v>
      </c>
      <c r="C2582" t="s">
        <v>2415</v>
      </c>
      <c r="D2582" t="s">
        <v>747</v>
      </c>
      <c r="E2582">
        <v>97</v>
      </c>
      <c r="F2582" t="s">
        <v>6363</v>
      </c>
      <c r="G2582">
        <v>97</v>
      </c>
      <c r="H2582">
        <v>58.98</v>
      </c>
      <c r="N2582">
        <v>58.98</v>
      </c>
      <c r="O2582" s="1">
        <v>44934</v>
      </c>
      <c r="P2582">
        <f>IF(ISBLANK(ReconciliationData[[#This Row],[Invoice_ID]]),1,0)</f>
        <v>0</v>
      </c>
      <c r="Q2582">
        <f>IF(AND(NOT(ISBLANK(ReconciliationData[[#This Row],[Billed_Units]])),ReconciliationData[[#This Row],[ordered_units]]&lt;&gt;ReconciliationData[[#This Row],[Billed_Units]]),1,0)</f>
        <v>0</v>
      </c>
      <c r="R25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2">
        <f>IF(AND(NOT(ISBLANK(ReconciliationData[[#This Row],[Contract_Price]])),ReconciliationData[[#This Row],[Billed_Price]]&lt;&gt;ReconciliationData[[#This Row],[Contract_Price]]),1,0)</f>
        <v>0</v>
      </c>
      <c r="T2582">
        <f>IF(AND(NOT(ISBLANK(ReconciliationData[[#This Row],[End_Date]])),ReconciliationData[[#This Row],[Order_Date]]&gt;ReconciliationData[[#This Row],[End_Date]]),1,0)</f>
        <v>0</v>
      </c>
      <c r="U2582">
        <f>IF(AND(NOT(ISBLANK(ReconciliationData[[#This Row],[last_return_date]])),ReconciliationData[[#This Row],[last_return_date]]&gt;ReconciliationData[[#This Row],[Order_Date]]+60),1,0)</f>
        <v>0</v>
      </c>
      <c r="V2582">
        <f>IF(ReconciliationData[[#This Row],[total_returned_units]]&gt;ReconciliationData[[#This Row],[ordered_units]],1,0)</f>
        <v>0</v>
      </c>
      <c r="W25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2">
        <f>ReconciliationData[[#This Row],[Billed_Units]]*ReconciliationData[[#This Row],[Billed_Price]]</f>
        <v>5721.0599999999995</v>
      </c>
      <c r="Y2582">
        <f>ReconciliationData[[#This Row],[ordered_units]]*ReconciliationData[[#This Row],[List_Price]]</f>
        <v>5721.0599999999995</v>
      </c>
      <c r="Z2582">
        <f>ReconciliationData[[#This Row],[billed_revenue]]-ReconciliationData[[#This Row],[expected_revenue]]</f>
        <v>0</v>
      </c>
      <c r="AA25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2" t="str">
        <f>IF(ReconciliationData[[#This Row],[severity_score]]=0,"LOW",
 IF(ReconciliationData[[#This Row],[severity_score]]&lt;=5,"MEDIUM","HIGH"))</f>
        <v>LOW</v>
      </c>
      <c r="AC2582" t="str">
        <f>TEXT(ReconciliationData[[#This Row],[Order_Date]],"YYYY-MM")</f>
        <v>2023-06</v>
      </c>
    </row>
    <row r="2583" spans="1:29">
      <c r="A2583" t="s">
        <v>6364</v>
      </c>
      <c r="B2583" s="1">
        <v>45439</v>
      </c>
      <c r="C2583" t="s">
        <v>5631</v>
      </c>
      <c r="D2583" t="s">
        <v>1333</v>
      </c>
      <c r="E2583">
        <v>144</v>
      </c>
      <c r="F2583" t="s">
        <v>6365</v>
      </c>
      <c r="G2583">
        <v>144</v>
      </c>
      <c r="H2583">
        <v>418.93040000000002</v>
      </c>
      <c r="N2583">
        <v>418.93040000000002</v>
      </c>
      <c r="O2583" s="1">
        <v>45214</v>
      </c>
      <c r="P2583">
        <f>IF(ISBLANK(ReconciliationData[[#This Row],[Invoice_ID]]),1,0)</f>
        <v>0</v>
      </c>
      <c r="Q2583">
        <f>IF(AND(NOT(ISBLANK(ReconciliationData[[#This Row],[Billed_Units]])),ReconciliationData[[#This Row],[ordered_units]]&lt;&gt;ReconciliationData[[#This Row],[Billed_Units]]),1,0)</f>
        <v>0</v>
      </c>
      <c r="R25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3">
        <f>IF(AND(NOT(ISBLANK(ReconciliationData[[#This Row],[Contract_Price]])),ReconciliationData[[#This Row],[Billed_Price]]&lt;&gt;ReconciliationData[[#This Row],[Contract_Price]]),1,0)</f>
        <v>0</v>
      </c>
      <c r="T2583">
        <f>IF(AND(NOT(ISBLANK(ReconciliationData[[#This Row],[End_Date]])),ReconciliationData[[#This Row],[Order_Date]]&gt;ReconciliationData[[#This Row],[End_Date]]),1,0)</f>
        <v>0</v>
      </c>
      <c r="U2583">
        <f>IF(AND(NOT(ISBLANK(ReconciliationData[[#This Row],[last_return_date]])),ReconciliationData[[#This Row],[last_return_date]]&gt;ReconciliationData[[#This Row],[Order_Date]]+60),1,0)</f>
        <v>0</v>
      </c>
      <c r="V2583">
        <f>IF(ReconciliationData[[#This Row],[total_returned_units]]&gt;ReconciliationData[[#This Row],[ordered_units]],1,0)</f>
        <v>0</v>
      </c>
      <c r="W25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3">
        <f>ReconciliationData[[#This Row],[Billed_Units]]*ReconciliationData[[#This Row],[Billed_Price]]</f>
        <v>60325.977600000006</v>
      </c>
      <c r="Y2583">
        <f>ReconciliationData[[#This Row],[ordered_units]]*ReconciliationData[[#This Row],[List_Price]]</f>
        <v>60325.977600000006</v>
      </c>
      <c r="Z2583">
        <f>ReconciliationData[[#This Row],[billed_revenue]]-ReconciliationData[[#This Row],[expected_revenue]]</f>
        <v>0</v>
      </c>
      <c r="AA25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3" t="str">
        <f>IF(ReconciliationData[[#This Row],[severity_score]]=0,"LOW",
 IF(ReconciliationData[[#This Row],[severity_score]]&lt;=5,"MEDIUM","HIGH"))</f>
        <v>LOW</v>
      </c>
      <c r="AC2583" t="str">
        <f>TEXT(ReconciliationData[[#This Row],[Order_Date]],"YYYY-MM")</f>
        <v>2024-05</v>
      </c>
    </row>
    <row r="2584" spans="1:29">
      <c r="A2584" t="s">
        <v>6366</v>
      </c>
      <c r="B2584" s="1">
        <v>45518</v>
      </c>
      <c r="C2584" t="s">
        <v>717</v>
      </c>
      <c r="D2584" t="s">
        <v>1400</v>
      </c>
      <c r="E2584">
        <v>167</v>
      </c>
      <c r="F2584" t="s">
        <v>6367</v>
      </c>
      <c r="G2584">
        <v>167</v>
      </c>
      <c r="H2584">
        <v>512.04</v>
      </c>
      <c r="I2584">
        <v>3</v>
      </c>
      <c r="J2584" s="1">
        <v>45394</v>
      </c>
      <c r="N2584">
        <v>512.04</v>
      </c>
      <c r="O2584" s="1">
        <v>44928</v>
      </c>
      <c r="P2584">
        <f>IF(ISBLANK(ReconciliationData[[#This Row],[Invoice_ID]]),1,0)</f>
        <v>0</v>
      </c>
      <c r="Q2584">
        <f>IF(AND(NOT(ISBLANK(ReconciliationData[[#This Row],[Billed_Units]])),ReconciliationData[[#This Row],[ordered_units]]&lt;&gt;ReconciliationData[[#This Row],[Billed_Units]]),1,0)</f>
        <v>0</v>
      </c>
      <c r="R25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4">
        <f>IF(AND(NOT(ISBLANK(ReconciliationData[[#This Row],[Contract_Price]])),ReconciliationData[[#This Row],[Billed_Price]]&lt;&gt;ReconciliationData[[#This Row],[Contract_Price]]),1,0)</f>
        <v>0</v>
      </c>
      <c r="T2584">
        <f>IF(AND(NOT(ISBLANK(ReconciliationData[[#This Row],[End_Date]])),ReconciliationData[[#This Row],[Order_Date]]&gt;ReconciliationData[[#This Row],[End_Date]]),1,0)</f>
        <v>0</v>
      </c>
      <c r="U2584">
        <f>IF(AND(NOT(ISBLANK(ReconciliationData[[#This Row],[last_return_date]])),ReconciliationData[[#This Row],[last_return_date]]&gt;ReconciliationData[[#This Row],[Order_Date]]+60),1,0)</f>
        <v>0</v>
      </c>
      <c r="V2584">
        <f>IF(ReconciliationData[[#This Row],[total_returned_units]]&gt;ReconciliationData[[#This Row],[ordered_units]],1,0)</f>
        <v>0</v>
      </c>
      <c r="W25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4">
        <f>ReconciliationData[[#This Row],[Billed_Units]]*ReconciliationData[[#This Row],[Billed_Price]]</f>
        <v>85510.68</v>
      </c>
      <c r="Y2584">
        <f>ReconciliationData[[#This Row],[ordered_units]]*ReconciliationData[[#This Row],[List_Price]]</f>
        <v>85510.68</v>
      </c>
      <c r="Z2584">
        <f>ReconciliationData[[#This Row],[billed_revenue]]-ReconciliationData[[#This Row],[expected_revenue]]</f>
        <v>0</v>
      </c>
      <c r="AA25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4" t="str">
        <f>IF(ReconciliationData[[#This Row],[severity_score]]=0,"LOW",
 IF(ReconciliationData[[#This Row],[severity_score]]&lt;=5,"MEDIUM","HIGH"))</f>
        <v>LOW</v>
      </c>
      <c r="AC2584" t="str">
        <f>TEXT(ReconciliationData[[#This Row],[Order_Date]],"YYYY-MM")</f>
        <v>2024-08</v>
      </c>
    </row>
    <row r="2585" spans="1:29">
      <c r="A2585" t="s">
        <v>6368</v>
      </c>
      <c r="B2585" s="1">
        <v>44936</v>
      </c>
      <c r="C2585" t="s">
        <v>1291</v>
      </c>
      <c r="D2585" t="s">
        <v>1845</v>
      </c>
      <c r="E2585">
        <v>165</v>
      </c>
      <c r="F2585" t="s">
        <v>6369</v>
      </c>
      <c r="G2585">
        <v>165</v>
      </c>
      <c r="H2585">
        <v>833.13300000000004</v>
      </c>
      <c r="N2585">
        <v>833.13300000000004</v>
      </c>
      <c r="O2585" s="1">
        <v>44920</v>
      </c>
      <c r="P2585">
        <f>IF(ISBLANK(ReconciliationData[[#This Row],[Invoice_ID]]),1,0)</f>
        <v>0</v>
      </c>
      <c r="Q2585">
        <f>IF(AND(NOT(ISBLANK(ReconciliationData[[#This Row],[Billed_Units]])),ReconciliationData[[#This Row],[ordered_units]]&lt;&gt;ReconciliationData[[#This Row],[Billed_Units]]),1,0)</f>
        <v>0</v>
      </c>
      <c r="R25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5">
        <f>IF(AND(NOT(ISBLANK(ReconciliationData[[#This Row],[Contract_Price]])),ReconciliationData[[#This Row],[Billed_Price]]&lt;&gt;ReconciliationData[[#This Row],[Contract_Price]]),1,0)</f>
        <v>0</v>
      </c>
      <c r="T2585">
        <f>IF(AND(NOT(ISBLANK(ReconciliationData[[#This Row],[End_Date]])),ReconciliationData[[#This Row],[Order_Date]]&gt;ReconciliationData[[#This Row],[End_Date]]),1,0)</f>
        <v>0</v>
      </c>
      <c r="U2585">
        <f>IF(AND(NOT(ISBLANK(ReconciliationData[[#This Row],[last_return_date]])),ReconciliationData[[#This Row],[last_return_date]]&gt;ReconciliationData[[#This Row],[Order_Date]]+60),1,0)</f>
        <v>0</v>
      </c>
      <c r="V2585">
        <f>IF(ReconciliationData[[#This Row],[total_returned_units]]&gt;ReconciliationData[[#This Row],[ordered_units]],1,0)</f>
        <v>0</v>
      </c>
      <c r="W25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5">
        <f>ReconciliationData[[#This Row],[Billed_Units]]*ReconciliationData[[#This Row],[Billed_Price]]</f>
        <v>137466.94500000001</v>
      </c>
      <c r="Y2585">
        <f>ReconciliationData[[#This Row],[ordered_units]]*ReconciliationData[[#This Row],[List_Price]]</f>
        <v>137466.94500000001</v>
      </c>
      <c r="Z2585">
        <f>ReconciliationData[[#This Row],[billed_revenue]]-ReconciliationData[[#This Row],[expected_revenue]]</f>
        <v>0</v>
      </c>
      <c r="AA25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5" t="str">
        <f>IF(ReconciliationData[[#This Row],[severity_score]]=0,"LOW",
 IF(ReconciliationData[[#This Row],[severity_score]]&lt;=5,"MEDIUM","HIGH"))</f>
        <v>LOW</v>
      </c>
      <c r="AC2585" t="str">
        <f>TEXT(ReconciliationData[[#This Row],[Order_Date]],"YYYY-MM")</f>
        <v>2023-01</v>
      </c>
    </row>
    <row r="2586" spans="1:29">
      <c r="A2586" t="s">
        <v>6370</v>
      </c>
      <c r="B2586" s="1">
        <v>45476</v>
      </c>
      <c r="C2586" t="s">
        <v>996</v>
      </c>
      <c r="D2586" t="s">
        <v>1142</v>
      </c>
      <c r="E2586">
        <v>200</v>
      </c>
      <c r="F2586" t="s">
        <v>6371</v>
      </c>
      <c r="G2586">
        <v>200</v>
      </c>
      <c r="H2586">
        <v>624.37260000000003</v>
      </c>
      <c r="N2586">
        <v>624.37260000000003</v>
      </c>
      <c r="O2586" s="1">
        <v>44932</v>
      </c>
      <c r="P2586">
        <f>IF(ISBLANK(ReconciliationData[[#This Row],[Invoice_ID]]),1,0)</f>
        <v>0</v>
      </c>
      <c r="Q2586">
        <f>IF(AND(NOT(ISBLANK(ReconciliationData[[#This Row],[Billed_Units]])),ReconciliationData[[#This Row],[ordered_units]]&lt;&gt;ReconciliationData[[#This Row],[Billed_Units]]),1,0)</f>
        <v>0</v>
      </c>
      <c r="R25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6">
        <f>IF(AND(NOT(ISBLANK(ReconciliationData[[#This Row],[Contract_Price]])),ReconciliationData[[#This Row],[Billed_Price]]&lt;&gt;ReconciliationData[[#This Row],[Contract_Price]]),1,0)</f>
        <v>0</v>
      </c>
      <c r="T2586">
        <f>IF(AND(NOT(ISBLANK(ReconciliationData[[#This Row],[End_Date]])),ReconciliationData[[#This Row],[Order_Date]]&gt;ReconciliationData[[#This Row],[End_Date]]),1,0)</f>
        <v>0</v>
      </c>
      <c r="U2586">
        <f>IF(AND(NOT(ISBLANK(ReconciliationData[[#This Row],[last_return_date]])),ReconciliationData[[#This Row],[last_return_date]]&gt;ReconciliationData[[#This Row],[Order_Date]]+60),1,0)</f>
        <v>0</v>
      </c>
      <c r="V2586">
        <f>IF(ReconciliationData[[#This Row],[total_returned_units]]&gt;ReconciliationData[[#This Row],[ordered_units]],1,0)</f>
        <v>0</v>
      </c>
      <c r="W25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6">
        <f>ReconciliationData[[#This Row],[Billed_Units]]*ReconciliationData[[#This Row],[Billed_Price]]</f>
        <v>124874.52</v>
      </c>
      <c r="Y2586">
        <f>ReconciliationData[[#This Row],[ordered_units]]*ReconciliationData[[#This Row],[List_Price]]</f>
        <v>124874.52</v>
      </c>
      <c r="Z2586">
        <f>ReconciliationData[[#This Row],[billed_revenue]]-ReconciliationData[[#This Row],[expected_revenue]]</f>
        <v>0</v>
      </c>
      <c r="AA25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6" t="str">
        <f>IF(ReconciliationData[[#This Row],[severity_score]]=0,"LOW",
 IF(ReconciliationData[[#This Row],[severity_score]]&lt;=5,"MEDIUM","HIGH"))</f>
        <v>LOW</v>
      </c>
      <c r="AC2586" t="str">
        <f>TEXT(ReconciliationData[[#This Row],[Order_Date]],"YYYY-MM")</f>
        <v>2024-07</v>
      </c>
    </row>
    <row r="2587" spans="1:29">
      <c r="A2587" t="s">
        <v>6372</v>
      </c>
      <c r="B2587" s="1">
        <v>45507</v>
      </c>
      <c r="C2587" t="s">
        <v>1984</v>
      </c>
      <c r="D2587" t="s">
        <v>3530</v>
      </c>
      <c r="E2587">
        <v>98</v>
      </c>
      <c r="F2587" t="s">
        <v>6373</v>
      </c>
      <c r="G2587">
        <v>98</v>
      </c>
      <c r="H2587">
        <v>143.86799999999999</v>
      </c>
      <c r="N2587">
        <v>143.86799999999999</v>
      </c>
      <c r="O2587" s="1">
        <v>45036</v>
      </c>
      <c r="P2587">
        <f>IF(ISBLANK(ReconciliationData[[#This Row],[Invoice_ID]]),1,0)</f>
        <v>0</v>
      </c>
      <c r="Q2587">
        <f>IF(AND(NOT(ISBLANK(ReconciliationData[[#This Row],[Billed_Units]])),ReconciliationData[[#This Row],[ordered_units]]&lt;&gt;ReconciliationData[[#This Row],[Billed_Units]]),1,0)</f>
        <v>0</v>
      </c>
      <c r="R25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7">
        <f>IF(AND(NOT(ISBLANK(ReconciliationData[[#This Row],[Contract_Price]])),ReconciliationData[[#This Row],[Billed_Price]]&lt;&gt;ReconciliationData[[#This Row],[Contract_Price]]),1,0)</f>
        <v>0</v>
      </c>
      <c r="T2587">
        <f>IF(AND(NOT(ISBLANK(ReconciliationData[[#This Row],[End_Date]])),ReconciliationData[[#This Row],[Order_Date]]&gt;ReconciliationData[[#This Row],[End_Date]]),1,0)</f>
        <v>0</v>
      </c>
      <c r="U2587">
        <f>IF(AND(NOT(ISBLANK(ReconciliationData[[#This Row],[last_return_date]])),ReconciliationData[[#This Row],[last_return_date]]&gt;ReconciliationData[[#This Row],[Order_Date]]+60),1,0)</f>
        <v>0</v>
      </c>
      <c r="V2587">
        <f>IF(ReconciliationData[[#This Row],[total_returned_units]]&gt;ReconciliationData[[#This Row],[ordered_units]],1,0)</f>
        <v>0</v>
      </c>
      <c r="W25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7">
        <f>ReconciliationData[[#This Row],[Billed_Units]]*ReconciliationData[[#This Row],[Billed_Price]]</f>
        <v>14099.064</v>
      </c>
      <c r="Y2587">
        <f>ReconciliationData[[#This Row],[ordered_units]]*ReconciliationData[[#This Row],[List_Price]]</f>
        <v>14099.064</v>
      </c>
      <c r="Z2587">
        <f>ReconciliationData[[#This Row],[billed_revenue]]-ReconciliationData[[#This Row],[expected_revenue]]</f>
        <v>0</v>
      </c>
      <c r="AA25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7" t="str">
        <f>IF(ReconciliationData[[#This Row],[severity_score]]=0,"LOW",
 IF(ReconciliationData[[#This Row],[severity_score]]&lt;=5,"MEDIUM","HIGH"))</f>
        <v>LOW</v>
      </c>
      <c r="AC2587" t="str">
        <f>TEXT(ReconciliationData[[#This Row],[Order_Date]],"YYYY-MM")</f>
        <v>2024-08</v>
      </c>
    </row>
    <row r="2588" spans="1:29">
      <c r="A2588" t="s">
        <v>6374</v>
      </c>
      <c r="B2588" s="1">
        <v>45005</v>
      </c>
      <c r="C2588" t="s">
        <v>1640</v>
      </c>
      <c r="D2588" t="s">
        <v>2444</v>
      </c>
      <c r="E2588">
        <v>12</v>
      </c>
      <c r="F2588" t="s">
        <v>6375</v>
      </c>
      <c r="G2588">
        <v>12</v>
      </c>
      <c r="H2588">
        <v>852.48720000000014</v>
      </c>
      <c r="N2588">
        <v>852.48720000000014</v>
      </c>
      <c r="O2588" s="1">
        <v>44983</v>
      </c>
      <c r="P2588">
        <f>IF(ISBLANK(ReconciliationData[[#This Row],[Invoice_ID]]),1,0)</f>
        <v>0</v>
      </c>
      <c r="Q2588">
        <f>IF(AND(NOT(ISBLANK(ReconciliationData[[#This Row],[Billed_Units]])),ReconciliationData[[#This Row],[ordered_units]]&lt;&gt;ReconciliationData[[#This Row],[Billed_Units]]),1,0)</f>
        <v>0</v>
      </c>
      <c r="R25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8">
        <f>IF(AND(NOT(ISBLANK(ReconciliationData[[#This Row],[Contract_Price]])),ReconciliationData[[#This Row],[Billed_Price]]&lt;&gt;ReconciliationData[[#This Row],[Contract_Price]]),1,0)</f>
        <v>0</v>
      </c>
      <c r="T2588">
        <f>IF(AND(NOT(ISBLANK(ReconciliationData[[#This Row],[End_Date]])),ReconciliationData[[#This Row],[Order_Date]]&gt;ReconciliationData[[#This Row],[End_Date]]),1,0)</f>
        <v>0</v>
      </c>
      <c r="U2588">
        <f>IF(AND(NOT(ISBLANK(ReconciliationData[[#This Row],[last_return_date]])),ReconciliationData[[#This Row],[last_return_date]]&gt;ReconciliationData[[#This Row],[Order_Date]]+60),1,0)</f>
        <v>0</v>
      </c>
      <c r="V2588">
        <f>IF(ReconciliationData[[#This Row],[total_returned_units]]&gt;ReconciliationData[[#This Row],[ordered_units]],1,0)</f>
        <v>0</v>
      </c>
      <c r="W25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8">
        <f>ReconciliationData[[#This Row],[Billed_Units]]*ReconciliationData[[#This Row],[Billed_Price]]</f>
        <v>10229.846400000002</v>
      </c>
      <c r="Y2588">
        <f>ReconciliationData[[#This Row],[ordered_units]]*ReconciliationData[[#This Row],[List_Price]]</f>
        <v>10229.846400000002</v>
      </c>
      <c r="Z2588">
        <f>ReconciliationData[[#This Row],[billed_revenue]]-ReconciliationData[[#This Row],[expected_revenue]]</f>
        <v>0</v>
      </c>
      <c r="AA25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8" t="str">
        <f>IF(ReconciliationData[[#This Row],[severity_score]]=0,"LOW",
 IF(ReconciliationData[[#This Row],[severity_score]]&lt;=5,"MEDIUM","HIGH"))</f>
        <v>LOW</v>
      </c>
      <c r="AC2588" t="str">
        <f>TEXT(ReconciliationData[[#This Row],[Order_Date]],"YYYY-MM")</f>
        <v>2023-03</v>
      </c>
    </row>
    <row r="2589" spans="1:29">
      <c r="A2589" t="s">
        <v>6376</v>
      </c>
      <c r="B2589" s="1">
        <v>45372</v>
      </c>
      <c r="C2589" t="s">
        <v>2518</v>
      </c>
      <c r="D2589" t="s">
        <v>2568</v>
      </c>
      <c r="E2589">
        <v>130</v>
      </c>
      <c r="F2589" t="s">
        <v>6377</v>
      </c>
      <c r="G2589">
        <v>130</v>
      </c>
      <c r="H2589">
        <v>461.00940000000003</v>
      </c>
      <c r="N2589">
        <v>461.00940000000003</v>
      </c>
      <c r="O2589" s="1">
        <v>45036</v>
      </c>
      <c r="P2589">
        <f>IF(ISBLANK(ReconciliationData[[#This Row],[Invoice_ID]]),1,0)</f>
        <v>0</v>
      </c>
      <c r="Q2589">
        <f>IF(AND(NOT(ISBLANK(ReconciliationData[[#This Row],[Billed_Units]])),ReconciliationData[[#This Row],[ordered_units]]&lt;&gt;ReconciliationData[[#This Row],[Billed_Units]]),1,0)</f>
        <v>0</v>
      </c>
      <c r="R25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89">
        <f>IF(AND(NOT(ISBLANK(ReconciliationData[[#This Row],[Contract_Price]])),ReconciliationData[[#This Row],[Billed_Price]]&lt;&gt;ReconciliationData[[#This Row],[Contract_Price]]),1,0)</f>
        <v>0</v>
      </c>
      <c r="T2589">
        <f>IF(AND(NOT(ISBLANK(ReconciliationData[[#This Row],[End_Date]])),ReconciliationData[[#This Row],[Order_Date]]&gt;ReconciliationData[[#This Row],[End_Date]]),1,0)</f>
        <v>0</v>
      </c>
      <c r="U2589">
        <f>IF(AND(NOT(ISBLANK(ReconciliationData[[#This Row],[last_return_date]])),ReconciliationData[[#This Row],[last_return_date]]&gt;ReconciliationData[[#This Row],[Order_Date]]+60),1,0)</f>
        <v>0</v>
      </c>
      <c r="V2589">
        <f>IF(ReconciliationData[[#This Row],[total_returned_units]]&gt;ReconciliationData[[#This Row],[ordered_units]],1,0)</f>
        <v>0</v>
      </c>
      <c r="W25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89">
        <f>ReconciliationData[[#This Row],[Billed_Units]]*ReconciliationData[[#This Row],[Billed_Price]]</f>
        <v>59931.222000000002</v>
      </c>
      <c r="Y2589">
        <f>ReconciliationData[[#This Row],[ordered_units]]*ReconciliationData[[#This Row],[List_Price]]</f>
        <v>59931.222000000002</v>
      </c>
      <c r="Z2589">
        <f>ReconciliationData[[#This Row],[billed_revenue]]-ReconciliationData[[#This Row],[expected_revenue]]</f>
        <v>0</v>
      </c>
      <c r="AA25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89" t="str">
        <f>IF(ReconciliationData[[#This Row],[severity_score]]=0,"LOW",
 IF(ReconciliationData[[#This Row],[severity_score]]&lt;=5,"MEDIUM","HIGH"))</f>
        <v>LOW</v>
      </c>
      <c r="AC2589" t="str">
        <f>TEXT(ReconciliationData[[#This Row],[Order_Date]],"YYYY-MM")</f>
        <v>2024-03</v>
      </c>
    </row>
    <row r="2590" spans="1:29">
      <c r="A2590" t="s">
        <v>6378</v>
      </c>
      <c r="B2590" s="1">
        <v>45522</v>
      </c>
      <c r="C2590" t="s">
        <v>3707</v>
      </c>
      <c r="D2590" t="s">
        <v>321</v>
      </c>
      <c r="E2590">
        <v>102</v>
      </c>
      <c r="F2590" t="s">
        <v>6379</v>
      </c>
      <c r="G2590">
        <v>102</v>
      </c>
      <c r="H2590">
        <v>169.22900000000001</v>
      </c>
      <c r="I2590">
        <v>22</v>
      </c>
      <c r="J2590" s="1">
        <v>45509</v>
      </c>
      <c r="N2590">
        <v>169.22900000000001</v>
      </c>
      <c r="O2590" s="1">
        <v>45039</v>
      </c>
      <c r="P2590">
        <f>IF(ISBLANK(ReconciliationData[[#This Row],[Invoice_ID]]),1,0)</f>
        <v>0</v>
      </c>
      <c r="Q2590">
        <f>IF(AND(NOT(ISBLANK(ReconciliationData[[#This Row],[Billed_Units]])),ReconciliationData[[#This Row],[ordered_units]]&lt;&gt;ReconciliationData[[#This Row],[Billed_Units]]),1,0)</f>
        <v>0</v>
      </c>
      <c r="R25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0">
        <f>IF(AND(NOT(ISBLANK(ReconciliationData[[#This Row],[Contract_Price]])),ReconciliationData[[#This Row],[Billed_Price]]&lt;&gt;ReconciliationData[[#This Row],[Contract_Price]]),1,0)</f>
        <v>0</v>
      </c>
      <c r="T2590">
        <f>IF(AND(NOT(ISBLANK(ReconciliationData[[#This Row],[End_Date]])),ReconciliationData[[#This Row],[Order_Date]]&gt;ReconciliationData[[#This Row],[End_Date]]),1,0)</f>
        <v>0</v>
      </c>
      <c r="U2590">
        <f>IF(AND(NOT(ISBLANK(ReconciliationData[[#This Row],[last_return_date]])),ReconciliationData[[#This Row],[last_return_date]]&gt;ReconciliationData[[#This Row],[Order_Date]]+60),1,0)</f>
        <v>0</v>
      </c>
      <c r="V2590">
        <f>IF(ReconciliationData[[#This Row],[total_returned_units]]&gt;ReconciliationData[[#This Row],[ordered_units]],1,0)</f>
        <v>0</v>
      </c>
      <c r="W25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90">
        <f>ReconciliationData[[#This Row],[Billed_Units]]*ReconciliationData[[#This Row],[Billed_Price]]</f>
        <v>17261.358</v>
      </c>
      <c r="Y2590">
        <f>ReconciliationData[[#This Row],[ordered_units]]*ReconciliationData[[#This Row],[List_Price]]</f>
        <v>17261.358</v>
      </c>
      <c r="Z2590">
        <f>ReconciliationData[[#This Row],[billed_revenue]]-ReconciliationData[[#This Row],[expected_revenue]]</f>
        <v>0</v>
      </c>
      <c r="AA25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90" t="str">
        <f>IF(ReconciliationData[[#This Row],[severity_score]]=0,"LOW",
 IF(ReconciliationData[[#This Row],[severity_score]]&lt;=5,"MEDIUM","HIGH"))</f>
        <v>LOW</v>
      </c>
      <c r="AC2590" t="str">
        <f>TEXT(ReconciliationData[[#This Row],[Order_Date]],"YYYY-MM")</f>
        <v>2024-08</v>
      </c>
    </row>
    <row r="2591" spans="1:29">
      <c r="A2591" t="s">
        <v>6380</v>
      </c>
      <c r="B2591" s="1">
        <v>45176</v>
      </c>
      <c r="C2591" t="s">
        <v>1040</v>
      </c>
      <c r="D2591" t="s">
        <v>313</v>
      </c>
      <c r="E2591">
        <v>169</v>
      </c>
      <c r="F2591" t="s">
        <v>6381</v>
      </c>
      <c r="G2591">
        <v>169</v>
      </c>
      <c r="H2591">
        <v>1190.6054999999999</v>
      </c>
      <c r="N2591">
        <v>1190.6054999999999</v>
      </c>
      <c r="O2591" s="1">
        <v>44984</v>
      </c>
      <c r="P2591">
        <f>IF(ISBLANK(ReconciliationData[[#This Row],[Invoice_ID]]),1,0)</f>
        <v>0</v>
      </c>
      <c r="Q2591">
        <f>IF(AND(NOT(ISBLANK(ReconciliationData[[#This Row],[Billed_Units]])),ReconciliationData[[#This Row],[ordered_units]]&lt;&gt;ReconciliationData[[#This Row],[Billed_Units]]),1,0)</f>
        <v>0</v>
      </c>
      <c r="R25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1">
        <f>IF(AND(NOT(ISBLANK(ReconciliationData[[#This Row],[Contract_Price]])),ReconciliationData[[#This Row],[Billed_Price]]&lt;&gt;ReconciliationData[[#This Row],[Contract_Price]]),1,0)</f>
        <v>0</v>
      </c>
      <c r="T2591">
        <f>IF(AND(NOT(ISBLANK(ReconciliationData[[#This Row],[End_Date]])),ReconciliationData[[#This Row],[Order_Date]]&gt;ReconciliationData[[#This Row],[End_Date]]),1,0)</f>
        <v>0</v>
      </c>
      <c r="U2591">
        <f>IF(AND(NOT(ISBLANK(ReconciliationData[[#This Row],[last_return_date]])),ReconciliationData[[#This Row],[last_return_date]]&gt;ReconciliationData[[#This Row],[Order_Date]]+60),1,0)</f>
        <v>0</v>
      </c>
      <c r="V2591">
        <f>IF(ReconciliationData[[#This Row],[total_returned_units]]&gt;ReconciliationData[[#This Row],[ordered_units]],1,0)</f>
        <v>0</v>
      </c>
      <c r="W25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91">
        <f>ReconciliationData[[#This Row],[Billed_Units]]*ReconciliationData[[#This Row],[Billed_Price]]</f>
        <v>201212.32949999999</v>
      </c>
      <c r="Y2591">
        <f>ReconciliationData[[#This Row],[ordered_units]]*ReconciliationData[[#This Row],[List_Price]]</f>
        <v>201212.32949999999</v>
      </c>
      <c r="Z2591">
        <f>ReconciliationData[[#This Row],[billed_revenue]]-ReconciliationData[[#This Row],[expected_revenue]]</f>
        <v>0</v>
      </c>
      <c r="AA25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91" t="str">
        <f>IF(ReconciliationData[[#This Row],[severity_score]]=0,"LOW",
 IF(ReconciliationData[[#This Row],[severity_score]]&lt;=5,"MEDIUM","HIGH"))</f>
        <v>LOW</v>
      </c>
      <c r="AC2591" t="str">
        <f>TEXT(ReconciliationData[[#This Row],[Order_Date]],"YYYY-MM")</f>
        <v>2023-09</v>
      </c>
    </row>
    <row r="2592" spans="1:29">
      <c r="A2592" t="s">
        <v>6382</v>
      </c>
      <c r="B2592" s="1">
        <v>45204</v>
      </c>
      <c r="C2592" t="s">
        <v>3878</v>
      </c>
      <c r="D2592" t="s">
        <v>4508</v>
      </c>
      <c r="E2592">
        <v>168</v>
      </c>
      <c r="F2592" t="s">
        <v>6383</v>
      </c>
      <c r="G2592">
        <v>168</v>
      </c>
      <c r="H2592">
        <v>765.28200000000004</v>
      </c>
      <c r="N2592">
        <v>765.28200000000004</v>
      </c>
      <c r="O2592" s="1">
        <v>45035</v>
      </c>
      <c r="P2592">
        <f>IF(ISBLANK(ReconciliationData[[#This Row],[Invoice_ID]]),1,0)</f>
        <v>0</v>
      </c>
      <c r="Q2592">
        <f>IF(AND(NOT(ISBLANK(ReconciliationData[[#This Row],[Billed_Units]])),ReconciliationData[[#This Row],[ordered_units]]&lt;&gt;ReconciliationData[[#This Row],[Billed_Units]]),1,0)</f>
        <v>0</v>
      </c>
      <c r="R25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2">
        <f>IF(AND(NOT(ISBLANK(ReconciliationData[[#This Row],[Contract_Price]])),ReconciliationData[[#This Row],[Billed_Price]]&lt;&gt;ReconciliationData[[#This Row],[Contract_Price]]),1,0)</f>
        <v>0</v>
      </c>
      <c r="T2592">
        <f>IF(AND(NOT(ISBLANK(ReconciliationData[[#This Row],[End_Date]])),ReconciliationData[[#This Row],[Order_Date]]&gt;ReconciliationData[[#This Row],[End_Date]]),1,0)</f>
        <v>0</v>
      </c>
      <c r="U2592">
        <f>IF(AND(NOT(ISBLANK(ReconciliationData[[#This Row],[last_return_date]])),ReconciliationData[[#This Row],[last_return_date]]&gt;ReconciliationData[[#This Row],[Order_Date]]+60),1,0)</f>
        <v>0</v>
      </c>
      <c r="V2592">
        <f>IF(ReconciliationData[[#This Row],[total_returned_units]]&gt;ReconciliationData[[#This Row],[ordered_units]],1,0)</f>
        <v>0</v>
      </c>
      <c r="W25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92">
        <f>ReconciliationData[[#This Row],[Billed_Units]]*ReconciliationData[[#This Row],[Billed_Price]]</f>
        <v>128567.376</v>
      </c>
      <c r="Y2592">
        <f>ReconciliationData[[#This Row],[ordered_units]]*ReconciliationData[[#This Row],[List_Price]]</f>
        <v>128567.376</v>
      </c>
      <c r="Z2592">
        <f>ReconciliationData[[#This Row],[billed_revenue]]-ReconciliationData[[#This Row],[expected_revenue]]</f>
        <v>0</v>
      </c>
      <c r="AA25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92" t="str">
        <f>IF(ReconciliationData[[#This Row],[severity_score]]=0,"LOW",
 IF(ReconciliationData[[#This Row],[severity_score]]&lt;=5,"MEDIUM","HIGH"))</f>
        <v>LOW</v>
      </c>
      <c r="AC2592" t="str">
        <f>TEXT(ReconciliationData[[#This Row],[Order_Date]],"YYYY-MM")</f>
        <v>2023-10</v>
      </c>
    </row>
    <row r="2593" spans="1:29">
      <c r="A2593" t="s">
        <v>6384</v>
      </c>
      <c r="B2593" s="1">
        <v>45576</v>
      </c>
      <c r="C2593" t="s">
        <v>2460</v>
      </c>
      <c r="D2593" t="s">
        <v>1105</v>
      </c>
      <c r="E2593">
        <v>139</v>
      </c>
      <c r="F2593" t="s">
        <v>6385</v>
      </c>
      <c r="G2593">
        <v>139</v>
      </c>
      <c r="H2593">
        <v>796.53</v>
      </c>
      <c r="N2593">
        <v>796.53</v>
      </c>
      <c r="O2593" s="1">
        <v>45172</v>
      </c>
      <c r="P2593">
        <f>IF(ISBLANK(ReconciliationData[[#This Row],[Invoice_ID]]),1,0)</f>
        <v>0</v>
      </c>
      <c r="Q2593">
        <f>IF(AND(NOT(ISBLANK(ReconciliationData[[#This Row],[Billed_Units]])),ReconciliationData[[#This Row],[ordered_units]]&lt;&gt;ReconciliationData[[#This Row],[Billed_Units]]),1,0)</f>
        <v>0</v>
      </c>
      <c r="R25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3">
        <f>IF(AND(NOT(ISBLANK(ReconciliationData[[#This Row],[Contract_Price]])),ReconciliationData[[#This Row],[Billed_Price]]&lt;&gt;ReconciliationData[[#This Row],[Contract_Price]]),1,0)</f>
        <v>0</v>
      </c>
      <c r="T2593">
        <f>IF(AND(NOT(ISBLANK(ReconciliationData[[#This Row],[End_Date]])),ReconciliationData[[#This Row],[Order_Date]]&gt;ReconciliationData[[#This Row],[End_Date]]),1,0)</f>
        <v>0</v>
      </c>
      <c r="U2593">
        <f>IF(AND(NOT(ISBLANK(ReconciliationData[[#This Row],[last_return_date]])),ReconciliationData[[#This Row],[last_return_date]]&gt;ReconciliationData[[#This Row],[Order_Date]]+60),1,0)</f>
        <v>0</v>
      </c>
      <c r="V2593">
        <f>IF(ReconciliationData[[#This Row],[total_returned_units]]&gt;ReconciliationData[[#This Row],[ordered_units]],1,0)</f>
        <v>0</v>
      </c>
      <c r="W25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93">
        <f>ReconciliationData[[#This Row],[Billed_Units]]*ReconciliationData[[#This Row],[Billed_Price]]</f>
        <v>110717.67</v>
      </c>
      <c r="Y2593">
        <f>ReconciliationData[[#This Row],[ordered_units]]*ReconciliationData[[#This Row],[List_Price]]</f>
        <v>110717.67</v>
      </c>
      <c r="Z2593">
        <f>ReconciliationData[[#This Row],[billed_revenue]]-ReconciliationData[[#This Row],[expected_revenue]]</f>
        <v>0</v>
      </c>
      <c r="AA25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93" t="str">
        <f>IF(ReconciliationData[[#This Row],[severity_score]]=0,"LOW",
 IF(ReconciliationData[[#This Row],[severity_score]]&lt;=5,"MEDIUM","HIGH"))</f>
        <v>LOW</v>
      </c>
      <c r="AC2593" t="str">
        <f>TEXT(ReconciliationData[[#This Row],[Order_Date]],"YYYY-MM")</f>
        <v>2024-10</v>
      </c>
    </row>
    <row r="2594" spans="1:29">
      <c r="A2594" t="s">
        <v>6386</v>
      </c>
      <c r="B2594" s="1">
        <v>45066</v>
      </c>
      <c r="C2594" t="s">
        <v>320</v>
      </c>
      <c r="D2594" t="s">
        <v>449</v>
      </c>
      <c r="E2594">
        <v>25</v>
      </c>
      <c r="F2594" t="s">
        <v>6387</v>
      </c>
      <c r="G2594">
        <v>25</v>
      </c>
      <c r="H2594">
        <v>1077.6702</v>
      </c>
      <c r="N2594">
        <v>1077.6702</v>
      </c>
      <c r="O2594" s="1">
        <v>44894</v>
      </c>
      <c r="P2594">
        <f>IF(ISBLANK(ReconciliationData[[#This Row],[Invoice_ID]]),1,0)</f>
        <v>0</v>
      </c>
      <c r="Q2594">
        <f>IF(AND(NOT(ISBLANK(ReconciliationData[[#This Row],[Billed_Units]])),ReconciliationData[[#This Row],[ordered_units]]&lt;&gt;ReconciliationData[[#This Row],[Billed_Units]]),1,0)</f>
        <v>0</v>
      </c>
      <c r="R25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4">
        <f>IF(AND(NOT(ISBLANK(ReconciliationData[[#This Row],[Contract_Price]])),ReconciliationData[[#This Row],[Billed_Price]]&lt;&gt;ReconciliationData[[#This Row],[Contract_Price]]),1,0)</f>
        <v>0</v>
      </c>
      <c r="T2594">
        <f>IF(AND(NOT(ISBLANK(ReconciliationData[[#This Row],[End_Date]])),ReconciliationData[[#This Row],[Order_Date]]&gt;ReconciliationData[[#This Row],[End_Date]]),1,0)</f>
        <v>0</v>
      </c>
      <c r="U2594">
        <f>IF(AND(NOT(ISBLANK(ReconciliationData[[#This Row],[last_return_date]])),ReconciliationData[[#This Row],[last_return_date]]&gt;ReconciliationData[[#This Row],[Order_Date]]+60),1,0)</f>
        <v>0</v>
      </c>
      <c r="V2594">
        <f>IF(ReconciliationData[[#This Row],[total_returned_units]]&gt;ReconciliationData[[#This Row],[ordered_units]],1,0)</f>
        <v>0</v>
      </c>
      <c r="W25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94">
        <f>ReconciliationData[[#This Row],[Billed_Units]]*ReconciliationData[[#This Row],[Billed_Price]]</f>
        <v>26941.755000000001</v>
      </c>
      <c r="Y2594">
        <f>ReconciliationData[[#This Row],[ordered_units]]*ReconciliationData[[#This Row],[List_Price]]</f>
        <v>26941.755000000001</v>
      </c>
      <c r="Z2594">
        <f>ReconciliationData[[#This Row],[billed_revenue]]-ReconciliationData[[#This Row],[expected_revenue]]</f>
        <v>0</v>
      </c>
      <c r="AA25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94" t="str">
        <f>IF(ReconciliationData[[#This Row],[severity_score]]=0,"LOW",
 IF(ReconciliationData[[#This Row],[severity_score]]&lt;=5,"MEDIUM","HIGH"))</f>
        <v>LOW</v>
      </c>
      <c r="AC2594" t="str">
        <f>TEXT(ReconciliationData[[#This Row],[Order_Date]],"YYYY-MM")</f>
        <v>2023-05</v>
      </c>
    </row>
    <row r="2595" spans="1:29">
      <c r="A2595" t="s">
        <v>6388</v>
      </c>
      <c r="B2595" s="1">
        <v>45225</v>
      </c>
      <c r="C2595" t="s">
        <v>2971</v>
      </c>
      <c r="D2595" t="s">
        <v>468</v>
      </c>
      <c r="E2595">
        <v>11</v>
      </c>
      <c r="F2595" t="s">
        <v>6389</v>
      </c>
      <c r="G2595">
        <v>9</v>
      </c>
      <c r="H2595">
        <v>372.85379999999998</v>
      </c>
      <c r="N2595">
        <v>372.85379999999998</v>
      </c>
      <c r="O2595" s="1">
        <v>45175</v>
      </c>
      <c r="P2595">
        <f>IF(ISBLANK(ReconciliationData[[#This Row],[Invoice_ID]]),1,0)</f>
        <v>0</v>
      </c>
      <c r="Q2595">
        <f>IF(AND(NOT(ISBLANK(ReconciliationData[[#This Row],[Billed_Units]])),ReconciliationData[[#This Row],[ordered_units]]&lt;&gt;ReconciliationData[[#This Row],[Billed_Units]]),1,0)</f>
        <v>1</v>
      </c>
      <c r="R25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5">
        <f>IF(AND(NOT(ISBLANK(ReconciliationData[[#This Row],[Contract_Price]])),ReconciliationData[[#This Row],[Billed_Price]]&lt;&gt;ReconciliationData[[#This Row],[Contract_Price]]),1,0)</f>
        <v>0</v>
      </c>
      <c r="T2595">
        <f>IF(AND(NOT(ISBLANK(ReconciliationData[[#This Row],[End_Date]])),ReconciliationData[[#This Row],[Order_Date]]&gt;ReconciliationData[[#This Row],[End_Date]]),1,0)</f>
        <v>0</v>
      </c>
      <c r="U2595">
        <f>IF(AND(NOT(ISBLANK(ReconciliationData[[#This Row],[last_return_date]])),ReconciliationData[[#This Row],[last_return_date]]&gt;ReconciliationData[[#This Row],[Order_Date]]+60),1,0)</f>
        <v>0</v>
      </c>
      <c r="V2595">
        <f>IF(ReconciliationData[[#This Row],[total_returned_units]]&gt;ReconciliationData[[#This Row],[ordered_units]],1,0)</f>
        <v>0</v>
      </c>
      <c r="W25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95">
        <f>ReconciliationData[[#This Row],[Billed_Units]]*ReconciliationData[[#This Row],[Billed_Price]]</f>
        <v>3355.6841999999997</v>
      </c>
      <c r="Y2595">
        <f>ReconciliationData[[#This Row],[ordered_units]]*ReconciliationData[[#This Row],[List_Price]]</f>
        <v>4101.3917999999994</v>
      </c>
      <c r="Z2595">
        <f>ReconciliationData[[#This Row],[billed_revenue]]-ReconciliationData[[#This Row],[expected_revenue]]</f>
        <v>-745.70759999999973</v>
      </c>
      <c r="AA25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595" t="str">
        <f>IF(ReconciliationData[[#This Row],[severity_score]]=0,"LOW",
 IF(ReconciliationData[[#This Row],[severity_score]]&lt;=5,"MEDIUM","HIGH"))</f>
        <v>HIGH</v>
      </c>
      <c r="AC2595" t="str">
        <f>TEXT(ReconciliationData[[#This Row],[Order_Date]],"YYYY-MM")</f>
        <v>2023-10</v>
      </c>
    </row>
    <row r="2596" spans="1:29">
      <c r="A2596" t="s">
        <v>6390</v>
      </c>
      <c r="B2596" s="1">
        <v>45076</v>
      </c>
      <c r="C2596" t="s">
        <v>2104</v>
      </c>
      <c r="D2596" t="s">
        <v>2444</v>
      </c>
      <c r="E2596">
        <v>105</v>
      </c>
      <c r="F2596" t="s">
        <v>6391</v>
      </c>
      <c r="G2596">
        <v>105</v>
      </c>
      <c r="H2596">
        <v>852.48720000000014</v>
      </c>
      <c r="I2596">
        <v>5</v>
      </c>
      <c r="J2596" s="1">
        <v>45665</v>
      </c>
      <c r="N2596">
        <v>852.48720000000014</v>
      </c>
      <c r="O2596" s="1">
        <v>44983</v>
      </c>
      <c r="P2596">
        <f>IF(ISBLANK(ReconciliationData[[#This Row],[Invoice_ID]]),1,0)</f>
        <v>0</v>
      </c>
      <c r="Q2596">
        <f>IF(AND(NOT(ISBLANK(ReconciliationData[[#This Row],[Billed_Units]])),ReconciliationData[[#This Row],[ordered_units]]&lt;&gt;ReconciliationData[[#This Row],[Billed_Units]]),1,0)</f>
        <v>0</v>
      </c>
      <c r="R25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6">
        <f>IF(AND(NOT(ISBLANK(ReconciliationData[[#This Row],[Contract_Price]])),ReconciliationData[[#This Row],[Billed_Price]]&lt;&gt;ReconciliationData[[#This Row],[Contract_Price]]),1,0)</f>
        <v>0</v>
      </c>
      <c r="T2596">
        <f>IF(AND(NOT(ISBLANK(ReconciliationData[[#This Row],[End_Date]])),ReconciliationData[[#This Row],[Order_Date]]&gt;ReconciliationData[[#This Row],[End_Date]]),1,0)</f>
        <v>0</v>
      </c>
      <c r="U2596">
        <f>IF(AND(NOT(ISBLANK(ReconciliationData[[#This Row],[last_return_date]])),ReconciliationData[[#This Row],[last_return_date]]&gt;ReconciliationData[[#This Row],[Order_Date]]+60),1,0)</f>
        <v>1</v>
      </c>
      <c r="V2596">
        <f>IF(ReconciliationData[[#This Row],[total_returned_units]]&gt;ReconciliationData[[#This Row],[ordered_units]],1,0)</f>
        <v>0</v>
      </c>
      <c r="W25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596">
        <f>ReconciliationData[[#This Row],[Billed_Units]]*ReconciliationData[[#This Row],[Billed_Price]]</f>
        <v>89511.156000000017</v>
      </c>
      <c r="Y2596">
        <f>ReconciliationData[[#This Row],[ordered_units]]*ReconciliationData[[#This Row],[List_Price]]</f>
        <v>89511.156000000017</v>
      </c>
      <c r="Z2596">
        <f>ReconciliationData[[#This Row],[billed_revenue]]-ReconciliationData[[#This Row],[expected_revenue]]</f>
        <v>0</v>
      </c>
      <c r="AA25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596" t="str">
        <f>IF(ReconciliationData[[#This Row],[severity_score]]=0,"LOW",
 IF(ReconciliationData[[#This Row],[severity_score]]&lt;=5,"MEDIUM","HIGH"))</f>
        <v>MEDIUM</v>
      </c>
      <c r="AC2596" t="str">
        <f>TEXT(ReconciliationData[[#This Row],[Order_Date]],"YYYY-MM")</f>
        <v>2023-05</v>
      </c>
    </row>
    <row r="2597" spans="1:29">
      <c r="A2597" t="s">
        <v>6392</v>
      </c>
      <c r="B2597" s="1">
        <v>45481</v>
      </c>
      <c r="C2597" t="s">
        <v>1634</v>
      </c>
      <c r="D2597" t="s">
        <v>1003</v>
      </c>
      <c r="E2597">
        <v>183</v>
      </c>
      <c r="F2597" t="s">
        <v>6393</v>
      </c>
      <c r="G2597">
        <v>183</v>
      </c>
      <c r="H2597">
        <v>825.13580000000002</v>
      </c>
      <c r="N2597">
        <v>825.13580000000002</v>
      </c>
      <c r="O2597" s="1">
        <v>44998</v>
      </c>
      <c r="P2597">
        <f>IF(ISBLANK(ReconciliationData[[#This Row],[Invoice_ID]]),1,0)</f>
        <v>0</v>
      </c>
      <c r="Q2597">
        <f>IF(AND(NOT(ISBLANK(ReconciliationData[[#This Row],[Billed_Units]])),ReconciliationData[[#This Row],[ordered_units]]&lt;&gt;ReconciliationData[[#This Row],[Billed_Units]]),1,0)</f>
        <v>0</v>
      </c>
      <c r="R25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7">
        <f>IF(AND(NOT(ISBLANK(ReconciliationData[[#This Row],[Contract_Price]])),ReconciliationData[[#This Row],[Billed_Price]]&lt;&gt;ReconciliationData[[#This Row],[Contract_Price]]),1,0)</f>
        <v>0</v>
      </c>
      <c r="T2597">
        <f>IF(AND(NOT(ISBLANK(ReconciliationData[[#This Row],[End_Date]])),ReconciliationData[[#This Row],[Order_Date]]&gt;ReconciliationData[[#This Row],[End_Date]]),1,0)</f>
        <v>0</v>
      </c>
      <c r="U2597">
        <f>IF(AND(NOT(ISBLANK(ReconciliationData[[#This Row],[last_return_date]])),ReconciliationData[[#This Row],[last_return_date]]&gt;ReconciliationData[[#This Row],[Order_Date]]+60),1,0)</f>
        <v>0</v>
      </c>
      <c r="V2597">
        <f>IF(ReconciliationData[[#This Row],[total_returned_units]]&gt;ReconciliationData[[#This Row],[ordered_units]],1,0)</f>
        <v>0</v>
      </c>
      <c r="W25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97">
        <f>ReconciliationData[[#This Row],[Billed_Units]]*ReconciliationData[[#This Row],[Billed_Price]]</f>
        <v>150999.85140000001</v>
      </c>
      <c r="Y2597">
        <f>ReconciliationData[[#This Row],[ordered_units]]*ReconciliationData[[#This Row],[List_Price]]</f>
        <v>150999.85140000001</v>
      </c>
      <c r="Z2597">
        <f>ReconciliationData[[#This Row],[billed_revenue]]-ReconciliationData[[#This Row],[expected_revenue]]</f>
        <v>0</v>
      </c>
      <c r="AA25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97" t="str">
        <f>IF(ReconciliationData[[#This Row],[severity_score]]=0,"LOW",
 IF(ReconciliationData[[#This Row],[severity_score]]&lt;=5,"MEDIUM","HIGH"))</f>
        <v>LOW</v>
      </c>
      <c r="AC2597" t="str">
        <f>TEXT(ReconciliationData[[#This Row],[Order_Date]],"YYYY-MM")</f>
        <v>2024-07</v>
      </c>
    </row>
    <row r="2598" spans="1:29">
      <c r="A2598" t="s">
        <v>6394</v>
      </c>
      <c r="B2598" s="1">
        <v>45012</v>
      </c>
      <c r="C2598" t="s">
        <v>2871</v>
      </c>
      <c r="D2598" t="s">
        <v>856</v>
      </c>
      <c r="E2598">
        <v>199</v>
      </c>
      <c r="F2598" t="s">
        <v>6395</v>
      </c>
      <c r="G2598">
        <v>199</v>
      </c>
      <c r="H2598">
        <v>1195.6769999999999</v>
      </c>
      <c r="N2598">
        <v>1195.6769999999999</v>
      </c>
      <c r="O2598" s="1">
        <v>45010</v>
      </c>
      <c r="P2598">
        <f>IF(ISBLANK(ReconciliationData[[#This Row],[Invoice_ID]]),1,0)</f>
        <v>0</v>
      </c>
      <c r="Q2598">
        <f>IF(AND(NOT(ISBLANK(ReconciliationData[[#This Row],[Billed_Units]])),ReconciliationData[[#This Row],[ordered_units]]&lt;&gt;ReconciliationData[[#This Row],[Billed_Units]]),1,0)</f>
        <v>0</v>
      </c>
      <c r="R25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8">
        <f>IF(AND(NOT(ISBLANK(ReconciliationData[[#This Row],[Contract_Price]])),ReconciliationData[[#This Row],[Billed_Price]]&lt;&gt;ReconciliationData[[#This Row],[Contract_Price]]),1,0)</f>
        <v>0</v>
      </c>
      <c r="T2598">
        <f>IF(AND(NOT(ISBLANK(ReconciliationData[[#This Row],[End_Date]])),ReconciliationData[[#This Row],[Order_Date]]&gt;ReconciliationData[[#This Row],[End_Date]]),1,0)</f>
        <v>0</v>
      </c>
      <c r="U2598">
        <f>IF(AND(NOT(ISBLANK(ReconciliationData[[#This Row],[last_return_date]])),ReconciliationData[[#This Row],[last_return_date]]&gt;ReconciliationData[[#This Row],[Order_Date]]+60),1,0)</f>
        <v>0</v>
      </c>
      <c r="V2598">
        <f>IF(ReconciliationData[[#This Row],[total_returned_units]]&gt;ReconciliationData[[#This Row],[ordered_units]],1,0)</f>
        <v>0</v>
      </c>
      <c r="W25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98">
        <f>ReconciliationData[[#This Row],[Billed_Units]]*ReconciliationData[[#This Row],[Billed_Price]]</f>
        <v>237939.72299999997</v>
      </c>
      <c r="Y2598">
        <f>ReconciliationData[[#This Row],[ordered_units]]*ReconciliationData[[#This Row],[List_Price]]</f>
        <v>237939.72299999997</v>
      </c>
      <c r="Z2598">
        <f>ReconciliationData[[#This Row],[billed_revenue]]-ReconciliationData[[#This Row],[expected_revenue]]</f>
        <v>0</v>
      </c>
      <c r="AA25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98" t="str">
        <f>IF(ReconciliationData[[#This Row],[severity_score]]=0,"LOW",
 IF(ReconciliationData[[#This Row],[severity_score]]&lt;=5,"MEDIUM","HIGH"))</f>
        <v>LOW</v>
      </c>
      <c r="AC2598" t="str">
        <f>TEXT(ReconciliationData[[#This Row],[Order_Date]],"YYYY-MM")</f>
        <v>2023-03</v>
      </c>
    </row>
    <row r="2599" spans="1:29">
      <c r="A2599" t="s">
        <v>6396</v>
      </c>
      <c r="B2599" s="1">
        <v>45628</v>
      </c>
      <c r="C2599" t="s">
        <v>2067</v>
      </c>
      <c r="D2599" t="s">
        <v>243</v>
      </c>
      <c r="E2599">
        <v>128</v>
      </c>
      <c r="F2599" t="s">
        <v>6397</v>
      </c>
      <c r="G2599">
        <v>128</v>
      </c>
      <c r="H2599">
        <v>129.17519999999999</v>
      </c>
      <c r="N2599">
        <v>129.17519999999999</v>
      </c>
      <c r="O2599" s="1">
        <v>45184</v>
      </c>
      <c r="P2599">
        <f>IF(ISBLANK(ReconciliationData[[#This Row],[Invoice_ID]]),1,0)</f>
        <v>0</v>
      </c>
      <c r="Q2599">
        <f>IF(AND(NOT(ISBLANK(ReconciliationData[[#This Row],[Billed_Units]])),ReconciliationData[[#This Row],[ordered_units]]&lt;&gt;ReconciliationData[[#This Row],[Billed_Units]]),1,0)</f>
        <v>0</v>
      </c>
      <c r="R25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599">
        <f>IF(AND(NOT(ISBLANK(ReconciliationData[[#This Row],[Contract_Price]])),ReconciliationData[[#This Row],[Billed_Price]]&lt;&gt;ReconciliationData[[#This Row],[Contract_Price]]),1,0)</f>
        <v>0</v>
      </c>
      <c r="T2599">
        <f>IF(AND(NOT(ISBLANK(ReconciliationData[[#This Row],[End_Date]])),ReconciliationData[[#This Row],[Order_Date]]&gt;ReconciliationData[[#This Row],[End_Date]]),1,0)</f>
        <v>0</v>
      </c>
      <c r="U2599">
        <f>IF(AND(NOT(ISBLANK(ReconciliationData[[#This Row],[last_return_date]])),ReconciliationData[[#This Row],[last_return_date]]&gt;ReconciliationData[[#This Row],[Order_Date]]+60),1,0)</f>
        <v>0</v>
      </c>
      <c r="V2599">
        <f>IF(ReconciliationData[[#This Row],[total_returned_units]]&gt;ReconciliationData[[#This Row],[ordered_units]],1,0)</f>
        <v>0</v>
      </c>
      <c r="W25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599">
        <f>ReconciliationData[[#This Row],[Billed_Units]]*ReconciliationData[[#This Row],[Billed_Price]]</f>
        <v>16534.425599999999</v>
      </c>
      <c r="Y2599">
        <f>ReconciliationData[[#This Row],[ordered_units]]*ReconciliationData[[#This Row],[List_Price]]</f>
        <v>16534.425599999999</v>
      </c>
      <c r="Z2599">
        <f>ReconciliationData[[#This Row],[billed_revenue]]-ReconciliationData[[#This Row],[expected_revenue]]</f>
        <v>0</v>
      </c>
      <c r="AA25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599" t="str">
        <f>IF(ReconciliationData[[#This Row],[severity_score]]=0,"LOW",
 IF(ReconciliationData[[#This Row],[severity_score]]&lt;=5,"MEDIUM","HIGH"))</f>
        <v>LOW</v>
      </c>
      <c r="AC2599" t="str">
        <f>TEXT(ReconciliationData[[#This Row],[Order_Date]],"YYYY-MM")</f>
        <v>2024-12</v>
      </c>
    </row>
    <row r="2600" spans="1:29">
      <c r="A2600" t="s">
        <v>6398</v>
      </c>
      <c r="B2600" s="1">
        <v>45154</v>
      </c>
      <c r="C2600" t="s">
        <v>936</v>
      </c>
      <c r="D2600" t="s">
        <v>639</v>
      </c>
      <c r="E2600">
        <v>120</v>
      </c>
      <c r="F2600" t="s">
        <v>6399</v>
      </c>
      <c r="G2600">
        <v>120</v>
      </c>
      <c r="H2600">
        <v>945.38850000000002</v>
      </c>
      <c r="N2600">
        <v>945.38850000000002</v>
      </c>
      <c r="O2600" s="1">
        <v>45047</v>
      </c>
      <c r="P2600">
        <f>IF(ISBLANK(ReconciliationData[[#This Row],[Invoice_ID]]),1,0)</f>
        <v>0</v>
      </c>
      <c r="Q2600">
        <f>IF(AND(NOT(ISBLANK(ReconciliationData[[#This Row],[Billed_Units]])),ReconciliationData[[#This Row],[ordered_units]]&lt;&gt;ReconciliationData[[#This Row],[Billed_Units]]),1,0)</f>
        <v>0</v>
      </c>
      <c r="R26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0">
        <f>IF(AND(NOT(ISBLANK(ReconciliationData[[#This Row],[Contract_Price]])),ReconciliationData[[#This Row],[Billed_Price]]&lt;&gt;ReconciliationData[[#This Row],[Contract_Price]]),1,0)</f>
        <v>0</v>
      </c>
      <c r="T2600">
        <f>IF(AND(NOT(ISBLANK(ReconciliationData[[#This Row],[End_Date]])),ReconciliationData[[#This Row],[Order_Date]]&gt;ReconciliationData[[#This Row],[End_Date]]),1,0)</f>
        <v>0</v>
      </c>
      <c r="U2600">
        <f>IF(AND(NOT(ISBLANK(ReconciliationData[[#This Row],[last_return_date]])),ReconciliationData[[#This Row],[last_return_date]]&gt;ReconciliationData[[#This Row],[Order_Date]]+60),1,0)</f>
        <v>0</v>
      </c>
      <c r="V2600">
        <f>IF(ReconciliationData[[#This Row],[total_returned_units]]&gt;ReconciliationData[[#This Row],[ordered_units]],1,0)</f>
        <v>0</v>
      </c>
      <c r="W26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00">
        <f>ReconciliationData[[#This Row],[Billed_Units]]*ReconciliationData[[#This Row],[Billed_Price]]</f>
        <v>113446.62</v>
      </c>
      <c r="Y2600">
        <f>ReconciliationData[[#This Row],[ordered_units]]*ReconciliationData[[#This Row],[List_Price]]</f>
        <v>113446.62</v>
      </c>
      <c r="Z2600">
        <f>ReconciliationData[[#This Row],[billed_revenue]]-ReconciliationData[[#This Row],[expected_revenue]]</f>
        <v>0</v>
      </c>
      <c r="AA26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00" t="str">
        <f>IF(ReconciliationData[[#This Row],[severity_score]]=0,"LOW",
 IF(ReconciliationData[[#This Row],[severity_score]]&lt;=5,"MEDIUM","HIGH"))</f>
        <v>LOW</v>
      </c>
      <c r="AC2600" t="str">
        <f>TEXT(ReconciliationData[[#This Row],[Order_Date]],"YYYY-MM")</f>
        <v>2023-08</v>
      </c>
    </row>
    <row r="2601" spans="1:29">
      <c r="A2601" t="s">
        <v>6400</v>
      </c>
      <c r="B2601" s="1">
        <v>45445</v>
      </c>
      <c r="C2601" t="s">
        <v>6401</v>
      </c>
      <c r="D2601" t="s">
        <v>239</v>
      </c>
      <c r="E2601">
        <v>74</v>
      </c>
      <c r="F2601" t="s">
        <v>6402</v>
      </c>
      <c r="G2601">
        <v>74</v>
      </c>
      <c r="H2601">
        <v>1218.568</v>
      </c>
      <c r="N2601">
        <v>1218.568</v>
      </c>
      <c r="O2601" s="1">
        <v>45061</v>
      </c>
      <c r="P2601">
        <f>IF(ISBLANK(ReconciliationData[[#This Row],[Invoice_ID]]),1,0)</f>
        <v>0</v>
      </c>
      <c r="Q2601">
        <f>IF(AND(NOT(ISBLANK(ReconciliationData[[#This Row],[Billed_Units]])),ReconciliationData[[#This Row],[ordered_units]]&lt;&gt;ReconciliationData[[#This Row],[Billed_Units]]),1,0)</f>
        <v>0</v>
      </c>
      <c r="R26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1">
        <f>IF(AND(NOT(ISBLANK(ReconciliationData[[#This Row],[Contract_Price]])),ReconciliationData[[#This Row],[Billed_Price]]&lt;&gt;ReconciliationData[[#This Row],[Contract_Price]]),1,0)</f>
        <v>0</v>
      </c>
      <c r="T2601">
        <f>IF(AND(NOT(ISBLANK(ReconciliationData[[#This Row],[End_Date]])),ReconciliationData[[#This Row],[Order_Date]]&gt;ReconciliationData[[#This Row],[End_Date]]),1,0)</f>
        <v>0</v>
      </c>
      <c r="U2601">
        <f>IF(AND(NOT(ISBLANK(ReconciliationData[[#This Row],[last_return_date]])),ReconciliationData[[#This Row],[last_return_date]]&gt;ReconciliationData[[#This Row],[Order_Date]]+60),1,0)</f>
        <v>0</v>
      </c>
      <c r="V2601">
        <f>IF(ReconciliationData[[#This Row],[total_returned_units]]&gt;ReconciliationData[[#This Row],[ordered_units]],1,0)</f>
        <v>0</v>
      </c>
      <c r="W26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01">
        <f>ReconciliationData[[#This Row],[Billed_Units]]*ReconciliationData[[#This Row],[Billed_Price]]</f>
        <v>90174.031999999992</v>
      </c>
      <c r="Y2601">
        <f>ReconciliationData[[#This Row],[ordered_units]]*ReconciliationData[[#This Row],[List_Price]]</f>
        <v>90174.031999999992</v>
      </c>
      <c r="Z2601">
        <f>ReconciliationData[[#This Row],[billed_revenue]]-ReconciliationData[[#This Row],[expected_revenue]]</f>
        <v>0</v>
      </c>
      <c r="AA26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01" t="str">
        <f>IF(ReconciliationData[[#This Row],[severity_score]]=0,"LOW",
 IF(ReconciliationData[[#This Row],[severity_score]]&lt;=5,"MEDIUM","HIGH"))</f>
        <v>LOW</v>
      </c>
      <c r="AC2601" t="str">
        <f>TEXT(ReconciliationData[[#This Row],[Order_Date]],"YYYY-MM")</f>
        <v>2024-06</v>
      </c>
    </row>
    <row r="2602" spans="1:29">
      <c r="A2602" t="s">
        <v>6403</v>
      </c>
      <c r="B2602" s="1">
        <v>45499</v>
      </c>
      <c r="C2602" t="s">
        <v>403</v>
      </c>
      <c r="D2602" t="s">
        <v>1470</v>
      </c>
      <c r="E2602">
        <v>139</v>
      </c>
      <c r="F2602" t="s">
        <v>6404</v>
      </c>
      <c r="G2602">
        <v>139</v>
      </c>
      <c r="H2602">
        <v>690.05370000000005</v>
      </c>
      <c r="N2602">
        <v>690.05370000000005</v>
      </c>
      <c r="O2602" s="1">
        <v>44976</v>
      </c>
      <c r="P2602">
        <f>IF(ISBLANK(ReconciliationData[[#This Row],[Invoice_ID]]),1,0)</f>
        <v>0</v>
      </c>
      <c r="Q2602">
        <f>IF(AND(NOT(ISBLANK(ReconciliationData[[#This Row],[Billed_Units]])),ReconciliationData[[#This Row],[ordered_units]]&lt;&gt;ReconciliationData[[#This Row],[Billed_Units]]),1,0)</f>
        <v>0</v>
      </c>
      <c r="R26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2">
        <f>IF(AND(NOT(ISBLANK(ReconciliationData[[#This Row],[Contract_Price]])),ReconciliationData[[#This Row],[Billed_Price]]&lt;&gt;ReconciliationData[[#This Row],[Contract_Price]]),1,0)</f>
        <v>0</v>
      </c>
      <c r="T2602">
        <f>IF(AND(NOT(ISBLANK(ReconciliationData[[#This Row],[End_Date]])),ReconciliationData[[#This Row],[Order_Date]]&gt;ReconciliationData[[#This Row],[End_Date]]),1,0)</f>
        <v>0</v>
      </c>
      <c r="U2602">
        <f>IF(AND(NOT(ISBLANK(ReconciliationData[[#This Row],[last_return_date]])),ReconciliationData[[#This Row],[last_return_date]]&gt;ReconciliationData[[#This Row],[Order_Date]]+60),1,0)</f>
        <v>0</v>
      </c>
      <c r="V2602">
        <f>IF(ReconciliationData[[#This Row],[total_returned_units]]&gt;ReconciliationData[[#This Row],[ordered_units]],1,0)</f>
        <v>0</v>
      </c>
      <c r="W26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02">
        <f>ReconciliationData[[#This Row],[Billed_Units]]*ReconciliationData[[#This Row],[Billed_Price]]</f>
        <v>95917.464300000007</v>
      </c>
      <c r="Y2602">
        <f>ReconciliationData[[#This Row],[ordered_units]]*ReconciliationData[[#This Row],[List_Price]]</f>
        <v>95917.464300000007</v>
      </c>
      <c r="Z2602">
        <f>ReconciliationData[[#This Row],[billed_revenue]]-ReconciliationData[[#This Row],[expected_revenue]]</f>
        <v>0</v>
      </c>
      <c r="AA26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02" t="str">
        <f>IF(ReconciliationData[[#This Row],[severity_score]]=0,"LOW",
 IF(ReconciliationData[[#This Row],[severity_score]]&lt;=5,"MEDIUM","HIGH"))</f>
        <v>LOW</v>
      </c>
      <c r="AC2602" t="str">
        <f>TEXT(ReconciliationData[[#This Row],[Order_Date]],"YYYY-MM")</f>
        <v>2024-07</v>
      </c>
    </row>
    <row r="2603" spans="1:29">
      <c r="A2603" t="s">
        <v>6405</v>
      </c>
      <c r="B2603" s="1">
        <v>45595</v>
      </c>
      <c r="C2603" t="s">
        <v>1640</v>
      </c>
      <c r="D2603" t="s">
        <v>548</v>
      </c>
      <c r="E2603">
        <v>171</v>
      </c>
      <c r="F2603" t="s">
        <v>6406</v>
      </c>
      <c r="G2603">
        <v>171</v>
      </c>
      <c r="H2603">
        <v>1072.1079000000002</v>
      </c>
      <c r="N2603">
        <v>1072.1079000000002</v>
      </c>
      <c r="O2603" s="1">
        <v>45035</v>
      </c>
      <c r="P2603">
        <f>IF(ISBLANK(ReconciliationData[[#This Row],[Invoice_ID]]),1,0)</f>
        <v>0</v>
      </c>
      <c r="Q2603">
        <f>IF(AND(NOT(ISBLANK(ReconciliationData[[#This Row],[Billed_Units]])),ReconciliationData[[#This Row],[ordered_units]]&lt;&gt;ReconciliationData[[#This Row],[Billed_Units]]),1,0)</f>
        <v>0</v>
      </c>
      <c r="R26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3">
        <f>IF(AND(NOT(ISBLANK(ReconciliationData[[#This Row],[Contract_Price]])),ReconciliationData[[#This Row],[Billed_Price]]&lt;&gt;ReconciliationData[[#This Row],[Contract_Price]]),1,0)</f>
        <v>0</v>
      </c>
      <c r="T2603">
        <f>IF(AND(NOT(ISBLANK(ReconciliationData[[#This Row],[End_Date]])),ReconciliationData[[#This Row],[Order_Date]]&gt;ReconciliationData[[#This Row],[End_Date]]),1,0)</f>
        <v>0</v>
      </c>
      <c r="U2603">
        <f>IF(AND(NOT(ISBLANK(ReconciliationData[[#This Row],[last_return_date]])),ReconciliationData[[#This Row],[last_return_date]]&gt;ReconciliationData[[#This Row],[Order_Date]]+60),1,0)</f>
        <v>0</v>
      </c>
      <c r="V2603">
        <f>IF(ReconciliationData[[#This Row],[total_returned_units]]&gt;ReconciliationData[[#This Row],[ordered_units]],1,0)</f>
        <v>0</v>
      </c>
      <c r="W26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03">
        <f>ReconciliationData[[#This Row],[Billed_Units]]*ReconciliationData[[#This Row],[Billed_Price]]</f>
        <v>183330.45090000003</v>
      </c>
      <c r="Y2603">
        <f>ReconciliationData[[#This Row],[ordered_units]]*ReconciliationData[[#This Row],[List_Price]]</f>
        <v>183330.45090000003</v>
      </c>
      <c r="Z2603">
        <f>ReconciliationData[[#This Row],[billed_revenue]]-ReconciliationData[[#This Row],[expected_revenue]]</f>
        <v>0</v>
      </c>
      <c r="AA26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03" t="str">
        <f>IF(ReconciliationData[[#This Row],[severity_score]]=0,"LOW",
 IF(ReconciliationData[[#This Row],[severity_score]]&lt;=5,"MEDIUM","HIGH"))</f>
        <v>LOW</v>
      </c>
      <c r="AC2603" t="str">
        <f>TEXT(ReconciliationData[[#This Row],[Order_Date]],"YYYY-MM")</f>
        <v>2024-10</v>
      </c>
    </row>
    <row r="2604" spans="1:29">
      <c r="A2604" t="s">
        <v>6407</v>
      </c>
      <c r="B2604" s="1">
        <v>45347</v>
      </c>
      <c r="C2604" t="s">
        <v>728</v>
      </c>
      <c r="D2604" t="s">
        <v>2682</v>
      </c>
      <c r="E2604">
        <v>176</v>
      </c>
      <c r="F2604" t="s">
        <v>6408</v>
      </c>
      <c r="G2604">
        <v>176</v>
      </c>
      <c r="H2604">
        <v>1032.7408</v>
      </c>
      <c r="N2604">
        <v>1032.7408</v>
      </c>
      <c r="O2604" s="1">
        <v>45077</v>
      </c>
      <c r="P2604">
        <f>IF(ISBLANK(ReconciliationData[[#This Row],[Invoice_ID]]),1,0)</f>
        <v>0</v>
      </c>
      <c r="Q2604">
        <f>IF(AND(NOT(ISBLANK(ReconciliationData[[#This Row],[Billed_Units]])),ReconciliationData[[#This Row],[ordered_units]]&lt;&gt;ReconciliationData[[#This Row],[Billed_Units]]),1,0)</f>
        <v>0</v>
      </c>
      <c r="R26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4">
        <f>IF(AND(NOT(ISBLANK(ReconciliationData[[#This Row],[Contract_Price]])),ReconciliationData[[#This Row],[Billed_Price]]&lt;&gt;ReconciliationData[[#This Row],[Contract_Price]]),1,0)</f>
        <v>0</v>
      </c>
      <c r="T2604">
        <f>IF(AND(NOT(ISBLANK(ReconciliationData[[#This Row],[End_Date]])),ReconciliationData[[#This Row],[Order_Date]]&gt;ReconciliationData[[#This Row],[End_Date]]),1,0)</f>
        <v>0</v>
      </c>
      <c r="U2604">
        <f>IF(AND(NOT(ISBLANK(ReconciliationData[[#This Row],[last_return_date]])),ReconciliationData[[#This Row],[last_return_date]]&gt;ReconciliationData[[#This Row],[Order_Date]]+60),1,0)</f>
        <v>0</v>
      </c>
      <c r="V2604">
        <f>IF(ReconciliationData[[#This Row],[total_returned_units]]&gt;ReconciliationData[[#This Row],[ordered_units]],1,0)</f>
        <v>0</v>
      </c>
      <c r="W26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04">
        <f>ReconciliationData[[#This Row],[Billed_Units]]*ReconciliationData[[#This Row],[Billed_Price]]</f>
        <v>181762.38080000001</v>
      </c>
      <c r="Y2604">
        <f>ReconciliationData[[#This Row],[ordered_units]]*ReconciliationData[[#This Row],[List_Price]]</f>
        <v>181762.38080000001</v>
      </c>
      <c r="Z2604">
        <f>ReconciliationData[[#This Row],[billed_revenue]]-ReconciliationData[[#This Row],[expected_revenue]]</f>
        <v>0</v>
      </c>
      <c r="AA26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04" t="str">
        <f>IF(ReconciliationData[[#This Row],[severity_score]]=0,"LOW",
 IF(ReconciliationData[[#This Row],[severity_score]]&lt;=5,"MEDIUM","HIGH"))</f>
        <v>LOW</v>
      </c>
      <c r="AC2604" t="str">
        <f>TEXT(ReconciliationData[[#This Row],[Order_Date]],"YYYY-MM")</f>
        <v>2024-02</v>
      </c>
    </row>
    <row r="2605" spans="1:29">
      <c r="A2605" t="s">
        <v>6409</v>
      </c>
      <c r="B2605" s="1">
        <v>45631</v>
      </c>
      <c r="C2605" t="s">
        <v>437</v>
      </c>
      <c r="D2605" t="s">
        <v>1245</v>
      </c>
      <c r="E2605">
        <v>120</v>
      </c>
      <c r="F2605" t="s">
        <v>6410</v>
      </c>
      <c r="G2605">
        <v>120</v>
      </c>
      <c r="H2605">
        <v>247.48920000000001</v>
      </c>
      <c r="N2605">
        <v>247.48920000000001</v>
      </c>
      <c r="O2605" s="1">
        <v>45088</v>
      </c>
      <c r="P2605">
        <f>IF(ISBLANK(ReconciliationData[[#This Row],[Invoice_ID]]),1,0)</f>
        <v>0</v>
      </c>
      <c r="Q2605">
        <f>IF(AND(NOT(ISBLANK(ReconciliationData[[#This Row],[Billed_Units]])),ReconciliationData[[#This Row],[ordered_units]]&lt;&gt;ReconciliationData[[#This Row],[Billed_Units]]),1,0)</f>
        <v>0</v>
      </c>
      <c r="R26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5">
        <f>IF(AND(NOT(ISBLANK(ReconciliationData[[#This Row],[Contract_Price]])),ReconciliationData[[#This Row],[Billed_Price]]&lt;&gt;ReconciliationData[[#This Row],[Contract_Price]]),1,0)</f>
        <v>0</v>
      </c>
      <c r="T2605">
        <f>IF(AND(NOT(ISBLANK(ReconciliationData[[#This Row],[End_Date]])),ReconciliationData[[#This Row],[Order_Date]]&gt;ReconciliationData[[#This Row],[End_Date]]),1,0)</f>
        <v>0</v>
      </c>
      <c r="U2605">
        <f>IF(AND(NOT(ISBLANK(ReconciliationData[[#This Row],[last_return_date]])),ReconciliationData[[#This Row],[last_return_date]]&gt;ReconciliationData[[#This Row],[Order_Date]]+60),1,0)</f>
        <v>0</v>
      </c>
      <c r="V2605">
        <f>IF(ReconciliationData[[#This Row],[total_returned_units]]&gt;ReconciliationData[[#This Row],[ordered_units]],1,0)</f>
        <v>0</v>
      </c>
      <c r="W26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05">
        <f>ReconciliationData[[#This Row],[Billed_Units]]*ReconciliationData[[#This Row],[Billed_Price]]</f>
        <v>29698.704000000002</v>
      </c>
      <c r="Y2605">
        <f>ReconciliationData[[#This Row],[ordered_units]]*ReconciliationData[[#This Row],[List_Price]]</f>
        <v>29698.704000000002</v>
      </c>
      <c r="Z2605">
        <f>ReconciliationData[[#This Row],[billed_revenue]]-ReconciliationData[[#This Row],[expected_revenue]]</f>
        <v>0</v>
      </c>
      <c r="AA26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05" t="str">
        <f>IF(ReconciliationData[[#This Row],[severity_score]]=0,"LOW",
 IF(ReconciliationData[[#This Row],[severity_score]]&lt;=5,"MEDIUM","HIGH"))</f>
        <v>LOW</v>
      </c>
      <c r="AC2605" t="str">
        <f>TEXT(ReconciliationData[[#This Row],[Order_Date]],"YYYY-MM")</f>
        <v>2024-12</v>
      </c>
    </row>
    <row r="2606" spans="1:29">
      <c r="A2606" t="s">
        <v>6411</v>
      </c>
      <c r="B2606" s="1">
        <v>45619</v>
      </c>
      <c r="C2606" t="s">
        <v>781</v>
      </c>
      <c r="D2606" t="s">
        <v>370</v>
      </c>
      <c r="E2606">
        <v>111</v>
      </c>
      <c r="F2606" t="s">
        <v>6412</v>
      </c>
      <c r="G2606">
        <v>111</v>
      </c>
      <c r="H2606">
        <v>639.91840000000002</v>
      </c>
      <c r="N2606">
        <v>639.91840000000002</v>
      </c>
      <c r="O2606" s="1">
        <v>44930</v>
      </c>
      <c r="P2606">
        <f>IF(ISBLANK(ReconciliationData[[#This Row],[Invoice_ID]]),1,0)</f>
        <v>0</v>
      </c>
      <c r="Q2606">
        <f>IF(AND(NOT(ISBLANK(ReconciliationData[[#This Row],[Billed_Units]])),ReconciliationData[[#This Row],[ordered_units]]&lt;&gt;ReconciliationData[[#This Row],[Billed_Units]]),1,0)</f>
        <v>0</v>
      </c>
      <c r="R26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6">
        <f>IF(AND(NOT(ISBLANK(ReconciliationData[[#This Row],[Contract_Price]])),ReconciliationData[[#This Row],[Billed_Price]]&lt;&gt;ReconciliationData[[#This Row],[Contract_Price]]),1,0)</f>
        <v>0</v>
      </c>
      <c r="T2606">
        <f>IF(AND(NOT(ISBLANK(ReconciliationData[[#This Row],[End_Date]])),ReconciliationData[[#This Row],[Order_Date]]&gt;ReconciliationData[[#This Row],[End_Date]]),1,0)</f>
        <v>0</v>
      </c>
      <c r="U2606">
        <f>IF(AND(NOT(ISBLANK(ReconciliationData[[#This Row],[last_return_date]])),ReconciliationData[[#This Row],[last_return_date]]&gt;ReconciliationData[[#This Row],[Order_Date]]+60),1,0)</f>
        <v>0</v>
      </c>
      <c r="V2606">
        <f>IF(ReconciliationData[[#This Row],[total_returned_units]]&gt;ReconciliationData[[#This Row],[ordered_units]],1,0)</f>
        <v>0</v>
      </c>
      <c r="W26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06">
        <f>ReconciliationData[[#This Row],[Billed_Units]]*ReconciliationData[[#This Row],[Billed_Price]]</f>
        <v>71030.9424</v>
      </c>
      <c r="Y2606">
        <f>ReconciliationData[[#This Row],[ordered_units]]*ReconciliationData[[#This Row],[List_Price]]</f>
        <v>71030.9424</v>
      </c>
      <c r="Z2606">
        <f>ReconciliationData[[#This Row],[billed_revenue]]-ReconciliationData[[#This Row],[expected_revenue]]</f>
        <v>0</v>
      </c>
      <c r="AA26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06" t="str">
        <f>IF(ReconciliationData[[#This Row],[severity_score]]=0,"LOW",
 IF(ReconciliationData[[#This Row],[severity_score]]&lt;=5,"MEDIUM","HIGH"))</f>
        <v>LOW</v>
      </c>
      <c r="AC2606" t="str">
        <f>TEXT(ReconciliationData[[#This Row],[Order_Date]],"YYYY-MM")</f>
        <v>2024-11</v>
      </c>
    </row>
    <row r="2607" spans="1:29">
      <c r="A2607" t="s">
        <v>6413</v>
      </c>
      <c r="B2607" s="1">
        <v>45408</v>
      </c>
      <c r="C2607" t="s">
        <v>1435</v>
      </c>
      <c r="D2607" t="s">
        <v>182</v>
      </c>
      <c r="E2607">
        <v>181</v>
      </c>
      <c r="F2607" t="s">
        <v>6414</v>
      </c>
      <c r="G2607">
        <v>181</v>
      </c>
      <c r="H2607">
        <v>689.58720000000005</v>
      </c>
      <c r="N2607">
        <v>689.58720000000005</v>
      </c>
      <c r="O2607" s="1">
        <v>45224</v>
      </c>
      <c r="P2607">
        <f>IF(ISBLANK(ReconciliationData[[#This Row],[Invoice_ID]]),1,0)</f>
        <v>0</v>
      </c>
      <c r="Q2607">
        <f>IF(AND(NOT(ISBLANK(ReconciliationData[[#This Row],[Billed_Units]])),ReconciliationData[[#This Row],[ordered_units]]&lt;&gt;ReconciliationData[[#This Row],[Billed_Units]]),1,0)</f>
        <v>0</v>
      </c>
      <c r="R26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7">
        <f>IF(AND(NOT(ISBLANK(ReconciliationData[[#This Row],[Contract_Price]])),ReconciliationData[[#This Row],[Billed_Price]]&lt;&gt;ReconciliationData[[#This Row],[Contract_Price]]),1,0)</f>
        <v>0</v>
      </c>
      <c r="T2607">
        <f>IF(AND(NOT(ISBLANK(ReconciliationData[[#This Row],[End_Date]])),ReconciliationData[[#This Row],[Order_Date]]&gt;ReconciliationData[[#This Row],[End_Date]]),1,0)</f>
        <v>0</v>
      </c>
      <c r="U2607">
        <f>IF(AND(NOT(ISBLANK(ReconciliationData[[#This Row],[last_return_date]])),ReconciliationData[[#This Row],[last_return_date]]&gt;ReconciliationData[[#This Row],[Order_Date]]+60),1,0)</f>
        <v>0</v>
      </c>
      <c r="V2607">
        <f>IF(ReconciliationData[[#This Row],[total_returned_units]]&gt;ReconciliationData[[#This Row],[ordered_units]],1,0)</f>
        <v>0</v>
      </c>
      <c r="W26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07">
        <f>ReconciliationData[[#This Row],[Billed_Units]]*ReconciliationData[[#This Row],[Billed_Price]]</f>
        <v>124815.28320000001</v>
      </c>
      <c r="Y2607">
        <f>ReconciliationData[[#This Row],[ordered_units]]*ReconciliationData[[#This Row],[List_Price]]</f>
        <v>124815.28320000001</v>
      </c>
      <c r="Z2607">
        <f>ReconciliationData[[#This Row],[billed_revenue]]-ReconciliationData[[#This Row],[expected_revenue]]</f>
        <v>0</v>
      </c>
      <c r="AA26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07" t="str">
        <f>IF(ReconciliationData[[#This Row],[severity_score]]=0,"LOW",
 IF(ReconciliationData[[#This Row],[severity_score]]&lt;=5,"MEDIUM","HIGH"))</f>
        <v>LOW</v>
      </c>
      <c r="AC2607" t="str">
        <f>TEXT(ReconciliationData[[#This Row],[Order_Date]],"YYYY-MM")</f>
        <v>2024-04</v>
      </c>
    </row>
    <row r="2608" spans="1:29">
      <c r="A2608" t="s">
        <v>6415</v>
      </c>
      <c r="B2608" s="1">
        <v>45314</v>
      </c>
      <c r="C2608" t="s">
        <v>3011</v>
      </c>
      <c r="D2608" t="s">
        <v>349</v>
      </c>
      <c r="E2608">
        <v>113</v>
      </c>
      <c r="F2608" t="s">
        <v>6416</v>
      </c>
      <c r="G2608">
        <v>113</v>
      </c>
      <c r="H2608">
        <v>61.845300000000002</v>
      </c>
      <c r="N2608">
        <v>61.845300000000002</v>
      </c>
      <c r="O2608" s="1">
        <v>45226</v>
      </c>
      <c r="P2608">
        <f>IF(ISBLANK(ReconciliationData[[#This Row],[Invoice_ID]]),1,0)</f>
        <v>0</v>
      </c>
      <c r="Q2608">
        <f>IF(AND(NOT(ISBLANK(ReconciliationData[[#This Row],[Billed_Units]])),ReconciliationData[[#This Row],[ordered_units]]&lt;&gt;ReconciliationData[[#This Row],[Billed_Units]]),1,0)</f>
        <v>0</v>
      </c>
      <c r="R26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8">
        <f>IF(AND(NOT(ISBLANK(ReconciliationData[[#This Row],[Contract_Price]])),ReconciliationData[[#This Row],[Billed_Price]]&lt;&gt;ReconciliationData[[#This Row],[Contract_Price]]),1,0)</f>
        <v>0</v>
      </c>
      <c r="T2608">
        <f>IF(AND(NOT(ISBLANK(ReconciliationData[[#This Row],[End_Date]])),ReconciliationData[[#This Row],[Order_Date]]&gt;ReconciliationData[[#This Row],[End_Date]]),1,0)</f>
        <v>0</v>
      </c>
      <c r="U2608">
        <f>IF(AND(NOT(ISBLANK(ReconciliationData[[#This Row],[last_return_date]])),ReconciliationData[[#This Row],[last_return_date]]&gt;ReconciliationData[[#This Row],[Order_Date]]+60),1,0)</f>
        <v>0</v>
      </c>
      <c r="V2608">
        <f>IF(ReconciliationData[[#This Row],[total_returned_units]]&gt;ReconciliationData[[#This Row],[ordered_units]],1,0)</f>
        <v>0</v>
      </c>
      <c r="W26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08">
        <f>ReconciliationData[[#This Row],[Billed_Units]]*ReconciliationData[[#This Row],[Billed_Price]]</f>
        <v>6988.5189</v>
      </c>
      <c r="Y2608">
        <f>ReconciliationData[[#This Row],[ordered_units]]*ReconciliationData[[#This Row],[List_Price]]</f>
        <v>6988.5189</v>
      </c>
      <c r="Z2608">
        <f>ReconciliationData[[#This Row],[billed_revenue]]-ReconciliationData[[#This Row],[expected_revenue]]</f>
        <v>0</v>
      </c>
      <c r="AA26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08" t="str">
        <f>IF(ReconciliationData[[#This Row],[severity_score]]=0,"LOW",
 IF(ReconciliationData[[#This Row],[severity_score]]&lt;=5,"MEDIUM","HIGH"))</f>
        <v>LOW</v>
      </c>
      <c r="AC2608" t="str">
        <f>TEXT(ReconciliationData[[#This Row],[Order_Date]],"YYYY-MM")</f>
        <v>2024-01</v>
      </c>
    </row>
    <row r="2609" spans="1:29">
      <c r="A2609" t="s">
        <v>6417</v>
      </c>
      <c r="B2609" s="1">
        <v>44998</v>
      </c>
      <c r="C2609" t="s">
        <v>1815</v>
      </c>
      <c r="D2609" t="s">
        <v>923</v>
      </c>
      <c r="E2609">
        <v>4</v>
      </c>
      <c r="F2609" t="s">
        <v>6418</v>
      </c>
      <c r="G2609">
        <v>4</v>
      </c>
      <c r="H2609">
        <v>732.452</v>
      </c>
      <c r="N2609">
        <v>732.452</v>
      </c>
      <c r="O2609" s="1">
        <v>44941</v>
      </c>
      <c r="P2609">
        <f>IF(ISBLANK(ReconciliationData[[#This Row],[Invoice_ID]]),1,0)</f>
        <v>0</v>
      </c>
      <c r="Q2609">
        <f>IF(AND(NOT(ISBLANK(ReconciliationData[[#This Row],[Billed_Units]])),ReconciliationData[[#This Row],[ordered_units]]&lt;&gt;ReconciliationData[[#This Row],[Billed_Units]]),1,0)</f>
        <v>0</v>
      </c>
      <c r="R26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09">
        <f>IF(AND(NOT(ISBLANK(ReconciliationData[[#This Row],[Contract_Price]])),ReconciliationData[[#This Row],[Billed_Price]]&lt;&gt;ReconciliationData[[#This Row],[Contract_Price]]),1,0)</f>
        <v>0</v>
      </c>
      <c r="T2609">
        <f>IF(AND(NOT(ISBLANK(ReconciliationData[[#This Row],[End_Date]])),ReconciliationData[[#This Row],[Order_Date]]&gt;ReconciliationData[[#This Row],[End_Date]]),1,0)</f>
        <v>0</v>
      </c>
      <c r="U2609">
        <f>IF(AND(NOT(ISBLANK(ReconciliationData[[#This Row],[last_return_date]])),ReconciliationData[[#This Row],[last_return_date]]&gt;ReconciliationData[[#This Row],[Order_Date]]+60),1,0)</f>
        <v>0</v>
      </c>
      <c r="V2609">
        <f>IF(ReconciliationData[[#This Row],[total_returned_units]]&gt;ReconciliationData[[#This Row],[ordered_units]],1,0)</f>
        <v>0</v>
      </c>
      <c r="W26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09">
        <f>ReconciliationData[[#This Row],[Billed_Units]]*ReconciliationData[[#This Row],[Billed_Price]]</f>
        <v>2929.808</v>
      </c>
      <c r="Y2609">
        <f>ReconciliationData[[#This Row],[ordered_units]]*ReconciliationData[[#This Row],[List_Price]]</f>
        <v>2929.808</v>
      </c>
      <c r="Z2609">
        <f>ReconciliationData[[#This Row],[billed_revenue]]-ReconciliationData[[#This Row],[expected_revenue]]</f>
        <v>0</v>
      </c>
      <c r="AA26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09" t="str">
        <f>IF(ReconciliationData[[#This Row],[severity_score]]=0,"LOW",
 IF(ReconciliationData[[#This Row],[severity_score]]&lt;=5,"MEDIUM","HIGH"))</f>
        <v>LOW</v>
      </c>
      <c r="AC2609" t="str">
        <f>TEXT(ReconciliationData[[#This Row],[Order_Date]],"YYYY-MM")</f>
        <v>2023-03</v>
      </c>
    </row>
    <row r="2610" spans="1:29">
      <c r="A2610" t="s">
        <v>6419</v>
      </c>
      <c r="B2610" s="1">
        <v>45400</v>
      </c>
      <c r="C2610" t="s">
        <v>1685</v>
      </c>
      <c r="D2610" t="s">
        <v>867</v>
      </c>
      <c r="E2610">
        <v>182</v>
      </c>
      <c r="F2610" t="s">
        <v>6420</v>
      </c>
      <c r="G2610">
        <v>182</v>
      </c>
      <c r="H2610">
        <v>1146.7456000000002</v>
      </c>
      <c r="I2610">
        <v>8</v>
      </c>
      <c r="J2610" s="1">
        <v>45249</v>
      </c>
      <c r="N2610">
        <v>1146.7456000000002</v>
      </c>
      <c r="O2610" s="1">
        <v>45148</v>
      </c>
      <c r="P2610">
        <f>IF(ISBLANK(ReconciliationData[[#This Row],[Invoice_ID]]),1,0)</f>
        <v>0</v>
      </c>
      <c r="Q2610">
        <f>IF(AND(NOT(ISBLANK(ReconciliationData[[#This Row],[Billed_Units]])),ReconciliationData[[#This Row],[ordered_units]]&lt;&gt;ReconciliationData[[#This Row],[Billed_Units]]),1,0)</f>
        <v>0</v>
      </c>
      <c r="R26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0">
        <f>IF(AND(NOT(ISBLANK(ReconciliationData[[#This Row],[Contract_Price]])),ReconciliationData[[#This Row],[Billed_Price]]&lt;&gt;ReconciliationData[[#This Row],[Contract_Price]]),1,0)</f>
        <v>0</v>
      </c>
      <c r="T2610">
        <f>IF(AND(NOT(ISBLANK(ReconciliationData[[#This Row],[End_Date]])),ReconciliationData[[#This Row],[Order_Date]]&gt;ReconciliationData[[#This Row],[End_Date]]),1,0)</f>
        <v>0</v>
      </c>
      <c r="U2610">
        <f>IF(AND(NOT(ISBLANK(ReconciliationData[[#This Row],[last_return_date]])),ReconciliationData[[#This Row],[last_return_date]]&gt;ReconciliationData[[#This Row],[Order_Date]]+60),1,0)</f>
        <v>0</v>
      </c>
      <c r="V2610">
        <f>IF(ReconciliationData[[#This Row],[total_returned_units]]&gt;ReconciliationData[[#This Row],[ordered_units]],1,0)</f>
        <v>0</v>
      </c>
      <c r="W26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10">
        <f>ReconciliationData[[#This Row],[Billed_Units]]*ReconciliationData[[#This Row],[Billed_Price]]</f>
        <v>208707.69920000003</v>
      </c>
      <c r="Y2610">
        <f>ReconciliationData[[#This Row],[ordered_units]]*ReconciliationData[[#This Row],[List_Price]]</f>
        <v>208707.69920000003</v>
      </c>
      <c r="Z2610">
        <f>ReconciliationData[[#This Row],[billed_revenue]]-ReconciliationData[[#This Row],[expected_revenue]]</f>
        <v>0</v>
      </c>
      <c r="AA26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10" t="str">
        <f>IF(ReconciliationData[[#This Row],[severity_score]]=0,"LOW",
 IF(ReconciliationData[[#This Row],[severity_score]]&lt;=5,"MEDIUM","HIGH"))</f>
        <v>LOW</v>
      </c>
      <c r="AC2610" t="str">
        <f>TEXT(ReconciliationData[[#This Row],[Order_Date]],"YYYY-MM")</f>
        <v>2024-04</v>
      </c>
    </row>
    <row r="2611" spans="1:29">
      <c r="A2611" t="s">
        <v>6421</v>
      </c>
      <c r="B2611" s="1">
        <v>45514</v>
      </c>
      <c r="C2611" t="s">
        <v>3800</v>
      </c>
      <c r="D2611" t="s">
        <v>1754</v>
      </c>
      <c r="E2611">
        <v>147</v>
      </c>
      <c r="F2611" t="s">
        <v>6422</v>
      </c>
      <c r="G2611">
        <v>147</v>
      </c>
      <c r="H2611">
        <v>1072.2954</v>
      </c>
      <c r="N2611">
        <v>1072.2954</v>
      </c>
      <c r="O2611" s="1">
        <v>45120</v>
      </c>
      <c r="P2611">
        <f>IF(ISBLANK(ReconciliationData[[#This Row],[Invoice_ID]]),1,0)</f>
        <v>0</v>
      </c>
      <c r="Q2611">
        <f>IF(AND(NOT(ISBLANK(ReconciliationData[[#This Row],[Billed_Units]])),ReconciliationData[[#This Row],[ordered_units]]&lt;&gt;ReconciliationData[[#This Row],[Billed_Units]]),1,0)</f>
        <v>0</v>
      </c>
      <c r="R26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1">
        <f>IF(AND(NOT(ISBLANK(ReconciliationData[[#This Row],[Contract_Price]])),ReconciliationData[[#This Row],[Billed_Price]]&lt;&gt;ReconciliationData[[#This Row],[Contract_Price]]),1,0)</f>
        <v>0</v>
      </c>
      <c r="T2611">
        <f>IF(AND(NOT(ISBLANK(ReconciliationData[[#This Row],[End_Date]])),ReconciliationData[[#This Row],[Order_Date]]&gt;ReconciliationData[[#This Row],[End_Date]]),1,0)</f>
        <v>0</v>
      </c>
      <c r="U2611">
        <f>IF(AND(NOT(ISBLANK(ReconciliationData[[#This Row],[last_return_date]])),ReconciliationData[[#This Row],[last_return_date]]&gt;ReconciliationData[[#This Row],[Order_Date]]+60),1,0)</f>
        <v>0</v>
      </c>
      <c r="V2611">
        <f>IF(ReconciliationData[[#This Row],[total_returned_units]]&gt;ReconciliationData[[#This Row],[ordered_units]],1,0)</f>
        <v>0</v>
      </c>
      <c r="W26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11">
        <f>ReconciliationData[[#This Row],[Billed_Units]]*ReconciliationData[[#This Row],[Billed_Price]]</f>
        <v>157627.42379999999</v>
      </c>
      <c r="Y2611">
        <f>ReconciliationData[[#This Row],[ordered_units]]*ReconciliationData[[#This Row],[List_Price]]</f>
        <v>157627.42379999999</v>
      </c>
      <c r="Z2611">
        <f>ReconciliationData[[#This Row],[billed_revenue]]-ReconciliationData[[#This Row],[expected_revenue]]</f>
        <v>0</v>
      </c>
      <c r="AA26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11" t="str">
        <f>IF(ReconciliationData[[#This Row],[severity_score]]=0,"LOW",
 IF(ReconciliationData[[#This Row],[severity_score]]&lt;=5,"MEDIUM","HIGH"))</f>
        <v>LOW</v>
      </c>
      <c r="AC2611" t="str">
        <f>TEXT(ReconciliationData[[#This Row],[Order_Date]],"YYYY-MM")</f>
        <v>2024-08</v>
      </c>
    </row>
    <row r="2612" spans="1:29">
      <c r="A2612" t="s">
        <v>6423</v>
      </c>
      <c r="B2612" s="1">
        <v>45601</v>
      </c>
      <c r="C2612" t="s">
        <v>2298</v>
      </c>
      <c r="D2612" t="s">
        <v>381</v>
      </c>
      <c r="E2612">
        <v>199</v>
      </c>
      <c r="F2612" t="s">
        <v>6424</v>
      </c>
      <c r="G2612">
        <v>199</v>
      </c>
      <c r="H2612">
        <v>942.54840000000013</v>
      </c>
      <c r="N2612">
        <v>942.54840000000013</v>
      </c>
      <c r="O2612" s="1">
        <v>45086</v>
      </c>
      <c r="P2612">
        <f>IF(ISBLANK(ReconciliationData[[#This Row],[Invoice_ID]]),1,0)</f>
        <v>0</v>
      </c>
      <c r="Q2612">
        <f>IF(AND(NOT(ISBLANK(ReconciliationData[[#This Row],[Billed_Units]])),ReconciliationData[[#This Row],[ordered_units]]&lt;&gt;ReconciliationData[[#This Row],[Billed_Units]]),1,0)</f>
        <v>0</v>
      </c>
      <c r="R26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2">
        <f>IF(AND(NOT(ISBLANK(ReconciliationData[[#This Row],[Contract_Price]])),ReconciliationData[[#This Row],[Billed_Price]]&lt;&gt;ReconciliationData[[#This Row],[Contract_Price]]),1,0)</f>
        <v>0</v>
      </c>
      <c r="T2612">
        <f>IF(AND(NOT(ISBLANK(ReconciliationData[[#This Row],[End_Date]])),ReconciliationData[[#This Row],[Order_Date]]&gt;ReconciliationData[[#This Row],[End_Date]]),1,0)</f>
        <v>0</v>
      </c>
      <c r="U2612">
        <f>IF(AND(NOT(ISBLANK(ReconciliationData[[#This Row],[last_return_date]])),ReconciliationData[[#This Row],[last_return_date]]&gt;ReconciliationData[[#This Row],[Order_Date]]+60),1,0)</f>
        <v>0</v>
      </c>
      <c r="V2612">
        <f>IF(ReconciliationData[[#This Row],[total_returned_units]]&gt;ReconciliationData[[#This Row],[ordered_units]],1,0)</f>
        <v>0</v>
      </c>
      <c r="W26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12">
        <f>ReconciliationData[[#This Row],[Billed_Units]]*ReconciliationData[[#This Row],[Billed_Price]]</f>
        <v>187567.13160000002</v>
      </c>
      <c r="Y2612">
        <f>ReconciliationData[[#This Row],[ordered_units]]*ReconciliationData[[#This Row],[List_Price]]</f>
        <v>187567.13160000002</v>
      </c>
      <c r="Z2612">
        <f>ReconciliationData[[#This Row],[billed_revenue]]-ReconciliationData[[#This Row],[expected_revenue]]</f>
        <v>0</v>
      </c>
      <c r="AA26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12" t="str">
        <f>IF(ReconciliationData[[#This Row],[severity_score]]=0,"LOW",
 IF(ReconciliationData[[#This Row],[severity_score]]&lt;=5,"MEDIUM","HIGH"))</f>
        <v>LOW</v>
      </c>
      <c r="AC2612" t="str">
        <f>TEXT(ReconciliationData[[#This Row],[Order_Date]],"YYYY-MM")</f>
        <v>2024-11</v>
      </c>
    </row>
    <row r="2613" spans="1:29">
      <c r="A2613" t="s">
        <v>6425</v>
      </c>
      <c r="B2613" s="1">
        <v>45235</v>
      </c>
      <c r="C2613" t="s">
        <v>2778</v>
      </c>
      <c r="D2613" t="s">
        <v>134</v>
      </c>
      <c r="E2613">
        <v>125</v>
      </c>
      <c r="F2613" t="s">
        <v>6426</v>
      </c>
      <c r="G2613">
        <v>125</v>
      </c>
      <c r="H2613">
        <v>446.4905</v>
      </c>
      <c r="N2613">
        <v>446.4905</v>
      </c>
      <c r="O2613" s="1">
        <v>45161</v>
      </c>
      <c r="P2613">
        <f>IF(ISBLANK(ReconciliationData[[#This Row],[Invoice_ID]]),1,0)</f>
        <v>0</v>
      </c>
      <c r="Q2613">
        <f>IF(AND(NOT(ISBLANK(ReconciliationData[[#This Row],[Billed_Units]])),ReconciliationData[[#This Row],[ordered_units]]&lt;&gt;ReconciliationData[[#This Row],[Billed_Units]]),1,0)</f>
        <v>0</v>
      </c>
      <c r="R26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3">
        <f>IF(AND(NOT(ISBLANK(ReconciliationData[[#This Row],[Contract_Price]])),ReconciliationData[[#This Row],[Billed_Price]]&lt;&gt;ReconciliationData[[#This Row],[Contract_Price]]),1,0)</f>
        <v>0</v>
      </c>
      <c r="T2613">
        <f>IF(AND(NOT(ISBLANK(ReconciliationData[[#This Row],[End_Date]])),ReconciliationData[[#This Row],[Order_Date]]&gt;ReconciliationData[[#This Row],[End_Date]]),1,0)</f>
        <v>0</v>
      </c>
      <c r="U2613">
        <f>IF(AND(NOT(ISBLANK(ReconciliationData[[#This Row],[last_return_date]])),ReconciliationData[[#This Row],[last_return_date]]&gt;ReconciliationData[[#This Row],[Order_Date]]+60),1,0)</f>
        <v>0</v>
      </c>
      <c r="V2613">
        <f>IF(ReconciliationData[[#This Row],[total_returned_units]]&gt;ReconciliationData[[#This Row],[ordered_units]],1,0)</f>
        <v>0</v>
      </c>
      <c r="W26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13">
        <f>ReconciliationData[[#This Row],[Billed_Units]]*ReconciliationData[[#This Row],[Billed_Price]]</f>
        <v>55811.3125</v>
      </c>
      <c r="Y2613">
        <f>ReconciliationData[[#This Row],[ordered_units]]*ReconciliationData[[#This Row],[List_Price]]</f>
        <v>55811.3125</v>
      </c>
      <c r="Z2613">
        <f>ReconciliationData[[#This Row],[billed_revenue]]-ReconciliationData[[#This Row],[expected_revenue]]</f>
        <v>0</v>
      </c>
      <c r="AA26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13" t="str">
        <f>IF(ReconciliationData[[#This Row],[severity_score]]=0,"LOW",
 IF(ReconciliationData[[#This Row],[severity_score]]&lt;=5,"MEDIUM","HIGH"))</f>
        <v>LOW</v>
      </c>
      <c r="AC2613" t="str">
        <f>TEXT(ReconciliationData[[#This Row],[Order_Date]],"YYYY-MM")</f>
        <v>2023-11</v>
      </c>
    </row>
    <row r="2614" spans="1:29">
      <c r="A2614" t="s">
        <v>6427</v>
      </c>
      <c r="B2614" s="1">
        <v>45481</v>
      </c>
      <c r="C2614" t="s">
        <v>4297</v>
      </c>
      <c r="D2614" t="s">
        <v>449</v>
      </c>
      <c r="E2614">
        <v>128</v>
      </c>
      <c r="F2614" t="s">
        <v>6428</v>
      </c>
      <c r="G2614">
        <v>128</v>
      </c>
      <c r="H2614">
        <v>1006.5033</v>
      </c>
      <c r="N2614">
        <v>1006.5033</v>
      </c>
      <c r="O2614" s="1">
        <v>45123</v>
      </c>
      <c r="P2614">
        <f>IF(ISBLANK(ReconciliationData[[#This Row],[Invoice_ID]]),1,0)</f>
        <v>0</v>
      </c>
      <c r="Q2614">
        <f>IF(AND(NOT(ISBLANK(ReconciliationData[[#This Row],[Billed_Units]])),ReconciliationData[[#This Row],[ordered_units]]&lt;&gt;ReconciliationData[[#This Row],[Billed_Units]]),1,0)</f>
        <v>0</v>
      </c>
      <c r="R26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4">
        <f>IF(AND(NOT(ISBLANK(ReconciliationData[[#This Row],[Contract_Price]])),ReconciliationData[[#This Row],[Billed_Price]]&lt;&gt;ReconciliationData[[#This Row],[Contract_Price]]),1,0)</f>
        <v>0</v>
      </c>
      <c r="T2614">
        <f>IF(AND(NOT(ISBLANK(ReconciliationData[[#This Row],[End_Date]])),ReconciliationData[[#This Row],[Order_Date]]&gt;ReconciliationData[[#This Row],[End_Date]]),1,0)</f>
        <v>0</v>
      </c>
      <c r="U2614">
        <f>IF(AND(NOT(ISBLANK(ReconciliationData[[#This Row],[last_return_date]])),ReconciliationData[[#This Row],[last_return_date]]&gt;ReconciliationData[[#This Row],[Order_Date]]+60),1,0)</f>
        <v>0</v>
      </c>
      <c r="V2614">
        <f>IF(ReconciliationData[[#This Row],[total_returned_units]]&gt;ReconciliationData[[#This Row],[ordered_units]],1,0)</f>
        <v>0</v>
      </c>
      <c r="W26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14">
        <f>ReconciliationData[[#This Row],[Billed_Units]]*ReconciliationData[[#This Row],[Billed_Price]]</f>
        <v>128832.4224</v>
      </c>
      <c r="Y2614">
        <f>ReconciliationData[[#This Row],[ordered_units]]*ReconciliationData[[#This Row],[List_Price]]</f>
        <v>128832.4224</v>
      </c>
      <c r="Z2614">
        <f>ReconciliationData[[#This Row],[billed_revenue]]-ReconciliationData[[#This Row],[expected_revenue]]</f>
        <v>0</v>
      </c>
      <c r="AA26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14" t="str">
        <f>IF(ReconciliationData[[#This Row],[severity_score]]=0,"LOW",
 IF(ReconciliationData[[#This Row],[severity_score]]&lt;=5,"MEDIUM","HIGH"))</f>
        <v>LOW</v>
      </c>
      <c r="AC2614" t="str">
        <f>TEXT(ReconciliationData[[#This Row],[Order_Date]],"YYYY-MM")</f>
        <v>2024-07</v>
      </c>
    </row>
    <row r="2615" spans="1:29">
      <c r="A2615" t="s">
        <v>6429</v>
      </c>
      <c r="B2615" s="1">
        <v>45183</v>
      </c>
      <c r="C2615" t="s">
        <v>2143</v>
      </c>
      <c r="D2615" t="s">
        <v>239</v>
      </c>
      <c r="E2615">
        <v>42</v>
      </c>
      <c r="F2615" t="s">
        <v>6430</v>
      </c>
      <c r="G2615">
        <v>42</v>
      </c>
      <c r="H2615">
        <v>1218.568</v>
      </c>
      <c r="N2615">
        <v>1218.568</v>
      </c>
      <c r="O2615" s="1">
        <v>45061</v>
      </c>
      <c r="P2615">
        <f>IF(ISBLANK(ReconciliationData[[#This Row],[Invoice_ID]]),1,0)</f>
        <v>0</v>
      </c>
      <c r="Q2615">
        <f>IF(AND(NOT(ISBLANK(ReconciliationData[[#This Row],[Billed_Units]])),ReconciliationData[[#This Row],[ordered_units]]&lt;&gt;ReconciliationData[[#This Row],[Billed_Units]]),1,0)</f>
        <v>0</v>
      </c>
      <c r="R26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5">
        <f>IF(AND(NOT(ISBLANK(ReconciliationData[[#This Row],[Contract_Price]])),ReconciliationData[[#This Row],[Billed_Price]]&lt;&gt;ReconciliationData[[#This Row],[Contract_Price]]),1,0)</f>
        <v>0</v>
      </c>
      <c r="T2615">
        <f>IF(AND(NOT(ISBLANK(ReconciliationData[[#This Row],[End_Date]])),ReconciliationData[[#This Row],[Order_Date]]&gt;ReconciliationData[[#This Row],[End_Date]]),1,0)</f>
        <v>0</v>
      </c>
      <c r="U2615">
        <f>IF(AND(NOT(ISBLANK(ReconciliationData[[#This Row],[last_return_date]])),ReconciliationData[[#This Row],[last_return_date]]&gt;ReconciliationData[[#This Row],[Order_Date]]+60),1,0)</f>
        <v>0</v>
      </c>
      <c r="V2615">
        <f>IF(ReconciliationData[[#This Row],[total_returned_units]]&gt;ReconciliationData[[#This Row],[ordered_units]],1,0)</f>
        <v>0</v>
      </c>
      <c r="W26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15">
        <f>ReconciliationData[[#This Row],[Billed_Units]]*ReconciliationData[[#This Row],[Billed_Price]]</f>
        <v>51179.856</v>
      </c>
      <c r="Y2615">
        <f>ReconciliationData[[#This Row],[ordered_units]]*ReconciliationData[[#This Row],[List_Price]]</f>
        <v>51179.856</v>
      </c>
      <c r="Z2615">
        <f>ReconciliationData[[#This Row],[billed_revenue]]-ReconciliationData[[#This Row],[expected_revenue]]</f>
        <v>0</v>
      </c>
      <c r="AA26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15" t="str">
        <f>IF(ReconciliationData[[#This Row],[severity_score]]=0,"LOW",
 IF(ReconciliationData[[#This Row],[severity_score]]&lt;=5,"MEDIUM","HIGH"))</f>
        <v>LOW</v>
      </c>
      <c r="AC2615" t="str">
        <f>TEXT(ReconciliationData[[#This Row],[Order_Date]],"YYYY-MM")</f>
        <v>2023-09</v>
      </c>
    </row>
    <row r="2616" spans="1:29">
      <c r="A2616" t="s">
        <v>6431</v>
      </c>
      <c r="B2616" s="1">
        <v>45144</v>
      </c>
      <c r="C2616" t="s">
        <v>3217</v>
      </c>
      <c r="D2616" t="s">
        <v>1294</v>
      </c>
      <c r="E2616">
        <v>168</v>
      </c>
      <c r="F2616" t="s">
        <v>6432</v>
      </c>
      <c r="G2616">
        <v>168</v>
      </c>
      <c r="H2616">
        <v>825.40440000000001</v>
      </c>
      <c r="N2616">
        <v>825.40440000000001</v>
      </c>
      <c r="O2616" s="1">
        <v>45105</v>
      </c>
      <c r="P2616">
        <f>IF(ISBLANK(ReconciliationData[[#This Row],[Invoice_ID]]),1,0)</f>
        <v>0</v>
      </c>
      <c r="Q2616">
        <f>IF(AND(NOT(ISBLANK(ReconciliationData[[#This Row],[Billed_Units]])),ReconciliationData[[#This Row],[ordered_units]]&lt;&gt;ReconciliationData[[#This Row],[Billed_Units]]),1,0)</f>
        <v>0</v>
      </c>
      <c r="R26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6">
        <f>IF(AND(NOT(ISBLANK(ReconciliationData[[#This Row],[Contract_Price]])),ReconciliationData[[#This Row],[Billed_Price]]&lt;&gt;ReconciliationData[[#This Row],[Contract_Price]]),1,0)</f>
        <v>0</v>
      </c>
      <c r="T2616">
        <f>IF(AND(NOT(ISBLANK(ReconciliationData[[#This Row],[End_Date]])),ReconciliationData[[#This Row],[Order_Date]]&gt;ReconciliationData[[#This Row],[End_Date]]),1,0)</f>
        <v>0</v>
      </c>
      <c r="U2616">
        <f>IF(AND(NOT(ISBLANK(ReconciliationData[[#This Row],[last_return_date]])),ReconciliationData[[#This Row],[last_return_date]]&gt;ReconciliationData[[#This Row],[Order_Date]]+60),1,0)</f>
        <v>0</v>
      </c>
      <c r="V2616">
        <f>IF(ReconciliationData[[#This Row],[total_returned_units]]&gt;ReconciliationData[[#This Row],[ordered_units]],1,0)</f>
        <v>0</v>
      </c>
      <c r="W26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16">
        <f>ReconciliationData[[#This Row],[Billed_Units]]*ReconciliationData[[#This Row],[Billed_Price]]</f>
        <v>138667.93919999999</v>
      </c>
      <c r="Y2616">
        <f>ReconciliationData[[#This Row],[ordered_units]]*ReconciliationData[[#This Row],[List_Price]]</f>
        <v>138667.93919999999</v>
      </c>
      <c r="Z2616">
        <f>ReconciliationData[[#This Row],[billed_revenue]]-ReconciliationData[[#This Row],[expected_revenue]]</f>
        <v>0</v>
      </c>
      <c r="AA26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16" t="str">
        <f>IF(ReconciliationData[[#This Row],[severity_score]]=0,"LOW",
 IF(ReconciliationData[[#This Row],[severity_score]]&lt;=5,"MEDIUM","HIGH"))</f>
        <v>LOW</v>
      </c>
      <c r="AC2616" t="str">
        <f>TEXT(ReconciliationData[[#This Row],[Order_Date]],"YYYY-MM")</f>
        <v>2023-08</v>
      </c>
    </row>
    <row r="2617" spans="1:29">
      <c r="A2617" t="s">
        <v>6433</v>
      </c>
      <c r="B2617" s="1">
        <v>45535</v>
      </c>
      <c r="C2617" t="s">
        <v>5010</v>
      </c>
      <c r="D2617" t="s">
        <v>916</v>
      </c>
      <c r="E2617">
        <v>1</v>
      </c>
      <c r="F2617" t="s">
        <v>6434</v>
      </c>
      <c r="G2617">
        <v>1</v>
      </c>
      <c r="H2617">
        <v>1158.2643</v>
      </c>
      <c r="N2617">
        <v>1158.2643</v>
      </c>
      <c r="O2617" s="1">
        <v>45119</v>
      </c>
      <c r="P2617">
        <f>IF(ISBLANK(ReconciliationData[[#This Row],[Invoice_ID]]),1,0)</f>
        <v>0</v>
      </c>
      <c r="Q2617">
        <f>IF(AND(NOT(ISBLANK(ReconciliationData[[#This Row],[Billed_Units]])),ReconciliationData[[#This Row],[ordered_units]]&lt;&gt;ReconciliationData[[#This Row],[Billed_Units]]),1,0)</f>
        <v>0</v>
      </c>
      <c r="R26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7">
        <f>IF(AND(NOT(ISBLANK(ReconciliationData[[#This Row],[Contract_Price]])),ReconciliationData[[#This Row],[Billed_Price]]&lt;&gt;ReconciliationData[[#This Row],[Contract_Price]]),1,0)</f>
        <v>0</v>
      </c>
      <c r="T2617">
        <f>IF(AND(NOT(ISBLANK(ReconciliationData[[#This Row],[End_Date]])),ReconciliationData[[#This Row],[Order_Date]]&gt;ReconciliationData[[#This Row],[End_Date]]),1,0)</f>
        <v>0</v>
      </c>
      <c r="U2617">
        <f>IF(AND(NOT(ISBLANK(ReconciliationData[[#This Row],[last_return_date]])),ReconciliationData[[#This Row],[last_return_date]]&gt;ReconciliationData[[#This Row],[Order_Date]]+60),1,0)</f>
        <v>0</v>
      </c>
      <c r="V2617">
        <f>IF(ReconciliationData[[#This Row],[total_returned_units]]&gt;ReconciliationData[[#This Row],[ordered_units]],1,0)</f>
        <v>0</v>
      </c>
      <c r="W26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17">
        <f>ReconciliationData[[#This Row],[Billed_Units]]*ReconciliationData[[#This Row],[Billed_Price]]</f>
        <v>1158.2643</v>
      </c>
      <c r="Y2617">
        <f>ReconciliationData[[#This Row],[ordered_units]]*ReconciliationData[[#This Row],[List_Price]]</f>
        <v>1158.2643</v>
      </c>
      <c r="Z2617">
        <f>ReconciliationData[[#This Row],[billed_revenue]]-ReconciliationData[[#This Row],[expected_revenue]]</f>
        <v>0</v>
      </c>
      <c r="AA26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17" t="str">
        <f>IF(ReconciliationData[[#This Row],[severity_score]]=0,"LOW",
 IF(ReconciliationData[[#This Row],[severity_score]]&lt;=5,"MEDIUM","HIGH"))</f>
        <v>LOW</v>
      </c>
      <c r="AC2617" t="str">
        <f>TEXT(ReconciliationData[[#This Row],[Order_Date]],"YYYY-MM")</f>
        <v>2024-08</v>
      </c>
    </row>
    <row r="2618" spans="1:29">
      <c r="A2618" t="s">
        <v>6435</v>
      </c>
      <c r="B2618" s="1">
        <v>45252</v>
      </c>
      <c r="C2618" t="s">
        <v>452</v>
      </c>
      <c r="D2618" t="s">
        <v>1235</v>
      </c>
      <c r="E2618">
        <v>189</v>
      </c>
      <c r="F2618" t="s">
        <v>6436</v>
      </c>
      <c r="G2618">
        <v>189</v>
      </c>
      <c r="H2618">
        <v>892.55520000000013</v>
      </c>
      <c r="N2618">
        <v>892.55520000000013</v>
      </c>
      <c r="O2618" s="1">
        <v>44985</v>
      </c>
      <c r="P2618">
        <f>IF(ISBLANK(ReconciliationData[[#This Row],[Invoice_ID]]),1,0)</f>
        <v>0</v>
      </c>
      <c r="Q2618">
        <f>IF(AND(NOT(ISBLANK(ReconciliationData[[#This Row],[Billed_Units]])),ReconciliationData[[#This Row],[ordered_units]]&lt;&gt;ReconciliationData[[#This Row],[Billed_Units]]),1,0)</f>
        <v>0</v>
      </c>
      <c r="R26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8">
        <f>IF(AND(NOT(ISBLANK(ReconciliationData[[#This Row],[Contract_Price]])),ReconciliationData[[#This Row],[Billed_Price]]&lt;&gt;ReconciliationData[[#This Row],[Contract_Price]]),1,0)</f>
        <v>0</v>
      </c>
      <c r="T2618">
        <f>IF(AND(NOT(ISBLANK(ReconciliationData[[#This Row],[End_Date]])),ReconciliationData[[#This Row],[Order_Date]]&gt;ReconciliationData[[#This Row],[End_Date]]),1,0)</f>
        <v>0</v>
      </c>
      <c r="U2618">
        <f>IF(AND(NOT(ISBLANK(ReconciliationData[[#This Row],[last_return_date]])),ReconciliationData[[#This Row],[last_return_date]]&gt;ReconciliationData[[#This Row],[Order_Date]]+60),1,0)</f>
        <v>0</v>
      </c>
      <c r="V2618">
        <f>IF(ReconciliationData[[#This Row],[total_returned_units]]&gt;ReconciliationData[[#This Row],[ordered_units]],1,0)</f>
        <v>0</v>
      </c>
      <c r="W26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18">
        <f>ReconciliationData[[#This Row],[Billed_Units]]*ReconciliationData[[#This Row],[Billed_Price]]</f>
        <v>168692.93280000001</v>
      </c>
      <c r="Y2618">
        <f>ReconciliationData[[#This Row],[ordered_units]]*ReconciliationData[[#This Row],[List_Price]]</f>
        <v>168692.93280000001</v>
      </c>
      <c r="Z2618">
        <f>ReconciliationData[[#This Row],[billed_revenue]]-ReconciliationData[[#This Row],[expected_revenue]]</f>
        <v>0</v>
      </c>
      <c r="AA26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18" t="str">
        <f>IF(ReconciliationData[[#This Row],[severity_score]]=0,"LOW",
 IF(ReconciliationData[[#This Row],[severity_score]]&lt;=5,"MEDIUM","HIGH"))</f>
        <v>LOW</v>
      </c>
      <c r="AC2618" t="str">
        <f>TEXT(ReconciliationData[[#This Row],[Order_Date]],"YYYY-MM")</f>
        <v>2023-11</v>
      </c>
    </row>
    <row r="2619" spans="1:29">
      <c r="A2619" t="s">
        <v>6437</v>
      </c>
      <c r="B2619" s="1">
        <v>45283</v>
      </c>
      <c r="C2619" t="s">
        <v>634</v>
      </c>
      <c r="D2619" t="s">
        <v>162</v>
      </c>
      <c r="E2619">
        <v>89</v>
      </c>
      <c r="F2619" t="s">
        <v>6438</v>
      </c>
      <c r="G2619">
        <v>89</v>
      </c>
      <c r="H2619">
        <v>510.91840000000002</v>
      </c>
      <c r="N2619">
        <v>510.91840000000002</v>
      </c>
      <c r="O2619" s="1">
        <v>44981</v>
      </c>
      <c r="P2619">
        <f>IF(ISBLANK(ReconciliationData[[#This Row],[Invoice_ID]]),1,0)</f>
        <v>0</v>
      </c>
      <c r="Q2619">
        <f>IF(AND(NOT(ISBLANK(ReconciliationData[[#This Row],[Billed_Units]])),ReconciliationData[[#This Row],[ordered_units]]&lt;&gt;ReconciliationData[[#This Row],[Billed_Units]]),1,0)</f>
        <v>0</v>
      </c>
      <c r="R26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19">
        <f>IF(AND(NOT(ISBLANK(ReconciliationData[[#This Row],[Contract_Price]])),ReconciliationData[[#This Row],[Billed_Price]]&lt;&gt;ReconciliationData[[#This Row],[Contract_Price]]),1,0)</f>
        <v>0</v>
      </c>
      <c r="T2619">
        <f>IF(AND(NOT(ISBLANK(ReconciliationData[[#This Row],[End_Date]])),ReconciliationData[[#This Row],[Order_Date]]&gt;ReconciliationData[[#This Row],[End_Date]]),1,0)</f>
        <v>0</v>
      </c>
      <c r="U2619">
        <f>IF(AND(NOT(ISBLANK(ReconciliationData[[#This Row],[last_return_date]])),ReconciliationData[[#This Row],[last_return_date]]&gt;ReconciliationData[[#This Row],[Order_Date]]+60),1,0)</f>
        <v>0</v>
      </c>
      <c r="V2619">
        <f>IF(ReconciliationData[[#This Row],[total_returned_units]]&gt;ReconciliationData[[#This Row],[ordered_units]],1,0)</f>
        <v>0</v>
      </c>
      <c r="W26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19">
        <f>ReconciliationData[[#This Row],[Billed_Units]]*ReconciliationData[[#This Row],[Billed_Price]]</f>
        <v>45471.7376</v>
      </c>
      <c r="Y2619">
        <f>ReconciliationData[[#This Row],[ordered_units]]*ReconciliationData[[#This Row],[List_Price]]</f>
        <v>45471.7376</v>
      </c>
      <c r="Z2619">
        <f>ReconciliationData[[#This Row],[billed_revenue]]-ReconciliationData[[#This Row],[expected_revenue]]</f>
        <v>0</v>
      </c>
      <c r="AA26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19" t="str">
        <f>IF(ReconciliationData[[#This Row],[severity_score]]=0,"LOW",
 IF(ReconciliationData[[#This Row],[severity_score]]&lt;=5,"MEDIUM","HIGH"))</f>
        <v>LOW</v>
      </c>
      <c r="AC2619" t="str">
        <f>TEXT(ReconciliationData[[#This Row],[Order_Date]],"YYYY-MM")</f>
        <v>2023-12</v>
      </c>
    </row>
    <row r="2620" spans="1:29">
      <c r="A2620" t="s">
        <v>6439</v>
      </c>
      <c r="B2620" s="1">
        <v>45353</v>
      </c>
      <c r="C2620" t="s">
        <v>242</v>
      </c>
      <c r="D2620" t="s">
        <v>2568</v>
      </c>
      <c r="E2620">
        <v>48</v>
      </c>
      <c r="F2620" t="s">
        <v>6440</v>
      </c>
      <c r="G2620">
        <v>48</v>
      </c>
      <c r="H2620">
        <v>461.00940000000003</v>
      </c>
      <c r="N2620">
        <v>461.00940000000003</v>
      </c>
      <c r="O2620" s="1">
        <v>45036</v>
      </c>
      <c r="P2620">
        <f>IF(ISBLANK(ReconciliationData[[#This Row],[Invoice_ID]]),1,0)</f>
        <v>0</v>
      </c>
      <c r="Q2620">
        <f>IF(AND(NOT(ISBLANK(ReconciliationData[[#This Row],[Billed_Units]])),ReconciliationData[[#This Row],[ordered_units]]&lt;&gt;ReconciliationData[[#This Row],[Billed_Units]]),1,0)</f>
        <v>0</v>
      </c>
      <c r="R26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0">
        <f>IF(AND(NOT(ISBLANK(ReconciliationData[[#This Row],[Contract_Price]])),ReconciliationData[[#This Row],[Billed_Price]]&lt;&gt;ReconciliationData[[#This Row],[Contract_Price]]),1,0)</f>
        <v>0</v>
      </c>
      <c r="T2620">
        <f>IF(AND(NOT(ISBLANK(ReconciliationData[[#This Row],[End_Date]])),ReconciliationData[[#This Row],[Order_Date]]&gt;ReconciliationData[[#This Row],[End_Date]]),1,0)</f>
        <v>0</v>
      </c>
      <c r="U2620">
        <f>IF(AND(NOT(ISBLANK(ReconciliationData[[#This Row],[last_return_date]])),ReconciliationData[[#This Row],[last_return_date]]&gt;ReconciliationData[[#This Row],[Order_Date]]+60),1,0)</f>
        <v>0</v>
      </c>
      <c r="V2620">
        <f>IF(ReconciliationData[[#This Row],[total_returned_units]]&gt;ReconciliationData[[#This Row],[ordered_units]],1,0)</f>
        <v>0</v>
      </c>
      <c r="W26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0">
        <f>ReconciliationData[[#This Row],[Billed_Units]]*ReconciliationData[[#This Row],[Billed_Price]]</f>
        <v>22128.451200000003</v>
      </c>
      <c r="Y2620">
        <f>ReconciliationData[[#This Row],[ordered_units]]*ReconciliationData[[#This Row],[List_Price]]</f>
        <v>22128.451200000003</v>
      </c>
      <c r="Z2620">
        <f>ReconciliationData[[#This Row],[billed_revenue]]-ReconciliationData[[#This Row],[expected_revenue]]</f>
        <v>0</v>
      </c>
      <c r="AA26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0" t="str">
        <f>IF(ReconciliationData[[#This Row],[severity_score]]=0,"LOW",
 IF(ReconciliationData[[#This Row],[severity_score]]&lt;=5,"MEDIUM","HIGH"))</f>
        <v>LOW</v>
      </c>
      <c r="AC2620" t="str">
        <f>TEXT(ReconciliationData[[#This Row],[Order_Date]],"YYYY-MM")</f>
        <v>2024-03</v>
      </c>
    </row>
    <row r="2621" spans="1:29">
      <c r="A2621" t="s">
        <v>6441</v>
      </c>
      <c r="B2621" s="1">
        <v>45377</v>
      </c>
      <c r="C2621" t="s">
        <v>145</v>
      </c>
      <c r="D2621" t="s">
        <v>655</v>
      </c>
      <c r="E2621">
        <v>78</v>
      </c>
      <c r="F2621" t="s">
        <v>6442</v>
      </c>
      <c r="G2621">
        <v>78</v>
      </c>
      <c r="H2621">
        <v>130.87360000000001</v>
      </c>
      <c r="N2621">
        <v>130.87360000000001</v>
      </c>
      <c r="O2621" s="1">
        <v>45074</v>
      </c>
      <c r="P2621">
        <f>IF(ISBLANK(ReconciliationData[[#This Row],[Invoice_ID]]),1,0)</f>
        <v>0</v>
      </c>
      <c r="Q2621">
        <f>IF(AND(NOT(ISBLANK(ReconciliationData[[#This Row],[Billed_Units]])),ReconciliationData[[#This Row],[ordered_units]]&lt;&gt;ReconciliationData[[#This Row],[Billed_Units]]),1,0)</f>
        <v>0</v>
      </c>
      <c r="R26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1">
        <f>IF(AND(NOT(ISBLANK(ReconciliationData[[#This Row],[Contract_Price]])),ReconciliationData[[#This Row],[Billed_Price]]&lt;&gt;ReconciliationData[[#This Row],[Contract_Price]]),1,0)</f>
        <v>0</v>
      </c>
      <c r="T2621">
        <f>IF(AND(NOT(ISBLANK(ReconciliationData[[#This Row],[End_Date]])),ReconciliationData[[#This Row],[Order_Date]]&gt;ReconciliationData[[#This Row],[End_Date]]),1,0)</f>
        <v>0</v>
      </c>
      <c r="U2621">
        <f>IF(AND(NOT(ISBLANK(ReconciliationData[[#This Row],[last_return_date]])),ReconciliationData[[#This Row],[last_return_date]]&gt;ReconciliationData[[#This Row],[Order_Date]]+60),1,0)</f>
        <v>0</v>
      </c>
      <c r="V2621">
        <f>IF(ReconciliationData[[#This Row],[total_returned_units]]&gt;ReconciliationData[[#This Row],[ordered_units]],1,0)</f>
        <v>0</v>
      </c>
      <c r="W26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1">
        <f>ReconciliationData[[#This Row],[Billed_Units]]*ReconciliationData[[#This Row],[Billed_Price]]</f>
        <v>10208.140800000001</v>
      </c>
      <c r="Y2621">
        <f>ReconciliationData[[#This Row],[ordered_units]]*ReconciliationData[[#This Row],[List_Price]]</f>
        <v>10208.140800000001</v>
      </c>
      <c r="Z2621">
        <f>ReconciliationData[[#This Row],[billed_revenue]]-ReconciliationData[[#This Row],[expected_revenue]]</f>
        <v>0</v>
      </c>
      <c r="AA26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1" t="str">
        <f>IF(ReconciliationData[[#This Row],[severity_score]]=0,"LOW",
 IF(ReconciliationData[[#This Row],[severity_score]]&lt;=5,"MEDIUM","HIGH"))</f>
        <v>LOW</v>
      </c>
      <c r="AC2621" t="str">
        <f>TEXT(ReconciliationData[[#This Row],[Order_Date]],"YYYY-MM")</f>
        <v>2024-03</v>
      </c>
    </row>
    <row r="2622" spans="1:29">
      <c r="A2622" t="s">
        <v>6443</v>
      </c>
      <c r="B2622" s="1">
        <v>44992</v>
      </c>
      <c r="C2622" t="s">
        <v>2190</v>
      </c>
      <c r="D2622" t="s">
        <v>1142</v>
      </c>
      <c r="E2622">
        <v>112</v>
      </c>
      <c r="F2622" t="s">
        <v>6444</v>
      </c>
      <c r="G2622">
        <v>112</v>
      </c>
      <c r="H2622">
        <v>624.37260000000003</v>
      </c>
      <c r="N2622">
        <v>624.37260000000003</v>
      </c>
      <c r="O2622" s="1">
        <v>44932</v>
      </c>
      <c r="P2622">
        <f>IF(ISBLANK(ReconciliationData[[#This Row],[Invoice_ID]]),1,0)</f>
        <v>0</v>
      </c>
      <c r="Q2622">
        <f>IF(AND(NOT(ISBLANK(ReconciliationData[[#This Row],[Billed_Units]])),ReconciliationData[[#This Row],[ordered_units]]&lt;&gt;ReconciliationData[[#This Row],[Billed_Units]]),1,0)</f>
        <v>0</v>
      </c>
      <c r="R26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2">
        <f>IF(AND(NOT(ISBLANK(ReconciliationData[[#This Row],[Contract_Price]])),ReconciliationData[[#This Row],[Billed_Price]]&lt;&gt;ReconciliationData[[#This Row],[Contract_Price]]),1,0)</f>
        <v>0</v>
      </c>
      <c r="T2622">
        <f>IF(AND(NOT(ISBLANK(ReconciliationData[[#This Row],[End_Date]])),ReconciliationData[[#This Row],[Order_Date]]&gt;ReconciliationData[[#This Row],[End_Date]]),1,0)</f>
        <v>0</v>
      </c>
      <c r="U2622">
        <f>IF(AND(NOT(ISBLANK(ReconciliationData[[#This Row],[last_return_date]])),ReconciliationData[[#This Row],[last_return_date]]&gt;ReconciliationData[[#This Row],[Order_Date]]+60),1,0)</f>
        <v>0</v>
      </c>
      <c r="V2622">
        <f>IF(ReconciliationData[[#This Row],[total_returned_units]]&gt;ReconciliationData[[#This Row],[ordered_units]],1,0)</f>
        <v>0</v>
      </c>
      <c r="W26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2">
        <f>ReconciliationData[[#This Row],[Billed_Units]]*ReconciliationData[[#This Row],[Billed_Price]]</f>
        <v>69929.731200000009</v>
      </c>
      <c r="Y2622">
        <f>ReconciliationData[[#This Row],[ordered_units]]*ReconciliationData[[#This Row],[List_Price]]</f>
        <v>69929.731200000009</v>
      </c>
      <c r="Z2622">
        <f>ReconciliationData[[#This Row],[billed_revenue]]-ReconciliationData[[#This Row],[expected_revenue]]</f>
        <v>0</v>
      </c>
      <c r="AA26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2" t="str">
        <f>IF(ReconciliationData[[#This Row],[severity_score]]=0,"LOW",
 IF(ReconciliationData[[#This Row],[severity_score]]&lt;=5,"MEDIUM","HIGH"))</f>
        <v>LOW</v>
      </c>
      <c r="AC2622" t="str">
        <f>TEXT(ReconciliationData[[#This Row],[Order_Date]],"YYYY-MM")</f>
        <v>2023-03</v>
      </c>
    </row>
    <row r="2623" spans="1:29">
      <c r="A2623" t="s">
        <v>6445</v>
      </c>
      <c r="B2623" s="1">
        <v>44976</v>
      </c>
      <c r="C2623" t="s">
        <v>1941</v>
      </c>
      <c r="D2623" t="s">
        <v>3530</v>
      </c>
      <c r="E2623">
        <v>183</v>
      </c>
      <c r="F2623" t="s">
        <v>6446</v>
      </c>
      <c r="G2623">
        <v>183</v>
      </c>
      <c r="H2623">
        <v>146.89679999999998</v>
      </c>
      <c r="N2623">
        <v>146.89679999999998</v>
      </c>
      <c r="O2623" s="1">
        <v>44920</v>
      </c>
      <c r="P2623">
        <f>IF(ISBLANK(ReconciliationData[[#This Row],[Invoice_ID]]),1,0)</f>
        <v>0</v>
      </c>
      <c r="Q2623">
        <f>IF(AND(NOT(ISBLANK(ReconciliationData[[#This Row],[Billed_Units]])),ReconciliationData[[#This Row],[ordered_units]]&lt;&gt;ReconciliationData[[#This Row],[Billed_Units]]),1,0)</f>
        <v>0</v>
      </c>
      <c r="R26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3">
        <f>IF(AND(NOT(ISBLANK(ReconciliationData[[#This Row],[Contract_Price]])),ReconciliationData[[#This Row],[Billed_Price]]&lt;&gt;ReconciliationData[[#This Row],[Contract_Price]]),1,0)</f>
        <v>0</v>
      </c>
      <c r="T2623">
        <f>IF(AND(NOT(ISBLANK(ReconciliationData[[#This Row],[End_Date]])),ReconciliationData[[#This Row],[Order_Date]]&gt;ReconciliationData[[#This Row],[End_Date]]),1,0)</f>
        <v>0</v>
      </c>
      <c r="U2623">
        <f>IF(AND(NOT(ISBLANK(ReconciliationData[[#This Row],[last_return_date]])),ReconciliationData[[#This Row],[last_return_date]]&gt;ReconciliationData[[#This Row],[Order_Date]]+60),1,0)</f>
        <v>0</v>
      </c>
      <c r="V2623">
        <f>IF(ReconciliationData[[#This Row],[total_returned_units]]&gt;ReconciliationData[[#This Row],[ordered_units]],1,0)</f>
        <v>0</v>
      </c>
      <c r="W26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3">
        <f>ReconciliationData[[#This Row],[Billed_Units]]*ReconciliationData[[#This Row],[Billed_Price]]</f>
        <v>26882.114399999999</v>
      </c>
      <c r="Y2623">
        <f>ReconciliationData[[#This Row],[ordered_units]]*ReconciliationData[[#This Row],[List_Price]]</f>
        <v>26882.114399999999</v>
      </c>
      <c r="Z2623">
        <f>ReconciliationData[[#This Row],[billed_revenue]]-ReconciliationData[[#This Row],[expected_revenue]]</f>
        <v>0</v>
      </c>
      <c r="AA26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3" t="str">
        <f>IF(ReconciliationData[[#This Row],[severity_score]]=0,"LOW",
 IF(ReconciliationData[[#This Row],[severity_score]]&lt;=5,"MEDIUM","HIGH"))</f>
        <v>LOW</v>
      </c>
      <c r="AC2623" t="str">
        <f>TEXT(ReconciliationData[[#This Row],[Order_Date]],"YYYY-MM")</f>
        <v>2023-02</v>
      </c>
    </row>
    <row r="2624" spans="1:29">
      <c r="A2624" t="s">
        <v>6447</v>
      </c>
      <c r="B2624" s="1">
        <v>45145</v>
      </c>
      <c r="C2624" t="s">
        <v>1598</v>
      </c>
      <c r="D2624" t="s">
        <v>134</v>
      </c>
      <c r="E2624">
        <v>84</v>
      </c>
      <c r="F2624" t="s">
        <v>6448</v>
      </c>
      <c r="G2624">
        <v>84</v>
      </c>
      <c r="H2624">
        <v>502.88930000000011</v>
      </c>
      <c r="N2624">
        <v>502.88930000000011</v>
      </c>
      <c r="O2624" s="1">
        <v>44922</v>
      </c>
      <c r="P2624">
        <f>IF(ISBLANK(ReconciliationData[[#This Row],[Invoice_ID]]),1,0)</f>
        <v>0</v>
      </c>
      <c r="Q2624">
        <f>IF(AND(NOT(ISBLANK(ReconciliationData[[#This Row],[Billed_Units]])),ReconciliationData[[#This Row],[ordered_units]]&lt;&gt;ReconciliationData[[#This Row],[Billed_Units]]),1,0)</f>
        <v>0</v>
      </c>
      <c r="R26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4">
        <f>IF(AND(NOT(ISBLANK(ReconciliationData[[#This Row],[Contract_Price]])),ReconciliationData[[#This Row],[Billed_Price]]&lt;&gt;ReconciliationData[[#This Row],[Contract_Price]]),1,0)</f>
        <v>0</v>
      </c>
      <c r="T2624">
        <f>IF(AND(NOT(ISBLANK(ReconciliationData[[#This Row],[End_Date]])),ReconciliationData[[#This Row],[Order_Date]]&gt;ReconciliationData[[#This Row],[End_Date]]),1,0)</f>
        <v>0</v>
      </c>
      <c r="U2624">
        <f>IF(AND(NOT(ISBLANK(ReconciliationData[[#This Row],[last_return_date]])),ReconciliationData[[#This Row],[last_return_date]]&gt;ReconciliationData[[#This Row],[Order_Date]]+60),1,0)</f>
        <v>0</v>
      </c>
      <c r="V2624">
        <f>IF(ReconciliationData[[#This Row],[total_returned_units]]&gt;ReconciliationData[[#This Row],[ordered_units]],1,0)</f>
        <v>0</v>
      </c>
      <c r="W26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4">
        <f>ReconciliationData[[#This Row],[Billed_Units]]*ReconciliationData[[#This Row],[Billed_Price]]</f>
        <v>42242.70120000001</v>
      </c>
      <c r="Y2624">
        <f>ReconciliationData[[#This Row],[ordered_units]]*ReconciliationData[[#This Row],[List_Price]]</f>
        <v>42242.70120000001</v>
      </c>
      <c r="Z2624">
        <f>ReconciliationData[[#This Row],[billed_revenue]]-ReconciliationData[[#This Row],[expected_revenue]]</f>
        <v>0</v>
      </c>
      <c r="AA26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4" t="str">
        <f>IF(ReconciliationData[[#This Row],[severity_score]]=0,"LOW",
 IF(ReconciliationData[[#This Row],[severity_score]]&lt;=5,"MEDIUM","HIGH"))</f>
        <v>LOW</v>
      </c>
      <c r="AC2624" t="str">
        <f>TEXT(ReconciliationData[[#This Row],[Order_Date]],"YYYY-MM")</f>
        <v>2023-08</v>
      </c>
    </row>
    <row r="2625" spans="1:29">
      <c r="A2625" t="s">
        <v>6449</v>
      </c>
      <c r="B2625" s="1">
        <v>45555</v>
      </c>
      <c r="C2625" t="s">
        <v>460</v>
      </c>
      <c r="D2625" t="s">
        <v>841</v>
      </c>
      <c r="E2625">
        <v>124</v>
      </c>
      <c r="F2625" t="s">
        <v>6450</v>
      </c>
      <c r="G2625">
        <v>124</v>
      </c>
      <c r="H2625">
        <v>185.5224</v>
      </c>
      <c r="N2625">
        <v>185.5224</v>
      </c>
      <c r="O2625" s="1">
        <v>45063</v>
      </c>
      <c r="P2625">
        <f>IF(ISBLANK(ReconciliationData[[#This Row],[Invoice_ID]]),1,0)</f>
        <v>0</v>
      </c>
      <c r="Q2625">
        <f>IF(AND(NOT(ISBLANK(ReconciliationData[[#This Row],[Billed_Units]])),ReconciliationData[[#This Row],[ordered_units]]&lt;&gt;ReconciliationData[[#This Row],[Billed_Units]]),1,0)</f>
        <v>0</v>
      </c>
      <c r="R26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5">
        <f>IF(AND(NOT(ISBLANK(ReconciliationData[[#This Row],[Contract_Price]])),ReconciliationData[[#This Row],[Billed_Price]]&lt;&gt;ReconciliationData[[#This Row],[Contract_Price]]),1,0)</f>
        <v>0</v>
      </c>
      <c r="T2625">
        <f>IF(AND(NOT(ISBLANK(ReconciliationData[[#This Row],[End_Date]])),ReconciliationData[[#This Row],[Order_Date]]&gt;ReconciliationData[[#This Row],[End_Date]]),1,0)</f>
        <v>0</v>
      </c>
      <c r="U2625">
        <f>IF(AND(NOT(ISBLANK(ReconciliationData[[#This Row],[last_return_date]])),ReconciliationData[[#This Row],[last_return_date]]&gt;ReconciliationData[[#This Row],[Order_Date]]+60),1,0)</f>
        <v>0</v>
      </c>
      <c r="V2625">
        <f>IF(ReconciliationData[[#This Row],[total_returned_units]]&gt;ReconciliationData[[#This Row],[ordered_units]],1,0)</f>
        <v>0</v>
      </c>
      <c r="W26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5">
        <f>ReconciliationData[[#This Row],[Billed_Units]]*ReconciliationData[[#This Row],[Billed_Price]]</f>
        <v>23004.777600000001</v>
      </c>
      <c r="Y2625">
        <f>ReconciliationData[[#This Row],[ordered_units]]*ReconciliationData[[#This Row],[List_Price]]</f>
        <v>23004.777600000001</v>
      </c>
      <c r="Z2625">
        <f>ReconciliationData[[#This Row],[billed_revenue]]-ReconciliationData[[#This Row],[expected_revenue]]</f>
        <v>0</v>
      </c>
      <c r="AA26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5" t="str">
        <f>IF(ReconciliationData[[#This Row],[severity_score]]=0,"LOW",
 IF(ReconciliationData[[#This Row],[severity_score]]&lt;=5,"MEDIUM","HIGH"))</f>
        <v>LOW</v>
      </c>
      <c r="AC2625" t="str">
        <f>TEXT(ReconciliationData[[#This Row],[Order_Date]],"YYYY-MM")</f>
        <v>2024-09</v>
      </c>
    </row>
    <row r="2626" spans="1:29">
      <c r="A2626" t="s">
        <v>6451</v>
      </c>
      <c r="B2626" s="1">
        <v>45300</v>
      </c>
      <c r="C2626" t="s">
        <v>6054</v>
      </c>
      <c r="D2626" t="s">
        <v>412</v>
      </c>
      <c r="E2626">
        <v>147</v>
      </c>
      <c r="F2626" t="s">
        <v>6452</v>
      </c>
      <c r="G2626">
        <v>147</v>
      </c>
      <c r="H2626">
        <v>1160.5650000000001</v>
      </c>
      <c r="N2626">
        <v>1160.5650000000001</v>
      </c>
      <c r="O2626" s="1">
        <v>45055</v>
      </c>
      <c r="P2626">
        <f>IF(ISBLANK(ReconciliationData[[#This Row],[Invoice_ID]]),1,0)</f>
        <v>0</v>
      </c>
      <c r="Q2626">
        <f>IF(AND(NOT(ISBLANK(ReconciliationData[[#This Row],[Billed_Units]])),ReconciliationData[[#This Row],[ordered_units]]&lt;&gt;ReconciliationData[[#This Row],[Billed_Units]]),1,0)</f>
        <v>0</v>
      </c>
      <c r="R26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6">
        <f>IF(AND(NOT(ISBLANK(ReconciliationData[[#This Row],[Contract_Price]])),ReconciliationData[[#This Row],[Billed_Price]]&lt;&gt;ReconciliationData[[#This Row],[Contract_Price]]),1,0)</f>
        <v>0</v>
      </c>
      <c r="T2626">
        <f>IF(AND(NOT(ISBLANK(ReconciliationData[[#This Row],[End_Date]])),ReconciliationData[[#This Row],[Order_Date]]&gt;ReconciliationData[[#This Row],[End_Date]]),1,0)</f>
        <v>0</v>
      </c>
      <c r="U2626">
        <f>IF(AND(NOT(ISBLANK(ReconciliationData[[#This Row],[last_return_date]])),ReconciliationData[[#This Row],[last_return_date]]&gt;ReconciliationData[[#This Row],[Order_Date]]+60),1,0)</f>
        <v>0</v>
      </c>
      <c r="V2626">
        <f>IF(ReconciliationData[[#This Row],[total_returned_units]]&gt;ReconciliationData[[#This Row],[ordered_units]],1,0)</f>
        <v>0</v>
      </c>
      <c r="W26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6">
        <f>ReconciliationData[[#This Row],[Billed_Units]]*ReconciliationData[[#This Row],[Billed_Price]]</f>
        <v>170603.05500000002</v>
      </c>
      <c r="Y2626">
        <f>ReconciliationData[[#This Row],[ordered_units]]*ReconciliationData[[#This Row],[List_Price]]</f>
        <v>170603.05500000002</v>
      </c>
      <c r="Z2626">
        <f>ReconciliationData[[#This Row],[billed_revenue]]-ReconciliationData[[#This Row],[expected_revenue]]</f>
        <v>0</v>
      </c>
      <c r="AA26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6" t="str">
        <f>IF(ReconciliationData[[#This Row],[severity_score]]=0,"LOW",
 IF(ReconciliationData[[#This Row],[severity_score]]&lt;=5,"MEDIUM","HIGH"))</f>
        <v>LOW</v>
      </c>
      <c r="AC2626" t="str">
        <f>TEXT(ReconciliationData[[#This Row],[Order_Date]],"YYYY-MM")</f>
        <v>2024-01</v>
      </c>
    </row>
    <row r="2627" spans="1:29">
      <c r="A2627" t="s">
        <v>6453</v>
      </c>
      <c r="B2627" s="1">
        <v>45392</v>
      </c>
      <c r="C2627" t="s">
        <v>1905</v>
      </c>
      <c r="D2627" t="s">
        <v>2045</v>
      </c>
      <c r="E2627">
        <v>150</v>
      </c>
      <c r="F2627" t="s">
        <v>6454</v>
      </c>
      <c r="G2627">
        <v>150</v>
      </c>
      <c r="H2627">
        <v>990.72749999999996</v>
      </c>
      <c r="N2627">
        <v>990.72749999999996</v>
      </c>
      <c r="O2627" s="1">
        <v>45068</v>
      </c>
      <c r="P2627">
        <f>IF(ISBLANK(ReconciliationData[[#This Row],[Invoice_ID]]),1,0)</f>
        <v>0</v>
      </c>
      <c r="Q2627">
        <f>IF(AND(NOT(ISBLANK(ReconciliationData[[#This Row],[Billed_Units]])),ReconciliationData[[#This Row],[ordered_units]]&lt;&gt;ReconciliationData[[#This Row],[Billed_Units]]),1,0)</f>
        <v>0</v>
      </c>
      <c r="R26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7">
        <f>IF(AND(NOT(ISBLANK(ReconciliationData[[#This Row],[Contract_Price]])),ReconciliationData[[#This Row],[Billed_Price]]&lt;&gt;ReconciliationData[[#This Row],[Contract_Price]]),1,0)</f>
        <v>0</v>
      </c>
      <c r="T2627">
        <f>IF(AND(NOT(ISBLANK(ReconciliationData[[#This Row],[End_Date]])),ReconciliationData[[#This Row],[Order_Date]]&gt;ReconciliationData[[#This Row],[End_Date]]),1,0)</f>
        <v>0</v>
      </c>
      <c r="U2627">
        <f>IF(AND(NOT(ISBLANK(ReconciliationData[[#This Row],[last_return_date]])),ReconciliationData[[#This Row],[last_return_date]]&gt;ReconciliationData[[#This Row],[Order_Date]]+60),1,0)</f>
        <v>0</v>
      </c>
      <c r="V2627">
        <f>IF(ReconciliationData[[#This Row],[total_returned_units]]&gt;ReconciliationData[[#This Row],[ordered_units]],1,0)</f>
        <v>0</v>
      </c>
      <c r="W26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7">
        <f>ReconciliationData[[#This Row],[Billed_Units]]*ReconciliationData[[#This Row],[Billed_Price]]</f>
        <v>148609.125</v>
      </c>
      <c r="Y2627">
        <f>ReconciliationData[[#This Row],[ordered_units]]*ReconciliationData[[#This Row],[List_Price]]</f>
        <v>148609.125</v>
      </c>
      <c r="Z2627">
        <f>ReconciliationData[[#This Row],[billed_revenue]]-ReconciliationData[[#This Row],[expected_revenue]]</f>
        <v>0</v>
      </c>
      <c r="AA26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7" t="str">
        <f>IF(ReconciliationData[[#This Row],[severity_score]]=0,"LOW",
 IF(ReconciliationData[[#This Row],[severity_score]]&lt;=5,"MEDIUM","HIGH"))</f>
        <v>LOW</v>
      </c>
      <c r="AC2627" t="str">
        <f>TEXT(ReconciliationData[[#This Row],[Order_Date]],"YYYY-MM")</f>
        <v>2024-04</v>
      </c>
    </row>
    <row r="2628" spans="1:29">
      <c r="A2628" t="s">
        <v>6455</v>
      </c>
      <c r="B2628" s="1">
        <v>45184</v>
      </c>
      <c r="C2628" t="s">
        <v>911</v>
      </c>
      <c r="D2628" t="s">
        <v>227</v>
      </c>
      <c r="E2628">
        <v>151</v>
      </c>
      <c r="F2628" t="s">
        <v>6456</v>
      </c>
      <c r="G2628">
        <v>151</v>
      </c>
      <c r="H2628">
        <v>626.68790000000001</v>
      </c>
      <c r="N2628">
        <v>626.68790000000001</v>
      </c>
      <c r="O2628" s="1">
        <v>45103</v>
      </c>
      <c r="P2628">
        <f>IF(ISBLANK(ReconciliationData[[#This Row],[Invoice_ID]]),1,0)</f>
        <v>0</v>
      </c>
      <c r="Q2628">
        <f>IF(AND(NOT(ISBLANK(ReconciliationData[[#This Row],[Billed_Units]])),ReconciliationData[[#This Row],[ordered_units]]&lt;&gt;ReconciliationData[[#This Row],[Billed_Units]]),1,0)</f>
        <v>0</v>
      </c>
      <c r="R26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8">
        <f>IF(AND(NOT(ISBLANK(ReconciliationData[[#This Row],[Contract_Price]])),ReconciliationData[[#This Row],[Billed_Price]]&lt;&gt;ReconciliationData[[#This Row],[Contract_Price]]),1,0)</f>
        <v>0</v>
      </c>
      <c r="T2628">
        <f>IF(AND(NOT(ISBLANK(ReconciliationData[[#This Row],[End_Date]])),ReconciliationData[[#This Row],[Order_Date]]&gt;ReconciliationData[[#This Row],[End_Date]]),1,0)</f>
        <v>0</v>
      </c>
      <c r="U2628">
        <f>IF(AND(NOT(ISBLANK(ReconciliationData[[#This Row],[last_return_date]])),ReconciliationData[[#This Row],[last_return_date]]&gt;ReconciliationData[[#This Row],[Order_Date]]+60),1,0)</f>
        <v>0</v>
      </c>
      <c r="V2628">
        <f>IF(ReconciliationData[[#This Row],[total_returned_units]]&gt;ReconciliationData[[#This Row],[ordered_units]],1,0)</f>
        <v>0</v>
      </c>
      <c r="W26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8">
        <f>ReconciliationData[[#This Row],[Billed_Units]]*ReconciliationData[[#This Row],[Billed_Price]]</f>
        <v>94629.872900000002</v>
      </c>
      <c r="Y2628">
        <f>ReconciliationData[[#This Row],[ordered_units]]*ReconciliationData[[#This Row],[List_Price]]</f>
        <v>94629.872900000002</v>
      </c>
      <c r="Z2628">
        <f>ReconciliationData[[#This Row],[billed_revenue]]-ReconciliationData[[#This Row],[expected_revenue]]</f>
        <v>0</v>
      </c>
      <c r="AA26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8" t="str">
        <f>IF(ReconciliationData[[#This Row],[severity_score]]=0,"LOW",
 IF(ReconciliationData[[#This Row],[severity_score]]&lt;=5,"MEDIUM","HIGH"))</f>
        <v>LOW</v>
      </c>
      <c r="AC2628" t="str">
        <f>TEXT(ReconciliationData[[#This Row],[Order_Date]],"YYYY-MM")</f>
        <v>2023-09</v>
      </c>
    </row>
    <row r="2629" spans="1:29">
      <c r="A2629" t="s">
        <v>6457</v>
      </c>
      <c r="B2629" s="1">
        <v>45329</v>
      </c>
      <c r="C2629" t="s">
        <v>2871</v>
      </c>
      <c r="D2629" t="s">
        <v>134</v>
      </c>
      <c r="E2629">
        <v>197</v>
      </c>
      <c r="F2629" t="s">
        <v>6458</v>
      </c>
      <c r="G2629">
        <v>197</v>
      </c>
      <c r="H2629">
        <v>446.4905</v>
      </c>
      <c r="N2629">
        <v>446.4905</v>
      </c>
      <c r="O2629" s="1">
        <v>45161</v>
      </c>
      <c r="P2629">
        <f>IF(ISBLANK(ReconciliationData[[#This Row],[Invoice_ID]]),1,0)</f>
        <v>0</v>
      </c>
      <c r="Q2629">
        <f>IF(AND(NOT(ISBLANK(ReconciliationData[[#This Row],[Billed_Units]])),ReconciliationData[[#This Row],[ordered_units]]&lt;&gt;ReconciliationData[[#This Row],[Billed_Units]]),1,0)</f>
        <v>0</v>
      </c>
      <c r="R26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29">
        <f>IF(AND(NOT(ISBLANK(ReconciliationData[[#This Row],[Contract_Price]])),ReconciliationData[[#This Row],[Billed_Price]]&lt;&gt;ReconciliationData[[#This Row],[Contract_Price]]),1,0)</f>
        <v>0</v>
      </c>
      <c r="T2629">
        <f>IF(AND(NOT(ISBLANK(ReconciliationData[[#This Row],[End_Date]])),ReconciliationData[[#This Row],[Order_Date]]&gt;ReconciliationData[[#This Row],[End_Date]]),1,0)</f>
        <v>0</v>
      </c>
      <c r="U2629">
        <f>IF(AND(NOT(ISBLANK(ReconciliationData[[#This Row],[last_return_date]])),ReconciliationData[[#This Row],[last_return_date]]&gt;ReconciliationData[[#This Row],[Order_Date]]+60),1,0)</f>
        <v>0</v>
      </c>
      <c r="V2629">
        <f>IF(ReconciliationData[[#This Row],[total_returned_units]]&gt;ReconciliationData[[#This Row],[ordered_units]],1,0)</f>
        <v>0</v>
      </c>
      <c r="W26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29">
        <f>ReconciliationData[[#This Row],[Billed_Units]]*ReconciliationData[[#This Row],[Billed_Price]]</f>
        <v>87958.628500000006</v>
      </c>
      <c r="Y2629">
        <f>ReconciliationData[[#This Row],[ordered_units]]*ReconciliationData[[#This Row],[List_Price]]</f>
        <v>87958.628500000006</v>
      </c>
      <c r="Z2629">
        <f>ReconciliationData[[#This Row],[billed_revenue]]-ReconciliationData[[#This Row],[expected_revenue]]</f>
        <v>0</v>
      </c>
      <c r="AA26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29" t="str">
        <f>IF(ReconciliationData[[#This Row],[severity_score]]=0,"LOW",
 IF(ReconciliationData[[#This Row],[severity_score]]&lt;=5,"MEDIUM","HIGH"))</f>
        <v>LOW</v>
      </c>
      <c r="AC2629" t="str">
        <f>TEXT(ReconciliationData[[#This Row],[Order_Date]],"YYYY-MM")</f>
        <v>2024-02</v>
      </c>
    </row>
    <row r="2630" spans="1:29">
      <c r="A2630" t="s">
        <v>6459</v>
      </c>
      <c r="B2630" s="1">
        <v>45527</v>
      </c>
      <c r="C2630" t="s">
        <v>904</v>
      </c>
      <c r="D2630" t="s">
        <v>166</v>
      </c>
      <c r="E2630">
        <v>125</v>
      </c>
      <c r="F2630" t="s">
        <v>6460</v>
      </c>
      <c r="G2630">
        <v>125</v>
      </c>
      <c r="H2630">
        <v>376.82319999999999</v>
      </c>
      <c r="N2630">
        <v>376.82319999999999</v>
      </c>
      <c r="O2630" s="1">
        <v>45171</v>
      </c>
      <c r="P2630">
        <f>IF(ISBLANK(ReconciliationData[[#This Row],[Invoice_ID]]),1,0)</f>
        <v>0</v>
      </c>
      <c r="Q2630">
        <f>IF(AND(NOT(ISBLANK(ReconciliationData[[#This Row],[Billed_Units]])),ReconciliationData[[#This Row],[ordered_units]]&lt;&gt;ReconciliationData[[#This Row],[Billed_Units]]),1,0)</f>
        <v>0</v>
      </c>
      <c r="R26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0">
        <f>IF(AND(NOT(ISBLANK(ReconciliationData[[#This Row],[Contract_Price]])),ReconciliationData[[#This Row],[Billed_Price]]&lt;&gt;ReconciliationData[[#This Row],[Contract_Price]]),1,0)</f>
        <v>0</v>
      </c>
      <c r="T2630">
        <f>IF(AND(NOT(ISBLANK(ReconciliationData[[#This Row],[End_Date]])),ReconciliationData[[#This Row],[Order_Date]]&gt;ReconciliationData[[#This Row],[End_Date]]),1,0)</f>
        <v>0</v>
      </c>
      <c r="U2630">
        <f>IF(AND(NOT(ISBLANK(ReconciliationData[[#This Row],[last_return_date]])),ReconciliationData[[#This Row],[last_return_date]]&gt;ReconciliationData[[#This Row],[Order_Date]]+60),1,0)</f>
        <v>0</v>
      </c>
      <c r="V2630">
        <f>IF(ReconciliationData[[#This Row],[total_returned_units]]&gt;ReconciliationData[[#This Row],[ordered_units]],1,0)</f>
        <v>0</v>
      </c>
      <c r="W26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30">
        <f>ReconciliationData[[#This Row],[Billed_Units]]*ReconciliationData[[#This Row],[Billed_Price]]</f>
        <v>47102.9</v>
      </c>
      <c r="Y2630">
        <f>ReconciliationData[[#This Row],[ordered_units]]*ReconciliationData[[#This Row],[List_Price]]</f>
        <v>47102.9</v>
      </c>
      <c r="Z2630">
        <f>ReconciliationData[[#This Row],[billed_revenue]]-ReconciliationData[[#This Row],[expected_revenue]]</f>
        <v>0</v>
      </c>
      <c r="AA26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30" t="str">
        <f>IF(ReconciliationData[[#This Row],[severity_score]]=0,"LOW",
 IF(ReconciliationData[[#This Row],[severity_score]]&lt;=5,"MEDIUM","HIGH"))</f>
        <v>LOW</v>
      </c>
      <c r="AC2630" t="str">
        <f>TEXT(ReconciliationData[[#This Row],[Order_Date]],"YYYY-MM")</f>
        <v>2024-08</v>
      </c>
    </row>
    <row r="2631" spans="1:29">
      <c r="A2631" t="s">
        <v>6461</v>
      </c>
      <c r="B2631" s="1">
        <v>45610</v>
      </c>
      <c r="C2631" t="s">
        <v>1778</v>
      </c>
      <c r="D2631" t="s">
        <v>1491</v>
      </c>
      <c r="E2631">
        <v>126</v>
      </c>
      <c r="F2631" t="s">
        <v>6462</v>
      </c>
      <c r="G2631">
        <v>126</v>
      </c>
      <c r="H2631">
        <v>919.86659999999995</v>
      </c>
      <c r="N2631">
        <v>919.86659999999995</v>
      </c>
      <c r="O2631" s="1">
        <v>45108</v>
      </c>
      <c r="P2631">
        <f>IF(ISBLANK(ReconciliationData[[#This Row],[Invoice_ID]]),1,0)</f>
        <v>0</v>
      </c>
      <c r="Q2631">
        <f>IF(AND(NOT(ISBLANK(ReconciliationData[[#This Row],[Billed_Units]])),ReconciliationData[[#This Row],[ordered_units]]&lt;&gt;ReconciliationData[[#This Row],[Billed_Units]]),1,0)</f>
        <v>0</v>
      </c>
      <c r="R26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1">
        <f>IF(AND(NOT(ISBLANK(ReconciliationData[[#This Row],[Contract_Price]])),ReconciliationData[[#This Row],[Billed_Price]]&lt;&gt;ReconciliationData[[#This Row],[Contract_Price]]),1,0)</f>
        <v>0</v>
      </c>
      <c r="T2631">
        <f>IF(AND(NOT(ISBLANK(ReconciliationData[[#This Row],[End_Date]])),ReconciliationData[[#This Row],[Order_Date]]&gt;ReconciliationData[[#This Row],[End_Date]]),1,0)</f>
        <v>0</v>
      </c>
      <c r="U2631">
        <f>IF(AND(NOT(ISBLANK(ReconciliationData[[#This Row],[last_return_date]])),ReconciliationData[[#This Row],[last_return_date]]&gt;ReconciliationData[[#This Row],[Order_Date]]+60),1,0)</f>
        <v>0</v>
      </c>
      <c r="V2631">
        <f>IF(ReconciliationData[[#This Row],[total_returned_units]]&gt;ReconciliationData[[#This Row],[ordered_units]],1,0)</f>
        <v>0</v>
      </c>
      <c r="W26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31">
        <f>ReconciliationData[[#This Row],[Billed_Units]]*ReconciliationData[[#This Row],[Billed_Price]]</f>
        <v>115903.19159999999</v>
      </c>
      <c r="Y2631">
        <f>ReconciliationData[[#This Row],[ordered_units]]*ReconciliationData[[#This Row],[List_Price]]</f>
        <v>115903.19159999999</v>
      </c>
      <c r="Z2631">
        <f>ReconciliationData[[#This Row],[billed_revenue]]-ReconciliationData[[#This Row],[expected_revenue]]</f>
        <v>0</v>
      </c>
      <c r="AA26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31" t="str">
        <f>IF(ReconciliationData[[#This Row],[severity_score]]=0,"LOW",
 IF(ReconciliationData[[#This Row],[severity_score]]&lt;=5,"MEDIUM","HIGH"))</f>
        <v>LOW</v>
      </c>
      <c r="AC2631" t="str">
        <f>TEXT(ReconciliationData[[#This Row],[Order_Date]],"YYYY-MM")</f>
        <v>2024-11</v>
      </c>
    </row>
    <row r="2632" spans="1:29">
      <c r="A2632" t="s">
        <v>6463</v>
      </c>
      <c r="B2632" s="1">
        <v>45363</v>
      </c>
      <c r="C2632" t="s">
        <v>2420</v>
      </c>
      <c r="D2632" t="s">
        <v>614</v>
      </c>
      <c r="E2632">
        <v>166</v>
      </c>
      <c r="F2632" t="s">
        <v>6464</v>
      </c>
      <c r="G2632">
        <v>166</v>
      </c>
      <c r="H2632">
        <v>951.75750000000005</v>
      </c>
      <c r="N2632">
        <v>951.75750000000005</v>
      </c>
      <c r="O2632" s="1">
        <v>45184</v>
      </c>
      <c r="P2632">
        <f>IF(ISBLANK(ReconciliationData[[#This Row],[Invoice_ID]]),1,0)</f>
        <v>0</v>
      </c>
      <c r="Q2632">
        <f>IF(AND(NOT(ISBLANK(ReconciliationData[[#This Row],[Billed_Units]])),ReconciliationData[[#This Row],[ordered_units]]&lt;&gt;ReconciliationData[[#This Row],[Billed_Units]]),1,0)</f>
        <v>0</v>
      </c>
      <c r="R26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2">
        <f>IF(AND(NOT(ISBLANK(ReconciliationData[[#This Row],[Contract_Price]])),ReconciliationData[[#This Row],[Billed_Price]]&lt;&gt;ReconciliationData[[#This Row],[Contract_Price]]),1,0)</f>
        <v>0</v>
      </c>
      <c r="T2632">
        <f>IF(AND(NOT(ISBLANK(ReconciliationData[[#This Row],[End_Date]])),ReconciliationData[[#This Row],[Order_Date]]&gt;ReconciliationData[[#This Row],[End_Date]]),1,0)</f>
        <v>0</v>
      </c>
      <c r="U2632">
        <f>IF(AND(NOT(ISBLANK(ReconciliationData[[#This Row],[last_return_date]])),ReconciliationData[[#This Row],[last_return_date]]&gt;ReconciliationData[[#This Row],[Order_Date]]+60),1,0)</f>
        <v>0</v>
      </c>
      <c r="V2632">
        <f>IF(ReconciliationData[[#This Row],[total_returned_units]]&gt;ReconciliationData[[#This Row],[ordered_units]],1,0)</f>
        <v>0</v>
      </c>
      <c r="W26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32">
        <f>ReconciliationData[[#This Row],[Billed_Units]]*ReconciliationData[[#This Row],[Billed_Price]]</f>
        <v>157991.745</v>
      </c>
      <c r="Y2632">
        <f>ReconciliationData[[#This Row],[ordered_units]]*ReconciliationData[[#This Row],[List_Price]]</f>
        <v>157991.745</v>
      </c>
      <c r="Z2632">
        <f>ReconciliationData[[#This Row],[billed_revenue]]-ReconciliationData[[#This Row],[expected_revenue]]</f>
        <v>0</v>
      </c>
      <c r="AA26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32" t="str">
        <f>IF(ReconciliationData[[#This Row],[severity_score]]=0,"LOW",
 IF(ReconciliationData[[#This Row],[severity_score]]&lt;=5,"MEDIUM","HIGH"))</f>
        <v>LOW</v>
      </c>
      <c r="AC2632" t="str">
        <f>TEXT(ReconciliationData[[#This Row],[Order_Date]],"YYYY-MM")</f>
        <v>2024-03</v>
      </c>
    </row>
    <row r="2633" spans="1:29">
      <c r="A2633" t="s">
        <v>6465</v>
      </c>
      <c r="B2633" s="1">
        <v>45277</v>
      </c>
      <c r="C2633" t="s">
        <v>1716</v>
      </c>
      <c r="D2633" t="s">
        <v>1007</v>
      </c>
      <c r="E2633">
        <v>139</v>
      </c>
      <c r="F2633" t="s">
        <v>6466</v>
      </c>
      <c r="G2633">
        <v>139</v>
      </c>
      <c r="H2633">
        <v>115.0735</v>
      </c>
      <c r="N2633">
        <v>115.0735</v>
      </c>
      <c r="O2633" s="1">
        <v>45227</v>
      </c>
      <c r="P2633">
        <f>IF(ISBLANK(ReconciliationData[[#This Row],[Invoice_ID]]),1,0)</f>
        <v>0</v>
      </c>
      <c r="Q2633">
        <f>IF(AND(NOT(ISBLANK(ReconciliationData[[#This Row],[Billed_Units]])),ReconciliationData[[#This Row],[ordered_units]]&lt;&gt;ReconciliationData[[#This Row],[Billed_Units]]),1,0)</f>
        <v>0</v>
      </c>
      <c r="R26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3">
        <f>IF(AND(NOT(ISBLANK(ReconciliationData[[#This Row],[Contract_Price]])),ReconciliationData[[#This Row],[Billed_Price]]&lt;&gt;ReconciliationData[[#This Row],[Contract_Price]]),1,0)</f>
        <v>0</v>
      </c>
      <c r="T2633">
        <f>IF(AND(NOT(ISBLANK(ReconciliationData[[#This Row],[End_Date]])),ReconciliationData[[#This Row],[Order_Date]]&gt;ReconciliationData[[#This Row],[End_Date]]),1,0)</f>
        <v>0</v>
      </c>
      <c r="U2633">
        <f>IF(AND(NOT(ISBLANK(ReconciliationData[[#This Row],[last_return_date]])),ReconciliationData[[#This Row],[last_return_date]]&gt;ReconciliationData[[#This Row],[Order_Date]]+60),1,0)</f>
        <v>0</v>
      </c>
      <c r="V2633">
        <f>IF(ReconciliationData[[#This Row],[total_returned_units]]&gt;ReconciliationData[[#This Row],[ordered_units]],1,0)</f>
        <v>0</v>
      </c>
      <c r="W26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33">
        <f>ReconciliationData[[#This Row],[Billed_Units]]*ReconciliationData[[#This Row],[Billed_Price]]</f>
        <v>15995.216499999999</v>
      </c>
      <c r="Y2633">
        <f>ReconciliationData[[#This Row],[ordered_units]]*ReconciliationData[[#This Row],[List_Price]]</f>
        <v>15995.216499999999</v>
      </c>
      <c r="Z2633">
        <f>ReconciliationData[[#This Row],[billed_revenue]]-ReconciliationData[[#This Row],[expected_revenue]]</f>
        <v>0</v>
      </c>
      <c r="AA26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33" t="str">
        <f>IF(ReconciliationData[[#This Row],[severity_score]]=0,"LOW",
 IF(ReconciliationData[[#This Row],[severity_score]]&lt;=5,"MEDIUM","HIGH"))</f>
        <v>LOW</v>
      </c>
      <c r="AC2633" t="str">
        <f>TEXT(ReconciliationData[[#This Row],[Order_Date]],"YYYY-MM")</f>
        <v>2023-12</v>
      </c>
    </row>
    <row r="2634" spans="1:29">
      <c r="A2634" t="s">
        <v>6467</v>
      </c>
      <c r="B2634" s="1">
        <v>45420</v>
      </c>
      <c r="C2634" t="s">
        <v>1342</v>
      </c>
      <c r="D2634" t="s">
        <v>385</v>
      </c>
      <c r="E2634">
        <v>51</v>
      </c>
      <c r="F2634" t="s">
        <v>6468</v>
      </c>
      <c r="G2634">
        <v>51</v>
      </c>
      <c r="H2634">
        <v>1087.8191999999999</v>
      </c>
      <c r="N2634">
        <v>1087.8191999999999</v>
      </c>
      <c r="O2634" s="1">
        <v>45160</v>
      </c>
      <c r="P2634">
        <f>IF(ISBLANK(ReconciliationData[[#This Row],[Invoice_ID]]),1,0)</f>
        <v>0</v>
      </c>
      <c r="Q2634">
        <f>IF(AND(NOT(ISBLANK(ReconciliationData[[#This Row],[Billed_Units]])),ReconciliationData[[#This Row],[ordered_units]]&lt;&gt;ReconciliationData[[#This Row],[Billed_Units]]),1,0)</f>
        <v>0</v>
      </c>
      <c r="R26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4">
        <f>IF(AND(NOT(ISBLANK(ReconciliationData[[#This Row],[Contract_Price]])),ReconciliationData[[#This Row],[Billed_Price]]&lt;&gt;ReconciliationData[[#This Row],[Contract_Price]]),1,0)</f>
        <v>0</v>
      </c>
      <c r="T2634">
        <f>IF(AND(NOT(ISBLANK(ReconciliationData[[#This Row],[End_Date]])),ReconciliationData[[#This Row],[Order_Date]]&gt;ReconciliationData[[#This Row],[End_Date]]),1,0)</f>
        <v>0</v>
      </c>
      <c r="U2634">
        <f>IF(AND(NOT(ISBLANK(ReconciliationData[[#This Row],[last_return_date]])),ReconciliationData[[#This Row],[last_return_date]]&gt;ReconciliationData[[#This Row],[Order_Date]]+60),1,0)</f>
        <v>0</v>
      </c>
      <c r="V2634">
        <f>IF(ReconciliationData[[#This Row],[total_returned_units]]&gt;ReconciliationData[[#This Row],[ordered_units]],1,0)</f>
        <v>0</v>
      </c>
      <c r="W26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34">
        <f>ReconciliationData[[#This Row],[Billed_Units]]*ReconciliationData[[#This Row],[Billed_Price]]</f>
        <v>55478.779199999997</v>
      </c>
      <c r="Y2634">
        <f>ReconciliationData[[#This Row],[ordered_units]]*ReconciliationData[[#This Row],[List_Price]]</f>
        <v>55478.779199999997</v>
      </c>
      <c r="Z2634">
        <f>ReconciliationData[[#This Row],[billed_revenue]]-ReconciliationData[[#This Row],[expected_revenue]]</f>
        <v>0</v>
      </c>
      <c r="AA26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34" t="str">
        <f>IF(ReconciliationData[[#This Row],[severity_score]]=0,"LOW",
 IF(ReconciliationData[[#This Row],[severity_score]]&lt;=5,"MEDIUM","HIGH"))</f>
        <v>LOW</v>
      </c>
      <c r="AC2634" t="str">
        <f>TEXT(ReconciliationData[[#This Row],[Order_Date]],"YYYY-MM")</f>
        <v>2024-05</v>
      </c>
    </row>
    <row r="2635" spans="1:29">
      <c r="A2635" t="s">
        <v>6469</v>
      </c>
      <c r="B2635" s="1">
        <v>45289</v>
      </c>
      <c r="C2635" t="s">
        <v>620</v>
      </c>
      <c r="D2635" t="s">
        <v>2421</v>
      </c>
      <c r="E2635">
        <v>17</v>
      </c>
      <c r="F2635" t="s">
        <v>6470</v>
      </c>
      <c r="G2635">
        <v>17</v>
      </c>
      <c r="H2635">
        <v>631.83420000000012</v>
      </c>
      <c r="N2635">
        <v>631.83420000000012</v>
      </c>
      <c r="O2635" s="1">
        <v>45172</v>
      </c>
      <c r="P2635">
        <f>IF(ISBLANK(ReconciliationData[[#This Row],[Invoice_ID]]),1,0)</f>
        <v>0</v>
      </c>
      <c r="Q2635">
        <f>IF(AND(NOT(ISBLANK(ReconciliationData[[#This Row],[Billed_Units]])),ReconciliationData[[#This Row],[ordered_units]]&lt;&gt;ReconciliationData[[#This Row],[Billed_Units]]),1,0)</f>
        <v>0</v>
      </c>
      <c r="R26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5">
        <f>IF(AND(NOT(ISBLANK(ReconciliationData[[#This Row],[Contract_Price]])),ReconciliationData[[#This Row],[Billed_Price]]&lt;&gt;ReconciliationData[[#This Row],[Contract_Price]]),1,0)</f>
        <v>0</v>
      </c>
      <c r="T2635">
        <f>IF(AND(NOT(ISBLANK(ReconciliationData[[#This Row],[End_Date]])),ReconciliationData[[#This Row],[Order_Date]]&gt;ReconciliationData[[#This Row],[End_Date]]),1,0)</f>
        <v>0</v>
      </c>
      <c r="U2635">
        <f>IF(AND(NOT(ISBLANK(ReconciliationData[[#This Row],[last_return_date]])),ReconciliationData[[#This Row],[last_return_date]]&gt;ReconciliationData[[#This Row],[Order_Date]]+60),1,0)</f>
        <v>0</v>
      </c>
      <c r="V2635">
        <f>IF(ReconciliationData[[#This Row],[total_returned_units]]&gt;ReconciliationData[[#This Row],[ordered_units]],1,0)</f>
        <v>0</v>
      </c>
      <c r="W26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35">
        <f>ReconciliationData[[#This Row],[Billed_Units]]*ReconciliationData[[#This Row],[Billed_Price]]</f>
        <v>10741.181400000001</v>
      </c>
      <c r="Y2635">
        <f>ReconciliationData[[#This Row],[ordered_units]]*ReconciliationData[[#This Row],[List_Price]]</f>
        <v>10741.181400000001</v>
      </c>
      <c r="Z2635">
        <f>ReconciliationData[[#This Row],[billed_revenue]]-ReconciliationData[[#This Row],[expected_revenue]]</f>
        <v>0</v>
      </c>
      <c r="AA26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35" t="str">
        <f>IF(ReconciliationData[[#This Row],[severity_score]]=0,"LOW",
 IF(ReconciliationData[[#This Row],[severity_score]]&lt;=5,"MEDIUM","HIGH"))</f>
        <v>LOW</v>
      </c>
      <c r="AC2635" t="str">
        <f>TEXT(ReconciliationData[[#This Row],[Order_Date]],"YYYY-MM")</f>
        <v>2023-12</v>
      </c>
    </row>
    <row r="2636" spans="1:29">
      <c r="A2636" t="s">
        <v>6471</v>
      </c>
      <c r="B2636" s="1">
        <v>45523</v>
      </c>
      <c r="C2636" t="s">
        <v>993</v>
      </c>
      <c r="D2636" t="s">
        <v>182</v>
      </c>
      <c r="E2636">
        <v>158</v>
      </c>
      <c r="F2636" t="s">
        <v>6472</v>
      </c>
      <c r="G2636">
        <v>158</v>
      </c>
      <c r="H2636">
        <v>689.58720000000005</v>
      </c>
      <c r="N2636">
        <v>689.58720000000005</v>
      </c>
      <c r="O2636" s="1">
        <v>45224</v>
      </c>
      <c r="P2636">
        <f>IF(ISBLANK(ReconciliationData[[#This Row],[Invoice_ID]]),1,0)</f>
        <v>0</v>
      </c>
      <c r="Q2636">
        <f>IF(AND(NOT(ISBLANK(ReconciliationData[[#This Row],[Billed_Units]])),ReconciliationData[[#This Row],[ordered_units]]&lt;&gt;ReconciliationData[[#This Row],[Billed_Units]]),1,0)</f>
        <v>0</v>
      </c>
      <c r="R26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6">
        <f>IF(AND(NOT(ISBLANK(ReconciliationData[[#This Row],[Contract_Price]])),ReconciliationData[[#This Row],[Billed_Price]]&lt;&gt;ReconciliationData[[#This Row],[Contract_Price]]),1,0)</f>
        <v>0</v>
      </c>
      <c r="T2636">
        <f>IF(AND(NOT(ISBLANK(ReconciliationData[[#This Row],[End_Date]])),ReconciliationData[[#This Row],[Order_Date]]&gt;ReconciliationData[[#This Row],[End_Date]]),1,0)</f>
        <v>0</v>
      </c>
      <c r="U2636">
        <f>IF(AND(NOT(ISBLANK(ReconciliationData[[#This Row],[last_return_date]])),ReconciliationData[[#This Row],[last_return_date]]&gt;ReconciliationData[[#This Row],[Order_Date]]+60),1,0)</f>
        <v>0</v>
      </c>
      <c r="V2636">
        <f>IF(ReconciliationData[[#This Row],[total_returned_units]]&gt;ReconciliationData[[#This Row],[ordered_units]],1,0)</f>
        <v>0</v>
      </c>
      <c r="W26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36">
        <f>ReconciliationData[[#This Row],[Billed_Units]]*ReconciliationData[[#This Row],[Billed_Price]]</f>
        <v>108954.7776</v>
      </c>
      <c r="Y2636">
        <f>ReconciliationData[[#This Row],[ordered_units]]*ReconciliationData[[#This Row],[List_Price]]</f>
        <v>108954.7776</v>
      </c>
      <c r="Z2636">
        <f>ReconciliationData[[#This Row],[billed_revenue]]-ReconciliationData[[#This Row],[expected_revenue]]</f>
        <v>0</v>
      </c>
      <c r="AA26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36" t="str">
        <f>IF(ReconciliationData[[#This Row],[severity_score]]=0,"LOW",
 IF(ReconciliationData[[#This Row],[severity_score]]&lt;=5,"MEDIUM","HIGH"))</f>
        <v>LOW</v>
      </c>
      <c r="AC2636" t="str">
        <f>TEXT(ReconciliationData[[#This Row],[Order_Date]],"YYYY-MM")</f>
        <v>2024-08</v>
      </c>
    </row>
    <row r="2637" spans="1:29">
      <c r="A2637" t="s">
        <v>6473</v>
      </c>
      <c r="B2637" s="1">
        <v>45018</v>
      </c>
      <c r="C2637" t="s">
        <v>2210</v>
      </c>
      <c r="D2637" t="s">
        <v>461</v>
      </c>
      <c r="E2637">
        <v>96</v>
      </c>
      <c r="F2637" t="s">
        <v>6474</v>
      </c>
      <c r="G2637">
        <v>96</v>
      </c>
      <c r="H2637">
        <v>1218.6930000000002</v>
      </c>
      <c r="N2637">
        <v>1218.6930000000002</v>
      </c>
      <c r="O2637" s="1">
        <v>44926</v>
      </c>
      <c r="P2637">
        <f>IF(ISBLANK(ReconciliationData[[#This Row],[Invoice_ID]]),1,0)</f>
        <v>0</v>
      </c>
      <c r="Q2637">
        <f>IF(AND(NOT(ISBLANK(ReconciliationData[[#This Row],[Billed_Units]])),ReconciliationData[[#This Row],[ordered_units]]&lt;&gt;ReconciliationData[[#This Row],[Billed_Units]]),1,0)</f>
        <v>0</v>
      </c>
      <c r="R26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7">
        <f>IF(AND(NOT(ISBLANK(ReconciliationData[[#This Row],[Contract_Price]])),ReconciliationData[[#This Row],[Billed_Price]]&lt;&gt;ReconciliationData[[#This Row],[Contract_Price]]),1,0)</f>
        <v>0</v>
      </c>
      <c r="T2637">
        <f>IF(AND(NOT(ISBLANK(ReconciliationData[[#This Row],[End_Date]])),ReconciliationData[[#This Row],[Order_Date]]&gt;ReconciliationData[[#This Row],[End_Date]]),1,0)</f>
        <v>0</v>
      </c>
      <c r="U2637">
        <f>IF(AND(NOT(ISBLANK(ReconciliationData[[#This Row],[last_return_date]])),ReconciliationData[[#This Row],[last_return_date]]&gt;ReconciliationData[[#This Row],[Order_Date]]+60),1,0)</f>
        <v>0</v>
      </c>
      <c r="V2637">
        <f>IF(ReconciliationData[[#This Row],[total_returned_units]]&gt;ReconciliationData[[#This Row],[ordered_units]],1,0)</f>
        <v>0</v>
      </c>
      <c r="W26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37">
        <f>ReconciliationData[[#This Row],[Billed_Units]]*ReconciliationData[[#This Row],[Billed_Price]]</f>
        <v>116994.52800000002</v>
      </c>
      <c r="Y2637">
        <f>ReconciliationData[[#This Row],[ordered_units]]*ReconciliationData[[#This Row],[List_Price]]</f>
        <v>116994.52800000002</v>
      </c>
      <c r="Z2637">
        <f>ReconciliationData[[#This Row],[billed_revenue]]-ReconciliationData[[#This Row],[expected_revenue]]</f>
        <v>0</v>
      </c>
      <c r="AA26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37" t="str">
        <f>IF(ReconciliationData[[#This Row],[severity_score]]=0,"LOW",
 IF(ReconciliationData[[#This Row],[severity_score]]&lt;=5,"MEDIUM","HIGH"))</f>
        <v>LOW</v>
      </c>
      <c r="AC2637" t="str">
        <f>TEXT(ReconciliationData[[#This Row],[Order_Date]],"YYYY-MM")</f>
        <v>2023-04</v>
      </c>
    </row>
    <row r="2638" spans="1:29">
      <c r="A2638" t="s">
        <v>6475</v>
      </c>
      <c r="B2638" s="1">
        <v>45401</v>
      </c>
      <c r="C2638" t="s">
        <v>1040</v>
      </c>
      <c r="D2638" t="s">
        <v>279</v>
      </c>
      <c r="E2638">
        <v>83</v>
      </c>
      <c r="F2638" t="s">
        <v>6476</v>
      </c>
      <c r="G2638">
        <v>83</v>
      </c>
      <c r="H2638">
        <v>1120.6556</v>
      </c>
      <c r="N2638">
        <v>1120.6556</v>
      </c>
      <c r="O2638" s="1">
        <v>45026</v>
      </c>
      <c r="P2638">
        <f>IF(ISBLANK(ReconciliationData[[#This Row],[Invoice_ID]]),1,0)</f>
        <v>0</v>
      </c>
      <c r="Q2638">
        <f>IF(AND(NOT(ISBLANK(ReconciliationData[[#This Row],[Billed_Units]])),ReconciliationData[[#This Row],[ordered_units]]&lt;&gt;ReconciliationData[[#This Row],[Billed_Units]]),1,0)</f>
        <v>0</v>
      </c>
      <c r="R26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8">
        <f>IF(AND(NOT(ISBLANK(ReconciliationData[[#This Row],[Contract_Price]])),ReconciliationData[[#This Row],[Billed_Price]]&lt;&gt;ReconciliationData[[#This Row],[Contract_Price]]),1,0)</f>
        <v>0</v>
      </c>
      <c r="T2638">
        <f>IF(AND(NOT(ISBLANK(ReconciliationData[[#This Row],[End_Date]])),ReconciliationData[[#This Row],[Order_Date]]&gt;ReconciliationData[[#This Row],[End_Date]]),1,0)</f>
        <v>0</v>
      </c>
      <c r="U2638">
        <f>IF(AND(NOT(ISBLANK(ReconciliationData[[#This Row],[last_return_date]])),ReconciliationData[[#This Row],[last_return_date]]&gt;ReconciliationData[[#This Row],[Order_Date]]+60),1,0)</f>
        <v>0</v>
      </c>
      <c r="V2638">
        <f>IF(ReconciliationData[[#This Row],[total_returned_units]]&gt;ReconciliationData[[#This Row],[ordered_units]],1,0)</f>
        <v>0</v>
      </c>
      <c r="W26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38">
        <f>ReconciliationData[[#This Row],[Billed_Units]]*ReconciliationData[[#This Row],[Billed_Price]]</f>
        <v>93014.414799999999</v>
      </c>
      <c r="Y2638">
        <f>ReconciliationData[[#This Row],[ordered_units]]*ReconciliationData[[#This Row],[List_Price]]</f>
        <v>93014.414799999999</v>
      </c>
      <c r="Z2638">
        <f>ReconciliationData[[#This Row],[billed_revenue]]-ReconciliationData[[#This Row],[expected_revenue]]</f>
        <v>0</v>
      </c>
      <c r="AA26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38" t="str">
        <f>IF(ReconciliationData[[#This Row],[severity_score]]=0,"LOW",
 IF(ReconciliationData[[#This Row],[severity_score]]&lt;=5,"MEDIUM","HIGH"))</f>
        <v>LOW</v>
      </c>
      <c r="AC2638" t="str">
        <f>TEXT(ReconciliationData[[#This Row],[Order_Date]],"YYYY-MM")</f>
        <v>2024-04</v>
      </c>
    </row>
    <row r="2639" spans="1:29">
      <c r="A2639" t="s">
        <v>6477</v>
      </c>
      <c r="B2639" s="1">
        <v>45103</v>
      </c>
      <c r="C2639" t="s">
        <v>4758</v>
      </c>
      <c r="D2639" t="s">
        <v>464</v>
      </c>
      <c r="E2639">
        <v>137</v>
      </c>
      <c r="F2639" t="s">
        <v>6478</v>
      </c>
      <c r="G2639">
        <v>137</v>
      </c>
      <c r="H2639">
        <v>709.45920000000001</v>
      </c>
      <c r="N2639">
        <v>709.45920000000001</v>
      </c>
      <c r="O2639" s="1">
        <v>44830</v>
      </c>
      <c r="P2639">
        <f>IF(ISBLANK(ReconciliationData[[#This Row],[Invoice_ID]]),1,0)</f>
        <v>0</v>
      </c>
      <c r="Q2639">
        <f>IF(AND(NOT(ISBLANK(ReconciliationData[[#This Row],[Billed_Units]])),ReconciliationData[[#This Row],[ordered_units]]&lt;&gt;ReconciliationData[[#This Row],[Billed_Units]]),1,0)</f>
        <v>0</v>
      </c>
      <c r="R26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39">
        <f>IF(AND(NOT(ISBLANK(ReconciliationData[[#This Row],[Contract_Price]])),ReconciliationData[[#This Row],[Billed_Price]]&lt;&gt;ReconciliationData[[#This Row],[Contract_Price]]),1,0)</f>
        <v>0</v>
      </c>
      <c r="T2639">
        <f>IF(AND(NOT(ISBLANK(ReconciliationData[[#This Row],[End_Date]])),ReconciliationData[[#This Row],[Order_Date]]&gt;ReconciliationData[[#This Row],[End_Date]]),1,0)</f>
        <v>0</v>
      </c>
      <c r="U2639">
        <f>IF(AND(NOT(ISBLANK(ReconciliationData[[#This Row],[last_return_date]])),ReconciliationData[[#This Row],[last_return_date]]&gt;ReconciliationData[[#This Row],[Order_Date]]+60),1,0)</f>
        <v>0</v>
      </c>
      <c r="V2639">
        <f>IF(ReconciliationData[[#This Row],[total_returned_units]]&gt;ReconciliationData[[#This Row],[ordered_units]],1,0)</f>
        <v>0</v>
      </c>
      <c r="W26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39">
        <f>ReconciliationData[[#This Row],[Billed_Units]]*ReconciliationData[[#This Row],[Billed_Price]]</f>
        <v>97195.910400000008</v>
      </c>
      <c r="Y2639">
        <f>ReconciliationData[[#This Row],[ordered_units]]*ReconciliationData[[#This Row],[List_Price]]</f>
        <v>97195.910400000008</v>
      </c>
      <c r="Z2639">
        <f>ReconciliationData[[#This Row],[billed_revenue]]-ReconciliationData[[#This Row],[expected_revenue]]</f>
        <v>0</v>
      </c>
      <c r="AA26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39" t="str">
        <f>IF(ReconciliationData[[#This Row],[severity_score]]=0,"LOW",
 IF(ReconciliationData[[#This Row],[severity_score]]&lt;=5,"MEDIUM","HIGH"))</f>
        <v>LOW</v>
      </c>
      <c r="AC2639" t="str">
        <f>TEXT(ReconciliationData[[#This Row],[Order_Date]],"YYYY-MM")</f>
        <v>2023-06</v>
      </c>
    </row>
    <row r="2640" spans="1:29">
      <c r="A2640" t="s">
        <v>6479</v>
      </c>
      <c r="B2640" s="1">
        <v>45501</v>
      </c>
      <c r="C2640" t="s">
        <v>788</v>
      </c>
      <c r="D2640" t="s">
        <v>1432</v>
      </c>
      <c r="E2640">
        <v>55</v>
      </c>
      <c r="F2640" t="s">
        <v>6480</v>
      </c>
      <c r="G2640">
        <v>55</v>
      </c>
      <c r="H2640">
        <v>828.36189999999999</v>
      </c>
      <c r="N2640">
        <v>828.36189999999999</v>
      </c>
      <c r="O2640" s="1">
        <v>45137</v>
      </c>
      <c r="P2640">
        <f>IF(ISBLANK(ReconciliationData[[#This Row],[Invoice_ID]]),1,0)</f>
        <v>0</v>
      </c>
      <c r="Q2640">
        <f>IF(AND(NOT(ISBLANK(ReconciliationData[[#This Row],[Billed_Units]])),ReconciliationData[[#This Row],[ordered_units]]&lt;&gt;ReconciliationData[[#This Row],[Billed_Units]]),1,0)</f>
        <v>0</v>
      </c>
      <c r="R26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0">
        <f>IF(AND(NOT(ISBLANK(ReconciliationData[[#This Row],[Contract_Price]])),ReconciliationData[[#This Row],[Billed_Price]]&lt;&gt;ReconciliationData[[#This Row],[Contract_Price]]),1,0)</f>
        <v>0</v>
      </c>
      <c r="T2640">
        <f>IF(AND(NOT(ISBLANK(ReconciliationData[[#This Row],[End_Date]])),ReconciliationData[[#This Row],[Order_Date]]&gt;ReconciliationData[[#This Row],[End_Date]]),1,0)</f>
        <v>0</v>
      </c>
      <c r="U2640">
        <f>IF(AND(NOT(ISBLANK(ReconciliationData[[#This Row],[last_return_date]])),ReconciliationData[[#This Row],[last_return_date]]&gt;ReconciliationData[[#This Row],[Order_Date]]+60),1,0)</f>
        <v>0</v>
      </c>
      <c r="V2640">
        <f>IF(ReconciliationData[[#This Row],[total_returned_units]]&gt;ReconciliationData[[#This Row],[ordered_units]],1,0)</f>
        <v>0</v>
      </c>
      <c r="W26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40">
        <f>ReconciliationData[[#This Row],[Billed_Units]]*ReconciliationData[[#This Row],[Billed_Price]]</f>
        <v>45559.904499999997</v>
      </c>
      <c r="Y2640">
        <f>ReconciliationData[[#This Row],[ordered_units]]*ReconciliationData[[#This Row],[List_Price]]</f>
        <v>45559.904499999997</v>
      </c>
      <c r="Z2640">
        <f>ReconciliationData[[#This Row],[billed_revenue]]-ReconciliationData[[#This Row],[expected_revenue]]</f>
        <v>0</v>
      </c>
      <c r="AA26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40" t="str">
        <f>IF(ReconciliationData[[#This Row],[severity_score]]=0,"LOW",
 IF(ReconciliationData[[#This Row],[severity_score]]&lt;=5,"MEDIUM","HIGH"))</f>
        <v>LOW</v>
      </c>
      <c r="AC2640" t="str">
        <f>TEXT(ReconciliationData[[#This Row],[Order_Date]],"YYYY-MM")</f>
        <v>2024-07</v>
      </c>
    </row>
    <row r="2641" spans="1:29">
      <c r="A2641" t="s">
        <v>6481</v>
      </c>
      <c r="B2641" s="1">
        <v>45111</v>
      </c>
      <c r="C2641" t="s">
        <v>3565</v>
      </c>
      <c r="D2641" t="s">
        <v>2035</v>
      </c>
      <c r="E2641">
        <v>58</v>
      </c>
      <c r="F2641" t="s">
        <v>6482</v>
      </c>
      <c r="G2641">
        <v>58</v>
      </c>
      <c r="H2641">
        <v>1160.71</v>
      </c>
      <c r="N2641">
        <v>1160.71</v>
      </c>
      <c r="O2641" s="1">
        <v>44964</v>
      </c>
      <c r="P2641">
        <f>IF(ISBLANK(ReconciliationData[[#This Row],[Invoice_ID]]),1,0)</f>
        <v>0</v>
      </c>
      <c r="Q2641">
        <f>IF(AND(NOT(ISBLANK(ReconciliationData[[#This Row],[Billed_Units]])),ReconciliationData[[#This Row],[ordered_units]]&lt;&gt;ReconciliationData[[#This Row],[Billed_Units]]),1,0)</f>
        <v>0</v>
      </c>
      <c r="R26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1">
        <f>IF(AND(NOT(ISBLANK(ReconciliationData[[#This Row],[Contract_Price]])),ReconciliationData[[#This Row],[Billed_Price]]&lt;&gt;ReconciliationData[[#This Row],[Contract_Price]]),1,0)</f>
        <v>0</v>
      </c>
      <c r="T2641">
        <f>IF(AND(NOT(ISBLANK(ReconciliationData[[#This Row],[End_Date]])),ReconciliationData[[#This Row],[Order_Date]]&gt;ReconciliationData[[#This Row],[End_Date]]),1,0)</f>
        <v>0</v>
      </c>
      <c r="U2641">
        <f>IF(AND(NOT(ISBLANK(ReconciliationData[[#This Row],[last_return_date]])),ReconciliationData[[#This Row],[last_return_date]]&gt;ReconciliationData[[#This Row],[Order_Date]]+60),1,0)</f>
        <v>0</v>
      </c>
      <c r="V2641">
        <f>IF(ReconciliationData[[#This Row],[total_returned_units]]&gt;ReconciliationData[[#This Row],[ordered_units]],1,0)</f>
        <v>0</v>
      </c>
      <c r="W26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41">
        <f>ReconciliationData[[#This Row],[Billed_Units]]*ReconciliationData[[#This Row],[Billed_Price]]</f>
        <v>67321.180000000008</v>
      </c>
      <c r="Y2641">
        <f>ReconciliationData[[#This Row],[ordered_units]]*ReconciliationData[[#This Row],[List_Price]]</f>
        <v>67321.180000000008</v>
      </c>
      <c r="Z2641">
        <f>ReconciliationData[[#This Row],[billed_revenue]]-ReconciliationData[[#This Row],[expected_revenue]]</f>
        <v>0</v>
      </c>
      <c r="AA26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41" t="str">
        <f>IF(ReconciliationData[[#This Row],[severity_score]]=0,"LOW",
 IF(ReconciliationData[[#This Row],[severity_score]]&lt;=5,"MEDIUM","HIGH"))</f>
        <v>LOW</v>
      </c>
      <c r="AC2641" t="str">
        <f>TEXT(ReconciliationData[[#This Row],[Order_Date]],"YYYY-MM")</f>
        <v>2023-07</v>
      </c>
    </row>
    <row r="2642" spans="1:29">
      <c r="A2642" t="s">
        <v>6483</v>
      </c>
      <c r="B2642" s="1">
        <v>44960</v>
      </c>
      <c r="C2642" t="s">
        <v>2598</v>
      </c>
      <c r="D2642" t="s">
        <v>1385</v>
      </c>
      <c r="E2642">
        <v>90</v>
      </c>
      <c r="F2642" t="s">
        <v>6484</v>
      </c>
      <c r="G2642">
        <v>90</v>
      </c>
      <c r="H2642">
        <v>296.2912</v>
      </c>
      <c r="N2642">
        <v>296.2912</v>
      </c>
      <c r="O2642" s="1">
        <v>44921</v>
      </c>
      <c r="P2642">
        <f>IF(ISBLANK(ReconciliationData[[#This Row],[Invoice_ID]]),1,0)</f>
        <v>0</v>
      </c>
      <c r="Q2642">
        <f>IF(AND(NOT(ISBLANK(ReconciliationData[[#This Row],[Billed_Units]])),ReconciliationData[[#This Row],[ordered_units]]&lt;&gt;ReconciliationData[[#This Row],[Billed_Units]]),1,0)</f>
        <v>0</v>
      </c>
      <c r="R26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2">
        <f>IF(AND(NOT(ISBLANK(ReconciliationData[[#This Row],[Contract_Price]])),ReconciliationData[[#This Row],[Billed_Price]]&lt;&gt;ReconciliationData[[#This Row],[Contract_Price]]),1,0)</f>
        <v>0</v>
      </c>
      <c r="T2642">
        <f>IF(AND(NOT(ISBLANK(ReconciliationData[[#This Row],[End_Date]])),ReconciliationData[[#This Row],[Order_Date]]&gt;ReconciliationData[[#This Row],[End_Date]]),1,0)</f>
        <v>0</v>
      </c>
      <c r="U2642">
        <f>IF(AND(NOT(ISBLANK(ReconciliationData[[#This Row],[last_return_date]])),ReconciliationData[[#This Row],[last_return_date]]&gt;ReconciliationData[[#This Row],[Order_Date]]+60),1,0)</f>
        <v>0</v>
      </c>
      <c r="V2642">
        <f>IF(ReconciliationData[[#This Row],[total_returned_units]]&gt;ReconciliationData[[#This Row],[ordered_units]],1,0)</f>
        <v>0</v>
      </c>
      <c r="W26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42">
        <f>ReconciliationData[[#This Row],[Billed_Units]]*ReconciliationData[[#This Row],[Billed_Price]]</f>
        <v>26666.207999999999</v>
      </c>
      <c r="Y2642">
        <f>ReconciliationData[[#This Row],[ordered_units]]*ReconciliationData[[#This Row],[List_Price]]</f>
        <v>26666.207999999999</v>
      </c>
      <c r="Z2642">
        <f>ReconciliationData[[#This Row],[billed_revenue]]-ReconciliationData[[#This Row],[expected_revenue]]</f>
        <v>0</v>
      </c>
      <c r="AA26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42" t="str">
        <f>IF(ReconciliationData[[#This Row],[severity_score]]=0,"LOW",
 IF(ReconciliationData[[#This Row],[severity_score]]&lt;=5,"MEDIUM","HIGH"))</f>
        <v>LOW</v>
      </c>
      <c r="AC2642" t="str">
        <f>TEXT(ReconciliationData[[#This Row],[Order_Date]],"YYYY-MM")</f>
        <v>2023-02</v>
      </c>
    </row>
    <row r="2643" spans="1:29">
      <c r="A2643" t="s">
        <v>6485</v>
      </c>
      <c r="B2643" s="1">
        <v>45555</v>
      </c>
      <c r="C2643" t="s">
        <v>4914</v>
      </c>
      <c r="D2643" t="s">
        <v>891</v>
      </c>
      <c r="E2643">
        <v>101</v>
      </c>
      <c r="F2643" t="s">
        <v>6486</v>
      </c>
      <c r="G2643">
        <v>101</v>
      </c>
      <c r="H2643">
        <v>680.30940000000021</v>
      </c>
      <c r="I2643">
        <v>12</v>
      </c>
      <c r="J2643" s="1">
        <v>45166</v>
      </c>
      <c r="N2643">
        <v>680.30940000000021</v>
      </c>
      <c r="O2643" s="1">
        <v>44934</v>
      </c>
      <c r="P2643">
        <f>IF(ISBLANK(ReconciliationData[[#This Row],[Invoice_ID]]),1,0)</f>
        <v>0</v>
      </c>
      <c r="Q2643">
        <f>IF(AND(NOT(ISBLANK(ReconciliationData[[#This Row],[Billed_Units]])),ReconciliationData[[#This Row],[ordered_units]]&lt;&gt;ReconciliationData[[#This Row],[Billed_Units]]),1,0)</f>
        <v>0</v>
      </c>
      <c r="R26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3">
        <f>IF(AND(NOT(ISBLANK(ReconciliationData[[#This Row],[Contract_Price]])),ReconciliationData[[#This Row],[Billed_Price]]&lt;&gt;ReconciliationData[[#This Row],[Contract_Price]]),1,0)</f>
        <v>0</v>
      </c>
      <c r="T2643">
        <f>IF(AND(NOT(ISBLANK(ReconciliationData[[#This Row],[End_Date]])),ReconciliationData[[#This Row],[Order_Date]]&gt;ReconciliationData[[#This Row],[End_Date]]),1,0)</f>
        <v>0</v>
      </c>
      <c r="U2643">
        <f>IF(AND(NOT(ISBLANK(ReconciliationData[[#This Row],[last_return_date]])),ReconciliationData[[#This Row],[last_return_date]]&gt;ReconciliationData[[#This Row],[Order_Date]]+60),1,0)</f>
        <v>0</v>
      </c>
      <c r="V2643">
        <f>IF(ReconciliationData[[#This Row],[total_returned_units]]&gt;ReconciliationData[[#This Row],[ordered_units]],1,0)</f>
        <v>0</v>
      </c>
      <c r="W26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43">
        <f>ReconciliationData[[#This Row],[Billed_Units]]*ReconciliationData[[#This Row],[Billed_Price]]</f>
        <v>68711.249400000015</v>
      </c>
      <c r="Y2643">
        <f>ReconciliationData[[#This Row],[ordered_units]]*ReconciliationData[[#This Row],[List_Price]]</f>
        <v>68711.249400000015</v>
      </c>
      <c r="Z2643">
        <f>ReconciliationData[[#This Row],[billed_revenue]]-ReconciliationData[[#This Row],[expected_revenue]]</f>
        <v>0</v>
      </c>
      <c r="AA26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43" t="str">
        <f>IF(ReconciliationData[[#This Row],[severity_score]]=0,"LOW",
 IF(ReconciliationData[[#This Row],[severity_score]]&lt;=5,"MEDIUM","HIGH"))</f>
        <v>LOW</v>
      </c>
      <c r="AC2643" t="str">
        <f>TEXT(ReconciliationData[[#This Row],[Order_Date]],"YYYY-MM")</f>
        <v>2024-09</v>
      </c>
    </row>
    <row r="2644" spans="1:29">
      <c r="A2644" t="s">
        <v>6487</v>
      </c>
      <c r="B2644" s="1">
        <v>45146</v>
      </c>
      <c r="C2644" t="s">
        <v>1067</v>
      </c>
      <c r="D2644" t="s">
        <v>1567</v>
      </c>
      <c r="E2644">
        <v>152</v>
      </c>
      <c r="F2644" t="s">
        <v>6488</v>
      </c>
      <c r="G2644">
        <v>152</v>
      </c>
      <c r="H2644">
        <v>799.8357000000002</v>
      </c>
      <c r="N2644">
        <v>799.8357000000002</v>
      </c>
      <c r="O2644" s="1">
        <v>45063</v>
      </c>
      <c r="P2644">
        <f>IF(ISBLANK(ReconciliationData[[#This Row],[Invoice_ID]]),1,0)</f>
        <v>0</v>
      </c>
      <c r="Q2644">
        <f>IF(AND(NOT(ISBLANK(ReconciliationData[[#This Row],[Billed_Units]])),ReconciliationData[[#This Row],[ordered_units]]&lt;&gt;ReconciliationData[[#This Row],[Billed_Units]]),1,0)</f>
        <v>0</v>
      </c>
      <c r="R26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4">
        <f>IF(AND(NOT(ISBLANK(ReconciliationData[[#This Row],[Contract_Price]])),ReconciliationData[[#This Row],[Billed_Price]]&lt;&gt;ReconciliationData[[#This Row],[Contract_Price]]),1,0)</f>
        <v>0</v>
      </c>
      <c r="T2644">
        <f>IF(AND(NOT(ISBLANK(ReconciliationData[[#This Row],[End_Date]])),ReconciliationData[[#This Row],[Order_Date]]&gt;ReconciliationData[[#This Row],[End_Date]]),1,0)</f>
        <v>0</v>
      </c>
      <c r="U2644">
        <f>IF(AND(NOT(ISBLANK(ReconciliationData[[#This Row],[last_return_date]])),ReconciliationData[[#This Row],[last_return_date]]&gt;ReconciliationData[[#This Row],[Order_Date]]+60),1,0)</f>
        <v>0</v>
      </c>
      <c r="V2644">
        <f>IF(ReconciliationData[[#This Row],[total_returned_units]]&gt;ReconciliationData[[#This Row],[ordered_units]],1,0)</f>
        <v>0</v>
      </c>
      <c r="W26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44">
        <f>ReconciliationData[[#This Row],[Billed_Units]]*ReconciliationData[[#This Row],[Billed_Price]]</f>
        <v>121575.02640000003</v>
      </c>
      <c r="Y2644">
        <f>ReconciliationData[[#This Row],[ordered_units]]*ReconciliationData[[#This Row],[List_Price]]</f>
        <v>121575.02640000003</v>
      </c>
      <c r="Z2644">
        <f>ReconciliationData[[#This Row],[billed_revenue]]-ReconciliationData[[#This Row],[expected_revenue]]</f>
        <v>0</v>
      </c>
      <c r="AA26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44" t="str">
        <f>IF(ReconciliationData[[#This Row],[severity_score]]=0,"LOW",
 IF(ReconciliationData[[#This Row],[severity_score]]&lt;=5,"MEDIUM","HIGH"))</f>
        <v>LOW</v>
      </c>
      <c r="AC2644" t="str">
        <f>TEXT(ReconciliationData[[#This Row],[Order_Date]],"YYYY-MM")</f>
        <v>2023-08</v>
      </c>
    </row>
    <row r="2645" spans="1:29">
      <c r="A2645" t="s">
        <v>6489</v>
      </c>
      <c r="B2645" s="1">
        <v>45275</v>
      </c>
      <c r="C2645" t="s">
        <v>133</v>
      </c>
      <c r="D2645" t="s">
        <v>1414</v>
      </c>
      <c r="E2645">
        <v>160</v>
      </c>
      <c r="F2645" t="s">
        <v>6490</v>
      </c>
      <c r="G2645">
        <v>160</v>
      </c>
      <c r="H2645">
        <v>872.7808</v>
      </c>
      <c r="N2645">
        <v>872.7808</v>
      </c>
      <c r="O2645" s="1">
        <v>45225</v>
      </c>
      <c r="P2645">
        <f>IF(ISBLANK(ReconciliationData[[#This Row],[Invoice_ID]]),1,0)</f>
        <v>0</v>
      </c>
      <c r="Q2645">
        <f>IF(AND(NOT(ISBLANK(ReconciliationData[[#This Row],[Billed_Units]])),ReconciliationData[[#This Row],[ordered_units]]&lt;&gt;ReconciliationData[[#This Row],[Billed_Units]]),1,0)</f>
        <v>0</v>
      </c>
      <c r="R26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5">
        <f>IF(AND(NOT(ISBLANK(ReconciliationData[[#This Row],[Contract_Price]])),ReconciliationData[[#This Row],[Billed_Price]]&lt;&gt;ReconciliationData[[#This Row],[Contract_Price]]),1,0)</f>
        <v>0</v>
      </c>
      <c r="T2645">
        <f>IF(AND(NOT(ISBLANK(ReconciliationData[[#This Row],[End_Date]])),ReconciliationData[[#This Row],[Order_Date]]&gt;ReconciliationData[[#This Row],[End_Date]]),1,0)</f>
        <v>0</v>
      </c>
      <c r="U2645">
        <f>IF(AND(NOT(ISBLANK(ReconciliationData[[#This Row],[last_return_date]])),ReconciliationData[[#This Row],[last_return_date]]&gt;ReconciliationData[[#This Row],[Order_Date]]+60),1,0)</f>
        <v>0</v>
      </c>
      <c r="V2645">
        <f>IF(ReconciliationData[[#This Row],[total_returned_units]]&gt;ReconciliationData[[#This Row],[ordered_units]],1,0)</f>
        <v>0</v>
      </c>
      <c r="W26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45">
        <f>ReconciliationData[[#This Row],[Billed_Units]]*ReconciliationData[[#This Row],[Billed_Price]]</f>
        <v>139644.92800000001</v>
      </c>
      <c r="Y2645">
        <f>ReconciliationData[[#This Row],[ordered_units]]*ReconciliationData[[#This Row],[List_Price]]</f>
        <v>139644.92800000001</v>
      </c>
      <c r="Z2645">
        <f>ReconciliationData[[#This Row],[billed_revenue]]-ReconciliationData[[#This Row],[expected_revenue]]</f>
        <v>0</v>
      </c>
      <c r="AA26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45" t="str">
        <f>IF(ReconciliationData[[#This Row],[severity_score]]=0,"LOW",
 IF(ReconciliationData[[#This Row],[severity_score]]&lt;=5,"MEDIUM","HIGH"))</f>
        <v>LOW</v>
      </c>
      <c r="AC2645" t="str">
        <f>TEXT(ReconciliationData[[#This Row],[Order_Date]],"YYYY-MM")</f>
        <v>2023-12</v>
      </c>
    </row>
    <row r="2646" spans="1:29">
      <c r="A2646" t="s">
        <v>6491</v>
      </c>
      <c r="B2646" s="1">
        <v>45641</v>
      </c>
      <c r="C2646" t="s">
        <v>1342</v>
      </c>
      <c r="D2646" t="s">
        <v>287</v>
      </c>
      <c r="E2646">
        <v>15</v>
      </c>
      <c r="F2646" t="s">
        <v>6492</v>
      </c>
      <c r="G2646">
        <v>15</v>
      </c>
      <c r="H2646">
        <v>637.18399999999997</v>
      </c>
      <c r="N2646">
        <v>637.18399999999997</v>
      </c>
      <c r="O2646" s="1">
        <v>45175</v>
      </c>
      <c r="P2646">
        <f>IF(ISBLANK(ReconciliationData[[#This Row],[Invoice_ID]]),1,0)</f>
        <v>0</v>
      </c>
      <c r="Q2646">
        <f>IF(AND(NOT(ISBLANK(ReconciliationData[[#This Row],[Billed_Units]])),ReconciliationData[[#This Row],[ordered_units]]&lt;&gt;ReconciliationData[[#This Row],[Billed_Units]]),1,0)</f>
        <v>0</v>
      </c>
      <c r="R26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6">
        <f>IF(AND(NOT(ISBLANK(ReconciliationData[[#This Row],[Contract_Price]])),ReconciliationData[[#This Row],[Billed_Price]]&lt;&gt;ReconciliationData[[#This Row],[Contract_Price]]),1,0)</f>
        <v>0</v>
      </c>
      <c r="T2646">
        <f>IF(AND(NOT(ISBLANK(ReconciliationData[[#This Row],[End_Date]])),ReconciliationData[[#This Row],[Order_Date]]&gt;ReconciliationData[[#This Row],[End_Date]]),1,0)</f>
        <v>0</v>
      </c>
      <c r="U2646">
        <f>IF(AND(NOT(ISBLANK(ReconciliationData[[#This Row],[last_return_date]])),ReconciliationData[[#This Row],[last_return_date]]&gt;ReconciliationData[[#This Row],[Order_Date]]+60),1,0)</f>
        <v>0</v>
      </c>
      <c r="V2646">
        <f>IF(ReconciliationData[[#This Row],[total_returned_units]]&gt;ReconciliationData[[#This Row],[ordered_units]],1,0)</f>
        <v>0</v>
      </c>
      <c r="W26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46">
        <f>ReconciliationData[[#This Row],[Billed_Units]]*ReconciliationData[[#This Row],[Billed_Price]]</f>
        <v>9557.76</v>
      </c>
      <c r="Y2646">
        <f>ReconciliationData[[#This Row],[ordered_units]]*ReconciliationData[[#This Row],[List_Price]]</f>
        <v>9557.76</v>
      </c>
      <c r="Z2646">
        <f>ReconciliationData[[#This Row],[billed_revenue]]-ReconciliationData[[#This Row],[expected_revenue]]</f>
        <v>0</v>
      </c>
      <c r="AA26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46" t="str">
        <f>IF(ReconciliationData[[#This Row],[severity_score]]=0,"LOW",
 IF(ReconciliationData[[#This Row],[severity_score]]&lt;=5,"MEDIUM","HIGH"))</f>
        <v>LOW</v>
      </c>
      <c r="AC2646" t="str">
        <f>TEXT(ReconciliationData[[#This Row],[Order_Date]],"YYYY-MM")</f>
        <v>2024-12</v>
      </c>
    </row>
    <row r="2647" spans="1:29">
      <c r="A2647" t="s">
        <v>6493</v>
      </c>
      <c r="B2647" s="1">
        <v>44962</v>
      </c>
      <c r="C2647" t="s">
        <v>1828</v>
      </c>
      <c r="D2647" t="s">
        <v>317</v>
      </c>
      <c r="E2647">
        <v>37</v>
      </c>
      <c r="F2647" t="s">
        <v>6494</v>
      </c>
      <c r="G2647">
        <v>37</v>
      </c>
      <c r="H2647">
        <v>1015.6622</v>
      </c>
      <c r="N2647">
        <v>1015.6622</v>
      </c>
      <c r="O2647" s="1">
        <v>44797</v>
      </c>
      <c r="P2647">
        <f>IF(ISBLANK(ReconciliationData[[#This Row],[Invoice_ID]]),1,0)</f>
        <v>0</v>
      </c>
      <c r="Q2647">
        <f>IF(AND(NOT(ISBLANK(ReconciliationData[[#This Row],[Billed_Units]])),ReconciliationData[[#This Row],[ordered_units]]&lt;&gt;ReconciliationData[[#This Row],[Billed_Units]]),1,0)</f>
        <v>0</v>
      </c>
      <c r="R26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7">
        <f>IF(AND(NOT(ISBLANK(ReconciliationData[[#This Row],[Contract_Price]])),ReconciliationData[[#This Row],[Billed_Price]]&lt;&gt;ReconciliationData[[#This Row],[Contract_Price]]),1,0)</f>
        <v>0</v>
      </c>
      <c r="T2647">
        <f>IF(AND(NOT(ISBLANK(ReconciliationData[[#This Row],[End_Date]])),ReconciliationData[[#This Row],[Order_Date]]&gt;ReconciliationData[[#This Row],[End_Date]]),1,0)</f>
        <v>0</v>
      </c>
      <c r="U2647">
        <f>IF(AND(NOT(ISBLANK(ReconciliationData[[#This Row],[last_return_date]])),ReconciliationData[[#This Row],[last_return_date]]&gt;ReconciliationData[[#This Row],[Order_Date]]+60),1,0)</f>
        <v>0</v>
      </c>
      <c r="V2647">
        <f>IF(ReconciliationData[[#This Row],[total_returned_units]]&gt;ReconciliationData[[#This Row],[ordered_units]],1,0)</f>
        <v>0</v>
      </c>
      <c r="W26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47">
        <f>ReconciliationData[[#This Row],[Billed_Units]]*ReconciliationData[[#This Row],[Billed_Price]]</f>
        <v>37579.501400000001</v>
      </c>
      <c r="Y2647">
        <f>ReconciliationData[[#This Row],[ordered_units]]*ReconciliationData[[#This Row],[List_Price]]</f>
        <v>37579.501400000001</v>
      </c>
      <c r="Z2647">
        <f>ReconciliationData[[#This Row],[billed_revenue]]-ReconciliationData[[#This Row],[expected_revenue]]</f>
        <v>0</v>
      </c>
      <c r="AA26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47" t="str">
        <f>IF(ReconciliationData[[#This Row],[severity_score]]=0,"LOW",
 IF(ReconciliationData[[#This Row],[severity_score]]&lt;=5,"MEDIUM","HIGH"))</f>
        <v>LOW</v>
      </c>
      <c r="AC2647" t="str">
        <f>TEXT(ReconciliationData[[#This Row],[Order_Date]],"YYYY-MM")</f>
        <v>2023-02</v>
      </c>
    </row>
    <row r="2648" spans="1:29">
      <c r="A2648" t="s">
        <v>6495</v>
      </c>
      <c r="B2648" s="1">
        <v>45489</v>
      </c>
      <c r="C2648" t="s">
        <v>3800</v>
      </c>
      <c r="D2648" t="s">
        <v>916</v>
      </c>
      <c r="E2648">
        <v>82</v>
      </c>
      <c r="F2648" t="s">
        <v>6496</v>
      </c>
      <c r="G2648">
        <v>82</v>
      </c>
      <c r="H2648">
        <v>1158.2643</v>
      </c>
      <c r="N2648">
        <v>1158.2643</v>
      </c>
      <c r="O2648" s="1">
        <v>45119</v>
      </c>
      <c r="P2648">
        <f>IF(ISBLANK(ReconciliationData[[#This Row],[Invoice_ID]]),1,0)</f>
        <v>0</v>
      </c>
      <c r="Q2648">
        <f>IF(AND(NOT(ISBLANK(ReconciliationData[[#This Row],[Billed_Units]])),ReconciliationData[[#This Row],[ordered_units]]&lt;&gt;ReconciliationData[[#This Row],[Billed_Units]]),1,0)</f>
        <v>0</v>
      </c>
      <c r="R26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8">
        <f>IF(AND(NOT(ISBLANK(ReconciliationData[[#This Row],[Contract_Price]])),ReconciliationData[[#This Row],[Billed_Price]]&lt;&gt;ReconciliationData[[#This Row],[Contract_Price]]),1,0)</f>
        <v>0</v>
      </c>
      <c r="T2648">
        <f>IF(AND(NOT(ISBLANK(ReconciliationData[[#This Row],[End_Date]])),ReconciliationData[[#This Row],[Order_Date]]&gt;ReconciliationData[[#This Row],[End_Date]]),1,0)</f>
        <v>0</v>
      </c>
      <c r="U2648">
        <f>IF(AND(NOT(ISBLANK(ReconciliationData[[#This Row],[last_return_date]])),ReconciliationData[[#This Row],[last_return_date]]&gt;ReconciliationData[[#This Row],[Order_Date]]+60),1,0)</f>
        <v>0</v>
      </c>
      <c r="V2648">
        <f>IF(ReconciliationData[[#This Row],[total_returned_units]]&gt;ReconciliationData[[#This Row],[ordered_units]],1,0)</f>
        <v>0</v>
      </c>
      <c r="W26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48">
        <f>ReconciliationData[[#This Row],[Billed_Units]]*ReconciliationData[[#This Row],[Billed_Price]]</f>
        <v>94977.672600000005</v>
      </c>
      <c r="Y2648">
        <f>ReconciliationData[[#This Row],[ordered_units]]*ReconciliationData[[#This Row],[List_Price]]</f>
        <v>94977.672600000005</v>
      </c>
      <c r="Z2648">
        <f>ReconciliationData[[#This Row],[billed_revenue]]-ReconciliationData[[#This Row],[expected_revenue]]</f>
        <v>0</v>
      </c>
      <c r="AA26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48" t="str">
        <f>IF(ReconciliationData[[#This Row],[severity_score]]=0,"LOW",
 IF(ReconciliationData[[#This Row],[severity_score]]&lt;=5,"MEDIUM","HIGH"))</f>
        <v>LOW</v>
      </c>
      <c r="AC2648" t="str">
        <f>TEXT(ReconciliationData[[#This Row],[Order_Date]],"YYYY-MM")</f>
        <v>2024-07</v>
      </c>
    </row>
    <row r="2649" spans="1:29">
      <c r="A2649" t="s">
        <v>6497</v>
      </c>
      <c r="B2649" s="1">
        <v>45371</v>
      </c>
      <c r="C2649" t="s">
        <v>4945</v>
      </c>
      <c r="D2649" t="s">
        <v>494</v>
      </c>
      <c r="E2649">
        <v>100</v>
      </c>
      <c r="F2649" t="s">
        <v>6498</v>
      </c>
      <c r="G2649">
        <v>100</v>
      </c>
      <c r="H2649">
        <v>262.37120000000004</v>
      </c>
      <c r="I2649">
        <v>17</v>
      </c>
      <c r="J2649" s="1">
        <v>45526</v>
      </c>
      <c r="N2649">
        <v>262.37120000000004</v>
      </c>
      <c r="O2649" s="1">
        <v>45105</v>
      </c>
      <c r="P2649">
        <f>IF(ISBLANK(ReconciliationData[[#This Row],[Invoice_ID]]),1,0)</f>
        <v>0</v>
      </c>
      <c r="Q2649">
        <f>IF(AND(NOT(ISBLANK(ReconciliationData[[#This Row],[Billed_Units]])),ReconciliationData[[#This Row],[ordered_units]]&lt;&gt;ReconciliationData[[#This Row],[Billed_Units]]),1,0)</f>
        <v>0</v>
      </c>
      <c r="R26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49">
        <f>IF(AND(NOT(ISBLANK(ReconciliationData[[#This Row],[Contract_Price]])),ReconciliationData[[#This Row],[Billed_Price]]&lt;&gt;ReconciliationData[[#This Row],[Contract_Price]]),1,0)</f>
        <v>0</v>
      </c>
      <c r="T2649">
        <f>IF(AND(NOT(ISBLANK(ReconciliationData[[#This Row],[End_Date]])),ReconciliationData[[#This Row],[Order_Date]]&gt;ReconciliationData[[#This Row],[End_Date]]),1,0)</f>
        <v>0</v>
      </c>
      <c r="U2649">
        <f>IF(AND(NOT(ISBLANK(ReconciliationData[[#This Row],[last_return_date]])),ReconciliationData[[#This Row],[last_return_date]]&gt;ReconciliationData[[#This Row],[Order_Date]]+60),1,0)</f>
        <v>1</v>
      </c>
      <c r="V2649">
        <f>IF(ReconciliationData[[#This Row],[total_returned_units]]&gt;ReconciliationData[[#This Row],[ordered_units]],1,0)</f>
        <v>0</v>
      </c>
      <c r="W26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49">
        <f>ReconciliationData[[#This Row],[Billed_Units]]*ReconciliationData[[#This Row],[Billed_Price]]</f>
        <v>26237.120000000003</v>
      </c>
      <c r="Y2649">
        <f>ReconciliationData[[#This Row],[ordered_units]]*ReconciliationData[[#This Row],[List_Price]]</f>
        <v>26237.120000000003</v>
      </c>
      <c r="Z2649">
        <f>ReconciliationData[[#This Row],[billed_revenue]]-ReconciliationData[[#This Row],[expected_revenue]]</f>
        <v>0</v>
      </c>
      <c r="AA26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649" t="str">
        <f>IF(ReconciliationData[[#This Row],[severity_score]]=0,"LOW",
 IF(ReconciliationData[[#This Row],[severity_score]]&lt;=5,"MEDIUM","HIGH"))</f>
        <v>MEDIUM</v>
      </c>
      <c r="AC2649" t="str">
        <f>TEXT(ReconciliationData[[#This Row],[Order_Date]],"YYYY-MM")</f>
        <v>2024-03</v>
      </c>
    </row>
    <row r="2650" spans="1:29">
      <c r="A2650" t="s">
        <v>6499</v>
      </c>
      <c r="B2650" s="1">
        <v>45203</v>
      </c>
      <c r="C2650" t="s">
        <v>1297</v>
      </c>
      <c r="D2650" t="s">
        <v>251</v>
      </c>
      <c r="E2650">
        <v>59</v>
      </c>
      <c r="F2650" t="s">
        <v>6500</v>
      </c>
      <c r="G2650">
        <v>59</v>
      </c>
      <c r="H2650">
        <v>957.65700000000015</v>
      </c>
      <c r="N2650">
        <v>957.65700000000015</v>
      </c>
      <c r="O2650" s="1">
        <v>45057</v>
      </c>
      <c r="P2650">
        <f>IF(ISBLANK(ReconciliationData[[#This Row],[Invoice_ID]]),1,0)</f>
        <v>0</v>
      </c>
      <c r="Q2650">
        <f>IF(AND(NOT(ISBLANK(ReconciliationData[[#This Row],[Billed_Units]])),ReconciliationData[[#This Row],[ordered_units]]&lt;&gt;ReconciliationData[[#This Row],[Billed_Units]]),1,0)</f>
        <v>0</v>
      </c>
      <c r="R26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0">
        <f>IF(AND(NOT(ISBLANK(ReconciliationData[[#This Row],[Contract_Price]])),ReconciliationData[[#This Row],[Billed_Price]]&lt;&gt;ReconciliationData[[#This Row],[Contract_Price]]),1,0)</f>
        <v>0</v>
      </c>
      <c r="T2650">
        <f>IF(AND(NOT(ISBLANK(ReconciliationData[[#This Row],[End_Date]])),ReconciliationData[[#This Row],[Order_Date]]&gt;ReconciliationData[[#This Row],[End_Date]]),1,0)</f>
        <v>0</v>
      </c>
      <c r="U2650">
        <f>IF(AND(NOT(ISBLANK(ReconciliationData[[#This Row],[last_return_date]])),ReconciliationData[[#This Row],[last_return_date]]&gt;ReconciliationData[[#This Row],[Order_Date]]+60),1,0)</f>
        <v>0</v>
      </c>
      <c r="V2650">
        <f>IF(ReconciliationData[[#This Row],[total_returned_units]]&gt;ReconciliationData[[#This Row],[ordered_units]],1,0)</f>
        <v>0</v>
      </c>
      <c r="W26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50">
        <f>ReconciliationData[[#This Row],[Billed_Units]]*ReconciliationData[[#This Row],[Billed_Price]]</f>
        <v>56501.763000000006</v>
      </c>
      <c r="Y2650">
        <f>ReconciliationData[[#This Row],[ordered_units]]*ReconciliationData[[#This Row],[List_Price]]</f>
        <v>56501.763000000006</v>
      </c>
      <c r="Z2650">
        <f>ReconciliationData[[#This Row],[billed_revenue]]-ReconciliationData[[#This Row],[expected_revenue]]</f>
        <v>0</v>
      </c>
      <c r="AA26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50" t="str">
        <f>IF(ReconciliationData[[#This Row],[severity_score]]=0,"LOW",
 IF(ReconciliationData[[#This Row],[severity_score]]&lt;=5,"MEDIUM","HIGH"))</f>
        <v>LOW</v>
      </c>
      <c r="AC2650" t="str">
        <f>TEXT(ReconciliationData[[#This Row],[Order_Date]],"YYYY-MM")</f>
        <v>2023-10</v>
      </c>
    </row>
    <row r="2651" spans="1:29">
      <c r="A2651" t="s">
        <v>6501</v>
      </c>
      <c r="B2651" s="1">
        <v>45566</v>
      </c>
      <c r="C2651" t="s">
        <v>2745</v>
      </c>
      <c r="D2651" t="s">
        <v>3256</v>
      </c>
      <c r="E2651">
        <v>71</v>
      </c>
      <c r="F2651" t="s">
        <v>6502</v>
      </c>
      <c r="G2651">
        <v>71</v>
      </c>
      <c r="H2651">
        <v>1159.732</v>
      </c>
      <c r="N2651">
        <v>1159.732</v>
      </c>
      <c r="O2651" s="1">
        <v>45032</v>
      </c>
      <c r="P2651">
        <f>IF(ISBLANK(ReconciliationData[[#This Row],[Invoice_ID]]),1,0)</f>
        <v>0</v>
      </c>
      <c r="Q2651">
        <f>IF(AND(NOT(ISBLANK(ReconciliationData[[#This Row],[Billed_Units]])),ReconciliationData[[#This Row],[ordered_units]]&lt;&gt;ReconciliationData[[#This Row],[Billed_Units]]),1,0)</f>
        <v>0</v>
      </c>
      <c r="R26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1">
        <f>IF(AND(NOT(ISBLANK(ReconciliationData[[#This Row],[Contract_Price]])),ReconciliationData[[#This Row],[Billed_Price]]&lt;&gt;ReconciliationData[[#This Row],[Contract_Price]]),1,0)</f>
        <v>0</v>
      </c>
      <c r="T2651">
        <f>IF(AND(NOT(ISBLANK(ReconciliationData[[#This Row],[End_Date]])),ReconciliationData[[#This Row],[Order_Date]]&gt;ReconciliationData[[#This Row],[End_Date]]),1,0)</f>
        <v>0</v>
      </c>
      <c r="U2651">
        <f>IF(AND(NOT(ISBLANK(ReconciliationData[[#This Row],[last_return_date]])),ReconciliationData[[#This Row],[last_return_date]]&gt;ReconciliationData[[#This Row],[Order_Date]]+60),1,0)</f>
        <v>0</v>
      </c>
      <c r="V2651">
        <f>IF(ReconciliationData[[#This Row],[total_returned_units]]&gt;ReconciliationData[[#This Row],[ordered_units]],1,0)</f>
        <v>0</v>
      </c>
      <c r="W26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51">
        <f>ReconciliationData[[#This Row],[Billed_Units]]*ReconciliationData[[#This Row],[Billed_Price]]</f>
        <v>82340.971999999994</v>
      </c>
      <c r="Y2651">
        <f>ReconciliationData[[#This Row],[ordered_units]]*ReconciliationData[[#This Row],[List_Price]]</f>
        <v>82340.971999999994</v>
      </c>
      <c r="Z2651">
        <f>ReconciliationData[[#This Row],[billed_revenue]]-ReconciliationData[[#This Row],[expected_revenue]]</f>
        <v>0</v>
      </c>
      <c r="AA26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51" t="str">
        <f>IF(ReconciliationData[[#This Row],[severity_score]]=0,"LOW",
 IF(ReconciliationData[[#This Row],[severity_score]]&lt;=5,"MEDIUM","HIGH"))</f>
        <v>LOW</v>
      </c>
      <c r="AC2651" t="str">
        <f>TEXT(ReconciliationData[[#This Row],[Order_Date]],"YYYY-MM")</f>
        <v>2024-10</v>
      </c>
    </row>
    <row r="2652" spans="1:29">
      <c r="A2652" t="s">
        <v>6503</v>
      </c>
      <c r="B2652" s="1">
        <v>45261</v>
      </c>
      <c r="C2652" t="s">
        <v>1928</v>
      </c>
      <c r="D2652" t="s">
        <v>1555</v>
      </c>
      <c r="E2652">
        <v>127</v>
      </c>
      <c r="F2652" t="s">
        <v>6504</v>
      </c>
      <c r="G2652">
        <v>127</v>
      </c>
      <c r="H2652">
        <v>850.16200000000003</v>
      </c>
      <c r="N2652">
        <v>850.16200000000003</v>
      </c>
      <c r="O2652" s="1">
        <v>45099</v>
      </c>
      <c r="P2652">
        <f>IF(ISBLANK(ReconciliationData[[#This Row],[Invoice_ID]]),1,0)</f>
        <v>0</v>
      </c>
      <c r="Q2652">
        <f>IF(AND(NOT(ISBLANK(ReconciliationData[[#This Row],[Billed_Units]])),ReconciliationData[[#This Row],[ordered_units]]&lt;&gt;ReconciliationData[[#This Row],[Billed_Units]]),1,0)</f>
        <v>0</v>
      </c>
      <c r="R26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2">
        <f>IF(AND(NOT(ISBLANK(ReconciliationData[[#This Row],[Contract_Price]])),ReconciliationData[[#This Row],[Billed_Price]]&lt;&gt;ReconciliationData[[#This Row],[Contract_Price]]),1,0)</f>
        <v>0</v>
      </c>
      <c r="T2652">
        <f>IF(AND(NOT(ISBLANK(ReconciliationData[[#This Row],[End_Date]])),ReconciliationData[[#This Row],[Order_Date]]&gt;ReconciliationData[[#This Row],[End_Date]]),1,0)</f>
        <v>0</v>
      </c>
      <c r="U2652">
        <f>IF(AND(NOT(ISBLANK(ReconciliationData[[#This Row],[last_return_date]])),ReconciliationData[[#This Row],[last_return_date]]&gt;ReconciliationData[[#This Row],[Order_Date]]+60),1,0)</f>
        <v>0</v>
      </c>
      <c r="V2652">
        <f>IF(ReconciliationData[[#This Row],[total_returned_units]]&gt;ReconciliationData[[#This Row],[ordered_units]],1,0)</f>
        <v>0</v>
      </c>
      <c r="W26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52">
        <f>ReconciliationData[[#This Row],[Billed_Units]]*ReconciliationData[[#This Row],[Billed_Price]]</f>
        <v>107970.57400000001</v>
      </c>
      <c r="Y2652">
        <f>ReconciliationData[[#This Row],[ordered_units]]*ReconciliationData[[#This Row],[List_Price]]</f>
        <v>107970.57400000001</v>
      </c>
      <c r="Z2652">
        <f>ReconciliationData[[#This Row],[billed_revenue]]-ReconciliationData[[#This Row],[expected_revenue]]</f>
        <v>0</v>
      </c>
      <c r="AA26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52" t="str">
        <f>IF(ReconciliationData[[#This Row],[severity_score]]=0,"LOW",
 IF(ReconciliationData[[#This Row],[severity_score]]&lt;=5,"MEDIUM","HIGH"))</f>
        <v>LOW</v>
      </c>
      <c r="AC2652" t="str">
        <f>TEXT(ReconciliationData[[#This Row],[Order_Date]],"YYYY-MM")</f>
        <v>2023-12</v>
      </c>
    </row>
    <row r="2653" spans="1:29">
      <c r="A2653" t="s">
        <v>6505</v>
      </c>
      <c r="B2653" s="1">
        <v>45217</v>
      </c>
      <c r="C2653" t="s">
        <v>365</v>
      </c>
      <c r="D2653" t="s">
        <v>610</v>
      </c>
      <c r="E2653">
        <v>133</v>
      </c>
      <c r="F2653" t="s">
        <v>6506</v>
      </c>
      <c r="G2653">
        <v>133</v>
      </c>
      <c r="H2653">
        <v>457.65019999999998</v>
      </c>
      <c r="N2653">
        <v>457.65019999999998</v>
      </c>
      <c r="O2653" s="1">
        <v>44950</v>
      </c>
      <c r="P2653">
        <f>IF(ISBLANK(ReconciliationData[[#This Row],[Invoice_ID]]),1,0)</f>
        <v>0</v>
      </c>
      <c r="Q2653">
        <f>IF(AND(NOT(ISBLANK(ReconciliationData[[#This Row],[Billed_Units]])),ReconciliationData[[#This Row],[ordered_units]]&lt;&gt;ReconciliationData[[#This Row],[Billed_Units]]),1,0)</f>
        <v>0</v>
      </c>
      <c r="R26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3">
        <f>IF(AND(NOT(ISBLANK(ReconciliationData[[#This Row],[Contract_Price]])),ReconciliationData[[#This Row],[Billed_Price]]&lt;&gt;ReconciliationData[[#This Row],[Contract_Price]]),1,0)</f>
        <v>0</v>
      </c>
      <c r="T2653">
        <f>IF(AND(NOT(ISBLANK(ReconciliationData[[#This Row],[End_Date]])),ReconciliationData[[#This Row],[Order_Date]]&gt;ReconciliationData[[#This Row],[End_Date]]),1,0)</f>
        <v>0</v>
      </c>
      <c r="U2653">
        <f>IF(AND(NOT(ISBLANK(ReconciliationData[[#This Row],[last_return_date]])),ReconciliationData[[#This Row],[last_return_date]]&gt;ReconciliationData[[#This Row],[Order_Date]]+60),1,0)</f>
        <v>0</v>
      </c>
      <c r="V2653">
        <f>IF(ReconciliationData[[#This Row],[total_returned_units]]&gt;ReconciliationData[[#This Row],[ordered_units]],1,0)</f>
        <v>0</v>
      </c>
      <c r="W26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53">
        <f>ReconciliationData[[#This Row],[Billed_Units]]*ReconciliationData[[#This Row],[Billed_Price]]</f>
        <v>60867.476599999995</v>
      </c>
      <c r="Y2653">
        <f>ReconciliationData[[#This Row],[ordered_units]]*ReconciliationData[[#This Row],[List_Price]]</f>
        <v>60867.476599999995</v>
      </c>
      <c r="Z2653">
        <f>ReconciliationData[[#This Row],[billed_revenue]]-ReconciliationData[[#This Row],[expected_revenue]]</f>
        <v>0</v>
      </c>
      <c r="AA26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53" t="str">
        <f>IF(ReconciliationData[[#This Row],[severity_score]]=0,"LOW",
 IF(ReconciliationData[[#This Row],[severity_score]]&lt;=5,"MEDIUM","HIGH"))</f>
        <v>LOW</v>
      </c>
      <c r="AC2653" t="str">
        <f>TEXT(ReconciliationData[[#This Row],[Order_Date]],"YYYY-MM")</f>
        <v>2023-10</v>
      </c>
    </row>
    <row r="2654" spans="1:29">
      <c r="A2654" t="s">
        <v>6507</v>
      </c>
      <c r="B2654" s="1">
        <v>45562</v>
      </c>
      <c r="C2654" t="s">
        <v>1174</v>
      </c>
      <c r="D2654" t="s">
        <v>1414</v>
      </c>
      <c r="E2654">
        <v>89</v>
      </c>
      <c r="F2654" t="s">
        <v>6508</v>
      </c>
      <c r="G2654">
        <v>89</v>
      </c>
      <c r="H2654">
        <v>872.7808</v>
      </c>
      <c r="N2654">
        <v>872.7808</v>
      </c>
      <c r="O2654" s="1">
        <v>45225</v>
      </c>
      <c r="P2654">
        <f>IF(ISBLANK(ReconciliationData[[#This Row],[Invoice_ID]]),1,0)</f>
        <v>0</v>
      </c>
      <c r="Q2654">
        <f>IF(AND(NOT(ISBLANK(ReconciliationData[[#This Row],[Billed_Units]])),ReconciliationData[[#This Row],[ordered_units]]&lt;&gt;ReconciliationData[[#This Row],[Billed_Units]]),1,0)</f>
        <v>0</v>
      </c>
      <c r="R26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4">
        <f>IF(AND(NOT(ISBLANK(ReconciliationData[[#This Row],[Contract_Price]])),ReconciliationData[[#This Row],[Billed_Price]]&lt;&gt;ReconciliationData[[#This Row],[Contract_Price]]),1,0)</f>
        <v>0</v>
      </c>
      <c r="T2654">
        <f>IF(AND(NOT(ISBLANK(ReconciliationData[[#This Row],[End_Date]])),ReconciliationData[[#This Row],[Order_Date]]&gt;ReconciliationData[[#This Row],[End_Date]]),1,0)</f>
        <v>0</v>
      </c>
      <c r="U2654">
        <f>IF(AND(NOT(ISBLANK(ReconciliationData[[#This Row],[last_return_date]])),ReconciliationData[[#This Row],[last_return_date]]&gt;ReconciliationData[[#This Row],[Order_Date]]+60),1,0)</f>
        <v>0</v>
      </c>
      <c r="V2654">
        <f>IF(ReconciliationData[[#This Row],[total_returned_units]]&gt;ReconciliationData[[#This Row],[ordered_units]],1,0)</f>
        <v>0</v>
      </c>
      <c r="W26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54">
        <f>ReconciliationData[[#This Row],[Billed_Units]]*ReconciliationData[[#This Row],[Billed_Price]]</f>
        <v>77677.491200000004</v>
      </c>
      <c r="Y2654">
        <f>ReconciliationData[[#This Row],[ordered_units]]*ReconciliationData[[#This Row],[List_Price]]</f>
        <v>77677.491200000004</v>
      </c>
      <c r="Z2654">
        <f>ReconciliationData[[#This Row],[billed_revenue]]-ReconciliationData[[#This Row],[expected_revenue]]</f>
        <v>0</v>
      </c>
      <c r="AA26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54" t="str">
        <f>IF(ReconciliationData[[#This Row],[severity_score]]=0,"LOW",
 IF(ReconciliationData[[#This Row],[severity_score]]&lt;=5,"MEDIUM","HIGH"))</f>
        <v>LOW</v>
      </c>
      <c r="AC2654" t="str">
        <f>TEXT(ReconciliationData[[#This Row],[Order_Date]],"YYYY-MM")</f>
        <v>2024-09</v>
      </c>
    </row>
    <row r="2655" spans="1:29">
      <c r="A2655" t="s">
        <v>6509</v>
      </c>
      <c r="B2655" s="1">
        <v>45637</v>
      </c>
      <c r="C2655" t="s">
        <v>3499</v>
      </c>
      <c r="D2655" t="s">
        <v>1061</v>
      </c>
      <c r="E2655">
        <v>45</v>
      </c>
      <c r="F2655" t="s">
        <v>6510</v>
      </c>
      <c r="G2655">
        <v>45</v>
      </c>
      <c r="H2655">
        <v>79.105599999999995</v>
      </c>
      <c r="N2655">
        <v>79.105599999999995</v>
      </c>
      <c r="O2655" s="1">
        <v>45204</v>
      </c>
      <c r="P2655">
        <f>IF(ISBLANK(ReconciliationData[[#This Row],[Invoice_ID]]),1,0)</f>
        <v>0</v>
      </c>
      <c r="Q2655">
        <f>IF(AND(NOT(ISBLANK(ReconciliationData[[#This Row],[Billed_Units]])),ReconciliationData[[#This Row],[ordered_units]]&lt;&gt;ReconciliationData[[#This Row],[Billed_Units]]),1,0)</f>
        <v>0</v>
      </c>
      <c r="R26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5">
        <f>IF(AND(NOT(ISBLANK(ReconciliationData[[#This Row],[Contract_Price]])),ReconciliationData[[#This Row],[Billed_Price]]&lt;&gt;ReconciliationData[[#This Row],[Contract_Price]]),1,0)</f>
        <v>0</v>
      </c>
      <c r="T2655">
        <f>IF(AND(NOT(ISBLANK(ReconciliationData[[#This Row],[End_Date]])),ReconciliationData[[#This Row],[Order_Date]]&gt;ReconciliationData[[#This Row],[End_Date]]),1,0)</f>
        <v>0</v>
      </c>
      <c r="U2655">
        <f>IF(AND(NOT(ISBLANK(ReconciliationData[[#This Row],[last_return_date]])),ReconciliationData[[#This Row],[last_return_date]]&gt;ReconciliationData[[#This Row],[Order_Date]]+60),1,0)</f>
        <v>0</v>
      </c>
      <c r="V2655">
        <f>IF(ReconciliationData[[#This Row],[total_returned_units]]&gt;ReconciliationData[[#This Row],[ordered_units]],1,0)</f>
        <v>0</v>
      </c>
      <c r="W26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55">
        <f>ReconciliationData[[#This Row],[Billed_Units]]*ReconciliationData[[#This Row],[Billed_Price]]</f>
        <v>3559.752</v>
      </c>
      <c r="Y2655">
        <f>ReconciliationData[[#This Row],[ordered_units]]*ReconciliationData[[#This Row],[List_Price]]</f>
        <v>3559.752</v>
      </c>
      <c r="Z2655">
        <f>ReconciliationData[[#This Row],[billed_revenue]]-ReconciliationData[[#This Row],[expected_revenue]]</f>
        <v>0</v>
      </c>
      <c r="AA26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55" t="str">
        <f>IF(ReconciliationData[[#This Row],[severity_score]]=0,"LOW",
 IF(ReconciliationData[[#This Row],[severity_score]]&lt;=5,"MEDIUM","HIGH"))</f>
        <v>LOW</v>
      </c>
      <c r="AC2655" t="str">
        <f>TEXT(ReconciliationData[[#This Row],[Order_Date]],"YYYY-MM")</f>
        <v>2024-12</v>
      </c>
    </row>
    <row r="2656" spans="1:29">
      <c r="A2656" t="s">
        <v>6511</v>
      </c>
      <c r="B2656" s="1">
        <v>45074</v>
      </c>
      <c r="C2656" t="s">
        <v>1631</v>
      </c>
      <c r="D2656" t="s">
        <v>251</v>
      </c>
      <c r="E2656">
        <v>155</v>
      </c>
      <c r="F2656" t="s">
        <v>6512</v>
      </c>
      <c r="G2656">
        <v>155</v>
      </c>
      <c r="H2656">
        <v>957.65700000000015</v>
      </c>
      <c r="N2656">
        <v>957.65700000000015</v>
      </c>
      <c r="O2656" s="1">
        <v>45057</v>
      </c>
      <c r="P2656">
        <f>IF(ISBLANK(ReconciliationData[[#This Row],[Invoice_ID]]),1,0)</f>
        <v>0</v>
      </c>
      <c r="Q2656">
        <f>IF(AND(NOT(ISBLANK(ReconciliationData[[#This Row],[Billed_Units]])),ReconciliationData[[#This Row],[ordered_units]]&lt;&gt;ReconciliationData[[#This Row],[Billed_Units]]),1,0)</f>
        <v>0</v>
      </c>
      <c r="R26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6">
        <f>IF(AND(NOT(ISBLANK(ReconciliationData[[#This Row],[Contract_Price]])),ReconciliationData[[#This Row],[Billed_Price]]&lt;&gt;ReconciliationData[[#This Row],[Contract_Price]]),1,0)</f>
        <v>0</v>
      </c>
      <c r="T2656">
        <f>IF(AND(NOT(ISBLANK(ReconciliationData[[#This Row],[End_Date]])),ReconciliationData[[#This Row],[Order_Date]]&gt;ReconciliationData[[#This Row],[End_Date]]),1,0)</f>
        <v>0</v>
      </c>
      <c r="U2656">
        <f>IF(AND(NOT(ISBLANK(ReconciliationData[[#This Row],[last_return_date]])),ReconciliationData[[#This Row],[last_return_date]]&gt;ReconciliationData[[#This Row],[Order_Date]]+60),1,0)</f>
        <v>0</v>
      </c>
      <c r="V2656">
        <f>IF(ReconciliationData[[#This Row],[total_returned_units]]&gt;ReconciliationData[[#This Row],[ordered_units]],1,0)</f>
        <v>0</v>
      </c>
      <c r="W26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56">
        <f>ReconciliationData[[#This Row],[Billed_Units]]*ReconciliationData[[#This Row],[Billed_Price]]</f>
        <v>148436.83500000002</v>
      </c>
      <c r="Y2656">
        <f>ReconciliationData[[#This Row],[ordered_units]]*ReconciliationData[[#This Row],[List_Price]]</f>
        <v>148436.83500000002</v>
      </c>
      <c r="Z2656">
        <f>ReconciliationData[[#This Row],[billed_revenue]]-ReconciliationData[[#This Row],[expected_revenue]]</f>
        <v>0</v>
      </c>
      <c r="AA26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56" t="str">
        <f>IF(ReconciliationData[[#This Row],[severity_score]]=0,"LOW",
 IF(ReconciliationData[[#This Row],[severity_score]]&lt;=5,"MEDIUM","HIGH"))</f>
        <v>LOW</v>
      </c>
      <c r="AC2656" t="str">
        <f>TEXT(ReconciliationData[[#This Row],[Order_Date]],"YYYY-MM")</f>
        <v>2023-05</v>
      </c>
    </row>
    <row r="2657" spans="1:29">
      <c r="A2657" t="s">
        <v>6513</v>
      </c>
      <c r="B2657" s="1">
        <v>45208</v>
      </c>
      <c r="C2657" t="s">
        <v>1407</v>
      </c>
      <c r="D2657" t="s">
        <v>291</v>
      </c>
      <c r="E2657">
        <v>170</v>
      </c>
      <c r="F2657" t="s">
        <v>6514</v>
      </c>
      <c r="G2657">
        <v>170</v>
      </c>
      <c r="H2657">
        <v>454.98379999999997</v>
      </c>
      <c r="N2657">
        <v>454.98379999999997</v>
      </c>
      <c r="O2657" s="1">
        <v>45011</v>
      </c>
      <c r="P2657">
        <f>IF(ISBLANK(ReconciliationData[[#This Row],[Invoice_ID]]),1,0)</f>
        <v>0</v>
      </c>
      <c r="Q2657">
        <f>IF(AND(NOT(ISBLANK(ReconciliationData[[#This Row],[Billed_Units]])),ReconciliationData[[#This Row],[ordered_units]]&lt;&gt;ReconciliationData[[#This Row],[Billed_Units]]),1,0)</f>
        <v>0</v>
      </c>
      <c r="R26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7">
        <f>IF(AND(NOT(ISBLANK(ReconciliationData[[#This Row],[Contract_Price]])),ReconciliationData[[#This Row],[Billed_Price]]&lt;&gt;ReconciliationData[[#This Row],[Contract_Price]]),1,0)</f>
        <v>0</v>
      </c>
      <c r="T2657">
        <f>IF(AND(NOT(ISBLANK(ReconciliationData[[#This Row],[End_Date]])),ReconciliationData[[#This Row],[Order_Date]]&gt;ReconciliationData[[#This Row],[End_Date]]),1,0)</f>
        <v>0</v>
      </c>
      <c r="U2657">
        <f>IF(AND(NOT(ISBLANK(ReconciliationData[[#This Row],[last_return_date]])),ReconciliationData[[#This Row],[last_return_date]]&gt;ReconciliationData[[#This Row],[Order_Date]]+60),1,0)</f>
        <v>0</v>
      </c>
      <c r="V2657">
        <f>IF(ReconciliationData[[#This Row],[total_returned_units]]&gt;ReconciliationData[[#This Row],[ordered_units]],1,0)</f>
        <v>0</v>
      </c>
      <c r="W26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57">
        <f>ReconciliationData[[#This Row],[Billed_Units]]*ReconciliationData[[#This Row],[Billed_Price]]</f>
        <v>77347.245999999999</v>
      </c>
      <c r="Y2657">
        <f>ReconciliationData[[#This Row],[ordered_units]]*ReconciliationData[[#This Row],[List_Price]]</f>
        <v>77347.245999999999</v>
      </c>
      <c r="Z2657">
        <f>ReconciliationData[[#This Row],[billed_revenue]]-ReconciliationData[[#This Row],[expected_revenue]]</f>
        <v>0</v>
      </c>
      <c r="AA26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57" t="str">
        <f>IF(ReconciliationData[[#This Row],[severity_score]]=0,"LOW",
 IF(ReconciliationData[[#This Row],[severity_score]]&lt;=5,"MEDIUM","HIGH"))</f>
        <v>LOW</v>
      </c>
      <c r="AC2657" t="str">
        <f>TEXT(ReconciliationData[[#This Row],[Order_Date]],"YYYY-MM")</f>
        <v>2023-10</v>
      </c>
    </row>
    <row r="2658" spans="1:29">
      <c r="A2658" t="s">
        <v>6515</v>
      </c>
      <c r="B2658" s="1">
        <v>45585</v>
      </c>
      <c r="C2658" t="s">
        <v>6516</v>
      </c>
      <c r="D2658" t="s">
        <v>1717</v>
      </c>
      <c r="E2658">
        <v>95</v>
      </c>
      <c r="F2658" t="s">
        <v>6517</v>
      </c>
      <c r="G2658">
        <v>95</v>
      </c>
      <c r="H2658">
        <v>1166.4765000000002</v>
      </c>
      <c r="N2658">
        <v>1166.4765000000002</v>
      </c>
      <c r="O2658" s="1">
        <v>45114</v>
      </c>
      <c r="P2658">
        <f>IF(ISBLANK(ReconciliationData[[#This Row],[Invoice_ID]]),1,0)</f>
        <v>0</v>
      </c>
      <c r="Q2658">
        <f>IF(AND(NOT(ISBLANK(ReconciliationData[[#This Row],[Billed_Units]])),ReconciliationData[[#This Row],[ordered_units]]&lt;&gt;ReconciliationData[[#This Row],[Billed_Units]]),1,0)</f>
        <v>0</v>
      </c>
      <c r="R26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8">
        <f>IF(AND(NOT(ISBLANK(ReconciliationData[[#This Row],[Contract_Price]])),ReconciliationData[[#This Row],[Billed_Price]]&lt;&gt;ReconciliationData[[#This Row],[Contract_Price]]),1,0)</f>
        <v>0</v>
      </c>
      <c r="T2658">
        <f>IF(AND(NOT(ISBLANK(ReconciliationData[[#This Row],[End_Date]])),ReconciliationData[[#This Row],[Order_Date]]&gt;ReconciliationData[[#This Row],[End_Date]]),1,0)</f>
        <v>0</v>
      </c>
      <c r="U2658">
        <f>IF(AND(NOT(ISBLANK(ReconciliationData[[#This Row],[last_return_date]])),ReconciliationData[[#This Row],[last_return_date]]&gt;ReconciliationData[[#This Row],[Order_Date]]+60),1,0)</f>
        <v>0</v>
      </c>
      <c r="V2658">
        <f>IF(ReconciliationData[[#This Row],[total_returned_units]]&gt;ReconciliationData[[#This Row],[ordered_units]],1,0)</f>
        <v>0</v>
      </c>
      <c r="W26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58">
        <f>ReconciliationData[[#This Row],[Billed_Units]]*ReconciliationData[[#This Row],[Billed_Price]]</f>
        <v>110815.26750000002</v>
      </c>
      <c r="Y2658">
        <f>ReconciliationData[[#This Row],[ordered_units]]*ReconciliationData[[#This Row],[List_Price]]</f>
        <v>110815.26750000002</v>
      </c>
      <c r="Z2658">
        <f>ReconciliationData[[#This Row],[billed_revenue]]-ReconciliationData[[#This Row],[expected_revenue]]</f>
        <v>0</v>
      </c>
      <c r="AA26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58" t="str">
        <f>IF(ReconciliationData[[#This Row],[severity_score]]=0,"LOW",
 IF(ReconciliationData[[#This Row],[severity_score]]&lt;=5,"MEDIUM","HIGH"))</f>
        <v>LOW</v>
      </c>
      <c r="AC2658" t="str">
        <f>TEXT(ReconciliationData[[#This Row],[Order_Date]],"YYYY-MM")</f>
        <v>2024-10</v>
      </c>
    </row>
    <row r="2659" spans="1:29">
      <c r="A2659" t="s">
        <v>6518</v>
      </c>
      <c r="B2659" s="1">
        <v>45543</v>
      </c>
      <c r="C2659" t="s">
        <v>2611</v>
      </c>
      <c r="D2659" t="s">
        <v>997</v>
      </c>
      <c r="E2659">
        <v>4</v>
      </c>
      <c r="F2659" t="s">
        <v>6519</v>
      </c>
      <c r="G2659">
        <v>4</v>
      </c>
      <c r="H2659">
        <v>1153.4984999999999</v>
      </c>
      <c r="N2659">
        <v>1153.4984999999999</v>
      </c>
      <c r="O2659" s="1">
        <v>44962</v>
      </c>
      <c r="P2659">
        <f>IF(ISBLANK(ReconciliationData[[#This Row],[Invoice_ID]]),1,0)</f>
        <v>0</v>
      </c>
      <c r="Q2659">
        <f>IF(AND(NOT(ISBLANK(ReconciliationData[[#This Row],[Billed_Units]])),ReconciliationData[[#This Row],[ordered_units]]&lt;&gt;ReconciliationData[[#This Row],[Billed_Units]]),1,0)</f>
        <v>0</v>
      </c>
      <c r="R26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59">
        <f>IF(AND(NOT(ISBLANK(ReconciliationData[[#This Row],[Contract_Price]])),ReconciliationData[[#This Row],[Billed_Price]]&lt;&gt;ReconciliationData[[#This Row],[Contract_Price]]),1,0)</f>
        <v>0</v>
      </c>
      <c r="T2659">
        <f>IF(AND(NOT(ISBLANK(ReconciliationData[[#This Row],[End_Date]])),ReconciliationData[[#This Row],[Order_Date]]&gt;ReconciliationData[[#This Row],[End_Date]]),1,0)</f>
        <v>0</v>
      </c>
      <c r="U2659">
        <f>IF(AND(NOT(ISBLANK(ReconciliationData[[#This Row],[last_return_date]])),ReconciliationData[[#This Row],[last_return_date]]&gt;ReconciliationData[[#This Row],[Order_Date]]+60),1,0)</f>
        <v>0</v>
      </c>
      <c r="V2659">
        <f>IF(ReconciliationData[[#This Row],[total_returned_units]]&gt;ReconciliationData[[#This Row],[ordered_units]],1,0)</f>
        <v>0</v>
      </c>
      <c r="W26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59">
        <f>ReconciliationData[[#This Row],[Billed_Units]]*ReconciliationData[[#This Row],[Billed_Price]]</f>
        <v>4613.9939999999997</v>
      </c>
      <c r="Y2659">
        <f>ReconciliationData[[#This Row],[ordered_units]]*ReconciliationData[[#This Row],[List_Price]]</f>
        <v>4613.9939999999997</v>
      </c>
      <c r="Z2659">
        <f>ReconciliationData[[#This Row],[billed_revenue]]-ReconciliationData[[#This Row],[expected_revenue]]</f>
        <v>0</v>
      </c>
      <c r="AA26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59" t="str">
        <f>IF(ReconciliationData[[#This Row],[severity_score]]=0,"LOW",
 IF(ReconciliationData[[#This Row],[severity_score]]&lt;=5,"MEDIUM","HIGH"))</f>
        <v>LOW</v>
      </c>
      <c r="AC2659" t="str">
        <f>TEXT(ReconciliationData[[#This Row],[Order_Date]],"YYYY-MM")</f>
        <v>2024-09</v>
      </c>
    </row>
    <row r="2660" spans="1:29">
      <c r="A2660" t="s">
        <v>6520</v>
      </c>
      <c r="B2660" s="1">
        <v>45337</v>
      </c>
      <c r="C2660" t="s">
        <v>3140</v>
      </c>
      <c r="D2660" t="s">
        <v>1491</v>
      </c>
      <c r="E2660">
        <v>104</v>
      </c>
      <c r="F2660" t="s">
        <v>6521</v>
      </c>
      <c r="G2660">
        <v>104</v>
      </c>
      <c r="H2660">
        <v>919.86659999999995</v>
      </c>
      <c r="N2660">
        <v>919.86659999999995</v>
      </c>
      <c r="O2660" s="1">
        <v>45108</v>
      </c>
      <c r="P2660">
        <f>IF(ISBLANK(ReconciliationData[[#This Row],[Invoice_ID]]),1,0)</f>
        <v>0</v>
      </c>
      <c r="Q2660">
        <f>IF(AND(NOT(ISBLANK(ReconciliationData[[#This Row],[Billed_Units]])),ReconciliationData[[#This Row],[ordered_units]]&lt;&gt;ReconciliationData[[#This Row],[Billed_Units]]),1,0)</f>
        <v>0</v>
      </c>
      <c r="R26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0">
        <f>IF(AND(NOT(ISBLANK(ReconciliationData[[#This Row],[Contract_Price]])),ReconciliationData[[#This Row],[Billed_Price]]&lt;&gt;ReconciliationData[[#This Row],[Contract_Price]]),1,0)</f>
        <v>0</v>
      </c>
      <c r="T2660">
        <f>IF(AND(NOT(ISBLANK(ReconciliationData[[#This Row],[End_Date]])),ReconciliationData[[#This Row],[Order_Date]]&gt;ReconciliationData[[#This Row],[End_Date]]),1,0)</f>
        <v>0</v>
      </c>
      <c r="U2660">
        <f>IF(AND(NOT(ISBLANK(ReconciliationData[[#This Row],[last_return_date]])),ReconciliationData[[#This Row],[last_return_date]]&gt;ReconciliationData[[#This Row],[Order_Date]]+60),1,0)</f>
        <v>0</v>
      </c>
      <c r="V2660">
        <f>IF(ReconciliationData[[#This Row],[total_returned_units]]&gt;ReconciliationData[[#This Row],[ordered_units]],1,0)</f>
        <v>0</v>
      </c>
      <c r="W26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60">
        <f>ReconciliationData[[#This Row],[Billed_Units]]*ReconciliationData[[#This Row],[Billed_Price]]</f>
        <v>95666.126399999994</v>
      </c>
      <c r="Y2660">
        <f>ReconciliationData[[#This Row],[ordered_units]]*ReconciliationData[[#This Row],[List_Price]]</f>
        <v>95666.126399999994</v>
      </c>
      <c r="Z2660">
        <f>ReconciliationData[[#This Row],[billed_revenue]]-ReconciliationData[[#This Row],[expected_revenue]]</f>
        <v>0</v>
      </c>
      <c r="AA26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60" t="str">
        <f>IF(ReconciliationData[[#This Row],[severity_score]]=0,"LOW",
 IF(ReconciliationData[[#This Row],[severity_score]]&lt;=5,"MEDIUM","HIGH"))</f>
        <v>LOW</v>
      </c>
      <c r="AC2660" t="str">
        <f>TEXT(ReconciliationData[[#This Row],[Order_Date]],"YYYY-MM")</f>
        <v>2024-02</v>
      </c>
    </row>
    <row r="2661" spans="1:29">
      <c r="A2661" t="s">
        <v>6522</v>
      </c>
      <c r="B2661" s="1">
        <v>45187</v>
      </c>
      <c r="C2661" t="s">
        <v>907</v>
      </c>
      <c r="D2661" t="s">
        <v>1775</v>
      </c>
      <c r="E2661">
        <v>23</v>
      </c>
      <c r="F2661" t="s">
        <v>6523</v>
      </c>
      <c r="G2661">
        <v>23</v>
      </c>
      <c r="H2661">
        <v>908.12130000000002</v>
      </c>
      <c r="N2661">
        <v>908.12130000000002</v>
      </c>
      <c r="O2661" s="1">
        <v>45140</v>
      </c>
      <c r="P2661">
        <f>IF(ISBLANK(ReconciliationData[[#This Row],[Invoice_ID]]),1,0)</f>
        <v>0</v>
      </c>
      <c r="Q2661">
        <f>IF(AND(NOT(ISBLANK(ReconciliationData[[#This Row],[Billed_Units]])),ReconciliationData[[#This Row],[ordered_units]]&lt;&gt;ReconciliationData[[#This Row],[Billed_Units]]),1,0)</f>
        <v>0</v>
      </c>
      <c r="R26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1">
        <f>IF(AND(NOT(ISBLANK(ReconciliationData[[#This Row],[Contract_Price]])),ReconciliationData[[#This Row],[Billed_Price]]&lt;&gt;ReconciliationData[[#This Row],[Contract_Price]]),1,0)</f>
        <v>0</v>
      </c>
      <c r="T2661">
        <f>IF(AND(NOT(ISBLANK(ReconciliationData[[#This Row],[End_Date]])),ReconciliationData[[#This Row],[Order_Date]]&gt;ReconciliationData[[#This Row],[End_Date]]),1,0)</f>
        <v>0</v>
      </c>
      <c r="U2661">
        <f>IF(AND(NOT(ISBLANK(ReconciliationData[[#This Row],[last_return_date]])),ReconciliationData[[#This Row],[last_return_date]]&gt;ReconciliationData[[#This Row],[Order_Date]]+60),1,0)</f>
        <v>0</v>
      </c>
      <c r="V2661">
        <f>IF(ReconciliationData[[#This Row],[total_returned_units]]&gt;ReconciliationData[[#This Row],[ordered_units]],1,0)</f>
        <v>0</v>
      </c>
      <c r="W26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61">
        <f>ReconciliationData[[#This Row],[Billed_Units]]*ReconciliationData[[#This Row],[Billed_Price]]</f>
        <v>20886.7899</v>
      </c>
      <c r="Y2661">
        <f>ReconciliationData[[#This Row],[ordered_units]]*ReconciliationData[[#This Row],[List_Price]]</f>
        <v>20886.7899</v>
      </c>
      <c r="Z2661">
        <f>ReconciliationData[[#This Row],[billed_revenue]]-ReconciliationData[[#This Row],[expected_revenue]]</f>
        <v>0</v>
      </c>
      <c r="AA26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61" t="str">
        <f>IF(ReconciliationData[[#This Row],[severity_score]]=0,"LOW",
 IF(ReconciliationData[[#This Row],[severity_score]]&lt;=5,"MEDIUM","HIGH"))</f>
        <v>LOW</v>
      </c>
      <c r="AC2661" t="str">
        <f>TEXT(ReconciliationData[[#This Row],[Order_Date]],"YYYY-MM")</f>
        <v>2023-09</v>
      </c>
    </row>
    <row r="2662" spans="1:29">
      <c r="A2662" t="s">
        <v>6524</v>
      </c>
      <c r="B2662" s="1">
        <v>45279</v>
      </c>
      <c r="C2662" t="s">
        <v>2280</v>
      </c>
      <c r="D2662" t="s">
        <v>3220</v>
      </c>
      <c r="E2662">
        <v>11</v>
      </c>
      <c r="F2662" t="s">
        <v>6525</v>
      </c>
      <c r="G2662">
        <v>11</v>
      </c>
      <c r="H2662">
        <v>380.30540000000002</v>
      </c>
      <c r="N2662">
        <v>380.30540000000002</v>
      </c>
      <c r="O2662" s="1">
        <v>45212</v>
      </c>
      <c r="P2662">
        <f>IF(ISBLANK(ReconciliationData[[#This Row],[Invoice_ID]]),1,0)</f>
        <v>0</v>
      </c>
      <c r="Q2662">
        <f>IF(AND(NOT(ISBLANK(ReconciliationData[[#This Row],[Billed_Units]])),ReconciliationData[[#This Row],[ordered_units]]&lt;&gt;ReconciliationData[[#This Row],[Billed_Units]]),1,0)</f>
        <v>0</v>
      </c>
      <c r="R26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2">
        <f>IF(AND(NOT(ISBLANK(ReconciliationData[[#This Row],[Contract_Price]])),ReconciliationData[[#This Row],[Billed_Price]]&lt;&gt;ReconciliationData[[#This Row],[Contract_Price]]),1,0)</f>
        <v>0</v>
      </c>
      <c r="T2662">
        <f>IF(AND(NOT(ISBLANK(ReconciliationData[[#This Row],[End_Date]])),ReconciliationData[[#This Row],[Order_Date]]&gt;ReconciliationData[[#This Row],[End_Date]]),1,0)</f>
        <v>0</v>
      </c>
      <c r="U2662">
        <f>IF(AND(NOT(ISBLANK(ReconciliationData[[#This Row],[last_return_date]])),ReconciliationData[[#This Row],[last_return_date]]&gt;ReconciliationData[[#This Row],[Order_Date]]+60),1,0)</f>
        <v>0</v>
      </c>
      <c r="V2662">
        <f>IF(ReconciliationData[[#This Row],[total_returned_units]]&gt;ReconciliationData[[#This Row],[ordered_units]],1,0)</f>
        <v>0</v>
      </c>
      <c r="W26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62">
        <f>ReconciliationData[[#This Row],[Billed_Units]]*ReconciliationData[[#This Row],[Billed_Price]]</f>
        <v>4183.3594000000003</v>
      </c>
      <c r="Y2662">
        <f>ReconciliationData[[#This Row],[ordered_units]]*ReconciliationData[[#This Row],[List_Price]]</f>
        <v>4183.3594000000003</v>
      </c>
      <c r="Z2662">
        <f>ReconciliationData[[#This Row],[billed_revenue]]-ReconciliationData[[#This Row],[expected_revenue]]</f>
        <v>0</v>
      </c>
      <c r="AA26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62" t="str">
        <f>IF(ReconciliationData[[#This Row],[severity_score]]=0,"LOW",
 IF(ReconciliationData[[#This Row],[severity_score]]&lt;=5,"MEDIUM","HIGH"))</f>
        <v>LOW</v>
      </c>
      <c r="AC2662" t="str">
        <f>TEXT(ReconciliationData[[#This Row],[Order_Date]],"YYYY-MM")</f>
        <v>2023-12</v>
      </c>
    </row>
    <row r="2663" spans="1:29">
      <c r="A2663" t="s">
        <v>6526</v>
      </c>
      <c r="B2663" s="1">
        <v>45377</v>
      </c>
      <c r="C2663" t="s">
        <v>1196</v>
      </c>
      <c r="D2663" t="s">
        <v>1007</v>
      </c>
      <c r="E2663">
        <v>82</v>
      </c>
      <c r="F2663" t="s">
        <v>6527</v>
      </c>
      <c r="G2663">
        <v>82</v>
      </c>
      <c r="H2663">
        <v>115.0735</v>
      </c>
      <c r="N2663">
        <v>115.0735</v>
      </c>
      <c r="O2663" s="1">
        <v>45227</v>
      </c>
      <c r="P2663">
        <f>IF(ISBLANK(ReconciliationData[[#This Row],[Invoice_ID]]),1,0)</f>
        <v>0</v>
      </c>
      <c r="Q2663">
        <f>IF(AND(NOT(ISBLANK(ReconciliationData[[#This Row],[Billed_Units]])),ReconciliationData[[#This Row],[ordered_units]]&lt;&gt;ReconciliationData[[#This Row],[Billed_Units]]),1,0)</f>
        <v>0</v>
      </c>
      <c r="R26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3">
        <f>IF(AND(NOT(ISBLANK(ReconciliationData[[#This Row],[Contract_Price]])),ReconciliationData[[#This Row],[Billed_Price]]&lt;&gt;ReconciliationData[[#This Row],[Contract_Price]]),1,0)</f>
        <v>0</v>
      </c>
      <c r="T2663">
        <f>IF(AND(NOT(ISBLANK(ReconciliationData[[#This Row],[End_Date]])),ReconciliationData[[#This Row],[Order_Date]]&gt;ReconciliationData[[#This Row],[End_Date]]),1,0)</f>
        <v>0</v>
      </c>
      <c r="U2663">
        <f>IF(AND(NOT(ISBLANK(ReconciliationData[[#This Row],[last_return_date]])),ReconciliationData[[#This Row],[last_return_date]]&gt;ReconciliationData[[#This Row],[Order_Date]]+60),1,0)</f>
        <v>0</v>
      </c>
      <c r="V2663">
        <f>IF(ReconciliationData[[#This Row],[total_returned_units]]&gt;ReconciliationData[[#This Row],[ordered_units]],1,0)</f>
        <v>0</v>
      </c>
      <c r="W26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63">
        <f>ReconciliationData[[#This Row],[Billed_Units]]*ReconciliationData[[#This Row],[Billed_Price]]</f>
        <v>9436.027</v>
      </c>
      <c r="Y2663">
        <f>ReconciliationData[[#This Row],[ordered_units]]*ReconciliationData[[#This Row],[List_Price]]</f>
        <v>9436.027</v>
      </c>
      <c r="Z2663">
        <f>ReconciliationData[[#This Row],[billed_revenue]]-ReconciliationData[[#This Row],[expected_revenue]]</f>
        <v>0</v>
      </c>
      <c r="AA26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63" t="str">
        <f>IF(ReconciliationData[[#This Row],[severity_score]]=0,"LOW",
 IF(ReconciliationData[[#This Row],[severity_score]]&lt;=5,"MEDIUM","HIGH"))</f>
        <v>LOW</v>
      </c>
      <c r="AC2663" t="str">
        <f>TEXT(ReconciliationData[[#This Row],[Order_Date]],"YYYY-MM")</f>
        <v>2024-03</v>
      </c>
    </row>
    <row r="2664" spans="1:29">
      <c r="A2664" t="s">
        <v>6528</v>
      </c>
      <c r="B2664" s="1">
        <v>45377</v>
      </c>
      <c r="C2664" t="s">
        <v>278</v>
      </c>
      <c r="D2664" t="s">
        <v>1525</v>
      </c>
      <c r="E2664">
        <v>32</v>
      </c>
      <c r="F2664" t="s">
        <v>6529</v>
      </c>
      <c r="G2664">
        <v>32</v>
      </c>
      <c r="H2664">
        <v>1067.6925000000001</v>
      </c>
      <c r="N2664">
        <v>1067.6925000000001</v>
      </c>
      <c r="O2664" s="1">
        <v>44999</v>
      </c>
      <c r="P2664">
        <f>IF(ISBLANK(ReconciliationData[[#This Row],[Invoice_ID]]),1,0)</f>
        <v>0</v>
      </c>
      <c r="Q2664">
        <f>IF(AND(NOT(ISBLANK(ReconciliationData[[#This Row],[Billed_Units]])),ReconciliationData[[#This Row],[ordered_units]]&lt;&gt;ReconciliationData[[#This Row],[Billed_Units]]),1,0)</f>
        <v>0</v>
      </c>
      <c r="R26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4">
        <f>IF(AND(NOT(ISBLANK(ReconciliationData[[#This Row],[Contract_Price]])),ReconciliationData[[#This Row],[Billed_Price]]&lt;&gt;ReconciliationData[[#This Row],[Contract_Price]]),1,0)</f>
        <v>0</v>
      </c>
      <c r="T2664">
        <f>IF(AND(NOT(ISBLANK(ReconciliationData[[#This Row],[End_Date]])),ReconciliationData[[#This Row],[Order_Date]]&gt;ReconciliationData[[#This Row],[End_Date]]),1,0)</f>
        <v>0</v>
      </c>
      <c r="U2664">
        <f>IF(AND(NOT(ISBLANK(ReconciliationData[[#This Row],[last_return_date]])),ReconciliationData[[#This Row],[last_return_date]]&gt;ReconciliationData[[#This Row],[Order_Date]]+60),1,0)</f>
        <v>0</v>
      </c>
      <c r="V2664">
        <f>IF(ReconciliationData[[#This Row],[total_returned_units]]&gt;ReconciliationData[[#This Row],[ordered_units]],1,0)</f>
        <v>0</v>
      </c>
      <c r="W26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64">
        <f>ReconciliationData[[#This Row],[Billed_Units]]*ReconciliationData[[#This Row],[Billed_Price]]</f>
        <v>34166.160000000003</v>
      </c>
      <c r="Y2664">
        <f>ReconciliationData[[#This Row],[ordered_units]]*ReconciliationData[[#This Row],[List_Price]]</f>
        <v>34166.160000000003</v>
      </c>
      <c r="Z2664">
        <f>ReconciliationData[[#This Row],[billed_revenue]]-ReconciliationData[[#This Row],[expected_revenue]]</f>
        <v>0</v>
      </c>
      <c r="AA26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64" t="str">
        <f>IF(ReconciliationData[[#This Row],[severity_score]]=0,"LOW",
 IF(ReconciliationData[[#This Row],[severity_score]]&lt;=5,"MEDIUM","HIGH"))</f>
        <v>LOW</v>
      </c>
      <c r="AC2664" t="str">
        <f>TEXT(ReconciliationData[[#This Row],[Order_Date]],"YYYY-MM")</f>
        <v>2024-03</v>
      </c>
    </row>
    <row r="2665" spans="1:29">
      <c r="A2665" t="s">
        <v>6530</v>
      </c>
      <c r="B2665" s="1">
        <v>45529</v>
      </c>
      <c r="C2665" t="s">
        <v>2389</v>
      </c>
      <c r="D2665" t="s">
        <v>445</v>
      </c>
      <c r="E2665">
        <v>150</v>
      </c>
      <c r="F2665" t="s">
        <v>6531</v>
      </c>
      <c r="G2665">
        <v>150</v>
      </c>
      <c r="H2665">
        <v>791.35360000000003</v>
      </c>
      <c r="I2665">
        <v>4</v>
      </c>
      <c r="J2665" s="1">
        <v>45242</v>
      </c>
      <c r="N2665">
        <v>791.35360000000003</v>
      </c>
      <c r="O2665" s="1">
        <v>45097</v>
      </c>
      <c r="P2665">
        <f>IF(ISBLANK(ReconciliationData[[#This Row],[Invoice_ID]]),1,0)</f>
        <v>0</v>
      </c>
      <c r="Q2665">
        <f>IF(AND(NOT(ISBLANK(ReconciliationData[[#This Row],[Billed_Units]])),ReconciliationData[[#This Row],[ordered_units]]&lt;&gt;ReconciliationData[[#This Row],[Billed_Units]]),1,0)</f>
        <v>0</v>
      </c>
      <c r="R26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5">
        <f>IF(AND(NOT(ISBLANK(ReconciliationData[[#This Row],[Contract_Price]])),ReconciliationData[[#This Row],[Billed_Price]]&lt;&gt;ReconciliationData[[#This Row],[Contract_Price]]),1,0)</f>
        <v>0</v>
      </c>
      <c r="T2665">
        <f>IF(AND(NOT(ISBLANK(ReconciliationData[[#This Row],[End_Date]])),ReconciliationData[[#This Row],[Order_Date]]&gt;ReconciliationData[[#This Row],[End_Date]]),1,0)</f>
        <v>0</v>
      </c>
      <c r="U2665">
        <f>IF(AND(NOT(ISBLANK(ReconciliationData[[#This Row],[last_return_date]])),ReconciliationData[[#This Row],[last_return_date]]&gt;ReconciliationData[[#This Row],[Order_Date]]+60),1,0)</f>
        <v>0</v>
      </c>
      <c r="V2665">
        <f>IF(ReconciliationData[[#This Row],[total_returned_units]]&gt;ReconciliationData[[#This Row],[ordered_units]],1,0)</f>
        <v>0</v>
      </c>
      <c r="W26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65">
        <f>ReconciliationData[[#This Row],[Billed_Units]]*ReconciliationData[[#This Row],[Billed_Price]]</f>
        <v>118703.04000000001</v>
      </c>
      <c r="Y2665">
        <f>ReconciliationData[[#This Row],[ordered_units]]*ReconciliationData[[#This Row],[List_Price]]</f>
        <v>118703.04000000001</v>
      </c>
      <c r="Z2665">
        <f>ReconciliationData[[#This Row],[billed_revenue]]-ReconciliationData[[#This Row],[expected_revenue]]</f>
        <v>0</v>
      </c>
      <c r="AA26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65" t="str">
        <f>IF(ReconciliationData[[#This Row],[severity_score]]=0,"LOW",
 IF(ReconciliationData[[#This Row],[severity_score]]&lt;=5,"MEDIUM","HIGH"))</f>
        <v>LOW</v>
      </c>
      <c r="AC2665" t="str">
        <f>TEXT(ReconciliationData[[#This Row],[Order_Date]],"YYYY-MM")</f>
        <v>2024-08</v>
      </c>
    </row>
    <row r="2666" spans="1:29">
      <c r="A2666" t="s">
        <v>6532</v>
      </c>
      <c r="B2666" s="1">
        <v>44956</v>
      </c>
      <c r="C2666" t="s">
        <v>274</v>
      </c>
      <c r="D2666" t="s">
        <v>1436</v>
      </c>
      <c r="E2666">
        <v>148</v>
      </c>
      <c r="F2666" t="s">
        <v>6533</v>
      </c>
      <c r="G2666">
        <v>151</v>
      </c>
      <c r="H2666">
        <v>175.49</v>
      </c>
      <c r="N2666">
        <v>175.49</v>
      </c>
      <c r="O2666" s="1">
        <v>44760</v>
      </c>
      <c r="P2666">
        <f>IF(ISBLANK(ReconciliationData[[#This Row],[Invoice_ID]]),1,0)</f>
        <v>0</v>
      </c>
      <c r="Q2666">
        <f>IF(AND(NOT(ISBLANK(ReconciliationData[[#This Row],[Billed_Units]])),ReconciliationData[[#This Row],[ordered_units]]&lt;&gt;ReconciliationData[[#This Row],[Billed_Units]]),1,0)</f>
        <v>1</v>
      </c>
      <c r="R26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6">
        <f>IF(AND(NOT(ISBLANK(ReconciliationData[[#This Row],[Contract_Price]])),ReconciliationData[[#This Row],[Billed_Price]]&lt;&gt;ReconciliationData[[#This Row],[Contract_Price]]),1,0)</f>
        <v>0</v>
      </c>
      <c r="T2666">
        <f>IF(AND(NOT(ISBLANK(ReconciliationData[[#This Row],[End_Date]])),ReconciliationData[[#This Row],[Order_Date]]&gt;ReconciliationData[[#This Row],[End_Date]]),1,0)</f>
        <v>0</v>
      </c>
      <c r="U2666">
        <f>IF(AND(NOT(ISBLANK(ReconciliationData[[#This Row],[last_return_date]])),ReconciliationData[[#This Row],[last_return_date]]&gt;ReconciliationData[[#This Row],[Order_Date]]+60),1,0)</f>
        <v>0</v>
      </c>
      <c r="V2666">
        <f>IF(ReconciliationData[[#This Row],[total_returned_units]]&gt;ReconciliationData[[#This Row],[ordered_units]],1,0)</f>
        <v>0</v>
      </c>
      <c r="W26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66">
        <f>ReconciliationData[[#This Row],[Billed_Units]]*ReconciliationData[[#This Row],[Billed_Price]]</f>
        <v>26498.99</v>
      </c>
      <c r="Y2666">
        <f>ReconciliationData[[#This Row],[ordered_units]]*ReconciliationData[[#This Row],[List_Price]]</f>
        <v>25972.52</v>
      </c>
      <c r="Z2666">
        <f>ReconciliationData[[#This Row],[billed_revenue]]-ReconciliationData[[#This Row],[expected_revenue]]</f>
        <v>526.47000000000116</v>
      </c>
      <c r="AA26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666" t="str">
        <f>IF(ReconciliationData[[#This Row],[severity_score]]=0,"LOW",
 IF(ReconciliationData[[#This Row],[severity_score]]&lt;=5,"MEDIUM","HIGH"))</f>
        <v>HIGH</v>
      </c>
      <c r="AC2666" t="str">
        <f>TEXT(ReconciliationData[[#This Row],[Order_Date]],"YYYY-MM")</f>
        <v>2023-01</v>
      </c>
    </row>
    <row r="2667" spans="1:29">
      <c r="A2667" t="s">
        <v>6534</v>
      </c>
      <c r="B2667" s="1">
        <v>45002</v>
      </c>
      <c r="C2667" t="s">
        <v>2415</v>
      </c>
      <c r="D2667" t="s">
        <v>2370</v>
      </c>
      <c r="E2667">
        <v>200</v>
      </c>
      <c r="F2667" t="s">
        <v>6535</v>
      </c>
      <c r="G2667">
        <v>200</v>
      </c>
      <c r="H2667">
        <v>1224.4680000000001</v>
      </c>
      <c r="N2667">
        <v>1224.4680000000001</v>
      </c>
      <c r="O2667" s="1">
        <v>44805</v>
      </c>
      <c r="P2667">
        <f>IF(ISBLANK(ReconciliationData[[#This Row],[Invoice_ID]]),1,0)</f>
        <v>0</v>
      </c>
      <c r="Q2667">
        <f>IF(AND(NOT(ISBLANK(ReconciliationData[[#This Row],[Billed_Units]])),ReconciliationData[[#This Row],[ordered_units]]&lt;&gt;ReconciliationData[[#This Row],[Billed_Units]]),1,0)</f>
        <v>0</v>
      </c>
      <c r="R26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7">
        <f>IF(AND(NOT(ISBLANK(ReconciliationData[[#This Row],[Contract_Price]])),ReconciliationData[[#This Row],[Billed_Price]]&lt;&gt;ReconciliationData[[#This Row],[Contract_Price]]),1,0)</f>
        <v>0</v>
      </c>
      <c r="T2667">
        <f>IF(AND(NOT(ISBLANK(ReconciliationData[[#This Row],[End_Date]])),ReconciliationData[[#This Row],[Order_Date]]&gt;ReconciliationData[[#This Row],[End_Date]]),1,0)</f>
        <v>0</v>
      </c>
      <c r="U2667">
        <f>IF(AND(NOT(ISBLANK(ReconciliationData[[#This Row],[last_return_date]])),ReconciliationData[[#This Row],[last_return_date]]&gt;ReconciliationData[[#This Row],[Order_Date]]+60),1,0)</f>
        <v>0</v>
      </c>
      <c r="V2667">
        <f>IF(ReconciliationData[[#This Row],[total_returned_units]]&gt;ReconciliationData[[#This Row],[ordered_units]],1,0)</f>
        <v>0</v>
      </c>
      <c r="W26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67">
        <f>ReconciliationData[[#This Row],[Billed_Units]]*ReconciliationData[[#This Row],[Billed_Price]]</f>
        <v>244893.6</v>
      </c>
      <c r="Y2667">
        <f>ReconciliationData[[#This Row],[ordered_units]]*ReconciliationData[[#This Row],[List_Price]]</f>
        <v>244893.6</v>
      </c>
      <c r="Z2667">
        <f>ReconciliationData[[#This Row],[billed_revenue]]-ReconciliationData[[#This Row],[expected_revenue]]</f>
        <v>0</v>
      </c>
      <c r="AA26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67" t="str">
        <f>IF(ReconciliationData[[#This Row],[severity_score]]=0,"LOW",
 IF(ReconciliationData[[#This Row],[severity_score]]&lt;=5,"MEDIUM","HIGH"))</f>
        <v>LOW</v>
      </c>
      <c r="AC2667" t="str">
        <f>TEXT(ReconciliationData[[#This Row],[Order_Date]],"YYYY-MM")</f>
        <v>2023-03</v>
      </c>
    </row>
    <row r="2668" spans="1:29">
      <c r="A2668" t="s">
        <v>6536</v>
      </c>
      <c r="B2668" s="1">
        <v>44946</v>
      </c>
      <c r="C2668" t="s">
        <v>4110</v>
      </c>
      <c r="D2668" t="s">
        <v>1812</v>
      </c>
      <c r="E2668">
        <v>190</v>
      </c>
      <c r="F2668" t="s">
        <v>6537</v>
      </c>
      <c r="G2668">
        <v>190</v>
      </c>
      <c r="H2668">
        <v>224.72319999999999</v>
      </c>
      <c r="N2668">
        <v>224.72319999999999</v>
      </c>
      <c r="O2668" s="1">
        <v>44805</v>
      </c>
      <c r="P2668">
        <f>IF(ISBLANK(ReconciliationData[[#This Row],[Invoice_ID]]),1,0)</f>
        <v>0</v>
      </c>
      <c r="Q2668">
        <f>IF(AND(NOT(ISBLANK(ReconciliationData[[#This Row],[Billed_Units]])),ReconciliationData[[#This Row],[ordered_units]]&lt;&gt;ReconciliationData[[#This Row],[Billed_Units]]),1,0)</f>
        <v>0</v>
      </c>
      <c r="R26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8">
        <f>IF(AND(NOT(ISBLANK(ReconciliationData[[#This Row],[Contract_Price]])),ReconciliationData[[#This Row],[Billed_Price]]&lt;&gt;ReconciliationData[[#This Row],[Contract_Price]]),1,0)</f>
        <v>0</v>
      </c>
      <c r="T2668">
        <f>IF(AND(NOT(ISBLANK(ReconciliationData[[#This Row],[End_Date]])),ReconciliationData[[#This Row],[Order_Date]]&gt;ReconciliationData[[#This Row],[End_Date]]),1,0)</f>
        <v>0</v>
      </c>
      <c r="U2668">
        <f>IF(AND(NOT(ISBLANK(ReconciliationData[[#This Row],[last_return_date]])),ReconciliationData[[#This Row],[last_return_date]]&gt;ReconciliationData[[#This Row],[Order_Date]]+60),1,0)</f>
        <v>0</v>
      </c>
      <c r="V2668">
        <f>IF(ReconciliationData[[#This Row],[total_returned_units]]&gt;ReconciliationData[[#This Row],[ordered_units]],1,0)</f>
        <v>0</v>
      </c>
      <c r="W26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68">
        <f>ReconciliationData[[#This Row],[Billed_Units]]*ReconciliationData[[#This Row],[Billed_Price]]</f>
        <v>42697.407999999996</v>
      </c>
      <c r="Y2668">
        <f>ReconciliationData[[#This Row],[ordered_units]]*ReconciliationData[[#This Row],[List_Price]]</f>
        <v>42697.407999999996</v>
      </c>
      <c r="Z2668">
        <f>ReconciliationData[[#This Row],[billed_revenue]]-ReconciliationData[[#This Row],[expected_revenue]]</f>
        <v>0</v>
      </c>
      <c r="AA26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68" t="str">
        <f>IF(ReconciliationData[[#This Row],[severity_score]]=0,"LOW",
 IF(ReconciliationData[[#This Row],[severity_score]]&lt;=5,"MEDIUM","HIGH"))</f>
        <v>LOW</v>
      </c>
      <c r="AC2668" t="str">
        <f>TEXT(ReconciliationData[[#This Row],[Order_Date]],"YYYY-MM")</f>
        <v>2023-01</v>
      </c>
    </row>
    <row r="2669" spans="1:29">
      <c r="A2669" t="s">
        <v>6538</v>
      </c>
      <c r="B2669" s="1">
        <v>45599</v>
      </c>
      <c r="C2669" t="s">
        <v>3637</v>
      </c>
      <c r="D2669" t="s">
        <v>1171</v>
      </c>
      <c r="E2669">
        <v>113</v>
      </c>
      <c r="F2669" t="s">
        <v>6539</v>
      </c>
      <c r="G2669">
        <v>113</v>
      </c>
      <c r="H2669">
        <v>435.57279999999997</v>
      </c>
      <c r="N2669">
        <v>435.57279999999997</v>
      </c>
      <c r="O2669" s="1">
        <v>45159</v>
      </c>
      <c r="P2669">
        <f>IF(ISBLANK(ReconciliationData[[#This Row],[Invoice_ID]]),1,0)</f>
        <v>0</v>
      </c>
      <c r="Q2669">
        <f>IF(AND(NOT(ISBLANK(ReconciliationData[[#This Row],[Billed_Units]])),ReconciliationData[[#This Row],[ordered_units]]&lt;&gt;ReconciliationData[[#This Row],[Billed_Units]]),1,0)</f>
        <v>0</v>
      </c>
      <c r="R26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69">
        <f>IF(AND(NOT(ISBLANK(ReconciliationData[[#This Row],[Contract_Price]])),ReconciliationData[[#This Row],[Billed_Price]]&lt;&gt;ReconciliationData[[#This Row],[Contract_Price]]),1,0)</f>
        <v>0</v>
      </c>
      <c r="T2669">
        <f>IF(AND(NOT(ISBLANK(ReconciliationData[[#This Row],[End_Date]])),ReconciliationData[[#This Row],[Order_Date]]&gt;ReconciliationData[[#This Row],[End_Date]]),1,0)</f>
        <v>0</v>
      </c>
      <c r="U2669">
        <f>IF(AND(NOT(ISBLANK(ReconciliationData[[#This Row],[last_return_date]])),ReconciliationData[[#This Row],[last_return_date]]&gt;ReconciliationData[[#This Row],[Order_Date]]+60),1,0)</f>
        <v>0</v>
      </c>
      <c r="V2669">
        <f>IF(ReconciliationData[[#This Row],[total_returned_units]]&gt;ReconciliationData[[#This Row],[ordered_units]],1,0)</f>
        <v>0</v>
      </c>
      <c r="W26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69">
        <f>ReconciliationData[[#This Row],[Billed_Units]]*ReconciliationData[[#This Row],[Billed_Price]]</f>
        <v>49219.7264</v>
      </c>
      <c r="Y2669">
        <f>ReconciliationData[[#This Row],[ordered_units]]*ReconciliationData[[#This Row],[List_Price]]</f>
        <v>49219.7264</v>
      </c>
      <c r="Z2669">
        <f>ReconciliationData[[#This Row],[billed_revenue]]-ReconciliationData[[#This Row],[expected_revenue]]</f>
        <v>0</v>
      </c>
      <c r="AA26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69" t="str">
        <f>IF(ReconciliationData[[#This Row],[severity_score]]=0,"LOW",
 IF(ReconciliationData[[#This Row],[severity_score]]&lt;=5,"MEDIUM","HIGH"))</f>
        <v>LOW</v>
      </c>
      <c r="AC2669" t="str">
        <f>TEXT(ReconciliationData[[#This Row],[Order_Date]],"YYYY-MM")</f>
        <v>2024-11</v>
      </c>
    </row>
    <row r="2670" spans="1:29">
      <c r="A2670" t="s">
        <v>6540</v>
      </c>
      <c r="B2670" s="1">
        <v>45611</v>
      </c>
      <c r="C2670" t="s">
        <v>1403</v>
      </c>
      <c r="D2670" t="s">
        <v>2645</v>
      </c>
      <c r="E2670">
        <v>2</v>
      </c>
      <c r="F2670" t="s">
        <v>6541</v>
      </c>
      <c r="G2670">
        <v>2</v>
      </c>
      <c r="H2670">
        <v>110.9413</v>
      </c>
      <c r="N2670">
        <v>110.9413</v>
      </c>
      <c r="O2670" s="1">
        <v>45153</v>
      </c>
      <c r="P2670">
        <f>IF(ISBLANK(ReconciliationData[[#This Row],[Invoice_ID]]),1,0)</f>
        <v>0</v>
      </c>
      <c r="Q2670">
        <f>IF(AND(NOT(ISBLANK(ReconciliationData[[#This Row],[Billed_Units]])),ReconciliationData[[#This Row],[ordered_units]]&lt;&gt;ReconciliationData[[#This Row],[Billed_Units]]),1,0)</f>
        <v>0</v>
      </c>
      <c r="R26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70">
        <f>IF(AND(NOT(ISBLANK(ReconciliationData[[#This Row],[Contract_Price]])),ReconciliationData[[#This Row],[Billed_Price]]&lt;&gt;ReconciliationData[[#This Row],[Contract_Price]]),1,0)</f>
        <v>0</v>
      </c>
      <c r="T2670">
        <f>IF(AND(NOT(ISBLANK(ReconciliationData[[#This Row],[End_Date]])),ReconciliationData[[#This Row],[Order_Date]]&gt;ReconciliationData[[#This Row],[End_Date]]),1,0)</f>
        <v>0</v>
      </c>
      <c r="U2670">
        <f>IF(AND(NOT(ISBLANK(ReconciliationData[[#This Row],[last_return_date]])),ReconciliationData[[#This Row],[last_return_date]]&gt;ReconciliationData[[#This Row],[Order_Date]]+60),1,0)</f>
        <v>0</v>
      </c>
      <c r="V2670">
        <f>IF(ReconciliationData[[#This Row],[total_returned_units]]&gt;ReconciliationData[[#This Row],[ordered_units]],1,0)</f>
        <v>0</v>
      </c>
      <c r="W26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70">
        <f>ReconciliationData[[#This Row],[Billed_Units]]*ReconciliationData[[#This Row],[Billed_Price]]</f>
        <v>221.8826</v>
      </c>
      <c r="Y2670">
        <f>ReconciliationData[[#This Row],[ordered_units]]*ReconciliationData[[#This Row],[List_Price]]</f>
        <v>221.8826</v>
      </c>
      <c r="Z2670">
        <f>ReconciliationData[[#This Row],[billed_revenue]]-ReconciliationData[[#This Row],[expected_revenue]]</f>
        <v>0</v>
      </c>
      <c r="AA26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70" t="str">
        <f>IF(ReconciliationData[[#This Row],[severity_score]]=0,"LOW",
 IF(ReconciliationData[[#This Row],[severity_score]]&lt;=5,"MEDIUM","HIGH"))</f>
        <v>LOW</v>
      </c>
      <c r="AC2670" t="str">
        <f>TEXT(ReconciliationData[[#This Row],[Order_Date]],"YYYY-MM")</f>
        <v>2024-11</v>
      </c>
    </row>
    <row r="2671" spans="1:29">
      <c r="A2671" t="s">
        <v>6542</v>
      </c>
      <c r="B2671" s="1">
        <v>45386</v>
      </c>
      <c r="C2671" t="s">
        <v>521</v>
      </c>
      <c r="D2671" t="s">
        <v>2645</v>
      </c>
      <c r="E2671">
        <v>80</v>
      </c>
      <c r="F2671" t="s">
        <v>6543</v>
      </c>
      <c r="G2671">
        <v>80</v>
      </c>
      <c r="H2671">
        <v>110.9413</v>
      </c>
      <c r="N2671">
        <v>110.9413</v>
      </c>
      <c r="O2671" s="1">
        <v>45153</v>
      </c>
      <c r="P2671">
        <f>IF(ISBLANK(ReconciliationData[[#This Row],[Invoice_ID]]),1,0)</f>
        <v>0</v>
      </c>
      <c r="Q2671">
        <f>IF(AND(NOT(ISBLANK(ReconciliationData[[#This Row],[Billed_Units]])),ReconciliationData[[#This Row],[ordered_units]]&lt;&gt;ReconciliationData[[#This Row],[Billed_Units]]),1,0)</f>
        <v>0</v>
      </c>
      <c r="R26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71">
        <f>IF(AND(NOT(ISBLANK(ReconciliationData[[#This Row],[Contract_Price]])),ReconciliationData[[#This Row],[Billed_Price]]&lt;&gt;ReconciliationData[[#This Row],[Contract_Price]]),1,0)</f>
        <v>0</v>
      </c>
      <c r="T2671">
        <f>IF(AND(NOT(ISBLANK(ReconciliationData[[#This Row],[End_Date]])),ReconciliationData[[#This Row],[Order_Date]]&gt;ReconciliationData[[#This Row],[End_Date]]),1,0)</f>
        <v>0</v>
      </c>
      <c r="U2671">
        <f>IF(AND(NOT(ISBLANK(ReconciliationData[[#This Row],[last_return_date]])),ReconciliationData[[#This Row],[last_return_date]]&gt;ReconciliationData[[#This Row],[Order_Date]]+60),1,0)</f>
        <v>0</v>
      </c>
      <c r="V2671">
        <f>IF(ReconciliationData[[#This Row],[total_returned_units]]&gt;ReconciliationData[[#This Row],[ordered_units]],1,0)</f>
        <v>0</v>
      </c>
      <c r="W26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71">
        <f>ReconciliationData[[#This Row],[Billed_Units]]*ReconciliationData[[#This Row],[Billed_Price]]</f>
        <v>8875.3040000000001</v>
      </c>
      <c r="Y2671">
        <f>ReconciliationData[[#This Row],[ordered_units]]*ReconciliationData[[#This Row],[List_Price]]</f>
        <v>8875.3040000000001</v>
      </c>
      <c r="Z2671">
        <f>ReconciliationData[[#This Row],[billed_revenue]]-ReconciliationData[[#This Row],[expected_revenue]]</f>
        <v>0</v>
      </c>
      <c r="AA26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71" t="str">
        <f>IF(ReconciliationData[[#This Row],[severity_score]]=0,"LOW",
 IF(ReconciliationData[[#This Row],[severity_score]]&lt;=5,"MEDIUM","HIGH"))</f>
        <v>LOW</v>
      </c>
      <c r="AC2671" t="str">
        <f>TEXT(ReconciliationData[[#This Row],[Order_Date]],"YYYY-MM")</f>
        <v>2024-04</v>
      </c>
    </row>
    <row r="2672" spans="1:29">
      <c r="A2672" t="s">
        <v>6544</v>
      </c>
      <c r="B2672" s="1">
        <v>45608</v>
      </c>
      <c r="C2672" t="s">
        <v>6545</v>
      </c>
      <c r="D2672" t="s">
        <v>1794</v>
      </c>
      <c r="E2672">
        <v>147</v>
      </c>
      <c r="F2672" t="s">
        <v>6546</v>
      </c>
      <c r="G2672">
        <v>147</v>
      </c>
      <c r="H2672">
        <v>491.10239999999999</v>
      </c>
      <c r="N2672">
        <v>491.10239999999999</v>
      </c>
      <c r="O2672" s="1">
        <v>45187</v>
      </c>
      <c r="P2672">
        <f>IF(ISBLANK(ReconciliationData[[#This Row],[Invoice_ID]]),1,0)</f>
        <v>0</v>
      </c>
      <c r="Q2672">
        <f>IF(AND(NOT(ISBLANK(ReconciliationData[[#This Row],[Billed_Units]])),ReconciliationData[[#This Row],[ordered_units]]&lt;&gt;ReconciliationData[[#This Row],[Billed_Units]]),1,0)</f>
        <v>0</v>
      </c>
      <c r="R26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72">
        <f>IF(AND(NOT(ISBLANK(ReconciliationData[[#This Row],[Contract_Price]])),ReconciliationData[[#This Row],[Billed_Price]]&lt;&gt;ReconciliationData[[#This Row],[Contract_Price]]),1,0)</f>
        <v>0</v>
      </c>
      <c r="T2672">
        <f>IF(AND(NOT(ISBLANK(ReconciliationData[[#This Row],[End_Date]])),ReconciliationData[[#This Row],[Order_Date]]&gt;ReconciliationData[[#This Row],[End_Date]]),1,0)</f>
        <v>0</v>
      </c>
      <c r="U2672">
        <f>IF(AND(NOT(ISBLANK(ReconciliationData[[#This Row],[last_return_date]])),ReconciliationData[[#This Row],[last_return_date]]&gt;ReconciliationData[[#This Row],[Order_Date]]+60),1,0)</f>
        <v>0</v>
      </c>
      <c r="V2672">
        <f>IF(ReconciliationData[[#This Row],[total_returned_units]]&gt;ReconciliationData[[#This Row],[ordered_units]],1,0)</f>
        <v>0</v>
      </c>
      <c r="W26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72">
        <f>ReconciliationData[[#This Row],[Billed_Units]]*ReconciliationData[[#This Row],[Billed_Price]]</f>
        <v>72192.052800000005</v>
      </c>
      <c r="Y2672">
        <f>ReconciliationData[[#This Row],[ordered_units]]*ReconciliationData[[#This Row],[List_Price]]</f>
        <v>72192.052800000005</v>
      </c>
      <c r="Z2672">
        <f>ReconciliationData[[#This Row],[billed_revenue]]-ReconciliationData[[#This Row],[expected_revenue]]</f>
        <v>0</v>
      </c>
      <c r="AA26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72" t="str">
        <f>IF(ReconciliationData[[#This Row],[severity_score]]=0,"LOW",
 IF(ReconciliationData[[#This Row],[severity_score]]&lt;=5,"MEDIUM","HIGH"))</f>
        <v>LOW</v>
      </c>
      <c r="AC2672" t="str">
        <f>TEXT(ReconciliationData[[#This Row],[Order_Date]],"YYYY-MM")</f>
        <v>2024-11</v>
      </c>
    </row>
    <row r="2673" spans="1:29">
      <c r="A2673" t="s">
        <v>6547</v>
      </c>
      <c r="B2673" s="1">
        <v>45483</v>
      </c>
      <c r="C2673" t="s">
        <v>392</v>
      </c>
      <c r="D2673" t="s">
        <v>912</v>
      </c>
      <c r="E2673">
        <v>21</v>
      </c>
      <c r="F2673" t="s">
        <v>6548</v>
      </c>
      <c r="G2673">
        <v>21</v>
      </c>
      <c r="H2673">
        <v>376.38049999999998</v>
      </c>
      <c r="N2673">
        <v>376.38049999999998</v>
      </c>
      <c r="O2673" s="1">
        <v>44984</v>
      </c>
      <c r="P2673">
        <f>IF(ISBLANK(ReconciliationData[[#This Row],[Invoice_ID]]),1,0)</f>
        <v>0</v>
      </c>
      <c r="Q2673">
        <f>IF(AND(NOT(ISBLANK(ReconciliationData[[#This Row],[Billed_Units]])),ReconciliationData[[#This Row],[ordered_units]]&lt;&gt;ReconciliationData[[#This Row],[Billed_Units]]),1,0)</f>
        <v>0</v>
      </c>
      <c r="R26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73">
        <f>IF(AND(NOT(ISBLANK(ReconciliationData[[#This Row],[Contract_Price]])),ReconciliationData[[#This Row],[Billed_Price]]&lt;&gt;ReconciliationData[[#This Row],[Contract_Price]]),1,0)</f>
        <v>0</v>
      </c>
      <c r="T2673">
        <f>IF(AND(NOT(ISBLANK(ReconciliationData[[#This Row],[End_Date]])),ReconciliationData[[#This Row],[Order_Date]]&gt;ReconciliationData[[#This Row],[End_Date]]),1,0)</f>
        <v>0</v>
      </c>
      <c r="U2673">
        <f>IF(AND(NOT(ISBLANK(ReconciliationData[[#This Row],[last_return_date]])),ReconciliationData[[#This Row],[last_return_date]]&gt;ReconciliationData[[#This Row],[Order_Date]]+60),1,0)</f>
        <v>0</v>
      </c>
      <c r="V2673">
        <f>IF(ReconciliationData[[#This Row],[total_returned_units]]&gt;ReconciliationData[[#This Row],[ordered_units]],1,0)</f>
        <v>0</v>
      </c>
      <c r="W26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73">
        <f>ReconciliationData[[#This Row],[Billed_Units]]*ReconciliationData[[#This Row],[Billed_Price]]</f>
        <v>7903.9904999999999</v>
      </c>
      <c r="Y2673">
        <f>ReconciliationData[[#This Row],[ordered_units]]*ReconciliationData[[#This Row],[List_Price]]</f>
        <v>7903.9904999999999</v>
      </c>
      <c r="Z2673">
        <f>ReconciliationData[[#This Row],[billed_revenue]]-ReconciliationData[[#This Row],[expected_revenue]]</f>
        <v>0</v>
      </c>
      <c r="AA26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73" t="str">
        <f>IF(ReconciliationData[[#This Row],[severity_score]]=0,"LOW",
 IF(ReconciliationData[[#This Row],[severity_score]]&lt;=5,"MEDIUM","HIGH"))</f>
        <v>LOW</v>
      </c>
      <c r="AC2673" t="str">
        <f>TEXT(ReconciliationData[[#This Row],[Order_Date]],"YYYY-MM")</f>
        <v>2024-07</v>
      </c>
    </row>
    <row r="2674" spans="1:29">
      <c r="A2674" t="s">
        <v>6549</v>
      </c>
      <c r="B2674" s="1">
        <v>45566</v>
      </c>
      <c r="C2674" t="s">
        <v>2642</v>
      </c>
      <c r="D2674" t="s">
        <v>2045</v>
      </c>
      <c r="E2674">
        <v>160</v>
      </c>
      <c r="F2674" t="s">
        <v>6550</v>
      </c>
      <c r="G2674">
        <v>160</v>
      </c>
      <c r="H2674">
        <v>990.72749999999996</v>
      </c>
      <c r="N2674">
        <v>990.72749999999996</v>
      </c>
      <c r="O2674" s="1">
        <v>45068</v>
      </c>
      <c r="P2674">
        <f>IF(ISBLANK(ReconciliationData[[#This Row],[Invoice_ID]]),1,0)</f>
        <v>0</v>
      </c>
      <c r="Q2674">
        <f>IF(AND(NOT(ISBLANK(ReconciliationData[[#This Row],[Billed_Units]])),ReconciliationData[[#This Row],[ordered_units]]&lt;&gt;ReconciliationData[[#This Row],[Billed_Units]]),1,0)</f>
        <v>0</v>
      </c>
      <c r="R26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74">
        <f>IF(AND(NOT(ISBLANK(ReconciliationData[[#This Row],[Contract_Price]])),ReconciliationData[[#This Row],[Billed_Price]]&lt;&gt;ReconciliationData[[#This Row],[Contract_Price]]),1,0)</f>
        <v>0</v>
      </c>
      <c r="T2674">
        <f>IF(AND(NOT(ISBLANK(ReconciliationData[[#This Row],[End_Date]])),ReconciliationData[[#This Row],[Order_Date]]&gt;ReconciliationData[[#This Row],[End_Date]]),1,0)</f>
        <v>0</v>
      </c>
      <c r="U2674">
        <f>IF(AND(NOT(ISBLANK(ReconciliationData[[#This Row],[last_return_date]])),ReconciliationData[[#This Row],[last_return_date]]&gt;ReconciliationData[[#This Row],[Order_Date]]+60),1,0)</f>
        <v>0</v>
      </c>
      <c r="V2674">
        <f>IF(ReconciliationData[[#This Row],[total_returned_units]]&gt;ReconciliationData[[#This Row],[ordered_units]],1,0)</f>
        <v>0</v>
      </c>
      <c r="W26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74">
        <f>ReconciliationData[[#This Row],[Billed_Units]]*ReconciliationData[[#This Row],[Billed_Price]]</f>
        <v>158516.4</v>
      </c>
      <c r="Y2674">
        <f>ReconciliationData[[#This Row],[ordered_units]]*ReconciliationData[[#This Row],[List_Price]]</f>
        <v>158516.4</v>
      </c>
      <c r="Z2674">
        <f>ReconciliationData[[#This Row],[billed_revenue]]-ReconciliationData[[#This Row],[expected_revenue]]</f>
        <v>0</v>
      </c>
      <c r="AA26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74" t="str">
        <f>IF(ReconciliationData[[#This Row],[severity_score]]=0,"LOW",
 IF(ReconciliationData[[#This Row],[severity_score]]&lt;=5,"MEDIUM","HIGH"))</f>
        <v>LOW</v>
      </c>
      <c r="AC2674" t="str">
        <f>TEXT(ReconciliationData[[#This Row],[Order_Date]],"YYYY-MM")</f>
        <v>2024-10</v>
      </c>
    </row>
    <row r="2675" spans="1:29">
      <c r="A2675" t="s">
        <v>6551</v>
      </c>
      <c r="B2675" s="1">
        <v>45208</v>
      </c>
      <c r="C2675" t="s">
        <v>1768</v>
      </c>
      <c r="D2675" t="s">
        <v>1559</v>
      </c>
      <c r="E2675">
        <v>178</v>
      </c>
      <c r="F2675" t="s">
        <v>6552</v>
      </c>
      <c r="G2675">
        <v>178</v>
      </c>
      <c r="H2675">
        <v>1065.7722000000001</v>
      </c>
      <c r="N2675">
        <v>1065.7722000000001</v>
      </c>
      <c r="O2675" s="1">
        <v>44936</v>
      </c>
      <c r="P2675">
        <f>IF(ISBLANK(ReconciliationData[[#This Row],[Invoice_ID]]),1,0)</f>
        <v>0</v>
      </c>
      <c r="Q2675">
        <f>IF(AND(NOT(ISBLANK(ReconciliationData[[#This Row],[Billed_Units]])),ReconciliationData[[#This Row],[ordered_units]]&lt;&gt;ReconciliationData[[#This Row],[Billed_Units]]),1,0)</f>
        <v>0</v>
      </c>
      <c r="R26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75">
        <f>IF(AND(NOT(ISBLANK(ReconciliationData[[#This Row],[Contract_Price]])),ReconciliationData[[#This Row],[Billed_Price]]&lt;&gt;ReconciliationData[[#This Row],[Contract_Price]]),1,0)</f>
        <v>0</v>
      </c>
      <c r="T2675">
        <f>IF(AND(NOT(ISBLANK(ReconciliationData[[#This Row],[End_Date]])),ReconciliationData[[#This Row],[Order_Date]]&gt;ReconciliationData[[#This Row],[End_Date]]),1,0)</f>
        <v>0</v>
      </c>
      <c r="U2675">
        <f>IF(AND(NOT(ISBLANK(ReconciliationData[[#This Row],[last_return_date]])),ReconciliationData[[#This Row],[last_return_date]]&gt;ReconciliationData[[#This Row],[Order_Date]]+60),1,0)</f>
        <v>0</v>
      </c>
      <c r="V2675">
        <f>IF(ReconciliationData[[#This Row],[total_returned_units]]&gt;ReconciliationData[[#This Row],[ordered_units]],1,0)</f>
        <v>0</v>
      </c>
      <c r="W26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75">
        <f>ReconciliationData[[#This Row],[Billed_Units]]*ReconciliationData[[#This Row],[Billed_Price]]</f>
        <v>189707.45160000003</v>
      </c>
      <c r="Y2675">
        <f>ReconciliationData[[#This Row],[ordered_units]]*ReconciliationData[[#This Row],[List_Price]]</f>
        <v>189707.45160000003</v>
      </c>
      <c r="Z2675">
        <f>ReconciliationData[[#This Row],[billed_revenue]]-ReconciliationData[[#This Row],[expected_revenue]]</f>
        <v>0</v>
      </c>
      <c r="AA26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75" t="str">
        <f>IF(ReconciliationData[[#This Row],[severity_score]]=0,"LOW",
 IF(ReconciliationData[[#This Row],[severity_score]]&lt;=5,"MEDIUM","HIGH"))</f>
        <v>LOW</v>
      </c>
      <c r="AC2675" t="str">
        <f>TEXT(ReconciliationData[[#This Row],[Order_Date]],"YYYY-MM")</f>
        <v>2023-10</v>
      </c>
    </row>
    <row r="2676" spans="1:29">
      <c r="A2676" t="s">
        <v>6553</v>
      </c>
      <c r="B2676" s="1">
        <v>45440</v>
      </c>
      <c r="C2676" t="s">
        <v>700</v>
      </c>
      <c r="D2676" t="s">
        <v>1945</v>
      </c>
      <c r="E2676">
        <v>62</v>
      </c>
      <c r="F2676" t="s">
        <v>6554</v>
      </c>
      <c r="G2676">
        <v>62</v>
      </c>
      <c r="H2676">
        <v>1178.6880000000001</v>
      </c>
      <c r="N2676">
        <v>1178.6880000000001</v>
      </c>
      <c r="O2676" s="1">
        <v>44930</v>
      </c>
      <c r="P2676">
        <f>IF(ISBLANK(ReconciliationData[[#This Row],[Invoice_ID]]),1,0)</f>
        <v>0</v>
      </c>
      <c r="Q2676">
        <f>IF(AND(NOT(ISBLANK(ReconciliationData[[#This Row],[Billed_Units]])),ReconciliationData[[#This Row],[ordered_units]]&lt;&gt;ReconciliationData[[#This Row],[Billed_Units]]),1,0)</f>
        <v>0</v>
      </c>
      <c r="R26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76">
        <f>IF(AND(NOT(ISBLANK(ReconciliationData[[#This Row],[Contract_Price]])),ReconciliationData[[#This Row],[Billed_Price]]&lt;&gt;ReconciliationData[[#This Row],[Contract_Price]]),1,0)</f>
        <v>0</v>
      </c>
      <c r="T2676">
        <f>IF(AND(NOT(ISBLANK(ReconciliationData[[#This Row],[End_Date]])),ReconciliationData[[#This Row],[Order_Date]]&gt;ReconciliationData[[#This Row],[End_Date]]),1,0)</f>
        <v>0</v>
      </c>
      <c r="U2676">
        <f>IF(AND(NOT(ISBLANK(ReconciliationData[[#This Row],[last_return_date]])),ReconciliationData[[#This Row],[last_return_date]]&gt;ReconciliationData[[#This Row],[Order_Date]]+60),1,0)</f>
        <v>0</v>
      </c>
      <c r="V2676">
        <f>IF(ReconciliationData[[#This Row],[total_returned_units]]&gt;ReconciliationData[[#This Row],[ordered_units]],1,0)</f>
        <v>0</v>
      </c>
      <c r="W26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76">
        <f>ReconciliationData[[#This Row],[Billed_Units]]*ReconciliationData[[#This Row],[Billed_Price]]</f>
        <v>73078.656000000003</v>
      </c>
      <c r="Y2676">
        <f>ReconciliationData[[#This Row],[ordered_units]]*ReconciliationData[[#This Row],[List_Price]]</f>
        <v>73078.656000000003</v>
      </c>
      <c r="Z2676">
        <f>ReconciliationData[[#This Row],[billed_revenue]]-ReconciliationData[[#This Row],[expected_revenue]]</f>
        <v>0</v>
      </c>
      <c r="AA26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76" t="str">
        <f>IF(ReconciliationData[[#This Row],[severity_score]]=0,"LOW",
 IF(ReconciliationData[[#This Row],[severity_score]]&lt;=5,"MEDIUM","HIGH"))</f>
        <v>LOW</v>
      </c>
      <c r="AC2676" t="str">
        <f>TEXT(ReconciliationData[[#This Row],[Order_Date]],"YYYY-MM")</f>
        <v>2024-05</v>
      </c>
    </row>
    <row r="2677" spans="1:29">
      <c r="A2677" t="s">
        <v>6555</v>
      </c>
      <c r="B2677" s="1">
        <v>44990</v>
      </c>
      <c r="C2677" t="s">
        <v>3443</v>
      </c>
      <c r="D2677" t="s">
        <v>3404</v>
      </c>
      <c r="E2677">
        <v>109</v>
      </c>
      <c r="F2677" t="s">
        <v>6556</v>
      </c>
      <c r="G2677">
        <v>109</v>
      </c>
      <c r="H2677">
        <v>842.16577330462701</v>
      </c>
      <c r="N2677">
        <v>842.11199999999997</v>
      </c>
      <c r="O2677" s="1">
        <v>44931</v>
      </c>
      <c r="P2677">
        <f>IF(ISBLANK(ReconciliationData[[#This Row],[Invoice_ID]]),1,0)</f>
        <v>0</v>
      </c>
      <c r="Q2677">
        <f>IF(AND(NOT(ISBLANK(ReconciliationData[[#This Row],[Billed_Units]])),ReconciliationData[[#This Row],[ordered_units]]&lt;&gt;ReconciliationData[[#This Row],[Billed_Units]]),1,0)</f>
        <v>0</v>
      </c>
      <c r="R267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677">
        <f>IF(AND(NOT(ISBLANK(ReconciliationData[[#This Row],[Contract_Price]])),ReconciliationData[[#This Row],[Billed_Price]]&lt;&gt;ReconciliationData[[#This Row],[Contract_Price]]),1,0)</f>
        <v>0</v>
      </c>
      <c r="T2677">
        <f>IF(AND(NOT(ISBLANK(ReconciliationData[[#This Row],[End_Date]])),ReconciliationData[[#This Row],[Order_Date]]&gt;ReconciliationData[[#This Row],[End_Date]]),1,0)</f>
        <v>0</v>
      </c>
      <c r="U2677">
        <f>IF(AND(NOT(ISBLANK(ReconciliationData[[#This Row],[last_return_date]])),ReconciliationData[[#This Row],[last_return_date]]&gt;ReconciliationData[[#This Row],[Order_Date]]+60),1,0)</f>
        <v>0</v>
      </c>
      <c r="V2677">
        <f>IF(ReconciliationData[[#This Row],[total_returned_units]]&gt;ReconciliationData[[#This Row],[ordered_units]],1,0)</f>
        <v>0</v>
      </c>
      <c r="W26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77">
        <f>ReconciliationData[[#This Row],[Billed_Units]]*ReconciliationData[[#This Row],[Billed_Price]]</f>
        <v>91796.069290204337</v>
      </c>
      <c r="Y2677">
        <f>ReconciliationData[[#This Row],[ordered_units]]*ReconciliationData[[#This Row],[List_Price]]</f>
        <v>91790.207999999999</v>
      </c>
      <c r="Z2677">
        <f>ReconciliationData[[#This Row],[billed_revenue]]-ReconciliationData[[#This Row],[expected_revenue]]</f>
        <v>5.8612902043387294</v>
      </c>
      <c r="AA26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677" t="str">
        <f>IF(ReconciliationData[[#This Row],[severity_score]]=0,"LOW",
 IF(ReconciliationData[[#This Row],[severity_score]]&lt;=5,"MEDIUM","HIGH"))</f>
        <v>MEDIUM</v>
      </c>
      <c r="AC2677" t="str">
        <f>TEXT(ReconciliationData[[#This Row],[Order_Date]],"YYYY-MM")</f>
        <v>2023-03</v>
      </c>
    </row>
    <row r="2678" spans="1:29">
      <c r="A2678" t="s">
        <v>6557</v>
      </c>
      <c r="B2678" s="1">
        <v>45088</v>
      </c>
      <c r="C2678" t="s">
        <v>4966</v>
      </c>
      <c r="D2678" t="s">
        <v>768</v>
      </c>
      <c r="E2678">
        <v>95</v>
      </c>
      <c r="F2678" t="s">
        <v>6558</v>
      </c>
      <c r="G2678">
        <v>95</v>
      </c>
      <c r="H2678">
        <v>410.02</v>
      </c>
      <c r="N2678">
        <v>410.02</v>
      </c>
      <c r="O2678" s="1">
        <v>45017</v>
      </c>
      <c r="P2678">
        <f>IF(ISBLANK(ReconciliationData[[#This Row],[Invoice_ID]]),1,0)</f>
        <v>0</v>
      </c>
      <c r="Q2678">
        <f>IF(AND(NOT(ISBLANK(ReconciliationData[[#This Row],[Billed_Units]])),ReconciliationData[[#This Row],[ordered_units]]&lt;&gt;ReconciliationData[[#This Row],[Billed_Units]]),1,0)</f>
        <v>0</v>
      </c>
      <c r="R26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78">
        <f>IF(AND(NOT(ISBLANK(ReconciliationData[[#This Row],[Contract_Price]])),ReconciliationData[[#This Row],[Billed_Price]]&lt;&gt;ReconciliationData[[#This Row],[Contract_Price]]),1,0)</f>
        <v>0</v>
      </c>
      <c r="T2678">
        <f>IF(AND(NOT(ISBLANK(ReconciliationData[[#This Row],[End_Date]])),ReconciliationData[[#This Row],[Order_Date]]&gt;ReconciliationData[[#This Row],[End_Date]]),1,0)</f>
        <v>0</v>
      </c>
      <c r="U2678">
        <f>IF(AND(NOT(ISBLANK(ReconciliationData[[#This Row],[last_return_date]])),ReconciliationData[[#This Row],[last_return_date]]&gt;ReconciliationData[[#This Row],[Order_Date]]+60),1,0)</f>
        <v>0</v>
      </c>
      <c r="V2678">
        <f>IF(ReconciliationData[[#This Row],[total_returned_units]]&gt;ReconciliationData[[#This Row],[ordered_units]],1,0)</f>
        <v>0</v>
      </c>
      <c r="W26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78">
        <f>ReconciliationData[[#This Row],[Billed_Units]]*ReconciliationData[[#This Row],[Billed_Price]]</f>
        <v>38951.9</v>
      </c>
      <c r="Y2678">
        <f>ReconciliationData[[#This Row],[ordered_units]]*ReconciliationData[[#This Row],[List_Price]]</f>
        <v>38951.9</v>
      </c>
      <c r="Z2678">
        <f>ReconciliationData[[#This Row],[billed_revenue]]-ReconciliationData[[#This Row],[expected_revenue]]</f>
        <v>0</v>
      </c>
      <c r="AA26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78" t="str">
        <f>IF(ReconciliationData[[#This Row],[severity_score]]=0,"LOW",
 IF(ReconciliationData[[#This Row],[severity_score]]&lt;=5,"MEDIUM","HIGH"))</f>
        <v>LOW</v>
      </c>
      <c r="AC2678" t="str">
        <f>TEXT(ReconciliationData[[#This Row],[Order_Date]],"YYYY-MM")</f>
        <v>2023-06</v>
      </c>
    </row>
    <row r="2679" spans="1:29">
      <c r="A2679" t="s">
        <v>6559</v>
      </c>
      <c r="B2679" s="1">
        <v>45107</v>
      </c>
      <c r="C2679" t="s">
        <v>4436</v>
      </c>
      <c r="D2679" t="s">
        <v>624</v>
      </c>
      <c r="E2679">
        <v>151</v>
      </c>
      <c r="F2679" t="s">
        <v>6560</v>
      </c>
      <c r="G2679">
        <v>151</v>
      </c>
      <c r="H2679">
        <v>147.17669999999998</v>
      </c>
      <c r="N2679">
        <v>147.17669999999998</v>
      </c>
      <c r="O2679" s="1">
        <v>45039</v>
      </c>
      <c r="P2679">
        <f>IF(ISBLANK(ReconciliationData[[#This Row],[Invoice_ID]]),1,0)</f>
        <v>0</v>
      </c>
      <c r="Q2679">
        <f>IF(AND(NOT(ISBLANK(ReconciliationData[[#This Row],[Billed_Units]])),ReconciliationData[[#This Row],[ordered_units]]&lt;&gt;ReconciliationData[[#This Row],[Billed_Units]]),1,0)</f>
        <v>0</v>
      </c>
      <c r="R26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79">
        <f>IF(AND(NOT(ISBLANK(ReconciliationData[[#This Row],[Contract_Price]])),ReconciliationData[[#This Row],[Billed_Price]]&lt;&gt;ReconciliationData[[#This Row],[Contract_Price]]),1,0)</f>
        <v>0</v>
      </c>
      <c r="T2679">
        <f>IF(AND(NOT(ISBLANK(ReconciliationData[[#This Row],[End_Date]])),ReconciliationData[[#This Row],[Order_Date]]&gt;ReconciliationData[[#This Row],[End_Date]]),1,0)</f>
        <v>0</v>
      </c>
      <c r="U2679">
        <f>IF(AND(NOT(ISBLANK(ReconciliationData[[#This Row],[last_return_date]])),ReconciliationData[[#This Row],[last_return_date]]&gt;ReconciliationData[[#This Row],[Order_Date]]+60),1,0)</f>
        <v>0</v>
      </c>
      <c r="V2679">
        <f>IF(ReconciliationData[[#This Row],[total_returned_units]]&gt;ReconciliationData[[#This Row],[ordered_units]],1,0)</f>
        <v>0</v>
      </c>
      <c r="W26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79">
        <f>ReconciliationData[[#This Row],[Billed_Units]]*ReconciliationData[[#This Row],[Billed_Price]]</f>
        <v>22223.681699999997</v>
      </c>
      <c r="Y2679">
        <f>ReconciliationData[[#This Row],[ordered_units]]*ReconciliationData[[#This Row],[List_Price]]</f>
        <v>22223.681699999997</v>
      </c>
      <c r="Z2679">
        <f>ReconciliationData[[#This Row],[billed_revenue]]-ReconciliationData[[#This Row],[expected_revenue]]</f>
        <v>0</v>
      </c>
      <c r="AA26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79" t="str">
        <f>IF(ReconciliationData[[#This Row],[severity_score]]=0,"LOW",
 IF(ReconciliationData[[#This Row],[severity_score]]&lt;=5,"MEDIUM","HIGH"))</f>
        <v>LOW</v>
      </c>
      <c r="AC2679" t="str">
        <f>TEXT(ReconciliationData[[#This Row],[Order_Date]],"YYYY-MM")</f>
        <v>2023-06</v>
      </c>
    </row>
    <row r="2680" spans="1:29">
      <c r="A2680" t="s">
        <v>6561</v>
      </c>
      <c r="B2680" s="1">
        <v>45456</v>
      </c>
      <c r="C2680" t="s">
        <v>3048</v>
      </c>
      <c r="D2680" t="s">
        <v>973</v>
      </c>
      <c r="E2680">
        <v>91</v>
      </c>
      <c r="F2680" t="s">
        <v>6562</v>
      </c>
      <c r="G2680">
        <v>91</v>
      </c>
      <c r="H2680">
        <v>156.69084170120502</v>
      </c>
      <c r="N2680">
        <v>156.37459999999999</v>
      </c>
      <c r="O2680" s="1">
        <v>45090</v>
      </c>
      <c r="P2680">
        <f>IF(ISBLANK(ReconciliationData[[#This Row],[Invoice_ID]]),1,0)</f>
        <v>0</v>
      </c>
      <c r="Q2680">
        <f>IF(AND(NOT(ISBLANK(ReconciliationData[[#This Row],[Billed_Units]])),ReconciliationData[[#This Row],[ordered_units]]&lt;&gt;ReconciliationData[[#This Row],[Billed_Units]]),1,0)</f>
        <v>0</v>
      </c>
      <c r="R2680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680">
        <f>IF(AND(NOT(ISBLANK(ReconciliationData[[#This Row],[Contract_Price]])),ReconciliationData[[#This Row],[Billed_Price]]&lt;&gt;ReconciliationData[[#This Row],[Contract_Price]]),1,0)</f>
        <v>0</v>
      </c>
      <c r="T2680">
        <f>IF(AND(NOT(ISBLANK(ReconciliationData[[#This Row],[End_Date]])),ReconciliationData[[#This Row],[Order_Date]]&gt;ReconciliationData[[#This Row],[End_Date]]),1,0)</f>
        <v>0</v>
      </c>
      <c r="U2680">
        <f>IF(AND(NOT(ISBLANK(ReconciliationData[[#This Row],[last_return_date]])),ReconciliationData[[#This Row],[last_return_date]]&gt;ReconciliationData[[#This Row],[Order_Date]]+60),1,0)</f>
        <v>0</v>
      </c>
      <c r="V2680">
        <f>IF(ReconciliationData[[#This Row],[total_returned_units]]&gt;ReconciliationData[[#This Row],[ordered_units]],1,0)</f>
        <v>0</v>
      </c>
      <c r="W26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80">
        <f>ReconciliationData[[#This Row],[Billed_Units]]*ReconciliationData[[#This Row],[Billed_Price]]</f>
        <v>14258.866594809657</v>
      </c>
      <c r="Y2680">
        <f>ReconciliationData[[#This Row],[ordered_units]]*ReconciliationData[[#This Row],[List_Price]]</f>
        <v>14230.088599999999</v>
      </c>
      <c r="Z2680">
        <f>ReconciliationData[[#This Row],[billed_revenue]]-ReconciliationData[[#This Row],[expected_revenue]]</f>
        <v>28.777994809657685</v>
      </c>
      <c r="AA26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680" t="str">
        <f>IF(ReconciliationData[[#This Row],[severity_score]]=0,"LOW",
 IF(ReconciliationData[[#This Row],[severity_score]]&lt;=5,"MEDIUM","HIGH"))</f>
        <v>MEDIUM</v>
      </c>
      <c r="AC2680" t="str">
        <f>TEXT(ReconciliationData[[#This Row],[Order_Date]],"YYYY-MM")</f>
        <v>2024-06</v>
      </c>
    </row>
    <row r="2681" spans="1:29">
      <c r="A2681" t="s">
        <v>6563</v>
      </c>
      <c r="B2681" s="1">
        <v>45179</v>
      </c>
      <c r="C2681" t="s">
        <v>1811</v>
      </c>
      <c r="D2681" t="s">
        <v>1273</v>
      </c>
      <c r="E2681">
        <v>163</v>
      </c>
      <c r="F2681" t="s">
        <v>6564</v>
      </c>
      <c r="G2681">
        <v>163</v>
      </c>
      <c r="H2681">
        <v>1030.7952</v>
      </c>
      <c r="N2681">
        <v>1030.7952</v>
      </c>
      <c r="O2681" s="1">
        <v>45154</v>
      </c>
      <c r="P2681">
        <f>IF(ISBLANK(ReconciliationData[[#This Row],[Invoice_ID]]),1,0)</f>
        <v>0</v>
      </c>
      <c r="Q2681">
        <f>IF(AND(NOT(ISBLANK(ReconciliationData[[#This Row],[Billed_Units]])),ReconciliationData[[#This Row],[ordered_units]]&lt;&gt;ReconciliationData[[#This Row],[Billed_Units]]),1,0)</f>
        <v>0</v>
      </c>
      <c r="R26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81">
        <f>IF(AND(NOT(ISBLANK(ReconciliationData[[#This Row],[Contract_Price]])),ReconciliationData[[#This Row],[Billed_Price]]&lt;&gt;ReconciliationData[[#This Row],[Contract_Price]]),1,0)</f>
        <v>0</v>
      </c>
      <c r="T2681">
        <f>IF(AND(NOT(ISBLANK(ReconciliationData[[#This Row],[End_Date]])),ReconciliationData[[#This Row],[Order_Date]]&gt;ReconciliationData[[#This Row],[End_Date]]),1,0)</f>
        <v>0</v>
      </c>
      <c r="U2681">
        <f>IF(AND(NOT(ISBLANK(ReconciliationData[[#This Row],[last_return_date]])),ReconciliationData[[#This Row],[last_return_date]]&gt;ReconciliationData[[#This Row],[Order_Date]]+60),1,0)</f>
        <v>0</v>
      </c>
      <c r="V2681">
        <f>IF(ReconciliationData[[#This Row],[total_returned_units]]&gt;ReconciliationData[[#This Row],[ordered_units]],1,0)</f>
        <v>0</v>
      </c>
      <c r="W26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81">
        <f>ReconciliationData[[#This Row],[Billed_Units]]*ReconciliationData[[#This Row],[Billed_Price]]</f>
        <v>168019.6176</v>
      </c>
      <c r="Y2681">
        <f>ReconciliationData[[#This Row],[ordered_units]]*ReconciliationData[[#This Row],[List_Price]]</f>
        <v>168019.6176</v>
      </c>
      <c r="Z2681">
        <f>ReconciliationData[[#This Row],[billed_revenue]]-ReconciliationData[[#This Row],[expected_revenue]]</f>
        <v>0</v>
      </c>
      <c r="AA26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81" t="str">
        <f>IF(ReconciliationData[[#This Row],[severity_score]]=0,"LOW",
 IF(ReconciliationData[[#This Row],[severity_score]]&lt;=5,"MEDIUM","HIGH"))</f>
        <v>LOW</v>
      </c>
      <c r="AC2681" t="str">
        <f>TEXT(ReconciliationData[[#This Row],[Order_Date]],"YYYY-MM")</f>
        <v>2023-09</v>
      </c>
    </row>
    <row r="2682" spans="1:29">
      <c r="A2682" t="s">
        <v>6565</v>
      </c>
      <c r="B2682" s="1">
        <v>45381</v>
      </c>
      <c r="C2682" t="s">
        <v>328</v>
      </c>
      <c r="D2682" t="s">
        <v>753</v>
      </c>
      <c r="E2682">
        <v>85</v>
      </c>
      <c r="F2682" t="s">
        <v>6566</v>
      </c>
      <c r="G2682">
        <v>85</v>
      </c>
      <c r="H2682">
        <v>741.88620000000003</v>
      </c>
      <c r="N2682">
        <v>741.88620000000003</v>
      </c>
      <c r="O2682" s="1">
        <v>44930</v>
      </c>
      <c r="P2682">
        <f>IF(ISBLANK(ReconciliationData[[#This Row],[Invoice_ID]]),1,0)</f>
        <v>0</v>
      </c>
      <c r="Q2682">
        <f>IF(AND(NOT(ISBLANK(ReconciliationData[[#This Row],[Billed_Units]])),ReconciliationData[[#This Row],[ordered_units]]&lt;&gt;ReconciliationData[[#This Row],[Billed_Units]]),1,0)</f>
        <v>0</v>
      </c>
      <c r="R26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82">
        <f>IF(AND(NOT(ISBLANK(ReconciliationData[[#This Row],[Contract_Price]])),ReconciliationData[[#This Row],[Billed_Price]]&lt;&gt;ReconciliationData[[#This Row],[Contract_Price]]),1,0)</f>
        <v>0</v>
      </c>
      <c r="T2682">
        <f>IF(AND(NOT(ISBLANK(ReconciliationData[[#This Row],[End_Date]])),ReconciliationData[[#This Row],[Order_Date]]&gt;ReconciliationData[[#This Row],[End_Date]]),1,0)</f>
        <v>0</v>
      </c>
      <c r="U2682">
        <f>IF(AND(NOT(ISBLANK(ReconciliationData[[#This Row],[last_return_date]])),ReconciliationData[[#This Row],[last_return_date]]&gt;ReconciliationData[[#This Row],[Order_Date]]+60),1,0)</f>
        <v>0</v>
      </c>
      <c r="V2682">
        <f>IF(ReconciliationData[[#This Row],[total_returned_units]]&gt;ReconciliationData[[#This Row],[ordered_units]],1,0)</f>
        <v>0</v>
      </c>
      <c r="W26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82">
        <f>ReconciliationData[[#This Row],[Billed_Units]]*ReconciliationData[[#This Row],[Billed_Price]]</f>
        <v>63060.327000000005</v>
      </c>
      <c r="Y2682">
        <f>ReconciliationData[[#This Row],[ordered_units]]*ReconciliationData[[#This Row],[List_Price]]</f>
        <v>63060.327000000005</v>
      </c>
      <c r="Z2682">
        <f>ReconciliationData[[#This Row],[billed_revenue]]-ReconciliationData[[#This Row],[expected_revenue]]</f>
        <v>0</v>
      </c>
      <c r="AA26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82" t="str">
        <f>IF(ReconciliationData[[#This Row],[severity_score]]=0,"LOW",
 IF(ReconciliationData[[#This Row],[severity_score]]&lt;=5,"MEDIUM","HIGH"))</f>
        <v>LOW</v>
      </c>
      <c r="AC2682" t="str">
        <f>TEXT(ReconciliationData[[#This Row],[Order_Date]],"YYYY-MM")</f>
        <v>2024-03</v>
      </c>
    </row>
    <row r="2683" spans="1:29">
      <c r="A2683" t="s">
        <v>6567</v>
      </c>
      <c r="B2683" s="1">
        <v>45301</v>
      </c>
      <c r="C2683" t="s">
        <v>2210</v>
      </c>
      <c r="D2683" t="s">
        <v>1459</v>
      </c>
      <c r="E2683">
        <v>194</v>
      </c>
      <c r="F2683" t="s">
        <v>6568</v>
      </c>
      <c r="G2683">
        <v>194</v>
      </c>
      <c r="H2683">
        <v>1149.8634</v>
      </c>
      <c r="N2683">
        <v>1149.8634</v>
      </c>
      <c r="O2683" s="1">
        <v>45135</v>
      </c>
      <c r="P2683">
        <f>IF(ISBLANK(ReconciliationData[[#This Row],[Invoice_ID]]),1,0)</f>
        <v>0</v>
      </c>
      <c r="Q2683">
        <f>IF(AND(NOT(ISBLANK(ReconciliationData[[#This Row],[Billed_Units]])),ReconciliationData[[#This Row],[ordered_units]]&lt;&gt;ReconciliationData[[#This Row],[Billed_Units]]),1,0)</f>
        <v>0</v>
      </c>
      <c r="R26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83">
        <f>IF(AND(NOT(ISBLANK(ReconciliationData[[#This Row],[Contract_Price]])),ReconciliationData[[#This Row],[Billed_Price]]&lt;&gt;ReconciliationData[[#This Row],[Contract_Price]]),1,0)</f>
        <v>0</v>
      </c>
      <c r="T2683">
        <f>IF(AND(NOT(ISBLANK(ReconciliationData[[#This Row],[End_Date]])),ReconciliationData[[#This Row],[Order_Date]]&gt;ReconciliationData[[#This Row],[End_Date]]),1,0)</f>
        <v>0</v>
      </c>
      <c r="U2683">
        <f>IF(AND(NOT(ISBLANK(ReconciliationData[[#This Row],[last_return_date]])),ReconciliationData[[#This Row],[last_return_date]]&gt;ReconciliationData[[#This Row],[Order_Date]]+60),1,0)</f>
        <v>0</v>
      </c>
      <c r="V2683">
        <f>IF(ReconciliationData[[#This Row],[total_returned_units]]&gt;ReconciliationData[[#This Row],[ordered_units]],1,0)</f>
        <v>0</v>
      </c>
      <c r="W26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83">
        <f>ReconciliationData[[#This Row],[Billed_Units]]*ReconciliationData[[#This Row],[Billed_Price]]</f>
        <v>223073.49959999998</v>
      </c>
      <c r="Y2683">
        <f>ReconciliationData[[#This Row],[ordered_units]]*ReconciliationData[[#This Row],[List_Price]]</f>
        <v>223073.49959999998</v>
      </c>
      <c r="Z2683">
        <f>ReconciliationData[[#This Row],[billed_revenue]]-ReconciliationData[[#This Row],[expected_revenue]]</f>
        <v>0</v>
      </c>
      <c r="AA26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83" t="str">
        <f>IF(ReconciliationData[[#This Row],[severity_score]]=0,"LOW",
 IF(ReconciliationData[[#This Row],[severity_score]]&lt;=5,"MEDIUM","HIGH"))</f>
        <v>LOW</v>
      </c>
      <c r="AC2683" t="str">
        <f>TEXT(ReconciliationData[[#This Row],[Order_Date]],"YYYY-MM")</f>
        <v>2024-01</v>
      </c>
    </row>
    <row r="2684" spans="1:29">
      <c r="A2684" t="s">
        <v>6569</v>
      </c>
      <c r="B2684" s="1">
        <v>45310</v>
      </c>
      <c r="C2684" t="s">
        <v>4192</v>
      </c>
      <c r="D2684" t="s">
        <v>374</v>
      </c>
      <c r="E2684">
        <v>48</v>
      </c>
      <c r="F2684" t="s">
        <v>6570</v>
      </c>
      <c r="G2684">
        <v>48</v>
      </c>
      <c r="H2684">
        <v>517.39100000000008</v>
      </c>
      <c r="N2684">
        <v>517.39100000000008</v>
      </c>
      <c r="O2684" s="1">
        <v>45045</v>
      </c>
      <c r="P2684">
        <f>IF(ISBLANK(ReconciliationData[[#This Row],[Invoice_ID]]),1,0)</f>
        <v>0</v>
      </c>
      <c r="Q2684">
        <f>IF(AND(NOT(ISBLANK(ReconciliationData[[#This Row],[Billed_Units]])),ReconciliationData[[#This Row],[ordered_units]]&lt;&gt;ReconciliationData[[#This Row],[Billed_Units]]),1,0)</f>
        <v>0</v>
      </c>
      <c r="R26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84">
        <f>IF(AND(NOT(ISBLANK(ReconciliationData[[#This Row],[Contract_Price]])),ReconciliationData[[#This Row],[Billed_Price]]&lt;&gt;ReconciliationData[[#This Row],[Contract_Price]]),1,0)</f>
        <v>0</v>
      </c>
      <c r="T2684">
        <f>IF(AND(NOT(ISBLANK(ReconciliationData[[#This Row],[End_Date]])),ReconciliationData[[#This Row],[Order_Date]]&gt;ReconciliationData[[#This Row],[End_Date]]),1,0)</f>
        <v>0</v>
      </c>
      <c r="U2684">
        <f>IF(AND(NOT(ISBLANK(ReconciliationData[[#This Row],[last_return_date]])),ReconciliationData[[#This Row],[last_return_date]]&gt;ReconciliationData[[#This Row],[Order_Date]]+60),1,0)</f>
        <v>0</v>
      </c>
      <c r="V2684">
        <f>IF(ReconciliationData[[#This Row],[total_returned_units]]&gt;ReconciliationData[[#This Row],[ordered_units]],1,0)</f>
        <v>0</v>
      </c>
      <c r="W26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84">
        <f>ReconciliationData[[#This Row],[Billed_Units]]*ReconciliationData[[#This Row],[Billed_Price]]</f>
        <v>24834.768000000004</v>
      </c>
      <c r="Y2684">
        <f>ReconciliationData[[#This Row],[ordered_units]]*ReconciliationData[[#This Row],[List_Price]]</f>
        <v>24834.768000000004</v>
      </c>
      <c r="Z2684">
        <f>ReconciliationData[[#This Row],[billed_revenue]]-ReconciliationData[[#This Row],[expected_revenue]]</f>
        <v>0</v>
      </c>
      <c r="AA26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84" t="str">
        <f>IF(ReconciliationData[[#This Row],[severity_score]]=0,"LOW",
 IF(ReconciliationData[[#This Row],[severity_score]]&lt;=5,"MEDIUM","HIGH"))</f>
        <v>LOW</v>
      </c>
      <c r="AC2684" t="str">
        <f>TEXT(ReconciliationData[[#This Row],[Order_Date]],"YYYY-MM")</f>
        <v>2024-01</v>
      </c>
    </row>
    <row r="2685" spans="1:29">
      <c r="A2685" t="s">
        <v>6571</v>
      </c>
      <c r="B2685" s="1">
        <v>45025</v>
      </c>
      <c r="C2685" t="s">
        <v>3664</v>
      </c>
      <c r="D2685" t="s">
        <v>581</v>
      </c>
      <c r="E2685">
        <v>124</v>
      </c>
      <c r="F2685" t="s">
        <v>6572</v>
      </c>
      <c r="G2685">
        <v>124</v>
      </c>
      <c r="H2685">
        <v>770.54579999999999</v>
      </c>
      <c r="N2685">
        <v>770.54579999999999</v>
      </c>
      <c r="O2685" s="1">
        <v>44869</v>
      </c>
      <c r="P2685">
        <f>IF(ISBLANK(ReconciliationData[[#This Row],[Invoice_ID]]),1,0)</f>
        <v>0</v>
      </c>
      <c r="Q2685">
        <f>IF(AND(NOT(ISBLANK(ReconciliationData[[#This Row],[Billed_Units]])),ReconciliationData[[#This Row],[ordered_units]]&lt;&gt;ReconciliationData[[#This Row],[Billed_Units]]),1,0)</f>
        <v>0</v>
      </c>
      <c r="R26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85">
        <f>IF(AND(NOT(ISBLANK(ReconciliationData[[#This Row],[Contract_Price]])),ReconciliationData[[#This Row],[Billed_Price]]&lt;&gt;ReconciliationData[[#This Row],[Contract_Price]]),1,0)</f>
        <v>0</v>
      </c>
      <c r="T2685">
        <f>IF(AND(NOT(ISBLANK(ReconciliationData[[#This Row],[End_Date]])),ReconciliationData[[#This Row],[Order_Date]]&gt;ReconciliationData[[#This Row],[End_Date]]),1,0)</f>
        <v>0</v>
      </c>
      <c r="U2685">
        <f>IF(AND(NOT(ISBLANK(ReconciliationData[[#This Row],[last_return_date]])),ReconciliationData[[#This Row],[last_return_date]]&gt;ReconciliationData[[#This Row],[Order_Date]]+60),1,0)</f>
        <v>0</v>
      </c>
      <c r="V2685">
        <f>IF(ReconciliationData[[#This Row],[total_returned_units]]&gt;ReconciliationData[[#This Row],[ordered_units]],1,0)</f>
        <v>0</v>
      </c>
      <c r="W26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85">
        <f>ReconciliationData[[#This Row],[Billed_Units]]*ReconciliationData[[#This Row],[Billed_Price]]</f>
        <v>95547.679199999999</v>
      </c>
      <c r="Y2685">
        <f>ReconciliationData[[#This Row],[ordered_units]]*ReconciliationData[[#This Row],[List_Price]]</f>
        <v>95547.679199999999</v>
      </c>
      <c r="Z2685">
        <f>ReconciliationData[[#This Row],[billed_revenue]]-ReconciliationData[[#This Row],[expected_revenue]]</f>
        <v>0</v>
      </c>
      <c r="AA26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85" t="str">
        <f>IF(ReconciliationData[[#This Row],[severity_score]]=0,"LOW",
 IF(ReconciliationData[[#This Row],[severity_score]]&lt;=5,"MEDIUM","HIGH"))</f>
        <v>LOW</v>
      </c>
      <c r="AC2685" t="str">
        <f>TEXT(ReconciliationData[[#This Row],[Order_Date]],"YYYY-MM")</f>
        <v>2023-04</v>
      </c>
    </row>
    <row r="2686" spans="1:29">
      <c r="A2686" t="s">
        <v>6573</v>
      </c>
      <c r="B2686" s="1">
        <v>45395</v>
      </c>
      <c r="C2686" t="s">
        <v>3632</v>
      </c>
      <c r="D2686" t="s">
        <v>4508</v>
      </c>
      <c r="E2686">
        <v>199</v>
      </c>
      <c r="F2686" t="s">
        <v>6574</v>
      </c>
      <c r="G2686">
        <v>199</v>
      </c>
      <c r="H2686">
        <v>750.70520000000022</v>
      </c>
      <c r="N2686">
        <v>750.70520000000022</v>
      </c>
      <c r="O2686" s="1">
        <v>45226</v>
      </c>
      <c r="P2686">
        <f>IF(ISBLANK(ReconciliationData[[#This Row],[Invoice_ID]]),1,0)</f>
        <v>0</v>
      </c>
      <c r="Q2686">
        <f>IF(AND(NOT(ISBLANK(ReconciliationData[[#This Row],[Billed_Units]])),ReconciliationData[[#This Row],[ordered_units]]&lt;&gt;ReconciliationData[[#This Row],[Billed_Units]]),1,0)</f>
        <v>0</v>
      </c>
      <c r="R26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86">
        <f>IF(AND(NOT(ISBLANK(ReconciliationData[[#This Row],[Contract_Price]])),ReconciliationData[[#This Row],[Billed_Price]]&lt;&gt;ReconciliationData[[#This Row],[Contract_Price]]),1,0)</f>
        <v>0</v>
      </c>
      <c r="T2686">
        <f>IF(AND(NOT(ISBLANK(ReconciliationData[[#This Row],[End_Date]])),ReconciliationData[[#This Row],[Order_Date]]&gt;ReconciliationData[[#This Row],[End_Date]]),1,0)</f>
        <v>0</v>
      </c>
      <c r="U2686">
        <f>IF(AND(NOT(ISBLANK(ReconciliationData[[#This Row],[last_return_date]])),ReconciliationData[[#This Row],[last_return_date]]&gt;ReconciliationData[[#This Row],[Order_Date]]+60),1,0)</f>
        <v>0</v>
      </c>
      <c r="V2686">
        <f>IF(ReconciliationData[[#This Row],[total_returned_units]]&gt;ReconciliationData[[#This Row],[ordered_units]],1,0)</f>
        <v>0</v>
      </c>
      <c r="W26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86">
        <f>ReconciliationData[[#This Row],[Billed_Units]]*ReconciliationData[[#This Row],[Billed_Price]]</f>
        <v>149390.33480000004</v>
      </c>
      <c r="Y2686">
        <f>ReconciliationData[[#This Row],[ordered_units]]*ReconciliationData[[#This Row],[List_Price]]</f>
        <v>149390.33480000004</v>
      </c>
      <c r="Z2686">
        <f>ReconciliationData[[#This Row],[billed_revenue]]-ReconciliationData[[#This Row],[expected_revenue]]</f>
        <v>0</v>
      </c>
      <c r="AA26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86" t="str">
        <f>IF(ReconciliationData[[#This Row],[severity_score]]=0,"LOW",
 IF(ReconciliationData[[#This Row],[severity_score]]&lt;=5,"MEDIUM","HIGH"))</f>
        <v>LOW</v>
      </c>
      <c r="AC2686" t="str">
        <f>TEXT(ReconciliationData[[#This Row],[Order_Date]],"YYYY-MM")</f>
        <v>2024-04</v>
      </c>
    </row>
    <row r="2687" spans="1:29">
      <c r="A2687" t="s">
        <v>6575</v>
      </c>
      <c r="B2687" s="1">
        <v>45306</v>
      </c>
      <c r="C2687" t="s">
        <v>2038</v>
      </c>
      <c r="D2687" t="s">
        <v>468</v>
      </c>
      <c r="E2687">
        <v>171</v>
      </c>
      <c r="F2687" t="s">
        <v>6576</v>
      </c>
      <c r="G2687">
        <v>171</v>
      </c>
      <c r="H2687">
        <v>372.85379999999998</v>
      </c>
      <c r="N2687">
        <v>372.85379999999998</v>
      </c>
      <c r="O2687" s="1">
        <v>45175</v>
      </c>
      <c r="P2687">
        <f>IF(ISBLANK(ReconciliationData[[#This Row],[Invoice_ID]]),1,0)</f>
        <v>0</v>
      </c>
      <c r="Q2687">
        <f>IF(AND(NOT(ISBLANK(ReconciliationData[[#This Row],[Billed_Units]])),ReconciliationData[[#This Row],[ordered_units]]&lt;&gt;ReconciliationData[[#This Row],[Billed_Units]]),1,0)</f>
        <v>0</v>
      </c>
      <c r="R26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87">
        <f>IF(AND(NOT(ISBLANK(ReconciliationData[[#This Row],[Contract_Price]])),ReconciliationData[[#This Row],[Billed_Price]]&lt;&gt;ReconciliationData[[#This Row],[Contract_Price]]),1,0)</f>
        <v>0</v>
      </c>
      <c r="T2687">
        <f>IF(AND(NOT(ISBLANK(ReconciliationData[[#This Row],[End_Date]])),ReconciliationData[[#This Row],[Order_Date]]&gt;ReconciliationData[[#This Row],[End_Date]]),1,0)</f>
        <v>0</v>
      </c>
      <c r="U2687">
        <f>IF(AND(NOT(ISBLANK(ReconciliationData[[#This Row],[last_return_date]])),ReconciliationData[[#This Row],[last_return_date]]&gt;ReconciliationData[[#This Row],[Order_Date]]+60),1,0)</f>
        <v>0</v>
      </c>
      <c r="V2687">
        <f>IF(ReconciliationData[[#This Row],[total_returned_units]]&gt;ReconciliationData[[#This Row],[ordered_units]],1,0)</f>
        <v>0</v>
      </c>
      <c r="W26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87">
        <f>ReconciliationData[[#This Row],[Billed_Units]]*ReconciliationData[[#This Row],[Billed_Price]]</f>
        <v>63757.999799999998</v>
      </c>
      <c r="Y2687">
        <f>ReconciliationData[[#This Row],[ordered_units]]*ReconciliationData[[#This Row],[List_Price]]</f>
        <v>63757.999799999998</v>
      </c>
      <c r="Z2687">
        <f>ReconciliationData[[#This Row],[billed_revenue]]-ReconciliationData[[#This Row],[expected_revenue]]</f>
        <v>0</v>
      </c>
      <c r="AA26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87" t="str">
        <f>IF(ReconciliationData[[#This Row],[severity_score]]=0,"LOW",
 IF(ReconciliationData[[#This Row],[severity_score]]&lt;=5,"MEDIUM","HIGH"))</f>
        <v>LOW</v>
      </c>
      <c r="AC2687" t="str">
        <f>TEXT(ReconciliationData[[#This Row],[Order_Date]],"YYYY-MM")</f>
        <v>2024-01</v>
      </c>
    </row>
    <row r="2688" spans="1:29">
      <c r="A2688" t="s">
        <v>6577</v>
      </c>
      <c r="B2688" s="1">
        <v>45346</v>
      </c>
      <c r="C2688" t="s">
        <v>274</v>
      </c>
      <c r="D2688" t="s">
        <v>841</v>
      </c>
      <c r="E2688">
        <v>117</v>
      </c>
      <c r="F2688" t="s">
        <v>6578</v>
      </c>
      <c r="G2688">
        <v>126</v>
      </c>
      <c r="H2688">
        <v>185.5224</v>
      </c>
      <c r="N2688">
        <v>185.5224</v>
      </c>
      <c r="O2688" s="1">
        <v>45063</v>
      </c>
      <c r="P2688">
        <f>IF(ISBLANK(ReconciliationData[[#This Row],[Invoice_ID]]),1,0)</f>
        <v>0</v>
      </c>
      <c r="Q2688">
        <f>IF(AND(NOT(ISBLANK(ReconciliationData[[#This Row],[Billed_Units]])),ReconciliationData[[#This Row],[ordered_units]]&lt;&gt;ReconciliationData[[#This Row],[Billed_Units]]),1,0)</f>
        <v>1</v>
      </c>
      <c r="R26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88">
        <f>IF(AND(NOT(ISBLANK(ReconciliationData[[#This Row],[Contract_Price]])),ReconciliationData[[#This Row],[Billed_Price]]&lt;&gt;ReconciliationData[[#This Row],[Contract_Price]]),1,0)</f>
        <v>0</v>
      </c>
      <c r="T2688">
        <f>IF(AND(NOT(ISBLANK(ReconciliationData[[#This Row],[End_Date]])),ReconciliationData[[#This Row],[Order_Date]]&gt;ReconciliationData[[#This Row],[End_Date]]),1,0)</f>
        <v>0</v>
      </c>
      <c r="U2688">
        <f>IF(AND(NOT(ISBLANK(ReconciliationData[[#This Row],[last_return_date]])),ReconciliationData[[#This Row],[last_return_date]]&gt;ReconciliationData[[#This Row],[Order_Date]]+60),1,0)</f>
        <v>0</v>
      </c>
      <c r="V2688">
        <f>IF(ReconciliationData[[#This Row],[total_returned_units]]&gt;ReconciliationData[[#This Row],[ordered_units]],1,0)</f>
        <v>0</v>
      </c>
      <c r="W26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88">
        <f>ReconciliationData[[#This Row],[Billed_Units]]*ReconciliationData[[#This Row],[Billed_Price]]</f>
        <v>23375.822400000001</v>
      </c>
      <c r="Y2688">
        <f>ReconciliationData[[#This Row],[ordered_units]]*ReconciliationData[[#This Row],[List_Price]]</f>
        <v>21706.120800000001</v>
      </c>
      <c r="Z2688">
        <f>ReconciliationData[[#This Row],[billed_revenue]]-ReconciliationData[[#This Row],[expected_revenue]]</f>
        <v>1669.7016000000003</v>
      </c>
      <c r="AA26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688" t="str">
        <f>IF(ReconciliationData[[#This Row],[severity_score]]=0,"LOW",
 IF(ReconciliationData[[#This Row],[severity_score]]&lt;=5,"MEDIUM","HIGH"))</f>
        <v>HIGH</v>
      </c>
      <c r="AC2688" t="str">
        <f>TEXT(ReconciliationData[[#This Row],[Order_Date]],"YYYY-MM")</f>
        <v>2024-02</v>
      </c>
    </row>
    <row r="2689" spans="1:29">
      <c r="A2689" t="s">
        <v>6579</v>
      </c>
      <c r="B2689" s="1">
        <v>45460</v>
      </c>
      <c r="C2689" t="s">
        <v>3060</v>
      </c>
      <c r="D2689" t="s">
        <v>863</v>
      </c>
      <c r="E2689">
        <v>125</v>
      </c>
      <c r="F2689" t="s">
        <v>6580</v>
      </c>
      <c r="G2689">
        <v>125</v>
      </c>
      <c r="H2689">
        <v>815.08680000000004</v>
      </c>
      <c r="N2689">
        <v>815.08680000000004</v>
      </c>
      <c r="O2689" s="1">
        <v>45062</v>
      </c>
      <c r="P2689">
        <f>IF(ISBLANK(ReconciliationData[[#This Row],[Invoice_ID]]),1,0)</f>
        <v>0</v>
      </c>
      <c r="Q2689">
        <f>IF(AND(NOT(ISBLANK(ReconciliationData[[#This Row],[Billed_Units]])),ReconciliationData[[#This Row],[ordered_units]]&lt;&gt;ReconciliationData[[#This Row],[Billed_Units]]),1,0)</f>
        <v>0</v>
      </c>
      <c r="R26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89">
        <f>IF(AND(NOT(ISBLANK(ReconciliationData[[#This Row],[Contract_Price]])),ReconciliationData[[#This Row],[Billed_Price]]&lt;&gt;ReconciliationData[[#This Row],[Contract_Price]]),1,0)</f>
        <v>0</v>
      </c>
      <c r="T2689">
        <f>IF(AND(NOT(ISBLANK(ReconciliationData[[#This Row],[End_Date]])),ReconciliationData[[#This Row],[Order_Date]]&gt;ReconciliationData[[#This Row],[End_Date]]),1,0)</f>
        <v>0</v>
      </c>
      <c r="U2689">
        <f>IF(AND(NOT(ISBLANK(ReconciliationData[[#This Row],[last_return_date]])),ReconciliationData[[#This Row],[last_return_date]]&gt;ReconciliationData[[#This Row],[Order_Date]]+60),1,0)</f>
        <v>0</v>
      </c>
      <c r="V2689">
        <f>IF(ReconciliationData[[#This Row],[total_returned_units]]&gt;ReconciliationData[[#This Row],[ordered_units]],1,0)</f>
        <v>0</v>
      </c>
      <c r="W26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89">
        <f>ReconciliationData[[#This Row],[Billed_Units]]*ReconciliationData[[#This Row],[Billed_Price]]</f>
        <v>101885.85</v>
      </c>
      <c r="Y2689">
        <f>ReconciliationData[[#This Row],[ordered_units]]*ReconciliationData[[#This Row],[List_Price]]</f>
        <v>101885.85</v>
      </c>
      <c r="Z2689">
        <f>ReconciliationData[[#This Row],[billed_revenue]]-ReconciliationData[[#This Row],[expected_revenue]]</f>
        <v>0</v>
      </c>
      <c r="AA26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89" t="str">
        <f>IF(ReconciliationData[[#This Row],[severity_score]]=0,"LOW",
 IF(ReconciliationData[[#This Row],[severity_score]]&lt;=5,"MEDIUM","HIGH"))</f>
        <v>LOW</v>
      </c>
      <c r="AC2689" t="str">
        <f>TEXT(ReconciliationData[[#This Row],[Order_Date]],"YYYY-MM")</f>
        <v>2024-06</v>
      </c>
    </row>
    <row r="2690" spans="1:29">
      <c r="A2690" t="s">
        <v>6581</v>
      </c>
      <c r="B2690" s="1">
        <v>45165</v>
      </c>
      <c r="C2690" t="s">
        <v>817</v>
      </c>
      <c r="D2690" t="s">
        <v>898</v>
      </c>
      <c r="E2690">
        <v>62</v>
      </c>
      <c r="F2690" t="s">
        <v>6582</v>
      </c>
      <c r="G2690">
        <v>62</v>
      </c>
      <c r="H2690">
        <v>744.98490000000004</v>
      </c>
      <c r="N2690">
        <v>744.98490000000004</v>
      </c>
      <c r="O2690" s="1">
        <v>45138</v>
      </c>
      <c r="P2690">
        <f>IF(ISBLANK(ReconciliationData[[#This Row],[Invoice_ID]]),1,0)</f>
        <v>0</v>
      </c>
      <c r="Q2690">
        <f>IF(AND(NOT(ISBLANK(ReconciliationData[[#This Row],[Billed_Units]])),ReconciliationData[[#This Row],[ordered_units]]&lt;&gt;ReconciliationData[[#This Row],[Billed_Units]]),1,0)</f>
        <v>0</v>
      </c>
      <c r="R26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0">
        <f>IF(AND(NOT(ISBLANK(ReconciliationData[[#This Row],[Contract_Price]])),ReconciliationData[[#This Row],[Billed_Price]]&lt;&gt;ReconciliationData[[#This Row],[Contract_Price]]),1,0)</f>
        <v>0</v>
      </c>
      <c r="T2690">
        <f>IF(AND(NOT(ISBLANK(ReconciliationData[[#This Row],[End_Date]])),ReconciliationData[[#This Row],[Order_Date]]&gt;ReconciliationData[[#This Row],[End_Date]]),1,0)</f>
        <v>0</v>
      </c>
      <c r="U2690">
        <f>IF(AND(NOT(ISBLANK(ReconciliationData[[#This Row],[last_return_date]])),ReconciliationData[[#This Row],[last_return_date]]&gt;ReconciliationData[[#This Row],[Order_Date]]+60),1,0)</f>
        <v>0</v>
      </c>
      <c r="V2690">
        <f>IF(ReconciliationData[[#This Row],[total_returned_units]]&gt;ReconciliationData[[#This Row],[ordered_units]],1,0)</f>
        <v>0</v>
      </c>
      <c r="W26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90">
        <f>ReconciliationData[[#This Row],[Billed_Units]]*ReconciliationData[[#This Row],[Billed_Price]]</f>
        <v>46189.063800000004</v>
      </c>
      <c r="Y2690">
        <f>ReconciliationData[[#This Row],[ordered_units]]*ReconciliationData[[#This Row],[List_Price]]</f>
        <v>46189.063800000004</v>
      </c>
      <c r="Z2690">
        <f>ReconciliationData[[#This Row],[billed_revenue]]-ReconciliationData[[#This Row],[expected_revenue]]</f>
        <v>0</v>
      </c>
      <c r="AA26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90" t="str">
        <f>IF(ReconciliationData[[#This Row],[severity_score]]=0,"LOW",
 IF(ReconciliationData[[#This Row],[severity_score]]&lt;=5,"MEDIUM","HIGH"))</f>
        <v>LOW</v>
      </c>
      <c r="AC2690" t="str">
        <f>TEXT(ReconciliationData[[#This Row],[Order_Date]],"YYYY-MM")</f>
        <v>2023-08</v>
      </c>
    </row>
    <row r="2691" spans="1:29">
      <c r="A2691" t="s">
        <v>6583</v>
      </c>
      <c r="B2691" s="1">
        <v>45178</v>
      </c>
      <c r="C2691" t="s">
        <v>4945</v>
      </c>
      <c r="D2691" t="s">
        <v>291</v>
      </c>
      <c r="E2691">
        <v>3</v>
      </c>
      <c r="F2691" t="s">
        <v>6584</v>
      </c>
      <c r="G2691">
        <v>3</v>
      </c>
      <c r="H2691">
        <v>454.98379999999997</v>
      </c>
      <c r="N2691">
        <v>454.98379999999997</v>
      </c>
      <c r="O2691" s="1">
        <v>45011</v>
      </c>
      <c r="P2691">
        <f>IF(ISBLANK(ReconciliationData[[#This Row],[Invoice_ID]]),1,0)</f>
        <v>0</v>
      </c>
      <c r="Q2691">
        <f>IF(AND(NOT(ISBLANK(ReconciliationData[[#This Row],[Billed_Units]])),ReconciliationData[[#This Row],[ordered_units]]&lt;&gt;ReconciliationData[[#This Row],[Billed_Units]]),1,0)</f>
        <v>0</v>
      </c>
      <c r="R26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1">
        <f>IF(AND(NOT(ISBLANK(ReconciliationData[[#This Row],[Contract_Price]])),ReconciliationData[[#This Row],[Billed_Price]]&lt;&gt;ReconciliationData[[#This Row],[Contract_Price]]),1,0)</f>
        <v>0</v>
      </c>
      <c r="T2691">
        <f>IF(AND(NOT(ISBLANK(ReconciliationData[[#This Row],[End_Date]])),ReconciliationData[[#This Row],[Order_Date]]&gt;ReconciliationData[[#This Row],[End_Date]]),1,0)</f>
        <v>0</v>
      </c>
      <c r="U2691">
        <f>IF(AND(NOT(ISBLANK(ReconciliationData[[#This Row],[last_return_date]])),ReconciliationData[[#This Row],[last_return_date]]&gt;ReconciliationData[[#This Row],[Order_Date]]+60),1,0)</f>
        <v>0</v>
      </c>
      <c r="V2691">
        <f>IF(ReconciliationData[[#This Row],[total_returned_units]]&gt;ReconciliationData[[#This Row],[ordered_units]],1,0)</f>
        <v>0</v>
      </c>
      <c r="W26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91">
        <f>ReconciliationData[[#This Row],[Billed_Units]]*ReconciliationData[[#This Row],[Billed_Price]]</f>
        <v>1364.9513999999999</v>
      </c>
      <c r="Y2691">
        <f>ReconciliationData[[#This Row],[ordered_units]]*ReconciliationData[[#This Row],[List_Price]]</f>
        <v>1364.9513999999999</v>
      </c>
      <c r="Z2691">
        <f>ReconciliationData[[#This Row],[billed_revenue]]-ReconciliationData[[#This Row],[expected_revenue]]</f>
        <v>0</v>
      </c>
      <c r="AA26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91" t="str">
        <f>IF(ReconciliationData[[#This Row],[severity_score]]=0,"LOW",
 IF(ReconciliationData[[#This Row],[severity_score]]&lt;=5,"MEDIUM","HIGH"))</f>
        <v>LOW</v>
      </c>
      <c r="AC2691" t="str">
        <f>TEXT(ReconciliationData[[#This Row],[Order_Date]],"YYYY-MM")</f>
        <v>2023-09</v>
      </c>
    </row>
    <row r="2692" spans="1:29">
      <c r="A2692" t="s">
        <v>6585</v>
      </c>
      <c r="B2692" s="1">
        <v>45349</v>
      </c>
      <c r="C2692" t="s">
        <v>4841</v>
      </c>
      <c r="D2692" t="s">
        <v>738</v>
      </c>
      <c r="E2692">
        <v>63</v>
      </c>
      <c r="F2692" t="s">
        <v>6586</v>
      </c>
      <c r="G2692">
        <v>63</v>
      </c>
      <c r="H2692">
        <v>664.8768</v>
      </c>
      <c r="N2692">
        <v>664.8768</v>
      </c>
      <c r="O2692" s="1">
        <v>45116</v>
      </c>
      <c r="P2692">
        <f>IF(ISBLANK(ReconciliationData[[#This Row],[Invoice_ID]]),1,0)</f>
        <v>0</v>
      </c>
      <c r="Q2692">
        <f>IF(AND(NOT(ISBLANK(ReconciliationData[[#This Row],[Billed_Units]])),ReconciliationData[[#This Row],[ordered_units]]&lt;&gt;ReconciliationData[[#This Row],[Billed_Units]]),1,0)</f>
        <v>0</v>
      </c>
      <c r="R26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2">
        <f>IF(AND(NOT(ISBLANK(ReconciliationData[[#This Row],[Contract_Price]])),ReconciliationData[[#This Row],[Billed_Price]]&lt;&gt;ReconciliationData[[#This Row],[Contract_Price]]),1,0)</f>
        <v>0</v>
      </c>
      <c r="T2692">
        <f>IF(AND(NOT(ISBLANK(ReconciliationData[[#This Row],[End_Date]])),ReconciliationData[[#This Row],[Order_Date]]&gt;ReconciliationData[[#This Row],[End_Date]]),1,0)</f>
        <v>0</v>
      </c>
      <c r="U2692">
        <f>IF(AND(NOT(ISBLANK(ReconciliationData[[#This Row],[last_return_date]])),ReconciliationData[[#This Row],[last_return_date]]&gt;ReconciliationData[[#This Row],[Order_Date]]+60),1,0)</f>
        <v>0</v>
      </c>
      <c r="V2692">
        <f>IF(ReconciliationData[[#This Row],[total_returned_units]]&gt;ReconciliationData[[#This Row],[ordered_units]],1,0)</f>
        <v>0</v>
      </c>
      <c r="W26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92">
        <f>ReconciliationData[[#This Row],[Billed_Units]]*ReconciliationData[[#This Row],[Billed_Price]]</f>
        <v>41887.238400000002</v>
      </c>
      <c r="Y2692">
        <f>ReconciliationData[[#This Row],[ordered_units]]*ReconciliationData[[#This Row],[List_Price]]</f>
        <v>41887.238400000002</v>
      </c>
      <c r="Z2692">
        <f>ReconciliationData[[#This Row],[billed_revenue]]-ReconciliationData[[#This Row],[expected_revenue]]</f>
        <v>0</v>
      </c>
      <c r="AA26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92" t="str">
        <f>IF(ReconciliationData[[#This Row],[severity_score]]=0,"LOW",
 IF(ReconciliationData[[#This Row],[severity_score]]&lt;=5,"MEDIUM","HIGH"))</f>
        <v>LOW</v>
      </c>
      <c r="AC2692" t="str">
        <f>TEXT(ReconciliationData[[#This Row],[Order_Date]],"YYYY-MM")</f>
        <v>2024-02</v>
      </c>
    </row>
    <row r="2693" spans="1:29">
      <c r="A2693" t="s">
        <v>6587</v>
      </c>
      <c r="B2693" s="1">
        <v>45117</v>
      </c>
      <c r="C2693" t="s">
        <v>613</v>
      </c>
      <c r="D2693" t="s">
        <v>1235</v>
      </c>
      <c r="E2693">
        <v>47</v>
      </c>
      <c r="F2693" t="s">
        <v>6588</v>
      </c>
      <c r="G2693">
        <v>47</v>
      </c>
      <c r="H2693">
        <v>892.55520000000013</v>
      </c>
      <c r="I2693">
        <v>9</v>
      </c>
      <c r="J2693" s="1">
        <v>45629</v>
      </c>
      <c r="N2693">
        <v>892.55520000000013</v>
      </c>
      <c r="O2693" s="1">
        <v>44985</v>
      </c>
      <c r="P2693">
        <f>IF(ISBLANK(ReconciliationData[[#This Row],[Invoice_ID]]),1,0)</f>
        <v>0</v>
      </c>
      <c r="Q2693">
        <f>IF(AND(NOT(ISBLANK(ReconciliationData[[#This Row],[Billed_Units]])),ReconciliationData[[#This Row],[ordered_units]]&lt;&gt;ReconciliationData[[#This Row],[Billed_Units]]),1,0)</f>
        <v>0</v>
      </c>
      <c r="R26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3">
        <f>IF(AND(NOT(ISBLANK(ReconciliationData[[#This Row],[Contract_Price]])),ReconciliationData[[#This Row],[Billed_Price]]&lt;&gt;ReconciliationData[[#This Row],[Contract_Price]]),1,0)</f>
        <v>0</v>
      </c>
      <c r="T2693">
        <f>IF(AND(NOT(ISBLANK(ReconciliationData[[#This Row],[End_Date]])),ReconciliationData[[#This Row],[Order_Date]]&gt;ReconciliationData[[#This Row],[End_Date]]),1,0)</f>
        <v>0</v>
      </c>
      <c r="U2693">
        <f>IF(AND(NOT(ISBLANK(ReconciliationData[[#This Row],[last_return_date]])),ReconciliationData[[#This Row],[last_return_date]]&gt;ReconciliationData[[#This Row],[Order_Date]]+60),1,0)</f>
        <v>1</v>
      </c>
      <c r="V2693">
        <f>IF(ReconciliationData[[#This Row],[total_returned_units]]&gt;ReconciliationData[[#This Row],[ordered_units]],1,0)</f>
        <v>0</v>
      </c>
      <c r="W26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93">
        <f>ReconciliationData[[#This Row],[Billed_Units]]*ReconciliationData[[#This Row],[Billed_Price]]</f>
        <v>41950.094400000009</v>
      </c>
      <c r="Y2693">
        <f>ReconciliationData[[#This Row],[ordered_units]]*ReconciliationData[[#This Row],[List_Price]]</f>
        <v>41950.094400000009</v>
      </c>
      <c r="Z2693">
        <f>ReconciliationData[[#This Row],[billed_revenue]]-ReconciliationData[[#This Row],[expected_revenue]]</f>
        <v>0</v>
      </c>
      <c r="AA26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693" t="str">
        <f>IF(ReconciliationData[[#This Row],[severity_score]]=0,"LOW",
 IF(ReconciliationData[[#This Row],[severity_score]]&lt;=5,"MEDIUM","HIGH"))</f>
        <v>MEDIUM</v>
      </c>
      <c r="AC2693" t="str">
        <f>TEXT(ReconciliationData[[#This Row],[Order_Date]],"YYYY-MM")</f>
        <v>2023-07</v>
      </c>
    </row>
    <row r="2694" spans="1:29">
      <c r="A2694" t="s">
        <v>6589</v>
      </c>
      <c r="B2694" s="1">
        <v>45616</v>
      </c>
      <c r="C2694" t="s">
        <v>2937</v>
      </c>
      <c r="D2694" t="s">
        <v>1436</v>
      </c>
      <c r="E2694">
        <v>158</v>
      </c>
      <c r="F2694" t="s">
        <v>6590</v>
      </c>
      <c r="G2694">
        <v>158</v>
      </c>
      <c r="H2694">
        <v>189.52920000000003</v>
      </c>
      <c r="N2694">
        <v>189.52920000000003</v>
      </c>
      <c r="O2694" s="1">
        <v>45070</v>
      </c>
      <c r="P2694">
        <f>IF(ISBLANK(ReconciliationData[[#This Row],[Invoice_ID]]),1,0)</f>
        <v>0</v>
      </c>
      <c r="Q2694">
        <f>IF(AND(NOT(ISBLANK(ReconciliationData[[#This Row],[Billed_Units]])),ReconciliationData[[#This Row],[ordered_units]]&lt;&gt;ReconciliationData[[#This Row],[Billed_Units]]),1,0)</f>
        <v>0</v>
      </c>
      <c r="R26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4">
        <f>IF(AND(NOT(ISBLANK(ReconciliationData[[#This Row],[Contract_Price]])),ReconciliationData[[#This Row],[Billed_Price]]&lt;&gt;ReconciliationData[[#This Row],[Contract_Price]]),1,0)</f>
        <v>0</v>
      </c>
      <c r="T2694">
        <f>IF(AND(NOT(ISBLANK(ReconciliationData[[#This Row],[End_Date]])),ReconciliationData[[#This Row],[Order_Date]]&gt;ReconciliationData[[#This Row],[End_Date]]),1,0)</f>
        <v>0</v>
      </c>
      <c r="U2694">
        <f>IF(AND(NOT(ISBLANK(ReconciliationData[[#This Row],[last_return_date]])),ReconciliationData[[#This Row],[last_return_date]]&gt;ReconciliationData[[#This Row],[Order_Date]]+60),1,0)</f>
        <v>0</v>
      </c>
      <c r="V2694">
        <f>IF(ReconciliationData[[#This Row],[total_returned_units]]&gt;ReconciliationData[[#This Row],[ordered_units]],1,0)</f>
        <v>0</v>
      </c>
      <c r="W26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94">
        <f>ReconciliationData[[#This Row],[Billed_Units]]*ReconciliationData[[#This Row],[Billed_Price]]</f>
        <v>29945.613600000004</v>
      </c>
      <c r="Y2694">
        <f>ReconciliationData[[#This Row],[ordered_units]]*ReconciliationData[[#This Row],[List_Price]]</f>
        <v>29945.613600000004</v>
      </c>
      <c r="Z2694">
        <f>ReconciliationData[[#This Row],[billed_revenue]]-ReconciliationData[[#This Row],[expected_revenue]]</f>
        <v>0</v>
      </c>
      <c r="AA26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94" t="str">
        <f>IF(ReconciliationData[[#This Row],[severity_score]]=0,"LOW",
 IF(ReconciliationData[[#This Row],[severity_score]]&lt;=5,"MEDIUM","HIGH"))</f>
        <v>LOW</v>
      </c>
      <c r="AC2694" t="str">
        <f>TEXT(ReconciliationData[[#This Row],[Order_Date]],"YYYY-MM")</f>
        <v>2024-11</v>
      </c>
    </row>
    <row r="2695" spans="1:29">
      <c r="A2695" t="s">
        <v>6591</v>
      </c>
      <c r="B2695" s="1">
        <v>45412</v>
      </c>
      <c r="C2695" t="s">
        <v>359</v>
      </c>
      <c r="D2695" t="s">
        <v>243</v>
      </c>
      <c r="E2695">
        <v>193</v>
      </c>
      <c r="F2695" t="s">
        <v>6592</v>
      </c>
      <c r="G2695">
        <v>198</v>
      </c>
      <c r="H2695">
        <v>129.17519999999999</v>
      </c>
      <c r="N2695">
        <v>129.17519999999999</v>
      </c>
      <c r="O2695" s="1">
        <v>45184</v>
      </c>
      <c r="P2695">
        <f>IF(ISBLANK(ReconciliationData[[#This Row],[Invoice_ID]]),1,0)</f>
        <v>0</v>
      </c>
      <c r="Q2695">
        <f>IF(AND(NOT(ISBLANK(ReconciliationData[[#This Row],[Billed_Units]])),ReconciliationData[[#This Row],[ordered_units]]&lt;&gt;ReconciliationData[[#This Row],[Billed_Units]]),1,0)</f>
        <v>1</v>
      </c>
      <c r="R26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5">
        <f>IF(AND(NOT(ISBLANK(ReconciliationData[[#This Row],[Contract_Price]])),ReconciliationData[[#This Row],[Billed_Price]]&lt;&gt;ReconciliationData[[#This Row],[Contract_Price]]),1,0)</f>
        <v>0</v>
      </c>
      <c r="T2695">
        <f>IF(AND(NOT(ISBLANK(ReconciliationData[[#This Row],[End_Date]])),ReconciliationData[[#This Row],[Order_Date]]&gt;ReconciliationData[[#This Row],[End_Date]]),1,0)</f>
        <v>0</v>
      </c>
      <c r="U2695">
        <f>IF(AND(NOT(ISBLANK(ReconciliationData[[#This Row],[last_return_date]])),ReconciliationData[[#This Row],[last_return_date]]&gt;ReconciliationData[[#This Row],[Order_Date]]+60),1,0)</f>
        <v>0</v>
      </c>
      <c r="V2695">
        <f>IF(ReconciliationData[[#This Row],[total_returned_units]]&gt;ReconciliationData[[#This Row],[ordered_units]],1,0)</f>
        <v>0</v>
      </c>
      <c r="W26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95">
        <f>ReconciliationData[[#This Row],[Billed_Units]]*ReconciliationData[[#This Row],[Billed_Price]]</f>
        <v>25576.689599999998</v>
      </c>
      <c r="Y2695">
        <f>ReconciliationData[[#This Row],[ordered_units]]*ReconciliationData[[#This Row],[List_Price]]</f>
        <v>24930.813599999998</v>
      </c>
      <c r="Z2695">
        <f>ReconciliationData[[#This Row],[billed_revenue]]-ReconciliationData[[#This Row],[expected_revenue]]</f>
        <v>645.8760000000002</v>
      </c>
      <c r="AA26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695" t="str">
        <f>IF(ReconciliationData[[#This Row],[severity_score]]=0,"LOW",
 IF(ReconciliationData[[#This Row],[severity_score]]&lt;=5,"MEDIUM","HIGH"))</f>
        <v>HIGH</v>
      </c>
      <c r="AC2695" t="str">
        <f>TEXT(ReconciliationData[[#This Row],[Order_Date]],"YYYY-MM")</f>
        <v>2024-04</v>
      </c>
    </row>
    <row r="2696" spans="1:29">
      <c r="A2696" t="s">
        <v>6593</v>
      </c>
      <c r="B2696" s="1">
        <v>45097</v>
      </c>
      <c r="C2696" t="s">
        <v>6002</v>
      </c>
      <c r="D2696" t="s">
        <v>1358</v>
      </c>
      <c r="E2696">
        <v>130</v>
      </c>
      <c r="F2696" t="s">
        <v>6594</v>
      </c>
      <c r="G2696">
        <v>130</v>
      </c>
      <c r="H2696">
        <v>940.1952</v>
      </c>
      <c r="N2696">
        <v>940.1952</v>
      </c>
      <c r="O2696" s="1">
        <v>45058</v>
      </c>
      <c r="P2696">
        <f>IF(ISBLANK(ReconciliationData[[#This Row],[Invoice_ID]]),1,0)</f>
        <v>0</v>
      </c>
      <c r="Q2696">
        <f>IF(AND(NOT(ISBLANK(ReconciliationData[[#This Row],[Billed_Units]])),ReconciliationData[[#This Row],[ordered_units]]&lt;&gt;ReconciliationData[[#This Row],[Billed_Units]]),1,0)</f>
        <v>0</v>
      </c>
      <c r="R26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6">
        <f>IF(AND(NOT(ISBLANK(ReconciliationData[[#This Row],[Contract_Price]])),ReconciliationData[[#This Row],[Billed_Price]]&lt;&gt;ReconciliationData[[#This Row],[Contract_Price]]),1,0)</f>
        <v>0</v>
      </c>
      <c r="T2696">
        <f>IF(AND(NOT(ISBLANK(ReconciliationData[[#This Row],[End_Date]])),ReconciliationData[[#This Row],[Order_Date]]&gt;ReconciliationData[[#This Row],[End_Date]]),1,0)</f>
        <v>0</v>
      </c>
      <c r="U2696">
        <f>IF(AND(NOT(ISBLANK(ReconciliationData[[#This Row],[last_return_date]])),ReconciliationData[[#This Row],[last_return_date]]&gt;ReconciliationData[[#This Row],[Order_Date]]+60),1,0)</f>
        <v>0</v>
      </c>
      <c r="V2696">
        <f>IF(ReconciliationData[[#This Row],[total_returned_units]]&gt;ReconciliationData[[#This Row],[ordered_units]],1,0)</f>
        <v>0</v>
      </c>
      <c r="W26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96">
        <f>ReconciliationData[[#This Row],[Billed_Units]]*ReconciliationData[[#This Row],[Billed_Price]]</f>
        <v>122225.376</v>
      </c>
      <c r="Y2696">
        <f>ReconciliationData[[#This Row],[ordered_units]]*ReconciliationData[[#This Row],[List_Price]]</f>
        <v>122225.376</v>
      </c>
      <c r="Z2696">
        <f>ReconciliationData[[#This Row],[billed_revenue]]-ReconciliationData[[#This Row],[expected_revenue]]</f>
        <v>0</v>
      </c>
      <c r="AA26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96" t="str">
        <f>IF(ReconciliationData[[#This Row],[severity_score]]=0,"LOW",
 IF(ReconciliationData[[#This Row],[severity_score]]&lt;=5,"MEDIUM","HIGH"))</f>
        <v>LOW</v>
      </c>
      <c r="AC2696" t="str">
        <f>TEXT(ReconciliationData[[#This Row],[Order_Date]],"YYYY-MM")</f>
        <v>2023-06</v>
      </c>
    </row>
    <row r="2697" spans="1:29">
      <c r="A2697" t="s">
        <v>6595</v>
      </c>
      <c r="B2697" s="1">
        <v>45369</v>
      </c>
      <c r="C2697" t="s">
        <v>1768</v>
      </c>
      <c r="D2697" t="s">
        <v>255</v>
      </c>
      <c r="E2697">
        <v>43</v>
      </c>
      <c r="F2697" t="s">
        <v>6596</v>
      </c>
      <c r="G2697">
        <v>43</v>
      </c>
      <c r="H2697">
        <v>1103.0465999999999</v>
      </c>
      <c r="N2697">
        <v>1103.0465999999999</v>
      </c>
      <c r="O2697" s="1">
        <v>45214</v>
      </c>
      <c r="P2697">
        <f>IF(ISBLANK(ReconciliationData[[#This Row],[Invoice_ID]]),1,0)</f>
        <v>0</v>
      </c>
      <c r="Q2697">
        <f>IF(AND(NOT(ISBLANK(ReconciliationData[[#This Row],[Billed_Units]])),ReconciliationData[[#This Row],[ordered_units]]&lt;&gt;ReconciliationData[[#This Row],[Billed_Units]]),1,0)</f>
        <v>0</v>
      </c>
      <c r="R26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7">
        <f>IF(AND(NOT(ISBLANK(ReconciliationData[[#This Row],[Contract_Price]])),ReconciliationData[[#This Row],[Billed_Price]]&lt;&gt;ReconciliationData[[#This Row],[Contract_Price]]),1,0)</f>
        <v>0</v>
      </c>
      <c r="T2697">
        <f>IF(AND(NOT(ISBLANK(ReconciliationData[[#This Row],[End_Date]])),ReconciliationData[[#This Row],[Order_Date]]&gt;ReconciliationData[[#This Row],[End_Date]]),1,0)</f>
        <v>0</v>
      </c>
      <c r="U2697">
        <f>IF(AND(NOT(ISBLANK(ReconciliationData[[#This Row],[last_return_date]])),ReconciliationData[[#This Row],[last_return_date]]&gt;ReconciliationData[[#This Row],[Order_Date]]+60),1,0)</f>
        <v>0</v>
      </c>
      <c r="V2697">
        <f>IF(ReconciliationData[[#This Row],[total_returned_units]]&gt;ReconciliationData[[#This Row],[ordered_units]],1,0)</f>
        <v>0</v>
      </c>
      <c r="W26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97">
        <f>ReconciliationData[[#This Row],[Billed_Units]]*ReconciliationData[[#This Row],[Billed_Price]]</f>
        <v>47431.003799999999</v>
      </c>
      <c r="Y2697">
        <f>ReconciliationData[[#This Row],[ordered_units]]*ReconciliationData[[#This Row],[List_Price]]</f>
        <v>47431.003799999999</v>
      </c>
      <c r="Z2697">
        <f>ReconciliationData[[#This Row],[billed_revenue]]-ReconciliationData[[#This Row],[expected_revenue]]</f>
        <v>0</v>
      </c>
      <c r="AA26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97" t="str">
        <f>IF(ReconciliationData[[#This Row],[severity_score]]=0,"LOW",
 IF(ReconciliationData[[#This Row],[severity_score]]&lt;=5,"MEDIUM","HIGH"))</f>
        <v>LOW</v>
      </c>
      <c r="AC2697" t="str">
        <f>TEXT(ReconciliationData[[#This Row],[Order_Date]],"YYYY-MM")</f>
        <v>2024-03</v>
      </c>
    </row>
    <row r="2698" spans="1:29">
      <c r="A2698" t="s">
        <v>6597</v>
      </c>
      <c r="B2698" s="1">
        <v>45194</v>
      </c>
      <c r="C2698" t="s">
        <v>4878</v>
      </c>
      <c r="D2698" t="s">
        <v>306</v>
      </c>
      <c r="E2698">
        <v>14</v>
      </c>
      <c r="F2698" t="s">
        <v>6598</v>
      </c>
      <c r="G2698">
        <v>14</v>
      </c>
      <c r="H2698">
        <v>1211.7708</v>
      </c>
      <c r="I2698">
        <v>14</v>
      </c>
      <c r="J2698" s="1">
        <v>45163</v>
      </c>
      <c r="N2698">
        <v>1211.7708</v>
      </c>
      <c r="O2698" s="1">
        <v>45193</v>
      </c>
      <c r="P2698">
        <f>IF(ISBLANK(ReconciliationData[[#This Row],[Invoice_ID]]),1,0)</f>
        <v>0</v>
      </c>
      <c r="Q2698">
        <f>IF(AND(NOT(ISBLANK(ReconciliationData[[#This Row],[Billed_Units]])),ReconciliationData[[#This Row],[ordered_units]]&lt;&gt;ReconciliationData[[#This Row],[Billed_Units]]),1,0)</f>
        <v>0</v>
      </c>
      <c r="R26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8">
        <f>IF(AND(NOT(ISBLANK(ReconciliationData[[#This Row],[Contract_Price]])),ReconciliationData[[#This Row],[Billed_Price]]&lt;&gt;ReconciliationData[[#This Row],[Contract_Price]]),1,0)</f>
        <v>0</v>
      </c>
      <c r="T2698">
        <f>IF(AND(NOT(ISBLANK(ReconciliationData[[#This Row],[End_Date]])),ReconciliationData[[#This Row],[Order_Date]]&gt;ReconciliationData[[#This Row],[End_Date]]),1,0)</f>
        <v>0</v>
      </c>
      <c r="U2698">
        <f>IF(AND(NOT(ISBLANK(ReconciliationData[[#This Row],[last_return_date]])),ReconciliationData[[#This Row],[last_return_date]]&gt;ReconciliationData[[#This Row],[Order_Date]]+60),1,0)</f>
        <v>0</v>
      </c>
      <c r="V2698">
        <f>IF(ReconciliationData[[#This Row],[total_returned_units]]&gt;ReconciliationData[[#This Row],[ordered_units]],1,0)</f>
        <v>0</v>
      </c>
      <c r="W26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698">
        <f>ReconciliationData[[#This Row],[Billed_Units]]*ReconciliationData[[#This Row],[Billed_Price]]</f>
        <v>16964.7912</v>
      </c>
      <c r="Y2698">
        <f>ReconciliationData[[#This Row],[ordered_units]]*ReconciliationData[[#This Row],[List_Price]]</f>
        <v>16964.7912</v>
      </c>
      <c r="Z2698">
        <f>ReconciliationData[[#This Row],[billed_revenue]]-ReconciliationData[[#This Row],[expected_revenue]]</f>
        <v>0</v>
      </c>
      <c r="AA26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698" t="str">
        <f>IF(ReconciliationData[[#This Row],[severity_score]]=0,"LOW",
 IF(ReconciliationData[[#This Row],[severity_score]]&lt;=5,"MEDIUM","HIGH"))</f>
        <v>LOW</v>
      </c>
      <c r="AC2698" t="str">
        <f>TEXT(ReconciliationData[[#This Row],[Order_Date]],"YYYY-MM")</f>
        <v>2023-09</v>
      </c>
    </row>
    <row r="2699" spans="1:29">
      <c r="A2699" t="s">
        <v>6599</v>
      </c>
      <c r="B2699" s="1">
        <v>45022</v>
      </c>
      <c r="C2699" t="s">
        <v>2018</v>
      </c>
      <c r="D2699" t="s">
        <v>2645</v>
      </c>
      <c r="E2699">
        <v>6</v>
      </c>
      <c r="F2699" t="s">
        <v>6600</v>
      </c>
      <c r="G2699">
        <v>6</v>
      </c>
      <c r="H2699">
        <v>112.0184</v>
      </c>
      <c r="I2699">
        <v>11</v>
      </c>
      <c r="J2699" s="1">
        <v>44964</v>
      </c>
      <c r="N2699">
        <v>112.0184</v>
      </c>
      <c r="O2699" s="1">
        <v>44905</v>
      </c>
      <c r="P2699">
        <f>IF(ISBLANK(ReconciliationData[[#This Row],[Invoice_ID]]),1,0)</f>
        <v>0</v>
      </c>
      <c r="Q2699">
        <f>IF(AND(NOT(ISBLANK(ReconciliationData[[#This Row],[Billed_Units]])),ReconciliationData[[#This Row],[ordered_units]]&lt;&gt;ReconciliationData[[#This Row],[Billed_Units]]),1,0)</f>
        <v>0</v>
      </c>
      <c r="R26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699">
        <f>IF(AND(NOT(ISBLANK(ReconciliationData[[#This Row],[Contract_Price]])),ReconciliationData[[#This Row],[Billed_Price]]&lt;&gt;ReconciliationData[[#This Row],[Contract_Price]]),1,0)</f>
        <v>0</v>
      </c>
      <c r="T2699">
        <f>IF(AND(NOT(ISBLANK(ReconciliationData[[#This Row],[End_Date]])),ReconciliationData[[#This Row],[Order_Date]]&gt;ReconciliationData[[#This Row],[End_Date]]),1,0)</f>
        <v>0</v>
      </c>
      <c r="U2699">
        <f>IF(AND(NOT(ISBLANK(ReconciliationData[[#This Row],[last_return_date]])),ReconciliationData[[#This Row],[last_return_date]]&gt;ReconciliationData[[#This Row],[Order_Date]]+60),1,0)</f>
        <v>0</v>
      </c>
      <c r="V2699">
        <f>IF(ReconciliationData[[#This Row],[total_returned_units]]&gt;ReconciliationData[[#This Row],[ordered_units]],1,0)</f>
        <v>1</v>
      </c>
      <c r="W26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699">
        <f>ReconciliationData[[#This Row],[Billed_Units]]*ReconciliationData[[#This Row],[Billed_Price]]</f>
        <v>672.11040000000003</v>
      </c>
      <c r="Y2699">
        <f>ReconciliationData[[#This Row],[ordered_units]]*ReconciliationData[[#This Row],[List_Price]]</f>
        <v>672.11040000000003</v>
      </c>
      <c r="Z2699">
        <f>ReconciliationData[[#This Row],[billed_revenue]]-ReconciliationData[[#This Row],[expected_revenue]]</f>
        <v>0</v>
      </c>
      <c r="AA26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2699" t="str">
        <f>IF(ReconciliationData[[#This Row],[severity_score]]=0,"LOW",
 IF(ReconciliationData[[#This Row],[severity_score]]&lt;=5,"MEDIUM","HIGH"))</f>
        <v>MEDIUM</v>
      </c>
      <c r="AC2699" t="str">
        <f>TEXT(ReconciliationData[[#This Row],[Order_Date]],"YYYY-MM")</f>
        <v>2023-04</v>
      </c>
    </row>
    <row r="2700" spans="1:29">
      <c r="A2700" t="s">
        <v>6601</v>
      </c>
      <c r="B2700" s="1">
        <v>45437</v>
      </c>
      <c r="C2700" t="s">
        <v>2197</v>
      </c>
      <c r="D2700" t="s">
        <v>259</v>
      </c>
      <c r="E2700">
        <v>49</v>
      </c>
      <c r="F2700" t="s">
        <v>6602</v>
      </c>
      <c r="G2700">
        <v>49</v>
      </c>
      <c r="H2700">
        <v>360.68479999999994</v>
      </c>
      <c r="N2700">
        <v>360.68479999999994</v>
      </c>
      <c r="O2700" s="1">
        <v>45072</v>
      </c>
      <c r="P2700">
        <f>IF(ISBLANK(ReconciliationData[[#This Row],[Invoice_ID]]),1,0)</f>
        <v>0</v>
      </c>
      <c r="Q2700">
        <f>IF(AND(NOT(ISBLANK(ReconciliationData[[#This Row],[Billed_Units]])),ReconciliationData[[#This Row],[ordered_units]]&lt;&gt;ReconciliationData[[#This Row],[Billed_Units]]),1,0)</f>
        <v>0</v>
      </c>
      <c r="R27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0">
        <f>IF(AND(NOT(ISBLANK(ReconciliationData[[#This Row],[Contract_Price]])),ReconciliationData[[#This Row],[Billed_Price]]&lt;&gt;ReconciliationData[[#This Row],[Contract_Price]]),1,0)</f>
        <v>0</v>
      </c>
      <c r="T2700">
        <f>IF(AND(NOT(ISBLANK(ReconciliationData[[#This Row],[End_Date]])),ReconciliationData[[#This Row],[Order_Date]]&gt;ReconciliationData[[#This Row],[End_Date]]),1,0)</f>
        <v>0</v>
      </c>
      <c r="U2700">
        <f>IF(AND(NOT(ISBLANK(ReconciliationData[[#This Row],[last_return_date]])),ReconciliationData[[#This Row],[last_return_date]]&gt;ReconciliationData[[#This Row],[Order_Date]]+60),1,0)</f>
        <v>0</v>
      </c>
      <c r="V2700">
        <f>IF(ReconciliationData[[#This Row],[total_returned_units]]&gt;ReconciliationData[[#This Row],[ordered_units]],1,0)</f>
        <v>0</v>
      </c>
      <c r="W27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0">
        <f>ReconciliationData[[#This Row],[Billed_Units]]*ReconciliationData[[#This Row],[Billed_Price]]</f>
        <v>17673.555199999995</v>
      </c>
      <c r="Y2700">
        <f>ReconciliationData[[#This Row],[ordered_units]]*ReconciliationData[[#This Row],[List_Price]]</f>
        <v>17673.555199999995</v>
      </c>
      <c r="Z2700">
        <f>ReconciliationData[[#This Row],[billed_revenue]]-ReconciliationData[[#This Row],[expected_revenue]]</f>
        <v>0</v>
      </c>
      <c r="AA27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0" t="str">
        <f>IF(ReconciliationData[[#This Row],[severity_score]]=0,"LOW",
 IF(ReconciliationData[[#This Row],[severity_score]]&lt;=5,"MEDIUM","HIGH"))</f>
        <v>LOW</v>
      </c>
      <c r="AC2700" t="str">
        <f>TEXT(ReconciliationData[[#This Row],[Order_Date]],"YYYY-MM")</f>
        <v>2024-05</v>
      </c>
    </row>
    <row r="2701" spans="1:29">
      <c r="A2701" t="s">
        <v>6603</v>
      </c>
      <c r="B2701" s="1">
        <v>45061</v>
      </c>
      <c r="C2701" t="s">
        <v>5631</v>
      </c>
      <c r="D2701" t="s">
        <v>1362</v>
      </c>
      <c r="E2701">
        <v>186</v>
      </c>
      <c r="F2701" t="s">
        <v>6604</v>
      </c>
      <c r="G2701">
        <v>186</v>
      </c>
      <c r="H2701">
        <v>78.918600000000012</v>
      </c>
      <c r="N2701">
        <v>78.918600000000012</v>
      </c>
      <c r="O2701" s="1">
        <v>45058</v>
      </c>
      <c r="P2701">
        <f>IF(ISBLANK(ReconciliationData[[#This Row],[Invoice_ID]]),1,0)</f>
        <v>0</v>
      </c>
      <c r="Q2701">
        <f>IF(AND(NOT(ISBLANK(ReconciliationData[[#This Row],[Billed_Units]])),ReconciliationData[[#This Row],[ordered_units]]&lt;&gt;ReconciliationData[[#This Row],[Billed_Units]]),1,0)</f>
        <v>0</v>
      </c>
      <c r="R27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1">
        <f>IF(AND(NOT(ISBLANK(ReconciliationData[[#This Row],[Contract_Price]])),ReconciliationData[[#This Row],[Billed_Price]]&lt;&gt;ReconciliationData[[#This Row],[Contract_Price]]),1,0)</f>
        <v>0</v>
      </c>
      <c r="T2701">
        <f>IF(AND(NOT(ISBLANK(ReconciliationData[[#This Row],[End_Date]])),ReconciliationData[[#This Row],[Order_Date]]&gt;ReconciliationData[[#This Row],[End_Date]]),1,0)</f>
        <v>0</v>
      </c>
      <c r="U2701">
        <f>IF(AND(NOT(ISBLANK(ReconciliationData[[#This Row],[last_return_date]])),ReconciliationData[[#This Row],[last_return_date]]&gt;ReconciliationData[[#This Row],[Order_Date]]+60),1,0)</f>
        <v>0</v>
      </c>
      <c r="V2701">
        <f>IF(ReconciliationData[[#This Row],[total_returned_units]]&gt;ReconciliationData[[#This Row],[ordered_units]],1,0)</f>
        <v>0</v>
      </c>
      <c r="W27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1">
        <f>ReconciliationData[[#This Row],[Billed_Units]]*ReconciliationData[[#This Row],[Billed_Price]]</f>
        <v>14678.859600000002</v>
      </c>
      <c r="Y2701">
        <f>ReconciliationData[[#This Row],[ordered_units]]*ReconciliationData[[#This Row],[List_Price]]</f>
        <v>14678.859600000002</v>
      </c>
      <c r="Z2701">
        <f>ReconciliationData[[#This Row],[billed_revenue]]-ReconciliationData[[#This Row],[expected_revenue]]</f>
        <v>0</v>
      </c>
      <c r="AA27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1" t="str">
        <f>IF(ReconciliationData[[#This Row],[severity_score]]=0,"LOW",
 IF(ReconciliationData[[#This Row],[severity_score]]&lt;=5,"MEDIUM","HIGH"))</f>
        <v>LOW</v>
      </c>
      <c r="AC2701" t="str">
        <f>TEXT(ReconciliationData[[#This Row],[Order_Date]],"YYYY-MM")</f>
        <v>2023-05</v>
      </c>
    </row>
    <row r="2702" spans="1:29">
      <c r="A2702" t="s">
        <v>6605</v>
      </c>
      <c r="B2702" s="1">
        <v>45513</v>
      </c>
      <c r="C2702" t="s">
        <v>563</v>
      </c>
      <c r="D2702" t="s">
        <v>378</v>
      </c>
      <c r="E2702">
        <v>27</v>
      </c>
      <c r="F2702" t="s">
        <v>6606</v>
      </c>
      <c r="G2702">
        <v>27</v>
      </c>
      <c r="H2702">
        <v>601.32929999999999</v>
      </c>
      <c r="N2702">
        <v>601.32929999999999</v>
      </c>
      <c r="O2702" s="1">
        <v>44962</v>
      </c>
      <c r="P2702">
        <f>IF(ISBLANK(ReconciliationData[[#This Row],[Invoice_ID]]),1,0)</f>
        <v>0</v>
      </c>
      <c r="Q2702">
        <f>IF(AND(NOT(ISBLANK(ReconciliationData[[#This Row],[Billed_Units]])),ReconciliationData[[#This Row],[ordered_units]]&lt;&gt;ReconciliationData[[#This Row],[Billed_Units]]),1,0)</f>
        <v>0</v>
      </c>
      <c r="R27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2">
        <f>IF(AND(NOT(ISBLANK(ReconciliationData[[#This Row],[Contract_Price]])),ReconciliationData[[#This Row],[Billed_Price]]&lt;&gt;ReconciliationData[[#This Row],[Contract_Price]]),1,0)</f>
        <v>0</v>
      </c>
      <c r="T2702">
        <f>IF(AND(NOT(ISBLANK(ReconciliationData[[#This Row],[End_Date]])),ReconciliationData[[#This Row],[Order_Date]]&gt;ReconciliationData[[#This Row],[End_Date]]),1,0)</f>
        <v>0</v>
      </c>
      <c r="U2702">
        <f>IF(AND(NOT(ISBLANK(ReconciliationData[[#This Row],[last_return_date]])),ReconciliationData[[#This Row],[last_return_date]]&gt;ReconciliationData[[#This Row],[Order_Date]]+60),1,0)</f>
        <v>0</v>
      </c>
      <c r="V2702">
        <f>IF(ReconciliationData[[#This Row],[total_returned_units]]&gt;ReconciliationData[[#This Row],[ordered_units]],1,0)</f>
        <v>0</v>
      </c>
      <c r="W27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2">
        <f>ReconciliationData[[#This Row],[Billed_Units]]*ReconciliationData[[#This Row],[Billed_Price]]</f>
        <v>16235.891099999999</v>
      </c>
      <c r="Y2702">
        <f>ReconciliationData[[#This Row],[ordered_units]]*ReconciliationData[[#This Row],[List_Price]]</f>
        <v>16235.891099999999</v>
      </c>
      <c r="Z2702">
        <f>ReconciliationData[[#This Row],[billed_revenue]]-ReconciliationData[[#This Row],[expected_revenue]]</f>
        <v>0</v>
      </c>
      <c r="AA27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2" t="str">
        <f>IF(ReconciliationData[[#This Row],[severity_score]]=0,"LOW",
 IF(ReconciliationData[[#This Row],[severity_score]]&lt;=5,"MEDIUM","HIGH"))</f>
        <v>LOW</v>
      </c>
      <c r="AC2702" t="str">
        <f>TEXT(ReconciliationData[[#This Row],[Order_Date]],"YYYY-MM")</f>
        <v>2024-08</v>
      </c>
    </row>
    <row r="2703" spans="1:29">
      <c r="A2703" t="s">
        <v>6607</v>
      </c>
      <c r="B2703" s="1">
        <v>45633</v>
      </c>
      <c r="C2703" t="s">
        <v>1036</v>
      </c>
      <c r="D2703" t="s">
        <v>1094</v>
      </c>
      <c r="E2703">
        <v>56</v>
      </c>
      <c r="F2703" t="s">
        <v>6608</v>
      </c>
      <c r="G2703">
        <v>56</v>
      </c>
      <c r="H2703">
        <v>977.22280000000001</v>
      </c>
      <c r="N2703">
        <v>977.22280000000001</v>
      </c>
      <c r="O2703" s="1">
        <v>44984</v>
      </c>
      <c r="P2703">
        <f>IF(ISBLANK(ReconciliationData[[#This Row],[Invoice_ID]]),1,0)</f>
        <v>0</v>
      </c>
      <c r="Q2703">
        <f>IF(AND(NOT(ISBLANK(ReconciliationData[[#This Row],[Billed_Units]])),ReconciliationData[[#This Row],[ordered_units]]&lt;&gt;ReconciliationData[[#This Row],[Billed_Units]]),1,0)</f>
        <v>0</v>
      </c>
      <c r="R27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3">
        <f>IF(AND(NOT(ISBLANK(ReconciliationData[[#This Row],[Contract_Price]])),ReconciliationData[[#This Row],[Billed_Price]]&lt;&gt;ReconciliationData[[#This Row],[Contract_Price]]),1,0)</f>
        <v>0</v>
      </c>
      <c r="T2703">
        <f>IF(AND(NOT(ISBLANK(ReconciliationData[[#This Row],[End_Date]])),ReconciliationData[[#This Row],[Order_Date]]&gt;ReconciliationData[[#This Row],[End_Date]]),1,0)</f>
        <v>0</v>
      </c>
      <c r="U2703">
        <f>IF(AND(NOT(ISBLANK(ReconciliationData[[#This Row],[last_return_date]])),ReconciliationData[[#This Row],[last_return_date]]&gt;ReconciliationData[[#This Row],[Order_Date]]+60),1,0)</f>
        <v>0</v>
      </c>
      <c r="V2703">
        <f>IF(ReconciliationData[[#This Row],[total_returned_units]]&gt;ReconciliationData[[#This Row],[ordered_units]],1,0)</f>
        <v>0</v>
      </c>
      <c r="W27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3">
        <f>ReconciliationData[[#This Row],[Billed_Units]]*ReconciliationData[[#This Row],[Billed_Price]]</f>
        <v>54724.476800000004</v>
      </c>
      <c r="Y2703">
        <f>ReconciliationData[[#This Row],[ordered_units]]*ReconciliationData[[#This Row],[List_Price]]</f>
        <v>54724.476800000004</v>
      </c>
      <c r="Z2703">
        <f>ReconciliationData[[#This Row],[billed_revenue]]-ReconciliationData[[#This Row],[expected_revenue]]</f>
        <v>0</v>
      </c>
      <c r="AA27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3" t="str">
        <f>IF(ReconciliationData[[#This Row],[severity_score]]=0,"LOW",
 IF(ReconciliationData[[#This Row],[severity_score]]&lt;=5,"MEDIUM","HIGH"))</f>
        <v>LOW</v>
      </c>
      <c r="AC2703" t="str">
        <f>TEXT(ReconciliationData[[#This Row],[Order_Date]],"YYYY-MM")</f>
        <v>2024-12</v>
      </c>
    </row>
    <row r="2704" spans="1:29">
      <c r="A2704" t="s">
        <v>6609</v>
      </c>
      <c r="B2704" s="1">
        <v>45239</v>
      </c>
      <c r="C2704" t="s">
        <v>3903</v>
      </c>
      <c r="D2704" t="s">
        <v>556</v>
      </c>
      <c r="E2704">
        <v>171</v>
      </c>
      <c r="F2704" t="s">
        <v>6610</v>
      </c>
      <c r="G2704">
        <v>171</v>
      </c>
      <c r="H2704">
        <v>664.57040000000006</v>
      </c>
      <c r="N2704">
        <v>664.57040000000006</v>
      </c>
      <c r="O2704" s="1">
        <v>45066</v>
      </c>
      <c r="P2704">
        <f>IF(ISBLANK(ReconciliationData[[#This Row],[Invoice_ID]]),1,0)</f>
        <v>0</v>
      </c>
      <c r="Q2704">
        <f>IF(AND(NOT(ISBLANK(ReconciliationData[[#This Row],[Billed_Units]])),ReconciliationData[[#This Row],[ordered_units]]&lt;&gt;ReconciliationData[[#This Row],[Billed_Units]]),1,0)</f>
        <v>0</v>
      </c>
      <c r="R27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4">
        <f>IF(AND(NOT(ISBLANK(ReconciliationData[[#This Row],[Contract_Price]])),ReconciliationData[[#This Row],[Billed_Price]]&lt;&gt;ReconciliationData[[#This Row],[Contract_Price]]),1,0)</f>
        <v>0</v>
      </c>
      <c r="T2704">
        <f>IF(AND(NOT(ISBLANK(ReconciliationData[[#This Row],[End_Date]])),ReconciliationData[[#This Row],[Order_Date]]&gt;ReconciliationData[[#This Row],[End_Date]]),1,0)</f>
        <v>0</v>
      </c>
      <c r="U2704">
        <f>IF(AND(NOT(ISBLANK(ReconciliationData[[#This Row],[last_return_date]])),ReconciliationData[[#This Row],[last_return_date]]&gt;ReconciliationData[[#This Row],[Order_Date]]+60),1,0)</f>
        <v>0</v>
      </c>
      <c r="V2704">
        <f>IF(ReconciliationData[[#This Row],[total_returned_units]]&gt;ReconciliationData[[#This Row],[ordered_units]],1,0)</f>
        <v>0</v>
      </c>
      <c r="W27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4">
        <f>ReconciliationData[[#This Row],[Billed_Units]]*ReconciliationData[[#This Row],[Billed_Price]]</f>
        <v>113641.5384</v>
      </c>
      <c r="Y2704">
        <f>ReconciliationData[[#This Row],[ordered_units]]*ReconciliationData[[#This Row],[List_Price]]</f>
        <v>113641.5384</v>
      </c>
      <c r="Z2704">
        <f>ReconciliationData[[#This Row],[billed_revenue]]-ReconciliationData[[#This Row],[expected_revenue]]</f>
        <v>0</v>
      </c>
      <c r="AA27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4" t="str">
        <f>IF(ReconciliationData[[#This Row],[severity_score]]=0,"LOW",
 IF(ReconciliationData[[#This Row],[severity_score]]&lt;=5,"MEDIUM","HIGH"))</f>
        <v>LOW</v>
      </c>
      <c r="AC2704" t="str">
        <f>TEXT(ReconciliationData[[#This Row],[Order_Date]],"YYYY-MM")</f>
        <v>2023-11</v>
      </c>
    </row>
    <row r="2705" spans="1:29">
      <c r="A2705" t="s">
        <v>6611</v>
      </c>
      <c r="B2705" s="1">
        <v>45175</v>
      </c>
      <c r="C2705" t="s">
        <v>6612</v>
      </c>
      <c r="D2705" t="s">
        <v>345</v>
      </c>
      <c r="E2705">
        <v>60</v>
      </c>
      <c r="F2705" t="s">
        <v>6613</v>
      </c>
      <c r="G2705">
        <v>60</v>
      </c>
      <c r="H2705">
        <v>574.3415</v>
      </c>
      <c r="N2705">
        <v>574.3415</v>
      </c>
      <c r="O2705" s="1">
        <v>44806</v>
      </c>
      <c r="P2705">
        <f>IF(ISBLANK(ReconciliationData[[#This Row],[Invoice_ID]]),1,0)</f>
        <v>0</v>
      </c>
      <c r="Q2705">
        <f>IF(AND(NOT(ISBLANK(ReconciliationData[[#This Row],[Billed_Units]])),ReconciliationData[[#This Row],[ordered_units]]&lt;&gt;ReconciliationData[[#This Row],[Billed_Units]]),1,0)</f>
        <v>0</v>
      </c>
      <c r="R27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5">
        <f>IF(AND(NOT(ISBLANK(ReconciliationData[[#This Row],[Contract_Price]])),ReconciliationData[[#This Row],[Billed_Price]]&lt;&gt;ReconciliationData[[#This Row],[Contract_Price]]),1,0)</f>
        <v>0</v>
      </c>
      <c r="T2705">
        <f>IF(AND(NOT(ISBLANK(ReconciliationData[[#This Row],[End_Date]])),ReconciliationData[[#This Row],[Order_Date]]&gt;ReconciliationData[[#This Row],[End_Date]]),1,0)</f>
        <v>0</v>
      </c>
      <c r="U2705">
        <f>IF(AND(NOT(ISBLANK(ReconciliationData[[#This Row],[last_return_date]])),ReconciliationData[[#This Row],[last_return_date]]&gt;ReconciliationData[[#This Row],[Order_Date]]+60),1,0)</f>
        <v>0</v>
      </c>
      <c r="V2705">
        <f>IF(ReconciliationData[[#This Row],[total_returned_units]]&gt;ReconciliationData[[#This Row],[ordered_units]],1,0)</f>
        <v>0</v>
      </c>
      <c r="W27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5">
        <f>ReconciliationData[[#This Row],[Billed_Units]]*ReconciliationData[[#This Row],[Billed_Price]]</f>
        <v>34460.49</v>
      </c>
      <c r="Y2705">
        <f>ReconciliationData[[#This Row],[ordered_units]]*ReconciliationData[[#This Row],[List_Price]]</f>
        <v>34460.49</v>
      </c>
      <c r="Z2705">
        <f>ReconciliationData[[#This Row],[billed_revenue]]-ReconciliationData[[#This Row],[expected_revenue]]</f>
        <v>0</v>
      </c>
      <c r="AA27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5" t="str">
        <f>IF(ReconciliationData[[#This Row],[severity_score]]=0,"LOW",
 IF(ReconciliationData[[#This Row],[severity_score]]&lt;=5,"MEDIUM","HIGH"))</f>
        <v>LOW</v>
      </c>
      <c r="AC2705" t="str">
        <f>TEXT(ReconciliationData[[#This Row],[Order_Date]],"YYYY-MM")</f>
        <v>2023-09</v>
      </c>
    </row>
    <row r="2706" spans="1:29">
      <c r="A2706" t="s">
        <v>6614</v>
      </c>
      <c r="B2706" s="1">
        <v>45632</v>
      </c>
      <c r="C2706" t="s">
        <v>2031</v>
      </c>
      <c r="D2706" t="s">
        <v>1105</v>
      </c>
      <c r="E2706">
        <v>66</v>
      </c>
      <c r="F2706" t="s">
        <v>6615</v>
      </c>
      <c r="G2706">
        <v>66</v>
      </c>
      <c r="H2706">
        <v>796.53</v>
      </c>
      <c r="N2706">
        <v>796.53</v>
      </c>
      <c r="O2706" s="1">
        <v>45172</v>
      </c>
      <c r="P2706">
        <f>IF(ISBLANK(ReconciliationData[[#This Row],[Invoice_ID]]),1,0)</f>
        <v>0</v>
      </c>
      <c r="Q2706">
        <f>IF(AND(NOT(ISBLANK(ReconciliationData[[#This Row],[Billed_Units]])),ReconciliationData[[#This Row],[ordered_units]]&lt;&gt;ReconciliationData[[#This Row],[Billed_Units]]),1,0)</f>
        <v>0</v>
      </c>
      <c r="R27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6">
        <f>IF(AND(NOT(ISBLANK(ReconciliationData[[#This Row],[Contract_Price]])),ReconciliationData[[#This Row],[Billed_Price]]&lt;&gt;ReconciliationData[[#This Row],[Contract_Price]]),1,0)</f>
        <v>0</v>
      </c>
      <c r="T2706">
        <f>IF(AND(NOT(ISBLANK(ReconciliationData[[#This Row],[End_Date]])),ReconciliationData[[#This Row],[Order_Date]]&gt;ReconciliationData[[#This Row],[End_Date]]),1,0)</f>
        <v>0</v>
      </c>
      <c r="U2706">
        <f>IF(AND(NOT(ISBLANK(ReconciliationData[[#This Row],[last_return_date]])),ReconciliationData[[#This Row],[last_return_date]]&gt;ReconciliationData[[#This Row],[Order_Date]]+60),1,0)</f>
        <v>0</v>
      </c>
      <c r="V2706">
        <f>IF(ReconciliationData[[#This Row],[total_returned_units]]&gt;ReconciliationData[[#This Row],[ordered_units]],1,0)</f>
        <v>0</v>
      </c>
      <c r="W27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6">
        <f>ReconciliationData[[#This Row],[Billed_Units]]*ReconciliationData[[#This Row],[Billed_Price]]</f>
        <v>52570.979999999996</v>
      </c>
      <c r="Y2706">
        <f>ReconciliationData[[#This Row],[ordered_units]]*ReconciliationData[[#This Row],[List_Price]]</f>
        <v>52570.979999999996</v>
      </c>
      <c r="Z2706">
        <f>ReconciliationData[[#This Row],[billed_revenue]]-ReconciliationData[[#This Row],[expected_revenue]]</f>
        <v>0</v>
      </c>
      <c r="AA27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6" t="str">
        <f>IF(ReconciliationData[[#This Row],[severity_score]]=0,"LOW",
 IF(ReconciliationData[[#This Row],[severity_score]]&lt;=5,"MEDIUM","HIGH"))</f>
        <v>LOW</v>
      </c>
      <c r="AC2706" t="str">
        <f>TEXT(ReconciliationData[[#This Row],[Order_Date]],"YYYY-MM")</f>
        <v>2024-12</v>
      </c>
    </row>
    <row r="2707" spans="1:29">
      <c r="A2707" t="s">
        <v>6616</v>
      </c>
      <c r="B2707" s="1">
        <v>45620</v>
      </c>
      <c r="C2707" t="s">
        <v>1990</v>
      </c>
      <c r="D2707" t="s">
        <v>764</v>
      </c>
      <c r="E2707">
        <v>101</v>
      </c>
      <c r="F2707" t="s">
        <v>6617</v>
      </c>
      <c r="G2707">
        <v>101</v>
      </c>
      <c r="H2707">
        <v>1220.5917999999999</v>
      </c>
      <c r="N2707">
        <v>1220.5917999999999</v>
      </c>
      <c r="O2707" s="1">
        <v>45153</v>
      </c>
      <c r="P2707">
        <f>IF(ISBLANK(ReconciliationData[[#This Row],[Invoice_ID]]),1,0)</f>
        <v>0</v>
      </c>
      <c r="Q2707">
        <f>IF(AND(NOT(ISBLANK(ReconciliationData[[#This Row],[Billed_Units]])),ReconciliationData[[#This Row],[ordered_units]]&lt;&gt;ReconciliationData[[#This Row],[Billed_Units]]),1,0)</f>
        <v>0</v>
      </c>
      <c r="R27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7">
        <f>IF(AND(NOT(ISBLANK(ReconciliationData[[#This Row],[Contract_Price]])),ReconciliationData[[#This Row],[Billed_Price]]&lt;&gt;ReconciliationData[[#This Row],[Contract_Price]]),1,0)</f>
        <v>0</v>
      </c>
      <c r="T2707">
        <f>IF(AND(NOT(ISBLANK(ReconciliationData[[#This Row],[End_Date]])),ReconciliationData[[#This Row],[Order_Date]]&gt;ReconciliationData[[#This Row],[End_Date]]),1,0)</f>
        <v>0</v>
      </c>
      <c r="U2707">
        <f>IF(AND(NOT(ISBLANK(ReconciliationData[[#This Row],[last_return_date]])),ReconciliationData[[#This Row],[last_return_date]]&gt;ReconciliationData[[#This Row],[Order_Date]]+60),1,0)</f>
        <v>0</v>
      </c>
      <c r="V2707">
        <f>IF(ReconciliationData[[#This Row],[total_returned_units]]&gt;ReconciliationData[[#This Row],[ordered_units]],1,0)</f>
        <v>0</v>
      </c>
      <c r="W27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7">
        <f>ReconciliationData[[#This Row],[Billed_Units]]*ReconciliationData[[#This Row],[Billed_Price]]</f>
        <v>123279.77179999999</v>
      </c>
      <c r="Y2707">
        <f>ReconciliationData[[#This Row],[ordered_units]]*ReconciliationData[[#This Row],[List_Price]]</f>
        <v>123279.77179999999</v>
      </c>
      <c r="Z2707">
        <f>ReconciliationData[[#This Row],[billed_revenue]]-ReconciliationData[[#This Row],[expected_revenue]]</f>
        <v>0</v>
      </c>
      <c r="AA27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7" t="str">
        <f>IF(ReconciliationData[[#This Row],[severity_score]]=0,"LOW",
 IF(ReconciliationData[[#This Row],[severity_score]]&lt;=5,"MEDIUM","HIGH"))</f>
        <v>LOW</v>
      </c>
      <c r="AC2707" t="str">
        <f>TEXT(ReconciliationData[[#This Row],[Order_Date]],"YYYY-MM")</f>
        <v>2024-11</v>
      </c>
    </row>
    <row r="2708" spans="1:29">
      <c r="A2708" t="s">
        <v>6618</v>
      </c>
      <c r="B2708" s="1">
        <v>45225</v>
      </c>
      <c r="C2708" t="s">
        <v>1856</v>
      </c>
      <c r="D2708" t="s">
        <v>589</v>
      </c>
      <c r="E2708">
        <v>55</v>
      </c>
      <c r="F2708" t="s">
        <v>6619</v>
      </c>
      <c r="G2708">
        <v>55</v>
      </c>
      <c r="H2708">
        <v>1085.8974999999998</v>
      </c>
      <c r="N2708">
        <v>1085.8974999999998</v>
      </c>
      <c r="O2708" s="1">
        <v>45147</v>
      </c>
      <c r="P2708">
        <f>IF(ISBLANK(ReconciliationData[[#This Row],[Invoice_ID]]),1,0)</f>
        <v>0</v>
      </c>
      <c r="Q2708">
        <f>IF(AND(NOT(ISBLANK(ReconciliationData[[#This Row],[Billed_Units]])),ReconciliationData[[#This Row],[ordered_units]]&lt;&gt;ReconciliationData[[#This Row],[Billed_Units]]),1,0)</f>
        <v>0</v>
      </c>
      <c r="R27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8">
        <f>IF(AND(NOT(ISBLANK(ReconciliationData[[#This Row],[Contract_Price]])),ReconciliationData[[#This Row],[Billed_Price]]&lt;&gt;ReconciliationData[[#This Row],[Contract_Price]]),1,0)</f>
        <v>0</v>
      </c>
      <c r="T2708">
        <f>IF(AND(NOT(ISBLANK(ReconciliationData[[#This Row],[End_Date]])),ReconciliationData[[#This Row],[Order_Date]]&gt;ReconciliationData[[#This Row],[End_Date]]),1,0)</f>
        <v>0</v>
      </c>
      <c r="U2708">
        <f>IF(AND(NOT(ISBLANK(ReconciliationData[[#This Row],[last_return_date]])),ReconciliationData[[#This Row],[last_return_date]]&gt;ReconciliationData[[#This Row],[Order_Date]]+60),1,0)</f>
        <v>0</v>
      </c>
      <c r="V2708">
        <f>IF(ReconciliationData[[#This Row],[total_returned_units]]&gt;ReconciliationData[[#This Row],[ordered_units]],1,0)</f>
        <v>0</v>
      </c>
      <c r="W27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8">
        <f>ReconciliationData[[#This Row],[Billed_Units]]*ReconciliationData[[#This Row],[Billed_Price]]</f>
        <v>59724.362499999988</v>
      </c>
      <c r="Y2708">
        <f>ReconciliationData[[#This Row],[ordered_units]]*ReconciliationData[[#This Row],[List_Price]]</f>
        <v>59724.362499999988</v>
      </c>
      <c r="Z2708">
        <f>ReconciliationData[[#This Row],[billed_revenue]]-ReconciliationData[[#This Row],[expected_revenue]]</f>
        <v>0</v>
      </c>
      <c r="AA27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8" t="str">
        <f>IF(ReconciliationData[[#This Row],[severity_score]]=0,"LOW",
 IF(ReconciliationData[[#This Row],[severity_score]]&lt;=5,"MEDIUM","HIGH"))</f>
        <v>LOW</v>
      </c>
      <c r="AC2708" t="str">
        <f>TEXT(ReconciliationData[[#This Row],[Order_Date]],"YYYY-MM")</f>
        <v>2023-10</v>
      </c>
    </row>
    <row r="2709" spans="1:29">
      <c r="A2709" t="s">
        <v>6620</v>
      </c>
      <c r="B2709" s="1">
        <v>45272</v>
      </c>
      <c r="C2709" t="s">
        <v>2349</v>
      </c>
      <c r="D2709" t="s">
        <v>2682</v>
      </c>
      <c r="E2709">
        <v>114</v>
      </c>
      <c r="F2709" t="s">
        <v>6621</v>
      </c>
      <c r="G2709">
        <v>114</v>
      </c>
      <c r="H2709">
        <v>1032.7408</v>
      </c>
      <c r="N2709">
        <v>1032.7408</v>
      </c>
      <c r="O2709" s="1">
        <v>45077</v>
      </c>
      <c r="P2709">
        <f>IF(ISBLANK(ReconciliationData[[#This Row],[Invoice_ID]]),1,0)</f>
        <v>0</v>
      </c>
      <c r="Q2709">
        <f>IF(AND(NOT(ISBLANK(ReconciliationData[[#This Row],[Billed_Units]])),ReconciliationData[[#This Row],[ordered_units]]&lt;&gt;ReconciliationData[[#This Row],[Billed_Units]]),1,0)</f>
        <v>0</v>
      </c>
      <c r="R27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09">
        <f>IF(AND(NOT(ISBLANK(ReconciliationData[[#This Row],[Contract_Price]])),ReconciliationData[[#This Row],[Billed_Price]]&lt;&gt;ReconciliationData[[#This Row],[Contract_Price]]),1,0)</f>
        <v>0</v>
      </c>
      <c r="T2709">
        <f>IF(AND(NOT(ISBLANK(ReconciliationData[[#This Row],[End_Date]])),ReconciliationData[[#This Row],[Order_Date]]&gt;ReconciliationData[[#This Row],[End_Date]]),1,0)</f>
        <v>0</v>
      </c>
      <c r="U2709">
        <f>IF(AND(NOT(ISBLANK(ReconciliationData[[#This Row],[last_return_date]])),ReconciliationData[[#This Row],[last_return_date]]&gt;ReconciliationData[[#This Row],[Order_Date]]+60),1,0)</f>
        <v>0</v>
      </c>
      <c r="V2709">
        <f>IF(ReconciliationData[[#This Row],[total_returned_units]]&gt;ReconciliationData[[#This Row],[ordered_units]],1,0)</f>
        <v>0</v>
      </c>
      <c r="W27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09">
        <f>ReconciliationData[[#This Row],[Billed_Units]]*ReconciliationData[[#This Row],[Billed_Price]]</f>
        <v>117732.45120000001</v>
      </c>
      <c r="Y2709">
        <f>ReconciliationData[[#This Row],[ordered_units]]*ReconciliationData[[#This Row],[List_Price]]</f>
        <v>117732.45120000001</v>
      </c>
      <c r="Z2709">
        <f>ReconciliationData[[#This Row],[billed_revenue]]-ReconciliationData[[#This Row],[expected_revenue]]</f>
        <v>0</v>
      </c>
      <c r="AA27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09" t="str">
        <f>IF(ReconciliationData[[#This Row],[severity_score]]=0,"LOW",
 IF(ReconciliationData[[#This Row],[severity_score]]&lt;=5,"MEDIUM","HIGH"))</f>
        <v>LOW</v>
      </c>
      <c r="AC2709" t="str">
        <f>TEXT(ReconciliationData[[#This Row],[Order_Date]],"YYYY-MM")</f>
        <v>2023-12</v>
      </c>
    </row>
    <row r="2710" spans="1:29">
      <c r="A2710" t="s">
        <v>6622</v>
      </c>
      <c r="B2710" s="1">
        <v>45287</v>
      </c>
      <c r="C2710" t="s">
        <v>2809</v>
      </c>
      <c r="D2710" t="s">
        <v>923</v>
      </c>
      <c r="E2710">
        <v>78</v>
      </c>
      <c r="F2710" t="s">
        <v>6623</v>
      </c>
      <c r="G2710">
        <v>78</v>
      </c>
      <c r="H2710">
        <v>754.20799999999997</v>
      </c>
      <c r="N2710">
        <v>754.20799999999997</v>
      </c>
      <c r="O2710" s="1">
        <v>45069</v>
      </c>
      <c r="P2710">
        <f>IF(ISBLANK(ReconciliationData[[#This Row],[Invoice_ID]]),1,0)</f>
        <v>0</v>
      </c>
      <c r="Q2710">
        <f>IF(AND(NOT(ISBLANK(ReconciliationData[[#This Row],[Billed_Units]])),ReconciliationData[[#This Row],[ordered_units]]&lt;&gt;ReconciliationData[[#This Row],[Billed_Units]]),1,0)</f>
        <v>0</v>
      </c>
      <c r="R27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0">
        <f>IF(AND(NOT(ISBLANK(ReconciliationData[[#This Row],[Contract_Price]])),ReconciliationData[[#This Row],[Billed_Price]]&lt;&gt;ReconciliationData[[#This Row],[Contract_Price]]),1,0)</f>
        <v>0</v>
      </c>
      <c r="T2710">
        <f>IF(AND(NOT(ISBLANK(ReconciliationData[[#This Row],[End_Date]])),ReconciliationData[[#This Row],[Order_Date]]&gt;ReconciliationData[[#This Row],[End_Date]]),1,0)</f>
        <v>0</v>
      </c>
      <c r="U2710">
        <f>IF(AND(NOT(ISBLANK(ReconciliationData[[#This Row],[last_return_date]])),ReconciliationData[[#This Row],[last_return_date]]&gt;ReconciliationData[[#This Row],[Order_Date]]+60),1,0)</f>
        <v>0</v>
      </c>
      <c r="V2710">
        <f>IF(ReconciliationData[[#This Row],[total_returned_units]]&gt;ReconciliationData[[#This Row],[ordered_units]],1,0)</f>
        <v>0</v>
      </c>
      <c r="W27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0">
        <f>ReconciliationData[[#This Row],[Billed_Units]]*ReconciliationData[[#This Row],[Billed_Price]]</f>
        <v>58828.223999999995</v>
      </c>
      <c r="Y2710">
        <f>ReconciliationData[[#This Row],[ordered_units]]*ReconciliationData[[#This Row],[List_Price]]</f>
        <v>58828.223999999995</v>
      </c>
      <c r="Z2710">
        <f>ReconciliationData[[#This Row],[billed_revenue]]-ReconciliationData[[#This Row],[expected_revenue]]</f>
        <v>0</v>
      </c>
      <c r="AA27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0" t="str">
        <f>IF(ReconciliationData[[#This Row],[severity_score]]=0,"LOW",
 IF(ReconciliationData[[#This Row],[severity_score]]&lt;=5,"MEDIUM","HIGH"))</f>
        <v>LOW</v>
      </c>
      <c r="AC2710" t="str">
        <f>TEXT(ReconciliationData[[#This Row],[Order_Date]],"YYYY-MM")</f>
        <v>2023-12</v>
      </c>
    </row>
    <row r="2711" spans="1:29">
      <c r="A2711" t="s">
        <v>6624</v>
      </c>
      <c r="B2711" s="1">
        <v>45559</v>
      </c>
      <c r="C2711" t="s">
        <v>1936</v>
      </c>
      <c r="D2711" t="s">
        <v>512</v>
      </c>
      <c r="E2711">
        <v>24</v>
      </c>
      <c r="F2711" t="s">
        <v>6625</v>
      </c>
      <c r="G2711">
        <v>24</v>
      </c>
      <c r="H2711">
        <v>211.68960000000001</v>
      </c>
      <c r="N2711">
        <v>211.68960000000001</v>
      </c>
      <c r="O2711" s="1">
        <v>45129</v>
      </c>
      <c r="P2711">
        <f>IF(ISBLANK(ReconciliationData[[#This Row],[Invoice_ID]]),1,0)</f>
        <v>0</v>
      </c>
      <c r="Q2711">
        <f>IF(AND(NOT(ISBLANK(ReconciliationData[[#This Row],[Billed_Units]])),ReconciliationData[[#This Row],[ordered_units]]&lt;&gt;ReconciliationData[[#This Row],[Billed_Units]]),1,0)</f>
        <v>0</v>
      </c>
      <c r="R27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1">
        <f>IF(AND(NOT(ISBLANK(ReconciliationData[[#This Row],[Contract_Price]])),ReconciliationData[[#This Row],[Billed_Price]]&lt;&gt;ReconciliationData[[#This Row],[Contract_Price]]),1,0)</f>
        <v>0</v>
      </c>
      <c r="T2711">
        <f>IF(AND(NOT(ISBLANK(ReconciliationData[[#This Row],[End_Date]])),ReconciliationData[[#This Row],[Order_Date]]&gt;ReconciliationData[[#This Row],[End_Date]]),1,0)</f>
        <v>0</v>
      </c>
      <c r="U2711">
        <f>IF(AND(NOT(ISBLANK(ReconciliationData[[#This Row],[last_return_date]])),ReconciliationData[[#This Row],[last_return_date]]&gt;ReconciliationData[[#This Row],[Order_Date]]+60),1,0)</f>
        <v>0</v>
      </c>
      <c r="V2711">
        <f>IF(ReconciliationData[[#This Row],[total_returned_units]]&gt;ReconciliationData[[#This Row],[ordered_units]],1,0)</f>
        <v>0</v>
      </c>
      <c r="W27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1">
        <f>ReconciliationData[[#This Row],[Billed_Units]]*ReconciliationData[[#This Row],[Billed_Price]]</f>
        <v>5080.5504000000001</v>
      </c>
      <c r="Y2711">
        <f>ReconciliationData[[#This Row],[ordered_units]]*ReconciliationData[[#This Row],[List_Price]]</f>
        <v>5080.5504000000001</v>
      </c>
      <c r="Z2711">
        <f>ReconciliationData[[#This Row],[billed_revenue]]-ReconciliationData[[#This Row],[expected_revenue]]</f>
        <v>0</v>
      </c>
      <c r="AA27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1" t="str">
        <f>IF(ReconciliationData[[#This Row],[severity_score]]=0,"LOW",
 IF(ReconciliationData[[#This Row],[severity_score]]&lt;=5,"MEDIUM","HIGH"))</f>
        <v>LOW</v>
      </c>
      <c r="AC2711" t="str">
        <f>TEXT(ReconciliationData[[#This Row],[Order_Date]],"YYYY-MM")</f>
        <v>2024-09</v>
      </c>
    </row>
    <row r="2712" spans="1:29">
      <c r="A2712" t="s">
        <v>6626</v>
      </c>
      <c r="B2712" s="1">
        <v>45523</v>
      </c>
      <c r="C2712" t="s">
        <v>3436</v>
      </c>
      <c r="D2712" t="s">
        <v>3409</v>
      </c>
      <c r="E2712">
        <v>157</v>
      </c>
      <c r="F2712" t="s">
        <v>6627</v>
      </c>
      <c r="G2712">
        <v>157</v>
      </c>
      <c r="H2712">
        <v>104.9652</v>
      </c>
      <c r="N2712">
        <v>104.9652</v>
      </c>
      <c r="O2712" s="1">
        <v>45066</v>
      </c>
      <c r="P2712">
        <f>IF(ISBLANK(ReconciliationData[[#This Row],[Invoice_ID]]),1,0)</f>
        <v>0</v>
      </c>
      <c r="Q2712">
        <f>IF(AND(NOT(ISBLANK(ReconciliationData[[#This Row],[Billed_Units]])),ReconciliationData[[#This Row],[ordered_units]]&lt;&gt;ReconciliationData[[#This Row],[Billed_Units]]),1,0)</f>
        <v>0</v>
      </c>
      <c r="R27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2">
        <f>IF(AND(NOT(ISBLANK(ReconciliationData[[#This Row],[Contract_Price]])),ReconciliationData[[#This Row],[Billed_Price]]&lt;&gt;ReconciliationData[[#This Row],[Contract_Price]]),1,0)</f>
        <v>0</v>
      </c>
      <c r="T2712">
        <f>IF(AND(NOT(ISBLANK(ReconciliationData[[#This Row],[End_Date]])),ReconciliationData[[#This Row],[Order_Date]]&gt;ReconciliationData[[#This Row],[End_Date]]),1,0)</f>
        <v>0</v>
      </c>
      <c r="U2712">
        <f>IF(AND(NOT(ISBLANK(ReconciliationData[[#This Row],[last_return_date]])),ReconciliationData[[#This Row],[last_return_date]]&gt;ReconciliationData[[#This Row],[Order_Date]]+60),1,0)</f>
        <v>0</v>
      </c>
      <c r="V2712">
        <f>IF(ReconciliationData[[#This Row],[total_returned_units]]&gt;ReconciliationData[[#This Row],[ordered_units]],1,0)</f>
        <v>0</v>
      </c>
      <c r="W27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2">
        <f>ReconciliationData[[#This Row],[Billed_Units]]*ReconciliationData[[#This Row],[Billed_Price]]</f>
        <v>16479.536400000001</v>
      </c>
      <c r="Y2712">
        <f>ReconciliationData[[#This Row],[ordered_units]]*ReconciliationData[[#This Row],[List_Price]]</f>
        <v>16479.536400000001</v>
      </c>
      <c r="Z2712">
        <f>ReconciliationData[[#This Row],[billed_revenue]]-ReconciliationData[[#This Row],[expected_revenue]]</f>
        <v>0</v>
      </c>
      <c r="AA27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2" t="str">
        <f>IF(ReconciliationData[[#This Row],[severity_score]]=0,"LOW",
 IF(ReconciliationData[[#This Row],[severity_score]]&lt;=5,"MEDIUM","HIGH"))</f>
        <v>LOW</v>
      </c>
      <c r="AC2712" t="str">
        <f>TEXT(ReconciliationData[[#This Row],[Order_Date]],"YYYY-MM")</f>
        <v>2024-08</v>
      </c>
    </row>
    <row r="2713" spans="1:29">
      <c r="A2713" t="s">
        <v>6628</v>
      </c>
      <c r="B2713" s="1">
        <v>45241</v>
      </c>
      <c r="C2713" t="s">
        <v>1750</v>
      </c>
      <c r="D2713" t="s">
        <v>146</v>
      </c>
      <c r="E2713">
        <v>136</v>
      </c>
      <c r="F2713" t="s">
        <v>6629</v>
      </c>
      <c r="G2713">
        <v>136</v>
      </c>
      <c r="H2713">
        <v>849.43949999999995</v>
      </c>
      <c r="N2713">
        <v>849.43949999999995</v>
      </c>
      <c r="O2713" s="1">
        <v>45114</v>
      </c>
      <c r="P2713">
        <f>IF(ISBLANK(ReconciliationData[[#This Row],[Invoice_ID]]),1,0)</f>
        <v>0</v>
      </c>
      <c r="Q2713">
        <f>IF(AND(NOT(ISBLANK(ReconciliationData[[#This Row],[Billed_Units]])),ReconciliationData[[#This Row],[ordered_units]]&lt;&gt;ReconciliationData[[#This Row],[Billed_Units]]),1,0)</f>
        <v>0</v>
      </c>
      <c r="R27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3">
        <f>IF(AND(NOT(ISBLANK(ReconciliationData[[#This Row],[Contract_Price]])),ReconciliationData[[#This Row],[Billed_Price]]&lt;&gt;ReconciliationData[[#This Row],[Contract_Price]]),1,0)</f>
        <v>0</v>
      </c>
      <c r="T2713">
        <f>IF(AND(NOT(ISBLANK(ReconciliationData[[#This Row],[End_Date]])),ReconciliationData[[#This Row],[Order_Date]]&gt;ReconciliationData[[#This Row],[End_Date]]),1,0)</f>
        <v>0</v>
      </c>
      <c r="U2713">
        <f>IF(AND(NOT(ISBLANK(ReconciliationData[[#This Row],[last_return_date]])),ReconciliationData[[#This Row],[last_return_date]]&gt;ReconciliationData[[#This Row],[Order_Date]]+60),1,0)</f>
        <v>0</v>
      </c>
      <c r="V2713">
        <f>IF(ReconciliationData[[#This Row],[total_returned_units]]&gt;ReconciliationData[[#This Row],[ordered_units]],1,0)</f>
        <v>0</v>
      </c>
      <c r="W27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3">
        <f>ReconciliationData[[#This Row],[Billed_Units]]*ReconciliationData[[#This Row],[Billed_Price]]</f>
        <v>115523.772</v>
      </c>
      <c r="Y2713">
        <f>ReconciliationData[[#This Row],[ordered_units]]*ReconciliationData[[#This Row],[List_Price]]</f>
        <v>115523.772</v>
      </c>
      <c r="Z2713">
        <f>ReconciliationData[[#This Row],[billed_revenue]]-ReconciliationData[[#This Row],[expected_revenue]]</f>
        <v>0</v>
      </c>
      <c r="AA27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3" t="str">
        <f>IF(ReconciliationData[[#This Row],[severity_score]]=0,"LOW",
 IF(ReconciliationData[[#This Row],[severity_score]]&lt;=5,"MEDIUM","HIGH"))</f>
        <v>LOW</v>
      </c>
      <c r="AC2713" t="str">
        <f>TEXT(ReconciliationData[[#This Row],[Order_Date]],"YYYY-MM")</f>
        <v>2023-11</v>
      </c>
    </row>
    <row r="2714" spans="1:29">
      <c r="A2714" t="s">
        <v>6630</v>
      </c>
      <c r="B2714" s="1">
        <v>45290</v>
      </c>
      <c r="C2714" t="s">
        <v>6631</v>
      </c>
      <c r="D2714" t="s">
        <v>1142</v>
      </c>
      <c r="E2714">
        <v>99</v>
      </c>
      <c r="F2714" t="s">
        <v>6632</v>
      </c>
      <c r="G2714">
        <v>99</v>
      </c>
      <c r="H2714">
        <v>624.37260000000003</v>
      </c>
      <c r="N2714">
        <v>624.37260000000003</v>
      </c>
      <c r="O2714" s="1">
        <v>44932</v>
      </c>
      <c r="P2714">
        <f>IF(ISBLANK(ReconciliationData[[#This Row],[Invoice_ID]]),1,0)</f>
        <v>0</v>
      </c>
      <c r="Q2714">
        <f>IF(AND(NOT(ISBLANK(ReconciliationData[[#This Row],[Billed_Units]])),ReconciliationData[[#This Row],[ordered_units]]&lt;&gt;ReconciliationData[[#This Row],[Billed_Units]]),1,0)</f>
        <v>0</v>
      </c>
      <c r="R27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4">
        <f>IF(AND(NOT(ISBLANK(ReconciliationData[[#This Row],[Contract_Price]])),ReconciliationData[[#This Row],[Billed_Price]]&lt;&gt;ReconciliationData[[#This Row],[Contract_Price]]),1,0)</f>
        <v>0</v>
      </c>
      <c r="T2714">
        <f>IF(AND(NOT(ISBLANK(ReconciliationData[[#This Row],[End_Date]])),ReconciliationData[[#This Row],[Order_Date]]&gt;ReconciliationData[[#This Row],[End_Date]]),1,0)</f>
        <v>0</v>
      </c>
      <c r="U2714">
        <f>IF(AND(NOT(ISBLANK(ReconciliationData[[#This Row],[last_return_date]])),ReconciliationData[[#This Row],[last_return_date]]&gt;ReconciliationData[[#This Row],[Order_Date]]+60),1,0)</f>
        <v>0</v>
      </c>
      <c r="V2714">
        <f>IF(ReconciliationData[[#This Row],[total_returned_units]]&gt;ReconciliationData[[#This Row],[ordered_units]],1,0)</f>
        <v>0</v>
      </c>
      <c r="W27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4">
        <f>ReconciliationData[[#This Row],[Billed_Units]]*ReconciliationData[[#This Row],[Billed_Price]]</f>
        <v>61812.887400000007</v>
      </c>
      <c r="Y2714">
        <f>ReconciliationData[[#This Row],[ordered_units]]*ReconciliationData[[#This Row],[List_Price]]</f>
        <v>61812.887400000007</v>
      </c>
      <c r="Z2714">
        <f>ReconciliationData[[#This Row],[billed_revenue]]-ReconciliationData[[#This Row],[expected_revenue]]</f>
        <v>0</v>
      </c>
      <c r="AA27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4" t="str">
        <f>IF(ReconciliationData[[#This Row],[severity_score]]=0,"LOW",
 IF(ReconciliationData[[#This Row],[severity_score]]&lt;=5,"MEDIUM","HIGH"))</f>
        <v>LOW</v>
      </c>
      <c r="AC2714" t="str">
        <f>TEXT(ReconciliationData[[#This Row],[Order_Date]],"YYYY-MM")</f>
        <v>2023-12</v>
      </c>
    </row>
    <row r="2715" spans="1:29">
      <c r="A2715" t="s">
        <v>6633</v>
      </c>
      <c r="B2715" s="1">
        <v>45002</v>
      </c>
      <c r="C2715" t="s">
        <v>1645</v>
      </c>
      <c r="D2715" t="s">
        <v>674</v>
      </c>
      <c r="E2715">
        <v>10</v>
      </c>
      <c r="F2715" t="s">
        <v>6634</v>
      </c>
      <c r="G2715">
        <v>10</v>
      </c>
      <c r="H2715">
        <v>1032.2340000000002</v>
      </c>
      <c r="N2715">
        <v>1032.2340000000002</v>
      </c>
      <c r="O2715" s="1">
        <v>44798</v>
      </c>
      <c r="P2715">
        <f>IF(ISBLANK(ReconciliationData[[#This Row],[Invoice_ID]]),1,0)</f>
        <v>0</v>
      </c>
      <c r="Q2715">
        <f>IF(AND(NOT(ISBLANK(ReconciliationData[[#This Row],[Billed_Units]])),ReconciliationData[[#This Row],[ordered_units]]&lt;&gt;ReconciliationData[[#This Row],[Billed_Units]]),1,0)</f>
        <v>0</v>
      </c>
      <c r="R27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5">
        <f>IF(AND(NOT(ISBLANK(ReconciliationData[[#This Row],[Contract_Price]])),ReconciliationData[[#This Row],[Billed_Price]]&lt;&gt;ReconciliationData[[#This Row],[Contract_Price]]),1,0)</f>
        <v>0</v>
      </c>
      <c r="T2715">
        <f>IF(AND(NOT(ISBLANK(ReconciliationData[[#This Row],[End_Date]])),ReconciliationData[[#This Row],[Order_Date]]&gt;ReconciliationData[[#This Row],[End_Date]]),1,0)</f>
        <v>0</v>
      </c>
      <c r="U2715">
        <f>IF(AND(NOT(ISBLANK(ReconciliationData[[#This Row],[last_return_date]])),ReconciliationData[[#This Row],[last_return_date]]&gt;ReconciliationData[[#This Row],[Order_Date]]+60),1,0)</f>
        <v>0</v>
      </c>
      <c r="V2715">
        <f>IF(ReconciliationData[[#This Row],[total_returned_units]]&gt;ReconciliationData[[#This Row],[ordered_units]],1,0)</f>
        <v>0</v>
      </c>
      <c r="W27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5">
        <f>ReconciliationData[[#This Row],[Billed_Units]]*ReconciliationData[[#This Row],[Billed_Price]]</f>
        <v>10322.340000000002</v>
      </c>
      <c r="Y2715">
        <f>ReconciliationData[[#This Row],[ordered_units]]*ReconciliationData[[#This Row],[List_Price]]</f>
        <v>10322.340000000002</v>
      </c>
      <c r="Z2715">
        <f>ReconciliationData[[#This Row],[billed_revenue]]-ReconciliationData[[#This Row],[expected_revenue]]</f>
        <v>0</v>
      </c>
      <c r="AA27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5" t="str">
        <f>IF(ReconciliationData[[#This Row],[severity_score]]=0,"LOW",
 IF(ReconciliationData[[#This Row],[severity_score]]&lt;=5,"MEDIUM","HIGH"))</f>
        <v>LOW</v>
      </c>
      <c r="AC2715" t="str">
        <f>TEXT(ReconciliationData[[#This Row],[Order_Date]],"YYYY-MM")</f>
        <v>2023-03</v>
      </c>
    </row>
    <row r="2716" spans="1:29">
      <c r="A2716" t="s">
        <v>6635</v>
      </c>
      <c r="B2716" s="1">
        <v>45481</v>
      </c>
      <c r="C2716" t="s">
        <v>6251</v>
      </c>
      <c r="D2716" t="s">
        <v>321</v>
      </c>
      <c r="E2716">
        <v>33</v>
      </c>
      <c r="F2716" t="s">
        <v>6636</v>
      </c>
      <c r="G2716">
        <v>33</v>
      </c>
      <c r="H2716">
        <v>169.22900000000001</v>
      </c>
      <c r="N2716">
        <v>169.22900000000001</v>
      </c>
      <c r="O2716" s="1">
        <v>45039</v>
      </c>
      <c r="P2716">
        <f>IF(ISBLANK(ReconciliationData[[#This Row],[Invoice_ID]]),1,0)</f>
        <v>0</v>
      </c>
      <c r="Q2716">
        <f>IF(AND(NOT(ISBLANK(ReconciliationData[[#This Row],[Billed_Units]])),ReconciliationData[[#This Row],[ordered_units]]&lt;&gt;ReconciliationData[[#This Row],[Billed_Units]]),1,0)</f>
        <v>0</v>
      </c>
      <c r="R27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6">
        <f>IF(AND(NOT(ISBLANK(ReconciliationData[[#This Row],[Contract_Price]])),ReconciliationData[[#This Row],[Billed_Price]]&lt;&gt;ReconciliationData[[#This Row],[Contract_Price]]),1,0)</f>
        <v>0</v>
      </c>
      <c r="T2716">
        <f>IF(AND(NOT(ISBLANK(ReconciliationData[[#This Row],[End_Date]])),ReconciliationData[[#This Row],[Order_Date]]&gt;ReconciliationData[[#This Row],[End_Date]]),1,0)</f>
        <v>0</v>
      </c>
      <c r="U2716">
        <f>IF(AND(NOT(ISBLANK(ReconciliationData[[#This Row],[last_return_date]])),ReconciliationData[[#This Row],[last_return_date]]&gt;ReconciliationData[[#This Row],[Order_Date]]+60),1,0)</f>
        <v>0</v>
      </c>
      <c r="V2716">
        <f>IF(ReconciliationData[[#This Row],[total_returned_units]]&gt;ReconciliationData[[#This Row],[ordered_units]],1,0)</f>
        <v>0</v>
      </c>
      <c r="W27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6">
        <f>ReconciliationData[[#This Row],[Billed_Units]]*ReconciliationData[[#This Row],[Billed_Price]]</f>
        <v>5584.5570000000007</v>
      </c>
      <c r="Y2716">
        <f>ReconciliationData[[#This Row],[ordered_units]]*ReconciliationData[[#This Row],[List_Price]]</f>
        <v>5584.5570000000007</v>
      </c>
      <c r="Z2716">
        <f>ReconciliationData[[#This Row],[billed_revenue]]-ReconciliationData[[#This Row],[expected_revenue]]</f>
        <v>0</v>
      </c>
      <c r="AA27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6" t="str">
        <f>IF(ReconciliationData[[#This Row],[severity_score]]=0,"LOW",
 IF(ReconciliationData[[#This Row],[severity_score]]&lt;=5,"MEDIUM","HIGH"))</f>
        <v>LOW</v>
      </c>
      <c r="AC2716" t="str">
        <f>TEXT(ReconciliationData[[#This Row],[Order_Date]],"YYYY-MM")</f>
        <v>2024-07</v>
      </c>
    </row>
    <row r="2717" spans="1:29">
      <c r="A2717" t="s">
        <v>6637</v>
      </c>
      <c r="B2717" s="1">
        <v>45621</v>
      </c>
      <c r="C2717" t="s">
        <v>1670</v>
      </c>
      <c r="D2717" t="s">
        <v>1037</v>
      </c>
      <c r="E2717">
        <v>99</v>
      </c>
      <c r="F2717" t="s">
        <v>6638</v>
      </c>
      <c r="G2717">
        <v>99</v>
      </c>
      <c r="H2717">
        <v>539.57150000000001</v>
      </c>
      <c r="N2717">
        <v>539.57150000000001</v>
      </c>
      <c r="O2717" s="1">
        <v>45191</v>
      </c>
      <c r="P2717">
        <f>IF(ISBLANK(ReconciliationData[[#This Row],[Invoice_ID]]),1,0)</f>
        <v>0</v>
      </c>
      <c r="Q2717">
        <f>IF(AND(NOT(ISBLANK(ReconciliationData[[#This Row],[Billed_Units]])),ReconciliationData[[#This Row],[ordered_units]]&lt;&gt;ReconciliationData[[#This Row],[Billed_Units]]),1,0)</f>
        <v>0</v>
      </c>
      <c r="R27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7">
        <f>IF(AND(NOT(ISBLANK(ReconciliationData[[#This Row],[Contract_Price]])),ReconciliationData[[#This Row],[Billed_Price]]&lt;&gt;ReconciliationData[[#This Row],[Contract_Price]]),1,0)</f>
        <v>0</v>
      </c>
      <c r="T2717">
        <f>IF(AND(NOT(ISBLANK(ReconciliationData[[#This Row],[End_Date]])),ReconciliationData[[#This Row],[Order_Date]]&gt;ReconciliationData[[#This Row],[End_Date]]),1,0)</f>
        <v>0</v>
      </c>
      <c r="U2717">
        <f>IF(AND(NOT(ISBLANK(ReconciliationData[[#This Row],[last_return_date]])),ReconciliationData[[#This Row],[last_return_date]]&gt;ReconciliationData[[#This Row],[Order_Date]]+60),1,0)</f>
        <v>0</v>
      </c>
      <c r="V2717">
        <f>IF(ReconciliationData[[#This Row],[total_returned_units]]&gt;ReconciliationData[[#This Row],[ordered_units]],1,0)</f>
        <v>0</v>
      </c>
      <c r="W27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7">
        <f>ReconciliationData[[#This Row],[Billed_Units]]*ReconciliationData[[#This Row],[Billed_Price]]</f>
        <v>53417.578500000003</v>
      </c>
      <c r="Y2717">
        <f>ReconciliationData[[#This Row],[ordered_units]]*ReconciliationData[[#This Row],[List_Price]]</f>
        <v>53417.578500000003</v>
      </c>
      <c r="Z2717">
        <f>ReconciliationData[[#This Row],[billed_revenue]]-ReconciliationData[[#This Row],[expected_revenue]]</f>
        <v>0</v>
      </c>
      <c r="AA27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7" t="str">
        <f>IF(ReconciliationData[[#This Row],[severity_score]]=0,"LOW",
 IF(ReconciliationData[[#This Row],[severity_score]]&lt;=5,"MEDIUM","HIGH"))</f>
        <v>LOW</v>
      </c>
      <c r="AC2717" t="str">
        <f>TEXT(ReconciliationData[[#This Row],[Order_Date]],"YYYY-MM")</f>
        <v>2024-11</v>
      </c>
    </row>
    <row r="2718" spans="1:29">
      <c r="A2718" t="s">
        <v>6639</v>
      </c>
      <c r="B2718" s="1">
        <v>45313</v>
      </c>
      <c r="C2718" t="s">
        <v>3203</v>
      </c>
      <c r="D2718" t="s">
        <v>873</v>
      </c>
      <c r="E2718">
        <v>181</v>
      </c>
      <c r="F2718" t="s">
        <v>6640</v>
      </c>
      <c r="G2718">
        <v>181</v>
      </c>
      <c r="H2718">
        <v>956.41030000000001</v>
      </c>
      <c r="N2718">
        <v>956.41030000000001</v>
      </c>
      <c r="O2718" s="1">
        <v>45168</v>
      </c>
      <c r="P2718">
        <f>IF(ISBLANK(ReconciliationData[[#This Row],[Invoice_ID]]),1,0)</f>
        <v>0</v>
      </c>
      <c r="Q2718">
        <f>IF(AND(NOT(ISBLANK(ReconciliationData[[#This Row],[Billed_Units]])),ReconciliationData[[#This Row],[ordered_units]]&lt;&gt;ReconciliationData[[#This Row],[Billed_Units]]),1,0)</f>
        <v>0</v>
      </c>
      <c r="R27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8">
        <f>IF(AND(NOT(ISBLANK(ReconciliationData[[#This Row],[Contract_Price]])),ReconciliationData[[#This Row],[Billed_Price]]&lt;&gt;ReconciliationData[[#This Row],[Contract_Price]]),1,0)</f>
        <v>0</v>
      </c>
      <c r="T2718">
        <f>IF(AND(NOT(ISBLANK(ReconciliationData[[#This Row],[End_Date]])),ReconciliationData[[#This Row],[Order_Date]]&gt;ReconciliationData[[#This Row],[End_Date]]),1,0)</f>
        <v>0</v>
      </c>
      <c r="U2718">
        <f>IF(AND(NOT(ISBLANK(ReconciliationData[[#This Row],[last_return_date]])),ReconciliationData[[#This Row],[last_return_date]]&gt;ReconciliationData[[#This Row],[Order_Date]]+60),1,0)</f>
        <v>0</v>
      </c>
      <c r="V2718">
        <f>IF(ReconciliationData[[#This Row],[total_returned_units]]&gt;ReconciliationData[[#This Row],[ordered_units]],1,0)</f>
        <v>0</v>
      </c>
      <c r="W27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8">
        <f>ReconciliationData[[#This Row],[Billed_Units]]*ReconciliationData[[#This Row],[Billed_Price]]</f>
        <v>173110.26430000001</v>
      </c>
      <c r="Y2718">
        <f>ReconciliationData[[#This Row],[ordered_units]]*ReconciliationData[[#This Row],[List_Price]]</f>
        <v>173110.26430000001</v>
      </c>
      <c r="Z2718">
        <f>ReconciliationData[[#This Row],[billed_revenue]]-ReconciliationData[[#This Row],[expected_revenue]]</f>
        <v>0</v>
      </c>
      <c r="AA27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8" t="str">
        <f>IF(ReconciliationData[[#This Row],[severity_score]]=0,"LOW",
 IF(ReconciliationData[[#This Row],[severity_score]]&lt;=5,"MEDIUM","HIGH"))</f>
        <v>LOW</v>
      </c>
      <c r="AC2718" t="str">
        <f>TEXT(ReconciliationData[[#This Row],[Order_Date]],"YYYY-MM")</f>
        <v>2024-01</v>
      </c>
    </row>
    <row r="2719" spans="1:29">
      <c r="A2719" t="s">
        <v>6641</v>
      </c>
      <c r="B2719" s="1">
        <v>44951</v>
      </c>
      <c r="C2719" t="s">
        <v>3196</v>
      </c>
      <c r="D2719" t="s">
        <v>883</v>
      </c>
      <c r="E2719">
        <v>197</v>
      </c>
      <c r="F2719" t="s">
        <v>6642</v>
      </c>
      <c r="G2719">
        <v>197</v>
      </c>
      <c r="H2719">
        <v>407.09</v>
      </c>
      <c r="N2719">
        <v>407.09</v>
      </c>
      <c r="O2719" s="1">
        <v>44585</v>
      </c>
      <c r="P2719">
        <f>IF(ISBLANK(ReconciliationData[[#This Row],[Invoice_ID]]),1,0)</f>
        <v>0</v>
      </c>
      <c r="Q2719">
        <f>IF(AND(NOT(ISBLANK(ReconciliationData[[#This Row],[Billed_Units]])),ReconciliationData[[#This Row],[ordered_units]]&lt;&gt;ReconciliationData[[#This Row],[Billed_Units]]),1,0)</f>
        <v>0</v>
      </c>
      <c r="R27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19">
        <f>IF(AND(NOT(ISBLANK(ReconciliationData[[#This Row],[Contract_Price]])),ReconciliationData[[#This Row],[Billed_Price]]&lt;&gt;ReconciliationData[[#This Row],[Contract_Price]]),1,0)</f>
        <v>0</v>
      </c>
      <c r="T2719">
        <f>IF(AND(NOT(ISBLANK(ReconciliationData[[#This Row],[End_Date]])),ReconciliationData[[#This Row],[Order_Date]]&gt;ReconciliationData[[#This Row],[End_Date]]),1,0)</f>
        <v>0</v>
      </c>
      <c r="U2719">
        <f>IF(AND(NOT(ISBLANK(ReconciliationData[[#This Row],[last_return_date]])),ReconciliationData[[#This Row],[last_return_date]]&gt;ReconciliationData[[#This Row],[Order_Date]]+60),1,0)</f>
        <v>0</v>
      </c>
      <c r="V2719">
        <f>IF(ReconciliationData[[#This Row],[total_returned_units]]&gt;ReconciliationData[[#This Row],[ordered_units]],1,0)</f>
        <v>0</v>
      </c>
      <c r="W27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19">
        <f>ReconciliationData[[#This Row],[Billed_Units]]*ReconciliationData[[#This Row],[Billed_Price]]</f>
        <v>80196.73</v>
      </c>
      <c r="Y2719">
        <f>ReconciliationData[[#This Row],[ordered_units]]*ReconciliationData[[#This Row],[List_Price]]</f>
        <v>80196.73</v>
      </c>
      <c r="Z2719">
        <f>ReconciliationData[[#This Row],[billed_revenue]]-ReconciliationData[[#This Row],[expected_revenue]]</f>
        <v>0</v>
      </c>
      <c r="AA27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19" t="str">
        <f>IF(ReconciliationData[[#This Row],[severity_score]]=0,"LOW",
 IF(ReconciliationData[[#This Row],[severity_score]]&lt;=5,"MEDIUM","HIGH"))</f>
        <v>LOW</v>
      </c>
      <c r="AC2719" t="str">
        <f>TEXT(ReconciliationData[[#This Row],[Order_Date]],"YYYY-MM")</f>
        <v>2023-01</v>
      </c>
    </row>
    <row r="2720" spans="1:29">
      <c r="A2720" t="s">
        <v>6643</v>
      </c>
      <c r="B2720" s="1">
        <v>45611</v>
      </c>
      <c r="C2720" t="s">
        <v>3900</v>
      </c>
      <c r="D2720" t="s">
        <v>849</v>
      </c>
      <c r="E2720">
        <v>42</v>
      </c>
      <c r="F2720" t="s">
        <v>6644</v>
      </c>
      <c r="G2720">
        <v>42</v>
      </c>
      <c r="H2720">
        <v>428.46220000000005</v>
      </c>
      <c r="N2720">
        <v>428.46220000000005</v>
      </c>
      <c r="O2720" s="1">
        <v>45102</v>
      </c>
      <c r="P2720">
        <f>IF(ISBLANK(ReconciliationData[[#This Row],[Invoice_ID]]),1,0)</f>
        <v>0</v>
      </c>
      <c r="Q2720">
        <f>IF(AND(NOT(ISBLANK(ReconciliationData[[#This Row],[Billed_Units]])),ReconciliationData[[#This Row],[ordered_units]]&lt;&gt;ReconciliationData[[#This Row],[Billed_Units]]),1,0)</f>
        <v>0</v>
      </c>
      <c r="R27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0">
        <f>IF(AND(NOT(ISBLANK(ReconciliationData[[#This Row],[Contract_Price]])),ReconciliationData[[#This Row],[Billed_Price]]&lt;&gt;ReconciliationData[[#This Row],[Contract_Price]]),1,0)</f>
        <v>0</v>
      </c>
      <c r="T2720">
        <f>IF(AND(NOT(ISBLANK(ReconciliationData[[#This Row],[End_Date]])),ReconciliationData[[#This Row],[Order_Date]]&gt;ReconciliationData[[#This Row],[End_Date]]),1,0)</f>
        <v>0</v>
      </c>
      <c r="U2720">
        <f>IF(AND(NOT(ISBLANK(ReconciliationData[[#This Row],[last_return_date]])),ReconciliationData[[#This Row],[last_return_date]]&gt;ReconciliationData[[#This Row],[Order_Date]]+60),1,0)</f>
        <v>0</v>
      </c>
      <c r="V2720">
        <f>IF(ReconciliationData[[#This Row],[total_returned_units]]&gt;ReconciliationData[[#This Row],[ordered_units]],1,0)</f>
        <v>0</v>
      </c>
      <c r="W27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20">
        <f>ReconciliationData[[#This Row],[Billed_Units]]*ReconciliationData[[#This Row],[Billed_Price]]</f>
        <v>17995.412400000001</v>
      </c>
      <c r="Y2720">
        <f>ReconciliationData[[#This Row],[ordered_units]]*ReconciliationData[[#This Row],[List_Price]]</f>
        <v>17995.412400000001</v>
      </c>
      <c r="Z2720">
        <f>ReconciliationData[[#This Row],[billed_revenue]]-ReconciliationData[[#This Row],[expected_revenue]]</f>
        <v>0</v>
      </c>
      <c r="AA27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20" t="str">
        <f>IF(ReconciliationData[[#This Row],[severity_score]]=0,"LOW",
 IF(ReconciliationData[[#This Row],[severity_score]]&lt;=5,"MEDIUM","HIGH"))</f>
        <v>LOW</v>
      </c>
      <c r="AC2720" t="str">
        <f>TEXT(ReconciliationData[[#This Row],[Order_Date]],"YYYY-MM")</f>
        <v>2024-11</v>
      </c>
    </row>
    <row r="2721" spans="1:29">
      <c r="A2721" t="s">
        <v>6645</v>
      </c>
      <c r="B2721" s="1">
        <v>44983</v>
      </c>
      <c r="C2721" t="s">
        <v>246</v>
      </c>
      <c r="D2721" t="s">
        <v>337</v>
      </c>
      <c r="E2721">
        <v>200</v>
      </c>
      <c r="F2721" t="s">
        <v>6646</v>
      </c>
      <c r="G2721">
        <v>200</v>
      </c>
      <c r="H2721">
        <v>1040.9412</v>
      </c>
      <c r="N2721">
        <v>1040.9412</v>
      </c>
      <c r="O2721" s="1">
        <v>44983</v>
      </c>
      <c r="P2721">
        <f>IF(ISBLANK(ReconciliationData[[#This Row],[Invoice_ID]]),1,0)</f>
        <v>0</v>
      </c>
      <c r="Q2721">
        <f>IF(AND(NOT(ISBLANK(ReconciliationData[[#This Row],[Billed_Units]])),ReconciliationData[[#This Row],[ordered_units]]&lt;&gt;ReconciliationData[[#This Row],[Billed_Units]]),1,0)</f>
        <v>0</v>
      </c>
      <c r="R27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1">
        <f>IF(AND(NOT(ISBLANK(ReconciliationData[[#This Row],[Contract_Price]])),ReconciliationData[[#This Row],[Billed_Price]]&lt;&gt;ReconciliationData[[#This Row],[Contract_Price]]),1,0)</f>
        <v>0</v>
      </c>
      <c r="T2721">
        <f>IF(AND(NOT(ISBLANK(ReconciliationData[[#This Row],[End_Date]])),ReconciliationData[[#This Row],[Order_Date]]&gt;ReconciliationData[[#This Row],[End_Date]]),1,0)</f>
        <v>0</v>
      </c>
      <c r="U2721">
        <f>IF(AND(NOT(ISBLANK(ReconciliationData[[#This Row],[last_return_date]])),ReconciliationData[[#This Row],[last_return_date]]&gt;ReconciliationData[[#This Row],[Order_Date]]+60),1,0)</f>
        <v>0</v>
      </c>
      <c r="V2721">
        <f>IF(ReconciliationData[[#This Row],[total_returned_units]]&gt;ReconciliationData[[#This Row],[ordered_units]],1,0)</f>
        <v>0</v>
      </c>
      <c r="W27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21">
        <f>ReconciliationData[[#This Row],[Billed_Units]]*ReconciliationData[[#This Row],[Billed_Price]]</f>
        <v>208188.24</v>
      </c>
      <c r="Y2721">
        <f>ReconciliationData[[#This Row],[ordered_units]]*ReconciliationData[[#This Row],[List_Price]]</f>
        <v>208188.24</v>
      </c>
      <c r="Z2721">
        <f>ReconciliationData[[#This Row],[billed_revenue]]-ReconciliationData[[#This Row],[expected_revenue]]</f>
        <v>0</v>
      </c>
      <c r="AA27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21" t="str">
        <f>IF(ReconciliationData[[#This Row],[severity_score]]=0,"LOW",
 IF(ReconciliationData[[#This Row],[severity_score]]&lt;=5,"MEDIUM","HIGH"))</f>
        <v>LOW</v>
      </c>
      <c r="AC2721" t="str">
        <f>TEXT(ReconciliationData[[#This Row],[Order_Date]],"YYYY-MM")</f>
        <v>2023-02</v>
      </c>
    </row>
    <row r="2722" spans="1:29">
      <c r="A2722" t="s">
        <v>6647</v>
      </c>
      <c r="B2722" s="1">
        <v>45134</v>
      </c>
      <c r="C2722" t="s">
        <v>673</v>
      </c>
      <c r="D2722" t="s">
        <v>251</v>
      </c>
      <c r="E2722">
        <v>140</v>
      </c>
      <c r="F2722" t="s">
        <v>6648</v>
      </c>
      <c r="G2722">
        <v>140</v>
      </c>
      <c r="H2722">
        <v>957.65700000000015</v>
      </c>
      <c r="N2722">
        <v>957.65700000000015</v>
      </c>
      <c r="O2722" s="1">
        <v>45057</v>
      </c>
      <c r="P2722">
        <f>IF(ISBLANK(ReconciliationData[[#This Row],[Invoice_ID]]),1,0)</f>
        <v>0</v>
      </c>
      <c r="Q2722">
        <f>IF(AND(NOT(ISBLANK(ReconciliationData[[#This Row],[Billed_Units]])),ReconciliationData[[#This Row],[ordered_units]]&lt;&gt;ReconciliationData[[#This Row],[Billed_Units]]),1,0)</f>
        <v>0</v>
      </c>
      <c r="R27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2">
        <f>IF(AND(NOT(ISBLANK(ReconciliationData[[#This Row],[Contract_Price]])),ReconciliationData[[#This Row],[Billed_Price]]&lt;&gt;ReconciliationData[[#This Row],[Contract_Price]]),1,0)</f>
        <v>0</v>
      </c>
      <c r="T2722">
        <f>IF(AND(NOT(ISBLANK(ReconciliationData[[#This Row],[End_Date]])),ReconciliationData[[#This Row],[Order_Date]]&gt;ReconciliationData[[#This Row],[End_Date]]),1,0)</f>
        <v>0</v>
      </c>
      <c r="U2722">
        <f>IF(AND(NOT(ISBLANK(ReconciliationData[[#This Row],[last_return_date]])),ReconciliationData[[#This Row],[last_return_date]]&gt;ReconciliationData[[#This Row],[Order_Date]]+60),1,0)</f>
        <v>0</v>
      </c>
      <c r="V2722">
        <f>IF(ReconciliationData[[#This Row],[total_returned_units]]&gt;ReconciliationData[[#This Row],[ordered_units]],1,0)</f>
        <v>0</v>
      </c>
      <c r="W27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22">
        <f>ReconciliationData[[#This Row],[Billed_Units]]*ReconciliationData[[#This Row],[Billed_Price]]</f>
        <v>134071.98000000001</v>
      </c>
      <c r="Y2722">
        <f>ReconciliationData[[#This Row],[ordered_units]]*ReconciliationData[[#This Row],[List_Price]]</f>
        <v>134071.98000000001</v>
      </c>
      <c r="Z2722">
        <f>ReconciliationData[[#This Row],[billed_revenue]]-ReconciliationData[[#This Row],[expected_revenue]]</f>
        <v>0</v>
      </c>
      <c r="AA27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22" t="str">
        <f>IF(ReconciliationData[[#This Row],[severity_score]]=0,"LOW",
 IF(ReconciliationData[[#This Row],[severity_score]]&lt;=5,"MEDIUM","HIGH"))</f>
        <v>LOW</v>
      </c>
      <c r="AC2722" t="str">
        <f>TEXT(ReconciliationData[[#This Row],[Order_Date]],"YYYY-MM")</f>
        <v>2023-07</v>
      </c>
    </row>
    <row r="2723" spans="1:29">
      <c r="A2723" t="s">
        <v>6649</v>
      </c>
      <c r="B2723" s="1">
        <v>45624</v>
      </c>
      <c r="C2723" t="s">
        <v>1944</v>
      </c>
      <c r="D2723" t="s">
        <v>378</v>
      </c>
      <c r="E2723">
        <v>115</v>
      </c>
      <c r="F2723" t="s">
        <v>6650</v>
      </c>
      <c r="G2723">
        <v>115</v>
      </c>
      <c r="H2723">
        <v>601.32929999999999</v>
      </c>
      <c r="N2723">
        <v>601.32929999999999</v>
      </c>
      <c r="O2723" s="1">
        <v>44962</v>
      </c>
      <c r="P2723">
        <f>IF(ISBLANK(ReconciliationData[[#This Row],[Invoice_ID]]),1,0)</f>
        <v>0</v>
      </c>
      <c r="Q2723">
        <f>IF(AND(NOT(ISBLANK(ReconciliationData[[#This Row],[Billed_Units]])),ReconciliationData[[#This Row],[ordered_units]]&lt;&gt;ReconciliationData[[#This Row],[Billed_Units]]),1,0)</f>
        <v>0</v>
      </c>
      <c r="R27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3">
        <f>IF(AND(NOT(ISBLANK(ReconciliationData[[#This Row],[Contract_Price]])),ReconciliationData[[#This Row],[Billed_Price]]&lt;&gt;ReconciliationData[[#This Row],[Contract_Price]]),1,0)</f>
        <v>0</v>
      </c>
      <c r="T2723">
        <f>IF(AND(NOT(ISBLANK(ReconciliationData[[#This Row],[End_Date]])),ReconciliationData[[#This Row],[Order_Date]]&gt;ReconciliationData[[#This Row],[End_Date]]),1,0)</f>
        <v>0</v>
      </c>
      <c r="U2723">
        <f>IF(AND(NOT(ISBLANK(ReconciliationData[[#This Row],[last_return_date]])),ReconciliationData[[#This Row],[last_return_date]]&gt;ReconciliationData[[#This Row],[Order_Date]]+60),1,0)</f>
        <v>0</v>
      </c>
      <c r="V2723">
        <f>IF(ReconciliationData[[#This Row],[total_returned_units]]&gt;ReconciliationData[[#This Row],[ordered_units]],1,0)</f>
        <v>0</v>
      </c>
      <c r="W27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23">
        <f>ReconciliationData[[#This Row],[Billed_Units]]*ReconciliationData[[#This Row],[Billed_Price]]</f>
        <v>69152.869500000001</v>
      </c>
      <c r="Y2723">
        <f>ReconciliationData[[#This Row],[ordered_units]]*ReconciliationData[[#This Row],[List_Price]]</f>
        <v>69152.869500000001</v>
      </c>
      <c r="Z2723">
        <f>ReconciliationData[[#This Row],[billed_revenue]]-ReconciliationData[[#This Row],[expected_revenue]]</f>
        <v>0</v>
      </c>
      <c r="AA27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23" t="str">
        <f>IF(ReconciliationData[[#This Row],[severity_score]]=0,"LOW",
 IF(ReconciliationData[[#This Row],[severity_score]]&lt;=5,"MEDIUM","HIGH"))</f>
        <v>LOW</v>
      </c>
      <c r="AC2723" t="str">
        <f>TEXT(ReconciliationData[[#This Row],[Order_Date]],"YYYY-MM")</f>
        <v>2024-11</v>
      </c>
    </row>
    <row r="2724" spans="1:29">
      <c r="A2724" t="s">
        <v>6651</v>
      </c>
      <c r="B2724" s="1">
        <v>45274</v>
      </c>
      <c r="C2724" t="s">
        <v>2655</v>
      </c>
      <c r="D2724" t="s">
        <v>500</v>
      </c>
      <c r="E2724">
        <v>163</v>
      </c>
      <c r="F2724" t="s">
        <v>6652</v>
      </c>
      <c r="G2724">
        <v>163</v>
      </c>
      <c r="H2724">
        <v>1086.3648000000001</v>
      </c>
      <c r="I2724">
        <v>26</v>
      </c>
      <c r="J2724" s="1">
        <v>45674</v>
      </c>
      <c r="N2724">
        <v>1086.3648000000001</v>
      </c>
      <c r="O2724" s="1">
        <v>44940</v>
      </c>
      <c r="P2724">
        <f>IF(ISBLANK(ReconciliationData[[#This Row],[Invoice_ID]]),1,0)</f>
        <v>0</v>
      </c>
      <c r="Q2724">
        <f>IF(AND(NOT(ISBLANK(ReconciliationData[[#This Row],[Billed_Units]])),ReconciliationData[[#This Row],[ordered_units]]&lt;&gt;ReconciliationData[[#This Row],[Billed_Units]]),1,0)</f>
        <v>0</v>
      </c>
      <c r="R27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4">
        <f>IF(AND(NOT(ISBLANK(ReconciliationData[[#This Row],[Contract_Price]])),ReconciliationData[[#This Row],[Billed_Price]]&lt;&gt;ReconciliationData[[#This Row],[Contract_Price]]),1,0)</f>
        <v>0</v>
      </c>
      <c r="T2724">
        <f>IF(AND(NOT(ISBLANK(ReconciliationData[[#This Row],[End_Date]])),ReconciliationData[[#This Row],[Order_Date]]&gt;ReconciliationData[[#This Row],[End_Date]]),1,0)</f>
        <v>0</v>
      </c>
      <c r="U2724">
        <f>IF(AND(NOT(ISBLANK(ReconciliationData[[#This Row],[last_return_date]])),ReconciliationData[[#This Row],[last_return_date]]&gt;ReconciliationData[[#This Row],[Order_Date]]+60),1,0)</f>
        <v>1</v>
      </c>
      <c r="V2724">
        <f>IF(ReconciliationData[[#This Row],[total_returned_units]]&gt;ReconciliationData[[#This Row],[ordered_units]],1,0)</f>
        <v>0</v>
      </c>
      <c r="W27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24">
        <f>ReconciliationData[[#This Row],[Billed_Units]]*ReconciliationData[[#This Row],[Billed_Price]]</f>
        <v>177077.46240000002</v>
      </c>
      <c r="Y2724">
        <f>ReconciliationData[[#This Row],[ordered_units]]*ReconciliationData[[#This Row],[List_Price]]</f>
        <v>177077.46240000002</v>
      </c>
      <c r="Z2724">
        <f>ReconciliationData[[#This Row],[billed_revenue]]-ReconciliationData[[#This Row],[expected_revenue]]</f>
        <v>0</v>
      </c>
      <c r="AA27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724" t="str">
        <f>IF(ReconciliationData[[#This Row],[severity_score]]=0,"LOW",
 IF(ReconciliationData[[#This Row],[severity_score]]&lt;=5,"MEDIUM","HIGH"))</f>
        <v>MEDIUM</v>
      </c>
      <c r="AC2724" t="str">
        <f>TEXT(ReconciliationData[[#This Row],[Order_Date]],"YYYY-MM")</f>
        <v>2023-12</v>
      </c>
    </row>
    <row r="2725" spans="1:29">
      <c r="A2725" t="s">
        <v>6653</v>
      </c>
      <c r="B2725" s="1">
        <v>45508</v>
      </c>
      <c r="C2725" t="s">
        <v>1964</v>
      </c>
      <c r="D2725" t="s">
        <v>279</v>
      </c>
      <c r="E2725">
        <v>26</v>
      </c>
      <c r="F2725" t="s">
        <v>6654</v>
      </c>
      <c r="G2725">
        <v>26</v>
      </c>
      <c r="H2725">
        <v>1120.6556</v>
      </c>
      <c r="N2725">
        <v>1120.6556</v>
      </c>
      <c r="O2725" s="1">
        <v>45026</v>
      </c>
      <c r="P2725">
        <f>IF(ISBLANK(ReconciliationData[[#This Row],[Invoice_ID]]),1,0)</f>
        <v>0</v>
      </c>
      <c r="Q2725">
        <f>IF(AND(NOT(ISBLANK(ReconciliationData[[#This Row],[Billed_Units]])),ReconciliationData[[#This Row],[ordered_units]]&lt;&gt;ReconciliationData[[#This Row],[Billed_Units]]),1,0)</f>
        <v>0</v>
      </c>
      <c r="R27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5">
        <f>IF(AND(NOT(ISBLANK(ReconciliationData[[#This Row],[Contract_Price]])),ReconciliationData[[#This Row],[Billed_Price]]&lt;&gt;ReconciliationData[[#This Row],[Contract_Price]]),1,0)</f>
        <v>0</v>
      </c>
      <c r="T2725">
        <f>IF(AND(NOT(ISBLANK(ReconciliationData[[#This Row],[End_Date]])),ReconciliationData[[#This Row],[Order_Date]]&gt;ReconciliationData[[#This Row],[End_Date]]),1,0)</f>
        <v>0</v>
      </c>
      <c r="U2725">
        <f>IF(AND(NOT(ISBLANK(ReconciliationData[[#This Row],[last_return_date]])),ReconciliationData[[#This Row],[last_return_date]]&gt;ReconciliationData[[#This Row],[Order_Date]]+60),1,0)</f>
        <v>0</v>
      </c>
      <c r="V2725">
        <f>IF(ReconciliationData[[#This Row],[total_returned_units]]&gt;ReconciliationData[[#This Row],[ordered_units]],1,0)</f>
        <v>0</v>
      </c>
      <c r="W27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25">
        <f>ReconciliationData[[#This Row],[Billed_Units]]*ReconciliationData[[#This Row],[Billed_Price]]</f>
        <v>29137.045600000001</v>
      </c>
      <c r="Y2725">
        <f>ReconciliationData[[#This Row],[ordered_units]]*ReconciliationData[[#This Row],[List_Price]]</f>
        <v>29137.045600000001</v>
      </c>
      <c r="Z2725">
        <f>ReconciliationData[[#This Row],[billed_revenue]]-ReconciliationData[[#This Row],[expected_revenue]]</f>
        <v>0</v>
      </c>
      <c r="AA27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25" t="str">
        <f>IF(ReconciliationData[[#This Row],[severity_score]]=0,"LOW",
 IF(ReconciliationData[[#This Row],[severity_score]]&lt;=5,"MEDIUM","HIGH"))</f>
        <v>LOW</v>
      </c>
      <c r="AC2725" t="str">
        <f>TEXT(ReconciliationData[[#This Row],[Order_Date]],"YYYY-MM")</f>
        <v>2024-08</v>
      </c>
    </row>
    <row r="2726" spans="1:29">
      <c r="A2726" t="s">
        <v>6655</v>
      </c>
      <c r="B2726" s="1">
        <v>45248</v>
      </c>
      <c r="C2726" t="s">
        <v>6023</v>
      </c>
      <c r="D2726" t="s">
        <v>600</v>
      </c>
      <c r="E2726">
        <v>179</v>
      </c>
      <c r="F2726" t="s">
        <v>6656</v>
      </c>
      <c r="G2726">
        <v>179</v>
      </c>
      <c r="H2726">
        <v>52.185000000000002</v>
      </c>
      <c r="N2726">
        <v>52.185000000000002</v>
      </c>
      <c r="O2726" s="1">
        <v>44998</v>
      </c>
      <c r="P2726">
        <f>IF(ISBLANK(ReconciliationData[[#This Row],[Invoice_ID]]),1,0)</f>
        <v>0</v>
      </c>
      <c r="Q2726">
        <f>IF(AND(NOT(ISBLANK(ReconciliationData[[#This Row],[Billed_Units]])),ReconciliationData[[#This Row],[ordered_units]]&lt;&gt;ReconciliationData[[#This Row],[Billed_Units]]),1,0)</f>
        <v>0</v>
      </c>
      <c r="R27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6">
        <f>IF(AND(NOT(ISBLANK(ReconciliationData[[#This Row],[Contract_Price]])),ReconciliationData[[#This Row],[Billed_Price]]&lt;&gt;ReconciliationData[[#This Row],[Contract_Price]]),1,0)</f>
        <v>0</v>
      </c>
      <c r="T2726">
        <f>IF(AND(NOT(ISBLANK(ReconciliationData[[#This Row],[End_Date]])),ReconciliationData[[#This Row],[Order_Date]]&gt;ReconciliationData[[#This Row],[End_Date]]),1,0)</f>
        <v>0</v>
      </c>
      <c r="U2726">
        <f>IF(AND(NOT(ISBLANK(ReconciliationData[[#This Row],[last_return_date]])),ReconciliationData[[#This Row],[last_return_date]]&gt;ReconciliationData[[#This Row],[Order_Date]]+60),1,0)</f>
        <v>0</v>
      </c>
      <c r="V2726">
        <f>IF(ReconciliationData[[#This Row],[total_returned_units]]&gt;ReconciliationData[[#This Row],[ordered_units]],1,0)</f>
        <v>0</v>
      </c>
      <c r="W27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26">
        <f>ReconciliationData[[#This Row],[Billed_Units]]*ReconciliationData[[#This Row],[Billed_Price]]</f>
        <v>9341.1149999999998</v>
      </c>
      <c r="Y2726">
        <f>ReconciliationData[[#This Row],[ordered_units]]*ReconciliationData[[#This Row],[List_Price]]</f>
        <v>9341.1149999999998</v>
      </c>
      <c r="Z2726">
        <f>ReconciliationData[[#This Row],[billed_revenue]]-ReconciliationData[[#This Row],[expected_revenue]]</f>
        <v>0</v>
      </c>
      <c r="AA27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26" t="str">
        <f>IF(ReconciliationData[[#This Row],[severity_score]]=0,"LOW",
 IF(ReconciliationData[[#This Row],[severity_score]]&lt;=5,"MEDIUM","HIGH"))</f>
        <v>LOW</v>
      </c>
      <c r="AC2726" t="str">
        <f>TEXT(ReconciliationData[[#This Row],[Order_Date]],"YYYY-MM")</f>
        <v>2023-11</v>
      </c>
    </row>
    <row r="2727" spans="1:29">
      <c r="A2727" t="s">
        <v>6657</v>
      </c>
      <c r="B2727" s="1">
        <v>45331</v>
      </c>
      <c r="C2727" t="s">
        <v>2979</v>
      </c>
      <c r="D2727" t="s">
        <v>832</v>
      </c>
      <c r="E2727">
        <v>183</v>
      </c>
      <c r="F2727" t="s">
        <v>6658</v>
      </c>
      <c r="G2727">
        <v>192</v>
      </c>
      <c r="H2727">
        <v>324.52350000000001</v>
      </c>
      <c r="N2727">
        <v>324.52350000000001</v>
      </c>
      <c r="O2727" s="1">
        <v>45100</v>
      </c>
      <c r="P2727">
        <f>IF(ISBLANK(ReconciliationData[[#This Row],[Invoice_ID]]),1,0)</f>
        <v>0</v>
      </c>
      <c r="Q2727">
        <f>IF(AND(NOT(ISBLANK(ReconciliationData[[#This Row],[Billed_Units]])),ReconciliationData[[#This Row],[ordered_units]]&lt;&gt;ReconciliationData[[#This Row],[Billed_Units]]),1,0)</f>
        <v>1</v>
      </c>
      <c r="R27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7">
        <f>IF(AND(NOT(ISBLANK(ReconciliationData[[#This Row],[Contract_Price]])),ReconciliationData[[#This Row],[Billed_Price]]&lt;&gt;ReconciliationData[[#This Row],[Contract_Price]]),1,0)</f>
        <v>0</v>
      </c>
      <c r="T2727">
        <f>IF(AND(NOT(ISBLANK(ReconciliationData[[#This Row],[End_Date]])),ReconciliationData[[#This Row],[Order_Date]]&gt;ReconciliationData[[#This Row],[End_Date]]),1,0)</f>
        <v>0</v>
      </c>
      <c r="U2727">
        <f>IF(AND(NOT(ISBLANK(ReconciliationData[[#This Row],[last_return_date]])),ReconciliationData[[#This Row],[last_return_date]]&gt;ReconciliationData[[#This Row],[Order_Date]]+60),1,0)</f>
        <v>0</v>
      </c>
      <c r="V2727">
        <f>IF(ReconciliationData[[#This Row],[total_returned_units]]&gt;ReconciliationData[[#This Row],[ordered_units]],1,0)</f>
        <v>0</v>
      </c>
      <c r="W27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27">
        <f>ReconciliationData[[#This Row],[Billed_Units]]*ReconciliationData[[#This Row],[Billed_Price]]</f>
        <v>62308.512000000002</v>
      </c>
      <c r="Y2727">
        <f>ReconciliationData[[#This Row],[ordered_units]]*ReconciliationData[[#This Row],[List_Price]]</f>
        <v>59387.800500000005</v>
      </c>
      <c r="Z2727">
        <f>ReconciliationData[[#This Row],[billed_revenue]]-ReconciliationData[[#This Row],[expected_revenue]]</f>
        <v>2920.7114999999976</v>
      </c>
      <c r="AA27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727" t="str">
        <f>IF(ReconciliationData[[#This Row],[severity_score]]=0,"LOW",
 IF(ReconciliationData[[#This Row],[severity_score]]&lt;=5,"MEDIUM","HIGH"))</f>
        <v>HIGH</v>
      </c>
      <c r="AC2727" t="str">
        <f>TEXT(ReconciliationData[[#This Row],[Order_Date]],"YYYY-MM")</f>
        <v>2024-02</v>
      </c>
    </row>
    <row r="2728" spans="1:29">
      <c r="A2728" t="s">
        <v>6659</v>
      </c>
      <c r="B2728" s="1">
        <v>45154</v>
      </c>
      <c r="C2728" t="s">
        <v>348</v>
      </c>
      <c r="D2728" t="s">
        <v>2370</v>
      </c>
      <c r="E2728">
        <v>5</v>
      </c>
      <c r="F2728" t="s">
        <v>6660</v>
      </c>
      <c r="G2728">
        <v>13</v>
      </c>
      <c r="H2728">
        <v>1224.4680000000001</v>
      </c>
      <c r="N2728">
        <v>1224.4680000000001</v>
      </c>
      <c r="O2728" s="1">
        <v>44805</v>
      </c>
      <c r="P2728">
        <f>IF(ISBLANK(ReconciliationData[[#This Row],[Invoice_ID]]),1,0)</f>
        <v>0</v>
      </c>
      <c r="Q2728">
        <f>IF(AND(NOT(ISBLANK(ReconciliationData[[#This Row],[Billed_Units]])),ReconciliationData[[#This Row],[ordered_units]]&lt;&gt;ReconciliationData[[#This Row],[Billed_Units]]),1,0)</f>
        <v>1</v>
      </c>
      <c r="R27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8">
        <f>IF(AND(NOT(ISBLANK(ReconciliationData[[#This Row],[Contract_Price]])),ReconciliationData[[#This Row],[Billed_Price]]&lt;&gt;ReconciliationData[[#This Row],[Contract_Price]]),1,0)</f>
        <v>0</v>
      </c>
      <c r="T2728">
        <f>IF(AND(NOT(ISBLANK(ReconciliationData[[#This Row],[End_Date]])),ReconciliationData[[#This Row],[Order_Date]]&gt;ReconciliationData[[#This Row],[End_Date]]),1,0)</f>
        <v>0</v>
      </c>
      <c r="U2728">
        <f>IF(AND(NOT(ISBLANK(ReconciliationData[[#This Row],[last_return_date]])),ReconciliationData[[#This Row],[last_return_date]]&gt;ReconciliationData[[#This Row],[Order_Date]]+60),1,0)</f>
        <v>0</v>
      </c>
      <c r="V2728">
        <f>IF(ReconciliationData[[#This Row],[total_returned_units]]&gt;ReconciliationData[[#This Row],[ordered_units]],1,0)</f>
        <v>0</v>
      </c>
      <c r="W27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28">
        <f>ReconciliationData[[#This Row],[Billed_Units]]*ReconciliationData[[#This Row],[Billed_Price]]</f>
        <v>15918.084000000001</v>
      </c>
      <c r="Y2728">
        <f>ReconciliationData[[#This Row],[ordered_units]]*ReconciliationData[[#This Row],[List_Price]]</f>
        <v>6122.34</v>
      </c>
      <c r="Z2728">
        <f>ReconciliationData[[#This Row],[billed_revenue]]-ReconciliationData[[#This Row],[expected_revenue]]</f>
        <v>9795.7440000000006</v>
      </c>
      <c r="AA27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728" t="str">
        <f>IF(ReconciliationData[[#This Row],[severity_score]]=0,"LOW",
 IF(ReconciliationData[[#This Row],[severity_score]]&lt;=5,"MEDIUM","HIGH"))</f>
        <v>HIGH</v>
      </c>
      <c r="AC2728" t="str">
        <f>TEXT(ReconciliationData[[#This Row],[Order_Date]],"YYYY-MM")</f>
        <v>2023-08</v>
      </c>
    </row>
    <row r="2729" spans="1:29">
      <c r="A2729" t="s">
        <v>6661</v>
      </c>
      <c r="B2729" s="1">
        <v>44990</v>
      </c>
      <c r="C2729" t="s">
        <v>456</v>
      </c>
      <c r="D2729" t="s">
        <v>1869</v>
      </c>
      <c r="E2729">
        <v>108</v>
      </c>
      <c r="F2729" t="s">
        <v>6662</v>
      </c>
      <c r="G2729">
        <v>108</v>
      </c>
      <c r="H2729">
        <v>77.84</v>
      </c>
      <c r="N2729">
        <v>77.84</v>
      </c>
      <c r="O2729" s="1">
        <v>44579</v>
      </c>
      <c r="P2729">
        <f>IF(ISBLANK(ReconciliationData[[#This Row],[Invoice_ID]]),1,0)</f>
        <v>0</v>
      </c>
      <c r="Q2729">
        <f>IF(AND(NOT(ISBLANK(ReconciliationData[[#This Row],[Billed_Units]])),ReconciliationData[[#This Row],[ordered_units]]&lt;&gt;ReconciliationData[[#This Row],[Billed_Units]]),1,0)</f>
        <v>0</v>
      </c>
      <c r="R27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29">
        <f>IF(AND(NOT(ISBLANK(ReconciliationData[[#This Row],[Contract_Price]])),ReconciliationData[[#This Row],[Billed_Price]]&lt;&gt;ReconciliationData[[#This Row],[Contract_Price]]),1,0)</f>
        <v>0</v>
      </c>
      <c r="T2729">
        <f>IF(AND(NOT(ISBLANK(ReconciliationData[[#This Row],[End_Date]])),ReconciliationData[[#This Row],[Order_Date]]&gt;ReconciliationData[[#This Row],[End_Date]]),1,0)</f>
        <v>0</v>
      </c>
      <c r="U2729">
        <f>IF(AND(NOT(ISBLANK(ReconciliationData[[#This Row],[last_return_date]])),ReconciliationData[[#This Row],[last_return_date]]&gt;ReconciliationData[[#This Row],[Order_Date]]+60),1,0)</f>
        <v>0</v>
      </c>
      <c r="V2729">
        <f>IF(ReconciliationData[[#This Row],[total_returned_units]]&gt;ReconciliationData[[#This Row],[ordered_units]],1,0)</f>
        <v>0</v>
      </c>
      <c r="W27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29">
        <f>ReconciliationData[[#This Row],[Billed_Units]]*ReconciliationData[[#This Row],[Billed_Price]]</f>
        <v>8406.7200000000012</v>
      </c>
      <c r="Y2729">
        <f>ReconciliationData[[#This Row],[ordered_units]]*ReconciliationData[[#This Row],[List_Price]]</f>
        <v>8406.7200000000012</v>
      </c>
      <c r="Z2729">
        <f>ReconciliationData[[#This Row],[billed_revenue]]-ReconciliationData[[#This Row],[expected_revenue]]</f>
        <v>0</v>
      </c>
      <c r="AA27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29" t="str">
        <f>IF(ReconciliationData[[#This Row],[severity_score]]=0,"LOW",
 IF(ReconciliationData[[#This Row],[severity_score]]&lt;=5,"MEDIUM","HIGH"))</f>
        <v>LOW</v>
      </c>
      <c r="AC2729" t="str">
        <f>TEXT(ReconciliationData[[#This Row],[Order_Date]],"YYYY-MM")</f>
        <v>2023-03</v>
      </c>
    </row>
    <row r="2730" spans="1:29">
      <c r="A2730" t="s">
        <v>6663</v>
      </c>
      <c r="B2730" s="1">
        <v>45143</v>
      </c>
      <c r="C2730" t="s">
        <v>5013</v>
      </c>
      <c r="D2730" t="s">
        <v>560</v>
      </c>
      <c r="E2730">
        <v>176</v>
      </c>
      <c r="F2730" t="s">
        <v>6664</v>
      </c>
      <c r="G2730">
        <v>176</v>
      </c>
      <c r="H2730">
        <v>1088.2664000000002</v>
      </c>
      <c r="I2730">
        <v>6</v>
      </c>
      <c r="J2730" s="1">
        <v>45633</v>
      </c>
      <c r="N2730">
        <v>1088.2664000000002</v>
      </c>
      <c r="O2730" s="1">
        <v>44918</v>
      </c>
      <c r="P2730">
        <f>IF(ISBLANK(ReconciliationData[[#This Row],[Invoice_ID]]),1,0)</f>
        <v>0</v>
      </c>
      <c r="Q2730">
        <f>IF(AND(NOT(ISBLANK(ReconciliationData[[#This Row],[Billed_Units]])),ReconciliationData[[#This Row],[ordered_units]]&lt;&gt;ReconciliationData[[#This Row],[Billed_Units]]),1,0)</f>
        <v>0</v>
      </c>
      <c r="R27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0">
        <f>IF(AND(NOT(ISBLANK(ReconciliationData[[#This Row],[Contract_Price]])),ReconciliationData[[#This Row],[Billed_Price]]&lt;&gt;ReconciliationData[[#This Row],[Contract_Price]]),1,0)</f>
        <v>0</v>
      </c>
      <c r="T2730">
        <f>IF(AND(NOT(ISBLANK(ReconciliationData[[#This Row],[End_Date]])),ReconciliationData[[#This Row],[Order_Date]]&gt;ReconciliationData[[#This Row],[End_Date]]),1,0)</f>
        <v>0</v>
      </c>
      <c r="U2730">
        <f>IF(AND(NOT(ISBLANK(ReconciliationData[[#This Row],[last_return_date]])),ReconciliationData[[#This Row],[last_return_date]]&gt;ReconciliationData[[#This Row],[Order_Date]]+60),1,0)</f>
        <v>1</v>
      </c>
      <c r="V2730">
        <f>IF(ReconciliationData[[#This Row],[total_returned_units]]&gt;ReconciliationData[[#This Row],[ordered_units]],1,0)</f>
        <v>0</v>
      </c>
      <c r="W27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30">
        <f>ReconciliationData[[#This Row],[Billed_Units]]*ReconciliationData[[#This Row],[Billed_Price]]</f>
        <v>191534.88640000005</v>
      </c>
      <c r="Y2730">
        <f>ReconciliationData[[#This Row],[ordered_units]]*ReconciliationData[[#This Row],[List_Price]]</f>
        <v>191534.88640000005</v>
      </c>
      <c r="Z2730">
        <f>ReconciliationData[[#This Row],[billed_revenue]]-ReconciliationData[[#This Row],[expected_revenue]]</f>
        <v>0</v>
      </c>
      <c r="AA27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730" t="str">
        <f>IF(ReconciliationData[[#This Row],[severity_score]]=0,"LOW",
 IF(ReconciliationData[[#This Row],[severity_score]]&lt;=5,"MEDIUM","HIGH"))</f>
        <v>MEDIUM</v>
      </c>
      <c r="AC2730" t="str">
        <f>TEXT(ReconciliationData[[#This Row],[Order_Date]],"YYYY-MM")</f>
        <v>2023-08</v>
      </c>
    </row>
    <row r="2731" spans="1:29">
      <c r="A2731" t="s">
        <v>6665</v>
      </c>
      <c r="B2731" s="1">
        <v>45326</v>
      </c>
      <c r="C2731" t="s">
        <v>528</v>
      </c>
      <c r="D2731" t="s">
        <v>600</v>
      </c>
      <c r="E2731">
        <v>198</v>
      </c>
      <c r="F2731" t="s">
        <v>6666</v>
      </c>
      <c r="G2731">
        <v>198</v>
      </c>
      <c r="H2731">
        <v>52.185000000000002</v>
      </c>
      <c r="I2731">
        <v>4</v>
      </c>
      <c r="J2731" s="1">
        <v>45396</v>
      </c>
      <c r="N2731">
        <v>52.185000000000002</v>
      </c>
      <c r="O2731" s="1">
        <v>44998</v>
      </c>
      <c r="P2731">
        <f>IF(ISBLANK(ReconciliationData[[#This Row],[Invoice_ID]]),1,0)</f>
        <v>0</v>
      </c>
      <c r="Q2731">
        <f>IF(AND(NOT(ISBLANK(ReconciliationData[[#This Row],[Billed_Units]])),ReconciliationData[[#This Row],[ordered_units]]&lt;&gt;ReconciliationData[[#This Row],[Billed_Units]]),1,0)</f>
        <v>0</v>
      </c>
      <c r="R27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1">
        <f>IF(AND(NOT(ISBLANK(ReconciliationData[[#This Row],[Contract_Price]])),ReconciliationData[[#This Row],[Billed_Price]]&lt;&gt;ReconciliationData[[#This Row],[Contract_Price]]),1,0)</f>
        <v>0</v>
      </c>
      <c r="T2731">
        <f>IF(AND(NOT(ISBLANK(ReconciliationData[[#This Row],[End_Date]])),ReconciliationData[[#This Row],[Order_Date]]&gt;ReconciliationData[[#This Row],[End_Date]]),1,0)</f>
        <v>0</v>
      </c>
      <c r="U2731">
        <f>IF(AND(NOT(ISBLANK(ReconciliationData[[#This Row],[last_return_date]])),ReconciliationData[[#This Row],[last_return_date]]&gt;ReconciliationData[[#This Row],[Order_Date]]+60),1,0)</f>
        <v>1</v>
      </c>
      <c r="V2731">
        <f>IF(ReconciliationData[[#This Row],[total_returned_units]]&gt;ReconciliationData[[#This Row],[ordered_units]],1,0)</f>
        <v>0</v>
      </c>
      <c r="W27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31">
        <f>ReconciliationData[[#This Row],[Billed_Units]]*ReconciliationData[[#This Row],[Billed_Price]]</f>
        <v>10332.630000000001</v>
      </c>
      <c r="Y2731">
        <f>ReconciliationData[[#This Row],[ordered_units]]*ReconciliationData[[#This Row],[List_Price]]</f>
        <v>10332.630000000001</v>
      </c>
      <c r="Z2731">
        <f>ReconciliationData[[#This Row],[billed_revenue]]-ReconciliationData[[#This Row],[expected_revenue]]</f>
        <v>0</v>
      </c>
      <c r="AA27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731" t="str">
        <f>IF(ReconciliationData[[#This Row],[severity_score]]=0,"LOW",
 IF(ReconciliationData[[#This Row],[severity_score]]&lt;=5,"MEDIUM","HIGH"))</f>
        <v>MEDIUM</v>
      </c>
      <c r="AC2731" t="str">
        <f>TEXT(ReconciliationData[[#This Row],[Order_Date]],"YYYY-MM")</f>
        <v>2024-02</v>
      </c>
    </row>
    <row r="2732" spans="1:29">
      <c r="A2732" t="s">
        <v>6667</v>
      </c>
      <c r="B2732" s="1">
        <v>45132</v>
      </c>
      <c r="C2732" t="s">
        <v>1208</v>
      </c>
      <c r="D2732" t="s">
        <v>1339</v>
      </c>
      <c r="E2732">
        <v>78</v>
      </c>
      <c r="F2732" t="s">
        <v>6668</v>
      </c>
      <c r="G2732">
        <v>78</v>
      </c>
      <c r="H2732">
        <v>614.96820000000002</v>
      </c>
      <c r="N2732">
        <v>614.96820000000002</v>
      </c>
      <c r="O2732" s="1">
        <v>44984</v>
      </c>
      <c r="P2732">
        <f>IF(ISBLANK(ReconciliationData[[#This Row],[Invoice_ID]]),1,0)</f>
        <v>0</v>
      </c>
      <c r="Q2732">
        <f>IF(AND(NOT(ISBLANK(ReconciliationData[[#This Row],[Billed_Units]])),ReconciliationData[[#This Row],[ordered_units]]&lt;&gt;ReconciliationData[[#This Row],[Billed_Units]]),1,0)</f>
        <v>0</v>
      </c>
      <c r="R27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2">
        <f>IF(AND(NOT(ISBLANK(ReconciliationData[[#This Row],[Contract_Price]])),ReconciliationData[[#This Row],[Billed_Price]]&lt;&gt;ReconciliationData[[#This Row],[Contract_Price]]),1,0)</f>
        <v>0</v>
      </c>
      <c r="T2732">
        <f>IF(AND(NOT(ISBLANK(ReconciliationData[[#This Row],[End_Date]])),ReconciliationData[[#This Row],[Order_Date]]&gt;ReconciliationData[[#This Row],[End_Date]]),1,0)</f>
        <v>0</v>
      </c>
      <c r="U2732">
        <f>IF(AND(NOT(ISBLANK(ReconciliationData[[#This Row],[last_return_date]])),ReconciliationData[[#This Row],[last_return_date]]&gt;ReconciliationData[[#This Row],[Order_Date]]+60),1,0)</f>
        <v>0</v>
      </c>
      <c r="V2732">
        <f>IF(ReconciliationData[[#This Row],[total_returned_units]]&gt;ReconciliationData[[#This Row],[ordered_units]],1,0)</f>
        <v>0</v>
      </c>
      <c r="W27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32">
        <f>ReconciliationData[[#This Row],[Billed_Units]]*ReconciliationData[[#This Row],[Billed_Price]]</f>
        <v>47967.5196</v>
      </c>
      <c r="Y2732">
        <f>ReconciliationData[[#This Row],[ordered_units]]*ReconciliationData[[#This Row],[List_Price]]</f>
        <v>47967.5196</v>
      </c>
      <c r="Z2732">
        <f>ReconciliationData[[#This Row],[billed_revenue]]-ReconciliationData[[#This Row],[expected_revenue]]</f>
        <v>0</v>
      </c>
      <c r="AA27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32" t="str">
        <f>IF(ReconciliationData[[#This Row],[severity_score]]=0,"LOW",
 IF(ReconciliationData[[#This Row],[severity_score]]&lt;=5,"MEDIUM","HIGH"))</f>
        <v>LOW</v>
      </c>
      <c r="AC2732" t="str">
        <f>TEXT(ReconciliationData[[#This Row],[Order_Date]],"YYYY-MM")</f>
        <v>2023-07</v>
      </c>
    </row>
    <row r="2733" spans="1:29">
      <c r="A2733" t="s">
        <v>6669</v>
      </c>
      <c r="B2733" s="1">
        <v>45340</v>
      </c>
      <c r="C2733" t="s">
        <v>294</v>
      </c>
      <c r="D2733" t="s">
        <v>537</v>
      </c>
      <c r="E2733">
        <v>24</v>
      </c>
      <c r="F2733" t="s">
        <v>6670</v>
      </c>
      <c r="G2733">
        <v>24</v>
      </c>
      <c r="H2733">
        <v>432.839</v>
      </c>
      <c r="N2733">
        <v>432.839</v>
      </c>
      <c r="O2733" s="1">
        <v>45048</v>
      </c>
      <c r="P2733">
        <f>IF(ISBLANK(ReconciliationData[[#This Row],[Invoice_ID]]),1,0)</f>
        <v>0</v>
      </c>
      <c r="Q2733">
        <f>IF(AND(NOT(ISBLANK(ReconciliationData[[#This Row],[Billed_Units]])),ReconciliationData[[#This Row],[ordered_units]]&lt;&gt;ReconciliationData[[#This Row],[Billed_Units]]),1,0)</f>
        <v>0</v>
      </c>
      <c r="R27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3">
        <f>IF(AND(NOT(ISBLANK(ReconciliationData[[#This Row],[Contract_Price]])),ReconciliationData[[#This Row],[Billed_Price]]&lt;&gt;ReconciliationData[[#This Row],[Contract_Price]]),1,0)</f>
        <v>0</v>
      </c>
      <c r="T2733">
        <f>IF(AND(NOT(ISBLANK(ReconciliationData[[#This Row],[End_Date]])),ReconciliationData[[#This Row],[Order_Date]]&gt;ReconciliationData[[#This Row],[End_Date]]),1,0)</f>
        <v>0</v>
      </c>
      <c r="U2733">
        <f>IF(AND(NOT(ISBLANK(ReconciliationData[[#This Row],[last_return_date]])),ReconciliationData[[#This Row],[last_return_date]]&gt;ReconciliationData[[#This Row],[Order_Date]]+60),1,0)</f>
        <v>0</v>
      </c>
      <c r="V2733">
        <f>IF(ReconciliationData[[#This Row],[total_returned_units]]&gt;ReconciliationData[[#This Row],[ordered_units]],1,0)</f>
        <v>0</v>
      </c>
      <c r="W27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33">
        <f>ReconciliationData[[#This Row],[Billed_Units]]*ReconciliationData[[#This Row],[Billed_Price]]</f>
        <v>10388.136</v>
      </c>
      <c r="Y2733">
        <f>ReconciliationData[[#This Row],[ordered_units]]*ReconciliationData[[#This Row],[List_Price]]</f>
        <v>10388.136</v>
      </c>
      <c r="Z2733">
        <f>ReconciliationData[[#This Row],[billed_revenue]]-ReconciliationData[[#This Row],[expected_revenue]]</f>
        <v>0</v>
      </c>
      <c r="AA27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33" t="str">
        <f>IF(ReconciliationData[[#This Row],[severity_score]]=0,"LOW",
 IF(ReconciliationData[[#This Row],[severity_score]]&lt;=5,"MEDIUM","HIGH"))</f>
        <v>LOW</v>
      </c>
      <c r="AC2733" t="str">
        <f>TEXT(ReconciliationData[[#This Row],[Order_Date]],"YYYY-MM")</f>
        <v>2024-02</v>
      </c>
    </row>
    <row r="2734" spans="1:29">
      <c r="A2734" t="s">
        <v>6671</v>
      </c>
      <c r="B2734" s="1">
        <v>45563</v>
      </c>
      <c r="C2734" t="s">
        <v>844</v>
      </c>
      <c r="D2734" t="s">
        <v>1735</v>
      </c>
      <c r="E2734">
        <v>85</v>
      </c>
      <c r="F2734" t="s">
        <v>6672</v>
      </c>
      <c r="G2734">
        <v>85</v>
      </c>
      <c r="H2734">
        <v>191.1936</v>
      </c>
      <c r="N2734">
        <v>191.1936</v>
      </c>
      <c r="O2734" s="1">
        <v>45026</v>
      </c>
      <c r="P2734">
        <f>IF(ISBLANK(ReconciliationData[[#This Row],[Invoice_ID]]),1,0)</f>
        <v>0</v>
      </c>
      <c r="Q2734">
        <f>IF(AND(NOT(ISBLANK(ReconciliationData[[#This Row],[Billed_Units]])),ReconciliationData[[#This Row],[ordered_units]]&lt;&gt;ReconciliationData[[#This Row],[Billed_Units]]),1,0)</f>
        <v>0</v>
      </c>
      <c r="R27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4">
        <f>IF(AND(NOT(ISBLANK(ReconciliationData[[#This Row],[Contract_Price]])),ReconciliationData[[#This Row],[Billed_Price]]&lt;&gt;ReconciliationData[[#This Row],[Contract_Price]]),1,0)</f>
        <v>0</v>
      </c>
      <c r="T2734">
        <f>IF(AND(NOT(ISBLANK(ReconciliationData[[#This Row],[End_Date]])),ReconciliationData[[#This Row],[Order_Date]]&gt;ReconciliationData[[#This Row],[End_Date]]),1,0)</f>
        <v>0</v>
      </c>
      <c r="U2734">
        <f>IF(AND(NOT(ISBLANK(ReconciliationData[[#This Row],[last_return_date]])),ReconciliationData[[#This Row],[last_return_date]]&gt;ReconciliationData[[#This Row],[Order_Date]]+60),1,0)</f>
        <v>0</v>
      </c>
      <c r="V2734">
        <f>IF(ReconciliationData[[#This Row],[total_returned_units]]&gt;ReconciliationData[[#This Row],[ordered_units]],1,0)</f>
        <v>0</v>
      </c>
      <c r="W27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34">
        <f>ReconciliationData[[#This Row],[Billed_Units]]*ReconciliationData[[#This Row],[Billed_Price]]</f>
        <v>16251.456</v>
      </c>
      <c r="Y2734">
        <f>ReconciliationData[[#This Row],[ordered_units]]*ReconciliationData[[#This Row],[List_Price]]</f>
        <v>16251.456</v>
      </c>
      <c r="Z2734">
        <f>ReconciliationData[[#This Row],[billed_revenue]]-ReconciliationData[[#This Row],[expected_revenue]]</f>
        <v>0</v>
      </c>
      <c r="AA27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34" t="str">
        <f>IF(ReconciliationData[[#This Row],[severity_score]]=0,"LOW",
 IF(ReconciliationData[[#This Row],[severity_score]]&lt;=5,"MEDIUM","HIGH"))</f>
        <v>LOW</v>
      </c>
      <c r="AC2734" t="str">
        <f>TEXT(ReconciliationData[[#This Row],[Order_Date]],"YYYY-MM")</f>
        <v>2024-09</v>
      </c>
    </row>
    <row r="2735" spans="1:29">
      <c r="A2735" t="s">
        <v>6673</v>
      </c>
      <c r="B2735" s="1">
        <v>45351</v>
      </c>
      <c r="C2735" t="s">
        <v>6674</v>
      </c>
      <c r="D2735" t="s">
        <v>2682</v>
      </c>
      <c r="E2735">
        <v>160</v>
      </c>
      <c r="F2735" t="s">
        <v>6675</v>
      </c>
      <c r="G2735">
        <v>160</v>
      </c>
      <c r="H2735">
        <v>1032.7408</v>
      </c>
      <c r="N2735">
        <v>1032.7408</v>
      </c>
      <c r="O2735" s="1">
        <v>45077</v>
      </c>
      <c r="P2735">
        <f>IF(ISBLANK(ReconciliationData[[#This Row],[Invoice_ID]]),1,0)</f>
        <v>0</v>
      </c>
      <c r="Q2735">
        <f>IF(AND(NOT(ISBLANK(ReconciliationData[[#This Row],[Billed_Units]])),ReconciliationData[[#This Row],[ordered_units]]&lt;&gt;ReconciliationData[[#This Row],[Billed_Units]]),1,0)</f>
        <v>0</v>
      </c>
      <c r="R27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5">
        <f>IF(AND(NOT(ISBLANK(ReconciliationData[[#This Row],[Contract_Price]])),ReconciliationData[[#This Row],[Billed_Price]]&lt;&gt;ReconciliationData[[#This Row],[Contract_Price]]),1,0)</f>
        <v>0</v>
      </c>
      <c r="T2735">
        <f>IF(AND(NOT(ISBLANK(ReconciliationData[[#This Row],[End_Date]])),ReconciliationData[[#This Row],[Order_Date]]&gt;ReconciliationData[[#This Row],[End_Date]]),1,0)</f>
        <v>0</v>
      </c>
      <c r="U2735">
        <f>IF(AND(NOT(ISBLANK(ReconciliationData[[#This Row],[last_return_date]])),ReconciliationData[[#This Row],[last_return_date]]&gt;ReconciliationData[[#This Row],[Order_Date]]+60),1,0)</f>
        <v>0</v>
      </c>
      <c r="V2735">
        <f>IF(ReconciliationData[[#This Row],[total_returned_units]]&gt;ReconciliationData[[#This Row],[ordered_units]],1,0)</f>
        <v>0</v>
      </c>
      <c r="W27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35">
        <f>ReconciliationData[[#This Row],[Billed_Units]]*ReconciliationData[[#This Row],[Billed_Price]]</f>
        <v>165238.52799999999</v>
      </c>
      <c r="Y2735">
        <f>ReconciliationData[[#This Row],[ordered_units]]*ReconciliationData[[#This Row],[List_Price]]</f>
        <v>165238.52799999999</v>
      </c>
      <c r="Z2735">
        <f>ReconciliationData[[#This Row],[billed_revenue]]-ReconciliationData[[#This Row],[expected_revenue]]</f>
        <v>0</v>
      </c>
      <c r="AA27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35" t="str">
        <f>IF(ReconciliationData[[#This Row],[severity_score]]=0,"LOW",
 IF(ReconciliationData[[#This Row],[severity_score]]&lt;=5,"MEDIUM","HIGH"))</f>
        <v>LOW</v>
      </c>
      <c r="AC2735" t="str">
        <f>TEXT(ReconciliationData[[#This Row],[Order_Date]],"YYYY-MM")</f>
        <v>2024-02</v>
      </c>
    </row>
    <row r="2736" spans="1:29">
      <c r="A2736" t="s">
        <v>6676</v>
      </c>
      <c r="B2736" s="1">
        <v>45205</v>
      </c>
      <c r="C2736" t="s">
        <v>623</v>
      </c>
      <c r="D2736" t="s">
        <v>3624</v>
      </c>
      <c r="E2736">
        <v>136</v>
      </c>
      <c r="F2736" t="s">
        <v>6677</v>
      </c>
      <c r="G2736">
        <v>136</v>
      </c>
      <c r="H2736">
        <v>765.65520000000015</v>
      </c>
      <c r="N2736">
        <v>765.65520000000015</v>
      </c>
      <c r="O2736" s="1">
        <v>45077</v>
      </c>
      <c r="P2736">
        <f>IF(ISBLANK(ReconciliationData[[#This Row],[Invoice_ID]]),1,0)</f>
        <v>0</v>
      </c>
      <c r="Q2736">
        <f>IF(AND(NOT(ISBLANK(ReconciliationData[[#This Row],[Billed_Units]])),ReconciliationData[[#This Row],[ordered_units]]&lt;&gt;ReconciliationData[[#This Row],[Billed_Units]]),1,0)</f>
        <v>0</v>
      </c>
      <c r="R27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6">
        <f>IF(AND(NOT(ISBLANK(ReconciliationData[[#This Row],[Contract_Price]])),ReconciliationData[[#This Row],[Billed_Price]]&lt;&gt;ReconciliationData[[#This Row],[Contract_Price]]),1,0)</f>
        <v>0</v>
      </c>
      <c r="T2736">
        <f>IF(AND(NOT(ISBLANK(ReconciliationData[[#This Row],[End_Date]])),ReconciliationData[[#This Row],[Order_Date]]&gt;ReconciliationData[[#This Row],[End_Date]]),1,0)</f>
        <v>0</v>
      </c>
      <c r="U2736">
        <f>IF(AND(NOT(ISBLANK(ReconciliationData[[#This Row],[last_return_date]])),ReconciliationData[[#This Row],[last_return_date]]&gt;ReconciliationData[[#This Row],[Order_Date]]+60),1,0)</f>
        <v>0</v>
      </c>
      <c r="V2736">
        <f>IF(ReconciliationData[[#This Row],[total_returned_units]]&gt;ReconciliationData[[#This Row],[ordered_units]],1,0)</f>
        <v>0</v>
      </c>
      <c r="W27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36">
        <f>ReconciliationData[[#This Row],[Billed_Units]]*ReconciliationData[[#This Row],[Billed_Price]]</f>
        <v>104129.10720000003</v>
      </c>
      <c r="Y2736">
        <f>ReconciliationData[[#This Row],[ordered_units]]*ReconciliationData[[#This Row],[List_Price]]</f>
        <v>104129.10720000003</v>
      </c>
      <c r="Z2736">
        <f>ReconciliationData[[#This Row],[billed_revenue]]-ReconciliationData[[#This Row],[expected_revenue]]</f>
        <v>0</v>
      </c>
      <c r="AA27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36" t="str">
        <f>IF(ReconciliationData[[#This Row],[severity_score]]=0,"LOW",
 IF(ReconciliationData[[#This Row],[severity_score]]&lt;=5,"MEDIUM","HIGH"))</f>
        <v>LOW</v>
      </c>
      <c r="AC2736" t="str">
        <f>TEXT(ReconciliationData[[#This Row],[Order_Date]],"YYYY-MM")</f>
        <v>2023-10</v>
      </c>
    </row>
    <row r="2737" spans="1:29">
      <c r="A2737" t="s">
        <v>6678</v>
      </c>
      <c r="B2737" s="1">
        <v>44987</v>
      </c>
      <c r="C2737" t="s">
        <v>547</v>
      </c>
      <c r="D2737" t="s">
        <v>1245</v>
      </c>
      <c r="E2737">
        <v>127</v>
      </c>
      <c r="F2737" t="s">
        <v>6679</v>
      </c>
      <c r="G2737">
        <v>127</v>
      </c>
      <c r="H2737">
        <v>255.06540000000001</v>
      </c>
      <c r="N2737">
        <v>255.06540000000001</v>
      </c>
      <c r="O2737" s="1">
        <v>44978</v>
      </c>
      <c r="P2737">
        <f>IF(ISBLANK(ReconciliationData[[#This Row],[Invoice_ID]]),1,0)</f>
        <v>0</v>
      </c>
      <c r="Q2737">
        <f>IF(AND(NOT(ISBLANK(ReconciliationData[[#This Row],[Billed_Units]])),ReconciliationData[[#This Row],[ordered_units]]&lt;&gt;ReconciliationData[[#This Row],[Billed_Units]]),1,0)</f>
        <v>0</v>
      </c>
      <c r="R27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7">
        <f>IF(AND(NOT(ISBLANK(ReconciliationData[[#This Row],[Contract_Price]])),ReconciliationData[[#This Row],[Billed_Price]]&lt;&gt;ReconciliationData[[#This Row],[Contract_Price]]),1,0)</f>
        <v>0</v>
      </c>
      <c r="T2737">
        <f>IF(AND(NOT(ISBLANK(ReconciliationData[[#This Row],[End_Date]])),ReconciliationData[[#This Row],[Order_Date]]&gt;ReconciliationData[[#This Row],[End_Date]]),1,0)</f>
        <v>0</v>
      </c>
      <c r="U2737">
        <f>IF(AND(NOT(ISBLANK(ReconciliationData[[#This Row],[last_return_date]])),ReconciliationData[[#This Row],[last_return_date]]&gt;ReconciliationData[[#This Row],[Order_Date]]+60),1,0)</f>
        <v>0</v>
      </c>
      <c r="V2737">
        <f>IF(ReconciliationData[[#This Row],[total_returned_units]]&gt;ReconciliationData[[#This Row],[ordered_units]],1,0)</f>
        <v>0</v>
      </c>
      <c r="W27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37">
        <f>ReconciliationData[[#This Row],[Billed_Units]]*ReconciliationData[[#This Row],[Billed_Price]]</f>
        <v>32393.305800000002</v>
      </c>
      <c r="Y2737">
        <f>ReconciliationData[[#This Row],[ordered_units]]*ReconciliationData[[#This Row],[List_Price]]</f>
        <v>32393.305800000002</v>
      </c>
      <c r="Z2737">
        <f>ReconciliationData[[#This Row],[billed_revenue]]-ReconciliationData[[#This Row],[expected_revenue]]</f>
        <v>0</v>
      </c>
      <c r="AA27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37" t="str">
        <f>IF(ReconciliationData[[#This Row],[severity_score]]=0,"LOW",
 IF(ReconciliationData[[#This Row],[severity_score]]&lt;=5,"MEDIUM","HIGH"))</f>
        <v>LOW</v>
      </c>
      <c r="AC2737" t="str">
        <f>TEXT(ReconciliationData[[#This Row],[Order_Date]],"YYYY-MM")</f>
        <v>2023-03</v>
      </c>
    </row>
    <row r="2738" spans="1:29">
      <c r="A2738" t="s">
        <v>6680</v>
      </c>
      <c r="B2738" s="1">
        <v>45222</v>
      </c>
      <c r="C2738" t="s">
        <v>2394</v>
      </c>
      <c r="D2738" t="s">
        <v>596</v>
      </c>
      <c r="E2738">
        <v>119</v>
      </c>
      <c r="F2738" t="s">
        <v>6681</v>
      </c>
      <c r="G2738">
        <v>119</v>
      </c>
      <c r="H2738">
        <v>652.1472</v>
      </c>
      <c r="N2738">
        <v>652.1472</v>
      </c>
      <c r="O2738" s="1">
        <v>44959</v>
      </c>
      <c r="P2738">
        <f>IF(ISBLANK(ReconciliationData[[#This Row],[Invoice_ID]]),1,0)</f>
        <v>0</v>
      </c>
      <c r="Q2738">
        <f>IF(AND(NOT(ISBLANK(ReconciliationData[[#This Row],[Billed_Units]])),ReconciliationData[[#This Row],[ordered_units]]&lt;&gt;ReconciliationData[[#This Row],[Billed_Units]]),1,0)</f>
        <v>0</v>
      </c>
      <c r="R27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8">
        <f>IF(AND(NOT(ISBLANK(ReconciliationData[[#This Row],[Contract_Price]])),ReconciliationData[[#This Row],[Billed_Price]]&lt;&gt;ReconciliationData[[#This Row],[Contract_Price]]),1,0)</f>
        <v>0</v>
      </c>
      <c r="T2738">
        <f>IF(AND(NOT(ISBLANK(ReconciliationData[[#This Row],[End_Date]])),ReconciliationData[[#This Row],[Order_Date]]&gt;ReconciliationData[[#This Row],[End_Date]]),1,0)</f>
        <v>0</v>
      </c>
      <c r="U2738">
        <f>IF(AND(NOT(ISBLANK(ReconciliationData[[#This Row],[last_return_date]])),ReconciliationData[[#This Row],[last_return_date]]&gt;ReconciliationData[[#This Row],[Order_Date]]+60),1,0)</f>
        <v>0</v>
      </c>
      <c r="V2738">
        <f>IF(ReconciliationData[[#This Row],[total_returned_units]]&gt;ReconciliationData[[#This Row],[ordered_units]],1,0)</f>
        <v>0</v>
      </c>
      <c r="W27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38">
        <f>ReconciliationData[[#This Row],[Billed_Units]]*ReconciliationData[[#This Row],[Billed_Price]]</f>
        <v>77605.516799999998</v>
      </c>
      <c r="Y2738">
        <f>ReconciliationData[[#This Row],[ordered_units]]*ReconciliationData[[#This Row],[List_Price]]</f>
        <v>77605.516799999998</v>
      </c>
      <c r="Z2738">
        <f>ReconciliationData[[#This Row],[billed_revenue]]-ReconciliationData[[#This Row],[expected_revenue]]</f>
        <v>0</v>
      </c>
      <c r="AA27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38" t="str">
        <f>IF(ReconciliationData[[#This Row],[severity_score]]=0,"LOW",
 IF(ReconciliationData[[#This Row],[severity_score]]&lt;=5,"MEDIUM","HIGH"))</f>
        <v>LOW</v>
      </c>
      <c r="AC2738" t="str">
        <f>TEXT(ReconciliationData[[#This Row],[Order_Date]],"YYYY-MM")</f>
        <v>2023-10</v>
      </c>
    </row>
    <row r="2739" spans="1:29">
      <c r="A2739" t="s">
        <v>6682</v>
      </c>
      <c r="B2739" s="1">
        <v>45457</v>
      </c>
      <c r="C2739" t="s">
        <v>3949</v>
      </c>
      <c r="D2739" t="s">
        <v>825</v>
      </c>
      <c r="E2739">
        <v>118</v>
      </c>
      <c r="F2739" t="s">
        <v>6683</v>
      </c>
      <c r="G2739">
        <v>118</v>
      </c>
      <c r="H2739">
        <v>752.48910000000001</v>
      </c>
      <c r="N2739">
        <v>752.48910000000001</v>
      </c>
      <c r="O2739" s="1">
        <v>44953</v>
      </c>
      <c r="P2739">
        <f>IF(ISBLANK(ReconciliationData[[#This Row],[Invoice_ID]]),1,0)</f>
        <v>0</v>
      </c>
      <c r="Q2739">
        <f>IF(AND(NOT(ISBLANK(ReconciliationData[[#This Row],[Billed_Units]])),ReconciliationData[[#This Row],[ordered_units]]&lt;&gt;ReconciliationData[[#This Row],[Billed_Units]]),1,0)</f>
        <v>0</v>
      </c>
      <c r="R27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39">
        <f>IF(AND(NOT(ISBLANK(ReconciliationData[[#This Row],[Contract_Price]])),ReconciliationData[[#This Row],[Billed_Price]]&lt;&gt;ReconciliationData[[#This Row],[Contract_Price]]),1,0)</f>
        <v>0</v>
      </c>
      <c r="T2739">
        <f>IF(AND(NOT(ISBLANK(ReconciliationData[[#This Row],[End_Date]])),ReconciliationData[[#This Row],[Order_Date]]&gt;ReconciliationData[[#This Row],[End_Date]]),1,0)</f>
        <v>0</v>
      </c>
      <c r="U2739">
        <f>IF(AND(NOT(ISBLANK(ReconciliationData[[#This Row],[last_return_date]])),ReconciliationData[[#This Row],[last_return_date]]&gt;ReconciliationData[[#This Row],[Order_Date]]+60),1,0)</f>
        <v>0</v>
      </c>
      <c r="V2739">
        <f>IF(ReconciliationData[[#This Row],[total_returned_units]]&gt;ReconciliationData[[#This Row],[ordered_units]],1,0)</f>
        <v>0</v>
      </c>
      <c r="W27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39">
        <f>ReconciliationData[[#This Row],[Billed_Units]]*ReconciliationData[[#This Row],[Billed_Price]]</f>
        <v>88793.713799999998</v>
      </c>
      <c r="Y2739">
        <f>ReconciliationData[[#This Row],[ordered_units]]*ReconciliationData[[#This Row],[List_Price]]</f>
        <v>88793.713799999998</v>
      </c>
      <c r="Z2739">
        <f>ReconciliationData[[#This Row],[billed_revenue]]-ReconciliationData[[#This Row],[expected_revenue]]</f>
        <v>0</v>
      </c>
      <c r="AA27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39" t="str">
        <f>IF(ReconciliationData[[#This Row],[severity_score]]=0,"LOW",
 IF(ReconciliationData[[#This Row],[severity_score]]&lt;=5,"MEDIUM","HIGH"))</f>
        <v>LOW</v>
      </c>
      <c r="AC2739" t="str">
        <f>TEXT(ReconciliationData[[#This Row],[Order_Date]],"YYYY-MM")</f>
        <v>2024-06</v>
      </c>
    </row>
    <row r="2740" spans="1:29">
      <c r="A2740" t="s">
        <v>6684</v>
      </c>
      <c r="B2740" s="1">
        <v>45463</v>
      </c>
      <c r="C2740" t="s">
        <v>5464</v>
      </c>
      <c r="D2740" t="s">
        <v>1285</v>
      </c>
      <c r="E2740">
        <v>50</v>
      </c>
      <c r="F2740" t="s">
        <v>6685</v>
      </c>
      <c r="G2740">
        <v>50</v>
      </c>
      <c r="H2740">
        <v>415.8877</v>
      </c>
      <c r="N2740">
        <v>415.8877</v>
      </c>
      <c r="O2740" s="1">
        <v>45146</v>
      </c>
      <c r="P2740">
        <f>IF(ISBLANK(ReconciliationData[[#This Row],[Invoice_ID]]),1,0)</f>
        <v>0</v>
      </c>
      <c r="Q2740">
        <f>IF(AND(NOT(ISBLANK(ReconciliationData[[#This Row],[Billed_Units]])),ReconciliationData[[#This Row],[ordered_units]]&lt;&gt;ReconciliationData[[#This Row],[Billed_Units]]),1,0)</f>
        <v>0</v>
      </c>
      <c r="R27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0">
        <f>IF(AND(NOT(ISBLANK(ReconciliationData[[#This Row],[Contract_Price]])),ReconciliationData[[#This Row],[Billed_Price]]&lt;&gt;ReconciliationData[[#This Row],[Contract_Price]]),1,0)</f>
        <v>0</v>
      </c>
      <c r="T2740">
        <f>IF(AND(NOT(ISBLANK(ReconciliationData[[#This Row],[End_Date]])),ReconciliationData[[#This Row],[Order_Date]]&gt;ReconciliationData[[#This Row],[End_Date]]),1,0)</f>
        <v>0</v>
      </c>
      <c r="U2740">
        <f>IF(AND(NOT(ISBLANK(ReconciliationData[[#This Row],[last_return_date]])),ReconciliationData[[#This Row],[last_return_date]]&gt;ReconciliationData[[#This Row],[Order_Date]]+60),1,0)</f>
        <v>0</v>
      </c>
      <c r="V2740">
        <f>IF(ReconciliationData[[#This Row],[total_returned_units]]&gt;ReconciliationData[[#This Row],[ordered_units]],1,0)</f>
        <v>0</v>
      </c>
      <c r="W27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40">
        <f>ReconciliationData[[#This Row],[Billed_Units]]*ReconciliationData[[#This Row],[Billed_Price]]</f>
        <v>20794.384999999998</v>
      </c>
      <c r="Y2740">
        <f>ReconciliationData[[#This Row],[ordered_units]]*ReconciliationData[[#This Row],[List_Price]]</f>
        <v>20794.384999999998</v>
      </c>
      <c r="Z2740">
        <f>ReconciliationData[[#This Row],[billed_revenue]]-ReconciliationData[[#This Row],[expected_revenue]]</f>
        <v>0</v>
      </c>
      <c r="AA27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40" t="str">
        <f>IF(ReconciliationData[[#This Row],[severity_score]]=0,"LOW",
 IF(ReconciliationData[[#This Row],[severity_score]]&lt;=5,"MEDIUM","HIGH"))</f>
        <v>LOW</v>
      </c>
      <c r="AC2740" t="str">
        <f>TEXT(ReconciliationData[[#This Row],[Order_Date]],"YYYY-MM")</f>
        <v>2024-06</v>
      </c>
    </row>
    <row r="2741" spans="1:29">
      <c r="A2741" t="s">
        <v>6686</v>
      </c>
      <c r="B2741" s="1">
        <v>45160</v>
      </c>
      <c r="C2741" t="s">
        <v>2401</v>
      </c>
      <c r="D2741" t="s">
        <v>317</v>
      </c>
      <c r="E2741">
        <v>54</v>
      </c>
      <c r="F2741" t="s">
        <v>6687</v>
      </c>
      <c r="G2741">
        <v>54</v>
      </c>
      <c r="H2741">
        <v>1119.3012000000001</v>
      </c>
      <c r="N2741">
        <v>1119.3012000000001</v>
      </c>
      <c r="O2741" s="1">
        <v>45091</v>
      </c>
      <c r="P2741">
        <f>IF(ISBLANK(ReconciliationData[[#This Row],[Invoice_ID]]),1,0)</f>
        <v>0</v>
      </c>
      <c r="Q2741">
        <f>IF(AND(NOT(ISBLANK(ReconciliationData[[#This Row],[Billed_Units]])),ReconciliationData[[#This Row],[ordered_units]]&lt;&gt;ReconciliationData[[#This Row],[Billed_Units]]),1,0)</f>
        <v>0</v>
      </c>
      <c r="R27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1">
        <f>IF(AND(NOT(ISBLANK(ReconciliationData[[#This Row],[Contract_Price]])),ReconciliationData[[#This Row],[Billed_Price]]&lt;&gt;ReconciliationData[[#This Row],[Contract_Price]]),1,0)</f>
        <v>0</v>
      </c>
      <c r="T2741">
        <f>IF(AND(NOT(ISBLANK(ReconciliationData[[#This Row],[End_Date]])),ReconciliationData[[#This Row],[Order_Date]]&gt;ReconciliationData[[#This Row],[End_Date]]),1,0)</f>
        <v>0</v>
      </c>
      <c r="U2741">
        <f>IF(AND(NOT(ISBLANK(ReconciliationData[[#This Row],[last_return_date]])),ReconciliationData[[#This Row],[last_return_date]]&gt;ReconciliationData[[#This Row],[Order_Date]]+60),1,0)</f>
        <v>0</v>
      </c>
      <c r="V2741">
        <f>IF(ReconciliationData[[#This Row],[total_returned_units]]&gt;ReconciliationData[[#This Row],[ordered_units]],1,0)</f>
        <v>0</v>
      </c>
      <c r="W27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41">
        <f>ReconciliationData[[#This Row],[Billed_Units]]*ReconciliationData[[#This Row],[Billed_Price]]</f>
        <v>60442.264800000004</v>
      </c>
      <c r="Y2741">
        <f>ReconciliationData[[#This Row],[ordered_units]]*ReconciliationData[[#This Row],[List_Price]]</f>
        <v>60442.264800000004</v>
      </c>
      <c r="Z2741">
        <f>ReconciliationData[[#This Row],[billed_revenue]]-ReconciliationData[[#This Row],[expected_revenue]]</f>
        <v>0</v>
      </c>
      <c r="AA27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41" t="str">
        <f>IF(ReconciliationData[[#This Row],[severity_score]]=0,"LOW",
 IF(ReconciliationData[[#This Row],[severity_score]]&lt;=5,"MEDIUM","HIGH"))</f>
        <v>LOW</v>
      </c>
      <c r="AC2741" t="str">
        <f>TEXT(ReconciliationData[[#This Row],[Order_Date]],"YYYY-MM")</f>
        <v>2023-08</v>
      </c>
    </row>
    <row r="2742" spans="1:29">
      <c r="A2742" t="s">
        <v>6688</v>
      </c>
      <c r="B2742" s="1">
        <v>45169</v>
      </c>
      <c r="C2742" t="s">
        <v>1145</v>
      </c>
      <c r="D2742" t="s">
        <v>146</v>
      </c>
      <c r="E2742">
        <v>104</v>
      </c>
      <c r="F2742" t="s">
        <v>6689</v>
      </c>
      <c r="G2742">
        <v>104</v>
      </c>
      <c r="H2742">
        <v>849.43949999999995</v>
      </c>
      <c r="N2742">
        <v>849.43949999999995</v>
      </c>
      <c r="O2742" s="1">
        <v>45114</v>
      </c>
      <c r="P2742">
        <f>IF(ISBLANK(ReconciliationData[[#This Row],[Invoice_ID]]),1,0)</f>
        <v>0</v>
      </c>
      <c r="Q2742">
        <f>IF(AND(NOT(ISBLANK(ReconciliationData[[#This Row],[Billed_Units]])),ReconciliationData[[#This Row],[ordered_units]]&lt;&gt;ReconciliationData[[#This Row],[Billed_Units]]),1,0)</f>
        <v>0</v>
      </c>
      <c r="R27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2">
        <f>IF(AND(NOT(ISBLANK(ReconciliationData[[#This Row],[Contract_Price]])),ReconciliationData[[#This Row],[Billed_Price]]&lt;&gt;ReconciliationData[[#This Row],[Contract_Price]]),1,0)</f>
        <v>0</v>
      </c>
      <c r="T2742">
        <f>IF(AND(NOT(ISBLANK(ReconciliationData[[#This Row],[End_Date]])),ReconciliationData[[#This Row],[Order_Date]]&gt;ReconciliationData[[#This Row],[End_Date]]),1,0)</f>
        <v>0</v>
      </c>
      <c r="U2742">
        <f>IF(AND(NOT(ISBLANK(ReconciliationData[[#This Row],[last_return_date]])),ReconciliationData[[#This Row],[last_return_date]]&gt;ReconciliationData[[#This Row],[Order_Date]]+60),1,0)</f>
        <v>0</v>
      </c>
      <c r="V2742">
        <f>IF(ReconciliationData[[#This Row],[total_returned_units]]&gt;ReconciliationData[[#This Row],[ordered_units]],1,0)</f>
        <v>0</v>
      </c>
      <c r="W27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42">
        <f>ReconciliationData[[#This Row],[Billed_Units]]*ReconciliationData[[#This Row],[Billed_Price]]</f>
        <v>88341.707999999999</v>
      </c>
      <c r="Y2742">
        <f>ReconciliationData[[#This Row],[ordered_units]]*ReconciliationData[[#This Row],[List_Price]]</f>
        <v>88341.707999999999</v>
      </c>
      <c r="Z2742">
        <f>ReconciliationData[[#This Row],[billed_revenue]]-ReconciliationData[[#This Row],[expected_revenue]]</f>
        <v>0</v>
      </c>
      <c r="AA27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42" t="str">
        <f>IF(ReconciliationData[[#This Row],[severity_score]]=0,"LOW",
 IF(ReconciliationData[[#This Row],[severity_score]]&lt;=5,"MEDIUM","HIGH"))</f>
        <v>LOW</v>
      </c>
      <c r="AC2742" t="str">
        <f>TEXT(ReconciliationData[[#This Row],[Order_Date]],"YYYY-MM")</f>
        <v>2023-08</v>
      </c>
    </row>
    <row r="2743" spans="1:29">
      <c r="A2743" t="s">
        <v>6690</v>
      </c>
      <c r="B2743" s="1">
        <v>45318</v>
      </c>
      <c r="C2743" t="s">
        <v>4945</v>
      </c>
      <c r="D2743" t="s">
        <v>883</v>
      </c>
      <c r="E2743">
        <v>5</v>
      </c>
      <c r="F2743" t="s">
        <v>6691</v>
      </c>
      <c r="G2743">
        <v>5</v>
      </c>
      <c r="H2743">
        <v>403.01909999999998</v>
      </c>
      <c r="N2743">
        <v>403.01909999999998</v>
      </c>
      <c r="O2743" s="1">
        <v>45056</v>
      </c>
      <c r="P2743">
        <f>IF(ISBLANK(ReconciliationData[[#This Row],[Invoice_ID]]),1,0)</f>
        <v>0</v>
      </c>
      <c r="Q2743">
        <f>IF(AND(NOT(ISBLANK(ReconciliationData[[#This Row],[Billed_Units]])),ReconciliationData[[#This Row],[ordered_units]]&lt;&gt;ReconciliationData[[#This Row],[Billed_Units]]),1,0)</f>
        <v>0</v>
      </c>
      <c r="R27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3">
        <f>IF(AND(NOT(ISBLANK(ReconciliationData[[#This Row],[Contract_Price]])),ReconciliationData[[#This Row],[Billed_Price]]&lt;&gt;ReconciliationData[[#This Row],[Contract_Price]]),1,0)</f>
        <v>0</v>
      </c>
      <c r="T2743">
        <f>IF(AND(NOT(ISBLANK(ReconciliationData[[#This Row],[End_Date]])),ReconciliationData[[#This Row],[Order_Date]]&gt;ReconciliationData[[#This Row],[End_Date]]),1,0)</f>
        <v>0</v>
      </c>
      <c r="U2743">
        <f>IF(AND(NOT(ISBLANK(ReconciliationData[[#This Row],[last_return_date]])),ReconciliationData[[#This Row],[last_return_date]]&gt;ReconciliationData[[#This Row],[Order_Date]]+60),1,0)</f>
        <v>0</v>
      </c>
      <c r="V2743">
        <f>IF(ReconciliationData[[#This Row],[total_returned_units]]&gt;ReconciliationData[[#This Row],[ordered_units]],1,0)</f>
        <v>0</v>
      </c>
      <c r="W27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43">
        <f>ReconciliationData[[#This Row],[Billed_Units]]*ReconciliationData[[#This Row],[Billed_Price]]</f>
        <v>2015.0954999999999</v>
      </c>
      <c r="Y2743">
        <f>ReconciliationData[[#This Row],[ordered_units]]*ReconciliationData[[#This Row],[List_Price]]</f>
        <v>2015.0954999999999</v>
      </c>
      <c r="Z2743">
        <f>ReconciliationData[[#This Row],[billed_revenue]]-ReconciliationData[[#This Row],[expected_revenue]]</f>
        <v>0</v>
      </c>
      <c r="AA27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43" t="str">
        <f>IF(ReconciliationData[[#This Row],[severity_score]]=0,"LOW",
 IF(ReconciliationData[[#This Row],[severity_score]]&lt;=5,"MEDIUM","HIGH"))</f>
        <v>LOW</v>
      </c>
      <c r="AC2743" t="str">
        <f>TEXT(ReconciliationData[[#This Row],[Order_Date]],"YYYY-MM")</f>
        <v>2024-01</v>
      </c>
    </row>
    <row r="2744" spans="1:29">
      <c r="A2744" t="s">
        <v>6692</v>
      </c>
      <c r="B2744" s="1">
        <v>45423</v>
      </c>
      <c r="C2744" t="s">
        <v>1997</v>
      </c>
      <c r="D2744" t="s">
        <v>461</v>
      </c>
      <c r="E2744">
        <v>153</v>
      </c>
      <c r="F2744" t="s">
        <v>6693</v>
      </c>
      <c r="G2744">
        <v>153</v>
      </c>
      <c r="H2744">
        <v>1114.2336</v>
      </c>
      <c r="I2744">
        <v>7</v>
      </c>
      <c r="J2744" s="1">
        <v>45665</v>
      </c>
      <c r="N2744">
        <v>1114.2336</v>
      </c>
      <c r="O2744" s="1">
        <v>45141</v>
      </c>
      <c r="P2744">
        <f>IF(ISBLANK(ReconciliationData[[#This Row],[Invoice_ID]]),1,0)</f>
        <v>0</v>
      </c>
      <c r="Q2744">
        <f>IF(AND(NOT(ISBLANK(ReconciliationData[[#This Row],[Billed_Units]])),ReconciliationData[[#This Row],[ordered_units]]&lt;&gt;ReconciliationData[[#This Row],[Billed_Units]]),1,0)</f>
        <v>0</v>
      </c>
      <c r="R27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4">
        <f>IF(AND(NOT(ISBLANK(ReconciliationData[[#This Row],[Contract_Price]])),ReconciliationData[[#This Row],[Billed_Price]]&lt;&gt;ReconciliationData[[#This Row],[Contract_Price]]),1,0)</f>
        <v>0</v>
      </c>
      <c r="T2744">
        <f>IF(AND(NOT(ISBLANK(ReconciliationData[[#This Row],[End_Date]])),ReconciliationData[[#This Row],[Order_Date]]&gt;ReconciliationData[[#This Row],[End_Date]]),1,0)</f>
        <v>0</v>
      </c>
      <c r="U2744">
        <f>IF(AND(NOT(ISBLANK(ReconciliationData[[#This Row],[last_return_date]])),ReconciliationData[[#This Row],[last_return_date]]&gt;ReconciliationData[[#This Row],[Order_Date]]+60),1,0)</f>
        <v>1</v>
      </c>
      <c r="V2744">
        <f>IF(ReconciliationData[[#This Row],[total_returned_units]]&gt;ReconciliationData[[#This Row],[ordered_units]],1,0)</f>
        <v>0</v>
      </c>
      <c r="W27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44">
        <f>ReconciliationData[[#This Row],[Billed_Units]]*ReconciliationData[[#This Row],[Billed_Price]]</f>
        <v>170477.7408</v>
      </c>
      <c r="Y2744">
        <f>ReconciliationData[[#This Row],[ordered_units]]*ReconciliationData[[#This Row],[List_Price]]</f>
        <v>170477.7408</v>
      </c>
      <c r="Z2744">
        <f>ReconciliationData[[#This Row],[billed_revenue]]-ReconciliationData[[#This Row],[expected_revenue]]</f>
        <v>0</v>
      </c>
      <c r="AA27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744" t="str">
        <f>IF(ReconciliationData[[#This Row],[severity_score]]=0,"LOW",
 IF(ReconciliationData[[#This Row],[severity_score]]&lt;=5,"MEDIUM","HIGH"))</f>
        <v>MEDIUM</v>
      </c>
      <c r="AC2744" t="str">
        <f>TEXT(ReconciliationData[[#This Row],[Order_Date]],"YYYY-MM")</f>
        <v>2024-05</v>
      </c>
    </row>
    <row r="2745" spans="1:29">
      <c r="A2745" t="s">
        <v>6694</v>
      </c>
      <c r="B2745" s="1">
        <v>44970</v>
      </c>
      <c r="C2745" t="s">
        <v>3575</v>
      </c>
      <c r="D2745" t="s">
        <v>898</v>
      </c>
      <c r="E2745">
        <v>82</v>
      </c>
      <c r="F2745" t="s">
        <v>6695</v>
      </c>
      <c r="G2745">
        <v>82</v>
      </c>
      <c r="H2745">
        <v>775.08529999999996</v>
      </c>
      <c r="N2745">
        <v>775.08529999999996</v>
      </c>
      <c r="O2745" s="1">
        <v>44892</v>
      </c>
      <c r="P2745">
        <f>IF(ISBLANK(ReconciliationData[[#This Row],[Invoice_ID]]),1,0)</f>
        <v>0</v>
      </c>
      <c r="Q2745">
        <f>IF(AND(NOT(ISBLANK(ReconciliationData[[#This Row],[Billed_Units]])),ReconciliationData[[#This Row],[ordered_units]]&lt;&gt;ReconciliationData[[#This Row],[Billed_Units]]),1,0)</f>
        <v>0</v>
      </c>
      <c r="R27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5">
        <f>IF(AND(NOT(ISBLANK(ReconciliationData[[#This Row],[Contract_Price]])),ReconciliationData[[#This Row],[Billed_Price]]&lt;&gt;ReconciliationData[[#This Row],[Contract_Price]]),1,0)</f>
        <v>0</v>
      </c>
      <c r="T2745">
        <f>IF(AND(NOT(ISBLANK(ReconciliationData[[#This Row],[End_Date]])),ReconciliationData[[#This Row],[Order_Date]]&gt;ReconciliationData[[#This Row],[End_Date]]),1,0)</f>
        <v>0</v>
      </c>
      <c r="U2745">
        <f>IF(AND(NOT(ISBLANK(ReconciliationData[[#This Row],[last_return_date]])),ReconciliationData[[#This Row],[last_return_date]]&gt;ReconciliationData[[#This Row],[Order_Date]]+60),1,0)</f>
        <v>0</v>
      </c>
      <c r="V2745">
        <f>IF(ReconciliationData[[#This Row],[total_returned_units]]&gt;ReconciliationData[[#This Row],[ordered_units]],1,0)</f>
        <v>0</v>
      </c>
      <c r="W27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45">
        <f>ReconciliationData[[#This Row],[Billed_Units]]*ReconciliationData[[#This Row],[Billed_Price]]</f>
        <v>63556.994599999998</v>
      </c>
      <c r="Y2745">
        <f>ReconciliationData[[#This Row],[ordered_units]]*ReconciliationData[[#This Row],[List_Price]]</f>
        <v>63556.994599999998</v>
      </c>
      <c r="Z2745">
        <f>ReconciliationData[[#This Row],[billed_revenue]]-ReconciliationData[[#This Row],[expected_revenue]]</f>
        <v>0</v>
      </c>
      <c r="AA27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45" t="str">
        <f>IF(ReconciliationData[[#This Row],[severity_score]]=0,"LOW",
 IF(ReconciliationData[[#This Row],[severity_score]]&lt;=5,"MEDIUM","HIGH"))</f>
        <v>LOW</v>
      </c>
      <c r="AC2745" t="str">
        <f>TEXT(ReconciliationData[[#This Row],[Order_Date]],"YYYY-MM")</f>
        <v>2023-02</v>
      </c>
    </row>
    <row r="2746" spans="1:29">
      <c r="A2746" t="s">
        <v>6696</v>
      </c>
      <c r="B2746" s="1">
        <v>44954</v>
      </c>
      <c r="C2746" t="s">
        <v>572</v>
      </c>
      <c r="D2746" t="s">
        <v>1802</v>
      </c>
      <c r="E2746">
        <v>36</v>
      </c>
      <c r="F2746" t="s">
        <v>6697</v>
      </c>
      <c r="G2746">
        <v>36</v>
      </c>
      <c r="H2746">
        <v>618.54840000000002</v>
      </c>
      <c r="N2746">
        <v>618.54840000000002</v>
      </c>
      <c r="O2746" s="1">
        <v>44916</v>
      </c>
      <c r="P2746">
        <f>IF(ISBLANK(ReconciliationData[[#This Row],[Invoice_ID]]),1,0)</f>
        <v>0</v>
      </c>
      <c r="Q2746">
        <f>IF(AND(NOT(ISBLANK(ReconciliationData[[#This Row],[Billed_Units]])),ReconciliationData[[#This Row],[ordered_units]]&lt;&gt;ReconciliationData[[#This Row],[Billed_Units]]),1,0)</f>
        <v>0</v>
      </c>
      <c r="R27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6">
        <f>IF(AND(NOT(ISBLANK(ReconciliationData[[#This Row],[Contract_Price]])),ReconciliationData[[#This Row],[Billed_Price]]&lt;&gt;ReconciliationData[[#This Row],[Contract_Price]]),1,0)</f>
        <v>0</v>
      </c>
      <c r="T2746">
        <f>IF(AND(NOT(ISBLANK(ReconciliationData[[#This Row],[End_Date]])),ReconciliationData[[#This Row],[Order_Date]]&gt;ReconciliationData[[#This Row],[End_Date]]),1,0)</f>
        <v>0</v>
      </c>
      <c r="U2746">
        <f>IF(AND(NOT(ISBLANK(ReconciliationData[[#This Row],[last_return_date]])),ReconciliationData[[#This Row],[last_return_date]]&gt;ReconciliationData[[#This Row],[Order_Date]]+60),1,0)</f>
        <v>0</v>
      </c>
      <c r="V2746">
        <f>IF(ReconciliationData[[#This Row],[total_returned_units]]&gt;ReconciliationData[[#This Row],[ordered_units]],1,0)</f>
        <v>0</v>
      </c>
      <c r="W27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46">
        <f>ReconciliationData[[#This Row],[Billed_Units]]*ReconciliationData[[#This Row],[Billed_Price]]</f>
        <v>22267.742399999999</v>
      </c>
      <c r="Y2746">
        <f>ReconciliationData[[#This Row],[ordered_units]]*ReconciliationData[[#This Row],[List_Price]]</f>
        <v>22267.742399999999</v>
      </c>
      <c r="Z2746">
        <f>ReconciliationData[[#This Row],[billed_revenue]]-ReconciliationData[[#This Row],[expected_revenue]]</f>
        <v>0</v>
      </c>
      <c r="AA27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46" t="str">
        <f>IF(ReconciliationData[[#This Row],[severity_score]]=0,"LOW",
 IF(ReconciliationData[[#This Row],[severity_score]]&lt;=5,"MEDIUM","HIGH"))</f>
        <v>LOW</v>
      </c>
      <c r="AC2746" t="str">
        <f>TEXT(ReconciliationData[[#This Row],[Order_Date]],"YYYY-MM")</f>
        <v>2023-01</v>
      </c>
    </row>
    <row r="2747" spans="1:29">
      <c r="A2747" t="s">
        <v>6698</v>
      </c>
      <c r="B2747" s="1">
        <v>44954</v>
      </c>
      <c r="C2747" t="s">
        <v>3060</v>
      </c>
      <c r="D2747" t="s">
        <v>973</v>
      </c>
      <c r="E2747">
        <v>112</v>
      </c>
      <c r="F2747" t="s">
        <v>6699</v>
      </c>
      <c r="G2747">
        <v>112</v>
      </c>
      <c r="H2747">
        <v>151.82</v>
      </c>
      <c r="N2747">
        <v>151.82</v>
      </c>
      <c r="O2747" s="1">
        <v>44860</v>
      </c>
      <c r="P2747">
        <f>IF(ISBLANK(ReconciliationData[[#This Row],[Invoice_ID]]),1,0)</f>
        <v>0</v>
      </c>
      <c r="Q2747">
        <f>IF(AND(NOT(ISBLANK(ReconciliationData[[#This Row],[Billed_Units]])),ReconciliationData[[#This Row],[ordered_units]]&lt;&gt;ReconciliationData[[#This Row],[Billed_Units]]),1,0)</f>
        <v>0</v>
      </c>
      <c r="R27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7">
        <f>IF(AND(NOT(ISBLANK(ReconciliationData[[#This Row],[Contract_Price]])),ReconciliationData[[#This Row],[Billed_Price]]&lt;&gt;ReconciliationData[[#This Row],[Contract_Price]]),1,0)</f>
        <v>0</v>
      </c>
      <c r="T2747">
        <f>IF(AND(NOT(ISBLANK(ReconciliationData[[#This Row],[End_Date]])),ReconciliationData[[#This Row],[Order_Date]]&gt;ReconciliationData[[#This Row],[End_Date]]),1,0)</f>
        <v>0</v>
      </c>
      <c r="U2747">
        <f>IF(AND(NOT(ISBLANK(ReconciliationData[[#This Row],[last_return_date]])),ReconciliationData[[#This Row],[last_return_date]]&gt;ReconciliationData[[#This Row],[Order_Date]]+60),1,0)</f>
        <v>0</v>
      </c>
      <c r="V2747">
        <f>IF(ReconciliationData[[#This Row],[total_returned_units]]&gt;ReconciliationData[[#This Row],[ordered_units]],1,0)</f>
        <v>0</v>
      </c>
      <c r="W27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47">
        <f>ReconciliationData[[#This Row],[Billed_Units]]*ReconciliationData[[#This Row],[Billed_Price]]</f>
        <v>17003.84</v>
      </c>
      <c r="Y2747">
        <f>ReconciliationData[[#This Row],[ordered_units]]*ReconciliationData[[#This Row],[List_Price]]</f>
        <v>17003.84</v>
      </c>
      <c r="Z2747">
        <f>ReconciliationData[[#This Row],[billed_revenue]]-ReconciliationData[[#This Row],[expected_revenue]]</f>
        <v>0</v>
      </c>
      <c r="AA27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47" t="str">
        <f>IF(ReconciliationData[[#This Row],[severity_score]]=0,"LOW",
 IF(ReconciliationData[[#This Row],[severity_score]]&lt;=5,"MEDIUM","HIGH"))</f>
        <v>LOW</v>
      </c>
      <c r="AC2747" t="str">
        <f>TEXT(ReconciliationData[[#This Row],[Order_Date]],"YYYY-MM")</f>
        <v>2023-01</v>
      </c>
    </row>
    <row r="2748" spans="1:29">
      <c r="A2748" t="s">
        <v>6700</v>
      </c>
      <c r="B2748" s="1">
        <v>45033</v>
      </c>
      <c r="C2748" t="s">
        <v>6701</v>
      </c>
      <c r="D2748" t="s">
        <v>1339</v>
      </c>
      <c r="E2748">
        <v>88</v>
      </c>
      <c r="F2748" t="s">
        <v>6702</v>
      </c>
      <c r="G2748">
        <v>88</v>
      </c>
      <c r="H2748">
        <v>614.96820000000002</v>
      </c>
      <c r="I2748">
        <v>17</v>
      </c>
      <c r="J2748" s="1">
        <v>45182</v>
      </c>
      <c r="N2748">
        <v>614.96820000000002</v>
      </c>
      <c r="O2748" s="1">
        <v>44984</v>
      </c>
      <c r="P2748">
        <f>IF(ISBLANK(ReconciliationData[[#This Row],[Invoice_ID]]),1,0)</f>
        <v>0</v>
      </c>
      <c r="Q2748">
        <f>IF(AND(NOT(ISBLANK(ReconciliationData[[#This Row],[Billed_Units]])),ReconciliationData[[#This Row],[ordered_units]]&lt;&gt;ReconciliationData[[#This Row],[Billed_Units]]),1,0)</f>
        <v>0</v>
      </c>
      <c r="R27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8">
        <f>IF(AND(NOT(ISBLANK(ReconciliationData[[#This Row],[Contract_Price]])),ReconciliationData[[#This Row],[Billed_Price]]&lt;&gt;ReconciliationData[[#This Row],[Contract_Price]]),1,0)</f>
        <v>0</v>
      </c>
      <c r="T2748">
        <f>IF(AND(NOT(ISBLANK(ReconciliationData[[#This Row],[End_Date]])),ReconciliationData[[#This Row],[Order_Date]]&gt;ReconciliationData[[#This Row],[End_Date]]),1,0)</f>
        <v>0</v>
      </c>
      <c r="U2748">
        <f>IF(AND(NOT(ISBLANK(ReconciliationData[[#This Row],[last_return_date]])),ReconciliationData[[#This Row],[last_return_date]]&gt;ReconciliationData[[#This Row],[Order_Date]]+60),1,0)</f>
        <v>1</v>
      </c>
      <c r="V2748">
        <f>IF(ReconciliationData[[#This Row],[total_returned_units]]&gt;ReconciliationData[[#This Row],[ordered_units]],1,0)</f>
        <v>0</v>
      </c>
      <c r="W27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48">
        <f>ReconciliationData[[#This Row],[Billed_Units]]*ReconciliationData[[#This Row],[Billed_Price]]</f>
        <v>54117.2016</v>
      </c>
      <c r="Y2748">
        <f>ReconciliationData[[#This Row],[ordered_units]]*ReconciliationData[[#This Row],[List_Price]]</f>
        <v>54117.2016</v>
      </c>
      <c r="Z2748">
        <f>ReconciliationData[[#This Row],[billed_revenue]]-ReconciliationData[[#This Row],[expected_revenue]]</f>
        <v>0</v>
      </c>
      <c r="AA27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748" t="str">
        <f>IF(ReconciliationData[[#This Row],[severity_score]]=0,"LOW",
 IF(ReconciliationData[[#This Row],[severity_score]]&lt;=5,"MEDIUM","HIGH"))</f>
        <v>MEDIUM</v>
      </c>
      <c r="AC2748" t="str">
        <f>TEXT(ReconciliationData[[#This Row],[Order_Date]],"YYYY-MM")</f>
        <v>2023-04</v>
      </c>
    </row>
    <row r="2749" spans="1:29">
      <c r="A2749" t="s">
        <v>6703</v>
      </c>
      <c r="B2749" s="1">
        <v>44999</v>
      </c>
      <c r="C2749" t="s">
        <v>965</v>
      </c>
      <c r="D2749" t="s">
        <v>295</v>
      </c>
      <c r="E2749">
        <v>196</v>
      </c>
      <c r="F2749" t="s">
        <v>6704</v>
      </c>
      <c r="G2749">
        <v>196</v>
      </c>
      <c r="H2749">
        <v>838.77149999999995</v>
      </c>
      <c r="N2749">
        <v>838.77149999999995</v>
      </c>
      <c r="O2749" s="1">
        <v>44902</v>
      </c>
      <c r="P2749">
        <f>IF(ISBLANK(ReconciliationData[[#This Row],[Invoice_ID]]),1,0)</f>
        <v>0</v>
      </c>
      <c r="Q2749">
        <f>IF(AND(NOT(ISBLANK(ReconciliationData[[#This Row],[Billed_Units]])),ReconciliationData[[#This Row],[ordered_units]]&lt;&gt;ReconciliationData[[#This Row],[Billed_Units]]),1,0)</f>
        <v>0</v>
      </c>
      <c r="R27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49">
        <f>IF(AND(NOT(ISBLANK(ReconciliationData[[#This Row],[Contract_Price]])),ReconciliationData[[#This Row],[Billed_Price]]&lt;&gt;ReconciliationData[[#This Row],[Contract_Price]]),1,0)</f>
        <v>0</v>
      </c>
      <c r="T2749">
        <f>IF(AND(NOT(ISBLANK(ReconciliationData[[#This Row],[End_Date]])),ReconciliationData[[#This Row],[Order_Date]]&gt;ReconciliationData[[#This Row],[End_Date]]),1,0)</f>
        <v>0</v>
      </c>
      <c r="U2749">
        <f>IF(AND(NOT(ISBLANK(ReconciliationData[[#This Row],[last_return_date]])),ReconciliationData[[#This Row],[last_return_date]]&gt;ReconciliationData[[#This Row],[Order_Date]]+60),1,0)</f>
        <v>0</v>
      </c>
      <c r="V2749">
        <f>IF(ReconciliationData[[#This Row],[total_returned_units]]&gt;ReconciliationData[[#This Row],[ordered_units]],1,0)</f>
        <v>0</v>
      </c>
      <c r="W27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49">
        <f>ReconciliationData[[#This Row],[Billed_Units]]*ReconciliationData[[#This Row],[Billed_Price]]</f>
        <v>164399.21399999998</v>
      </c>
      <c r="Y2749">
        <f>ReconciliationData[[#This Row],[ordered_units]]*ReconciliationData[[#This Row],[List_Price]]</f>
        <v>164399.21399999998</v>
      </c>
      <c r="Z2749">
        <f>ReconciliationData[[#This Row],[billed_revenue]]-ReconciliationData[[#This Row],[expected_revenue]]</f>
        <v>0</v>
      </c>
      <c r="AA27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49" t="str">
        <f>IF(ReconciliationData[[#This Row],[severity_score]]=0,"LOW",
 IF(ReconciliationData[[#This Row],[severity_score]]&lt;=5,"MEDIUM","HIGH"))</f>
        <v>LOW</v>
      </c>
      <c r="AC2749" t="str">
        <f>TEXT(ReconciliationData[[#This Row],[Order_Date]],"YYYY-MM")</f>
        <v>2023-03</v>
      </c>
    </row>
    <row r="2750" spans="1:29">
      <c r="A2750" t="s">
        <v>6705</v>
      </c>
      <c r="B2750" s="1">
        <v>45035</v>
      </c>
      <c r="C2750" t="s">
        <v>2979</v>
      </c>
      <c r="D2750" t="s">
        <v>267</v>
      </c>
      <c r="E2750">
        <v>29</v>
      </c>
      <c r="F2750" t="s">
        <v>6706</v>
      </c>
      <c r="G2750">
        <v>29</v>
      </c>
      <c r="H2750">
        <v>973.43799999999999</v>
      </c>
      <c r="N2750">
        <v>973.43799999999999</v>
      </c>
      <c r="O2750" s="1">
        <v>45011</v>
      </c>
      <c r="P2750">
        <f>IF(ISBLANK(ReconciliationData[[#This Row],[Invoice_ID]]),1,0)</f>
        <v>0</v>
      </c>
      <c r="Q2750">
        <f>IF(AND(NOT(ISBLANK(ReconciliationData[[#This Row],[Billed_Units]])),ReconciliationData[[#This Row],[ordered_units]]&lt;&gt;ReconciliationData[[#This Row],[Billed_Units]]),1,0)</f>
        <v>0</v>
      </c>
      <c r="R27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50">
        <f>IF(AND(NOT(ISBLANK(ReconciliationData[[#This Row],[Contract_Price]])),ReconciliationData[[#This Row],[Billed_Price]]&lt;&gt;ReconciliationData[[#This Row],[Contract_Price]]),1,0)</f>
        <v>0</v>
      </c>
      <c r="T2750">
        <f>IF(AND(NOT(ISBLANK(ReconciliationData[[#This Row],[End_Date]])),ReconciliationData[[#This Row],[Order_Date]]&gt;ReconciliationData[[#This Row],[End_Date]]),1,0)</f>
        <v>0</v>
      </c>
      <c r="U2750">
        <f>IF(AND(NOT(ISBLANK(ReconciliationData[[#This Row],[last_return_date]])),ReconciliationData[[#This Row],[last_return_date]]&gt;ReconciliationData[[#This Row],[Order_Date]]+60),1,0)</f>
        <v>0</v>
      </c>
      <c r="V2750">
        <f>IF(ReconciliationData[[#This Row],[total_returned_units]]&gt;ReconciliationData[[#This Row],[ordered_units]],1,0)</f>
        <v>0</v>
      </c>
      <c r="W27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50">
        <f>ReconciliationData[[#This Row],[Billed_Units]]*ReconciliationData[[#This Row],[Billed_Price]]</f>
        <v>28229.702000000001</v>
      </c>
      <c r="Y2750">
        <f>ReconciliationData[[#This Row],[ordered_units]]*ReconciliationData[[#This Row],[List_Price]]</f>
        <v>28229.702000000001</v>
      </c>
      <c r="Z2750">
        <f>ReconciliationData[[#This Row],[billed_revenue]]-ReconciliationData[[#This Row],[expected_revenue]]</f>
        <v>0</v>
      </c>
      <c r="AA27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50" t="str">
        <f>IF(ReconciliationData[[#This Row],[severity_score]]=0,"LOW",
 IF(ReconciliationData[[#This Row],[severity_score]]&lt;=5,"MEDIUM","HIGH"))</f>
        <v>LOW</v>
      </c>
      <c r="AC2750" t="str">
        <f>TEXT(ReconciliationData[[#This Row],[Order_Date]],"YYYY-MM")</f>
        <v>2023-04</v>
      </c>
    </row>
    <row r="2751" spans="1:29">
      <c r="A2751" t="s">
        <v>6707</v>
      </c>
      <c r="B2751" s="1">
        <v>45206</v>
      </c>
      <c r="C2751" t="s">
        <v>922</v>
      </c>
      <c r="D2751" t="s">
        <v>533</v>
      </c>
      <c r="E2751">
        <v>83</v>
      </c>
      <c r="F2751" t="s">
        <v>6708</v>
      </c>
      <c r="G2751">
        <v>83</v>
      </c>
      <c r="H2751">
        <v>833.73500000000001</v>
      </c>
      <c r="N2751">
        <v>833.73500000000001</v>
      </c>
      <c r="O2751" s="1">
        <v>45167</v>
      </c>
      <c r="P2751">
        <f>IF(ISBLANK(ReconciliationData[[#This Row],[Invoice_ID]]),1,0)</f>
        <v>0</v>
      </c>
      <c r="Q2751">
        <f>IF(AND(NOT(ISBLANK(ReconciliationData[[#This Row],[Billed_Units]])),ReconciliationData[[#This Row],[ordered_units]]&lt;&gt;ReconciliationData[[#This Row],[Billed_Units]]),1,0)</f>
        <v>0</v>
      </c>
      <c r="R27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51">
        <f>IF(AND(NOT(ISBLANK(ReconciliationData[[#This Row],[Contract_Price]])),ReconciliationData[[#This Row],[Billed_Price]]&lt;&gt;ReconciliationData[[#This Row],[Contract_Price]]),1,0)</f>
        <v>0</v>
      </c>
      <c r="T2751">
        <f>IF(AND(NOT(ISBLANK(ReconciliationData[[#This Row],[End_Date]])),ReconciliationData[[#This Row],[Order_Date]]&gt;ReconciliationData[[#This Row],[End_Date]]),1,0)</f>
        <v>0</v>
      </c>
      <c r="U2751">
        <f>IF(AND(NOT(ISBLANK(ReconciliationData[[#This Row],[last_return_date]])),ReconciliationData[[#This Row],[last_return_date]]&gt;ReconciliationData[[#This Row],[Order_Date]]+60),1,0)</f>
        <v>0</v>
      </c>
      <c r="V2751">
        <f>IF(ReconciliationData[[#This Row],[total_returned_units]]&gt;ReconciliationData[[#This Row],[ordered_units]],1,0)</f>
        <v>0</v>
      </c>
      <c r="W27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51">
        <f>ReconciliationData[[#This Row],[Billed_Units]]*ReconciliationData[[#This Row],[Billed_Price]]</f>
        <v>69200.005000000005</v>
      </c>
      <c r="Y2751">
        <f>ReconciliationData[[#This Row],[ordered_units]]*ReconciliationData[[#This Row],[List_Price]]</f>
        <v>69200.005000000005</v>
      </c>
      <c r="Z2751">
        <f>ReconciliationData[[#This Row],[billed_revenue]]-ReconciliationData[[#This Row],[expected_revenue]]</f>
        <v>0</v>
      </c>
      <c r="AA27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51" t="str">
        <f>IF(ReconciliationData[[#This Row],[severity_score]]=0,"LOW",
 IF(ReconciliationData[[#This Row],[severity_score]]&lt;=5,"MEDIUM","HIGH"))</f>
        <v>LOW</v>
      </c>
      <c r="AC2751" t="str">
        <f>TEXT(ReconciliationData[[#This Row],[Order_Date]],"YYYY-MM")</f>
        <v>2023-10</v>
      </c>
    </row>
    <row r="2752" spans="1:29">
      <c r="A2752" t="s">
        <v>6709</v>
      </c>
      <c r="B2752" s="1">
        <v>45390</v>
      </c>
      <c r="C2752" t="s">
        <v>6710</v>
      </c>
      <c r="D2752" t="s">
        <v>267</v>
      </c>
      <c r="E2752">
        <v>178</v>
      </c>
      <c r="F2752" t="s">
        <v>6711</v>
      </c>
      <c r="G2752">
        <v>178</v>
      </c>
      <c r="H2752">
        <v>973.43799999999999</v>
      </c>
      <c r="N2752">
        <v>973.43799999999999</v>
      </c>
      <c r="O2752" s="1">
        <v>45011</v>
      </c>
      <c r="P2752">
        <f>IF(ISBLANK(ReconciliationData[[#This Row],[Invoice_ID]]),1,0)</f>
        <v>0</v>
      </c>
      <c r="Q2752">
        <f>IF(AND(NOT(ISBLANK(ReconciliationData[[#This Row],[Billed_Units]])),ReconciliationData[[#This Row],[ordered_units]]&lt;&gt;ReconciliationData[[#This Row],[Billed_Units]]),1,0)</f>
        <v>0</v>
      </c>
      <c r="R27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52">
        <f>IF(AND(NOT(ISBLANK(ReconciliationData[[#This Row],[Contract_Price]])),ReconciliationData[[#This Row],[Billed_Price]]&lt;&gt;ReconciliationData[[#This Row],[Contract_Price]]),1,0)</f>
        <v>0</v>
      </c>
      <c r="T2752">
        <f>IF(AND(NOT(ISBLANK(ReconciliationData[[#This Row],[End_Date]])),ReconciliationData[[#This Row],[Order_Date]]&gt;ReconciliationData[[#This Row],[End_Date]]),1,0)</f>
        <v>0</v>
      </c>
      <c r="U2752">
        <f>IF(AND(NOT(ISBLANK(ReconciliationData[[#This Row],[last_return_date]])),ReconciliationData[[#This Row],[last_return_date]]&gt;ReconciliationData[[#This Row],[Order_Date]]+60),1,0)</f>
        <v>0</v>
      </c>
      <c r="V2752">
        <f>IF(ReconciliationData[[#This Row],[total_returned_units]]&gt;ReconciliationData[[#This Row],[ordered_units]],1,0)</f>
        <v>0</v>
      </c>
      <c r="W27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52">
        <f>ReconciliationData[[#This Row],[Billed_Units]]*ReconciliationData[[#This Row],[Billed_Price]]</f>
        <v>173271.96400000001</v>
      </c>
      <c r="Y2752">
        <f>ReconciliationData[[#This Row],[ordered_units]]*ReconciliationData[[#This Row],[List_Price]]</f>
        <v>173271.96400000001</v>
      </c>
      <c r="Z2752">
        <f>ReconciliationData[[#This Row],[billed_revenue]]-ReconciliationData[[#This Row],[expected_revenue]]</f>
        <v>0</v>
      </c>
      <c r="AA27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52" t="str">
        <f>IF(ReconciliationData[[#This Row],[severity_score]]=0,"LOW",
 IF(ReconciliationData[[#This Row],[severity_score]]&lt;=5,"MEDIUM","HIGH"))</f>
        <v>LOW</v>
      </c>
      <c r="AC2752" t="str">
        <f>TEXT(ReconciliationData[[#This Row],[Order_Date]],"YYYY-MM")</f>
        <v>2024-04</v>
      </c>
    </row>
    <row r="2753" spans="1:29">
      <c r="A2753" t="s">
        <v>6712</v>
      </c>
      <c r="B2753" s="1">
        <v>45298</v>
      </c>
      <c r="C2753" t="s">
        <v>2126</v>
      </c>
      <c r="D2753" t="s">
        <v>1671</v>
      </c>
      <c r="E2753">
        <v>138</v>
      </c>
      <c r="F2753" t="s">
        <v>6713</v>
      </c>
      <c r="G2753">
        <v>138</v>
      </c>
      <c r="H2753">
        <v>489.09889667744426</v>
      </c>
      <c r="I2753">
        <v>14</v>
      </c>
      <c r="J2753" s="1">
        <v>45221</v>
      </c>
      <c r="N2753">
        <v>488.43360000000007</v>
      </c>
      <c r="O2753" s="1">
        <v>45107</v>
      </c>
      <c r="P2753">
        <f>IF(ISBLANK(ReconciliationData[[#This Row],[Invoice_ID]]),1,0)</f>
        <v>0</v>
      </c>
      <c r="Q2753">
        <f>IF(AND(NOT(ISBLANK(ReconciliationData[[#This Row],[Billed_Units]])),ReconciliationData[[#This Row],[ordered_units]]&lt;&gt;ReconciliationData[[#This Row],[Billed_Units]]),1,0)</f>
        <v>0</v>
      </c>
      <c r="R275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753">
        <f>IF(AND(NOT(ISBLANK(ReconciliationData[[#This Row],[Contract_Price]])),ReconciliationData[[#This Row],[Billed_Price]]&lt;&gt;ReconciliationData[[#This Row],[Contract_Price]]),1,0)</f>
        <v>0</v>
      </c>
      <c r="T2753">
        <f>IF(AND(NOT(ISBLANK(ReconciliationData[[#This Row],[End_Date]])),ReconciliationData[[#This Row],[Order_Date]]&gt;ReconciliationData[[#This Row],[End_Date]]),1,0)</f>
        <v>0</v>
      </c>
      <c r="U2753">
        <f>IF(AND(NOT(ISBLANK(ReconciliationData[[#This Row],[last_return_date]])),ReconciliationData[[#This Row],[last_return_date]]&gt;ReconciliationData[[#This Row],[Order_Date]]+60),1,0)</f>
        <v>0</v>
      </c>
      <c r="V2753">
        <f>IF(ReconciliationData[[#This Row],[total_returned_units]]&gt;ReconciliationData[[#This Row],[ordered_units]],1,0)</f>
        <v>0</v>
      </c>
      <c r="W27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53">
        <f>ReconciliationData[[#This Row],[Billed_Units]]*ReconciliationData[[#This Row],[Billed_Price]]</f>
        <v>67495.647741487308</v>
      </c>
      <c r="Y2753">
        <f>ReconciliationData[[#This Row],[ordered_units]]*ReconciliationData[[#This Row],[List_Price]]</f>
        <v>67403.836800000005</v>
      </c>
      <c r="Z2753">
        <f>ReconciliationData[[#This Row],[billed_revenue]]-ReconciliationData[[#This Row],[expected_revenue]]</f>
        <v>91.810941487303353</v>
      </c>
      <c r="AA27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753" t="str">
        <f>IF(ReconciliationData[[#This Row],[severity_score]]=0,"LOW",
 IF(ReconciliationData[[#This Row],[severity_score]]&lt;=5,"MEDIUM","HIGH"))</f>
        <v>MEDIUM</v>
      </c>
      <c r="AC2753" t="str">
        <f>TEXT(ReconciliationData[[#This Row],[Order_Date]],"YYYY-MM")</f>
        <v>2024-01</v>
      </c>
    </row>
    <row r="2754" spans="1:29">
      <c r="A2754" t="s">
        <v>6714</v>
      </c>
      <c r="B2754" s="1">
        <v>45480</v>
      </c>
      <c r="C2754" t="s">
        <v>5082</v>
      </c>
      <c r="D2754" t="s">
        <v>397</v>
      </c>
      <c r="E2754">
        <v>130</v>
      </c>
      <c r="F2754" t="s">
        <v>6715</v>
      </c>
      <c r="G2754">
        <v>130</v>
      </c>
      <c r="H2754">
        <v>96.6</v>
      </c>
      <c r="N2754">
        <v>96.6</v>
      </c>
      <c r="O2754" s="1">
        <v>45105</v>
      </c>
      <c r="P2754">
        <f>IF(ISBLANK(ReconciliationData[[#This Row],[Invoice_ID]]),1,0)</f>
        <v>0</v>
      </c>
      <c r="Q2754">
        <f>IF(AND(NOT(ISBLANK(ReconciliationData[[#This Row],[Billed_Units]])),ReconciliationData[[#This Row],[ordered_units]]&lt;&gt;ReconciliationData[[#This Row],[Billed_Units]]),1,0)</f>
        <v>0</v>
      </c>
      <c r="R27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54">
        <f>IF(AND(NOT(ISBLANK(ReconciliationData[[#This Row],[Contract_Price]])),ReconciliationData[[#This Row],[Billed_Price]]&lt;&gt;ReconciliationData[[#This Row],[Contract_Price]]),1,0)</f>
        <v>0</v>
      </c>
      <c r="T2754">
        <f>IF(AND(NOT(ISBLANK(ReconciliationData[[#This Row],[End_Date]])),ReconciliationData[[#This Row],[Order_Date]]&gt;ReconciliationData[[#This Row],[End_Date]]),1,0)</f>
        <v>0</v>
      </c>
      <c r="U2754">
        <f>IF(AND(NOT(ISBLANK(ReconciliationData[[#This Row],[last_return_date]])),ReconciliationData[[#This Row],[last_return_date]]&gt;ReconciliationData[[#This Row],[Order_Date]]+60),1,0)</f>
        <v>0</v>
      </c>
      <c r="V2754">
        <f>IF(ReconciliationData[[#This Row],[total_returned_units]]&gt;ReconciliationData[[#This Row],[ordered_units]],1,0)</f>
        <v>0</v>
      </c>
      <c r="W27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54">
        <f>ReconciliationData[[#This Row],[Billed_Units]]*ReconciliationData[[#This Row],[Billed_Price]]</f>
        <v>12558</v>
      </c>
      <c r="Y2754">
        <f>ReconciliationData[[#This Row],[ordered_units]]*ReconciliationData[[#This Row],[List_Price]]</f>
        <v>12558</v>
      </c>
      <c r="Z2754">
        <f>ReconciliationData[[#This Row],[billed_revenue]]-ReconciliationData[[#This Row],[expected_revenue]]</f>
        <v>0</v>
      </c>
      <c r="AA27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54" t="str">
        <f>IF(ReconciliationData[[#This Row],[severity_score]]=0,"LOW",
 IF(ReconciliationData[[#This Row],[severity_score]]&lt;=5,"MEDIUM","HIGH"))</f>
        <v>LOW</v>
      </c>
      <c r="AC2754" t="str">
        <f>TEXT(ReconciliationData[[#This Row],[Order_Date]],"YYYY-MM")</f>
        <v>2024-07</v>
      </c>
    </row>
    <row r="2755" spans="1:29">
      <c r="A2755" t="s">
        <v>6716</v>
      </c>
      <c r="B2755" s="1">
        <v>45362</v>
      </c>
      <c r="C2755" t="s">
        <v>3744</v>
      </c>
      <c r="D2755" t="s">
        <v>722</v>
      </c>
      <c r="E2755">
        <v>155</v>
      </c>
      <c r="F2755" t="s">
        <v>6717</v>
      </c>
      <c r="G2755">
        <v>155</v>
      </c>
      <c r="H2755">
        <v>343.34190000000001</v>
      </c>
      <c r="N2755">
        <v>343.34190000000001</v>
      </c>
      <c r="O2755" s="1">
        <v>45126</v>
      </c>
      <c r="P2755">
        <f>IF(ISBLANK(ReconciliationData[[#This Row],[Invoice_ID]]),1,0)</f>
        <v>0</v>
      </c>
      <c r="Q2755">
        <f>IF(AND(NOT(ISBLANK(ReconciliationData[[#This Row],[Billed_Units]])),ReconciliationData[[#This Row],[ordered_units]]&lt;&gt;ReconciliationData[[#This Row],[Billed_Units]]),1,0)</f>
        <v>0</v>
      </c>
      <c r="R27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55">
        <f>IF(AND(NOT(ISBLANK(ReconciliationData[[#This Row],[Contract_Price]])),ReconciliationData[[#This Row],[Billed_Price]]&lt;&gt;ReconciliationData[[#This Row],[Contract_Price]]),1,0)</f>
        <v>0</v>
      </c>
      <c r="T2755">
        <f>IF(AND(NOT(ISBLANK(ReconciliationData[[#This Row],[End_Date]])),ReconciliationData[[#This Row],[Order_Date]]&gt;ReconciliationData[[#This Row],[End_Date]]),1,0)</f>
        <v>0</v>
      </c>
      <c r="U2755">
        <f>IF(AND(NOT(ISBLANK(ReconciliationData[[#This Row],[last_return_date]])),ReconciliationData[[#This Row],[last_return_date]]&gt;ReconciliationData[[#This Row],[Order_Date]]+60),1,0)</f>
        <v>0</v>
      </c>
      <c r="V2755">
        <f>IF(ReconciliationData[[#This Row],[total_returned_units]]&gt;ReconciliationData[[#This Row],[ordered_units]],1,0)</f>
        <v>0</v>
      </c>
      <c r="W27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55">
        <f>ReconciliationData[[#This Row],[Billed_Units]]*ReconciliationData[[#This Row],[Billed_Price]]</f>
        <v>53217.994500000001</v>
      </c>
      <c r="Y2755">
        <f>ReconciliationData[[#This Row],[ordered_units]]*ReconciliationData[[#This Row],[List_Price]]</f>
        <v>53217.994500000001</v>
      </c>
      <c r="Z2755">
        <f>ReconciliationData[[#This Row],[billed_revenue]]-ReconciliationData[[#This Row],[expected_revenue]]</f>
        <v>0</v>
      </c>
      <c r="AA27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55" t="str">
        <f>IF(ReconciliationData[[#This Row],[severity_score]]=0,"LOW",
 IF(ReconciliationData[[#This Row],[severity_score]]&lt;=5,"MEDIUM","HIGH"))</f>
        <v>LOW</v>
      </c>
      <c r="AC2755" t="str">
        <f>TEXT(ReconciliationData[[#This Row],[Order_Date]],"YYYY-MM")</f>
        <v>2024-03</v>
      </c>
    </row>
    <row r="2756" spans="1:29">
      <c r="A2756" t="s">
        <v>6718</v>
      </c>
      <c r="B2756" s="1">
        <v>44955</v>
      </c>
      <c r="C2756" t="s">
        <v>1388</v>
      </c>
      <c r="D2756" t="s">
        <v>2471</v>
      </c>
      <c r="E2756">
        <v>122</v>
      </c>
      <c r="F2756" t="s">
        <v>6719</v>
      </c>
      <c r="G2756">
        <v>122</v>
      </c>
      <c r="H2756">
        <v>1077.26</v>
      </c>
      <c r="N2756">
        <v>1077.26</v>
      </c>
      <c r="O2756" s="1">
        <v>44711</v>
      </c>
      <c r="P2756">
        <f>IF(ISBLANK(ReconciliationData[[#This Row],[Invoice_ID]]),1,0)</f>
        <v>0</v>
      </c>
      <c r="Q2756">
        <f>IF(AND(NOT(ISBLANK(ReconciliationData[[#This Row],[Billed_Units]])),ReconciliationData[[#This Row],[ordered_units]]&lt;&gt;ReconciliationData[[#This Row],[Billed_Units]]),1,0)</f>
        <v>0</v>
      </c>
      <c r="R27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56">
        <f>IF(AND(NOT(ISBLANK(ReconciliationData[[#This Row],[Contract_Price]])),ReconciliationData[[#This Row],[Billed_Price]]&lt;&gt;ReconciliationData[[#This Row],[Contract_Price]]),1,0)</f>
        <v>0</v>
      </c>
      <c r="T2756">
        <f>IF(AND(NOT(ISBLANK(ReconciliationData[[#This Row],[End_Date]])),ReconciliationData[[#This Row],[Order_Date]]&gt;ReconciliationData[[#This Row],[End_Date]]),1,0)</f>
        <v>0</v>
      </c>
      <c r="U2756">
        <f>IF(AND(NOT(ISBLANK(ReconciliationData[[#This Row],[last_return_date]])),ReconciliationData[[#This Row],[last_return_date]]&gt;ReconciliationData[[#This Row],[Order_Date]]+60),1,0)</f>
        <v>0</v>
      </c>
      <c r="V2756">
        <f>IF(ReconciliationData[[#This Row],[total_returned_units]]&gt;ReconciliationData[[#This Row],[ordered_units]],1,0)</f>
        <v>0</v>
      </c>
      <c r="W27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56">
        <f>ReconciliationData[[#This Row],[Billed_Units]]*ReconciliationData[[#This Row],[Billed_Price]]</f>
        <v>131425.72</v>
      </c>
      <c r="Y2756">
        <f>ReconciliationData[[#This Row],[ordered_units]]*ReconciliationData[[#This Row],[List_Price]]</f>
        <v>131425.72</v>
      </c>
      <c r="Z2756">
        <f>ReconciliationData[[#This Row],[billed_revenue]]-ReconciliationData[[#This Row],[expected_revenue]]</f>
        <v>0</v>
      </c>
      <c r="AA27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56" t="str">
        <f>IF(ReconciliationData[[#This Row],[severity_score]]=0,"LOW",
 IF(ReconciliationData[[#This Row],[severity_score]]&lt;=5,"MEDIUM","HIGH"))</f>
        <v>LOW</v>
      </c>
      <c r="AC2756" t="str">
        <f>TEXT(ReconciliationData[[#This Row],[Order_Date]],"YYYY-MM")</f>
        <v>2023-01</v>
      </c>
    </row>
    <row r="2757" spans="1:29">
      <c r="A2757" t="s">
        <v>6720</v>
      </c>
      <c r="B2757" s="1">
        <v>45330</v>
      </c>
      <c r="C2757" t="s">
        <v>767</v>
      </c>
      <c r="D2757" t="s">
        <v>306</v>
      </c>
      <c r="E2757">
        <v>116</v>
      </c>
      <c r="F2757" t="s">
        <v>6721</v>
      </c>
      <c r="G2757">
        <v>116</v>
      </c>
      <c r="H2757">
        <v>1211.8765154464711</v>
      </c>
      <c r="N2757">
        <v>1211.7708</v>
      </c>
      <c r="O2757" s="1">
        <v>45193</v>
      </c>
      <c r="P2757">
        <f>IF(ISBLANK(ReconciliationData[[#This Row],[Invoice_ID]]),1,0)</f>
        <v>0</v>
      </c>
      <c r="Q2757">
        <f>IF(AND(NOT(ISBLANK(ReconciliationData[[#This Row],[Billed_Units]])),ReconciliationData[[#This Row],[ordered_units]]&lt;&gt;ReconciliationData[[#This Row],[Billed_Units]]),1,0)</f>
        <v>0</v>
      </c>
      <c r="R275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757">
        <f>IF(AND(NOT(ISBLANK(ReconciliationData[[#This Row],[Contract_Price]])),ReconciliationData[[#This Row],[Billed_Price]]&lt;&gt;ReconciliationData[[#This Row],[Contract_Price]]),1,0)</f>
        <v>0</v>
      </c>
      <c r="T2757">
        <f>IF(AND(NOT(ISBLANK(ReconciliationData[[#This Row],[End_Date]])),ReconciliationData[[#This Row],[Order_Date]]&gt;ReconciliationData[[#This Row],[End_Date]]),1,0)</f>
        <v>0</v>
      </c>
      <c r="U2757">
        <f>IF(AND(NOT(ISBLANK(ReconciliationData[[#This Row],[last_return_date]])),ReconciliationData[[#This Row],[last_return_date]]&gt;ReconciliationData[[#This Row],[Order_Date]]+60),1,0)</f>
        <v>0</v>
      </c>
      <c r="V2757">
        <f>IF(ReconciliationData[[#This Row],[total_returned_units]]&gt;ReconciliationData[[#This Row],[ordered_units]],1,0)</f>
        <v>0</v>
      </c>
      <c r="W27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57">
        <f>ReconciliationData[[#This Row],[Billed_Units]]*ReconciliationData[[#This Row],[Billed_Price]]</f>
        <v>140577.67579179065</v>
      </c>
      <c r="Y2757">
        <f>ReconciliationData[[#This Row],[ordered_units]]*ReconciliationData[[#This Row],[List_Price]]</f>
        <v>140565.41279999999</v>
      </c>
      <c r="Z2757">
        <f>ReconciliationData[[#This Row],[billed_revenue]]-ReconciliationData[[#This Row],[expected_revenue]]</f>
        <v>12.262991790659726</v>
      </c>
      <c r="AA27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757" t="str">
        <f>IF(ReconciliationData[[#This Row],[severity_score]]=0,"LOW",
 IF(ReconciliationData[[#This Row],[severity_score]]&lt;=5,"MEDIUM","HIGH"))</f>
        <v>MEDIUM</v>
      </c>
      <c r="AC2757" t="str">
        <f>TEXT(ReconciliationData[[#This Row],[Order_Date]],"YYYY-MM")</f>
        <v>2024-02</v>
      </c>
    </row>
    <row r="2758" spans="1:29">
      <c r="A2758" t="s">
        <v>6722</v>
      </c>
      <c r="B2758" s="1">
        <v>44955</v>
      </c>
      <c r="C2758" t="s">
        <v>5315</v>
      </c>
      <c r="D2758" t="s">
        <v>821</v>
      </c>
      <c r="E2758">
        <v>96</v>
      </c>
      <c r="F2758" t="s">
        <v>6723</v>
      </c>
      <c r="G2758">
        <v>96</v>
      </c>
      <c r="H2758">
        <v>778.26</v>
      </c>
      <c r="I2758">
        <v>8</v>
      </c>
      <c r="J2758" s="1">
        <v>45012</v>
      </c>
      <c r="N2758">
        <v>778.26</v>
      </c>
      <c r="O2758" s="1">
        <v>44772</v>
      </c>
      <c r="P2758">
        <f>IF(ISBLANK(ReconciliationData[[#This Row],[Invoice_ID]]),1,0)</f>
        <v>0</v>
      </c>
      <c r="Q2758">
        <f>IF(AND(NOT(ISBLANK(ReconciliationData[[#This Row],[Billed_Units]])),ReconciliationData[[#This Row],[ordered_units]]&lt;&gt;ReconciliationData[[#This Row],[Billed_Units]]),1,0)</f>
        <v>0</v>
      </c>
      <c r="R27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58">
        <f>IF(AND(NOT(ISBLANK(ReconciliationData[[#This Row],[Contract_Price]])),ReconciliationData[[#This Row],[Billed_Price]]&lt;&gt;ReconciliationData[[#This Row],[Contract_Price]]),1,0)</f>
        <v>0</v>
      </c>
      <c r="T2758">
        <f>IF(AND(NOT(ISBLANK(ReconciliationData[[#This Row],[End_Date]])),ReconciliationData[[#This Row],[Order_Date]]&gt;ReconciliationData[[#This Row],[End_Date]]),1,0)</f>
        <v>0</v>
      </c>
      <c r="U2758">
        <f>IF(AND(NOT(ISBLANK(ReconciliationData[[#This Row],[last_return_date]])),ReconciliationData[[#This Row],[last_return_date]]&gt;ReconciliationData[[#This Row],[Order_Date]]+60),1,0)</f>
        <v>0</v>
      </c>
      <c r="V2758">
        <f>IF(ReconciliationData[[#This Row],[total_returned_units]]&gt;ReconciliationData[[#This Row],[ordered_units]],1,0)</f>
        <v>0</v>
      </c>
      <c r="W27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58">
        <f>ReconciliationData[[#This Row],[Billed_Units]]*ReconciliationData[[#This Row],[Billed_Price]]</f>
        <v>74712.959999999992</v>
      </c>
      <c r="Y2758">
        <f>ReconciliationData[[#This Row],[ordered_units]]*ReconciliationData[[#This Row],[List_Price]]</f>
        <v>74712.959999999992</v>
      </c>
      <c r="Z2758">
        <f>ReconciliationData[[#This Row],[billed_revenue]]-ReconciliationData[[#This Row],[expected_revenue]]</f>
        <v>0</v>
      </c>
      <c r="AA27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58" t="str">
        <f>IF(ReconciliationData[[#This Row],[severity_score]]=0,"LOW",
 IF(ReconciliationData[[#This Row],[severity_score]]&lt;=5,"MEDIUM","HIGH"))</f>
        <v>LOW</v>
      </c>
      <c r="AC2758" t="str">
        <f>TEXT(ReconciliationData[[#This Row],[Order_Date]],"YYYY-MM")</f>
        <v>2023-01</v>
      </c>
    </row>
    <row r="2759" spans="1:29">
      <c r="A2759" t="s">
        <v>6724</v>
      </c>
      <c r="B2759" s="1">
        <v>45616</v>
      </c>
      <c r="C2759" t="s">
        <v>226</v>
      </c>
      <c r="D2759" t="s">
        <v>3624</v>
      </c>
      <c r="E2759">
        <v>97</v>
      </c>
      <c r="F2759" t="s">
        <v>6725</v>
      </c>
      <c r="G2759">
        <v>97</v>
      </c>
      <c r="H2759">
        <v>765.65520000000015</v>
      </c>
      <c r="N2759">
        <v>765.65520000000015</v>
      </c>
      <c r="O2759" s="1">
        <v>45077</v>
      </c>
      <c r="P2759">
        <f>IF(ISBLANK(ReconciliationData[[#This Row],[Invoice_ID]]),1,0)</f>
        <v>0</v>
      </c>
      <c r="Q2759">
        <f>IF(AND(NOT(ISBLANK(ReconciliationData[[#This Row],[Billed_Units]])),ReconciliationData[[#This Row],[ordered_units]]&lt;&gt;ReconciliationData[[#This Row],[Billed_Units]]),1,0)</f>
        <v>0</v>
      </c>
      <c r="R27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59">
        <f>IF(AND(NOT(ISBLANK(ReconciliationData[[#This Row],[Contract_Price]])),ReconciliationData[[#This Row],[Billed_Price]]&lt;&gt;ReconciliationData[[#This Row],[Contract_Price]]),1,0)</f>
        <v>0</v>
      </c>
      <c r="T2759">
        <f>IF(AND(NOT(ISBLANK(ReconciliationData[[#This Row],[End_Date]])),ReconciliationData[[#This Row],[Order_Date]]&gt;ReconciliationData[[#This Row],[End_Date]]),1,0)</f>
        <v>0</v>
      </c>
      <c r="U2759">
        <f>IF(AND(NOT(ISBLANK(ReconciliationData[[#This Row],[last_return_date]])),ReconciliationData[[#This Row],[last_return_date]]&gt;ReconciliationData[[#This Row],[Order_Date]]+60),1,0)</f>
        <v>0</v>
      </c>
      <c r="V2759">
        <f>IF(ReconciliationData[[#This Row],[total_returned_units]]&gt;ReconciliationData[[#This Row],[ordered_units]],1,0)</f>
        <v>0</v>
      </c>
      <c r="W27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59">
        <f>ReconciliationData[[#This Row],[Billed_Units]]*ReconciliationData[[#This Row],[Billed_Price]]</f>
        <v>74268.554400000008</v>
      </c>
      <c r="Y2759">
        <f>ReconciliationData[[#This Row],[ordered_units]]*ReconciliationData[[#This Row],[List_Price]]</f>
        <v>74268.554400000008</v>
      </c>
      <c r="Z2759">
        <f>ReconciliationData[[#This Row],[billed_revenue]]-ReconciliationData[[#This Row],[expected_revenue]]</f>
        <v>0</v>
      </c>
      <c r="AA27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59" t="str">
        <f>IF(ReconciliationData[[#This Row],[severity_score]]=0,"LOW",
 IF(ReconciliationData[[#This Row],[severity_score]]&lt;=5,"MEDIUM","HIGH"))</f>
        <v>LOW</v>
      </c>
      <c r="AC2759" t="str">
        <f>TEXT(ReconciliationData[[#This Row],[Order_Date]],"YYYY-MM")</f>
        <v>2024-11</v>
      </c>
    </row>
    <row r="2760" spans="1:29">
      <c r="A2760" t="s">
        <v>6726</v>
      </c>
      <c r="B2760" s="1">
        <v>45647</v>
      </c>
      <c r="C2760" t="s">
        <v>3614</v>
      </c>
      <c r="D2760" t="s">
        <v>1525</v>
      </c>
      <c r="E2760">
        <v>56</v>
      </c>
      <c r="F2760" t="s">
        <v>6727</v>
      </c>
      <c r="G2760">
        <v>56</v>
      </c>
      <c r="H2760">
        <v>1067.6925000000001</v>
      </c>
      <c r="N2760">
        <v>1067.6925000000001</v>
      </c>
      <c r="O2760" s="1">
        <v>44999</v>
      </c>
      <c r="P2760">
        <f>IF(ISBLANK(ReconciliationData[[#This Row],[Invoice_ID]]),1,0)</f>
        <v>0</v>
      </c>
      <c r="Q2760">
        <f>IF(AND(NOT(ISBLANK(ReconciliationData[[#This Row],[Billed_Units]])),ReconciliationData[[#This Row],[ordered_units]]&lt;&gt;ReconciliationData[[#This Row],[Billed_Units]]),1,0)</f>
        <v>0</v>
      </c>
      <c r="R27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60">
        <f>IF(AND(NOT(ISBLANK(ReconciliationData[[#This Row],[Contract_Price]])),ReconciliationData[[#This Row],[Billed_Price]]&lt;&gt;ReconciliationData[[#This Row],[Contract_Price]]),1,0)</f>
        <v>0</v>
      </c>
      <c r="T2760">
        <f>IF(AND(NOT(ISBLANK(ReconciliationData[[#This Row],[End_Date]])),ReconciliationData[[#This Row],[Order_Date]]&gt;ReconciliationData[[#This Row],[End_Date]]),1,0)</f>
        <v>0</v>
      </c>
      <c r="U2760">
        <f>IF(AND(NOT(ISBLANK(ReconciliationData[[#This Row],[last_return_date]])),ReconciliationData[[#This Row],[last_return_date]]&gt;ReconciliationData[[#This Row],[Order_Date]]+60),1,0)</f>
        <v>0</v>
      </c>
      <c r="V2760">
        <f>IF(ReconciliationData[[#This Row],[total_returned_units]]&gt;ReconciliationData[[#This Row],[ordered_units]],1,0)</f>
        <v>0</v>
      </c>
      <c r="W27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60">
        <f>ReconciliationData[[#This Row],[Billed_Units]]*ReconciliationData[[#This Row],[Billed_Price]]</f>
        <v>59790.780000000006</v>
      </c>
      <c r="Y2760">
        <f>ReconciliationData[[#This Row],[ordered_units]]*ReconciliationData[[#This Row],[List_Price]]</f>
        <v>59790.780000000006</v>
      </c>
      <c r="Z2760">
        <f>ReconciliationData[[#This Row],[billed_revenue]]-ReconciliationData[[#This Row],[expected_revenue]]</f>
        <v>0</v>
      </c>
      <c r="AA27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60" t="str">
        <f>IF(ReconciliationData[[#This Row],[severity_score]]=0,"LOW",
 IF(ReconciliationData[[#This Row],[severity_score]]&lt;=5,"MEDIUM","HIGH"))</f>
        <v>LOW</v>
      </c>
      <c r="AC2760" t="str">
        <f>TEXT(ReconciliationData[[#This Row],[Order_Date]],"YYYY-MM")</f>
        <v>2024-12</v>
      </c>
    </row>
    <row r="2761" spans="1:29">
      <c r="A2761" t="s">
        <v>6728</v>
      </c>
      <c r="B2761" s="1">
        <v>45351</v>
      </c>
      <c r="C2761" t="s">
        <v>149</v>
      </c>
      <c r="D2761" t="s">
        <v>512</v>
      </c>
      <c r="E2761">
        <v>40</v>
      </c>
      <c r="F2761" t="s">
        <v>6729</v>
      </c>
      <c r="G2761">
        <v>40</v>
      </c>
      <c r="H2761">
        <v>211.68960000000001</v>
      </c>
      <c r="I2761">
        <v>15</v>
      </c>
      <c r="J2761" s="1">
        <v>45200</v>
      </c>
      <c r="N2761">
        <v>211.68960000000001</v>
      </c>
      <c r="O2761" s="1">
        <v>45129</v>
      </c>
      <c r="P2761">
        <f>IF(ISBLANK(ReconciliationData[[#This Row],[Invoice_ID]]),1,0)</f>
        <v>0</v>
      </c>
      <c r="Q2761">
        <f>IF(AND(NOT(ISBLANK(ReconciliationData[[#This Row],[Billed_Units]])),ReconciliationData[[#This Row],[ordered_units]]&lt;&gt;ReconciliationData[[#This Row],[Billed_Units]]),1,0)</f>
        <v>0</v>
      </c>
      <c r="R27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61">
        <f>IF(AND(NOT(ISBLANK(ReconciliationData[[#This Row],[Contract_Price]])),ReconciliationData[[#This Row],[Billed_Price]]&lt;&gt;ReconciliationData[[#This Row],[Contract_Price]]),1,0)</f>
        <v>0</v>
      </c>
      <c r="T2761">
        <f>IF(AND(NOT(ISBLANK(ReconciliationData[[#This Row],[End_Date]])),ReconciliationData[[#This Row],[Order_Date]]&gt;ReconciliationData[[#This Row],[End_Date]]),1,0)</f>
        <v>0</v>
      </c>
      <c r="U2761">
        <f>IF(AND(NOT(ISBLANK(ReconciliationData[[#This Row],[last_return_date]])),ReconciliationData[[#This Row],[last_return_date]]&gt;ReconciliationData[[#This Row],[Order_Date]]+60),1,0)</f>
        <v>0</v>
      </c>
      <c r="V2761">
        <f>IF(ReconciliationData[[#This Row],[total_returned_units]]&gt;ReconciliationData[[#This Row],[ordered_units]],1,0)</f>
        <v>0</v>
      </c>
      <c r="W27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61">
        <f>ReconciliationData[[#This Row],[Billed_Units]]*ReconciliationData[[#This Row],[Billed_Price]]</f>
        <v>8467.5840000000007</v>
      </c>
      <c r="Y2761">
        <f>ReconciliationData[[#This Row],[ordered_units]]*ReconciliationData[[#This Row],[List_Price]]</f>
        <v>8467.5840000000007</v>
      </c>
      <c r="Z2761">
        <f>ReconciliationData[[#This Row],[billed_revenue]]-ReconciliationData[[#This Row],[expected_revenue]]</f>
        <v>0</v>
      </c>
      <c r="AA27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61" t="str">
        <f>IF(ReconciliationData[[#This Row],[severity_score]]=0,"LOW",
 IF(ReconciliationData[[#This Row],[severity_score]]&lt;=5,"MEDIUM","HIGH"))</f>
        <v>LOW</v>
      </c>
      <c r="AC2761" t="str">
        <f>TEXT(ReconciliationData[[#This Row],[Order_Date]],"YYYY-MM")</f>
        <v>2024-02</v>
      </c>
    </row>
    <row r="2762" spans="1:29">
      <c r="A2762" t="s">
        <v>6730</v>
      </c>
      <c r="B2762" s="1">
        <v>45143</v>
      </c>
      <c r="C2762" t="s">
        <v>4407</v>
      </c>
      <c r="D2762" t="s">
        <v>937</v>
      </c>
      <c r="E2762">
        <v>125</v>
      </c>
      <c r="F2762" t="s">
        <v>6731</v>
      </c>
      <c r="G2762">
        <v>125</v>
      </c>
      <c r="H2762">
        <v>431.81990000000002</v>
      </c>
      <c r="N2762">
        <v>431.81990000000002</v>
      </c>
      <c r="O2762" s="1">
        <v>44807</v>
      </c>
      <c r="P2762">
        <f>IF(ISBLANK(ReconciliationData[[#This Row],[Invoice_ID]]),1,0)</f>
        <v>0</v>
      </c>
      <c r="Q2762">
        <f>IF(AND(NOT(ISBLANK(ReconciliationData[[#This Row],[Billed_Units]])),ReconciliationData[[#This Row],[ordered_units]]&lt;&gt;ReconciliationData[[#This Row],[Billed_Units]]),1,0)</f>
        <v>0</v>
      </c>
      <c r="R27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62">
        <f>IF(AND(NOT(ISBLANK(ReconciliationData[[#This Row],[Contract_Price]])),ReconciliationData[[#This Row],[Billed_Price]]&lt;&gt;ReconciliationData[[#This Row],[Contract_Price]]),1,0)</f>
        <v>0</v>
      </c>
      <c r="T2762">
        <f>IF(AND(NOT(ISBLANK(ReconciliationData[[#This Row],[End_Date]])),ReconciliationData[[#This Row],[Order_Date]]&gt;ReconciliationData[[#This Row],[End_Date]]),1,0)</f>
        <v>0</v>
      </c>
      <c r="U2762">
        <f>IF(AND(NOT(ISBLANK(ReconciliationData[[#This Row],[last_return_date]])),ReconciliationData[[#This Row],[last_return_date]]&gt;ReconciliationData[[#This Row],[Order_Date]]+60),1,0)</f>
        <v>0</v>
      </c>
      <c r="V2762">
        <f>IF(ReconciliationData[[#This Row],[total_returned_units]]&gt;ReconciliationData[[#This Row],[ordered_units]],1,0)</f>
        <v>0</v>
      </c>
      <c r="W27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62">
        <f>ReconciliationData[[#This Row],[Billed_Units]]*ReconciliationData[[#This Row],[Billed_Price]]</f>
        <v>53977.487500000003</v>
      </c>
      <c r="Y2762">
        <f>ReconciliationData[[#This Row],[ordered_units]]*ReconciliationData[[#This Row],[List_Price]]</f>
        <v>53977.487500000003</v>
      </c>
      <c r="Z2762">
        <f>ReconciliationData[[#This Row],[billed_revenue]]-ReconciliationData[[#This Row],[expected_revenue]]</f>
        <v>0</v>
      </c>
      <c r="AA27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62" t="str">
        <f>IF(ReconciliationData[[#This Row],[severity_score]]=0,"LOW",
 IF(ReconciliationData[[#This Row],[severity_score]]&lt;=5,"MEDIUM","HIGH"))</f>
        <v>LOW</v>
      </c>
      <c r="AC2762" t="str">
        <f>TEXT(ReconciliationData[[#This Row],[Order_Date]],"YYYY-MM")</f>
        <v>2023-08</v>
      </c>
    </row>
    <row r="2763" spans="1:29">
      <c r="A2763" t="s">
        <v>6732</v>
      </c>
      <c r="B2763" s="1">
        <v>45555</v>
      </c>
      <c r="C2763" t="s">
        <v>750</v>
      </c>
      <c r="D2763" t="s">
        <v>1436</v>
      </c>
      <c r="E2763">
        <v>23</v>
      </c>
      <c r="F2763" t="s">
        <v>6733</v>
      </c>
      <c r="G2763">
        <v>23</v>
      </c>
      <c r="H2763">
        <v>189.52920000000003</v>
      </c>
      <c r="I2763">
        <v>9</v>
      </c>
      <c r="J2763" s="1">
        <v>44995</v>
      </c>
      <c r="N2763">
        <v>189.52920000000003</v>
      </c>
      <c r="O2763" s="1">
        <v>45070</v>
      </c>
      <c r="P2763">
        <f>IF(ISBLANK(ReconciliationData[[#This Row],[Invoice_ID]]),1,0)</f>
        <v>0</v>
      </c>
      <c r="Q2763">
        <f>IF(AND(NOT(ISBLANK(ReconciliationData[[#This Row],[Billed_Units]])),ReconciliationData[[#This Row],[ordered_units]]&lt;&gt;ReconciliationData[[#This Row],[Billed_Units]]),1,0)</f>
        <v>0</v>
      </c>
      <c r="R27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63">
        <f>IF(AND(NOT(ISBLANK(ReconciliationData[[#This Row],[Contract_Price]])),ReconciliationData[[#This Row],[Billed_Price]]&lt;&gt;ReconciliationData[[#This Row],[Contract_Price]]),1,0)</f>
        <v>0</v>
      </c>
      <c r="T2763">
        <f>IF(AND(NOT(ISBLANK(ReconciliationData[[#This Row],[End_Date]])),ReconciliationData[[#This Row],[Order_Date]]&gt;ReconciliationData[[#This Row],[End_Date]]),1,0)</f>
        <v>0</v>
      </c>
      <c r="U2763">
        <f>IF(AND(NOT(ISBLANK(ReconciliationData[[#This Row],[last_return_date]])),ReconciliationData[[#This Row],[last_return_date]]&gt;ReconciliationData[[#This Row],[Order_Date]]+60),1,0)</f>
        <v>0</v>
      </c>
      <c r="V2763">
        <f>IF(ReconciliationData[[#This Row],[total_returned_units]]&gt;ReconciliationData[[#This Row],[ordered_units]],1,0)</f>
        <v>0</v>
      </c>
      <c r="W27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63">
        <f>ReconciliationData[[#This Row],[Billed_Units]]*ReconciliationData[[#This Row],[Billed_Price]]</f>
        <v>4359.1716000000006</v>
      </c>
      <c r="Y2763">
        <f>ReconciliationData[[#This Row],[ordered_units]]*ReconciliationData[[#This Row],[List_Price]]</f>
        <v>4359.1716000000006</v>
      </c>
      <c r="Z2763">
        <f>ReconciliationData[[#This Row],[billed_revenue]]-ReconciliationData[[#This Row],[expected_revenue]]</f>
        <v>0</v>
      </c>
      <c r="AA27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63" t="str">
        <f>IF(ReconciliationData[[#This Row],[severity_score]]=0,"LOW",
 IF(ReconciliationData[[#This Row],[severity_score]]&lt;=5,"MEDIUM","HIGH"))</f>
        <v>LOW</v>
      </c>
      <c r="AC2763" t="str">
        <f>TEXT(ReconciliationData[[#This Row],[Order_Date]],"YYYY-MM")</f>
        <v>2024-09</v>
      </c>
    </row>
    <row r="2764" spans="1:29">
      <c r="A2764" t="s">
        <v>6734</v>
      </c>
      <c r="B2764" s="1">
        <v>45492</v>
      </c>
      <c r="C2764" t="s">
        <v>1651</v>
      </c>
      <c r="D2764" t="s">
        <v>983</v>
      </c>
      <c r="E2764">
        <v>28</v>
      </c>
      <c r="F2764" t="s">
        <v>6735</v>
      </c>
      <c r="G2764">
        <v>28</v>
      </c>
      <c r="H2764">
        <v>226.82068163156106</v>
      </c>
      <c r="N2764">
        <v>226.1644</v>
      </c>
      <c r="O2764" s="1">
        <v>45139</v>
      </c>
      <c r="P2764">
        <f>IF(ISBLANK(ReconciliationData[[#This Row],[Invoice_ID]]),1,0)</f>
        <v>0</v>
      </c>
      <c r="Q2764">
        <f>IF(AND(NOT(ISBLANK(ReconciliationData[[#This Row],[Billed_Units]])),ReconciliationData[[#This Row],[ordered_units]]&lt;&gt;ReconciliationData[[#This Row],[Billed_Units]]),1,0)</f>
        <v>0</v>
      </c>
      <c r="R276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764">
        <f>IF(AND(NOT(ISBLANK(ReconciliationData[[#This Row],[Contract_Price]])),ReconciliationData[[#This Row],[Billed_Price]]&lt;&gt;ReconciliationData[[#This Row],[Contract_Price]]),1,0)</f>
        <v>0</v>
      </c>
      <c r="T2764">
        <f>IF(AND(NOT(ISBLANK(ReconciliationData[[#This Row],[End_Date]])),ReconciliationData[[#This Row],[Order_Date]]&gt;ReconciliationData[[#This Row],[End_Date]]),1,0)</f>
        <v>0</v>
      </c>
      <c r="U2764">
        <f>IF(AND(NOT(ISBLANK(ReconciliationData[[#This Row],[last_return_date]])),ReconciliationData[[#This Row],[last_return_date]]&gt;ReconciliationData[[#This Row],[Order_Date]]+60),1,0)</f>
        <v>0</v>
      </c>
      <c r="V2764">
        <f>IF(ReconciliationData[[#This Row],[total_returned_units]]&gt;ReconciliationData[[#This Row],[ordered_units]],1,0)</f>
        <v>0</v>
      </c>
      <c r="W27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64">
        <f>ReconciliationData[[#This Row],[Billed_Units]]*ReconciliationData[[#This Row],[Billed_Price]]</f>
        <v>6350.9790856837099</v>
      </c>
      <c r="Y2764">
        <f>ReconciliationData[[#This Row],[ordered_units]]*ReconciliationData[[#This Row],[List_Price]]</f>
        <v>6332.6031999999996</v>
      </c>
      <c r="Z2764">
        <f>ReconciliationData[[#This Row],[billed_revenue]]-ReconciliationData[[#This Row],[expected_revenue]]</f>
        <v>18.375885683710294</v>
      </c>
      <c r="AA27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764" t="str">
        <f>IF(ReconciliationData[[#This Row],[severity_score]]=0,"LOW",
 IF(ReconciliationData[[#This Row],[severity_score]]&lt;=5,"MEDIUM","HIGH"))</f>
        <v>MEDIUM</v>
      </c>
      <c r="AC2764" t="str">
        <f>TEXT(ReconciliationData[[#This Row],[Order_Date]],"YYYY-MM")</f>
        <v>2024-07</v>
      </c>
    </row>
    <row r="2765" spans="1:29">
      <c r="A2765" t="s">
        <v>6736</v>
      </c>
      <c r="B2765" s="1">
        <v>45339</v>
      </c>
      <c r="C2765" t="s">
        <v>6737</v>
      </c>
      <c r="D2765" t="s">
        <v>821</v>
      </c>
      <c r="E2765">
        <v>75</v>
      </c>
      <c r="F2765" t="s">
        <v>6738</v>
      </c>
      <c r="G2765">
        <v>75</v>
      </c>
      <c r="H2765">
        <v>785.89</v>
      </c>
      <c r="I2765">
        <v>14</v>
      </c>
      <c r="J2765" s="1">
        <v>45373</v>
      </c>
      <c r="N2765">
        <v>785.89</v>
      </c>
      <c r="O2765" s="1">
        <v>44989</v>
      </c>
      <c r="P2765">
        <f>IF(ISBLANK(ReconciliationData[[#This Row],[Invoice_ID]]),1,0)</f>
        <v>0</v>
      </c>
      <c r="Q2765">
        <f>IF(AND(NOT(ISBLANK(ReconciliationData[[#This Row],[Billed_Units]])),ReconciliationData[[#This Row],[ordered_units]]&lt;&gt;ReconciliationData[[#This Row],[Billed_Units]]),1,0)</f>
        <v>0</v>
      </c>
      <c r="R27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65">
        <f>IF(AND(NOT(ISBLANK(ReconciliationData[[#This Row],[Contract_Price]])),ReconciliationData[[#This Row],[Billed_Price]]&lt;&gt;ReconciliationData[[#This Row],[Contract_Price]]),1,0)</f>
        <v>0</v>
      </c>
      <c r="T2765">
        <f>IF(AND(NOT(ISBLANK(ReconciliationData[[#This Row],[End_Date]])),ReconciliationData[[#This Row],[Order_Date]]&gt;ReconciliationData[[#This Row],[End_Date]]),1,0)</f>
        <v>0</v>
      </c>
      <c r="U2765">
        <f>IF(AND(NOT(ISBLANK(ReconciliationData[[#This Row],[last_return_date]])),ReconciliationData[[#This Row],[last_return_date]]&gt;ReconciliationData[[#This Row],[Order_Date]]+60),1,0)</f>
        <v>0</v>
      </c>
      <c r="V2765">
        <f>IF(ReconciliationData[[#This Row],[total_returned_units]]&gt;ReconciliationData[[#This Row],[ordered_units]],1,0)</f>
        <v>0</v>
      </c>
      <c r="W27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65">
        <f>ReconciliationData[[#This Row],[Billed_Units]]*ReconciliationData[[#This Row],[Billed_Price]]</f>
        <v>58941.75</v>
      </c>
      <c r="Y2765">
        <f>ReconciliationData[[#This Row],[ordered_units]]*ReconciliationData[[#This Row],[List_Price]]</f>
        <v>58941.75</v>
      </c>
      <c r="Z2765">
        <f>ReconciliationData[[#This Row],[billed_revenue]]-ReconciliationData[[#This Row],[expected_revenue]]</f>
        <v>0</v>
      </c>
      <c r="AA27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65" t="str">
        <f>IF(ReconciliationData[[#This Row],[severity_score]]=0,"LOW",
 IF(ReconciliationData[[#This Row],[severity_score]]&lt;=5,"MEDIUM","HIGH"))</f>
        <v>LOW</v>
      </c>
      <c r="AC2765" t="str">
        <f>TEXT(ReconciliationData[[#This Row],[Order_Date]],"YYYY-MM")</f>
        <v>2024-02</v>
      </c>
    </row>
    <row r="2766" spans="1:29">
      <c r="A2766" t="s">
        <v>6739</v>
      </c>
      <c r="B2766" s="1">
        <v>45418</v>
      </c>
      <c r="C2766" t="s">
        <v>1478</v>
      </c>
      <c r="D2766" t="s">
        <v>1146</v>
      </c>
      <c r="E2766">
        <v>88</v>
      </c>
      <c r="F2766" t="s">
        <v>6740</v>
      </c>
      <c r="G2766">
        <v>88</v>
      </c>
      <c r="H2766">
        <v>427.43</v>
      </c>
      <c r="N2766">
        <v>427.43</v>
      </c>
      <c r="O2766" s="1">
        <v>45054</v>
      </c>
      <c r="P2766">
        <f>IF(ISBLANK(ReconciliationData[[#This Row],[Invoice_ID]]),1,0)</f>
        <v>0</v>
      </c>
      <c r="Q2766">
        <f>IF(AND(NOT(ISBLANK(ReconciliationData[[#This Row],[Billed_Units]])),ReconciliationData[[#This Row],[ordered_units]]&lt;&gt;ReconciliationData[[#This Row],[Billed_Units]]),1,0)</f>
        <v>0</v>
      </c>
      <c r="R27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66">
        <f>IF(AND(NOT(ISBLANK(ReconciliationData[[#This Row],[Contract_Price]])),ReconciliationData[[#This Row],[Billed_Price]]&lt;&gt;ReconciliationData[[#This Row],[Contract_Price]]),1,0)</f>
        <v>0</v>
      </c>
      <c r="T2766">
        <f>IF(AND(NOT(ISBLANK(ReconciliationData[[#This Row],[End_Date]])),ReconciliationData[[#This Row],[Order_Date]]&gt;ReconciliationData[[#This Row],[End_Date]]),1,0)</f>
        <v>0</v>
      </c>
      <c r="U2766">
        <f>IF(AND(NOT(ISBLANK(ReconciliationData[[#This Row],[last_return_date]])),ReconciliationData[[#This Row],[last_return_date]]&gt;ReconciliationData[[#This Row],[Order_Date]]+60),1,0)</f>
        <v>0</v>
      </c>
      <c r="V2766">
        <f>IF(ReconciliationData[[#This Row],[total_returned_units]]&gt;ReconciliationData[[#This Row],[ordered_units]],1,0)</f>
        <v>0</v>
      </c>
      <c r="W27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66">
        <f>ReconciliationData[[#This Row],[Billed_Units]]*ReconciliationData[[#This Row],[Billed_Price]]</f>
        <v>37613.840000000004</v>
      </c>
      <c r="Y2766">
        <f>ReconciliationData[[#This Row],[ordered_units]]*ReconciliationData[[#This Row],[List_Price]]</f>
        <v>37613.840000000004</v>
      </c>
      <c r="Z2766">
        <f>ReconciliationData[[#This Row],[billed_revenue]]-ReconciliationData[[#This Row],[expected_revenue]]</f>
        <v>0</v>
      </c>
      <c r="AA27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66" t="str">
        <f>IF(ReconciliationData[[#This Row],[severity_score]]=0,"LOW",
 IF(ReconciliationData[[#This Row],[severity_score]]&lt;=5,"MEDIUM","HIGH"))</f>
        <v>LOW</v>
      </c>
      <c r="AC2766" t="str">
        <f>TEXT(ReconciliationData[[#This Row],[Order_Date]],"YYYY-MM")</f>
        <v>2024-05</v>
      </c>
    </row>
    <row r="2767" spans="1:29">
      <c r="A2767" t="s">
        <v>6741</v>
      </c>
      <c r="B2767" s="1">
        <v>45634</v>
      </c>
      <c r="C2767" t="s">
        <v>2356</v>
      </c>
      <c r="D2767" t="s">
        <v>651</v>
      </c>
      <c r="E2767">
        <v>101</v>
      </c>
      <c r="F2767" t="s">
        <v>6742</v>
      </c>
      <c r="G2767">
        <v>101</v>
      </c>
      <c r="H2767">
        <v>214.6182</v>
      </c>
      <c r="N2767">
        <v>214.6182</v>
      </c>
      <c r="O2767" s="1">
        <v>45116</v>
      </c>
      <c r="P2767">
        <f>IF(ISBLANK(ReconciliationData[[#This Row],[Invoice_ID]]),1,0)</f>
        <v>0</v>
      </c>
      <c r="Q2767">
        <f>IF(AND(NOT(ISBLANK(ReconciliationData[[#This Row],[Billed_Units]])),ReconciliationData[[#This Row],[ordered_units]]&lt;&gt;ReconciliationData[[#This Row],[Billed_Units]]),1,0)</f>
        <v>0</v>
      </c>
      <c r="R27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67">
        <f>IF(AND(NOT(ISBLANK(ReconciliationData[[#This Row],[Contract_Price]])),ReconciliationData[[#This Row],[Billed_Price]]&lt;&gt;ReconciliationData[[#This Row],[Contract_Price]]),1,0)</f>
        <v>0</v>
      </c>
      <c r="T2767">
        <f>IF(AND(NOT(ISBLANK(ReconciliationData[[#This Row],[End_Date]])),ReconciliationData[[#This Row],[Order_Date]]&gt;ReconciliationData[[#This Row],[End_Date]]),1,0)</f>
        <v>0</v>
      </c>
      <c r="U2767">
        <f>IF(AND(NOT(ISBLANK(ReconciliationData[[#This Row],[last_return_date]])),ReconciliationData[[#This Row],[last_return_date]]&gt;ReconciliationData[[#This Row],[Order_Date]]+60),1,0)</f>
        <v>0</v>
      </c>
      <c r="V2767">
        <f>IF(ReconciliationData[[#This Row],[total_returned_units]]&gt;ReconciliationData[[#This Row],[ordered_units]],1,0)</f>
        <v>0</v>
      </c>
      <c r="W27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67">
        <f>ReconciliationData[[#This Row],[Billed_Units]]*ReconciliationData[[#This Row],[Billed_Price]]</f>
        <v>21676.438200000001</v>
      </c>
      <c r="Y2767">
        <f>ReconciliationData[[#This Row],[ordered_units]]*ReconciliationData[[#This Row],[List_Price]]</f>
        <v>21676.438200000001</v>
      </c>
      <c r="Z2767">
        <f>ReconciliationData[[#This Row],[billed_revenue]]-ReconciliationData[[#This Row],[expected_revenue]]</f>
        <v>0</v>
      </c>
      <c r="AA27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67" t="str">
        <f>IF(ReconciliationData[[#This Row],[severity_score]]=0,"LOW",
 IF(ReconciliationData[[#This Row],[severity_score]]&lt;=5,"MEDIUM","HIGH"))</f>
        <v>LOW</v>
      </c>
      <c r="AC2767" t="str">
        <f>TEXT(ReconciliationData[[#This Row],[Order_Date]],"YYYY-MM")</f>
        <v>2024-12</v>
      </c>
    </row>
    <row r="2768" spans="1:29">
      <c r="A2768" t="s">
        <v>6743</v>
      </c>
      <c r="B2768" s="1">
        <v>45161</v>
      </c>
      <c r="C2768" t="s">
        <v>460</v>
      </c>
      <c r="D2768" t="s">
        <v>1571</v>
      </c>
      <c r="E2768">
        <v>16</v>
      </c>
      <c r="F2768" t="s">
        <v>6744</v>
      </c>
      <c r="G2768">
        <v>16</v>
      </c>
      <c r="H2768">
        <v>1226.9154000000001</v>
      </c>
      <c r="I2768">
        <v>17</v>
      </c>
      <c r="J2768" s="1">
        <v>45399</v>
      </c>
      <c r="N2768">
        <v>1226.9154000000001</v>
      </c>
      <c r="O2768" s="1">
        <v>45032</v>
      </c>
      <c r="P2768">
        <f>IF(ISBLANK(ReconciliationData[[#This Row],[Invoice_ID]]),1,0)</f>
        <v>0</v>
      </c>
      <c r="Q2768">
        <f>IF(AND(NOT(ISBLANK(ReconciliationData[[#This Row],[Billed_Units]])),ReconciliationData[[#This Row],[ordered_units]]&lt;&gt;ReconciliationData[[#This Row],[Billed_Units]]),1,0)</f>
        <v>0</v>
      </c>
      <c r="R27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68">
        <f>IF(AND(NOT(ISBLANK(ReconciliationData[[#This Row],[Contract_Price]])),ReconciliationData[[#This Row],[Billed_Price]]&lt;&gt;ReconciliationData[[#This Row],[Contract_Price]]),1,0)</f>
        <v>0</v>
      </c>
      <c r="T2768">
        <f>IF(AND(NOT(ISBLANK(ReconciliationData[[#This Row],[End_Date]])),ReconciliationData[[#This Row],[Order_Date]]&gt;ReconciliationData[[#This Row],[End_Date]]),1,0)</f>
        <v>0</v>
      </c>
      <c r="U2768">
        <f>IF(AND(NOT(ISBLANK(ReconciliationData[[#This Row],[last_return_date]])),ReconciliationData[[#This Row],[last_return_date]]&gt;ReconciliationData[[#This Row],[Order_Date]]+60),1,0)</f>
        <v>1</v>
      </c>
      <c r="V2768">
        <f>IF(ReconciliationData[[#This Row],[total_returned_units]]&gt;ReconciliationData[[#This Row],[ordered_units]],1,0)</f>
        <v>1</v>
      </c>
      <c r="W27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68">
        <f>ReconciliationData[[#This Row],[Billed_Units]]*ReconciliationData[[#This Row],[Billed_Price]]</f>
        <v>19630.646400000001</v>
      </c>
      <c r="Y2768">
        <f>ReconciliationData[[#This Row],[ordered_units]]*ReconciliationData[[#This Row],[List_Price]]</f>
        <v>19630.646400000001</v>
      </c>
      <c r="Z2768">
        <f>ReconciliationData[[#This Row],[billed_revenue]]-ReconciliationData[[#This Row],[expected_revenue]]</f>
        <v>0</v>
      </c>
      <c r="AA27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5</v>
      </c>
      <c r="AB2768" t="str">
        <f>IF(ReconciliationData[[#This Row],[severity_score]]=0,"LOW",
 IF(ReconciliationData[[#This Row],[severity_score]]&lt;=5,"MEDIUM","HIGH"))</f>
        <v>MEDIUM</v>
      </c>
      <c r="AC2768" t="str">
        <f>TEXT(ReconciliationData[[#This Row],[Order_Date]],"YYYY-MM")</f>
        <v>2023-08</v>
      </c>
    </row>
    <row r="2769" spans="1:29">
      <c r="A2769" t="s">
        <v>6745</v>
      </c>
      <c r="B2769" s="1">
        <v>45152</v>
      </c>
      <c r="C2769" t="s">
        <v>797</v>
      </c>
      <c r="D2769" t="s">
        <v>333</v>
      </c>
      <c r="E2769">
        <v>151</v>
      </c>
      <c r="F2769" t="s">
        <v>6746</v>
      </c>
      <c r="G2769">
        <v>151</v>
      </c>
      <c r="H2769">
        <v>1144.1684</v>
      </c>
      <c r="N2769">
        <v>1144.1684</v>
      </c>
      <c r="O2769" s="1">
        <v>44955</v>
      </c>
      <c r="P2769">
        <f>IF(ISBLANK(ReconciliationData[[#This Row],[Invoice_ID]]),1,0)</f>
        <v>0</v>
      </c>
      <c r="Q2769">
        <f>IF(AND(NOT(ISBLANK(ReconciliationData[[#This Row],[Billed_Units]])),ReconciliationData[[#This Row],[ordered_units]]&lt;&gt;ReconciliationData[[#This Row],[Billed_Units]]),1,0)</f>
        <v>0</v>
      </c>
      <c r="R27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69">
        <f>IF(AND(NOT(ISBLANK(ReconciliationData[[#This Row],[Contract_Price]])),ReconciliationData[[#This Row],[Billed_Price]]&lt;&gt;ReconciliationData[[#This Row],[Contract_Price]]),1,0)</f>
        <v>0</v>
      </c>
      <c r="T2769">
        <f>IF(AND(NOT(ISBLANK(ReconciliationData[[#This Row],[End_Date]])),ReconciliationData[[#This Row],[Order_Date]]&gt;ReconciliationData[[#This Row],[End_Date]]),1,0)</f>
        <v>0</v>
      </c>
      <c r="U2769">
        <f>IF(AND(NOT(ISBLANK(ReconciliationData[[#This Row],[last_return_date]])),ReconciliationData[[#This Row],[last_return_date]]&gt;ReconciliationData[[#This Row],[Order_Date]]+60),1,0)</f>
        <v>0</v>
      </c>
      <c r="V2769">
        <f>IF(ReconciliationData[[#This Row],[total_returned_units]]&gt;ReconciliationData[[#This Row],[ordered_units]],1,0)</f>
        <v>0</v>
      </c>
      <c r="W27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69">
        <f>ReconciliationData[[#This Row],[Billed_Units]]*ReconciliationData[[#This Row],[Billed_Price]]</f>
        <v>172769.4284</v>
      </c>
      <c r="Y2769">
        <f>ReconciliationData[[#This Row],[ordered_units]]*ReconciliationData[[#This Row],[List_Price]]</f>
        <v>172769.4284</v>
      </c>
      <c r="Z2769">
        <f>ReconciliationData[[#This Row],[billed_revenue]]-ReconciliationData[[#This Row],[expected_revenue]]</f>
        <v>0</v>
      </c>
      <c r="AA27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69" t="str">
        <f>IF(ReconciliationData[[#This Row],[severity_score]]=0,"LOW",
 IF(ReconciliationData[[#This Row],[severity_score]]&lt;=5,"MEDIUM","HIGH"))</f>
        <v>LOW</v>
      </c>
      <c r="AC2769" t="str">
        <f>TEXT(ReconciliationData[[#This Row],[Order_Date]],"YYYY-MM")</f>
        <v>2023-08</v>
      </c>
    </row>
    <row r="2770" spans="1:29">
      <c r="A2770" t="s">
        <v>6747</v>
      </c>
      <c r="B2770" s="1">
        <v>45404</v>
      </c>
      <c r="C2770" t="s">
        <v>933</v>
      </c>
      <c r="D2770" t="s">
        <v>1354</v>
      </c>
      <c r="E2770">
        <v>167</v>
      </c>
      <c r="F2770" t="s">
        <v>6748</v>
      </c>
      <c r="G2770">
        <v>167</v>
      </c>
      <c r="H2770">
        <v>60.239800000000002</v>
      </c>
      <c r="N2770">
        <v>60.239800000000002</v>
      </c>
      <c r="O2770" s="1">
        <v>45145</v>
      </c>
      <c r="P2770">
        <f>IF(ISBLANK(ReconciliationData[[#This Row],[Invoice_ID]]),1,0)</f>
        <v>0</v>
      </c>
      <c r="Q2770">
        <f>IF(AND(NOT(ISBLANK(ReconciliationData[[#This Row],[Billed_Units]])),ReconciliationData[[#This Row],[ordered_units]]&lt;&gt;ReconciliationData[[#This Row],[Billed_Units]]),1,0)</f>
        <v>0</v>
      </c>
      <c r="R27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0">
        <f>IF(AND(NOT(ISBLANK(ReconciliationData[[#This Row],[Contract_Price]])),ReconciliationData[[#This Row],[Billed_Price]]&lt;&gt;ReconciliationData[[#This Row],[Contract_Price]]),1,0)</f>
        <v>0</v>
      </c>
      <c r="T2770">
        <f>IF(AND(NOT(ISBLANK(ReconciliationData[[#This Row],[End_Date]])),ReconciliationData[[#This Row],[Order_Date]]&gt;ReconciliationData[[#This Row],[End_Date]]),1,0)</f>
        <v>0</v>
      </c>
      <c r="U2770">
        <f>IF(AND(NOT(ISBLANK(ReconciliationData[[#This Row],[last_return_date]])),ReconciliationData[[#This Row],[last_return_date]]&gt;ReconciliationData[[#This Row],[Order_Date]]+60),1,0)</f>
        <v>0</v>
      </c>
      <c r="V2770">
        <f>IF(ReconciliationData[[#This Row],[total_returned_units]]&gt;ReconciliationData[[#This Row],[ordered_units]],1,0)</f>
        <v>0</v>
      </c>
      <c r="W27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70">
        <f>ReconciliationData[[#This Row],[Billed_Units]]*ReconciliationData[[#This Row],[Billed_Price]]</f>
        <v>10060.0466</v>
      </c>
      <c r="Y2770">
        <f>ReconciliationData[[#This Row],[ordered_units]]*ReconciliationData[[#This Row],[List_Price]]</f>
        <v>10060.0466</v>
      </c>
      <c r="Z2770">
        <f>ReconciliationData[[#This Row],[billed_revenue]]-ReconciliationData[[#This Row],[expected_revenue]]</f>
        <v>0</v>
      </c>
      <c r="AA27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70" t="str">
        <f>IF(ReconciliationData[[#This Row],[severity_score]]=0,"LOW",
 IF(ReconciliationData[[#This Row],[severity_score]]&lt;=5,"MEDIUM","HIGH"))</f>
        <v>LOW</v>
      </c>
      <c r="AC2770" t="str">
        <f>TEXT(ReconciliationData[[#This Row],[Order_Date]],"YYYY-MM")</f>
        <v>2024-04</v>
      </c>
    </row>
    <row r="2771" spans="1:29">
      <c r="A2771" t="s">
        <v>6749</v>
      </c>
      <c r="B2771" s="1">
        <v>45094</v>
      </c>
      <c r="C2771" t="s">
        <v>507</v>
      </c>
      <c r="D2771" t="s">
        <v>1037</v>
      </c>
      <c r="E2771">
        <v>162</v>
      </c>
      <c r="F2771" t="s">
        <v>6750</v>
      </c>
      <c r="G2771">
        <v>162</v>
      </c>
      <c r="H2771">
        <v>579.32940000000008</v>
      </c>
      <c r="N2771">
        <v>579.32940000000008</v>
      </c>
      <c r="O2771" s="1">
        <v>44909</v>
      </c>
      <c r="P2771">
        <f>IF(ISBLANK(ReconciliationData[[#This Row],[Invoice_ID]]),1,0)</f>
        <v>0</v>
      </c>
      <c r="Q2771">
        <f>IF(AND(NOT(ISBLANK(ReconciliationData[[#This Row],[Billed_Units]])),ReconciliationData[[#This Row],[ordered_units]]&lt;&gt;ReconciliationData[[#This Row],[Billed_Units]]),1,0)</f>
        <v>0</v>
      </c>
      <c r="R27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1">
        <f>IF(AND(NOT(ISBLANK(ReconciliationData[[#This Row],[Contract_Price]])),ReconciliationData[[#This Row],[Billed_Price]]&lt;&gt;ReconciliationData[[#This Row],[Contract_Price]]),1,0)</f>
        <v>0</v>
      </c>
      <c r="T2771">
        <f>IF(AND(NOT(ISBLANK(ReconciliationData[[#This Row],[End_Date]])),ReconciliationData[[#This Row],[Order_Date]]&gt;ReconciliationData[[#This Row],[End_Date]]),1,0)</f>
        <v>0</v>
      </c>
      <c r="U2771">
        <f>IF(AND(NOT(ISBLANK(ReconciliationData[[#This Row],[last_return_date]])),ReconciliationData[[#This Row],[last_return_date]]&gt;ReconciliationData[[#This Row],[Order_Date]]+60),1,0)</f>
        <v>0</v>
      </c>
      <c r="V2771">
        <f>IF(ReconciliationData[[#This Row],[total_returned_units]]&gt;ReconciliationData[[#This Row],[ordered_units]],1,0)</f>
        <v>0</v>
      </c>
      <c r="W27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71">
        <f>ReconciliationData[[#This Row],[Billed_Units]]*ReconciliationData[[#This Row],[Billed_Price]]</f>
        <v>93851.362800000017</v>
      </c>
      <c r="Y2771">
        <f>ReconciliationData[[#This Row],[ordered_units]]*ReconciliationData[[#This Row],[List_Price]]</f>
        <v>93851.362800000017</v>
      </c>
      <c r="Z2771">
        <f>ReconciliationData[[#This Row],[billed_revenue]]-ReconciliationData[[#This Row],[expected_revenue]]</f>
        <v>0</v>
      </c>
      <c r="AA27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71" t="str">
        <f>IF(ReconciliationData[[#This Row],[severity_score]]=0,"LOW",
 IF(ReconciliationData[[#This Row],[severity_score]]&lt;=5,"MEDIUM","HIGH"))</f>
        <v>LOW</v>
      </c>
      <c r="AC2771" t="str">
        <f>TEXT(ReconciliationData[[#This Row],[Order_Date]],"YYYY-MM")</f>
        <v>2023-06</v>
      </c>
    </row>
    <row r="2772" spans="1:29">
      <c r="A2772" t="s">
        <v>6751</v>
      </c>
      <c r="B2772" s="1">
        <v>45622</v>
      </c>
      <c r="C2772" t="s">
        <v>933</v>
      </c>
      <c r="D2772" t="s">
        <v>962</v>
      </c>
      <c r="E2772">
        <v>2</v>
      </c>
      <c r="F2772" t="s">
        <v>6752</v>
      </c>
      <c r="G2772">
        <v>2</v>
      </c>
      <c r="H2772">
        <v>709.52</v>
      </c>
      <c r="N2772">
        <v>709.52</v>
      </c>
      <c r="O2772" s="1">
        <v>44952</v>
      </c>
      <c r="P2772">
        <f>IF(ISBLANK(ReconciliationData[[#This Row],[Invoice_ID]]),1,0)</f>
        <v>0</v>
      </c>
      <c r="Q2772">
        <f>IF(AND(NOT(ISBLANK(ReconciliationData[[#This Row],[Billed_Units]])),ReconciliationData[[#This Row],[ordered_units]]&lt;&gt;ReconciliationData[[#This Row],[Billed_Units]]),1,0)</f>
        <v>0</v>
      </c>
      <c r="R27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2">
        <f>IF(AND(NOT(ISBLANK(ReconciliationData[[#This Row],[Contract_Price]])),ReconciliationData[[#This Row],[Billed_Price]]&lt;&gt;ReconciliationData[[#This Row],[Contract_Price]]),1,0)</f>
        <v>0</v>
      </c>
      <c r="T2772">
        <f>IF(AND(NOT(ISBLANK(ReconciliationData[[#This Row],[End_Date]])),ReconciliationData[[#This Row],[Order_Date]]&gt;ReconciliationData[[#This Row],[End_Date]]),1,0)</f>
        <v>0</v>
      </c>
      <c r="U2772">
        <f>IF(AND(NOT(ISBLANK(ReconciliationData[[#This Row],[last_return_date]])),ReconciliationData[[#This Row],[last_return_date]]&gt;ReconciliationData[[#This Row],[Order_Date]]+60),1,0)</f>
        <v>0</v>
      </c>
      <c r="V2772">
        <f>IF(ReconciliationData[[#This Row],[total_returned_units]]&gt;ReconciliationData[[#This Row],[ordered_units]],1,0)</f>
        <v>0</v>
      </c>
      <c r="W27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72">
        <f>ReconciliationData[[#This Row],[Billed_Units]]*ReconciliationData[[#This Row],[Billed_Price]]</f>
        <v>1419.04</v>
      </c>
      <c r="Y2772">
        <f>ReconciliationData[[#This Row],[ordered_units]]*ReconciliationData[[#This Row],[List_Price]]</f>
        <v>1419.04</v>
      </c>
      <c r="Z2772">
        <f>ReconciliationData[[#This Row],[billed_revenue]]-ReconciliationData[[#This Row],[expected_revenue]]</f>
        <v>0</v>
      </c>
      <c r="AA27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72" t="str">
        <f>IF(ReconciliationData[[#This Row],[severity_score]]=0,"LOW",
 IF(ReconciliationData[[#This Row],[severity_score]]&lt;=5,"MEDIUM","HIGH"))</f>
        <v>LOW</v>
      </c>
      <c r="AC2772" t="str">
        <f>TEXT(ReconciliationData[[#This Row],[Order_Date]],"YYYY-MM")</f>
        <v>2024-11</v>
      </c>
    </row>
    <row r="2773" spans="1:29">
      <c r="A2773" t="s">
        <v>6753</v>
      </c>
      <c r="B2773" s="1">
        <v>45428</v>
      </c>
      <c r="C2773" t="s">
        <v>3084</v>
      </c>
      <c r="D2773" t="s">
        <v>962</v>
      </c>
      <c r="E2773">
        <v>91</v>
      </c>
      <c r="F2773" t="s">
        <v>6754</v>
      </c>
      <c r="G2773">
        <v>91</v>
      </c>
      <c r="H2773">
        <v>709.52</v>
      </c>
      <c r="N2773">
        <v>709.52</v>
      </c>
      <c r="O2773" s="1">
        <v>44952</v>
      </c>
      <c r="P2773">
        <f>IF(ISBLANK(ReconciliationData[[#This Row],[Invoice_ID]]),1,0)</f>
        <v>0</v>
      </c>
      <c r="Q2773">
        <f>IF(AND(NOT(ISBLANK(ReconciliationData[[#This Row],[Billed_Units]])),ReconciliationData[[#This Row],[ordered_units]]&lt;&gt;ReconciliationData[[#This Row],[Billed_Units]]),1,0)</f>
        <v>0</v>
      </c>
      <c r="R27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3">
        <f>IF(AND(NOT(ISBLANK(ReconciliationData[[#This Row],[Contract_Price]])),ReconciliationData[[#This Row],[Billed_Price]]&lt;&gt;ReconciliationData[[#This Row],[Contract_Price]]),1,0)</f>
        <v>0</v>
      </c>
      <c r="T2773">
        <f>IF(AND(NOT(ISBLANK(ReconciliationData[[#This Row],[End_Date]])),ReconciliationData[[#This Row],[Order_Date]]&gt;ReconciliationData[[#This Row],[End_Date]]),1,0)</f>
        <v>0</v>
      </c>
      <c r="U2773">
        <f>IF(AND(NOT(ISBLANK(ReconciliationData[[#This Row],[last_return_date]])),ReconciliationData[[#This Row],[last_return_date]]&gt;ReconciliationData[[#This Row],[Order_Date]]+60),1,0)</f>
        <v>0</v>
      </c>
      <c r="V2773">
        <f>IF(ReconciliationData[[#This Row],[total_returned_units]]&gt;ReconciliationData[[#This Row],[ordered_units]],1,0)</f>
        <v>0</v>
      </c>
      <c r="W27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73">
        <f>ReconciliationData[[#This Row],[Billed_Units]]*ReconciliationData[[#This Row],[Billed_Price]]</f>
        <v>64566.32</v>
      </c>
      <c r="Y2773">
        <f>ReconciliationData[[#This Row],[ordered_units]]*ReconciliationData[[#This Row],[List_Price]]</f>
        <v>64566.32</v>
      </c>
      <c r="Z2773">
        <f>ReconciliationData[[#This Row],[billed_revenue]]-ReconciliationData[[#This Row],[expected_revenue]]</f>
        <v>0</v>
      </c>
      <c r="AA27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73" t="str">
        <f>IF(ReconciliationData[[#This Row],[severity_score]]=0,"LOW",
 IF(ReconciliationData[[#This Row],[severity_score]]&lt;=5,"MEDIUM","HIGH"))</f>
        <v>LOW</v>
      </c>
      <c r="AC2773" t="str">
        <f>TEXT(ReconciliationData[[#This Row],[Order_Date]],"YYYY-MM")</f>
        <v>2024-05</v>
      </c>
    </row>
    <row r="2774" spans="1:29">
      <c r="A2774" t="s">
        <v>6755</v>
      </c>
      <c r="B2774" s="1">
        <v>45206</v>
      </c>
      <c r="C2774" t="s">
        <v>2091</v>
      </c>
      <c r="D2774" t="s">
        <v>162</v>
      </c>
      <c r="E2774">
        <v>140</v>
      </c>
      <c r="F2774" t="s">
        <v>6756</v>
      </c>
      <c r="G2774">
        <v>140</v>
      </c>
      <c r="H2774">
        <v>510.91840000000002</v>
      </c>
      <c r="N2774">
        <v>510.91840000000002</v>
      </c>
      <c r="O2774" s="1">
        <v>44981</v>
      </c>
      <c r="P2774">
        <f>IF(ISBLANK(ReconciliationData[[#This Row],[Invoice_ID]]),1,0)</f>
        <v>0</v>
      </c>
      <c r="Q2774">
        <f>IF(AND(NOT(ISBLANK(ReconciliationData[[#This Row],[Billed_Units]])),ReconciliationData[[#This Row],[ordered_units]]&lt;&gt;ReconciliationData[[#This Row],[Billed_Units]]),1,0)</f>
        <v>0</v>
      </c>
      <c r="R27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4">
        <f>IF(AND(NOT(ISBLANK(ReconciliationData[[#This Row],[Contract_Price]])),ReconciliationData[[#This Row],[Billed_Price]]&lt;&gt;ReconciliationData[[#This Row],[Contract_Price]]),1,0)</f>
        <v>0</v>
      </c>
      <c r="T2774">
        <f>IF(AND(NOT(ISBLANK(ReconciliationData[[#This Row],[End_Date]])),ReconciliationData[[#This Row],[Order_Date]]&gt;ReconciliationData[[#This Row],[End_Date]]),1,0)</f>
        <v>0</v>
      </c>
      <c r="U2774">
        <f>IF(AND(NOT(ISBLANK(ReconciliationData[[#This Row],[last_return_date]])),ReconciliationData[[#This Row],[last_return_date]]&gt;ReconciliationData[[#This Row],[Order_Date]]+60),1,0)</f>
        <v>0</v>
      </c>
      <c r="V2774">
        <f>IF(ReconciliationData[[#This Row],[total_returned_units]]&gt;ReconciliationData[[#This Row],[ordered_units]],1,0)</f>
        <v>0</v>
      </c>
      <c r="W27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74">
        <f>ReconciliationData[[#This Row],[Billed_Units]]*ReconciliationData[[#This Row],[Billed_Price]]</f>
        <v>71528.576000000001</v>
      </c>
      <c r="Y2774">
        <f>ReconciliationData[[#This Row],[ordered_units]]*ReconciliationData[[#This Row],[List_Price]]</f>
        <v>71528.576000000001</v>
      </c>
      <c r="Z2774">
        <f>ReconciliationData[[#This Row],[billed_revenue]]-ReconciliationData[[#This Row],[expected_revenue]]</f>
        <v>0</v>
      </c>
      <c r="AA27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74" t="str">
        <f>IF(ReconciliationData[[#This Row],[severity_score]]=0,"LOW",
 IF(ReconciliationData[[#This Row],[severity_score]]&lt;=5,"MEDIUM","HIGH"))</f>
        <v>LOW</v>
      </c>
      <c r="AC2774" t="str">
        <f>TEXT(ReconciliationData[[#This Row],[Order_Date]],"YYYY-MM")</f>
        <v>2023-10</v>
      </c>
    </row>
    <row r="2775" spans="1:29">
      <c r="A2775" t="s">
        <v>6757</v>
      </c>
      <c r="B2775" s="1">
        <v>44972</v>
      </c>
      <c r="C2775" t="s">
        <v>2086</v>
      </c>
      <c r="D2775" t="s">
        <v>295</v>
      </c>
      <c r="E2775">
        <v>88</v>
      </c>
      <c r="F2775" t="s">
        <v>6758</v>
      </c>
      <c r="G2775">
        <v>88</v>
      </c>
      <c r="H2775">
        <v>838.77149999999995</v>
      </c>
      <c r="N2775">
        <v>838.77149999999995</v>
      </c>
      <c r="O2775" s="1">
        <v>44902</v>
      </c>
      <c r="P2775">
        <f>IF(ISBLANK(ReconciliationData[[#This Row],[Invoice_ID]]),1,0)</f>
        <v>0</v>
      </c>
      <c r="Q2775">
        <f>IF(AND(NOT(ISBLANK(ReconciliationData[[#This Row],[Billed_Units]])),ReconciliationData[[#This Row],[ordered_units]]&lt;&gt;ReconciliationData[[#This Row],[Billed_Units]]),1,0)</f>
        <v>0</v>
      </c>
      <c r="R27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5">
        <f>IF(AND(NOT(ISBLANK(ReconciliationData[[#This Row],[Contract_Price]])),ReconciliationData[[#This Row],[Billed_Price]]&lt;&gt;ReconciliationData[[#This Row],[Contract_Price]]),1,0)</f>
        <v>0</v>
      </c>
      <c r="T2775">
        <f>IF(AND(NOT(ISBLANK(ReconciliationData[[#This Row],[End_Date]])),ReconciliationData[[#This Row],[Order_Date]]&gt;ReconciliationData[[#This Row],[End_Date]]),1,0)</f>
        <v>0</v>
      </c>
      <c r="U2775">
        <f>IF(AND(NOT(ISBLANK(ReconciliationData[[#This Row],[last_return_date]])),ReconciliationData[[#This Row],[last_return_date]]&gt;ReconciliationData[[#This Row],[Order_Date]]+60),1,0)</f>
        <v>0</v>
      </c>
      <c r="V2775">
        <f>IF(ReconciliationData[[#This Row],[total_returned_units]]&gt;ReconciliationData[[#This Row],[ordered_units]],1,0)</f>
        <v>0</v>
      </c>
      <c r="W27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75">
        <f>ReconciliationData[[#This Row],[Billed_Units]]*ReconciliationData[[#This Row],[Billed_Price]]</f>
        <v>73811.891999999993</v>
      </c>
      <c r="Y2775">
        <f>ReconciliationData[[#This Row],[ordered_units]]*ReconciliationData[[#This Row],[List_Price]]</f>
        <v>73811.891999999993</v>
      </c>
      <c r="Z2775">
        <f>ReconciliationData[[#This Row],[billed_revenue]]-ReconciliationData[[#This Row],[expected_revenue]]</f>
        <v>0</v>
      </c>
      <c r="AA27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75" t="str">
        <f>IF(ReconciliationData[[#This Row],[severity_score]]=0,"LOW",
 IF(ReconciliationData[[#This Row],[severity_score]]&lt;=5,"MEDIUM","HIGH"))</f>
        <v>LOW</v>
      </c>
      <c r="AC2775" t="str">
        <f>TEXT(ReconciliationData[[#This Row],[Order_Date]],"YYYY-MM")</f>
        <v>2023-02</v>
      </c>
    </row>
    <row r="2776" spans="1:29">
      <c r="A2776" t="s">
        <v>6759</v>
      </c>
      <c r="B2776" s="1">
        <v>45193</v>
      </c>
      <c r="C2776" t="s">
        <v>6612</v>
      </c>
      <c r="D2776" t="s">
        <v>2187</v>
      </c>
      <c r="E2776">
        <v>107</v>
      </c>
      <c r="F2776" t="s">
        <v>6760</v>
      </c>
      <c r="G2776">
        <v>107</v>
      </c>
      <c r="H2776">
        <v>223.6044</v>
      </c>
      <c r="N2776">
        <v>223.6044</v>
      </c>
      <c r="O2776" s="1">
        <v>45091</v>
      </c>
      <c r="P2776">
        <f>IF(ISBLANK(ReconciliationData[[#This Row],[Invoice_ID]]),1,0)</f>
        <v>0</v>
      </c>
      <c r="Q2776">
        <f>IF(AND(NOT(ISBLANK(ReconciliationData[[#This Row],[Billed_Units]])),ReconciliationData[[#This Row],[ordered_units]]&lt;&gt;ReconciliationData[[#This Row],[Billed_Units]]),1,0)</f>
        <v>0</v>
      </c>
      <c r="R27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6">
        <f>IF(AND(NOT(ISBLANK(ReconciliationData[[#This Row],[Contract_Price]])),ReconciliationData[[#This Row],[Billed_Price]]&lt;&gt;ReconciliationData[[#This Row],[Contract_Price]]),1,0)</f>
        <v>0</v>
      </c>
      <c r="T2776">
        <f>IF(AND(NOT(ISBLANK(ReconciliationData[[#This Row],[End_Date]])),ReconciliationData[[#This Row],[Order_Date]]&gt;ReconciliationData[[#This Row],[End_Date]]),1,0)</f>
        <v>0</v>
      </c>
      <c r="U2776">
        <f>IF(AND(NOT(ISBLANK(ReconciliationData[[#This Row],[last_return_date]])),ReconciliationData[[#This Row],[last_return_date]]&gt;ReconciliationData[[#This Row],[Order_Date]]+60),1,0)</f>
        <v>0</v>
      </c>
      <c r="V2776">
        <f>IF(ReconciliationData[[#This Row],[total_returned_units]]&gt;ReconciliationData[[#This Row],[ordered_units]],1,0)</f>
        <v>0</v>
      </c>
      <c r="W27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76">
        <f>ReconciliationData[[#This Row],[Billed_Units]]*ReconciliationData[[#This Row],[Billed_Price]]</f>
        <v>23925.6708</v>
      </c>
      <c r="Y2776">
        <f>ReconciliationData[[#This Row],[ordered_units]]*ReconciliationData[[#This Row],[List_Price]]</f>
        <v>23925.6708</v>
      </c>
      <c r="Z2776">
        <f>ReconciliationData[[#This Row],[billed_revenue]]-ReconciliationData[[#This Row],[expected_revenue]]</f>
        <v>0</v>
      </c>
      <c r="AA27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76" t="str">
        <f>IF(ReconciliationData[[#This Row],[severity_score]]=0,"LOW",
 IF(ReconciliationData[[#This Row],[severity_score]]&lt;=5,"MEDIUM","HIGH"))</f>
        <v>LOW</v>
      </c>
      <c r="AC2776" t="str">
        <f>TEXT(ReconciliationData[[#This Row],[Order_Date]],"YYYY-MM")</f>
        <v>2023-09</v>
      </c>
    </row>
    <row r="2777" spans="1:29">
      <c r="A2777" t="s">
        <v>6761</v>
      </c>
      <c r="B2777" s="1">
        <v>45171</v>
      </c>
      <c r="C2777" t="s">
        <v>3565</v>
      </c>
      <c r="D2777" t="s">
        <v>1502</v>
      </c>
      <c r="E2777">
        <v>41</v>
      </c>
      <c r="F2777" t="s">
        <v>6762</v>
      </c>
      <c r="G2777">
        <v>41</v>
      </c>
      <c r="H2777">
        <v>307.97520000000003</v>
      </c>
      <c r="N2777">
        <v>307.97520000000003</v>
      </c>
      <c r="O2777" s="1">
        <v>45029</v>
      </c>
      <c r="P2777">
        <f>IF(ISBLANK(ReconciliationData[[#This Row],[Invoice_ID]]),1,0)</f>
        <v>0</v>
      </c>
      <c r="Q2777">
        <f>IF(AND(NOT(ISBLANK(ReconciliationData[[#This Row],[Billed_Units]])),ReconciliationData[[#This Row],[ordered_units]]&lt;&gt;ReconciliationData[[#This Row],[Billed_Units]]),1,0)</f>
        <v>0</v>
      </c>
      <c r="R27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7">
        <f>IF(AND(NOT(ISBLANK(ReconciliationData[[#This Row],[Contract_Price]])),ReconciliationData[[#This Row],[Billed_Price]]&lt;&gt;ReconciliationData[[#This Row],[Contract_Price]]),1,0)</f>
        <v>0</v>
      </c>
      <c r="T2777">
        <f>IF(AND(NOT(ISBLANK(ReconciliationData[[#This Row],[End_Date]])),ReconciliationData[[#This Row],[Order_Date]]&gt;ReconciliationData[[#This Row],[End_Date]]),1,0)</f>
        <v>0</v>
      </c>
      <c r="U2777">
        <f>IF(AND(NOT(ISBLANK(ReconciliationData[[#This Row],[last_return_date]])),ReconciliationData[[#This Row],[last_return_date]]&gt;ReconciliationData[[#This Row],[Order_Date]]+60),1,0)</f>
        <v>0</v>
      </c>
      <c r="V2777">
        <f>IF(ReconciliationData[[#This Row],[total_returned_units]]&gt;ReconciliationData[[#This Row],[ordered_units]],1,0)</f>
        <v>0</v>
      </c>
      <c r="W27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77">
        <f>ReconciliationData[[#This Row],[Billed_Units]]*ReconciliationData[[#This Row],[Billed_Price]]</f>
        <v>12626.983200000001</v>
      </c>
      <c r="Y2777">
        <f>ReconciliationData[[#This Row],[ordered_units]]*ReconciliationData[[#This Row],[List_Price]]</f>
        <v>12626.983200000001</v>
      </c>
      <c r="Z2777">
        <f>ReconciliationData[[#This Row],[billed_revenue]]-ReconciliationData[[#This Row],[expected_revenue]]</f>
        <v>0</v>
      </c>
      <c r="AA27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77" t="str">
        <f>IF(ReconciliationData[[#This Row],[severity_score]]=0,"LOW",
 IF(ReconciliationData[[#This Row],[severity_score]]&lt;=5,"MEDIUM","HIGH"))</f>
        <v>LOW</v>
      </c>
      <c r="AC2777" t="str">
        <f>TEXT(ReconciliationData[[#This Row],[Order_Date]],"YYYY-MM")</f>
        <v>2023-09</v>
      </c>
    </row>
    <row r="2778" spans="1:29">
      <c r="A2778" t="s">
        <v>6763</v>
      </c>
      <c r="B2778" s="1">
        <v>45476</v>
      </c>
      <c r="C2778" t="s">
        <v>1634</v>
      </c>
      <c r="D2778" t="s">
        <v>1878</v>
      </c>
      <c r="E2778">
        <v>200</v>
      </c>
      <c r="F2778" t="s">
        <v>6764</v>
      </c>
      <c r="G2778">
        <v>200</v>
      </c>
      <c r="H2778">
        <v>681.36959999999999</v>
      </c>
      <c r="N2778">
        <v>681.36959999999999</v>
      </c>
      <c r="O2778" s="1">
        <v>45095</v>
      </c>
      <c r="P2778">
        <f>IF(ISBLANK(ReconciliationData[[#This Row],[Invoice_ID]]),1,0)</f>
        <v>0</v>
      </c>
      <c r="Q2778">
        <f>IF(AND(NOT(ISBLANK(ReconciliationData[[#This Row],[Billed_Units]])),ReconciliationData[[#This Row],[ordered_units]]&lt;&gt;ReconciliationData[[#This Row],[Billed_Units]]),1,0)</f>
        <v>0</v>
      </c>
      <c r="R27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8">
        <f>IF(AND(NOT(ISBLANK(ReconciliationData[[#This Row],[Contract_Price]])),ReconciliationData[[#This Row],[Billed_Price]]&lt;&gt;ReconciliationData[[#This Row],[Contract_Price]]),1,0)</f>
        <v>0</v>
      </c>
      <c r="T2778">
        <f>IF(AND(NOT(ISBLANK(ReconciliationData[[#This Row],[End_Date]])),ReconciliationData[[#This Row],[Order_Date]]&gt;ReconciliationData[[#This Row],[End_Date]]),1,0)</f>
        <v>0</v>
      </c>
      <c r="U2778">
        <f>IF(AND(NOT(ISBLANK(ReconciliationData[[#This Row],[last_return_date]])),ReconciliationData[[#This Row],[last_return_date]]&gt;ReconciliationData[[#This Row],[Order_Date]]+60),1,0)</f>
        <v>0</v>
      </c>
      <c r="V2778">
        <f>IF(ReconciliationData[[#This Row],[total_returned_units]]&gt;ReconciliationData[[#This Row],[ordered_units]],1,0)</f>
        <v>0</v>
      </c>
      <c r="W27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78">
        <f>ReconciliationData[[#This Row],[Billed_Units]]*ReconciliationData[[#This Row],[Billed_Price]]</f>
        <v>136273.91999999998</v>
      </c>
      <c r="Y2778">
        <f>ReconciliationData[[#This Row],[ordered_units]]*ReconciliationData[[#This Row],[List_Price]]</f>
        <v>136273.91999999998</v>
      </c>
      <c r="Z2778">
        <f>ReconciliationData[[#This Row],[billed_revenue]]-ReconciliationData[[#This Row],[expected_revenue]]</f>
        <v>0</v>
      </c>
      <c r="AA27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78" t="str">
        <f>IF(ReconciliationData[[#This Row],[severity_score]]=0,"LOW",
 IF(ReconciliationData[[#This Row],[severity_score]]&lt;=5,"MEDIUM","HIGH"))</f>
        <v>LOW</v>
      </c>
      <c r="AC2778" t="str">
        <f>TEXT(ReconciliationData[[#This Row],[Order_Date]],"YYYY-MM")</f>
        <v>2024-07</v>
      </c>
    </row>
    <row r="2779" spans="1:29">
      <c r="A2779" t="s">
        <v>6765</v>
      </c>
      <c r="B2779" s="1">
        <v>45050</v>
      </c>
      <c r="C2779" t="s">
        <v>631</v>
      </c>
      <c r="D2779" t="s">
        <v>206</v>
      </c>
      <c r="E2779">
        <v>197</v>
      </c>
      <c r="F2779" t="s">
        <v>6766</v>
      </c>
      <c r="G2779">
        <v>204</v>
      </c>
      <c r="H2779">
        <v>361.57799999999997</v>
      </c>
      <c r="N2779">
        <v>361.57799999999997</v>
      </c>
      <c r="O2779" s="1">
        <v>44932</v>
      </c>
      <c r="P2779">
        <f>IF(ISBLANK(ReconciliationData[[#This Row],[Invoice_ID]]),1,0)</f>
        <v>0</v>
      </c>
      <c r="Q2779">
        <f>IF(AND(NOT(ISBLANK(ReconciliationData[[#This Row],[Billed_Units]])),ReconciliationData[[#This Row],[ordered_units]]&lt;&gt;ReconciliationData[[#This Row],[Billed_Units]]),1,0)</f>
        <v>1</v>
      </c>
      <c r="R27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79">
        <f>IF(AND(NOT(ISBLANK(ReconciliationData[[#This Row],[Contract_Price]])),ReconciliationData[[#This Row],[Billed_Price]]&lt;&gt;ReconciliationData[[#This Row],[Contract_Price]]),1,0)</f>
        <v>0</v>
      </c>
      <c r="T2779">
        <f>IF(AND(NOT(ISBLANK(ReconciliationData[[#This Row],[End_Date]])),ReconciliationData[[#This Row],[Order_Date]]&gt;ReconciliationData[[#This Row],[End_Date]]),1,0)</f>
        <v>0</v>
      </c>
      <c r="U2779">
        <f>IF(AND(NOT(ISBLANK(ReconciliationData[[#This Row],[last_return_date]])),ReconciliationData[[#This Row],[last_return_date]]&gt;ReconciliationData[[#This Row],[Order_Date]]+60),1,0)</f>
        <v>0</v>
      </c>
      <c r="V2779">
        <f>IF(ReconciliationData[[#This Row],[total_returned_units]]&gt;ReconciliationData[[#This Row],[ordered_units]],1,0)</f>
        <v>0</v>
      </c>
      <c r="W27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79">
        <f>ReconciliationData[[#This Row],[Billed_Units]]*ReconciliationData[[#This Row],[Billed_Price]]</f>
        <v>73761.911999999997</v>
      </c>
      <c r="Y2779">
        <f>ReconciliationData[[#This Row],[ordered_units]]*ReconciliationData[[#This Row],[List_Price]]</f>
        <v>71230.865999999995</v>
      </c>
      <c r="Z2779">
        <f>ReconciliationData[[#This Row],[billed_revenue]]-ReconciliationData[[#This Row],[expected_revenue]]</f>
        <v>2531.0460000000021</v>
      </c>
      <c r="AA27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779" t="str">
        <f>IF(ReconciliationData[[#This Row],[severity_score]]=0,"LOW",
 IF(ReconciliationData[[#This Row],[severity_score]]&lt;=5,"MEDIUM","HIGH"))</f>
        <v>HIGH</v>
      </c>
      <c r="AC2779" t="str">
        <f>TEXT(ReconciliationData[[#This Row],[Order_Date]],"YYYY-MM")</f>
        <v>2023-05</v>
      </c>
    </row>
    <row r="2780" spans="1:29">
      <c r="A2780" t="s">
        <v>6767</v>
      </c>
      <c r="B2780" s="1">
        <v>45565</v>
      </c>
      <c r="C2780" t="s">
        <v>348</v>
      </c>
      <c r="D2780" t="s">
        <v>360</v>
      </c>
      <c r="E2780">
        <v>32</v>
      </c>
      <c r="F2780" t="s">
        <v>6768</v>
      </c>
      <c r="G2780">
        <v>32</v>
      </c>
      <c r="H2780">
        <v>465.21179999999998</v>
      </c>
      <c r="N2780">
        <v>465.21179999999998</v>
      </c>
      <c r="O2780" s="1">
        <v>45137</v>
      </c>
      <c r="P2780">
        <f>IF(ISBLANK(ReconciliationData[[#This Row],[Invoice_ID]]),1,0)</f>
        <v>0</v>
      </c>
      <c r="Q2780">
        <f>IF(AND(NOT(ISBLANK(ReconciliationData[[#This Row],[Billed_Units]])),ReconciliationData[[#This Row],[ordered_units]]&lt;&gt;ReconciliationData[[#This Row],[Billed_Units]]),1,0)</f>
        <v>0</v>
      </c>
      <c r="R27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0">
        <f>IF(AND(NOT(ISBLANK(ReconciliationData[[#This Row],[Contract_Price]])),ReconciliationData[[#This Row],[Billed_Price]]&lt;&gt;ReconciliationData[[#This Row],[Contract_Price]]),1,0)</f>
        <v>0</v>
      </c>
      <c r="T2780">
        <f>IF(AND(NOT(ISBLANK(ReconciliationData[[#This Row],[End_Date]])),ReconciliationData[[#This Row],[Order_Date]]&gt;ReconciliationData[[#This Row],[End_Date]]),1,0)</f>
        <v>0</v>
      </c>
      <c r="U2780">
        <f>IF(AND(NOT(ISBLANK(ReconciliationData[[#This Row],[last_return_date]])),ReconciliationData[[#This Row],[last_return_date]]&gt;ReconciliationData[[#This Row],[Order_Date]]+60),1,0)</f>
        <v>0</v>
      </c>
      <c r="V2780">
        <f>IF(ReconciliationData[[#This Row],[total_returned_units]]&gt;ReconciliationData[[#This Row],[ordered_units]],1,0)</f>
        <v>0</v>
      </c>
      <c r="W27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80">
        <f>ReconciliationData[[#This Row],[Billed_Units]]*ReconciliationData[[#This Row],[Billed_Price]]</f>
        <v>14886.777599999999</v>
      </c>
      <c r="Y2780">
        <f>ReconciliationData[[#This Row],[ordered_units]]*ReconciliationData[[#This Row],[List_Price]]</f>
        <v>14886.777599999999</v>
      </c>
      <c r="Z2780">
        <f>ReconciliationData[[#This Row],[billed_revenue]]-ReconciliationData[[#This Row],[expected_revenue]]</f>
        <v>0</v>
      </c>
      <c r="AA27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80" t="str">
        <f>IF(ReconciliationData[[#This Row],[severity_score]]=0,"LOW",
 IF(ReconciliationData[[#This Row],[severity_score]]&lt;=5,"MEDIUM","HIGH"))</f>
        <v>LOW</v>
      </c>
      <c r="AC2780" t="str">
        <f>TEXT(ReconciliationData[[#This Row],[Order_Date]],"YYYY-MM")</f>
        <v>2024-09</v>
      </c>
    </row>
    <row r="2781" spans="1:29">
      <c r="A2781" t="s">
        <v>6769</v>
      </c>
      <c r="B2781" s="1">
        <v>45237</v>
      </c>
      <c r="C2781" t="s">
        <v>3473</v>
      </c>
      <c r="D2781" t="s">
        <v>891</v>
      </c>
      <c r="E2781">
        <v>185</v>
      </c>
      <c r="F2781" t="s">
        <v>6770</v>
      </c>
      <c r="G2781">
        <v>185</v>
      </c>
      <c r="H2781">
        <v>680.30940000000021</v>
      </c>
      <c r="N2781">
        <v>680.30940000000021</v>
      </c>
      <c r="O2781" s="1">
        <v>44934</v>
      </c>
      <c r="P2781">
        <f>IF(ISBLANK(ReconciliationData[[#This Row],[Invoice_ID]]),1,0)</f>
        <v>0</v>
      </c>
      <c r="Q2781">
        <f>IF(AND(NOT(ISBLANK(ReconciliationData[[#This Row],[Billed_Units]])),ReconciliationData[[#This Row],[ordered_units]]&lt;&gt;ReconciliationData[[#This Row],[Billed_Units]]),1,0)</f>
        <v>0</v>
      </c>
      <c r="R27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1">
        <f>IF(AND(NOT(ISBLANK(ReconciliationData[[#This Row],[Contract_Price]])),ReconciliationData[[#This Row],[Billed_Price]]&lt;&gt;ReconciliationData[[#This Row],[Contract_Price]]),1,0)</f>
        <v>0</v>
      </c>
      <c r="T2781">
        <f>IF(AND(NOT(ISBLANK(ReconciliationData[[#This Row],[End_Date]])),ReconciliationData[[#This Row],[Order_Date]]&gt;ReconciliationData[[#This Row],[End_Date]]),1,0)</f>
        <v>0</v>
      </c>
      <c r="U2781">
        <f>IF(AND(NOT(ISBLANK(ReconciliationData[[#This Row],[last_return_date]])),ReconciliationData[[#This Row],[last_return_date]]&gt;ReconciliationData[[#This Row],[Order_Date]]+60),1,0)</f>
        <v>0</v>
      </c>
      <c r="V2781">
        <f>IF(ReconciliationData[[#This Row],[total_returned_units]]&gt;ReconciliationData[[#This Row],[ordered_units]],1,0)</f>
        <v>0</v>
      </c>
      <c r="W27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81">
        <f>ReconciliationData[[#This Row],[Billed_Units]]*ReconciliationData[[#This Row],[Billed_Price]]</f>
        <v>125857.23900000005</v>
      </c>
      <c r="Y2781">
        <f>ReconciliationData[[#This Row],[ordered_units]]*ReconciliationData[[#This Row],[List_Price]]</f>
        <v>125857.23900000005</v>
      </c>
      <c r="Z2781">
        <f>ReconciliationData[[#This Row],[billed_revenue]]-ReconciliationData[[#This Row],[expected_revenue]]</f>
        <v>0</v>
      </c>
      <c r="AA27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81" t="str">
        <f>IF(ReconciliationData[[#This Row],[severity_score]]=0,"LOW",
 IF(ReconciliationData[[#This Row],[severity_score]]&lt;=5,"MEDIUM","HIGH"))</f>
        <v>LOW</v>
      </c>
      <c r="AC2781" t="str">
        <f>TEXT(ReconciliationData[[#This Row],[Order_Date]],"YYYY-MM")</f>
        <v>2023-11</v>
      </c>
    </row>
    <row r="2782" spans="1:29">
      <c r="A2782" t="s">
        <v>6771</v>
      </c>
      <c r="B2782" s="1">
        <v>45043</v>
      </c>
      <c r="C2782" t="s">
        <v>690</v>
      </c>
      <c r="D2782" t="s">
        <v>2360</v>
      </c>
      <c r="E2782">
        <v>63</v>
      </c>
      <c r="F2782" t="s">
        <v>6772</v>
      </c>
      <c r="G2782">
        <v>63</v>
      </c>
      <c r="H2782">
        <v>852.46560000000011</v>
      </c>
      <c r="N2782">
        <v>852.46560000000011</v>
      </c>
      <c r="O2782" s="1">
        <v>44996</v>
      </c>
      <c r="P2782">
        <f>IF(ISBLANK(ReconciliationData[[#This Row],[Invoice_ID]]),1,0)</f>
        <v>0</v>
      </c>
      <c r="Q2782">
        <f>IF(AND(NOT(ISBLANK(ReconciliationData[[#This Row],[Billed_Units]])),ReconciliationData[[#This Row],[ordered_units]]&lt;&gt;ReconciliationData[[#This Row],[Billed_Units]]),1,0)</f>
        <v>0</v>
      </c>
      <c r="R27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2">
        <f>IF(AND(NOT(ISBLANK(ReconciliationData[[#This Row],[Contract_Price]])),ReconciliationData[[#This Row],[Billed_Price]]&lt;&gt;ReconciliationData[[#This Row],[Contract_Price]]),1,0)</f>
        <v>0</v>
      </c>
      <c r="T2782">
        <f>IF(AND(NOT(ISBLANK(ReconciliationData[[#This Row],[End_Date]])),ReconciliationData[[#This Row],[Order_Date]]&gt;ReconciliationData[[#This Row],[End_Date]]),1,0)</f>
        <v>0</v>
      </c>
      <c r="U2782">
        <f>IF(AND(NOT(ISBLANK(ReconciliationData[[#This Row],[last_return_date]])),ReconciliationData[[#This Row],[last_return_date]]&gt;ReconciliationData[[#This Row],[Order_Date]]+60),1,0)</f>
        <v>0</v>
      </c>
      <c r="V2782">
        <f>IF(ReconciliationData[[#This Row],[total_returned_units]]&gt;ReconciliationData[[#This Row],[ordered_units]],1,0)</f>
        <v>0</v>
      </c>
      <c r="W27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82">
        <f>ReconciliationData[[#This Row],[Billed_Units]]*ReconciliationData[[#This Row],[Billed_Price]]</f>
        <v>53705.332800000004</v>
      </c>
      <c r="Y2782">
        <f>ReconciliationData[[#This Row],[ordered_units]]*ReconciliationData[[#This Row],[List_Price]]</f>
        <v>53705.332800000004</v>
      </c>
      <c r="Z2782">
        <f>ReconciliationData[[#This Row],[billed_revenue]]-ReconciliationData[[#This Row],[expected_revenue]]</f>
        <v>0</v>
      </c>
      <c r="AA27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82" t="str">
        <f>IF(ReconciliationData[[#This Row],[severity_score]]=0,"LOW",
 IF(ReconciliationData[[#This Row],[severity_score]]&lt;=5,"MEDIUM","HIGH"))</f>
        <v>LOW</v>
      </c>
      <c r="AC2782" t="str">
        <f>TEXT(ReconciliationData[[#This Row],[Order_Date]],"YYYY-MM")</f>
        <v>2023-04</v>
      </c>
    </row>
    <row r="2783" spans="1:29">
      <c r="A2783" t="s">
        <v>6773</v>
      </c>
      <c r="B2783" s="1">
        <v>45629</v>
      </c>
      <c r="C2783" t="s">
        <v>2356</v>
      </c>
      <c r="D2783" t="s">
        <v>3404</v>
      </c>
      <c r="E2783">
        <v>90</v>
      </c>
      <c r="F2783" t="s">
        <v>6774</v>
      </c>
      <c r="G2783">
        <v>90</v>
      </c>
      <c r="H2783">
        <v>850.88400000000001</v>
      </c>
      <c r="N2783">
        <v>850.88400000000001</v>
      </c>
      <c r="O2783" s="1">
        <v>45100</v>
      </c>
      <c r="P2783">
        <f>IF(ISBLANK(ReconciliationData[[#This Row],[Invoice_ID]]),1,0)</f>
        <v>0</v>
      </c>
      <c r="Q2783">
        <f>IF(AND(NOT(ISBLANK(ReconciliationData[[#This Row],[Billed_Units]])),ReconciliationData[[#This Row],[ordered_units]]&lt;&gt;ReconciliationData[[#This Row],[Billed_Units]]),1,0)</f>
        <v>0</v>
      </c>
      <c r="R27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3">
        <f>IF(AND(NOT(ISBLANK(ReconciliationData[[#This Row],[Contract_Price]])),ReconciliationData[[#This Row],[Billed_Price]]&lt;&gt;ReconciliationData[[#This Row],[Contract_Price]]),1,0)</f>
        <v>0</v>
      </c>
      <c r="T2783">
        <f>IF(AND(NOT(ISBLANK(ReconciliationData[[#This Row],[End_Date]])),ReconciliationData[[#This Row],[Order_Date]]&gt;ReconciliationData[[#This Row],[End_Date]]),1,0)</f>
        <v>0</v>
      </c>
      <c r="U2783">
        <f>IF(AND(NOT(ISBLANK(ReconciliationData[[#This Row],[last_return_date]])),ReconciliationData[[#This Row],[last_return_date]]&gt;ReconciliationData[[#This Row],[Order_Date]]+60),1,0)</f>
        <v>0</v>
      </c>
      <c r="V2783">
        <f>IF(ReconciliationData[[#This Row],[total_returned_units]]&gt;ReconciliationData[[#This Row],[ordered_units]],1,0)</f>
        <v>0</v>
      </c>
      <c r="W27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83">
        <f>ReconciliationData[[#This Row],[Billed_Units]]*ReconciliationData[[#This Row],[Billed_Price]]</f>
        <v>76579.56</v>
      </c>
      <c r="Y2783">
        <f>ReconciliationData[[#This Row],[ordered_units]]*ReconciliationData[[#This Row],[List_Price]]</f>
        <v>76579.56</v>
      </c>
      <c r="Z2783">
        <f>ReconciliationData[[#This Row],[billed_revenue]]-ReconciliationData[[#This Row],[expected_revenue]]</f>
        <v>0</v>
      </c>
      <c r="AA27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83" t="str">
        <f>IF(ReconciliationData[[#This Row],[severity_score]]=0,"LOW",
 IF(ReconciliationData[[#This Row],[severity_score]]&lt;=5,"MEDIUM","HIGH"))</f>
        <v>LOW</v>
      </c>
      <c r="AC2783" t="str">
        <f>TEXT(ReconciliationData[[#This Row],[Order_Date]],"YYYY-MM")</f>
        <v>2024-12</v>
      </c>
    </row>
    <row r="2784" spans="1:29">
      <c r="A2784" t="s">
        <v>6775</v>
      </c>
      <c r="B2784" s="1">
        <v>45017</v>
      </c>
      <c r="C2784" t="s">
        <v>3196</v>
      </c>
      <c r="D2784" t="s">
        <v>2023</v>
      </c>
      <c r="E2784">
        <v>170</v>
      </c>
      <c r="F2784" t="s">
        <v>6776</v>
      </c>
      <c r="G2784">
        <v>170</v>
      </c>
      <c r="H2784">
        <v>486.65440000000001</v>
      </c>
      <c r="I2784">
        <v>6</v>
      </c>
      <c r="J2784" s="1">
        <v>45187</v>
      </c>
      <c r="N2784">
        <v>486.65440000000001</v>
      </c>
      <c r="O2784" s="1">
        <v>44763</v>
      </c>
      <c r="P2784">
        <f>IF(ISBLANK(ReconciliationData[[#This Row],[Invoice_ID]]),1,0)</f>
        <v>0</v>
      </c>
      <c r="Q2784">
        <f>IF(AND(NOT(ISBLANK(ReconciliationData[[#This Row],[Billed_Units]])),ReconciliationData[[#This Row],[ordered_units]]&lt;&gt;ReconciliationData[[#This Row],[Billed_Units]]),1,0)</f>
        <v>0</v>
      </c>
      <c r="R27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4">
        <f>IF(AND(NOT(ISBLANK(ReconciliationData[[#This Row],[Contract_Price]])),ReconciliationData[[#This Row],[Billed_Price]]&lt;&gt;ReconciliationData[[#This Row],[Contract_Price]]),1,0)</f>
        <v>0</v>
      </c>
      <c r="T2784">
        <f>IF(AND(NOT(ISBLANK(ReconciliationData[[#This Row],[End_Date]])),ReconciliationData[[#This Row],[Order_Date]]&gt;ReconciliationData[[#This Row],[End_Date]]),1,0)</f>
        <v>0</v>
      </c>
      <c r="U2784">
        <f>IF(AND(NOT(ISBLANK(ReconciliationData[[#This Row],[last_return_date]])),ReconciliationData[[#This Row],[last_return_date]]&gt;ReconciliationData[[#This Row],[Order_Date]]+60),1,0)</f>
        <v>1</v>
      </c>
      <c r="V2784">
        <f>IF(ReconciliationData[[#This Row],[total_returned_units]]&gt;ReconciliationData[[#This Row],[ordered_units]],1,0)</f>
        <v>0</v>
      </c>
      <c r="W27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84">
        <f>ReconciliationData[[#This Row],[Billed_Units]]*ReconciliationData[[#This Row],[Billed_Price]]</f>
        <v>82731.248000000007</v>
      </c>
      <c r="Y2784">
        <f>ReconciliationData[[#This Row],[ordered_units]]*ReconciliationData[[#This Row],[List_Price]]</f>
        <v>82731.248000000007</v>
      </c>
      <c r="Z2784">
        <f>ReconciliationData[[#This Row],[billed_revenue]]-ReconciliationData[[#This Row],[expected_revenue]]</f>
        <v>0</v>
      </c>
      <c r="AA27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784" t="str">
        <f>IF(ReconciliationData[[#This Row],[severity_score]]=0,"LOW",
 IF(ReconciliationData[[#This Row],[severity_score]]&lt;=5,"MEDIUM","HIGH"))</f>
        <v>MEDIUM</v>
      </c>
      <c r="AC2784" t="str">
        <f>TEXT(ReconciliationData[[#This Row],[Order_Date]],"YYYY-MM")</f>
        <v>2023-04</v>
      </c>
    </row>
    <row r="2785" spans="1:29">
      <c r="A2785" t="s">
        <v>6777</v>
      </c>
      <c r="B2785" s="1">
        <v>45581</v>
      </c>
      <c r="C2785" t="s">
        <v>2663</v>
      </c>
      <c r="D2785" t="s">
        <v>983</v>
      </c>
      <c r="E2785">
        <v>149</v>
      </c>
      <c r="F2785" t="s">
        <v>6778</v>
      </c>
      <c r="G2785">
        <v>149</v>
      </c>
      <c r="H2785">
        <v>226.1644</v>
      </c>
      <c r="N2785">
        <v>226.1644</v>
      </c>
      <c r="O2785" s="1">
        <v>45139</v>
      </c>
      <c r="P2785">
        <f>IF(ISBLANK(ReconciliationData[[#This Row],[Invoice_ID]]),1,0)</f>
        <v>0</v>
      </c>
      <c r="Q2785">
        <f>IF(AND(NOT(ISBLANK(ReconciliationData[[#This Row],[Billed_Units]])),ReconciliationData[[#This Row],[ordered_units]]&lt;&gt;ReconciliationData[[#This Row],[Billed_Units]]),1,0)</f>
        <v>0</v>
      </c>
      <c r="R27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5">
        <f>IF(AND(NOT(ISBLANK(ReconciliationData[[#This Row],[Contract_Price]])),ReconciliationData[[#This Row],[Billed_Price]]&lt;&gt;ReconciliationData[[#This Row],[Contract_Price]]),1,0)</f>
        <v>0</v>
      </c>
      <c r="T2785">
        <f>IF(AND(NOT(ISBLANK(ReconciliationData[[#This Row],[End_Date]])),ReconciliationData[[#This Row],[Order_Date]]&gt;ReconciliationData[[#This Row],[End_Date]]),1,0)</f>
        <v>0</v>
      </c>
      <c r="U2785">
        <f>IF(AND(NOT(ISBLANK(ReconciliationData[[#This Row],[last_return_date]])),ReconciliationData[[#This Row],[last_return_date]]&gt;ReconciliationData[[#This Row],[Order_Date]]+60),1,0)</f>
        <v>0</v>
      </c>
      <c r="V2785">
        <f>IF(ReconciliationData[[#This Row],[total_returned_units]]&gt;ReconciliationData[[#This Row],[ordered_units]],1,0)</f>
        <v>0</v>
      </c>
      <c r="W27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85">
        <f>ReconciliationData[[#This Row],[Billed_Units]]*ReconciliationData[[#This Row],[Billed_Price]]</f>
        <v>33698.495600000002</v>
      </c>
      <c r="Y2785">
        <f>ReconciliationData[[#This Row],[ordered_units]]*ReconciliationData[[#This Row],[List_Price]]</f>
        <v>33698.495600000002</v>
      </c>
      <c r="Z2785">
        <f>ReconciliationData[[#This Row],[billed_revenue]]-ReconciliationData[[#This Row],[expected_revenue]]</f>
        <v>0</v>
      </c>
      <c r="AA27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85" t="str">
        <f>IF(ReconciliationData[[#This Row],[severity_score]]=0,"LOW",
 IF(ReconciliationData[[#This Row],[severity_score]]&lt;=5,"MEDIUM","HIGH"))</f>
        <v>LOW</v>
      </c>
      <c r="AC2785" t="str">
        <f>TEXT(ReconciliationData[[#This Row],[Order_Date]],"YYYY-MM")</f>
        <v>2024-10</v>
      </c>
    </row>
    <row r="2786" spans="1:29">
      <c r="A2786" t="s">
        <v>6779</v>
      </c>
      <c r="B2786" s="1">
        <v>44967</v>
      </c>
      <c r="C2786" t="s">
        <v>234</v>
      </c>
      <c r="D2786" t="s">
        <v>674</v>
      </c>
      <c r="E2786">
        <v>165</v>
      </c>
      <c r="F2786" t="s">
        <v>6780</v>
      </c>
      <c r="G2786">
        <v>165</v>
      </c>
      <c r="H2786">
        <v>1032.2340000000002</v>
      </c>
      <c r="N2786">
        <v>1032.2340000000002</v>
      </c>
      <c r="O2786" s="1">
        <v>44798</v>
      </c>
      <c r="P2786">
        <f>IF(ISBLANK(ReconciliationData[[#This Row],[Invoice_ID]]),1,0)</f>
        <v>0</v>
      </c>
      <c r="Q2786">
        <f>IF(AND(NOT(ISBLANK(ReconciliationData[[#This Row],[Billed_Units]])),ReconciliationData[[#This Row],[ordered_units]]&lt;&gt;ReconciliationData[[#This Row],[Billed_Units]]),1,0)</f>
        <v>0</v>
      </c>
      <c r="R27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6">
        <f>IF(AND(NOT(ISBLANK(ReconciliationData[[#This Row],[Contract_Price]])),ReconciliationData[[#This Row],[Billed_Price]]&lt;&gt;ReconciliationData[[#This Row],[Contract_Price]]),1,0)</f>
        <v>0</v>
      </c>
      <c r="T2786">
        <f>IF(AND(NOT(ISBLANK(ReconciliationData[[#This Row],[End_Date]])),ReconciliationData[[#This Row],[Order_Date]]&gt;ReconciliationData[[#This Row],[End_Date]]),1,0)</f>
        <v>0</v>
      </c>
      <c r="U2786">
        <f>IF(AND(NOT(ISBLANK(ReconciliationData[[#This Row],[last_return_date]])),ReconciliationData[[#This Row],[last_return_date]]&gt;ReconciliationData[[#This Row],[Order_Date]]+60),1,0)</f>
        <v>0</v>
      </c>
      <c r="V2786">
        <f>IF(ReconciliationData[[#This Row],[total_returned_units]]&gt;ReconciliationData[[#This Row],[ordered_units]],1,0)</f>
        <v>0</v>
      </c>
      <c r="W27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86">
        <f>ReconciliationData[[#This Row],[Billed_Units]]*ReconciliationData[[#This Row],[Billed_Price]]</f>
        <v>170318.61000000002</v>
      </c>
      <c r="Y2786">
        <f>ReconciliationData[[#This Row],[ordered_units]]*ReconciliationData[[#This Row],[List_Price]]</f>
        <v>170318.61000000002</v>
      </c>
      <c r="Z2786">
        <f>ReconciliationData[[#This Row],[billed_revenue]]-ReconciliationData[[#This Row],[expected_revenue]]</f>
        <v>0</v>
      </c>
      <c r="AA27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86" t="str">
        <f>IF(ReconciliationData[[#This Row],[severity_score]]=0,"LOW",
 IF(ReconciliationData[[#This Row],[severity_score]]&lt;=5,"MEDIUM","HIGH"))</f>
        <v>LOW</v>
      </c>
      <c r="AC2786" t="str">
        <f>TEXT(ReconciliationData[[#This Row],[Order_Date]],"YYYY-MM")</f>
        <v>2023-02</v>
      </c>
    </row>
    <row r="2787" spans="1:29">
      <c r="A2787" t="s">
        <v>6781</v>
      </c>
      <c r="B2787" s="1">
        <v>45366</v>
      </c>
      <c r="C2787" t="s">
        <v>1074</v>
      </c>
      <c r="D2787" t="s">
        <v>533</v>
      </c>
      <c r="E2787">
        <v>4</v>
      </c>
      <c r="F2787" t="s">
        <v>6782</v>
      </c>
      <c r="G2787">
        <v>4</v>
      </c>
      <c r="H2787">
        <v>833.73500000000001</v>
      </c>
      <c r="N2787">
        <v>833.73500000000001</v>
      </c>
      <c r="O2787" s="1">
        <v>45167</v>
      </c>
      <c r="P2787">
        <f>IF(ISBLANK(ReconciliationData[[#This Row],[Invoice_ID]]),1,0)</f>
        <v>0</v>
      </c>
      <c r="Q2787">
        <f>IF(AND(NOT(ISBLANK(ReconciliationData[[#This Row],[Billed_Units]])),ReconciliationData[[#This Row],[ordered_units]]&lt;&gt;ReconciliationData[[#This Row],[Billed_Units]]),1,0)</f>
        <v>0</v>
      </c>
      <c r="R27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7">
        <f>IF(AND(NOT(ISBLANK(ReconciliationData[[#This Row],[Contract_Price]])),ReconciliationData[[#This Row],[Billed_Price]]&lt;&gt;ReconciliationData[[#This Row],[Contract_Price]]),1,0)</f>
        <v>0</v>
      </c>
      <c r="T2787">
        <f>IF(AND(NOT(ISBLANK(ReconciliationData[[#This Row],[End_Date]])),ReconciliationData[[#This Row],[Order_Date]]&gt;ReconciliationData[[#This Row],[End_Date]]),1,0)</f>
        <v>0</v>
      </c>
      <c r="U2787">
        <f>IF(AND(NOT(ISBLANK(ReconciliationData[[#This Row],[last_return_date]])),ReconciliationData[[#This Row],[last_return_date]]&gt;ReconciliationData[[#This Row],[Order_Date]]+60),1,0)</f>
        <v>0</v>
      </c>
      <c r="V2787">
        <f>IF(ReconciliationData[[#This Row],[total_returned_units]]&gt;ReconciliationData[[#This Row],[ordered_units]],1,0)</f>
        <v>0</v>
      </c>
      <c r="W27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87">
        <f>ReconciliationData[[#This Row],[Billed_Units]]*ReconciliationData[[#This Row],[Billed_Price]]</f>
        <v>3334.94</v>
      </c>
      <c r="Y2787">
        <f>ReconciliationData[[#This Row],[ordered_units]]*ReconciliationData[[#This Row],[List_Price]]</f>
        <v>3334.94</v>
      </c>
      <c r="Z2787">
        <f>ReconciliationData[[#This Row],[billed_revenue]]-ReconciliationData[[#This Row],[expected_revenue]]</f>
        <v>0</v>
      </c>
      <c r="AA27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87" t="str">
        <f>IF(ReconciliationData[[#This Row],[severity_score]]=0,"LOW",
 IF(ReconciliationData[[#This Row],[severity_score]]&lt;=5,"MEDIUM","HIGH"))</f>
        <v>LOW</v>
      </c>
      <c r="AC2787" t="str">
        <f>TEXT(ReconciliationData[[#This Row],[Order_Date]],"YYYY-MM")</f>
        <v>2024-03</v>
      </c>
    </row>
    <row r="2788" spans="1:29">
      <c r="A2788" t="s">
        <v>6783</v>
      </c>
      <c r="B2788" s="1">
        <v>45446</v>
      </c>
      <c r="C2788" t="s">
        <v>2595</v>
      </c>
      <c r="D2788" t="s">
        <v>880</v>
      </c>
      <c r="E2788">
        <v>154</v>
      </c>
      <c r="F2788" t="s">
        <v>6784</v>
      </c>
      <c r="G2788">
        <v>154</v>
      </c>
      <c r="H2788">
        <v>212.73140000000001</v>
      </c>
      <c r="N2788">
        <v>212.73140000000001</v>
      </c>
      <c r="O2788" s="1">
        <v>45144</v>
      </c>
      <c r="P2788">
        <f>IF(ISBLANK(ReconciliationData[[#This Row],[Invoice_ID]]),1,0)</f>
        <v>0</v>
      </c>
      <c r="Q2788">
        <f>IF(AND(NOT(ISBLANK(ReconciliationData[[#This Row],[Billed_Units]])),ReconciliationData[[#This Row],[ordered_units]]&lt;&gt;ReconciliationData[[#This Row],[Billed_Units]]),1,0)</f>
        <v>0</v>
      </c>
      <c r="R27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8">
        <f>IF(AND(NOT(ISBLANK(ReconciliationData[[#This Row],[Contract_Price]])),ReconciliationData[[#This Row],[Billed_Price]]&lt;&gt;ReconciliationData[[#This Row],[Contract_Price]]),1,0)</f>
        <v>0</v>
      </c>
      <c r="T2788">
        <f>IF(AND(NOT(ISBLANK(ReconciliationData[[#This Row],[End_Date]])),ReconciliationData[[#This Row],[Order_Date]]&gt;ReconciliationData[[#This Row],[End_Date]]),1,0)</f>
        <v>0</v>
      </c>
      <c r="U2788">
        <f>IF(AND(NOT(ISBLANK(ReconciliationData[[#This Row],[last_return_date]])),ReconciliationData[[#This Row],[last_return_date]]&gt;ReconciliationData[[#This Row],[Order_Date]]+60),1,0)</f>
        <v>0</v>
      </c>
      <c r="V2788">
        <f>IF(ReconciliationData[[#This Row],[total_returned_units]]&gt;ReconciliationData[[#This Row],[ordered_units]],1,0)</f>
        <v>0</v>
      </c>
      <c r="W27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88">
        <f>ReconciliationData[[#This Row],[Billed_Units]]*ReconciliationData[[#This Row],[Billed_Price]]</f>
        <v>32760.635600000001</v>
      </c>
      <c r="Y2788">
        <f>ReconciliationData[[#This Row],[ordered_units]]*ReconciliationData[[#This Row],[List_Price]]</f>
        <v>32760.635600000001</v>
      </c>
      <c r="Z2788">
        <f>ReconciliationData[[#This Row],[billed_revenue]]-ReconciliationData[[#This Row],[expected_revenue]]</f>
        <v>0</v>
      </c>
      <c r="AA27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88" t="str">
        <f>IF(ReconciliationData[[#This Row],[severity_score]]=0,"LOW",
 IF(ReconciliationData[[#This Row],[severity_score]]&lt;=5,"MEDIUM","HIGH"))</f>
        <v>LOW</v>
      </c>
      <c r="AC2788" t="str">
        <f>TEXT(ReconciliationData[[#This Row],[Order_Date]],"YYYY-MM")</f>
        <v>2024-06</v>
      </c>
    </row>
    <row r="2789" spans="1:29">
      <c r="A2789" t="s">
        <v>6785</v>
      </c>
      <c r="B2789" s="1">
        <v>45211</v>
      </c>
      <c r="C2789" t="s">
        <v>617</v>
      </c>
      <c r="D2789" t="s">
        <v>798</v>
      </c>
      <c r="E2789">
        <v>83</v>
      </c>
      <c r="F2789" t="s">
        <v>6786</v>
      </c>
      <c r="G2789">
        <v>89</v>
      </c>
      <c r="H2789">
        <v>153.01650000000001</v>
      </c>
      <c r="I2789">
        <v>16</v>
      </c>
      <c r="J2789" s="1">
        <v>45106</v>
      </c>
      <c r="N2789">
        <v>153.01650000000001</v>
      </c>
      <c r="O2789" s="1">
        <v>45064</v>
      </c>
      <c r="P2789">
        <f>IF(ISBLANK(ReconciliationData[[#This Row],[Invoice_ID]]),1,0)</f>
        <v>0</v>
      </c>
      <c r="Q2789">
        <f>IF(AND(NOT(ISBLANK(ReconciliationData[[#This Row],[Billed_Units]])),ReconciliationData[[#This Row],[ordered_units]]&lt;&gt;ReconciliationData[[#This Row],[Billed_Units]]),1,0)</f>
        <v>1</v>
      </c>
      <c r="R27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89">
        <f>IF(AND(NOT(ISBLANK(ReconciliationData[[#This Row],[Contract_Price]])),ReconciliationData[[#This Row],[Billed_Price]]&lt;&gt;ReconciliationData[[#This Row],[Contract_Price]]),1,0)</f>
        <v>0</v>
      </c>
      <c r="T2789">
        <f>IF(AND(NOT(ISBLANK(ReconciliationData[[#This Row],[End_Date]])),ReconciliationData[[#This Row],[Order_Date]]&gt;ReconciliationData[[#This Row],[End_Date]]),1,0)</f>
        <v>0</v>
      </c>
      <c r="U2789">
        <f>IF(AND(NOT(ISBLANK(ReconciliationData[[#This Row],[last_return_date]])),ReconciliationData[[#This Row],[last_return_date]]&gt;ReconciliationData[[#This Row],[Order_Date]]+60),1,0)</f>
        <v>0</v>
      </c>
      <c r="V2789">
        <f>IF(ReconciliationData[[#This Row],[total_returned_units]]&gt;ReconciliationData[[#This Row],[ordered_units]],1,0)</f>
        <v>0</v>
      </c>
      <c r="W27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89">
        <f>ReconciliationData[[#This Row],[Billed_Units]]*ReconciliationData[[#This Row],[Billed_Price]]</f>
        <v>13618.468500000001</v>
      </c>
      <c r="Y2789">
        <f>ReconciliationData[[#This Row],[ordered_units]]*ReconciliationData[[#This Row],[List_Price]]</f>
        <v>12700.369500000001</v>
      </c>
      <c r="Z2789">
        <f>ReconciliationData[[#This Row],[billed_revenue]]-ReconciliationData[[#This Row],[expected_revenue]]</f>
        <v>918.09900000000016</v>
      </c>
      <c r="AA27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789" t="str">
        <f>IF(ReconciliationData[[#This Row],[severity_score]]=0,"LOW",
 IF(ReconciliationData[[#This Row],[severity_score]]&lt;=5,"MEDIUM","HIGH"))</f>
        <v>HIGH</v>
      </c>
      <c r="AC2789" t="str">
        <f>TEXT(ReconciliationData[[#This Row],[Order_Date]],"YYYY-MM")</f>
        <v>2023-10</v>
      </c>
    </row>
    <row r="2790" spans="1:29">
      <c r="A2790" t="s">
        <v>6787</v>
      </c>
      <c r="B2790" s="1">
        <v>45378</v>
      </c>
      <c r="C2790" t="s">
        <v>3388</v>
      </c>
      <c r="D2790" t="s">
        <v>494</v>
      </c>
      <c r="E2790">
        <v>17</v>
      </c>
      <c r="F2790" t="s">
        <v>6788</v>
      </c>
      <c r="G2790">
        <v>17</v>
      </c>
      <c r="H2790">
        <v>262.37120000000004</v>
      </c>
      <c r="N2790">
        <v>262.37120000000004</v>
      </c>
      <c r="O2790" s="1">
        <v>45105</v>
      </c>
      <c r="P2790">
        <f>IF(ISBLANK(ReconciliationData[[#This Row],[Invoice_ID]]),1,0)</f>
        <v>0</v>
      </c>
      <c r="Q2790">
        <f>IF(AND(NOT(ISBLANK(ReconciliationData[[#This Row],[Billed_Units]])),ReconciliationData[[#This Row],[ordered_units]]&lt;&gt;ReconciliationData[[#This Row],[Billed_Units]]),1,0)</f>
        <v>0</v>
      </c>
      <c r="R27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90">
        <f>IF(AND(NOT(ISBLANK(ReconciliationData[[#This Row],[Contract_Price]])),ReconciliationData[[#This Row],[Billed_Price]]&lt;&gt;ReconciliationData[[#This Row],[Contract_Price]]),1,0)</f>
        <v>0</v>
      </c>
      <c r="T2790">
        <f>IF(AND(NOT(ISBLANK(ReconciliationData[[#This Row],[End_Date]])),ReconciliationData[[#This Row],[Order_Date]]&gt;ReconciliationData[[#This Row],[End_Date]]),1,0)</f>
        <v>0</v>
      </c>
      <c r="U2790">
        <f>IF(AND(NOT(ISBLANK(ReconciliationData[[#This Row],[last_return_date]])),ReconciliationData[[#This Row],[last_return_date]]&gt;ReconciliationData[[#This Row],[Order_Date]]+60),1,0)</f>
        <v>0</v>
      </c>
      <c r="V2790">
        <f>IF(ReconciliationData[[#This Row],[total_returned_units]]&gt;ReconciliationData[[#This Row],[ordered_units]],1,0)</f>
        <v>0</v>
      </c>
      <c r="W27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90">
        <f>ReconciliationData[[#This Row],[Billed_Units]]*ReconciliationData[[#This Row],[Billed_Price]]</f>
        <v>4460.3104000000003</v>
      </c>
      <c r="Y2790">
        <f>ReconciliationData[[#This Row],[ordered_units]]*ReconciliationData[[#This Row],[List_Price]]</f>
        <v>4460.3104000000003</v>
      </c>
      <c r="Z2790">
        <f>ReconciliationData[[#This Row],[billed_revenue]]-ReconciliationData[[#This Row],[expected_revenue]]</f>
        <v>0</v>
      </c>
      <c r="AA27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90" t="str">
        <f>IF(ReconciliationData[[#This Row],[severity_score]]=0,"LOW",
 IF(ReconciliationData[[#This Row],[severity_score]]&lt;=5,"MEDIUM","HIGH"))</f>
        <v>LOW</v>
      </c>
      <c r="AC2790" t="str">
        <f>TEXT(ReconciliationData[[#This Row],[Order_Date]],"YYYY-MM")</f>
        <v>2024-03</v>
      </c>
    </row>
    <row r="2791" spans="1:29">
      <c r="A2791" t="s">
        <v>6789</v>
      </c>
      <c r="B2791" s="1">
        <v>45462</v>
      </c>
      <c r="C2791" t="s">
        <v>3800</v>
      </c>
      <c r="D2791" t="s">
        <v>453</v>
      </c>
      <c r="E2791">
        <v>144</v>
      </c>
      <c r="F2791" t="s">
        <v>6790</v>
      </c>
      <c r="G2791">
        <v>144</v>
      </c>
      <c r="H2791">
        <v>1184.9544000000001</v>
      </c>
      <c r="N2791">
        <v>1184.9544000000001</v>
      </c>
      <c r="O2791" s="1">
        <v>45171</v>
      </c>
      <c r="P2791">
        <f>IF(ISBLANK(ReconciliationData[[#This Row],[Invoice_ID]]),1,0)</f>
        <v>0</v>
      </c>
      <c r="Q2791">
        <f>IF(AND(NOT(ISBLANK(ReconciliationData[[#This Row],[Billed_Units]])),ReconciliationData[[#This Row],[ordered_units]]&lt;&gt;ReconciliationData[[#This Row],[Billed_Units]]),1,0)</f>
        <v>0</v>
      </c>
      <c r="R27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91">
        <f>IF(AND(NOT(ISBLANK(ReconciliationData[[#This Row],[Contract_Price]])),ReconciliationData[[#This Row],[Billed_Price]]&lt;&gt;ReconciliationData[[#This Row],[Contract_Price]]),1,0)</f>
        <v>0</v>
      </c>
      <c r="T2791">
        <f>IF(AND(NOT(ISBLANK(ReconciliationData[[#This Row],[End_Date]])),ReconciliationData[[#This Row],[Order_Date]]&gt;ReconciliationData[[#This Row],[End_Date]]),1,0)</f>
        <v>0</v>
      </c>
      <c r="U2791">
        <f>IF(AND(NOT(ISBLANK(ReconciliationData[[#This Row],[last_return_date]])),ReconciliationData[[#This Row],[last_return_date]]&gt;ReconciliationData[[#This Row],[Order_Date]]+60),1,0)</f>
        <v>0</v>
      </c>
      <c r="V2791">
        <f>IF(ReconciliationData[[#This Row],[total_returned_units]]&gt;ReconciliationData[[#This Row],[ordered_units]],1,0)</f>
        <v>0</v>
      </c>
      <c r="W27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91">
        <f>ReconciliationData[[#This Row],[Billed_Units]]*ReconciliationData[[#This Row],[Billed_Price]]</f>
        <v>170633.43360000002</v>
      </c>
      <c r="Y2791">
        <f>ReconciliationData[[#This Row],[ordered_units]]*ReconciliationData[[#This Row],[List_Price]]</f>
        <v>170633.43360000002</v>
      </c>
      <c r="Z2791">
        <f>ReconciliationData[[#This Row],[billed_revenue]]-ReconciliationData[[#This Row],[expected_revenue]]</f>
        <v>0</v>
      </c>
      <c r="AA27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91" t="str">
        <f>IF(ReconciliationData[[#This Row],[severity_score]]=0,"LOW",
 IF(ReconciliationData[[#This Row],[severity_score]]&lt;=5,"MEDIUM","HIGH"))</f>
        <v>LOW</v>
      </c>
      <c r="AC2791" t="str">
        <f>TEXT(ReconciliationData[[#This Row],[Order_Date]],"YYYY-MM")</f>
        <v>2024-06</v>
      </c>
    </row>
    <row r="2792" spans="1:29">
      <c r="A2792" t="s">
        <v>6791</v>
      </c>
      <c r="B2792" s="1">
        <v>45351</v>
      </c>
      <c r="C2792" t="s">
        <v>2162</v>
      </c>
      <c r="D2792" t="s">
        <v>356</v>
      </c>
      <c r="E2792">
        <v>138</v>
      </c>
      <c r="F2792" t="s">
        <v>6792</v>
      </c>
      <c r="G2792">
        <v>138</v>
      </c>
      <c r="H2792">
        <v>393.5586012382837</v>
      </c>
      <c r="N2792">
        <v>393.40140000000002</v>
      </c>
      <c r="O2792" s="1">
        <v>45146</v>
      </c>
      <c r="P2792">
        <f>IF(ISBLANK(ReconciliationData[[#This Row],[Invoice_ID]]),1,0)</f>
        <v>0</v>
      </c>
      <c r="Q2792">
        <f>IF(AND(NOT(ISBLANK(ReconciliationData[[#This Row],[Billed_Units]])),ReconciliationData[[#This Row],[ordered_units]]&lt;&gt;ReconciliationData[[#This Row],[Billed_Units]]),1,0)</f>
        <v>0</v>
      </c>
      <c r="R279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792">
        <f>IF(AND(NOT(ISBLANK(ReconciliationData[[#This Row],[Contract_Price]])),ReconciliationData[[#This Row],[Billed_Price]]&lt;&gt;ReconciliationData[[#This Row],[Contract_Price]]),1,0)</f>
        <v>0</v>
      </c>
      <c r="T2792">
        <f>IF(AND(NOT(ISBLANK(ReconciliationData[[#This Row],[End_Date]])),ReconciliationData[[#This Row],[Order_Date]]&gt;ReconciliationData[[#This Row],[End_Date]]),1,0)</f>
        <v>0</v>
      </c>
      <c r="U2792">
        <f>IF(AND(NOT(ISBLANK(ReconciliationData[[#This Row],[last_return_date]])),ReconciliationData[[#This Row],[last_return_date]]&gt;ReconciliationData[[#This Row],[Order_Date]]+60),1,0)</f>
        <v>0</v>
      </c>
      <c r="V2792">
        <f>IF(ReconciliationData[[#This Row],[total_returned_units]]&gt;ReconciliationData[[#This Row],[ordered_units]],1,0)</f>
        <v>0</v>
      </c>
      <c r="W27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792">
        <f>ReconciliationData[[#This Row],[Billed_Units]]*ReconciliationData[[#This Row],[Billed_Price]]</f>
        <v>54311.086970883152</v>
      </c>
      <c r="Y2792">
        <f>ReconciliationData[[#This Row],[ordered_units]]*ReconciliationData[[#This Row],[List_Price]]</f>
        <v>54289.393200000006</v>
      </c>
      <c r="Z2792">
        <f>ReconciliationData[[#This Row],[billed_revenue]]-ReconciliationData[[#This Row],[expected_revenue]]</f>
        <v>21.693770883146499</v>
      </c>
      <c r="AA27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792" t="str">
        <f>IF(ReconciliationData[[#This Row],[severity_score]]=0,"LOW",
 IF(ReconciliationData[[#This Row],[severity_score]]&lt;=5,"MEDIUM","HIGH"))</f>
        <v>MEDIUM</v>
      </c>
      <c r="AC2792" t="str">
        <f>TEXT(ReconciliationData[[#This Row],[Order_Date]],"YYYY-MM")</f>
        <v>2024-02</v>
      </c>
    </row>
    <row r="2793" spans="1:29">
      <c r="A2793" t="s">
        <v>6793</v>
      </c>
      <c r="B2793" s="1">
        <v>45555</v>
      </c>
      <c r="C2793" t="s">
        <v>157</v>
      </c>
      <c r="D2793" t="s">
        <v>461</v>
      </c>
      <c r="E2793">
        <v>97</v>
      </c>
      <c r="F2793" t="s">
        <v>6794</v>
      </c>
      <c r="G2793">
        <v>97</v>
      </c>
      <c r="H2793">
        <v>1114.2336</v>
      </c>
      <c r="N2793">
        <v>1114.2336</v>
      </c>
      <c r="O2793" s="1">
        <v>45141</v>
      </c>
      <c r="P2793">
        <f>IF(ISBLANK(ReconciliationData[[#This Row],[Invoice_ID]]),1,0)</f>
        <v>0</v>
      </c>
      <c r="Q2793">
        <f>IF(AND(NOT(ISBLANK(ReconciliationData[[#This Row],[Billed_Units]])),ReconciliationData[[#This Row],[ordered_units]]&lt;&gt;ReconciliationData[[#This Row],[Billed_Units]]),1,0)</f>
        <v>0</v>
      </c>
      <c r="R27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93">
        <f>IF(AND(NOT(ISBLANK(ReconciliationData[[#This Row],[Contract_Price]])),ReconciliationData[[#This Row],[Billed_Price]]&lt;&gt;ReconciliationData[[#This Row],[Contract_Price]]),1,0)</f>
        <v>0</v>
      </c>
      <c r="T2793">
        <f>IF(AND(NOT(ISBLANK(ReconciliationData[[#This Row],[End_Date]])),ReconciliationData[[#This Row],[Order_Date]]&gt;ReconciliationData[[#This Row],[End_Date]]),1,0)</f>
        <v>0</v>
      </c>
      <c r="U2793">
        <f>IF(AND(NOT(ISBLANK(ReconciliationData[[#This Row],[last_return_date]])),ReconciliationData[[#This Row],[last_return_date]]&gt;ReconciliationData[[#This Row],[Order_Date]]+60),1,0)</f>
        <v>0</v>
      </c>
      <c r="V2793">
        <f>IF(ReconciliationData[[#This Row],[total_returned_units]]&gt;ReconciliationData[[#This Row],[ordered_units]],1,0)</f>
        <v>0</v>
      </c>
      <c r="W27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93">
        <f>ReconciliationData[[#This Row],[Billed_Units]]*ReconciliationData[[#This Row],[Billed_Price]]</f>
        <v>108080.65920000001</v>
      </c>
      <c r="Y2793">
        <f>ReconciliationData[[#This Row],[ordered_units]]*ReconciliationData[[#This Row],[List_Price]]</f>
        <v>108080.65920000001</v>
      </c>
      <c r="Z2793">
        <f>ReconciliationData[[#This Row],[billed_revenue]]-ReconciliationData[[#This Row],[expected_revenue]]</f>
        <v>0</v>
      </c>
      <c r="AA27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93" t="str">
        <f>IF(ReconciliationData[[#This Row],[severity_score]]=0,"LOW",
 IF(ReconciliationData[[#This Row],[severity_score]]&lt;=5,"MEDIUM","HIGH"))</f>
        <v>LOW</v>
      </c>
      <c r="AC2793" t="str">
        <f>TEXT(ReconciliationData[[#This Row],[Order_Date]],"YYYY-MM")</f>
        <v>2024-09</v>
      </c>
    </row>
    <row r="2794" spans="1:29">
      <c r="A2794" t="s">
        <v>6795</v>
      </c>
      <c r="B2794" s="1">
        <v>45112</v>
      </c>
      <c r="C2794" t="s">
        <v>6796</v>
      </c>
      <c r="D2794" t="s">
        <v>1396</v>
      </c>
      <c r="E2794">
        <v>1</v>
      </c>
      <c r="F2794" t="s">
        <v>6797</v>
      </c>
      <c r="G2794">
        <v>1</v>
      </c>
      <c r="H2794">
        <v>880.66300000000001</v>
      </c>
      <c r="N2794">
        <v>880.66300000000001</v>
      </c>
      <c r="O2794" s="1">
        <v>44966</v>
      </c>
      <c r="P2794">
        <f>IF(ISBLANK(ReconciliationData[[#This Row],[Invoice_ID]]),1,0)</f>
        <v>0</v>
      </c>
      <c r="Q2794">
        <f>IF(AND(NOT(ISBLANK(ReconciliationData[[#This Row],[Billed_Units]])),ReconciliationData[[#This Row],[ordered_units]]&lt;&gt;ReconciliationData[[#This Row],[Billed_Units]]),1,0)</f>
        <v>0</v>
      </c>
      <c r="R27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94">
        <f>IF(AND(NOT(ISBLANK(ReconciliationData[[#This Row],[Contract_Price]])),ReconciliationData[[#This Row],[Billed_Price]]&lt;&gt;ReconciliationData[[#This Row],[Contract_Price]]),1,0)</f>
        <v>0</v>
      </c>
      <c r="T2794">
        <f>IF(AND(NOT(ISBLANK(ReconciliationData[[#This Row],[End_Date]])),ReconciliationData[[#This Row],[Order_Date]]&gt;ReconciliationData[[#This Row],[End_Date]]),1,0)</f>
        <v>0</v>
      </c>
      <c r="U2794">
        <f>IF(AND(NOT(ISBLANK(ReconciliationData[[#This Row],[last_return_date]])),ReconciliationData[[#This Row],[last_return_date]]&gt;ReconciliationData[[#This Row],[Order_Date]]+60),1,0)</f>
        <v>0</v>
      </c>
      <c r="V2794">
        <f>IF(ReconciliationData[[#This Row],[total_returned_units]]&gt;ReconciliationData[[#This Row],[ordered_units]],1,0)</f>
        <v>0</v>
      </c>
      <c r="W27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94">
        <f>ReconciliationData[[#This Row],[Billed_Units]]*ReconciliationData[[#This Row],[Billed_Price]]</f>
        <v>880.66300000000001</v>
      </c>
      <c r="Y2794">
        <f>ReconciliationData[[#This Row],[ordered_units]]*ReconciliationData[[#This Row],[List_Price]]</f>
        <v>880.66300000000001</v>
      </c>
      <c r="Z2794">
        <f>ReconciliationData[[#This Row],[billed_revenue]]-ReconciliationData[[#This Row],[expected_revenue]]</f>
        <v>0</v>
      </c>
      <c r="AA27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94" t="str">
        <f>IF(ReconciliationData[[#This Row],[severity_score]]=0,"LOW",
 IF(ReconciliationData[[#This Row],[severity_score]]&lt;=5,"MEDIUM","HIGH"))</f>
        <v>LOW</v>
      </c>
      <c r="AC2794" t="str">
        <f>TEXT(ReconciliationData[[#This Row],[Order_Date]],"YYYY-MM")</f>
        <v>2023-07</v>
      </c>
    </row>
    <row r="2795" spans="1:29">
      <c r="A2795" t="s">
        <v>6798</v>
      </c>
      <c r="B2795" s="1">
        <v>45296</v>
      </c>
      <c r="C2795" t="s">
        <v>6002</v>
      </c>
      <c r="D2795" t="s">
        <v>1549</v>
      </c>
      <c r="E2795">
        <v>80</v>
      </c>
      <c r="F2795" t="s">
        <v>6799</v>
      </c>
      <c r="G2795">
        <v>80</v>
      </c>
      <c r="H2795">
        <v>234.87090000000001</v>
      </c>
      <c r="N2795">
        <v>234.87090000000001</v>
      </c>
      <c r="O2795" s="1">
        <v>45150</v>
      </c>
      <c r="P2795">
        <f>IF(ISBLANK(ReconciliationData[[#This Row],[Invoice_ID]]),1,0)</f>
        <v>0</v>
      </c>
      <c r="Q2795">
        <f>IF(AND(NOT(ISBLANK(ReconciliationData[[#This Row],[Billed_Units]])),ReconciliationData[[#This Row],[ordered_units]]&lt;&gt;ReconciliationData[[#This Row],[Billed_Units]]),1,0)</f>
        <v>0</v>
      </c>
      <c r="R27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95">
        <f>IF(AND(NOT(ISBLANK(ReconciliationData[[#This Row],[Contract_Price]])),ReconciliationData[[#This Row],[Billed_Price]]&lt;&gt;ReconciliationData[[#This Row],[Contract_Price]]),1,0)</f>
        <v>0</v>
      </c>
      <c r="T2795">
        <f>IF(AND(NOT(ISBLANK(ReconciliationData[[#This Row],[End_Date]])),ReconciliationData[[#This Row],[Order_Date]]&gt;ReconciliationData[[#This Row],[End_Date]]),1,0)</f>
        <v>0</v>
      </c>
      <c r="U2795">
        <f>IF(AND(NOT(ISBLANK(ReconciliationData[[#This Row],[last_return_date]])),ReconciliationData[[#This Row],[last_return_date]]&gt;ReconciliationData[[#This Row],[Order_Date]]+60),1,0)</f>
        <v>0</v>
      </c>
      <c r="V2795">
        <f>IF(ReconciliationData[[#This Row],[total_returned_units]]&gt;ReconciliationData[[#This Row],[ordered_units]],1,0)</f>
        <v>0</v>
      </c>
      <c r="W27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95">
        <f>ReconciliationData[[#This Row],[Billed_Units]]*ReconciliationData[[#This Row],[Billed_Price]]</f>
        <v>18789.671999999999</v>
      </c>
      <c r="Y2795">
        <f>ReconciliationData[[#This Row],[ordered_units]]*ReconciliationData[[#This Row],[List_Price]]</f>
        <v>18789.671999999999</v>
      </c>
      <c r="Z2795">
        <f>ReconciliationData[[#This Row],[billed_revenue]]-ReconciliationData[[#This Row],[expected_revenue]]</f>
        <v>0</v>
      </c>
      <c r="AA27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95" t="str">
        <f>IF(ReconciliationData[[#This Row],[severity_score]]=0,"LOW",
 IF(ReconciliationData[[#This Row],[severity_score]]&lt;=5,"MEDIUM","HIGH"))</f>
        <v>LOW</v>
      </c>
      <c r="AC2795" t="str">
        <f>TEXT(ReconciliationData[[#This Row],[Order_Date]],"YYYY-MM")</f>
        <v>2024-01</v>
      </c>
    </row>
    <row r="2796" spans="1:29">
      <c r="A2796" t="s">
        <v>6800</v>
      </c>
      <c r="B2796" s="1">
        <v>45458</v>
      </c>
      <c r="C2796" t="s">
        <v>1838</v>
      </c>
      <c r="D2796" t="s">
        <v>898</v>
      </c>
      <c r="E2796">
        <v>73</v>
      </c>
      <c r="F2796" t="s">
        <v>6801</v>
      </c>
      <c r="G2796">
        <v>73</v>
      </c>
      <c r="H2796">
        <v>744.98490000000004</v>
      </c>
      <c r="N2796">
        <v>744.98490000000004</v>
      </c>
      <c r="O2796" s="1">
        <v>45138</v>
      </c>
      <c r="P2796">
        <f>IF(ISBLANK(ReconciliationData[[#This Row],[Invoice_ID]]),1,0)</f>
        <v>0</v>
      </c>
      <c r="Q2796">
        <f>IF(AND(NOT(ISBLANK(ReconciliationData[[#This Row],[Billed_Units]])),ReconciliationData[[#This Row],[ordered_units]]&lt;&gt;ReconciliationData[[#This Row],[Billed_Units]]),1,0)</f>
        <v>0</v>
      </c>
      <c r="R27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96">
        <f>IF(AND(NOT(ISBLANK(ReconciliationData[[#This Row],[Contract_Price]])),ReconciliationData[[#This Row],[Billed_Price]]&lt;&gt;ReconciliationData[[#This Row],[Contract_Price]]),1,0)</f>
        <v>0</v>
      </c>
      <c r="T2796">
        <f>IF(AND(NOT(ISBLANK(ReconciliationData[[#This Row],[End_Date]])),ReconciliationData[[#This Row],[Order_Date]]&gt;ReconciliationData[[#This Row],[End_Date]]),1,0)</f>
        <v>0</v>
      </c>
      <c r="U2796">
        <f>IF(AND(NOT(ISBLANK(ReconciliationData[[#This Row],[last_return_date]])),ReconciliationData[[#This Row],[last_return_date]]&gt;ReconciliationData[[#This Row],[Order_Date]]+60),1,0)</f>
        <v>0</v>
      </c>
      <c r="V2796">
        <f>IF(ReconciliationData[[#This Row],[total_returned_units]]&gt;ReconciliationData[[#This Row],[ordered_units]],1,0)</f>
        <v>0</v>
      </c>
      <c r="W27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96">
        <f>ReconciliationData[[#This Row],[Billed_Units]]*ReconciliationData[[#This Row],[Billed_Price]]</f>
        <v>54383.897700000001</v>
      </c>
      <c r="Y2796">
        <f>ReconciliationData[[#This Row],[ordered_units]]*ReconciliationData[[#This Row],[List_Price]]</f>
        <v>54383.897700000001</v>
      </c>
      <c r="Z2796">
        <f>ReconciliationData[[#This Row],[billed_revenue]]-ReconciliationData[[#This Row],[expected_revenue]]</f>
        <v>0</v>
      </c>
      <c r="AA27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96" t="str">
        <f>IF(ReconciliationData[[#This Row],[severity_score]]=0,"LOW",
 IF(ReconciliationData[[#This Row],[severity_score]]&lt;=5,"MEDIUM","HIGH"))</f>
        <v>LOW</v>
      </c>
      <c r="AC2796" t="str">
        <f>TEXT(ReconciliationData[[#This Row],[Order_Date]],"YYYY-MM")</f>
        <v>2024-06</v>
      </c>
    </row>
    <row r="2797" spans="1:29">
      <c r="A2797" t="s">
        <v>6802</v>
      </c>
      <c r="B2797" s="1">
        <v>45592</v>
      </c>
      <c r="C2797" t="s">
        <v>4841</v>
      </c>
      <c r="D2797" t="s">
        <v>1385</v>
      </c>
      <c r="E2797">
        <v>195</v>
      </c>
      <c r="F2797" t="s">
        <v>6803</v>
      </c>
      <c r="G2797">
        <v>195</v>
      </c>
      <c r="H2797">
        <v>287.90559999999999</v>
      </c>
      <c r="N2797">
        <v>287.90559999999999</v>
      </c>
      <c r="O2797" s="1">
        <v>45224</v>
      </c>
      <c r="P2797">
        <f>IF(ISBLANK(ReconciliationData[[#This Row],[Invoice_ID]]),1,0)</f>
        <v>0</v>
      </c>
      <c r="Q2797">
        <f>IF(AND(NOT(ISBLANK(ReconciliationData[[#This Row],[Billed_Units]])),ReconciliationData[[#This Row],[ordered_units]]&lt;&gt;ReconciliationData[[#This Row],[Billed_Units]]),1,0)</f>
        <v>0</v>
      </c>
      <c r="R27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97">
        <f>IF(AND(NOT(ISBLANK(ReconciliationData[[#This Row],[Contract_Price]])),ReconciliationData[[#This Row],[Billed_Price]]&lt;&gt;ReconciliationData[[#This Row],[Contract_Price]]),1,0)</f>
        <v>0</v>
      </c>
      <c r="T2797">
        <f>IF(AND(NOT(ISBLANK(ReconciliationData[[#This Row],[End_Date]])),ReconciliationData[[#This Row],[Order_Date]]&gt;ReconciliationData[[#This Row],[End_Date]]),1,0)</f>
        <v>0</v>
      </c>
      <c r="U2797">
        <f>IF(AND(NOT(ISBLANK(ReconciliationData[[#This Row],[last_return_date]])),ReconciliationData[[#This Row],[last_return_date]]&gt;ReconciliationData[[#This Row],[Order_Date]]+60),1,0)</f>
        <v>0</v>
      </c>
      <c r="V2797">
        <f>IF(ReconciliationData[[#This Row],[total_returned_units]]&gt;ReconciliationData[[#This Row],[ordered_units]],1,0)</f>
        <v>0</v>
      </c>
      <c r="W27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97">
        <f>ReconciliationData[[#This Row],[Billed_Units]]*ReconciliationData[[#This Row],[Billed_Price]]</f>
        <v>56141.591999999997</v>
      </c>
      <c r="Y2797">
        <f>ReconciliationData[[#This Row],[ordered_units]]*ReconciliationData[[#This Row],[List_Price]]</f>
        <v>56141.591999999997</v>
      </c>
      <c r="Z2797">
        <f>ReconciliationData[[#This Row],[billed_revenue]]-ReconciliationData[[#This Row],[expected_revenue]]</f>
        <v>0</v>
      </c>
      <c r="AA27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97" t="str">
        <f>IF(ReconciliationData[[#This Row],[severity_score]]=0,"LOW",
 IF(ReconciliationData[[#This Row],[severity_score]]&lt;=5,"MEDIUM","HIGH"))</f>
        <v>LOW</v>
      </c>
      <c r="AC2797" t="str">
        <f>TEXT(ReconciliationData[[#This Row],[Order_Date]],"YYYY-MM")</f>
        <v>2024-10</v>
      </c>
    </row>
    <row r="2798" spans="1:29">
      <c r="A2798" t="s">
        <v>6804</v>
      </c>
      <c r="B2798" s="1">
        <v>44980</v>
      </c>
      <c r="C2798" t="s">
        <v>2251</v>
      </c>
      <c r="D2798" t="s">
        <v>2471</v>
      </c>
      <c r="E2798">
        <v>19</v>
      </c>
      <c r="F2798" t="s">
        <v>6805</v>
      </c>
      <c r="G2798">
        <v>19</v>
      </c>
      <c r="H2798">
        <v>1077.26</v>
      </c>
      <c r="N2798">
        <v>1077.26</v>
      </c>
      <c r="O2798" s="1">
        <v>44711</v>
      </c>
      <c r="P2798">
        <f>IF(ISBLANK(ReconciliationData[[#This Row],[Invoice_ID]]),1,0)</f>
        <v>0</v>
      </c>
      <c r="Q2798">
        <f>IF(AND(NOT(ISBLANK(ReconciliationData[[#This Row],[Billed_Units]])),ReconciliationData[[#This Row],[ordered_units]]&lt;&gt;ReconciliationData[[#This Row],[Billed_Units]]),1,0)</f>
        <v>0</v>
      </c>
      <c r="R27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98">
        <f>IF(AND(NOT(ISBLANK(ReconciliationData[[#This Row],[Contract_Price]])),ReconciliationData[[#This Row],[Billed_Price]]&lt;&gt;ReconciliationData[[#This Row],[Contract_Price]]),1,0)</f>
        <v>0</v>
      </c>
      <c r="T2798">
        <f>IF(AND(NOT(ISBLANK(ReconciliationData[[#This Row],[End_Date]])),ReconciliationData[[#This Row],[Order_Date]]&gt;ReconciliationData[[#This Row],[End_Date]]),1,0)</f>
        <v>0</v>
      </c>
      <c r="U2798">
        <f>IF(AND(NOT(ISBLANK(ReconciliationData[[#This Row],[last_return_date]])),ReconciliationData[[#This Row],[last_return_date]]&gt;ReconciliationData[[#This Row],[Order_Date]]+60),1,0)</f>
        <v>0</v>
      </c>
      <c r="V2798">
        <f>IF(ReconciliationData[[#This Row],[total_returned_units]]&gt;ReconciliationData[[#This Row],[ordered_units]],1,0)</f>
        <v>0</v>
      </c>
      <c r="W27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98">
        <f>ReconciliationData[[#This Row],[Billed_Units]]*ReconciliationData[[#This Row],[Billed_Price]]</f>
        <v>20467.939999999999</v>
      </c>
      <c r="Y2798">
        <f>ReconciliationData[[#This Row],[ordered_units]]*ReconciliationData[[#This Row],[List_Price]]</f>
        <v>20467.939999999999</v>
      </c>
      <c r="Z2798">
        <f>ReconciliationData[[#This Row],[billed_revenue]]-ReconciliationData[[#This Row],[expected_revenue]]</f>
        <v>0</v>
      </c>
      <c r="AA27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98" t="str">
        <f>IF(ReconciliationData[[#This Row],[severity_score]]=0,"LOW",
 IF(ReconciliationData[[#This Row],[severity_score]]&lt;=5,"MEDIUM","HIGH"))</f>
        <v>LOW</v>
      </c>
      <c r="AC2798" t="str">
        <f>TEXT(ReconciliationData[[#This Row],[Order_Date]],"YYYY-MM")</f>
        <v>2023-02</v>
      </c>
    </row>
    <row r="2799" spans="1:29">
      <c r="A2799" t="s">
        <v>6806</v>
      </c>
      <c r="B2799" s="1">
        <v>45031</v>
      </c>
      <c r="C2799" t="s">
        <v>1558</v>
      </c>
      <c r="D2799" t="s">
        <v>1007</v>
      </c>
      <c r="E2799">
        <v>78</v>
      </c>
      <c r="F2799" t="s">
        <v>6807</v>
      </c>
      <c r="G2799">
        <v>78</v>
      </c>
      <c r="H2799">
        <v>121.13</v>
      </c>
      <c r="N2799">
        <v>121.13</v>
      </c>
      <c r="O2799" s="1">
        <v>44957</v>
      </c>
      <c r="P2799">
        <f>IF(ISBLANK(ReconciliationData[[#This Row],[Invoice_ID]]),1,0)</f>
        <v>0</v>
      </c>
      <c r="Q2799">
        <f>IF(AND(NOT(ISBLANK(ReconciliationData[[#This Row],[Billed_Units]])),ReconciliationData[[#This Row],[ordered_units]]&lt;&gt;ReconciliationData[[#This Row],[Billed_Units]]),1,0)</f>
        <v>0</v>
      </c>
      <c r="R27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799">
        <f>IF(AND(NOT(ISBLANK(ReconciliationData[[#This Row],[Contract_Price]])),ReconciliationData[[#This Row],[Billed_Price]]&lt;&gt;ReconciliationData[[#This Row],[Contract_Price]]),1,0)</f>
        <v>0</v>
      </c>
      <c r="T2799">
        <f>IF(AND(NOT(ISBLANK(ReconciliationData[[#This Row],[End_Date]])),ReconciliationData[[#This Row],[Order_Date]]&gt;ReconciliationData[[#This Row],[End_Date]]),1,0)</f>
        <v>0</v>
      </c>
      <c r="U2799">
        <f>IF(AND(NOT(ISBLANK(ReconciliationData[[#This Row],[last_return_date]])),ReconciliationData[[#This Row],[last_return_date]]&gt;ReconciliationData[[#This Row],[Order_Date]]+60),1,0)</f>
        <v>0</v>
      </c>
      <c r="V2799">
        <f>IF(ReconciliationData[[#This Row],[total_returned_units]]&gt;ReconciliationData[[#This Row],[ordered_units]],1,0)</f>
        <v>0</v>
      </c>
      <c r="W27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799">
        <f>ReconciliationData[[#This Row],[Billed_Units]]*ReconciliationData[[#This Row],[Billed_Price]]</f>
        <v>9448.14</v>
      </c>
      <c r="Y2799">
        <f>ReconciliationData[[#This Row],[ordered_units]]*ReconciliationData[[#This Row],[List_Price]]</f>
        <v>9448.14</v>
      </c>
      <c r="Z2799">
        <f>ReconciliationData[[#This Row],[billed_revenue]]-ReconciliationData[[#This Row],[expected_revenue]]</f>
        <v>0</v>
      </c>
      <c r="AA27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799" t="str">
        <f>IF(ReconciliationData[[#This Row],[severity_score]]=0,"LOW",
 IF(ReconciliationData[[#This Row],[severity_score]]&lt;=5,"MEDIUM","HIGH"))</f>
        <v>LOW</v>
      </c>
      <c r="AC2799" t="str">
        <f>TEXT(ReconciliationData[[#This Row],[Order_Date]],"YYYY-MM")</f>
        <v>2023-04</v>
      </c>
    </row>
    <row r="2800" spans="1:29">
      <c r="A2800" t="s">
        <v>6808</v>
      </c>
      <c r="B2800" s="1">
        <v>45376</v>
      </c>
      <c r="C2800" t="s">
        <v>1391</v>
      </c>
      <c r="D2800" t="s">
        <v>3297</v>
      </c>
      <c r="E2800">
        <v>183</v>
      </c>
      <c r="F2800" t="s">
        <v>6809</v>
      </c>
      <c r="G2800">
        <v>183</v>
      </c>
      <c r="H2800">
        <v>933.43190000000004</v>
      </c>
      <c r="N2800">
        <v>933.43190000000004</v>
      </c>
      <c r="O2800" s="1">
        <v>45011</v>
      </c>
      <c r="P2800">
        <f>IF(ISBLANK(ReconciliationData[[#This Row],[Invoice_ID]]),1,0)</f>
        <v>0</v>
      </c>
      <c r="Q2800">
        <f>IF(AND(NOT(ISBLANK(ReconciliationData[[#This Row],[Billed_Units]])),ReconciliationData[[#This Row],[ordered_units]]&lt;&gt;ReconciliationData[[#This Row],[Billed_Units]]),1,0)</f>
        <v>0</v>
      </c>
      <c r="R28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0">
        <f>IF(AND(NOT(ISBLANK(ReconciliationData[[#This Row],[Contract_Price]])),ReconciliationData[[#This Row],[Billed_Price]]&lt;&gt;ReconciliationData[[#This Row],[Contract_Price]]),1,0)</f>
        <v>0</v>
      </c>
      <c r="T2800">
        <f>IF(AND(NOT(ISBLANK(ReconciliationData[[#This Row],[End_Date]])),ReconciliationData[[#This Row],[Order_Date]]&gt;ReconciliationData[[#This Row],[End_Date]]),1,0)</f>
        <v>0</v>
      </c>
      <c r="U2800">
        <f>IF(AND(NOT(ISBLANK(ReconciliationData[[#This Row],[last_return_date]])),ReconciliationData[[#This Row],[last_return_date]]&gt;ReconciliationData[[#This Row],[Order_Date]]+60),1,0)</f>
        <v>0</v>
      </c>
      <c r="V2800">
        <f>IF(ReconciliationData[[#This Row],[total_returned_units]]&gt;ReconciliationData[[#This Row],[ordered_units]],1,0)</f>
        <v>0</v>
      </c>
      <c r="W28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00">
        <f>ReconciliationData[[#This Row],[Billed_Units]]*ReconciliationData[[#This Row],[Billed_Price]]</f>
        <v>170818.03770000002</v>
      </c>
      <c r="Y2800">
        <f>ReconciliationData[[#This Row],[ordered_units]]*ReconciliationData[[#This Row],[List_Price]]</f>
        <v>170818.03770000002</v>
      </c>
      <c r="Z2800">
        <f>ReconciliationData[[#This Row],[billed_revenue]]-ReconciliationData[[#This Row],[expected_revenue]]</f>
        <v>0</v>
      </c>
      <c r="AA28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00" t="str">
        <f>IF(ReconciliationData[[#This Row],[severity_score]]=0,"LOW",
 IF(ReconciliationData[[#This Row],[severity_score]]&lt;=5,"MEDIUM","HIGH"))</f>
        <v>LOW</v>
      </c>
      <c r="AC2800" t="str">
        <f>TEXT(ReconciliationData[[#This Row],[Order_Date]],"YYYY-MM")</f>
        <v>2024-03</v>
      </c>
    </row>
    <row r="2801" spans="1:29">
      <c r="A2801" t="s">
        <v>6810</v>
      </c>
      <c r="B2801" s="1">
        <v>45085</v>
      </c>
      <c r="C2801" t="s">
        <v>599</v>
      </c>
      <c r="D2801" t="s">
        <v>569</v>
      </c>
      <c r="E2801">
        <v>145</v>
      </c>
      <c r="F2801" t="s">
        <v>6811</v>
      </c>
      <c r="G2801">
        <v>153</v>
      </c>
      <c r="H2801">
        <v>1231.9933000000001</v>
      </c>
      <c r="N2801">
        <v>1231.9933000000001</v>
      </c>
      <c r="O2801" s="1">
        <v>44934</v>
      </c>
      <c r="P2801">
        <f>IF(ISBLANK(ReconciliationData[[#This Row],[Invoice_ID]]),1,0)</f>
        <v>0</v>
      </c>
      <c r="Q2801">
        <f>IF(AND(NOT(ISBLANK(ReconciliationData[[#This Row],[Billed_Units]])),ReconciliationData[[#This Row],[ordered_units]]&lt;&gt;ReconciliationData[[#This Row],[Billed_Units]]),1,0)</f>
        <v>1</v>
      </c>
      <c r="R28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1">
        <f>IF(AND(NOT(ISBLANK(ReconciliationData[[#This Row],[Contract_Price]])),ReconciliationData[[#This Row],[Billed_Price]]&lt;&gt;ReconciliationData[[#This Row],[Contract_Price]]),1,0)</f>
        <v>0</v>
      </c>
      <c r="T2801">
        <f>IF(AND(NOT(ISBLANK(ReconciliationData[[#This Row],[End_Date]])),ReconciliationData[[#This Row],[Order_Date]]&gt;ReconciliationData[[#This Row],[End_Date]]),1,0)</f>
        <v>0</v>
      </c>
      <c r="U2801">
        <f>IF(AND(NOT(ISBLANK(ReconciliationData[[#This Row],[last_return_date]])),ReconciliationData[[#This Row],[last_return_date]]&gt;ReconciliationData[[#This Row],[Order_Date]]+60),1,0)</f>
        <v>0</v>
      </c>
      <c r="V2801">
        <f>IF(ReconciliationData[[#This Row],[total_returned_units]]&gt;ReconciliationData[[#This Row],[ordered_units]],1,0)</f>
        <v>0</v>
      </c>
      <c r="W28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01">
        <f>ReconciliationData[[#This Row],[Billed_Units]]*ReconciliationData[[#This Row],[Billed_Price]]</f>
        <v>188494.9749</v>
      </c>
      <c r="Y2801">
        <f>ReconciliationData[[#This Row],[ordered_units]]*ReconciliationData[[#This Row],[List_Price]]</f>
        <v>178639.02850000001</v>
      </c>
      <c r="Z2801">
        <f>ReconciliationData[[#This Row],[billed_revenue]]-ReconciliationData[[#This Row],[expected_revenue]]</f>
        <v>9855.9463999999862</v>
      </c>
      <c r="AA28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801" t="str">
        <f>IF(ReconciliationData[[#This Row],[severity_score]]=0,"LOW",
 IF(ReconciliationData[[#This Row],[severity_score]]&lt;=5,"MEDIUM","HIGH"))</f>
        <v>HIGH</v>
      </c>
      <c r="AC2801" t="str">
        <f>TEXT(ReconciliationData[[#This Row],[Order_Date]],"YYYY-MM")</f>
        <v>2023-06</v>
      </c>
    </row>
    <row r="2802" spans="1:29">
      <c r="A2802" t="s">
        <v>6812</v>
      </c>
      <c r="B2802" s="1">
        <v>45066</v>
      </c>
      <c r="C2802" t="s">
        <v>3388</v>
      </c>
      <c r="D2802" t="s">
        <v>2331</v>
      </c>
      <c r="E2802">
        <v>91</v>
      </c>
      <c r="F2802" t="s">
        <v>6813</v>
      </c>
      <c r="G2802">
        <v>91</v>
      </c>
      <c r="H2802">
        <v>1012.3984</v>
      </c>
      <c r="N2802">
        <v>1012.3984</v>
      </c>
      <c r="O2802" s="1">
        <v>44798</v>
      </c>
      <c r="P2802">
        <f>IF(ISBLANK(ReconciliationData[[#This Row],[Invoice_ID]]),1,0)</f>
        <v>0</v>
      </c>
      <c r="Q2802">
        <f>IF(AND(NOT(ISBLANK(ReconciliationData[[#This Row],[Billed_Units]])),ReconciliationData[[#This Row],[ordered_units]]&lt;&gt;ReconciliationData[[#This Row],[Billed_Units]]),1,0)</f>
        <v>0</v>
      </c>
      <c r="R28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2">
        <f>IF(AND(NOT(ISBLANK(ReconciliationData[[#This Row],[Contract_Price]])),ReconciliationData[[#This Row],[Billed_Price]]&lt;&gt;ReconciliationData[[#This Row],[Contract_Price]]),1,0)</f>
        <v>0</v>
      </c>
      <c r="T2802">
        <f>IF(AND(NOT(ISBLANK(ReconciliationData[[#This Row],[End_Date]])),ReconciliationData[[#This Row],[Order_Date]]&gt;ReconciliationData[[#This Row],[End_Date]]),1,0)</f>
        <v>0</v>
      </c>
      <c r="U2802">
        <f>IF(AND(NOT(ISBLANK(ReconciliationData[[#This Row],[last_return_date]])),ReconciliationData[[#This Row],[last_return_date]]&gt;ReconciliationData[[#This Row],[Order_Date]]+60),1,0)</f>
        <v>0</v>
      </c>
      <c r="V2802">
        <f>IF(ReconciliationData[[#This Row],[total_returned_units]]&gt;ReconciliationData[[#This Row],[ordered_units]],1,0)</f>
        <v>0</v>
      </c>
      <c r="W28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02">
        <f>ReconciliationData[[#This Row],[Billed_Units]]*ReconciliationData[[#This Row],[Billed_Price]]</f>
        <v>92128.254400000005</v>
      </c>
      <c r="Y2802">
        <f>ReconciliationData[[#This Row],[ordered_units]]*ReconciliationData[[#This Row],[List_Price]]</f>
        <v>92128.254400000005</v>
      </c>
      <c r="Z2802">
        <f>ReconciliationData[[#This Row],[billed_revenue]]-ReconciliationData[[#This Row],[expected_revenue]]</f>
        <v>0</v>
      </c>
      <c r="AA28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02" t="str">
        <f>IF(ReconciliationData[[#This Row],[severity_score]]=0,"LOW",
 IF(ReconciliationData[[#This Row],[severity_score]]&lt;=5,"MEDIUM","HIGH"))</f>
        <v>LOW</v>
      </c>
      <c r="AC2802" t="str">
        <f>TEXT(ReconciliationData[[#This Row],[Order_Date]],"YYYY-MM")</f>
        <v>2023-05</v>
      </c>
    </row>
    <row r="2803" spans="1:29">
      <c r="A2803" t="s">
        <v>6814</v>
      </c>
      <c r="B2803" s="1">
        <v>45509</v>
      </c>
      <c r="C2803" t="s">
        <v>3436</v>
      </c>
      <c r="D2803" t="s">
        <v>556</v>
      </c>
      <c r="E2803">
        <v>42</v>
      </c>
      <c r="F2803" t="s">
        <v>6815</v>
      </c>
      <c r="G2803">
        <v>42</v>
      </c>
      <c r="H2803">
        <v>664.57040000000006</v>
      </c>
      <c r="N2803">
        <v>664.57040000000006</v>
      </c>
      <c r="O2803" s="1">
        <v>45066</v>
      </c>
      <c r="P2803">
        <f>IF(ISBLANK(ReconciliationData[[#This Row],[Invoice_ID]]),1,0)</f>
        <v>0</v>
      </c>
      <c r="Q2803">
        <f>IF(AND(NOT(ISBLANK(ReconciliationData[[#This Row],[Billed_Units]])),ReconciliationData[[#This Row],[ordered_units]]&lt;&gt;ReconciliationData[[#This Row],[Billed_Units]]),1,0)</f>
        <v>0</v>
      </c>
      <c r="R28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3">
        <f>IF(AND(NOT(ISBLANK(ReconciliationData[[#This Row],[Contract_Price]])),ReconciliationData[[#This Row],[Billed_Price]]&lt;&gt;ReconciliationData[[#This Row],[Contract_Price]]),1,0)</f>
        <v>0</v>
      </c>
      <c r="T2803">
        <f>IF(AND(NOT(ISBLANK(ReconciliationData[[#This Row],[End_Date]])),ReconciliationData[[#This Row],[Order_Date]]&gt;ReconciliationData[[#This Row],[End_Date]]),1,0)</f>
        <v>0</v>
      </c>
      <c r="U2803">
        <f>IF(AND(NOT(ISBLANK(ReconciliationData[[#This Row],[last_return_date]])),ReconciliationData[[#This Row],[last_return_date]]&gt;ReconciliationData[[#This Row],[Order_Date]]+60),1,0)</f>
        <v>0</v>
      </c>
      <c r="V2803">
        <f>IF(ReconciliationData[[#This Row],[total_returned_units]]&gt;ReconciliationData[[#This Row],[ordered_units]],1,0)</f>
        <v>0</v>
      </c>
      <c r="W28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03">
        <f>ReconciliationData[[#This Row],[Billed_Units]]*ReconciliationData[[#This Row],[Billed_Price]]</f>
        <v>27911.956800000004</v>
      </c>
      <c r="Y2803">
        <f>ReconciliationData[[#This Row],[ordered_units]]*ReconciliationData[[#This Row],[List_Price]]</f>
        <v>27911.956800000004</v>
      </c>
      <c r="Z2803">
        <f>ReconciliationData[[#This Row],[billed_revenue]]-ReconciliationData[[#This Row],[expected_revenue]]</f>
        <v>0</v>
      </c>
      <c r="AA28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03" t="str">
        <f>IF(ReconciliationData[[#This Row],[severity_score]]=0,"LOW",
 IF(ReconciliationData[[#This Row],[severity_score]]&lt;=5,"MEDIUM","HIGH"))</f>
        <v>LOW</v>
      </c>
      <c r="AC2803" t="str">
        <f>TEXT(ReconciliationData[[#This Row],[Order_Date]],"YYYY-MM")</f>
        <v>2024-08</v>
      </c>
    </row>
    <row r="2804" spans="1:29">
      <c r="A2804" t="s">
        <v>6816</v>
      </c>
      <c r="B2804" s="1">
        <v>45501</v>
      </c>
      <c r="C2804" t="s">
        <v>3949</v>
      </c>
      <c r="D2804" t="s">
        <v>299</v>
      </c>
      <c r="E2804">
        <v>194</v>
      </c>
      <c r="F2804" t="s">
        <v>6817</v>
      </c>
      <c r="G2804">
        <v>194</v>
      </c>
      <c r="H2804">
        <v>182.4273</v>
      </c>
      <c r="N2804">
        <v>182.4273</v>
      </c>
      <c r="O2804" s="1">
        <v>44989</v>
      </c>
      <c r="P2804">
        <f>IF(ISBLANK(ReconciliationData[[#This Row],[Invoice_ID]]),1,0)</f>
        <v>0</v>
      </c>
      <c r="Q2804">
        <f>IF(AND(NOT(ISBLANK(ReconciliationData[[#This Row],[Billed_Units]])),ReconciliationData[[#This Row],[ordered_units]]&lt;&gt;ReconciliationData[[#This Row],[Billed_Units]]),1,0)</f>
        <v>0</v>
      </c>
      <c r="R28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4">
        <f>IF(AND(NOT(ISBLANK(ReconciliationData[[#This Row],[Contract_Price]])),ReconciliationData[[#This Row],[Billed_Price]]&lt;&gt;ReconciliationData[[#This Row],[Contract_Price]]),1,0)</f>
        <v>0</v>
      </c>
      <c r="T2804">
        <f>IF(AND(NOT(ISBLANK(ReconciliationData[[#This Row],[End_Date]])),ReconciliationData[[#This Row],[Order_Date]]&gt;ReconciliationData[[#This Row],[End_Date]]),1,0)</f>
        <v>0</v>
      </c>
      <c r="U2804">
        <f>IF(AND(NOT(ISBLANK(ReconciliationData[[#This Row],[last_return_date]])),ReconciliationData[[#This Row],[last_return_date]]&gt;ReconciliationData[[#This Row],[Order_Date]]+60),1,0)</f>
        <v>0</v>
      </c>
      <c r="V2804">
        <f>IF(ReconciliationData[[#This Row],[total_returned_units]]&gt;ReconciliationData[[#This Row],[ordered_units]],1,0)</f>
        <v>0</v>
      </c>
      <c r="W28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04">
        <f>ReconciliationData[[#This Row],[Billed_Units]]*ReconciliationData[[#This Row],[Billed_Price]]</f>
        <v>35390.896200000003</v>
      </c>
      <c r="Y2804">
        <f>ReconciliationData[[#This Row],[ordered_units]]*ReconciliationData[[#This Row],[List_Price]]</f>
        <v>35390.896200000003</v>
      </c>
      <c r="Z2804">
        <f>ReconciliationData[[#This Row],[billed_revenue]]-ReconciliationData[[#This Row],[expected_revenue]]</f>
        <v>0</v>
      </c>
      <c r="AA28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04" t="str">
        <f>IF(ReconciliationData[[#This Row],[severity_score]]=0,"LOW",
 IF(ReconciliationData[[#This Row],[severity_score]]&lt;=5,"MEDIUM","HIGH"))</f>
        <v>LOW</v>
      </c>
      <c r="AC2804" t="str">
        <f>TEXT(ReconciliationData[[#This Row],[Order_Date]],"YYYY-MM")</f>
        <v>2024-07</v>
      </c>
    </row>
    <row r="2805" spans="1:29">
      <c r="A2805" t="s">
        <v>6818</v>
      </c>
      <c r="B2805" s="1">
        <v>45310</v>
      </c>
      <c r="C2805" t="s">
        <v>2542</v>
      </c>
      <c r="D2805" t="s">
        <v>1245</v>
      </c>
      <c r="E2805">
        <v>167</v>
      </c>
      <c r="F2805" t="s">
        <v>6819</v>
      </c>
      <c r="G2805">
        <v>167</v>
      </c>
      <c r="H2805">
        <v>247.48920000000001</v>
      </c>
      <c r="N2805">
        <v>247.48920000000001</v>
      </c>
      <c r="O2805" s="1">
        <v>45088</v>
      </c>
      <c r="P2805">
        <f>IF(ISBLANK(ReconciliationData[[#This Row],[Invoice_ID]]),1,0)</f>
        <v>0</v>
      </c>
      <c r="Q2805">
        <f>IF(AND(NOT(ISBLANK(ReconciliationData[[#This Row],[Billed_Units]])),ReconciliationData[[#This Row],[ordered_units]]&lt;&gt;ReconciliationData[[#This Row],[Billed_Units]]),1,0)</f>
        <v>0</v>
      </c>
      <c r="R28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5">
        <f>IF(AND(NOT(ISBLANK(ReconciliationData[[#This Row],[Contract_Price]])),ReconciliationData[[#This Row],[Billed_Price]]&lt;&gt;ReconciliationData[[#This Row],[Contract_Price]]),1,0)</f>
        <v>0</v>
      </c>
      <c r="T2805">
        <f>IF(AND(NOT(ISBLANK(ReconciliationData[[#This Row],[End_Date]])),ReconciliationData[[#This Row],[Order_Date]]&gt;ReconciliationData[[#This Row],[End_Date]]),1,0)</f>
        <v>0</v>
      </c>
      <c r="U2805">
        <f>IF(AND(NOT(ISBLANK(ReconciliationData[[#This Row],[last_return_date]])),ReconciliationData[[#This Row],[last_return_date]]&gt;ReconciliationData[[#This Row],[Order_Date]]+60),1,0)</f>
        <v>0</v>
      </c>
      <c r="V2805">
        <f>IF(ReconciliationData[[#This Row],[total_returned_units]]&gt;ReconciliationData[[#This Row],[ordered_units]],1,0)</f>
        <v>0</v>
      </c>
      <c r="W28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05">
        <f>ReconciliationData[[#This Row],[Billed_Units]]*ReconciliationData[[#This Row],[Billed_Price]]</f>
        <v>41330.696400000001</v>
      </c>
      <c r="Y2805">
        <f>ReconciliationData[[#This Row],[ordered_units]]*ReconciliationData[[#This Row],[List_Price]]</f>
        <v>41330.696400000001</v>
      </c>
      <c r="Z2805">
        <f>ReconciliationData[[#This Row],[billed_revenue]]-ReconciliationData[[#This Row],[expected_revenue]]</f>
        <v>0</v>
      </c>
      <c r="AA28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05" t="str">
        <f>IF(ReconciliationData[[#This Row],[severity_score]]=0,"LOW",
 IF(ReconciliationData[[#This Row],[severity_score]]&lt;=5,"MEDIUM","HIGH"))</f>
        <v>LOW</v>
      </c>
      <c r="AC2805" t="str">
        <f>TEXT(ReconciliationData[[#This Row],[Order_Date]],"YYYY-MM")</f>
        <v>2024-01</v>
      </c>
    </row>
    <row r="2806" spans="1:29">
      <c r="A2806" t="s">
        <v>6820</v>
      </c>
      <c r="B2806" s="1">
        <v>45199</v>
      </c>
      <c r="C2806" t="s">
        <v>1818</v>
      </c>
      <c r="D2806" t="s">
        <v>1567</v>
      </c>
      <c r="E2806">
        <v>3</v>
      </c>
      <c r="F2806" t="s">
        <v>6821</v>
      </c>
      <c r="G2806">
        <v>3</v>
      </c>
      <c r="H2806">
        <v>799.8357000000002</v>
      </c>
      <c r="N2806">
        <v>799.8357000000002</v>
      </c>
      <c r="O2806" s="1">
        <v>45063</v>
      </c>
      <c r="P2806">
        <f>IF(ISBLANK(ReconciliationData[[#This Row],[Invoice_ID]]),1,0)</f>
        <v>0</v>
      </c>
      <c r="Q2806">
        <f>IF(AND(NOT(ISBLANK(ReconciliationData[[#This Row],[Billed_Units]])),ReconciliationData[[#This Row],[ordered_units]]&lt;&gt;ReconciliationData[[#This Row],[Billed_Units]]),1,0)</f>
        <v>0</v>
      </c>
      <c r="R28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6">
        <f>IF(AND(NOT(ISBLANK(ReconciliationData[[#This Row],[Contract_Price]])),ReconciliationData[[#This Row],[Billed_Price]]&lt;&gt;ReconciliationData[[#This Row],[Contract_Price]]),1,0)</f>
        <v>0</v>
      </c>
      <c r="T2806">
        <f>IF(AND(NOT(ISBLANK(ReconciliationData[[#This Row],[End_Date]])),ReconciliationData[[#This Row],[Order_Date]]&gt;ReconciliationData[[#This Row],[End_Date]]),1,0)</f>
        <v>0</v>
      </c>
      <c r="U2806">
        <f>IF(AND(NOT(ISBLANK(ReconciliationData[[#This Row],[last_return_date]])),ReconciliationData[[#This Row],[last_return_date]]&gt;ReconciliationData[[#This Row],[Order_Date]]+60),1,0)</f>
        <v>0</v>
      </c>
      <c r="V2806">
        <f>IF(ReconciliationData[[#This Row],[total_returned_units]]&gt;ReconciliationData[[#This Row],[ordered_units]],1,0)</f>
        <v>0</v>
      </c>
      <c r="W28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06">
        <f>ReconciliationData[[#This Row],[Billed_Units]]*ReconciliationData[[#This Row],[Billed_Price]]</f>
        <v>2399.5071000000007</v>
      </c>
      <c r="Y2806">
        <f>ReconciliationData[[#This Row],[ordered_units]]*ReconciliationData[[#This Row],[List_Price]]</f>
        <v>2399.5071000000007</v>
      </c>
      <c r="Z2806">
        <f>ReconciliationData[[#This Row],[billed_revenue]]-ReconciliationData[[#This Row],[expected_revenue]]</f>
        <v>0</v>
      </c>
      <c r="AA28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06" t="str">
        <f>IF(ReconciliationData[[#This Row],[severity_score]]=0,"LOW",
 IF(ReconciliationData[[#This Row],[severity_score]]&lt;=5,"MEDIUM","HIGH"))</f>
        <v>LOW</v>
      </c>
      <c r="AC2806" t="str">
        <f>TEXT(ReconciliationData[[#This Row],[Order_Date]],"YYYY-MM")</f>
        <v>2023-09</v>
      </c>
    </row>
    <row r="2807" spans="1:29">
      <c r="A2807" t="s">
        <v>6822</v>
      </c>
      <c r="B2807" s="1">
        <v>45091</v>
      </c>
      <c r="C2807" t="s">
        <v>2673</v>
      </c>
      <c r="D2807" t="s">
        <v>378</v>
      </c>
      <c r="E2807">
        <v>131</v>
      </c>
      <c r="F2807" t="s">
        <v>6823</v>
      </c>
      <c r="G2807">
        <v>131</v>
      </c>
      <c r="H2807">
        <v>601.32929999999999</v>
      </c>
      <c r="N2807">
        <v>601.32929999999999</v>
      </c>
      <c r="O2807" s="1">
        <v>44962</v>
      </c>
      <c r="P2807">
        <f>IF(ISBLANK(ReconciliationData[[#This Row],[Invoice_ID]]),1,0)</f>
        <v>0</v>
      </c>
      <c r="Q2807">
        <f>IF(AND(NOT(ISBLANK(ReconciliationData[[#This Row],[Billed_Units]])),ReconciliationData[[#This Row],[ordered_units]]&lt;&gt;ReconciliationData[[#This Row],[Billed_Units]]),1,0)</f>
        <v>0</v>
      </c>
      <c r="R28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7">
        <f>IF(AND(NOT(ISBLANK(ReconciliationData[[#This Row],[Contract_Price]])),ReconciliationData[[#This Row],[Billed_Price]]&lt;&gt;ReconciliationData[[#This Row],[Contract_Price]]),1,0)</f>
        <v>0</v>
      </c>
      <c r="T2807">
        <f>IF(AND(NOT(ISBLANK(ReconciliationData[[#This Row],[End_Date]])),ReconciliationData[[#This Row],[Order_Date]]&gt;ReconciliationData[[#This Row],[End_Date]]),1,0)</f>
        <v>0</v>
      </c>
      <c r="U2807">
        <f>IF(AND(NOT(ISBLANK(ReconciliationData[[#This Row],[last_return_date]])),ReconciliationData[[#This Row],[last_return_date]]&gt;ReconciliationData[[#This Row],[Order_Date]]+60),1,0)</f>
        <v>0</v>
      </c>
      <c r="V2807">
        <f>IF(ReconciliationData[[#This Row],[total_returned_units]]&gt;ReconciliationData[[#This Row],[ordered_units]],1,0)</f>
        <v>0</v>
      </c>
      <c r="W28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07">
        <f>ReconciliationData[[#This Row],[Billed_Units]]*ReconciliationData[[#This Row],[Billed_Price]]</f>
        <v>78774.138299999991</v>
      </c>
      <c r="Y2807">
        <f>ReconciliationData[[#This Row],[ordered_units]]*ReconciliationData[[#This Row],[List_Price]]</f>
        <v>78774.138299999991</v>
      </c>
      <c r="Z2807">
        <f>ReconciliationData[[#This Row],[billed_revenue]]-ReconciliationData[[#This Row],[expected_revenue]]</f>
        <v>0</v>
      </c>
      <c r="AA28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07" t="str">
        <f>IF(ReconciliationData[[#This Row],[severity_score]]=0,"LOW",
 IF(ReconciliationData[[#This Row],[severity_score]]&lt;=5,"MEDIUM","HIGH"))</f>
        <v>LOW</v>
      </c>
      <c r="AC2807" t="str">
        <f>TEXT(ReconciliationData[[#This Row],[Order_Date]],"YYYY-MM")</f>
        <v>2023-06</v>
      </c>
    </row>
    <row r="2808" spans="1:29">
      <c r="A2808" t="s">
        <v>6824</v>
      </c>
      <c r="B2808" s="1">
        <v>45558</v>
      </c>
      <c r="C2808" t="s">
        <v>1013</v>
      </c>
      <c r="D2808" t="s">
        <v>271</v>
      </c>
      <c r="E2808">
        <v>3</v>
      </c>
      <c r="F2808" t="s">
        <v>6825</v>
      </c>
      <c r="G2808">
        <v>3</v>
      </c>
      <c r="H2808">
        <v>54.580199999999998</v>
      </c>
      <c r="N2808">
        <v>54.580199999999998</v>
      </c>
      <c r="O2808" s="1">
        <v>44984</v>
      </c>
      <c r="P2808">
        <f>IF(ISBLANK(ReconciliationData[[#This Row],[Invoice_ID]]),1,0)</f>
        <v>0</v>
      </c>
      <c r="Q2808">
        <f>IF(AND(NOT(ISBLANK(ReconciliationData[[#This Row],[Billed_Units]])),ReconciliationData[[#This Row],[ordered_units]]&lt;&gt;ReconciliationData[[#This Row],[Billed_Units]]),1,0)</f>
        <v>0</v>
      </c>
      <c r="R28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8">
        <f>IF(AND(NOT(ISBLANK(ReconciliationData[[#This Row],[Contract_Price]])),ReconciliationData[[#This Row],[Billed_Price]]&lt;&gt;ReconciliationData[[#This Row],[Contract_Price]]),1,0)</f>
        <v>0</v>
      </c>
      <c r="T2808">
        <f>IF(AND(NOT(ISBLANK(ReconciliationData[[#This Row],[End_Date]])),ReconciliationData[[#This Row],[Order_Date]]&gt;ReconciliationData[[#This Row],[End_Date]]),1,0)</f>
        <v>0</v>
      </c>
      <c r="U2808">
        <f>IF(AND(NOT(ISBLANK(ReconciliationData[[#This Row],[last_return_date]])),ReconciliationData[[#This Row],[last_return_date]]&gt;ReconciliationData[[#This Row],[Order_Date]]+60),1,0)</f>
        <v>0</v>
      </c>
      <c r="V2808">
        <f>IF(ReconciliationData[[#This Row],[total_returned_units]]&gt;ReconciliationData[[#This Row],[ordered_units]],1,0)</f>
        <v>0</v>
      </c>
      <c r="W28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08">
        <f>ReconciliationData[[#This Row],[Billed_Units]]*ReconciliationData[[#This Row],[Billed_Price]]</f>
        <v>163.7406</v>
      </c>
      <c r="Y2808">
        <f>ReconciliationData[[#This Row],[ordered_units]]*ReconciliationData[[#This Row],[List_Price]]</f>
        <v>163.7406</v>
      </c>
      <c r="Z2808">
        <f>ReconciliationData[[#This Row],[billed_revenue]]-ReconciliationData[[#This Row],[expected_revenue]]</f>
        <v>0</v>
      </c>
      <c r="AA28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08" t="str">
        <f>IF(ReconciliationData[[#This Row],[severity_score]]=0,"LOW",
 IF(ReconciliationData[[#This Row],[severity_score]]&lt;=5,"MEDIUM","HIGH"))</f>
        <v>LOW</v>
      </c>
      <c r="AC2808" t="str">
        <f>TEXT(ReconciliationData[[#This Row],[Order_Date]],"YYYY-MM")</f>
        <v>2024-09</v>
      </c>
    </row>
    <row r="2809" spans="1:29">
      <c r="A2809" t="s">
        <v>6826</v>
      </c>
      <c r="B2809" s="1">
        <v>45497</v>
      </c>
      <c r="C2809" t="s">
        <v>1552</v>
      </c>
      <c r="D2809" t="s">
        <v>138</v>
      </c>
      <c r="E2809">
        <v>113</v>
      </c>
      <c r="F2809" t="s">
        <v>6827</v>
      </c>
      <c r="G2809">
        <v>113</v>
      </c>
      <c r="H2809">
        <v>444.22</v>
      </c>
      <c r="N2809">
        <v>444.22</v>
      </c>
      <c r="O2809" s="1">
        <v>45074</v>
      </c>
      <c r="P2809">
        <f>IF(ISBLANK(ReconciliationData[[#This Row],[Invoice_ID]]),1,0)</f>
        <v>0</v>
      </c>
      <c r="Q2809">
        <f>IF(AND(NOT(ISBLANK(ReconciliationData[[#This Row],[Billed_Units]])),ReconciliationData[[#This Row],[ordered_units]]&lt;&gt;ReconciliationData[[#This Row],[Billed_Units]]),1,0)</f>
        <v>0</v>
      </c>
      <c r="R28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09">
        <f>IF(AND(NOT(ISBLANK(ReconciliationData[[#This Row],[Contract_Price]])),ReconciliationData[[#This Row],[Billed_Price]]&lt;&gt;ReconciliationData[[#This Row],[Contract_Price]]),1,0)</f>
        <v>0</v>
      </c>
      <c r="T2809">
        <f>IF(AND(NOT(ISBLANK(ReconciliationData[[#This Row],[End_Date]])),ReconciliationData[[#This Row],[Order_Date]]&gt;ReconciliationData[[#This Row],[End_Date]]),1,0)</f>
        <v>0</v>
      </c>
      <c r="U2809">
        <f>IF(AND(NOT(ISBLANK(ReconciliationData[[#This Row],[last_return_date]])),ReconciliationData[[#This Row],[last_return_date]]&gt;ReconciliationData[[#This Row],[Order_Date]]+60),1,0)</f>
        <v>0</v>
      </c>
      <c r="V2809">
        <f>IF(ReconciliationData[[#This Row],[total_returned_units]]&gt;ReconciliationData[[#This Row],[ordered_units]],1,0)</f>
        <v>0</v>
      </c>
      <c r="W28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09">
        <f>ReconciliationData[[#This Row],[Billed_Units]]*ReconciliationData[[#This Row],[Billed_Price]]</f>
        <v>50196.86</v>
      </c>
      <c r="Y2809">
        <f>ReconciliationData[[#This Row],[ordered_units]]*ReconciliationData[[#This Row],[List_Price]]</f>
        <v>50196.86</v>
      </c>
      <c r="Z2809">
        <f>ReconciliationData[[#This Row],[billed_revenue]]-ReconciliationData[[#This Row],[expected_revenue]]</f>
        <v>0</v>
      </c>
      <c r="AA28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09" t="str">
        <f>IF(ReconciliationData[[#This Row],[severity_score]]=0,"LOW",
 IF(ReconciliationData[[#This Row],[severity_score]]&lt;=5,"MEDIUM","HIGH"))</f>
        <v>LOW</v>
      </c>
      <c r="AC2809" t="str">
        <f>TEXT(ReconciliationData[[#This Row],[Order_Date]],"YYYY-MM")</f>
        <v>2024-07</v>
      </c>
    </row>
    <row r="2810" spans="1:29">
      <c r="A2810" t="s">
        <v>6828</v>
      </c>
      <c r="B2810" s="1">
        <v>45549</v>
      </c>
      <c r="C2810" t="s">
        <v>1191</v>
      </c>
      <c r="D2810" t="s">
        <v>747</v>
      </c>
      <c r="E2810">
        <v>46</v>
      </c>
      <c r="F2810" t="s">
        <v>6829</v>
      </c>
      <c r="G2810">
        <v>46</v>
      </c>
      <c r="H2810">
        <v>58.98</v>
      </c>
      <c r="N2810">
        <v>58.98</v>
      </c>
      <c r="O2810" s="1">
        <v>44934</v>
      </c>
      <c r="P2810">
        <f>IF(ISBLANK(ReconciliationData[[#This Row],[Invoice_ID]]),1,0)</f>
        <v>0</v>
      </c>
      <c r="Q2810">
        <f>IF(AND(NOT(ISBLANK(ReconciliationData[[#This Row],[Billed_Units]])),ReconciliationData[[#This Row],[ordered_units]]&lt;&gt;ReconciliationData[[#This Row],[Billed_Units]]),1,0)</f>
        <v>0</v>
      </c>
      <c r="R28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0">
        <f>IF(AND(NOT(ISBLANK(ReconciliationData[[#This Row],[Contract_Price]])),ReconciliationData[[#This Row],[Billed_Price]]&lt;&gt;ReconciliationData[[#This Row],[Contract_Price]]),1,0)</f>
        <v>0</v>
      </c>
      <c r="T2810">
        <f>IF(AND(NOT(ISBLANK(ReconciliationData[[#This Row],[End_Date]])),ReconciliationData[[#This Row],[Order_Date]]&gt;ReconciliationData[[#This Row],[End_Date]]),1,0)</f>
        <v>0</v>
      </c>
      <c r="U2810">
        <f>IF(AND(NOT(ISBLANK(ReconciliationData[[#This Row],[last_return_date]])),ReconciliationData[[#This Row],[last_return_date]]&gt;ReconciliationData[[#This Row],[Order_Date]]+60),1,0)</f>
        <v>0</v>
      </c>
      <c r="V2810">
        <f>IF(ReconciliationData[[#This Row],[total_returned_units]]&gt;ReconciliationData[[#This Row],[ordered_units]],1,0)</f>
        <v>0</v>
      </c>
      <c r="W28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10">
        <f>ReconciliationData[[#This Row],[Billed_Units]]*ReconciliationData[[#This Row],[Billed_Price]]</f>
        <v>2713.08</v>
      </c>
      <c r="Y2810">
        <f>ReconciliationData[[#This Row],[ordered_units]]*ReconciliationData[[#This Row],[List_Price]]</f>
        <v>2713.08</v>
      </c>
      <c r="Z2810">
        <f>ReconciliationData[[#This Row],[billed_revenue]]-ReconciliationData[[#This Row],[expected_revenue]]</f>
        <v>0</v>
      </c>
      <c r="AA28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10" t="str">
        <f>IF(ReconciliationData[[#This Row],[severity_score]]=0,"LOW",
 IF(ReconciliationData[[#This Row],[severity_score]]&lt;=5,"MEDIUM","HIGH"))</f>
        <v>LOW</v>
      </c>
      <c r="AC2810" t="str">
        <f>TEXT(ReconciliationData[[#This Row],[Order_Date]],"YYYY-MM")</f>
        <v>2024-09</v>
      </c>
    </row>
    <row r="2811" spans="1:29">
      <c r="A2811" t="s">
        <v>6830</v>
      </c>
      <c r="B2811" s="1">
        <v>44965</v>
      </c>
      <c r="C2811" t="s">
        <v>3627</v>
      </c>
      <c r="D2811" t="s">
        <v>434</v>
      </c>
      <c r="E2811">
        <v>61</v>
      </c>
      <c r="F2811" t="s">
        <v>6831</v>
      </c>
      <c r="G2811">
        <v>61</v>
      </c>
      <c r="H2811">
        <v>72.858600000000024</v>
      </c>
      <c r="N2811">
        <v>72.858600000000024</v>
      </c>
      <c r="O2811" s="1">
        <v>44882</v>
      </c>
      <c r="P2811">
        <f>IF(ISBLANK(ReconciliationData[[#This Row],[Invoice_ID]]),1,0)</f>
        <v>0</v>
      </c>
      <c r="Q2811">
        <f>IF(AND(NOT(ISBLANK(ReconciliationData[[#This Row],[Billed_Units]])),ReconciliationData[[#This Row],[ordered_units]]&lt;&gt;ReconciliationData[[#This Row],[Billed_Units]]),1,0)</f>
        <v>0</v>
      </c>
      <c r="R28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1">
        <f>IF(AND(NOT(ISBLANK(ReconciliationData[[#This Row],[Contract_Price]])),ReconciliationData[[#This Row],[Billed_Price]]&lt;&gt;ReconciliationData[[#This Row],[Contract_Price]]),1,0)</f>
        <v>0</v>
      </c>
      <c r="T2811">
        <f>IF(AND(NOT(ISBLANK(ReconciliationData[[#This Row],[End_Date]])),ReconciliationData[[#This Row],[Order_Date]]&gt;ReconciliationData[[#This Row],[End_Date]]),1,0)</f>
        <v>0</v>
      </c>
      <c r="U2811">
        <f>IF(AND(NOT(ISBLANK(ReconciliationData[[#This Row],[last_return_date]])),ReconciliationData[[#This Row],[last_return_date]]&gt;ReconciliationData[[#This Row],[Order_Date]]+60),1,0)</f>
        <v>0</v>
      </c>
      <c r="V2811">
        <f>IF(ReconciliationData[[#This Row],[total_returned_units]]&gt;ReconciliationData[[#This Row],[ordered_units]],1,0)</f>
        <v>0</v>
      </c>
      <c r="W28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11">
        <f>ReconciliationData[[#This Row],[Billed_Units]]*ReconciliationData[[#This Row],[Billed_Price]]</f>
        <v>4444.374600000001</v>
      </c>
      <c r="Y2811">
        <f>ReconciliationData[[#This Row],[ordered_units]]*ReconciliationData[[#This Row],[List_Price]]</f>
        <v>4444.374600000001</v>
      </c>
      <c r="Z2811">
        <f>ReconciliationData[[#This Row],[billed_revenue]]-ReconciliationData[[#This Row],[expected_revenue]]</f>
        <v>0</v>
      </c>
      <c r="AA28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11" t="str">
        <f>IF(ReconciliationData[[#This Row],[severity_score]]=0,"LOW",
 IF(ReconciliationData[[#This Row],[severity_score]]&lt;=5,"MEDIUM","HIGH"))</f>
        <v>LOW</v>
      </c>
      <c r="AC2811" t="str">
        <f>TEXT(ReconciliationData[[#This Row],[Order_Date]],"YYYY-MM")</f>
        <v>2023-02</v>
      </c>
    </row>
    <row r="2812" spans="1:29">
      <c r="A2812" t="s">
        <v>6832</v>
      </c>
      <c r="B2812" s="1">
        <v>45228</v>
      </c>
      <c r="C2812" t="s">
        <v>2542</v>
      </c>
      <c r="D2812" t="s">
        <v>325</v>
      </c>
      <c r="E2812">
        <v>146</v>
      </c>
      <c r="F2812" t="s">
        <v>6833</v>
      </c>
      <c r="G2812">
        <v>146</v>
      </c>
      <c r="H2812">
        <v>509.36320000000001</v>
      </c>
      <c r="N2812">
        <v>509.36320000000001</v>
      </c>
      <c r="O2812" s="1">
        <v>45171</v>
      </c>
      <c r="P2812">
        <f>IF(ISBLANK(ReconciliationData[[#This Row],[Invoice_ID]]),1,0)</f>
        <v>0</v>
      </c>
      <c r="Q2812">
        <f>IF(AND(NOT(ISBLANK(ReconciliationData[[#This Row],[Billed_Units]])),ReconciliationData[[#This Row],[ordered_units]]&lt;&gt;ReconciliationData[[#This Row],[Billed_Units]]),1,0)</f>
        <v>0</v>
      </c>
      <c r="R28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2">
        <f>IF(AND(NOT(ISBLANK(ReconciliationData[[#This Row],[Contract_Price]])),ReconciliationData[[#This Row],[Billed_Price]]&lt;&gt;ReconciliationData[[#This Row],[Contract_Price]]),1,0)</f>
        <v>0</v>
      </c>
      <c r="T2812">
        <f>IF(AND(NOT(ISBLANK(ReconciliationData[[#This Row],[End_Date]])),ReconciliationData[[#This Row],[Order_Date]]&gt;ReconciliationData[[#This Row],[End_Date]]),1,0)</f>
        <v>0</v>
      </c>
      <c r="U2812">
        <f>IF(AND(NOT(ISBLANK(ReconciliationData[[#This Row],[last_return_date]])),ReconciliationData[[#This Row],[last_return_date]]&gt;ReconciliationData[[#This Row],[Order_Date]]+60),1,0)</f>
        <v>0</v>
      </c>
      <c r="V2812">
        <f>IF(ReconciliationData[[#This Row],[total_returned_units]]&gt;ReconciliationData[[#This Row],[ordered_units]],1,0)</f>
        <v>0</v>
      </c>
      <c r="W28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12">
        <f>ReconciliationData[[#This Row],[Billed_Units]]*ReconciliationData[[#This Row],[Billed_Price]]</f>
        <v>74367.027199999997</v>
      </c>
      <c r="Y2812">
        <f>ReconciliationData[[#This Row],[ordered_units]]*ReconciliationData[[#This Row],[List_Price]]</f>
        <v>74367.027199999997</v>
      </c>
      <c r="Z2812">
        <f>ReconciliationData[[#This Row],[billed_revenue]]-ReconciliationData[[#This Row],[expected_revenue]]</f>
        <v>0</v>
      </c>
      <c r="AA28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12" t="str">
        <f>IF(ReconciliationData[[#This Row],[severity_score]]=0,"LOW",
 IF(ReconciliationData[[#This Row],[severity_score]]&lt;=5,"MEDIUM","HIGH"))</f>
        <v>LOW</v>
      </c>
      <c r="AC2812" t="str">
        <f>TEXT(ReconciliationData[[#This Row],[Order_Date]],"YYYY-MM")</f>
        <v>2023-10</v>
      </c>
    </row>
    <row r="2813" spans="1:29">
      <c r="A2813" t="s">
        <v>6834</v>
      </c>
      <c r="B2813" s="1">
        <v>45119</v>
      </c>
      <c r="C2813" t="s">
        <v>3537</v>
      </c>
      <c r="D2813" t="s">
        <v>1802</v>
      </c>
      <c r="E2813">
        <v>137</v>
      </c>
      <c r="F2813" t="s">
        <v>6835</v>
      </c>
      <c r="G2813">
        <v>147</v>
      </c>
      <c r="H2813">
        <v>648.86940000000004</v>
      </c>
      <c r="N2813">
        <v>648.86940000000004</v>
      </c>
      <c r="O2813" s="1">
        <v>45064</v>
      </c>
      <c r="P2813">
        <f>IF(ISBLANK(ReconciliationData[[#This Row],[Invoice_ID]]),1,0)</f>
        <v>0</v>
      </c>
      <c r="Q2813">
        <f>IF(AND(NOT(ISBLANK(ReconciliationData[[#This Row],[Billed_Units]])),ReconciliationData[[#This Row],[ordered_units]]&lt;&gt;ReconciliationData[[#This Row],[Billed_Units]]),1,0)</f>
        <v>1</v>
      </c>
      <c r="R28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3">
        <f>IF(AND(NOT(ISBLANK(ReconciliationData[[#This Row],[Contract_Price]])),ReconciliationData[[#This Row],[Billed_Price]]&lt;&gt;ReconciliationData[[#This Row],[Contract_Price]]),1,0)</f>
        <v>0</v>
      </c>
      <c r="T2813">
        <f>IF(AND(NOT(ISBLANK(ReconciliationData[[#This Row],[End_Date]])),ReconciliationData[[#This Row],[Order_Date]]&gt;ReconciliationData[[#This Row],[End_Date]]),1,0)</f>
        <v>0</v>
      </c>
      <c r="U2813">
        <f>IF(AND(NOT(ISBLANK(ReconciliationData[[#This Row],[last_return_date]])),ReconciliationData[[#This Row],[last_return_date]]&gt;ReconciliationData[[#This Row],[Order_Date]]+60),1,0)</f>
        <v>0</v>
      </c>
      <c r="V2813">
        <f>IF(ReconciliationData[[#This Row],[total_returned_units]]&gt;ReconciliationData[[#This Row],[ordered_units]],1,0)</f>
        <v>0</v>
      </c>
      <c r="W28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13">
        <f>ReconciliationData[[#This Row],[Billed_Units]]*ReconciliationData[[#This Row],[Billed_Price]]</f>
        <v>95383.801800000001</v>
      </c>
      <c r="Y2813">
        <f>ReconciliationData[[#This Row],[ordered_units]]*ReconciliationData[[#This Row],[List_Price]]</f>
        <v>88895.107800000013</v>
      </c>
      <c r="Z2813">
        <f>ReconciliationData[[#This Row],[billed_revenue]]-ReconciliationData[[#This Row],[expected_revenue]]</f>
        <v>6488.6939999999886</v>
      </c>
      <c r="AA28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813" t="str">
        <f>IF(ReconciliationData[[#This Row],[severity_score]]=0,"LOW",
 IF(ReconciliationData[[#This Row],[severity_score]]&lt;=5,"MEDIUM","HIGH"))</f>
        <v>HIGH</v>
      </c>
      <c r="AC2813" t="str">
        <f>TEXT(ReconciliationData[[#This Row],[Order_Date]],"YYYY-MM")</f>
        <v>2023-07</v>
      </c>
    </row>
    <row r="2814" spans="1:29">
      <c r="A2814" t="s">
        <v>6836</v>
      </c>
      <c r="B2814" s="1">
        <v>45596</v>
      </c>
      <c r="C2814" t="s">
        <v>6612</v>
      </c>
      <c r="D2814" t="s">
        <v>381</v>
      </c>
      <c r="E2814">
        <v>25</v>
      </c>
      <c r="F2814" t="s">
        <v>6837</v>
      </c>
      <c r="G2814">
        <v>25</v>
      </c>
      <c r="H2814">
        <v>942.54840000000013</v>
      </c>
      <c r="N2814">
        <v>942.54840000000013</v>
      </c>
      <c r="O2814" s="1">
        <v>45086</v>
      </c>
      <c r="P2814">
        <f>IF(ISBLANK(ReconciliationData[[#This Row],[Invoice_ID]]),1,0)</f>
        <v>0</v>
      </c>
      <c r="Q2814">
        <f>IF(AND(NOT(ISBLANK(ReconciliationData[[#This Row],[Billed_Units]])),ReconciliationData[[#This Row],[ordered_units]]&lt;&gt;ReconciliationData[[#This Row],[Billed_Units]]),1,0)</f>
        <v>0</v>
      </c>
      <c r="R28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4">
        <f>IF(AND(NOT(ISBLANK(ReconciliationData[[#This Row],[Contract_Price]])),ReconciliationData[[#This Row],[Billed_Price]]&lt;&gt;ReconciliationData[[#This Row],[Contract_Price]]),1,0)</f>
        <v>0</v>
      </c>
      <c r="T2814">
        <f>IF(AND(NOT(ISBLANK(ReconciliationData[[#This Row],[End_Date]])),ReconciliationData[[#This Row],[Order_Date]]&gt;ReconciliationData[[#This Row],[End_Date]]),1,0)</f>
        <v>0</v>
      </c>
      <c r="U2814">
        <f>IF(AND(NOT(ISBLANK(ReconciliationData[[#This Row],[last_return_date]])),ReconciliationData[[#This Row],[last_return_date]]&gt;ReconciliationData[[#This Row],[Order_Date]]+60),1,0)</f>
        <v>0</v>
      </c>
      <c r="V2814">
        <f>IF(ReconciliationData[[#This Row],[total_returned_units]]&gt;ReconciliationData[[#This Row],[ordered_units]],1,0)</f>
        <v>0</v>
      </c>
      <c r="W28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14">
        <f>ReconciliationData[[#This Row],[Billed_Units]]*ReconciliationData[[#This Row],[Billed_Price]]</f>
        <v>23563.710000000003</v>
      </c>
      <c r="Y2814">
        <f>ReconciliationData[[#This Row],[ordered_units]]*ReconciliationData[[#This Row],[List_Price]]</f>
        <v>23563.710000000003</v>
      </c>
      <c r="Z2814">
        <f>ReconciliationData[[#This Row],[billed_revenue]]-ReconciliationData[[#This Row],[expected_revenue]]</f>
        <v>0</v>
      </c>
      <c r="AA28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14" t="str">
        <f>IF(ReconciliationData[[#This Row],[severity_score]]=0,"LOW",
 IF(ReconciliationData[[#This Row],[severity_score]]&lt;=5,"MEDIUM","HIGH"))</f>
        <v>LOW</v>
      </c>
      <c r="AC2814" t="str">
        <f>TEXT(ReconciliationData[[#This Row],[Order_Date]],"YYYY-MM")</f>
        <v>2024-10</v>
      </c>
    </row>
    <row r="2815" spans="1:29">
      <c r="A2815" t="s">
        <v>6838</v>
      </c>
      <c r="B2815" s="1">
        <v>45247</v>
      </c>
      <c r="C2815" t="s">
        <v>4203</v>
      </c>
      <c r="D2815" t="s">
        <v>449</v>
      </c>
      <c r="E2815">
        <v>124</v>
      </c>
      <c r="F2815" t="s">
        <v>6839</v>
      </c>
      <c r="G2815">
        <v>124</v>
      </c>
      <c r="H2815">
        <v>1006.5033</v>
      </c>
      <c r="N2815">
        <v>1006.5033</v>
      </c>
      <c r="O2815" s="1">
        <v>45123</v>
      </c>
      <c r="P2815">
        <f>IF(ISBLANK(ReconciliationData[[#This Row],[Invoice_ID]]),1,0)</f>
        <v>0</v>
      </c>
      <c r="Q2815">
        <f>IF(AND(NOT(ISBLANK(ReconciliationData[[#This Row],[Billed_Units]])),ReconciliationData[[#This Row],[ordered_units]]&lt;&gt;ReconciliationData[[#This Row],[Billed_Units]]),1,0)</f>
        <v>0</v>
      </c>
      <c r="R28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5">
        <f>IF(AND(NOT(ISBLANK(ReconciliationData[[#This Row],[Contract_Price]])),ReconciliationData[[#This Row],[Billed_Price]]&lt;&gt;ReconciliationData[[#This Row],[Contract_Price]]),1,0)</f>
        <v>0</v>
      </c>
      <c r="T2815">
        <f>IF(AND(NOT(ISBLANK(ReconciliationData[[#This Row],[End_Date]])),ReconciliationData[[#This Row],[Order_Date]]&gt;ReconciliationData[[#This Row],[End_Date]]),1,0)</f>
        <v>0</v>
      </c>
      <c r="U2815">
        <f>IF(AND(NOT(ISBLANK(ReconciliationData[[#This Row],[last_return_date]])),ReconciliationData[[#This Row],[last_return_date]]&gt;ReconciliationData[[#This Row],[Order_Date]]+60),1,0)</f>
        <v>0</v>
      </c>
      <c r="V2815">
        <f>IF(ReconciliationData[[#This Row],[total_returned_units]]&gt;ReconciliationData[[#This Row],[ordered_units]],1,0)</f>
        <v>0</v>
      </c>
      <c r="W28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15">
        <f>ReconciliationData[[#This Row],[Billed_Units]]*ReconciliationData[[#This Row],[Billed_Price]]</f>
        <v>124806.40919999999</v>
      </c>
      <c r="Y2815">
        <f>ReconciliationData[[#This Row],[ordered_units]]*ReconciliationData[[#This Row],[List_Price]]</f>
        <v>124806.40919999999</v>
      </c>
      <c r="Z2815">
        <f>ReconciliationData[[#This Row],[billed_revenue]]-ReconciliationData[[#This Row],[expected_revenue]]</f>
        <v>0</v>
      </c>
      <c r="AA28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15" t="str">
        <f>IF(ReconciliationData[[#This Row],[severity_score]]=0,"LOW",
 IF(ReconciliationData[[#This Row],[severity_score]]&lt;=5,"MEDIUM","HIGH"))</f>
        <v>LOW</v>
      </c>
      <c r="AC2815" t="str">
        <f>TEXT(ReconciliationData[[#This Row],[Order_Date]],"YYYY-MM")</f>
        <v>2023-11</v>
      </c>
    </row>
    <row r="2816" spans="1:29">
      <c r="A2816" t="s">
        <v>6840</v>
      </c>
      <c r="B2816" s="1">
        <v>45634</v>
      </c>
      <c r="C2816" t="s">
        <v>3993</v>
      </c>
      <c r="D2816" t="s">
        <v>916</v>
      </c>
      <c r="E2816">
        <v>16</v>
      </c>
      <c r="F2816" t="s">
        <v>6841</v>
      </c>
      <c r="G2816">
        <v>16</v>
      </c>
      <c r="H2816">
        <v>1158.2643</v>
      </c>
      <c r="N2816">
        <v>1158.2643</v>
      </c>
      <c r="O2816" s="1">
        <v>45119</v>
      </c>
      <c r="P2816">
        <f>IF(ISBLANK(ReconciliationData[[#This Row],[Invoice_ID]]),1,0)</f>
        <v>0</v>
      </c>
      <c r="Q2816">
        <f>IF(AND(NOT(ISBLANK(ReconciliationData[[#This Row],[Billed_Units]])),ReconciliationData[[#This Row],[ordered_units]]&lt;&gt;ReconciliationData[[#This Row],[Billed_Units]]),1,0)</f>
        <v>0</v>
      </c>
      <c r="R28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6">
        <f>IF(AND(NOT(ISBLANK(ReconciliationData[[#This Row],[Contract_Price]])),ReconciliationData[[#This Row],[Billed_Price]]&lt;&gt;ReconciliationData[[#This Row],[Contract_Price]]),1,0)</f>
        <v>0</v>
      </c>
      <c r="T2816">
        <f>IF(AND(NOT(ISBLANK(ReconciliationData[[#This Row],[End_Date]])),ReconciliationData[[#This Row],[Order_Date]]&gt;ReconciliationData[[#This Row],[End_Date]]),1,0)</f>
        <v>0</v>
      </c>
      <c r="U2816">
        <f>IF(AND(NOT(ISBLANK(ReconciliationData[[#This Row],[last_return_date]])),ReconciliationData[[#This Row],[last_return_date]]&gt;ReconciliationData[[#This Row],[Order_Date]]+60),1,0)</f>
        <v>0</v>
      </c>
      <c r="V2816">
        <f>IF(ReconciliationData[[#This Row],[total_returned_units]]&gt;ReconciliationData[[#This Row],[ordered_units]],1,0)</f>
        <v>0</v>
      </c>
      <c r="W28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16">
        <f>ReconciliationData[[#This Row],[Billed_Units]]*ReconciliationData[[#This Row],[Billed_Price]]</f>
        <v>18532.228800000001</v>
      </c>
      <c r="Y2816">
        <f>ReconciliationData[[#This Row],[ordered_units]]*ReconciliationData[[#This Row],[List_Price]]</f>
        <v>18532.228800000001</v>
      </c>
      <c r="Z2816">
        <f>ReconciliationData[[#This Row],[billed_revenue]]-ReconciliationData[[#This Row],[expected_revenue]]</f>
        <v>0</v>
      </c>
      <c r="AA28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16" t="str">
        <f>IF(ReconciliationData[[#This Row],[severity_score]]=0,"LOW",
 IF(ReconciliationData[[#This Row],[severity_score]]&lt;=5,"MEDIUM","HIGH"))</f>
        <v>LOW</v>
      </c>
      <c r="AC2816" t="str">
        <f>TEXT(ReconciliationData[[#This Row],[Order_Date]],"YYYY-MM")</f>
        <v>2024-12</v>
      </c>
    </row>
    <row r="2817" spans="1:29">
      <c r="A2817" t="s">
        <v>6842</v>
      </c>
      <c r="B2817" s="1">
        <v>45248</v>
      </c>
      <c r="C2817" t="s">
        <v>2086</v>
      </c>
      <c r="D2817" t="s">
        <v>856</v>
      </c>
      <c r="E2817">
        <v>44</v>
      </c>
      <c r="F2817" t="s">
        <v>6843</v>
      </c>
      <c r="G2817">
        <v>44</v>
      </c>
      <c r="H2817">
        <v>1195.6769999999999</v>
      </c>
      <c r="N2817">
        <v>1195.6769999999999</v>
      </c>
      <c r="O2817" s="1">
        <v>45010</v>
      </c>
      <c r="P2817">
        <f>IF(ISBLANK(ReconciliationData[[#This Row],[Invoice_ID]]),1,0)</f>
        <v>0</v>
      </c>
      <c r="Q2817">
        <f>IF(AND(NOT(ISBLANK(ReconciliationData[[#This Row],[Billed_Units]])),ReconciliationData[[#This Row],[ordered_units]]&lt;&gt;ReconciliationData[[#This Row],[Billed_Units]]),1,0)</f>
        <v>0</v>
      </c>
      <c r="R28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7">
        <f>IF(AND(NOT(ISBLANK(ReconciliationData[[#This Row],[Contract_Price]])),ReconciliationData[[#This Row],[Billed_Price]]&lt;&gt;ReconciliationData[[#This Row],[Contract_Price]]),1,0)</f>
        <v>0</v>
      </c>
      <c r="T2817">
        <f>IF(AND(NOT(ISBLANK(ReconciliationData[[#This Row],[End_Date]])),ReconciliationData[[#This Row],[Order_Date]]&gt;ReconciliationData[[#This Row],[End_Date]]),1,0)</f>
        <v>0</v>
      </c>
      <c r="U2817">
        <f>IF(AND(NOT(ISBLANK(ReconciliationData[[#This Row],[last_return_date]])),ReconciliationData[[#This Row],[last_return_date]]&gt;ReconciliationData[[#This Row],[Order_Date]]+60),1,0)</f>
        <v>0</v>
      </c>
      <c r="V2817">
        <f>IF(ReconciliationData[[#This Row],[total_returned_units]]&gt;ReconciliationData[[#This Row],[ordered_units]],1,0)</f>
        <v>0</v>
      </c>
      <c r="W28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17">
        <f>ReconciliationData[[#This Row],[Billed_Units]]*ReconciliationData[[#This Row],[Billed_Price]]</f>
        <v>52609.787999999993</v>
      </c>
      <c r="Y2817">
        <f>ReconciliationData[[#This Row],[ordered_units]]*ReconciliationData[[#This Row],[List_Price]]</f>
        <v>52609.787999999993</v>
      </c>
      <c r="Z2817">
        <f>ReconciliationData[[#This Row],[billed_revenue]]-ReconciliationData[[#This Row],[expected_revenue]]</f>
        <v>0</v>
      </c>
      <c r="AA28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17" t="str">
        <f>IF(ReconciliationData[[#This Row],[severity_score]]=0,"LOW",
 IF(ReconciliationData[[#This Row],[severity_score]]&lt;=5,"MEDIUM","HIGH"))</f>
        <v>LOW</v>
      </c>
      <c r="AC2817" t="str">
        <f>TEXT(ReconciliationData[[#This Row],[Order_Date]],"YYYY-MM")</f>
        <v>2023-11</v>
      </c>
    </row>
    <row r="2818" spans="1:29">
      <c r="A2818" t="s">
        <v>6844</v>
      </c>
      <c r="B2818" s="1">
        <v>45041</v>
      </c>
      <c r="C2818" t="s">
        <v>728</v>
      </c>
      <c r="D2818" t="s">
        <v>825</v>
      </c>
      <c r="E2818">
        <v>118</v>
      </c>
      <c r="F2818" t="s">
        <v>6845</v>
      </c>
      <c r="G2818">
        <v>118</v>
      </c>
      <c r="H2818">
        <v>752.48910000000001</v>
      </c>
      <c r="N2818">
        <v>752.48910000000001</v>
      </c>
      <c r="O2818" s="1">
        <v>44953</v>
      </c>
      <c r="P2818">
        <f>IF(ISBLANK(ReconciliationData[[#This Row],[Invoice_ID]]),1,0)</f>
        <v>0</v>
      </c>
      <c r="Q2818">
        <f>IF(AND(NOT(ISBLANK(ReconciliationData[[#This Row],[Billed_Units]])),ReconciliationData[[#This Row],[ordered_units]]&lt;&gt;ReconciliationData[[#This Row],[Billed_Units]]),1,0)</f>
        <v>0</v>
      </c>
      <c r="R28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8">
        <f>IF(AND(NOT(ISBLANK(ReconciliationData[[#This Row],[Contract_Price]])),ReconciliationData[[#This Row],[Billed_Price]]&lt;&gt;ReconciliationData[[#This Row],[Contract_Price]]),1,0)</f>
        <v>0</v>
      </c>
      <c r="T2818">
        <f>IF(AND(NOT(ISBLANK(ReconciliationData[[#This Row],[End_Date]])),ReconciliationData[[#This Row],[Order_Date]]&gt;ReconciliationData[[#This Row],[End_Date]]),1,0)</f>
        <v>0</v>
      </c>
      <c r="U2818">
        <f>IF(AND(NOT(ISBLANK(ReconciliationData[[#This Row],[last_return_date]])),ReconciliationData[[#This Row],[last_return_date]]&gt;ReconciliationData[[#This Row],[Order_Date]]+60),1,0)</f>
        <v>0</v>
      </c>
      <c r="V2818">
        <f>IF(ReconciliationData[[#This Row],[total_returned_units]]&gt;ReconciliationData[[#This Row],[ordered_units]],1,0)</f>
        <v>0</v>
      </c>
      <c r="W28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18">
        <f>ReconciliationData[[#This Row],[Billed_Units]]*ReconciliationData[[#This Row],[Billed_Price]]</f>
        <v>88793.713799999998</v>
      </c>
      <c r="Y2818">
        <f>ReconciliationData[[#This Row],[ordered_units]]*ReconciliationData[[#This Row],[List_Price]]</f>
        <v>88793.713799999998</v>
      </c>
      <c r="Z2818">
        <f>ReconciliationData[[#This Row],[billed_revenue]]-ReconciliationData[[#This Row],[expected_revenue]]</f>
        <v>0</v>
      </c>
      <c r="AA28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18" t="str">
        <f>IF(ReconciliationData[[#This Row],[severity_score]]=0,"LOW",
 IF(ReconciliationData[[#This Row],[severity_score]]&lt;=5,"MEDIUM","HIGH"))</f>
        <v>LOW</v>
      </c>
      <c r="AC2818" t="str">
        <f>TEXT(ReconciliationData[[#This Row],[Order_Date]],"YYYY-MM")</f>
        <v>2023-04</v>
      </c>
    </row>
    <row r="2819" spans="1:29">
      <c r="A2819" t="s">
        <v>6846</v>
      </c>
      <c r="B2819" s="1">
        <v>45389</v>
      </c>
      <c r="C2819" t="s">
        <v>1984</v>
      </c>
      <c r="D2819" t="s">
        <v>1559</v>
      </c>
      <c r="E2819">
        <v>76</v>
      </c>
      <c r="F2819" t="s">
        <v>6847</v>
      </c>
      <c r="G2819">
        <v>76</v>
      </c>
      <c r="H2819">
        <v>1065.7722000000001</v>
      </c>
      <c r="N2819">
        <v>1065.7722000000001</v>
      </c>
      <c r="O2819" s="1">
        <v>44936</v>
      </c>
      <c r="P2819">
        <f>IF(ISBLANK(ReconciliationData[[#This Row],[Invoice_ID]]),1,0)</f>
        <v>0</v>
      </c>
      <c r="Q2819">
        <f>IF(AND(NOT(ISBLANK(ReconciliationData[[#This Row],[Billed_Units]])),ReconciliationData[[#This Row],[ordered_units]]&lt;&gt;ReconciliationData[[#This Row],[Billed_Units]]),1,0)</f>
        <v>0</v>
      </c>
      <c r="R28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19">
        <f>IF(AND(NOT(ISBLANK(ReconciliationData[[#This Row],[Contract_Price]])),ReconciliationData[[#This Row],[Billed_Price]]&lt;&gt;ReconciliationData[[#This Row],[Contract_Price]]),1,0)</f>
        <v>0</v>
      </c>
      <c r="T2819">
        <f>IF(AND(NOT(ISBLANK(ReconciliationData[[#This Row],[End_Date]])),ReconciliationData[[#This Row],[Order_Date]]&gt;ReconciliationData[[#This Row],[End_Date]]),1,0)</f>
        <v>0</v>
      </c>
      <c r="U2819">
        <f>IF(AND(NOT(ISBLANK(ReconciliationData[[#This Row],[last_return_date]])),ReconciliationData[[#This Row],[last_return_date]]&gt;ReconciliationData[[#This Row],[Order_Date]]+60),1,0)</f>
        <v>0</v>
      </c>
      <c r="V2819">
        <f>IF(ReconciliationData[[#This Row],[total_returned_units]]&gt;ReconciliationData[[#This Row],[ordered_units]],1,0)</f>
        <v>0</v>
      </c>
      <c r="W28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19">
        <f>ReconciliationData[[#This Row],[Billed_Units]]*ReconciliationData[[#This Row],[Billed_Price]]</f>
        <v>80998.687200000015</v>
      </c>
      <c r="Y2819">
        <f>ReconciliationData[[#This Row],[ordered_units]]*ReconciliationData[[#This Row],[List_Price]]</f>
        <v>80998.687200000015</v>
      </c>
      <c r="Z2819">
        <f>ReconciliationData[[#This Row],[billed_revenue]]-ReconciliationData[[#This Row],[expected_revenue]]</f>
        <v>0</v>
      </c>
      <c r="AA28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19" t="str">
        <f>IF(ReconciliationData[[#This Row],[severity_score]]=0,"LOW",
 IF(ReconciliationData[[#This Row],[severity_score]]&lt;=5,"MEDIUM","HIGH"))</f>
        <v>LOW</v>
      </c>
      <c r="AC2819" t="str">
        <f>TEXT(ReconciliationData[[#This Row],[Order_Date]],"YYYY-MM")</f>
        <v>2024-04</v>
      </c>
    </row>
    <row r="2820" spans="1:29">
      <c r="A2820" t="s">
        <v>6848</v>
      </c>
      <c r="B2820" s="1">
        <v>45169</v>
      </c>
      <c r="C2820" t="s">
        <v>2302</v>
      </c>
      <c r="D2820" t="s">
        <v>166</v>
      </c>
      <c r="E2820">
        <v>76</v>
      </c>
      <c r="F2820" t="s">
        <v>6849</v>
      </c>
      <c r="G2820">
        <v>76</v>
      </c>
      <c r="H2820">
        <v>365.95330000000001</v>
      </c>
      <c r="N2820">
        <v>365.95330000000001</v>
      </c>
      <c r="O2820" s="1">
        <v>44824</v>
      </c>
      <c r="P2820">
        <f>IF(ISBLANK(ReconciliationData[[#This Row],[Invoice_ID]]),1,0)</f>
        <v>0</v>
      </c>
      <c r="Q2820">
        <f>IF(AND(NOT(ISBLANK(ReconciliationData[[#This Row],[Billed_Units]])),ReconciliationData[[#This Row],[ordered_units]]&lt;&gt;ReconciliationData[[#This Row],[Billed_Units]]),1,0)</f>
        <v>0</v>
      </c>
      <c r="R28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0">
        <f>IF(AND(NOT(ISBLANK(ReconciliationData[[#This Row],[Contract_Price]])),ReconciliationData[[#This Row],[Billed_Price]]&lt;&gt;ReconciliationData[[#This Row],[Contract_Price]]),1,0)</f>
        <v>0</v>
      </c>
      <c r="T2820">
        <f>IF(AND(NOT(ISBLANK(ReconciliationData[[#This Row],[End_Date]])),ReconciliationData[[#This Row],[Order_Date]]&gt;ReconciliationData[[#This Row],[End_Date]]),1,0)</f>
        <v>0</v>
      </c>
      <c r="U2820">
        <f>IF(AND(NOT(ISBLANK(ReconciliationData[[#This Row],[last_return_date]])),ReconciliationData[[#This Row],[last_return_date]]&gt;ReconciliationData[[#This Row],[Order_Date]]+60),1,0)</f>
        <v>0</v>
      </c>
      <c r="V2820">
        <f>IF(ReconciliationData[[#This Row],[total_returned_units]]&gt;ReconciliationData[[#This Row],[ordered_units]],1,0)</f>
        <v>0</v>
      </c>
      <c r="W28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20">
        <f>ReconciliationData[[#This Row],[Billed_Units]]*ReconciliationData[[#This Row],[Billed_Price]]</f>
        <v>27812.450800000002</v>
      </c>
      <c r="Y2820">
        <f>ReconciliationData[[#This Row],[ordered_units]]*ReconciliationData[[#This Row],[List_Price]]</f>
        <v>27812.450800000002</v>
      </c>
      <c r="Z2820">
        <f>ReconciliationData[[#This Row],[billed_revenue]]-ReconciliationData[[#This Row],[expected_revenue]]</f>
        <v>0</v>
      </c>
      <c r="AA28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20" t="str">
        <f>IF(ReconciliationData[[#This Row],[severity_score]]=0,"LOW",
 IF(ReconciliationData[[#This Row],[severity_score]]&lt;=5,"MEDIUM","HIGH"))</f>
        <v>LOW</v>
      </c>
      <c r="AC2820" t="str">
        <f>TEXT(ReconciliationData[[#This Row],[Order_Date]],"YYYY-MM")</f>
        <v>2023-08</v>
      </c>
    </row>
    <row r="2821" spans="1:29">
      <c r="A2821" t="s">
        <v>6850</v>
      </c>
      <c r="B2821" s="1">
        <v>45542</v>
      </c>
      <c r="C2821" t="s">
        <v>5961</v>
      </c>
      <c r="D2821" t="s">
        <v>423</v>
      </c>
      <c r="E2821">
        <v>147</v>
      </c>
      <c r="F2821" t="s">
        <v>6851</v>
      </c>
      <c r="G2821">
        <v>147</v>
      </c>
      <c r="H2821">
        <v>168.12909999999999</v>
      </c>
      <c r="N2821">
        <v>168.12909999999999</v>
      </c>
      <c r="O2821" s="1">
        <v>45013</v>
      </c>
      <c r="P2821">
        <f>IF(ISBLANK(ReconciliationData[[#This Row],[Invoice_ID]]),1,0)</f>
        <v>0</v>
      </c>
      <c r="Q2821">
        <f>IF(AND(NOT(ISBLANK(ReconciliationData[[#This Row],[Billed_Units]])),ReconciliationData[[#This Row],[ordered_units]]&lt;&gt;ReconciliationData[[#This Row],[Billed_Units]]),1,0)</f>
        <v>0</v>
      </c>
      <c r="R28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1">
        <f>IF(AND(NOT(ISBLANK(ReconciliationData[[#This Row],[Contract_Price]])),ReconciliationData[[#This Row],[Billed_Price]]&lt;&gt;ReconciliationData[[#This Row],[Contract_Price]]),1,0)</f>
        <v>0</v>
      </c>
      <c r="T2821">
        <f>IF(AND(NOT(ISBLANK(ReconciliationData[[#This Row],[End_Date]])),ReconciliationData[[#This Row],[Order_Date]]&gt;ReconciliationData[[#This Row],[End_Date]]),1,0)</f>
        <v>0</v>
      </c>
      <c r="U2821">
        <f>IF(AND(NOT(ISBLANK(ReconciliationData[[#This Row],[last_return_date]])),ReconciliationData[[#This Row],[last_return_date]]&gt;ReconciliationData[[#This Row],[Order_Date]]+60),1,0)</f>
        <v>0</v>
      </c>
      <c r="V2821">
        <f>IF(ReconciliationData[[#This Row],[total_returned_units]]&gt;ReconciliationData[[#This Row],[ordered_units]],1,0)</f>
        <v>0</v>
      </c>
      <c r="W28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21">
        <f>ReconciliationData[[#This Row],[Billed_Units]]*ReconciliationData[[#This Row],[Billed_Price]]</f>
        <v>24714.977699999999</v>
      </c>
      <c r="Y2821">
        <f>ReconciliationData[[#This Row],[ordered_units]]*ReconciliationData[[#This Row],[List_Price]]</f>
        <v>24714.977699999999</v>
      </c>
      <c r="Z2821">
        <f>ReconciliationData[[#This Row],[billed_revenue]]-ReconciliationData[[#This Row],[expected_revenue]]</f>
        <v>0</v>
      </c>
      <c r="AA28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21" t="str">
        <f>IF(ReconciliationData[[#This Row],[severity_score]]=0,"LOW",
 IF(ReconciliationData[[#This Row],[severity_score]]&lt;=5,"MEDIUM","HIGH"))</f>
        <v>LOW</v>
      </c>
      <c r="AC2821" t="str">
        <f>TEXT(ReconciliationData[[#This Row],[Order_Date]],"YYYY-MM")</f>
        <v>2024-09</v>
      </c>
    </row>
    <row r="2822" spans="1:29">
      <c r="A2822" t="s">
        <v>6852</v>
      </c>
      <c r="B2822" s="1">
        <v>44953</v>
      </c>
      <c r="C2822" t="s">
        <v>1856</v>
      </c>
      <c r="D2822" t="s">
        <v>404</v>
      </c>
      <c r="E2822">
        <v>199</v>
      </c>
      <c r="F2822" t="s">
        <v>6853</v>
      </c>
      <c r="G2822">
        <v>199</v>
      </c>
      <c r="H2822">
        <v>1141.1433</v>
      </c>
      <c r="N2822">
        <v>1141.1433</v>
      </c>
      <c r="O2822" s="1">
        <v>44951</v>
      </c>
      <c r="P2822">
        <f>IF(ISBLANK(ReconciliationData[[#This Row],[Invoice_ID]]),1,0)</f>
        <v>0</v>
      </c>
      <c r="Q2822">
        <f>IF(AND(NOT(ISBLANK(ReconciliationData[[#This Row],[Billed_Units]])),ReconciliationData[[#This Row],[ordered_units]]&lt;&gt;ReconciliationData[[#This Row],[Billed_Units]]),1,0)</f>
        <v>0</v>
      </c>
      <c r="R28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2">
        <f>IF(AND(NOT(ISBLANK(ReconciliationData[[#This Row],[Contract_Price]])),ReconciliationData[[#This Row],[Billed_Price]]&lt;&gt;ReconciliationData[[#This Row],[Contract_Price]]),1,0)</f>
        <v>0</v>
      </c>
      <c r="T2822">
        <f>IF(AND(NOT(ISBLANK(ReconciliationData[[#This Row],[End_Date]])),ReconciliationData[[#This Row],[Order_Date]]&gt;ReconciliationData[[#This Row],[End_Date]]),1,0)</f>
        <v>0</v>
      </c>
      <c r="U2822">
        <f>IF(AND(NOT(ISBLANK(ReconciliationData[[#This Row],[last_return_date]])),ReconciliationData[[#This Row],[last_return_date]]&gt;ReconciliationData[[#This Row],[Order_Date]]+60),1,0)</f>
        <v>0</v>
      </c>
      <c r="V2822">
        <f>IF(ReconciliationData[[#This Row],[total_returned_units]]&gt;ReconciliationData[[#This Row],[ordered_units]],1,0)</f>
        <v>0</v>
      </c>
      <c r="W28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22">
        <f>ReconciliationData[[#This Row],[Billed_Units]]*ReconciliationData[[#This Row],[Billed_Price]]</f>
        <v>227087.51669999998</v>
      </c>
      <c r="Y2822">
        <f>ReconciliationData[[#This Row],[ordered_units]]*ReconciliationData[[#This Row],[List_Price]]</f>
        <v>227087.51669999998</v>
      </c>
      <c r="Z2822">
        <f>ReconciliationData[[#This Row],[billed_revenue]]-ReconciliationData[[#This Row],[expected_revenue]]</f>
        <v>0</v>
      </c>
      <c r="AA28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22" t="str">
        <f>IF(ReconciliationData[[#This Row],[severity_score]]=0,"LOW",
 IF(ReconciliationData[[#This Row],[severity_score]]&lt;=5,"MEDIUM","HIGH"))</f>
        <v>LOW</v>
      </c>
      <c r="AC2822" t="str">
        <f>TEXT(ReconciliationData[[#This Row],[Order_Date]],"YYYY-MM")</f>
        <v>2023-01</v>
      </c>
    </row>
    <row r="2823" spans="1:29">
      <c r="A2823" t="s">
        <v>6854</v>
      </c>
      <c r="B2823" s="1">
        <v>45078</v>
      </c>
      <c r="C2823" t="s">
        <v>4392</v>
      </c>
      <c r="D2823" t="s">
        <v>182</v>
      </c>
      <c r="E2823">
        <v>67</v>
      </c>
      <c r="F2823" t="s">
        <v>6855</v>
      </c>
      <c r="G2823">
        <v>67</v>
      </c>
      <c r="H2823">
        <v>725.50320000000011</v>
      </c>
      <c r="I2823">
        <v>5</v>
      </c>
      <c r="J2823" s="1">
        <v>45517</v>
      </c>
      <c r="N2823">
        <v>725.50320000000011</v>
      </c>
      <c r="O2823" s="1">
        <v>44858</v>
      </c>
      <c r="P2823">
        <f>IF(ISBLANK(ReconciliationData[[#This Row],[Invoice_ID]]),1,0)</f>
        <v>0</v>
      </c>
      <c r="Q2823">
        <f>IF(AND(NOT(ISBLANK(ReconciliationData[[#This Row],[Billed_Units]])),ReconciliationData[[#This Row],[ordered_units]]&lt;&gt;ReconciliationData[[#This Row],[Billed_Units]]),1,0)</f>
        <v>0</v>
      </c>
      <c r="R28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3">
        <f>IF(AND(NOT(ISBLANK(ReconciliationData[[#This Row],[Contract_Price]])),ReconciliationData[[#This Row],[Billed_Price]]&lt;&gt;ReconciliationData[[#This Row],[Contract_Price]]),1,0)</f>
        <v>0</v>
      </c>
      <c r="T2823">
        <f>IF(AND(NOT(ISBLANK(ReconciliationData[[#This Row],[End_Date]])),ReconciliationData[[#This Row],[Order_Date]]&gt;ReconciliationData[[#This Row],[End_Date]]),1,0)</f>
        <v>0</v>
      </c>
      <c r="U2823">
        <f>IF(AND(NOT(ISBLANK(ReconciliationData[[#This Row],[last_return_date]])),ReconciliationData[[#This Row],[last_return_date]]&gt;ReconciliationData[[#This Row],[Order_Date]]+60),1,0)</f>
        <v>1</v>
      </c>
      <c r="V2823">
        <f>IF(ReconciliationData[[#This Row],[total_returned_units]]&gt;ReconciliationData[[#This Row],[ordered_units]],1,0)</f>
        <v>0</v>
      </c>
      <c r="W28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23">
        <f>ReconciliationData[[#This Row],[Billed_Units]]*ReconciliationData[[#This Row],[Billed_Price]]</f>
        <v>48608.714400000004</v>
      </c>
      <c r="Y2823">
        <f>ReconciliationData[[#This Row],[ordered_units]]*ReconciliationData[[#This Row],[List_Price]]</f>
        <v>48608.714400000004</v>
      </c>
      <c r="Z2823">
        <f>ReconciliationData[[#This Row],[billed_revenue]]-ReconciliationData[[#This Row],[expected_revenue]]</f>
        <v>0</v>
      </c>
      <c r="AA28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823" t="str">
        <f>IF(ReconciliationData[[#This Row],[severity_score]]=0,"LOW",
 IF(ReconciliationData[[#This Row],[severity_score]]&lt;=5,"MEDIUM","HIGH"))</f>
        <v>MEDIUM</v>
      </c>
      <c r="AC2823" t="str">
        <f>TEXT(ReconciliationData[[#This Row],[Order_Date]],"YYYY-MM")</f>
        <v>2023-06</v>
      </c>
    </row>
    <row r="2824" spans="1:29">
      <c r="A2824" t="s">
        <v>6856</v>
      </c>
      <c r="B2824" s="1">
        <v>45042</v>
      </c>
      <c r="C2824" t="s">
        <v>763</v>
      </c>
      <c r="D2824" t="s">
        <v>821</v>
      </c>
      <c r="E2824">
        <v>20</v>
      </c>
      <c r="F2824" t="s">
        <v>6857</v>
      </c>
      <c r="G2824">
        <v>20</v>
      </c>
      <c r="H2824">
        <v>785.89</v>
      </c>
      <c r="N2824">
        <v>785.89</v>
      </c>
      <c r="O2824" s="1">
        <v>44989</v>
      </c>
      <c r="P2824">
        <f>IF(ISBLANK(ReconciliationData[[#This Row],[Invoice_ID]]),1,0)</f>
        <v>0</v>
      </c>
      <c r="Q2824">
        <f>IF(AND(NOT(ISBLANK(ReconciliationData[[#This Row],[Billed_Units]])),ReconciliationData[[#This Row],[ordered_units]]&lt;&gt;ReconciliationData[[#This Row],[Billed_Units]]),1,0)</f>
        <v>0</v>
      </c>
      <c r="R28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4">
        <f>IF(AND(NOT(ISBLANK(ReconciliationData[[#This Row],[Contract_Price]])),ReconciliationData[[#This Row],[Billed_Price]]&lt;&gt;ReconciliationData[[#This Row],[Contract_Price]]),1,0)</f>
        <v>0</v>
      </c>
      <c r="T2824">
        <f>IF(AND(NOT(ISBLANK(ReconciliationData[[#This Row],[End_Date]])),ReconciliationData[[#This Row],[Order_Date]]&gt;ReconciliationData[[#This Row],[End_Date]]),1,0)</f>
        <v>0</v>
      </c>
      <c r="U2824">
        <f>IF(AND(NOT(ISBLANK(ReconciliationData[[#This Row],[last_return_date]])),ReconciliationData[[#This Row],[last_return_date]]&gt;ReconciliationData[[#This Row],[Order_Date]]+60),1,0)</f>
        <v>0</v>
      </c>
      <c r="V2824">
        <f>IF(ReconciliationData[[#This Row],[total_returned_units]]&gt;ReconciliationData[[#This Row],[ordered_units]],1,0)</f>
        <v>0</v>
      </c>
      <c r="W28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24">
        <f>ReconciliationData[[#This Row],[Billed_Units]]*ReconciliationData[[#This Row],[Billed_Price]]</f>
        <v>15717.8</v>
      </c>
      <c r="Y2824">
        <f>ReconciliationData[[#This Row],[ordered_units]]*ReconciliationData[[#This Row],[List_Price]]</f>
        <v>15717.8</v>
      </c>
      <c r="Z2824">
        <f>ReconciliationData[[#This Row],[billed_revenue]]-ReconciliationData[[#This Row],[expected_revenue]]</f>
        <v>0</v>
      </c>
      <c r="AA28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24" t="str">
        <f>IF(ReconciliationData[[#This Row],[severity_score]]=0,"LOW",
 IF(ReconciliationData[[#This Row],[severity_score]]&lt;=5,"MEDIUM","HIGH"))</f>
        <v>LOW</v>
      </c>
      <c r="AC2824" t="str">
        <f>TEXT(ReconciliationData[[#This Row],[Order_Date]],"YYYY-MM")</f>
        <v>2023-04</v>
      </c>
    </row>
    <row r="2825" spans="1:29">
      <c r="A2825" t="s">
        <v>6858</v>
      </c>
      <c r="B2825" s="1">
        <v>45113</v>
      </c>
      <c r="C2825" t="s">
        <v>2298</v>
      </c>
      <c r="D2825" t="s">
        <v>1945</v>
      </c>
      <c r="E2825">
        <v>75</v>
      </c>
      <c r="F2825" t="s">
        <v>6859</v>
      </c>
      <c r="G2825">
        <v>75</v>
      </c>
      <c r="H2825">
        <v>1178.6880000000001</v>
      </c>
      <c r="N2825">
        <v>1178.6880000000001</v>
      </c>
      <c r="O2825" s="1">
        <v>44930</v>
      </c>
      <c r="P2825">
        <f>IF(ISBLANK(ReconciliationData[[#This Row],[Invoice_ID]]),1,0)</f>
        <v>0</v>
      </c>
      <c r="Q2825">
        <f>IF(AND(NOT(ISBLANK(ReconciliationData[[#This Row],[Billed_Units]])),ReconciliationData[[#This Row],[ordered_units]]&lt;&gt;ReconciliationData[[#This Row],[Billed_Units]]),1,0)</f>
        <v>0</v>
      </c>
      <c r="R28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5">
        <f>IF(AND(NOT(ISBLANK(ReconciliationData[[#This Row],[Contract_Price]])),ReconciliationData[[#This Row],[Billed_Price]]&lt;&gt;ReconciliationData[[#This Row],[Contract_Price]]),1,0)</f>
        <v>0</v>
      </c>
      <c r="T2825">
        <f>IF(AND(NOT(ISBLANK(ReconciliationData[[#This Row],[End_Date]])),ReconciliationData[[#This Row],[Order_Date]]&gt;ReconciliationData[[#This Row],[End_Date]]),1,0)</f>
        <v>0</v>
      </c>
      <c r="U2825">
        <f>IF(AND(NOT(ISBLANK(ReconciliationData[[#This Row],[last_return_date]])),ReconciliationData[[#This Row],[last_return_date]]&gt;ReconciliationData[[#This Row],[Order_Date]]+60),1,0)</f>
        <v>0</v>
      </c>
      <c r="V2825">
        <f>IF(ReconciliationData[[#This Row],[total_returned_units]]&gt;ReconciliationData[[#This Row],[ordered_units]],1,0)</f>
        <v>0</v>
      </c>
      <c r="W28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25">
        <f>ReconciliationData[[#This Row],[Billed_Units]]*ReconciliationData[[#This Row],[Billed_Price]]</f>
        <v>88401.600000000006</v>
      </c>
      <c r="Y2825">
        <f>ReconciliationData[[#This Row],[ordered_units]]*ReconciliationData[[#This Row],[List_Price]]</f>
        <v>88401.600000000006</v>
      </c>
      <c r="Z2825">
        <f>ReconciliationData[[#This Row],[billed_revenue]]-ReconciliationData[[#This Row],[expected_revenue]]</f>
        <v>0</v>
      </c>
      <c r="AA28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25" t="str">
        <f>IF(ReconciliationData[[#This Row],[severity_score]]=0,"LOW",
 IF(ReconciliationData[[#This Row],[severity_score]]&lt;=5,"MEDIUM","HIGH"))</f>
        <v>LOW</v>
      </c>
      <c r="AC2825" t="str">
        <f>TEXT(ReconciliationData[[#This Row],[Order_Date]],"YYYY-MM")</f>
        <v>2023-07</v>
      </c>
    </row>
    <row r="2826" spans="1:29">
      <c r="A2826" t="s">
        <v>6860</v>
      </c>
      <c r="B2826" s="1">
        <v>44951</v>
      </c>
      <c r="C2826" t="s">
        <v>595</v>
      </c>
      <c r="D2826" t="s">
        <v>1057</v>
      </c>
      <c r="E2826">
        <v>108</v>
      </c>
      <c r="F2826" t="s">
        <v>6861</v>
      </c>
      <c r="G2826">
        <v>108</v>
      </c>
      <c r="H2826">
        <v>212.07900000000001</v>
      </c>
      <c r="N2826">
        <v>212.07900000000001</v>
      </c>
      <c r="O2826" s="1">
        <v>44862</v>
      </c>
      <c r="P2826">
        <f>IF(ISBLANK(ReconciliationData[[#This Row],[Invoice_ID]]),1,0)</f>
        <v>0</v>
      </c>
      <c r="Q2826">
        <f>IF(AND(NOT(ISBLANK(ReconciliationData[[#This Row],[Billed_Units]])),ReconciliationData[[#This Row],[ordered_units]]&lt;&gt;ReconciliationData[[#This Row],[Billed_Units]]),1,0)</f>
        <v>0</v>
      </c>
      <c r="R28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6">
        <f>IF(AND(NOT(ISBLANK(ReconciliationData[[#This Row],[Contract_Price]])),ReconciliationData[[#This Row],[Billed_Price]]&lt;&gt;ReconciliationData[[#This Row],[Contract_Price]]),1,0)</f>
        <v>0</v>
      </c>
      <c r="T2826">
        <f>IF(AND(NOT(ISBLANK(ReconciliationData[[#This Row],[End_Date]])),ReconciliationData[[#This Row],[Order_Date]]&gt;ReconciliationData[[#This Row],[End_Date]]),1,0)</f>
        <v>0</v>
      </c>
      <c r="U2826">
        <f>IF(AND(NOT(ISBLANK(ReconciliationData[[#This Row],[last_return_date]])),ReconciliationData[[#This Row],[last_return_date]]&gt;ReconciliationData[[#This Row],[Order_Date]]+60),1,0)</f>
        <v>0</v>
      </c>
      <c r="V2826">
        <f>IF(ReconciliationData[[#This Row],[total_returned_units]]&gt;ReconciliationData[[#This Row],[ordered_units]],1,0)</f>
        <v>0</v>
      </c>
      <c r="W28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26">
        <f>ReconciliationData[[#This Row],[Billed_Units]]*ReconciliationData[[#This Row],[Billed_Price]]</f>
        <v>22904.531999999999</v>
      </c>
      <c r="Y2826">
        <f>ReconciliationData[[#This Row],[ordered_units]]*ReconciliationData[[#This Row],[List_Price]]</f>
        <v>22904.531999999999</v>
      </c>
      <c r="Z2826">
        <f>ReconciliationData[[#This Row],[billed_revenue]]-ReconciliationData[[#This Row],[expected_revenue]]</f>
        <v>0</v>
      </c>
      <c r="AA28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26" t="str">
        <f>IF(ReconciliationData[[#This Row],[severity_score]]=0,"LOW",
 IF(ReconciliationData[[#This Row],[severity_score]]&lt;=5,"MEDIUM","HIGH"))</f>
        <v>LOW</v>
      </c>
      <c r="AC2826" t="str">
        <f>TEXT(ReconciliationData[[#This Row],[Order_Date]],"YYYY-MM")</f>
        <v>2023-01</v>
      </c>
    </row>
    <row r="2827" spans="1:29">
      <c r="A2827" t="s">
        <v>6862</v>
      </c>
      <c r="B2827" s="1">
        <v>45344</v>
      </c>
      <c r="C2827" t="s">
        <v>1212</v>
      </c>
      <c r="D2827" t="s">
        <v>1411</v>
      </c>
      <c r="E2827">
        <v>158</v>
      </c>
      <c r="F2827" t="s">
        <v>6863</v>
      </c>
      <c r="G2827">
        <v>158</v>
      </c>
      <c r="H2827">
        <v>1167.9120000000005</v>
      </c>
      <c r="N2827">
        <v>1167.9120000000005</v>
      </c>
      <c r="O2827" s="1">
        <v>45019</v>
      </c>
      <c r="P2827">
        <f>IF(ISBLANK(ReconciliationData[[#This Row],[Invoice_ID]]),1,0)</f>
        <v>0</v>
      </c>
      <c r="Q2827">
        <f>IF(AND(NOT(ISBLANK(ReconciliationData[[#This Row],[Billed_Units]])),ReconciliationData[[#This Row],[ordered_units]]&lt;&gt;ReconciliationData[[#This Row],[Billed_Units]]),1,0)</f>
        <v>0</v>
      </c>
      <c r="R28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7">
        <f>IF(AND(NOT(ISBLANK(ReconciliationData[[#This Row],[Contract_Price]])),ReconciliationData[[#This Row],[Billed_Price]]&lt;&gt;ReconciliationData[[#This Row],[Contract_Price]]),1,0)</f>
        <v>0</v>
      </c>
      <c r="T2827">
        <f>IF(AND(NOT(ISBLANK(ReconciliationData[[#This Row],[End_Date]])),ReconciliationData[[#This Row],[Order_Date]]&gt;ReconciliationData[[#This Row],[End_Date]]),1,0)</f>
        <v>0</v>
      </c>
      <c r="U2827">
        <f>IF(AND(NOT(ISBLANK(ReconciliationData[[#This Row],[last_return_date]])),ReconciliationData[[#This Row],[last_return_date]]&gt;ReconciliationData[[#This Row],[Order_Date]]+60),1,0)</f>
        <v>0</v>
      </c>
      <c r="V2827">
        <f>IF(ReconciliationData[[#This Row],[total_returned_units]]&gt;ReconciliationData[[#This Row],[ordered_units]],1,0)</f>
        <v>0</v>
      </c>
      <c r="W28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27">
        <f>ReconciliationData[[#This Row],[Billed_Units]]*ReconciliationData[[#This Row],[Billed_Price]]</f>
        <v>184530.09600000008</v>
      </c>
      <c r="Y2827">
        <f>ReconciliationData[[#This Row],[ordered_units]]*ReconciliationData[[#This Row],[List_Price]]</f>
        <v>184530.09600000008</v>
      </c>
      <c r="Z2827">
        <f>ReconciliationData[[#This Row],[billed_revenue]]-ReconciliationData[[#This Row],[expected_revenue]]</f>
        <v>0</v>
      </c>
      <c r="AA28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27" t="str">
        <f>IF(ReconciliationData[[#This Row],[severity_score]]=0,"LOW",
 IF(ReconciliationData[[#This Row],[severity_score]]&lt;=5,"MEDIUM","HIGH"))</f>
        <v>LOW</v>
      </c>
      <c r="AC2827" t="str">
        <f>TEXT(ReconciliationData[[#This Row],[Order_Date]],"YYYY-MM")</f>
        <v>2024-02</v>
      </c>
    </row>
    <row r="2828" spans="1:29">
      <c r="A2828" t="s">
        <v>6864</v>
      </c>
      <c r="B2828" s="1">
        <v>45537</v>
      </c>
      <c r="C2828" t="s">
        <v>1640</v>
      </c>
      <c r="D2828" t="s">
        <v>1495</v>
      </c>
      <c r="E2828">
        <v>108</v>
      </c>
      <c r="F2828" t="s">
        <v>6865</v>
      </c>
      <c r="G2828">
        <v>108</v>
      </c>
      <c r="H2828">
        <v>377.08350000000002</v>
      </c>
      <c r="N2828">
        <v>377.08350000000002</v>
      </c>
      <c r="O2828" s="1">
        <v>45064</v>
      </c>
      <c r="P2828">
        <f>IF(ISBLANK(ReconciliationData[[#This Row],[Invoice_ID]]),1,0)</f>
        <v>0</v>
      </c>
      <c r="Q2828">
        <f>IF(AND(NOT(ISBLANK(ReconciliationData[[#This Row],[Billed_Units]])),ReconciliationData[[#This Row],[ordered_units]]&lt;&gt;ReconciliationData[[#This Row],[Billed_Units]]),1,0)</f>
        <v>0</v>
      </c>
      <c r="R28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8">
        <f>IF(AND(NOT(ISBLANK(ReconciliationData[[#This Row],[Contract_Price]])),ReconciliationData[[#This Row],[Billed_Price]]&lt;&gt;ReconciliationData[[#This Row],[Contract_Price]]),1,0)</f>
        <v>0</v>
      </c>
      <c r="T2828">
        <f>IF(AND(NOT(ISBLANK(ReconciliationData[[#This Row],[End_Date]])),ReconciliationData[[#This Row],[Order_Date]]&gt;ReconciliationData[[#This Row],[End_Date]]),1,0)</f>
        <v>0</v>
      </c>
      <c r="U2828">
        <f>IF(AND(NOT(ISBLANK(ReconciliationData[[#This Row],[last_return_date]])),ReconciliationData[[#This Row],[last_return_date]]&gt;ReconciliationData[[#This Row],[Order_Date]]+60),1,0)</f>
        <v>0</v>
      </c>
      <c r="V2828">
        <f>IF(ReconciliationData[[#This Row],[total_returned_units]]&gt;ReconciliationData[[#This Row],[ordered_units]],1,0)</f>
        <v>0</v>
      </c>
      <c r="W28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28">
        <f>ReconciliationData[[#This Row],[Billed_Units]]*ReconciliationData[[#This Row],[Billed_Price]]</f>
        <v>40725.018000000004</v>
      </c>
      <c r="Y2828">
        <f>ReconciliationData[[#This Row],[ordered_units]]*ReconciliationData[[#This Row],[List_Price]]</f>
        <v>40725.018000000004</v>
      </c>
      <c r="Z2828">
        <f>ReconciliationData[[#This Row],[billed_revenue]]-ReconciliationData[[#This Row],[expected_revenue]]</f>
        <v>0</v>
      </c>
      <c r="AA28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28" t="str">
        <f>IF(ReconciliationData[[#This Row],[severity_score]]=0,"LOW",
 IF(ReconciliationData[[#This Row],[severity_score]]&lt;=5,"MEDIUM","HIGH"))</f>
        <v>LOW</v>
      </c>
      <c r="AC2828" t="str">
        <f>TEXT(ReconciliationData[[#This Row],[Order_Date]],"YYYY-MM")</f>
        <v>2024-09</v>
      </c>
    </row>
    <row r="2829" spans="1:29">
      <c r="A2829" t="s">
        <v>6866</v>
      </c>
      <c r="B2829" s="1">
        <v>45255</v>
      </c>
      <c r="C2829" t="s">
        <v>536</v>
      </c>
      <c r="D2829" t="s">
        <v>142</v>
      </c>
      <c r="E2829">
        <v>140</v>
      </c>
      <c r="F2829" t="s">
        <v>6867</v>
      </c>
      <c r="G2829">
        <v>140</v>
      </c>
      <c r="H2829">
        <v>189.1498</v>
      </c>
      <c r="I2829">
        <v>13</v>
      </c>
      <c r="J2829" s="1">
        <v>45039</v>
      </c>
      <c r="N2829">
        <v>189.1498</v>
      </c>
      <c r="O2829" s="1">
        <v>45108</v>
      </c>
      <c r="P2829">
        <f>IF(ISBLANK(ReconciliationData[[#This Row],[Invoice_ID]]),1,0)</f>
        <v>0</v>
      </c>
      <c r="Q2829">
        <f>IF(AND(NOT(ISBLANK(ReconciliationData[[#This Row],[Billed_Units]])),ReconciliationData[[#This Row],[ordered_units]]&lt;&gt;ReconciliationData[[#This Row],[Billed_Units]]),1,0)</f>
        <v>0</v>
      </c>
      <c r="R28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29">
        <f>IF(AND(NOT(ISBLANK(ReconciliationData[[#This Row],[Contract_Price]])),ReconciliationData[[#This Row],[Billed_Price]]&lt;&gt;ReconciliationData[[#This Row],[Contract_Price]]),1,0)</f>
        <v>0</v>
      </c>
      <c r="T2829">
        <f>IF(AND(NOT(ISBLANK(ReconciliationData[[#This Row],[End_Date]])),ReconciliationData[[#This Row],[Order_Date]]&gt;ReconciliationData[[#This Row],[End_Date]]),1,0)</f>
        <v>0</v>
      </c>
      <c r="U2829">
        <f>IF(AND(NOT(ISBLANK(ReconciliationData[[#This Row],[last_return_date]])),ReconciliationData[[#This Row],[last_return_date]]&gt;ReconciliationData[[#This Row],[Order_Date]]+60),1,0)</f>
        <v>0</v>
      </c>
      <c r="V2829">
        <f>IF(ReconciliationData[[#This Row],[total_returned_units]]&gt;ReconciliationData[[#This Row],[ordered_units]],1,0)</f>
        <v>0</v>
      </c>
      <c r="W28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29">
        <f>ReconciliationData[[#This Row],[Billed_Units]]*ReconciliationData[[#This Row],[Billed_Price]]</f>
        <v>26480.972000000002</v>
      </c>
      <c r="Y2829">
        <f>ReconciliationData[[#This Row],[ordered_units]]*ReconciliationData[[#This Row],[List_Price]]</f>
        <v>26480.972000000002</v>
      </c>
      <c r="Z2829">
        <f>ReconciliationData[[#This Row],[billed_revenue]]-ReconciliationData[[#This Row],[expected_revenue]]</f>
        <v>0</v>
      </c>
      <c r="AA28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29" t="str">
        <f>IF(ReconciliationData[[#This Row],[severity_score]]=0,"LOW",
 IF(ReconciliationData[[#This Row],[severity_score]]&lt;=5,"MEDIUM","HIGH"))</f>
        <v>LOW</v>
      </c>
      <c r="AC2829" t="str">
        <f>TEXT(ReconciliationData[[#This Row],[Order_Date]],"YYYY-MM")</f>
        <v>2023-11</v>
      </c>
    </row>
    <row r="2830" spans="1:29">
      <c r="A2830" t="s">
        <v>6868</v>
      </c>
      <c r="B2830" s="1">
        <v>45310</v>
      </c>
      <c r="C2830" t="s">
        <v>4053</v>
      </c>
      <c r="D2830" t="s">
        <v>898</v>
      </c>
      <c r="E2830">
        <v>166</v>
      </c>
      <c r="F2830" t="s">
        <v>6869</v>
      </c>
      <c r="G2830">
        <v>166</v>
      </c>
      <c r="H2830">
        <v>744.98490000000004</v>
      </c>
      <c r="N2830">
        <v>744.98490000000004</v>
      </c>
      <c r="O2830" s="1">
        <v>45138</v>
      </c>
      <c r="P2830">
        <f>IF(ISBLANK(ReconciliationData[[#This Row],[Invoice_ID]]),1,0)</f>
        <v>0</v>
      </c>
      <c r="Q2830">
        <f>IF(AND(NOT(ISBLANK(ReconciliationData[[#This Row],[Billed_Units]])),ReconciliationData[[#This Row],[ordered_units]]&lt;&gt;ReconciliationData[[#This Row],[Billed_Units]]),1,0)</f>
        <v>0</v>
      </c>
      <c r="R28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0">
        <f>IF(AND(NOT(ISBLANK(ReconciliationData[[#This Row],[Contract_Price]])),ReconciliationData[[#This Row],[Billed_Price]]&lt;&gt;ReconciliationData[[#This Row],[Contract_Price]]),1,0)</f>
        <v>0</v>
      </c>
      <c r="T2830">
        <f>IF(AND(NOT(ISBLANK(ReconciliationData[[#This Row],[End_Date]])),ReconciliationData[[#This Row],[Order_Date]]&gt;ReconciliationData[[#This Row],[End_Date]]),1,0)</f>
        <v>0</v>
      </c>
      <c r="U2830">
        <f>IF(AND(NOT(ISBLANK(ReconciliationData[[#This Row],[last_return_date]])),ReconciliationData[[#This Row],[last_return_date]]&gt;ReconciliationData[[#This Row],[Order_Date]]+60),1,0)</f>
        <v>0</v>
      </c>
      <c r="V2830">
        <f>IF(ReconciliationData[[#This Row],[total_returned_units]]&gt;ReconciliationData[[#This Row],[ordered_units]],1,0)</f>
        <v>0</v>
      </c>
      <c r="W28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30">
        <f>ReconciliationData[[#This Row],[Billed_Units]]*ReconciliationData[[#This Row],[Billed_Price]]</f>
        <v>123667.49340000001</v>
      </c>
      <c r="Y2830">
        <f>ReconciliationData[[#This Row],[ordered_units]]*ReconciliationData[[#This Row],[List_Price]]</f>
        <v>123667.49340000001</v>
      </c>
      <c r="Z2830">
        <f>ReconciliationData[[#This Row],[billed_revenue]]-ReconciliationData[[#This Row],[expected_revenue]]</f>
        <v>0</v>
      </c>
      <c r="AA28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30" t="str">
        <f>IF(ReconciliationData[[#This Row],[severity_score]]=0,"LOW",
 IF(ReconciliationData[[#This Row],[severity_score]]&lt;=5,"MEDIUM","HIGH"))</f>
        <v>LOW</v>
      </c>
      <c r="AC2830" t="str">
        <f>TEXT(ReconciliationData[[#This Row],[Order_Date]],"YYYY-MM")</f>
        <v>2024-01</v>
      </c>
    </row>
    <row r="2831" spans="1:29">
      <c r="A2831" t="s">
        <v>6870</v>
      </c>
      <c r="B2831" s="1">
        <v>45622</v>
      </c>
      <c r="C2831" t="s">
        <v>4381</v>
      </c>
      <c r="D2831" t="s">
        <v>573</v>
      </c>
      <c r="E2831">
        <v>124</v>
      </c>
      <c r="F2831" t="s">
        <v>6871</v>
      </c>
      <c r="G2831">
        <v>124</v>
      </c>
      <c r="H2831">
        <v>1223.9694</v>
      </c>
      <c r="N2831">
        <v>1223.9694</v>
      </c>
      <c r="O2831" s="1">
        <v>45154</v>
      </c>
      <c r="P2831">
        <f>IF(ISBLANK(ReconciliationData[[#This Row],[Invoice_ID]]),1,0)</f>
        <v>0</v>
      </c>
      <c r="Q2831">
        <f>IF(AND(NOT(ISBLANK(ReconciliationData[[#This Row],[Billed_Units]])),ReconciliationData[[#This Row],[ordered_units]]&lt;&gt;ReconciliationData[[#This Row],[Billed_Units]]),1,0)</f>
        <v>0</v>
      </c>
      <c r="R28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1">
        <f>IF(AND(NOT(ISBLANK(ReconciliationData[[#This Row],[Contract_Price]])),ReconciliationData[[#This Row],[Billed_Price]]&lt;&gt;ReconciliationData[[#This Row],[Contract_Price]]),1,0)</f>
        <v>0</v>
      </c>
      <c r="T2831">
        <f>IF(AND(NOT(ISBLANK(ReconciliationData[[#This Row],[End_Date]])),ReconciliationData[[#This Row],[Order_Date]]&gt;ReconciliationData[[#This Row],[End_Date]]),1,0)</f>
        <v>0</v>
      </c>
      <c r="U2831">
        <f>IF(AND(NOT(ISBLANK(ReconciliationData[[#This Row],[last_return_date]])),ReconciliationData[[#This Row],[last_return_date]]&gt;ReconciliationData[[#This Row],[Order_Date]]+60),1,0)</f>
        <v>0</v>
      </c>
      <c r="V2831">
        <f>IF(ReconciliationData[[#This Row],[total_returned_units]]&gt;ReconciliationData[[#This Row],[ordered_units]],1,0)</f>
        <v>0</v>
      </c>
      <c r="W28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31">
        <f>ReconciliationData[[#This Row],[Billed_Units]]*ReconciliationData[[#This Row],[Billed_Price]]</f>
        <v>151772.20559999999</v>
      </c>
      <c r="Y2831">
        <f>ReconciliationData[[#This Row],[ordered_units]]*ReconciliationData[[#This Row],[List_Price]]</f>
        <v>151772.20559999999</v>
      </c>
      <c r="Z2831">
        <f>ReconciliationData[[#This Row],[billed_revenue]]-ReconciliationData[[#This Row],[expected_revenue]]</f>
        <v>0</v>
      </c>
      <c r="AA28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31" t="str">
        <f>IF(ReconciliationData[[#This Row],[severity_score]]=0,"LOW",
 IF(ReconciliationData[[#This Row],[severity_score]]&lt;=5,"MEDIUM","HIGH"))</f>
        <v>LOW</v>
      </c>
      <c r="AC2831" t="str">
        <f>TEXT(ReconciliationData[[#This Row],[Order_Date]],"YYYY-MM")</f>
        <v>2024-11</v>
      </c>
    </row>
    <row r="2832" spans="1:29">
      <c r="A2832" t="s">
        <v>6872</v>
      </c>
      <c r="B2832" s="1">
        <v>44958</v>
      </c>
      <c r="C2832" t="s">
        <v>4747</v>
      </c>
      <c r="D2832" t="s">
        <v>2622</v>
      </c>
      <c r="E2832">
        <v>78</v>
      </c>
      <c r="F2832" t="s">
        <v>6873</v>
      </c>
      <c r="G2832">
        <v>78</v>
      </c>
      <c r="H2832">
        <v>428.59800000000007</v>
      </c>
      <c r="N2832">
        <v>428.59800000000007</v>
      </c>
      <c r="O2832" s="1">
        <v>44798</v>
      </c>
      <c r="P2832">
        <f>IF(ISBLANK(ReconciliationData[[#This Row],[Invoice_ID]]),1,0)</f>
        <v>0</v>
      </c>
      <c r="Q2832">
        <f>IF(AND(NOT(ISBLANK(ReconciliationData[[#This Row],[Billed_Units]])),ReconciliationData[[#This Row],[ordered_units]]&lt;&gt;ReconciliationData[[#This Row],[Billed_Units]]),1,0)</f>
        <v>0</v>
      </c>
      <c r="R28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2">
        <f>IF(AND(NOT(ISBLANK(ReconciliationData[[#This Row],[Contract_Price]])),ReconciliationData[[#This Row],[Billed_Price]]&lt;&gt;ReconciliationData[[#This Row],[Contract_Price]]),1,0)</f>
        <v>0</v>
      </c>
      <c r="T2832">
        <f>IF(AND(NOT(ISBLANK(ReconciliationData[[#This Row],[End_Date]])),ReconciliationData[[#This Row],[Order_Date]]&gt;ReconciliationData[[#This Row],[End_Date]]),1,0)</f>
        <v>0</v>
      </c>
      <c r="U2832">
        <f>IF(AND(NOT(ISBLANK(ReconciliationData[[#This Row],[last_return_date]])),ReconciliationData[[#This Row],[last_return_date]]&gt;ReconciliationData[[#This Row],[Order_Date]]+60),1,0)</f>
        <v>0</v>
      </c>
      <c r="V2832">
        <f>IF(ReconciliationData[[#This Row],[total_returned_units]]&gt;ReconciliationData[[#This Row],[ordered_units]],1,0)</f>
        <v>0</v>
      </c>
      <c r="W28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32">
        <f>ReconciliationData[[#This Row],[Billed_Units]]*ReconciliationData[[#This Row],[Billed_Price]]</f>
        <v>33430.644000000008</v>
      </c>
      <c r="Y2832">
        <f>ReconciliationData[[#This Row],[ordered_units]]*ReconciliationData[[#This Row],[List_Price]]</f>
        <v>33430.644000000008</v>
      </c>
      <c r="Z2832">
        <f>ReconciliationData[[#This Row],[billed_revenue]]-ReconciliationData[[#This Row],[expected_revenue]]</f>
        <v>0</v>
      </c>
      <c r="AA28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32" t="str">
        <f>IF(ReconciliationData[[#This Row],[severity_score]]=0,"LOW",
 IF(ReconciliationData[[#This Row],[severity_score]]&lt;=5,"MEDIUM","HIGH"))</f>
        <v>LOW</v>
      </c>
      <c r="AC2832" t="str">
        <f>TEXT(ReconciliationData[[#This Row],[Order_Date]],"YYYY-MM")</f>
        <v>2023-02</v>
      </c>
    </row>
    <row r="2833" spans="1:29">
      <c r="A2833" t="s">
        <v>6874</v>
      </c>
      <c r="B2833" s="1">
        <v>45596</v>
      </c>
      <c r="C2833" t="s">
        <v>4945</v>
      </c>
      <c r="D2833" t="s">
        <v>504</v>
      </c>
      <c r="E2833">
        <v>125</v>
      </c>
      <c r="F2833" t="s">
        <v>6875</v>
      </c>
      <c r="G2833">
        <v>125</v>
      </c>
      <c r="H2833">
        <v>245.8853</v>
      </c>
      <c r="N2833">
        <v>245.8853</v>
      </c>
      <c r="O2833" s="1">
        <v>45025</v>
      </c>
      <c r="P2833">
        <f>IF(ISBLANK(ReconciliationData[[#This Row],[Invoice_ID]]),1,0)</f>
        <v>0</v>
      </c>
      <c r="Q2833">
        <f>IF(AND(NOT(ISBLANK(ReconciliationData[[#This Row],[Billed_Units]])),ReconciliationData[[#This Row],[ordered_units]]&lt;&gt;ReconciliationData[[#This Row],[Billed_Units]]),1,0)</f>
        <v>0</v>
      </c>
      <c r="R28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3">
        <f>IF(AND(NOT(ISBLANK(ReconciliationData[[#This Row],[Contract_Price]])),ReconciliationData[[#This Row],[Billed_Price]]&lt;&gt;ReconciliationData[[#This Row],[Contract_Price]]),1,0)</f>
        <v>0</v>
      </c>
      <c r="T2833">
        <f>IF(AND(NOT(ISBLANK(ReconciliationData[[#This Row],[End_Date]])),ReconciliationData[[#This Row],[Order_Date]]&gt;ReconciliationData[[#This Row],[End_Date]]),1,0)</f>
        <v>0</v>
      </c>
      <c r="U2833">
        <f>IF(AND(NOT(ISBLANK(ReconciliationData[[#This Row],[last_return_date]])),ReconciliationData[[#This Row],[last_return_date]]&gt;ReconciliationData[[#This Row],[Order_Date]]+60),1,0)</f>
        <v>0</v>
      </c>
      <c r="V2833">
        <f>IF(ReconciliationData[[#This Row],[total_returned_units]]&gt;ReconciliationData[[#This Row],[ordered_units]],1,0)</f>
        <v>0</v>
      </c>
      <c r="W28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33">
        <f>ReconciliationData[[#This Row],[Billed_Units]]*ReconciliationData[[#This Row],[Billed_Price]]</f>
        <v>30735.662499999999</v>
      </c>
      <c r="Y2833">
        <f>ReconciliationData[[#This Row],[ordered_units]]*ReconciliationData[[#This Row],[List_Price]]</f>
        <v>30735.662499999999</v>
      </c>
      <c r="Z2833">
        <f>ReconciliationData[[#This Row],[billed_revenue]]-ReconciliationData[[#This Row],[expected_revenue]]</f>
        <v>0</v>
      </c>
      <c r="AA28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33" t="str">
        <f>IF(ReconciliationData[[#This Row],[severity_score]]=0,"LOW",
 IF(ReconciliationData[[#This Row],[severity_score]]&lt;=5,"MEDIUM","HIGH"))</f>
        <v>LOW</v>
      </c>
      <c r="AC2833" t="str">
        <f>TEXT(ReconciliationData[[#This Row],[Order_Date]],"YYYY-MM")</f>
        <v>2024-10</v>
      </c>
    </row>
    <row r="2834" spans="1:29">
      <c r="A2834" t="s">
        <v>6876</v>
      </c>
      <c r="B2834" s="1">
        <v>45627</v>
      </c>
      <c r="C2834" t="s">
        <v>3030</v>
      </c>
      <c r="D2834" t="s">
        <v>1449</v>
      </c>
      <c r="E2834">
        <v>51</v>
      </c>
      <c r="F2834" t="s">
        <v>6877</v>
      </c>
      <c r="G2834">
        <v>51</v>
      </c>
      <c r="H2834">
        <v>960.85850000000005</v>
      </c>
      <c r="N2834">
        <v>960.85850000000005</v>
      </c>
      <c r="O2834" s="1">
        <v>45049</v>
      </c>
      <c r="P2834">
        <f>IF(ISBLANK(ReconciliationData[[#This Row],[Invoice_ID]]),1,0)</f>
        <v>0</v>
      </c>
      <c r="Q2834">
        <f>IF(AND(NOT(ISBLANK(ReconciliationData[[#This Row],[Billed_Units]])),ReconciliationData[[#This Row],[ordered_units]]&lt;&gt;ReconciliationData[[#This Row],[Billed_Units]]),1,0)</f>
        <v>0</v>
      </c>
      <c r="R28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4">
        <f>IF(AND(NOT(ISBLANK(ReconciliationData[[#This Row],[Contract_Price]])),ReconciliationData[[#This Row],[Billed_Price]]&lt;&gt;ReconciliationData[[#This Row],[Contract_Price]]),1,0)</f>
        <v>0</v>
      </c>
      <c r="T2834">
        <f>IF(AND(NOT(ISBLANK(ReconciliationData[[#This Row],[End_Date]])),ReconciliationData[[#This Row],[Order_Date]]&gt;ReconciliationData[[#This Row],[End_Date]]),1,0)</f>
        <v>0</v>
      </c>
      <c r="U2834">
        <f>IF(AND(NOT(ISBLANK(ReconciliationData[[#This Row],[last_return_date]])),ReconciliationData[[#This Row],[last_return_date]]&gt;ReconciliationData[[#This Row],[Order_Date]]+60),1,0)</f>
        <v>0</v>
      </c>
      <c r="V2834">
        <f>IF(ReconciliationData[[#This Row],[total_returned_units]]&gt;ReconciliationData[[#This Row],[ordered_units]],1,0)</f>
        <v>0</v>
      </c>
      <c r="W28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34">
        <f>ReconciliationData[[#This Row],[Billed_Units]]*ReconciliationData[[#This Row],[Billed_Price]]</f>
        <v>49003.783500000005</v>
      </c>
      <c r="Y2834">
        <f>ReconciliationData[[#This Row],[ordered_units]]*ReconciliationData[[#This Row],[List_Price]]</f>
        <v>49003.783500000005</v>
      </c>
      <c r="Z2834">
        <f>ReconciliationData[[#This Row],[billed_revenue]]-ReconciliationData[[#This Row],[expected_revenue]]</f>
        <v>0</v>
      </c>
      <c r="AA28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34" t="str">
        <f>IF(ReconciliationData[[#This Row],[severity_score]]=0,"LOW",
 IF(ReconciliationData[[#This Row],[severity_score]]&lt;=5,"MEDIUM","HIGH"))</f>
        <v>LOW</v>
      </c>
      <c r="AC2834" t="str">
        <f>TEXT(ReconciliationData[[#This Row],[Order_Date]],"YYYY-MM")</f>
        <v>2024-12</v>
      </c>
    </row>
    <row r="2835" spans="1:29">
      <c r="A2835" t="s">
        <v>6878</v>
      </c>
      <c r="B2835" s="1">
        <v>45457</v>
      </c>
      <c r="C2835" t="s">
        <v>278</v>
      </c>
      <c r="D2835" t="s">
        <v>2370</v>
      </c>
      <c r="E2835">
        <v>12</v>
      </c>
      <c r="F2835" t="s">
        <v>6879</v>
      </c>
      <c r="G2835">
        <v>12</v>
      </c>
      <c r="H2835">
        <v>1247.7911999999999</v>
      </c>
      <c r="N2835">
        <v>1247.7911999999999</v>
      </c>
      <c r="O2835" s="1">
        <v>45213</v>
      </c>
      <c r="P2835">
        <f>IF(ISBLANK(ReconciliationData[[#This Row],[Invoice_ID]]),1,0)</f>
        <v>0</v>
      </c>
      <c r="Q2835">
        <f>IF(AND(NOT(ISBLANK(ReconciliationData[[#This Row],[Billed_Units]])),ReconciliationData[[#This Row],[ordered_units]]&lt;&gt;ReconciliationData[[#This Row],[Billed_Units]]),1,0)</f>
        <v>0</v>
      </c>
      <c r="R28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5">
        <f>IF(AND(NOT(ISBLANK(ReconciliationData[[#This Row],[Contract_Price]])),ReconciliationData[[#This Row],[Billed_Price]]&lt;&gt;ReconciliationData[[#This Row],[Contract_Price]]),1,0)</f>
        <v>0</v>
      </c>
      <c r="T2835">
        <f>IF(AND(NOT(ISBLANK(ReconciliationData[[#This Row],[End_Date]])),ReconciliationData[[#This Row],[Order_Date]]&gt;ReconciliationData[[#This Row],[End_Date]]),1,0)</f>
        <v>0</v>
      </c>
      <c r="U2835">
        <f>IF(AND(NOT(ISBLANK(ReconciliationData[[#This Row],[last_return_date]])),ReconciliationData[[#This Row],[last_return_date]]&gt;ReconciliationData[[#This Row],[Order_Date]]+60),1,0)</f>
        <v>0</v>
      </c>
      <c r="V2835">
        <f>IF(ReconciliationData[[#This Row],[total_returned_units]]&gt;ReconciliationData[[#This Row],[ordered_units]],1,0)</f>
        <v>0</v>
      </c>
      <c r="W28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35">
        <f>ReconciliationData[[#This Row],[Billed_Units]]*ReconciliationData[[#This Row],[Billed_Price]]</f>
        <v>14973.4944</v>
      </c>
      <c r="Y2835">
        <f>ReconciliationData[[#This Row],[ordered_units]]*ReconciliationData[[#This Row],[List_Price]]</f>
        <v>14973.4944</v>
      </c>
      <c r="Z2835">
        <f>ReconciliationData[[#This Row],[billed_revenue]]-ReconciliationData[[#This Row],[expected_revenue]]</f>
        <v>0</v>
      </c>
      <c r="AA28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35" t="str">
        <f>IF(ReconciliationData[[#This Row],[severity_score]]=0,"LOW",
 IF(ReconciliationData[[#This Row],[severity_score]]&lt;=5,"MEDIUM","HIGH"))</f>
        <v>LOW</v>
      </c>
      <c r="AC2835" t="str">
        <f>TEXT(ReconciliationData[[#This Row],[Order_Date]],"YYYY-MM")</f>
        <v>2024-06</v>
      </c>
    </row>
    <row r="2836" spans="1:29">
      <c r="A2836" t="s">
        <v>6880</v>
      </c>
      <c r="B2836" s="1">
        <v>45652</v>
      </c>
      <c r="C2836" t="s">
        <v>2120</v>
      </c>
      <c r="D2836" t="s">
        <v>251</v>
      </c>
      <c r="E2836">
        <v>181</v>
      </c>
      <c r="F2836" t="s">
        <v>6881</v>
      </c>
      <c r="G2836">
        <v>181</v>
      </c>
      <c r="H2836">
        <v>957.65700000000015</v>
      </c>
      <c r="N2836">
        <v>957.65700000000015</v>
      </c>
      <c r="O2836" s="1">
        <v>45057</v>
      </c>
      <c r="P2836">
        <f>IF(ISBLANK(ReconciliationData[[#This Row],[Invoice_ID]]),1,0)</f>
        <v>0</v>
      </c>
      <c r="Q2836">
        <f>IF(AND(NOT(ISBLANK(ReconciliationData[[#This Row],[Billed_Units]])),ReconciliationData[[#This Row],[ordered_units]]&lt;&gt;ReconciliationData[[#This Row],[Billed_Units]]),1,0)</f>
        <v>0</v>
      </c>
      <c r="R28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6">
        <f>IF(AND(NOT(ISBLANK(ReconciliationData[[#This Row],[Contract_Price]])),ReconciliationData[[#This Row],[Billed_Price]]&lt;&gt;ReconciliationData[[#This Row],[Contract_Price]]),1,0)</f>
        <v>0</v>
      </c>
      <c r="T2836">
        <f>IF(AND(NOT(ISBLANK(ReconciliationData[[#This Row],[End_Date]])),ReconciliationData[[#This Row],[Order_Date]]&gt;ReconciliationData[[#This Row],[End_Date]]),1,0)</f>
        <v>0</v>
      </c>
      <c r="U2836">
        <f>IF(AND(NOT(ISBLANK(ReconciliationData[[#This Row],[last_return_date]])),ReconciliationData[[#This Row],[last_return_date]]&gt;ReconciliationData[[#This Row],[Order_Date]]+60),1,0)</f>
        <v>0</v>
      </c>
      <c r="V2836">
        <f>IF(ReconciliationData[[#This Row],[total_returned_units]]&gt;ReconciliationData[[#This Row],[ordered_units]],1,0)</f>
        <v>0</v>
      </c>
      <c r="W28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36">
        <f>ReconciliationData[[#This Row],[Billed_Units]]*ReconciliationData[[#This Row],[Billed_Price]]</f>
        <v>173335.91700000002</v>
      </c>
      <c r="Y2836">
        <f>ReconciliationData[[#This Row],[ordered_units]]*ReconciliationData[[#This Row],[List_Price]]</f>
        <v>173335.91700000002</v>
      </c>
      <c r="Z2836">
        <f>ReconciliationData[[#This Row],[billed_revenue]]-ReconciliationData[[#This Row],[expected_revenue]]</f>
        <v>0</v>
      </c>
      <c r="AA28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36" t="str">
        <f>IF(ReconciliationData[[#This Row],[severity_score]]=0,"LOW",
 IF(ReconciliationData[[#This Row],[severity_score]]&lt;=5,"MEDIUM","HIGH"))</f>
        <v>LOW</v>
      </c>
      <c r="AC2836" t="str">
        <f>TEXT(ReconciliationData[[#This Row],[Order_Date]],"YYYY-MM")</f>
        <v>2024-12</v>
      </c>
    </row>
    <row r="2837" spans="1:29">
      <c r="A2837" t="s">
        <v>6882</v>
      </c>
      <c r="B2837" s="1">
        <v>45491</v>
      </c>
      <c r="C2837" t="s">
        <v>1132</v>
      </c>
      <c r="D2837" t="s">
        <v>525</v>
      </c>
      <c r="E2837">
        <v>17</v>
      </c>
      <c r="F2837" t="s">
        <v>6883</v>
      </c>
      <c r="G2837">
        <v>25</v>
      </c>
      <c r="H2837">
        <v>249.1748</v>
      </c>
      <c r="N2837">
        <v>249.1748</v>
      </c>
      <c r="O2837" s="1">
        <v>45141</v>
      </c>
      <c r="P2837">
        <f>IF(ISBLANK(ReconciliationData[[#This Row],[Invoice_ID]]),1,0)</f>
        <v>0</v>
      </c>
      <c r="Q2837">
        <f>IF(AND(NOT(ISBLANK(ReconciliationData[[#This Row],[Billed_Units]])),ReconciliationData[[#This Row],[ordered_units]]&lt;&gt;ReconciliationData[[#This Row],[Billed_Units]]),1,0)</f>
        <v>1</v>
      </c>
      <c r="R28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7">
        <f>IF(AND(NOT(ISBLANK(ReconciliationData[[#This Row],[Contract_Price]])),ReconciliationData[[#This Row],[Billed_Price]]&lt;&gt;ReconciliationData[[#This Row],[Contract_Price]]),1,0)</f>
        <v>0</v>
      </c>
      <c r="T2837">
        <f>IF(AND(NOT(ISBLANK(ReconciliationData[[#This Row],[End_Date]])),ReconciliationData[[#This Row],[Order_Date]]&gt;ReconciliationData[[#This Row],[End_Date]]),1,0)</f>
        <v>0</v>
      </c>
      <c r="U2837">
        <f>IF(AND(NOT(ISBLANK(ReconciliationData[[#This Row],[last_return_date]])),ReconciliationData[[#This Row],[last_return_date]]&gt;ReconciliationData[[#This Row],[Order_Date]]+60),1,0)</f>
        <v>0</v>
      </c>
      <c r="V2837">
        <f>IF(ReconciliationData[[#This Row],[total_returned_units]]&gt;ReconciliationData[[#This Row],[ordered_units]],1,0)</f>
        <v>0</v>
      </c>
      <c r="W28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37">
        <f>ReconciliationData[[#This Row],[Billed_Units]]*ReconciliationData[[#This Row],[Billed_Price]]</f>
        <v>6229.37</v>
      </c>
      <c r="Y2837">
        <f>ReconciliationData[[#This Row],[ordered_units]]*ReconciliationData[[#This Row],[List_Price]]</f>
        <v>4235.9715999999999</v>
      </c>
      <c r="Z2837">
        <f>ReconciliationData[[#This Row],[billed_revenue]]-ReconciliationData[[#This Row],[expected_revenue]]</f>
        <v>1993.3984</v>
      </c>
      <c r="AA28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837" t="str">
        <f>IF(ReconciliationData[[#This Row],[severity_score]]=0,"LOW",
 IF(ReconciliationData[[#This Row],[severity_score]]&lt;=5,"MEDIUM","HIGH"))</f>
        <v>HIGH</v>
      </c>
      <c r="AC2837" t="str">
        <f>TEXT(ReconciliationData[[#This Row],[Order_Date]],"YYYY-MM")</f>
        <v>2024-07</v>
      </c>
    </row>
    <row r="2838" spans="1:29">
      <c r="A2838" t="s">
        <v>6884</v>
      </c>
      <c r="B2838" s="1">
        <v>45150</v>
      </c>
      <c r="C2838" t="s">
        <v>2678</v>
      </c>
      <c r="D2838" t="s">
        <v>512</v>
      </c>
      <c r="E2838">
        <v>78</v>
      </c>
      <c r="F2838" t="s">
        <v>6885</v>
      </c>
      <c r="G2838">
        <v>78</v>
      </c>
      <c r="H2838">
        <v>211.68960000000001</v>
      </c>
      <c r="I2838">
        <v>12</v>
      </c>
      <c r="J2838" s="1">
        <v>45516</v>
      </c>
      <c r="N2838">
        <v>211.68960000000001</v>
      </c>
      <c r="O2838" s="1">
        <v>45129</v>
      </c>
      <c r="P2838">
        <f>IF(ISBLANK(ReconciliationData[[#This Row],[Invoice_ID]]),1,0)</f>
        <v>0</v>
      </c>
      <c r="Q2838">
        <f>IF(AND(NOT(ISBLANK(ReconciliationData[[#This Row],[Billed_Units]])),ReconciliationData[[#This Row],[ordered_units]]&lt;&gt;ReconciliationData[[#This Row],[Billed_Units]]),1,0)</f>
        <v>0</v>
      </c>
      <c r="R28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8">
        <f>IF(AND(NOT(ISBLANK(ReconciliationData[[#This Row],[Contract_Price]])),ReconciliationData[[#This Row],[Billed_Price]]&lt;&gt;ReconciliationData[[#This Row],[Contract_Price]]),1,0)</f>
        <v>0</v>
      </c>
      <c r="T2838">
        <f>IF(AND(NOT(ISBLANK(ReconciliationData[[#This Row],[End_Date]])),ReconciliationData[[#This Row],[Order_Date]]&gt;ReconciliationData[[#This Row],[End_Date]]),1,0)</f>
        <v>0</v>
      </c>
      <c r="U2838">
        <f>IF(AND(NOT(ISBLANK(ReconciliationData[[#This Row],[last_return_date]])),ReconciliationData[[#This Row],[last_return_date]]&gt;ReconciliationData[[#This Row],[Order_Date]]+60),1,0)</f>
        <v>1</v>
      </c>
      <c r="V2838">
        <f>IF(ReconciliationData[[#This Row],[total_returned_units]]&gt;ReconciliationData[[#This Row],[ordered_units]],1,0)</f>
        <v>0</v>
      </c>
      <c r="W28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38">
        <f>ReconciliationData[[#This Row],[Billed_Units]]*ReconciliationData[[#This Row],[Billed_Price]]</f>
        <v>16511.788800000002</v>
      </c>
      <c r="Y2838">
        <f>ReconciliationData[[#This Row],[ordered_units]]*ReconciliationData[[#This Row],[List_Price]]</f>
        <v>16511.788800000002</v>
      </c>
      <c r="Z2838">
        <f>ReconciliationData[[#This Row],[billed_revenue]]-ReconciliationData[[#This Row],[expected_revenue]]</f>
        <v>0</v>
      </c>
      <c r="AA28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838" t="str">
        <f>IF(ReconciliationData[[#This Row],[severity_score]]=0,"LOW",
 IF(ReconciliationData[[#This Row],[severity_score]]&lt;=5,"MEDIUM","HIGH"))</f>
        <v>MEDIUM</v>
      </c>
      <c r="AC2838" t="str">
        <f>TEXT(ReconciliationData[[#This Row],[Order_Date]],"YYYY-MM")</f>
        <v>2023-08</v>
      </c>
    </row>
    <row r="2839" spans="1:29">
      <c r="A2839" t="s">
        <v>6886</v>
      </c>
      <c r="B2839" s="1">
        <v>45114</v>
      </c>
      <c r="C2839" t="s">
        <v>254</v>
      </c>
      <c r="D2839" t="s">
        <v>1414</v>
      </c>
      <c r="E2839">
        <v>90</v>
      </c>
      <c r="F2839" t="s">
        <v>6887</v>
      </c>
      <c r="G2839">
        <v>90</v>
      </c>
      <c r="H2839">
        <v>855.83360000000005</v>
      </c>
      <c r="N2839">
        <v>855.83360000000005</v>
      </c>
      <c r="O2839" s="1">
        <v>45049</v>
      </c>
      <c r="P2839">
        <f>IF(ISBLANK(ReconciliationData[[#This Row],[Invoice_ID]]),1,0)</f>
        <v>0</v>
      </c>
      <c r="Q2839">
        <f>IF(AND(NOT(ISBLANK(ReconciliationData[[#This Row],[Billed_Units]])),ReconciliationData[[#This Row],[ordered_units]]&lt;&gt;ReconciliationData[[#This Row],[Billed_Units]]),1,0)</f>
        <v>0</v>
      </c>
      <c r="R28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39">
        <f>IF(AND(NOT(ISBLANK(ReconciliationData[[#This Row],[Contract_Price]])),ReconciliationData[[#This Row],[Billed_Price]]&lt;&gt;ReconciliationData[[#This Row],[Contract_Price]]),1,0)</f>
        <v>0</v>
      </c>
      <c r="T2839">
        <f>IF(AND(NOT(ISBLANK(ReconciliationData[[#This Row],[End_Date]])),ReconciliationData[[#This Row],[Order_Date]]&gt;ReconciliationData[[#This Row],[End_Date]]),1,0)</f>
        <v>0</v>
      </c>
      <c r="U2839">
        <f>IF(AND(NOT(ISBLANK(ReconciliationData[[#This Row],[last_return_date]])),ReconciliationData[[#This Row],[last_return_date]]&gt;ReconciliationData[[#This Row],[Order_Date]]+60),1,0)</f>
        <v>0</v>
      </c>
      <c r="V2839">
        <f>IF(ReconciliationData[[#This Row],[total_returned_units]]&gt;ReconciliationData[[#This Row],[ordered_units]],1,0)</f>
        <v>0</v>
      </c>
      <c r="W28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39">
        <f>ReconciliationData[[#This Row],[Billed_Units]]*ReconciliationData[[#This Row],[Billed_Price]]</f>
        <v>77025.024000000005</v>
      </c>
      <c r="Y2839">
        <f>ReconciliationData[[#This Row],[ordered_units]]*ReconciliationData[[#This Row],[List_Price]]</f>
        <v>77025.024000000005</v>
      </c>
      <c r="Z2839">
        <f>ReconciliationData[[#This Row],[billed_revenue]]-ReconciliationData[[#This Row],[expected_revenue]]</f>
        <v>0</v>
      </c>
      <c r="AA28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39" t="str">
        <f>IF(ReconciliationData[[#This Row],[severity_score]]=0,"LOW",
 IF(ReconciliationData[[#This Row],[severity_score]]&lt;=5,"MEDIUM","HIGH"))</f>
        <v>LOW</v>
      </c>
      <c r="AC2839" t="str">
        <f>TEXT(ReconciliationData[[#This Row],[Order_Date]],"YYYY-MM")</f>
        <v>2023-07</v>
      </c>
    </row>
    <row r="2840" spans="1:29">
      <c r="A2840" t="s">
        <v>6888</v>
      </c>
      <c r="B2840" s="1">
        <v>45342</v>
      </c>
      <c r="C2840" t="s">
        <v>1174</v>
      </c>
      <c r="D2840" t="s">
        <v>821</v>
      </c>
      <c r="E2840">
        <v>68</v>
      </c>
      <c r="F2840" t="s">
        <v>6889</v>
      </c>
      <c r="G2840">
        <v>68</v>
      </c>
      <c r="H2840">
        <v>785.89</v>
      </c>
      <c r="N2840">
        <v>785.89</v>
      </c>
      <c r="O2840" s="1">
        <v>44989</v>
      </c>
      <c r="P2840">
        <f>IF(ISBLANK(ReconciliationData[[#This Row],[Invoice_ID]]),1,0)</f>
        <v>0</v>
      </c>
      <c r="Q2840">
        <f>IF(AND(NOT(ISBLANK(ReconciliationData[[#This Row],[Billed_Units]])),ReconciliationData[[#This Row],[ordered_units]]&lt;&gt;ReconciliationData[[#This Row],[Billed_Units]]),1,0)</f>
        <v>0</v>
      </c>
      <c r="R28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40">
        <f>IF(AND(NOT(ISBLANK(ReconciliationData[[#This Row],[Contract_Price]])),ReconciliationData[[#This Row],[Billed_Price]]&lt;&gt;ReconciliationData[[#This Row],[Contract_Price]]),1,0)</f>
        <v>0</v>
      </c>
      <c r="T2840">
        <f>IF(AND(NOT(ISBLANK(ReconciliationData[[#This Row],[End_Date]])),ReconciliationData[[#This Row],[Order_Date]]&gt;ReconciliationData[[#This Row],[End_Date]]),1,0)</f>
        <v>0</v>
      </c>
      <c r="U2840">
        <f>IF(AND(NOT(ISBLANK(ReconciliationData[[#This Row],[last_return_date]])),ReconciliationData[[#This Row],[last_return_date]]&gt;ReconciliationData[[#This Row],[Order_Date]]+60),1,0)</f>
        <v>0</v>
      </c>
      <c r="V2840">
        <f>IF(ReconciliationData[[#This Row],[total_returned_units]]&gt;ReconciliationData[[#This Row],[ordered_units]],1,0)</f>
        <v>0</v>
      </c>
      <c r="W28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40">
        <f>ReconciliationData[[#This Row],[Billed_Units]]*ReconciliationData[[#This Row],[Billed_Price]]</f>
        <v>53440.52</v>
      </c>
      <c r="Y2840">
        <f>ReconciliationData[[#This Row],[ordered_units]]*ReconciliationData[[#This Row],[List_Price]]</f>
        <v>53440.52</v>
      </c>
      <c r="Z2840">
        <f>ReconciliationData[[#This Row],[billed_revenue]]-ReconciliationData[[#This Row],[expected_revenue]]</f>
        <v>0</v>
      </c>
      <c r="AA28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40" t="str">
        <f>IF(ReconciliationData[[#This Row],[severity_score]]=0,"LOW",
 IF(ReconciliationData[[#This Row],[severity_score]]&lt;=5,"MEDIUM","HIGH"))</f>
        <v>LOW</v>
      </c>
      <c r="AC2840" t="str">
        <f>TEXT(ReconciliationData[[#This Row],[Order_Date]],"YYYY-MM")</f>
        <v>2024-02</v>
      </c>
    </row>
    <row r="2841" spans="1:29">
      <c r="A2841" t="s">
        <v>6890</v>
      </c>
      <c r="B2841" s="1">
        <v>45491</v>
      </c>
      <c r="C2841" t="s">
        <v>3607</v>
      </c>
      <c r="D2841" t="s">
        <v>923</v>
      </c>
      <c r="E2841">
        <v>148</v>
      </c>
      <c r="F2841" t="s">
        <v>6891</v>
      </c>
      <c r="G2841">
        <v>148</v>
      </c>
      <c r="H2841">
        <v>754.20799999999997</v>
      </c>
      <c r="N2841">
        <v>754.20799999999997</v>
      </c>
      <c r="O2841" s="1">
        <v>45069</v>
      </c>
      <c r="P2841">
        <f>IF(ISBLANK(ReconciliationData[[#This Row],[Invoice_ID]]),1,0)</f>
        <v>0</v>
      </c>
      <c r="Q2841">
        <f>IF(AND(NOT(ISBLANK(ReconciliationData[[#This Row],[Billed_Units]])),ReconciliationData[[#This Row],[ordered_units]]&lt;&gt;ReconciliationData[[#This Row],[Billed_Units]]),1,0)</f>
        <v>0</v>
      </c>
      <c r="R28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41">
        <f>IF(AND(NOT(ISBLANK(ReconciliationData[[#This Row],[Contract_Price]])),ReconciliationData[[#This Row],[Billed_Price]]&lt;&gt;ReconciliationData[[#This Row],[Contract_Price]]),1,0)</f>
        <v>0</v>
      </c>
      <c r="T2841">
        <f>IF(AND(NOT(ISBLANK(ReconciliationData[[#This Row],[End_Date]])),ReconciliationData[[#This Row],[Order_Date]]&gt;ReconciliationData[[#This Row],[End_Date]]),1,0)</f>
        <v>0</v>
      </c>
      <c r="U2841">
        <f>IF(AND(NOT(ISBLANK(ReconciliationData[[#This Row],[last_return_date]])),ReconciliationData[[#This Row],[last_return_date]]&gt;ReconciliationData[[#This Row],[Order_Date]]+60),1,0)</f>
        <v>0</v>
      </c>
      <c r="V2841">
        <f>IF(ReconciliationData[[#This Row],[total_returned_units]]&gt;ReconciliationData[[#This Row],[ordered_units]],1,0)</f>
        <v>0</v>
      </c>
      <c r="W28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41">
        <f>ReconciliationData[[#This Row],[Billed_Units]]*ReconciliationData[[#This Row],[Billed_Price]]</f>
        <v>111622.784</v>
      </c>
      <c r="Y2841">
        <f>ReconciliationData[[#This Row],[ordered_units]]*ReconciliationData[[#This Row],[List_Price]]</f>
        <v>111622.784</v>
      </c>
      <c r="Z2841">
        <f>ReconciliationData[[#This Row],[billed_revenue]]-ReconciliationData[[#This Row],[expected_revenue]]</f>
        <v>0</v>
      </c>
      <c r="AA28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41" t="str">
        <f>IF(ReconciliationData[[#This Row],[severity_score]]=0,"LOW",
 IF(ReconciliationData[[#This Row],[severity_score]]&lt;=5,"MEDIUM","HIGH"))</f>
        <v>LOW</v>
      </c>
      <c r="AC2841" t="str">
        <f>TEXT(ReconciliationData[[#This Row],[Order_Date]],"YYYY-MM")</f>
        <v>2024-07</v>
      </c>
    </row>
    <row r="2842" spans="1:29">
      <c r="A2842" t="s">
        <v>6892</v>
      </c>
      <c r="B2842" s="1">
        <v>45452</v>
      </c>
      <c r="C2842" t="s">
        <v>312</v>
      </c>
      <c r="D2842" t="s">
        <v>291</v>
      </c>
      <c r="E2842">
        <v>136</v>
      </c>
      <c r="F2842" t="s">
        <v>6893</v>
      </c>
      <c r="G2842">
        <v>136</v>
      </c>
      <c r="H2842">
        <v>454.98379999999997</v>
      </c>
      <c r="N2842">
        <v>454.98379999999997</v>
      </c>
      <c r="O2842" s="1">
        <v>45011</v>
      </c>
      <c r="P2842">
        <f>IF(ISBLANK(ReconciliationData[[#This Row],[Invoice_ID]]),1,0)</f>
        <v>0</v>
      </c>
      <c r="Q2842">
        <f>IF(AND(NOT(ISBLANK(ReconciliationData[[#This Row],[Billed_Units]])),ReconciliationData[[#This Row],[ordered_units]]&lt;&gt;ReconciliationData[[#This Row],[Billed_Units]]),1,0)</f>
        <v>0</v>
      </c>
      <c r="R28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42">
        <f>IF(AND(NOT(ISBLANK(ReconciliationData[[#This Row],[Contract_Price]])),ReconciliationData[[#This Row],[Billed_Price]]&lt;&gt;ReconciliationData[[#This Row],[Contract_Price]]),1,0)</f>
        <v>0</v>
      </c>
      <c r="T2842">
        <f>IF(AND(NOT(ISBLANK(ReconciliationData[[#This Row],[End_Date]])),ReconciliationData[[#This Row],[Order_Date]]&gt;ReconciliationData[[#This Row],[End_Date]]),1,0)</f>
        <v>0</v>
      </c>
      <c r="U2842">
        <f>IF(AND(NOT(ISBLANK(ReconciliationData[[#This Row],[last_return_date]])),ReconciliationData[[#This Row],[last_return_date]]&gt;ReconciliationData[[#This Row],[Order_Date]]+60),1,0)</f>
        <v>0</v>
      </c>
      <c r="V2842">
        <f>IF(ReconciliationData[[#This Row],[total_returned_units]]&gt;ReconciliationData[[#This Row],[ordered_units]],1,0)</f>
        <v>0</v>
      </c>
      <c r="W28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42">
        <f>ReconciliationData[[#This Row],[Billed_Units]]*ReconciliationData[[#This Row],[Billed_Price]]</f>
        <v>61877.796799999996</v>
      </c>
      <c r="Y2842">
        <f>ReconciliationData[[#This Row],[ordered_units]]*ReconciliationData[[#This Row],[List_Price]]</f>
        <v>61877.796799999996</v>
      </c>
      <c r="Z2842">
        <f>ReconciliationData[[#This Row],[billed_revenue]]-ReconciliationData[[#This Row],[expected_revenue]]</f>
        <v>0</v>
      </c>
      <c r="AA28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42" t="str">
        <f>IF(ReconciliationData[[#This Row],[severity_score]]=0,"LOW",
 IF(ReconciliationData[[#This Row],[severity_score]]&lt;=5,"MEDIUM","HIGH"))</f>
        <v>LOW</v>
      </c>
      <c r="AC2842" t="str">
        <f>TEXT(ReconciliationData[[#This Row],[Order_Date]],"YYYY-MM")</f>
        <v>2024-06</v>
      </c>
    </row>
    <row r="2843" spans="1:29">
      <c r="A2843" t="s">
        <v>6894</v>
      </c>
      <c r="B2843" s="1">
        <v>45515</v>
      </c>
      <c r="C2843" t="s">
        <v>157</v>
      </c>
      <c r="D2843" t="s">
        <v>764</v>
      </c>
      <c r="E2843">
        <v>135</v>
      </c>
      <c r="F2843" t="s">
        <v>6895</v>
      </c>
      <c r="G2843">
        <v>135</v>
      </c>
      <c r="H2843">
        <v>1220.5917999999999</v>
      </c>
      <c r="N2843">
        <v>1220.5917999999999</v>
      </c>
      <c r="O2843" s="1">
        <v>45153</v>
      </c>
      <c r="P2843">
        <f>IF(ISBLANK(ReconciliationData[[#This Row],[Invoice_ID]]),1,0)</f>
        <v>0</v>
      </c>
      <c r="Q2843">
        <f>IF(AND(NOT(ISBLANK(ReconciliationData[[#This Row],[Billed_Units]])),ReconciliationData[[#This Row],[ordered_units]]&lt;&gt;ReconciliationData[[#This Row],[Billed_Units]]),1,0)</f>
        <v>0</v>
      </c>
      <c r="R28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43">
        <f>IF(AND(NOT(ISBLANK(ReconciliationData[[#This Row],[Contract_Price]])),ReconciliationData[[#This Row],[Billed_Price]]&lt;&gt;ReconciliationData[[#This Row],[Contract_Price]]),1,0)</f>
        <v>0</v>
      </c>
      <c r="T2843">
        <f>IF(AND(NOT(ISBLANK(ReconciliationData[[#This Row],[End_Date]])),ReconciliationData[[#This Row],[Order_Date]]&gt;ReconciliationData[[#This Row],[End_Date]]),1,0)</f>
        <v>0</v>
      </c>
      <c r="U2843">
        <f>IF(AND(NOT(ISBLANK(ReconciliationData[[#This Row],[last_return_date]])),ReconciliationData[[#This Row],[last_return_date]]&gt;ReconciliationData[[#This Row],[Order_Date]]+60),1,0)</f>
        <v>0</v>
      </c>
      <c r="V2843">
        <f>IF(ReconciliationData[[#This Row],[total_returned_units]]&gt;ReconciliationData[[#This Row],[ordered_units]],1,0)</f>
        <v>0</v>
      </c>
      <c r="W28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43">
        <f>ReconciliationData[[#This Row],[Billed_Units]]*ReconciliationData[[#This Row],[Billed_Price]]</f>
        <v>164779.89299999998</v>
      </c>
      <c r="Y2843">
        <f>ReconciliationData[[#This Row],[ordered_units]]*ReconciliationData[[#This Row],[List_Price]]</f>
        <v>164779.89299999998</v>
      </c>
      <c r="Z2843">
        <f>ReconciliationData[[#This Row],[billed_revenue]]-ReconciliationData[[#This Row],[expected_revenue]]</f>
        <v>0</v>
      </c>
      <c r="AA28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43" t="str">
        <f>IF(ReconciliationData[[#This Row],[severity_score]]=0,"LOW",
 IF(ReconciliationData[[#This Row],[severity_score]]&lt;=5,"MEDIUM","HIGH"))</f>
        <v>LOW</v>
      </c>
      <c r="AC2843" t="str">
        <f>TEXT(ReconciliationData[[#This Row],[Order_Date]],"YYYY-MM")</f>
        <v>2024-08</v>
      </c>
    </row>
    <row r="2844" spans="1:29">
      <c r="A2844" t="s">
        <v>6896</v>
      </c>
      <c r="B2844" s="1">
        <v>45418</v>
      </c>
      <c r="C2844" t="s">
        <v>2412</v>
      </c>
      <c r="D2844" t="s">
        <v>782</v>
      </c>
      <c r="E2844">
        <v>131</v>
      </c>
      <c r="F2844" t="s">
        <v>6897</v>
      </c>
      <c r="G2844">
        <v>131</v>
      </c>
      <c r="H2844">
        <v>216.36780072401376</v>
      </c>
      <c r="N2844">
        <v>216.2484</v>
      </c>
      <c r="O2844" s="1">
        <v>44944</v>
      </c>
      <c r="P2844">
        <f>IF(ISBLANK(ReconciliationData[[#This Row],[Invoice_ID]]),1,0)</f>
        <v>0</v>
      </c>
      <c r="Q2844">
        <f>IF(AND(NOT(ISBLANK(ReconciliationData[[#This Row],[Billed_Units]])),ReconciliationData[[#This Row],[ordered_units]]&lt;&gt;ReconciliationData[[#This Row],[Billed_Units]]),1,0)</f>
        <v>0</v>
      </c>
      <c r="R284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844">
        <f>IF(AND(NOT(ISBLANK(ReconciliationData[[#This Row],[Contract_Price]])),ReconciliationData[[#This Row],[Billed_Price]]&lt;&gt;ReconciliationData[[#This Row],[Contract_Price]]),1,0)</f>
        <v>0</v>
      </c>
      <c r="T2844">
        <f>IF(AND(NOT(ISBLANK(ReconciliationData[[#This Row],[End_Date]])),ReconciliationData[[#This Row],[Order_Date]]&gt;ReconciliationData[[#This Row],[End_Date]]),1,0)</f>
        <v>0</v>
      </c>
      <c r="U2844">
        <f>IF(AND(NOT(ISBLANK(ReconciliationData[[#This Row],[last_return_date]])),ReconciliationData[[#This Row],[last_return_date]]&gt;ReconciliationData[[#This Row],[Order_Date]]+60),1,0)</f>
        <v>0</v>
      </c>
      <c r="V2844">
        <f>IF(ReconciliationData[[#This Row],[total_returned_units]]&gt;ReconciliationData[[#This Row],[ordered_units]],1,0)</f>
        <v>0</v>
      </c>
      <c r="W28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44">
        <f>ReconciliationData[[#This Row],[Billed_Units]]*ReconciliationData[[#This Row],[Billed_Price]]</f>
        <v>28344.181894845802</v>
      </c>
      <c r="Y2844">
        <f>ReconciliationData[[#This Row],[ordered_units]]*ReconciliationData[[#This Row],[List_Price]]</f>
        <v>28328.540400000002</v>
      </c>
      <c r="Z2844">
        <f>ReconciliationData[[#This Row],[billed_revenue]]-ReconciliationData[[#This Row],[expected_revenue]]</f>
        <v>15.64149484580048</v>
      </c>
      <c r="AA28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844" t="str">
        <f>IF(ReconciliationData[[#This Row],[severity_score]]=0,"LOW",
 IF(ReconciliationData[[#This Row],[severity_score]]&lt;=5,"MEDIUM","HIGH"))</f>
        <v>MEDIUM</v>
      </c>
      <c r="AC2844" t="str">
        <f>TEXT(ReconciliationData[[#This Row],[Order_Date]],"YYYY-MM")</f>
        <v>2024-05</v>
      </c>
    </row>
    <row r="2845" spans="1:29">
      <c r="A2845" t="s">
        <v>6898</v>
      </c>
      <c r="B2845" s="1">
        <v>45286</v>
      </c>
      <c r="C2845" t="s">
        <v>2789</v>
      </c>
      <c r="D2845" t="s">
        <v>345</v>
      </c>
      <c r="E2845">
        <v>124</v>
      </c>
      <c r="F2845" t="s">
        <v>6899</v>
      </c>
      <c r="G2845">
        <v>124</v>
      </c>
      <c r="H2845">
        <v>580.38720000000001</v>
      </c>
      <c r="N2845">
        <v>580.38720000000001</v>
      </c>
      <c r="O2845" s="1">
        <v>45180</v>
      </c>
      <c r="P2845">
        <f>IF(ISBLANK(ReconciliationData[[#This Row],[Invoice_ID]]),1,0)</f>
        <v>0</v>
      </c>
      <c r="Q2845">
        <f>IF(AND(NOT(ISBLANK(ReconciliationData[[#This Row],[Billed_Units]])),ReconciliationData[[#This Row],[ordered_units]]&lt;&gt;ReconciliationData[[#This Row],[Billed_Units]]),1,0)</f>
        <v>0</v>
      </c>
      <c r="R28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45">
        <f>IF(AND(NOT(ISBLANK(ReconciliationData[[#This Row],[Contract_Price]])),ReconciliationData[[#This Row],[Billed_Price]]&lt;&gt;ReconciliationData[[#This Row],[Contract_Price]]),1,0)</f>
        <v>0</v>
      </c>
      <c r="T2845">
        <f>IF(AND(NOT(ISBLANK(ReconciliationData[[#This Row],[End_Date]])),ReconciliationData[[#This Row],[Order_Date]]&gt;ReconciliationData[[#This Row],[End_Date]]),1,0)</f>
        <v>0</v>
      </c>
      <c r="U2845">
        <f>IF(AND(NOT(ISBLANK(ReconciliationData[[#This Row],[last_return_date]])),ReconciliationData[[#This Row],[last_return_date]]&gt;ReconciliationData[[#This Row],[Order_Date]]+60),1,0)</f>
        <v>0</v>
      </c>
      <c r="V2845">
        <f>IF(ReconciliationData[[#This Row],[total_returned_units]]&gt;ReconciliationData[[#This Row],[ordered_units]],1,0)</f>
        <v>0</v>
      </c>
      <c r="W28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45">
        <f>ReconciliationData[[#This Row],[Billed_Units]]*ReconciliationData[[#This Row],[Billed_Price]]</f>
        <v>71968.012799999997</v>
      </c>
      <c r="Y2845">
        <f>ReconciliationData[[#This Row],[ordered_units]]*ReconciliationData[[#This Row],[List_Price]]</f>
        <v>71968.012799999997</v>
      </c>
      <c r="Z2845">
        <f>ReconciliationData[[#This Row],[billed_revenue]]-ReconciliationData[[#This Row],[expected_revenue]]</f>
        <v>0</v>
      </c>
      <c r="AA28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45" t="str">
        <f>IF(ReconciliationData[[#This Row],[severity_score]]=0,"LOW",
 IF(ReconciliationData[[#This Row],[severity_score]]&lt;=5,"MEDIUM","HIGH"))</f>
        <v>LOW</v>
      </c>
      <c r="AC2845" t="str">
        <f>TEXT(ReconciliationData[[#This Row],[Order_Date]],"YYYY-MM")</f>
        <v>2023-12</v>
      </c>
    </row>
    <row r="2846" spans="1:29">
      <c r="A2846" t="s">
        <v>6900</v>
      </c>
      <c r="B2846" s="1">
        <v>45354</v>
      </c>
      <c r="C2846" t="s">
        <v>725</v>
      </c>
      <c r="D2846" t="s">
        <v>3297</v>
      </c>
      <c r="E2846">
        <v>79</v>
      </c>
      <c r="F2846" t="s">
        <v>6901</v>
      </c>
      <c r="G2846">
        <v>79</v>
      </c>
      <c r="H2846">
        <v>933.43190000000004</v>
      </c>
      <c r="I2846">
        <v>5</v>
      </c>
      <c r="J2846" s="1">
        <v>45201</v>
      </c>
      <c r="N2846">
        <v>933.43190000000004</v>
      </c>
      <c r="O2846" s="1">
        <v>45011</v>
      </c>
      <c r="P2846">
        <f>IF(ISBLANK(ReconciliationData[[#This Row],[Invoice_ID]]),1,0)</f>
        <v>0</v>
      </c>
      <c r="Q2846">
        <f>IF(AND(NOT(ISBLANK(ReconciliationData[[#This Row],[Billed_Units]])),ReconciliationData[[#This Row],[ordered_units]]&lt;&gt;ReconciliationData[[#This Row],[Billed_Units]]),1,0)</f>
        <v>0</v>
      </c>
      <c r="R28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46">
        <f>IF(AND(NOT(ISBLANK(ReconciliationData[[#This Row],[Contract_Price]])),ReconciliationData[[#This Row],[Billed_Price]]&lt;&gt;ReconciliationData[[#This Row],[Contract_Price]]),1,0)</f>
        <v>0</v>
      </c>
      <c r="T2846">
        <f>IF(AND(NOT(ISBLANK(ReconciliationData[[#This Row],[End_Date]])),ReconciliationData[[#This Row],[Order_Date]]&gt;ReconciliationData[[#This Row],[End_Date]]),1,0)</f>
        <v>0</v>
      </c>
      <c r="U2846">
        <f>IF(AND(NOT(ISBLANK(ReconciliationData[[#This Row],[last_return_date]])),ReconciliationData[[#This Row],[last_return_date]]&gt;ReconciliationData[[#This Row],[Order_Date]]+60),1,0)</f>
        <v>0</v>
      </c>
      <c r="V2846">
        <f>IF(ReconciliationData[[#This Row],[total_returned_units]]&gt;ReconciliationData[[#This Row],[ordered_units]],1,0)</f>
        <v>0</v>
      </c>
      <c r="W28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46">
        <f>ReconciliationData[[#This Row],[Billed_Units]]*ReconciliationData[[#This Row],[Billed_Price]]</f>
        <v>73741.1201</v>
      </c>
      <c r="Y2846">
        <f>ReconciliationData[[#This Row],[ordered_units]]*ReconciliationData[[#This Row],[List_Price]]</f>
        <v>73741.1201</v>
      </c>
      <c r="Z2846">
        <f>ReconciliationData[[#This Row],[billed_revenue]]-ReconciliationData[[#This Row],[expected_revenue]]</f>
        <v>0</v>
      </c>
      <c r="AA28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46" t="str">
        <f>IF(ReconciliationData[[#This Row],[severity_score]]=0,"LOW",
 IF(ReconciliationData[[#This Row],[severity_score]]&lt;=5,"MEDIUM","HIGH"))</f>
        <v>LOW</v>
      </c>
      <c r="AC2846" t="str">
        <f>TEXT(ReconciliationData[[#This Row],[Order_Date]],"YYYY-MM")</f>
        <v>2024-03</v>
      </c>
    </row>
    <row r="2847" spans="1:29">
      <c r="A2847" t="s">
        <v>6902</v>
      </c>
      <c r="B2847" s="1">
        <v>45086</v>
      </c>
      <c r="C2847" t="s">
        <v>336</v>
      </c>
      <c r="D2847" t="s">
        <v>732</v>
      </c>
      <c r="E2847">
        <v>188</v>
      </c>
      <c r="F2847" t="s">
        <v>6903</v>
      </c>
      <c r="G2847">
        <v>188</v>
      </c>
      <c r="H2847">
        <v>440.38799999999998</v>
      </c>
      <c r="N2847">
        <v>440.38799999999998</v>
      </c>
      <c r="O2847" s="1">
        <v>45016</v>
      </c>
      <c r="P2847">
        <f>IF(ISBLANK(ReconciliationData[[#This Row],[Invoice_ID]]),1,0)</f>
        <v>0</v>
      </c>
      <c r="Q2847">
        <f>IF(AND(NOT(ISBLANK(ReconciliationData[[#This Row],[Billed_Units]])),ReconciliationData[[#This Row],[ordered_units]]&lt;&gt;ReconciliationData[[#This Row],[Billed_Units]]),1,0)</f>
        <v>0</v>
      </c>
      <c r="R28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47">
        <f>IF(AND(NOT(ISBLANK(ReconciliationData[[#This Row],[Contract_Price]])),ReconciliationData[[#This Row],[Billed_Price]]&lt;&gt;ReconciliationData[[#This Row],[Contract_Price]]),1,0)</f>
        <v>0</v>
      </c>
      <c r="T2847">
        <f>IF(AND(NOT(ISBLANK(ReconciliationData[[#This Row],[End_Date]])),ReconciliationData[[#This Row],[Order_Date]]&gt;ReconciliationData[[#This Row],[End_Date]]),1,0)</f>
        <v>0</v>
      </c>
      <c r="U2847">
        <f>IF(AND(NOT(ISBLANK(ReconciliationData[[#This Row],[last_return_date]])),ReconciliationData[[#This Row],[last_return_date]]&gt;ReconciliationData[[#This Row],[Order_Date]]+60),1,0)</f>
        <v>0</v>
      </c>
      <c r="V2847">
        <f>IF(ReconciliationData[[#This Row],[total_returned_units]]&gt;ReconciliationData[[#This Row],[ordered_units]],1,0)</f>
        <v>0</v>
      </c>
      <c r="W28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47">
        <f>ReconciliationData[[#This Row],[Billed_Units]]*ReconciliationData[[#This Row],[Billed_Price]]</f>
        <v>82792.943999999989</v>
      </c>
      <c r="Y2847">
        <f>ReconciliationData[[#This Row],[ordered_units]]*ReconciliationData[[#This Row],[List_Price]]</f>
        <v>82792.943999999989</v>
      </c>
      <c r="Z2847">
        <f>ReconciliationData[[#This Row],[billed_revenue]]-ReconciliationData[[#This Row],[expected_revenue]]</f>
        <v>0</v>
      </c>
      <c r="AA28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47" t="str">
        <f>IF(ReconciliationData[[#This Row],[severity_score]]=0,"LOW",
 IF(ReconciliationData[[#This Row],[severity_score]]&lt;=5,"MEDIUM","HIGH"))</f>
        <v>LOW</v>
      </c>
      <c r="AC2847" t="str">
        <f>TEXT(ReconciliationData[[#This Row],[Order_Date]],"YYYY-MM")</f>
        <v>2023-06</v>
      </c>
    </row>
    <row r="2848" spans="1:29">
      <c r="A2848" t="s">
        <v>6904</v>
      </c>
      <c r="B2848" s="1">
        <v>45227</v>
      </c>
      <c r="C2848" t="s">
        <v>760</v>
      </c>
      <c r="D2848" t="s">
        <v>1404</v>
      </c>
      <c r="E2848">
        <v>158</v>
      </c>
      <c r="F2848" t="s">
        <v>6905</v>
      </c>
      <c r="G2848">
        <v>158</v>
      </c>
      <c r="H2848">
        <v>655.93800000000022</v>
      </c>
      <c r="I2848">
        <v>13</v>
      </c>
      <c r="J2848" s="1">
        <v>45620</v>
      </c>
      <c r="N2848">
        <v>655.93800000000022</v>
      </c>
      <c r="O2848" s="1">
        <v>45075</v>
      </c>
      <c r="P2848">
        <f>IF(ISBLANK(ReconciliationData[[#This Row],[Invoice_ID]]),1,0)</f>
        <v>0</v>
      </c>
      <c r="Q2848">
        <f>IF(AND(NOT(ISBLANK(ReconciliationData[[#This Row],[Billed_Units]])),ReconciliationData[[#This Row],[ordered_units]]&lt;&gt;ReconciliationData[[#This Row],[Billed_Units]]),1,0)</f>
        <v>0</v>
      </c>
      <c r="R28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48">
        <f>IF(AND(NOT(ISBLANK(ReconciliationData[[#This Row],[Contract_Price]])),ReconciliationData[[#This Row],[Billed_Price]]&lt;&gt;ReconciliationData[[#This Row],[Contract_Price]]),1,0)</f>
        <v>0</v>
      </c>
      <c r="T2848">
        <f>IF(AND(NOT(ISBLANK(ReconciliationData[[#This Row],[End_Date]])),ReconciliationData[[#This Row],[Order_Date]]&gt;ReconciliationData[[#This Row],[End_Date]]),1,0)</f>
        <v>0</v>
      </c>
      <c r="U2848">
        <f>IF(AND(NOT(ISBLANK(ReconciliationData[[#This Row],[last_return_date]])),ReconciliationData[[#This Row],[last_return_date]]&gt;ReconciliationData[[#This Row],[Order_Date]]+60),1,0)</f>
        <v>1</v>
      </c>
      <c r="V2848">
        <f>IF(ReconciliationData[[#This Row],[total_returned_units]]&gt;ReconciliationData[[#This Row],[ordered_units]],1,0)</f>
        <v>0</v>
      </c>
      <c r="W28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48">
        <f>ReconciliationData[[#This Row],[Billed_Units]]*ReconciliationData[[#This Row],[Billed_Price]]</f>
        <v>103638.20400000003</v>
      </c>
      <c r="Y2848">
        <f>ReconciliationData[[#This Row],[ordered_units]]*ReconciliationData[[#This Row],[List_Price]]</f>
        <v>103638.20400000003</v>
      </c>
      <c r="Z2848">
        <f>ReconciliationData[[#This Row],[billed_revenue]]-ReconciliationData[[#This Row],[expected_revenue]]</f>
        <v>0</v>
      </c>
      <c r="AA28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848" t="str">
        <f>IF(ReconciliationData[[#This Row],[severity_score]]=0,"LOW",
 IF(ReconciliationData[[#This Row],[severity_score]]&lt;=5,"MEDIUM","HIGH"))</f>
        <v>MEDIUM</v>
      </c>
      <c r="AC2848" t="str">
        <f>TEXT(ReconciliationData[[#This Row],[Order_Date]],"YYYY-MM")</f>
        <v>2023-10</v>
      </c>
    </row>
    <row r="2849" spans="1:29">
      <c r="A2849" t="s">
        <v>6906</v>
      </c>
      <c r="B2849" s="1">
        <v>45540</v>
      </c>
      <c r="C2849" t="s">
        <v>1815</v>
      </c>
      <c r="D2849" t="s">
        <v>1175</v>
      </c>
      <c r="E2849">
        <v>180</v>
      </c>
      <c r="F2849" t="s">
        <v>6907</v>
      </c>
      <c r="G2849">
        <v>180</v>
      </c>
      <c r="H2849">
        <v>589.66600000000005</v>
      </c>
      <c r="N2849">
        <v>589.66600000000005</v>
      </c>
      <c r="O2849" s="1">
        <v>45218</v>
      </c>
      <c r="P2849">
        <f>IF(ISBLANK(ReconciliationData[[#This Row],[Invoice_ID]]),1,0)</f>
        <v>0</v>
      </c>
      <c r="Q2849">
        <f>IF(AND(NOT(ISBLANK(ReconciliationData[[#This Row],[Billed_Units]])),ReconciliationData[[#This Row],[ordered_units]]&lt;&gt;ReconciliationData[[#This Row],[Billed_Units]]),1,0)</f>
        <v>0</v>
      </c>
      <c r="R28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49">
        <f>IF(AND(NOT(ISBLANK(ReconciliationData[[#This Row],[Contract_Price]])),ReconciliationData[[#This Row],[Billed_Price]]&lt;&gt;ReconciliationData[[#This Row],[Contract_Price]]),1,0)</f>
        <v>0</v>
      </c>
      <c r="T2849">
        <f>IF(AND(NOT(ISBLANK(ReconciliationData[[#This Row],[End_Date]])),ReconciliationData[[#This Row],[Order_Date]]&gt;ReconciliationData[[#This Row],[End_Date]]),1,0)</f>
        <v>0</v>
      </c>
      <c r="U2849">
        <f>IF(AND(NOT(ISBLANK(ReconciliationData[[#This Row],[last_return_date]])),ReconciliationData[[#This Row],[last_return_date]]&gt;ReconciliationData[[#This Row],[Order_Date]]+60),1,0)</f>
        <v>0</v>
      </c>
      <c r="V2849">
        <f>IF(ReconciliationData[[#This Row],[total_returned_units]]&gt;ReconciliationData[[#This Row],[ordered_units]],1,0)</f>
        <v>0</v>
      </c>
      <c r="W28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49">
        <f>ReconciliationData[[#This Row],[Billed_Units]]*ReconciliationData[[#This Row],[Billed_Price]]</f>
        <v>106139.88</v>
      </c>
      <c r="Y2849">
        <f>ReconciliationData[[#This Row],[ordered_units]]*ReconciliationData[[#This Row],[List_Price]]</f>
        <v>106139.88</v>
      </c>
      <c r="Z2849">
        <f>ReconciliationData[[#This Row],[billed_revenue]]-ReconciliationData[[#This Row],[expected_revenue]]</f>
        <v>0</v>
      </c>
      <c r="AA28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49" t="str">
        <f>IF(ReconciliationData[[#This Row],[severity_score]]=0,"LOW",
 IF(ReconciliationData[[#This Row],[severity_score]]&lt;=5,"MEDIUM","HIGH"))</f>
        <v>LOW</v>
      </c>
      <c r="AC2849" t="str">
        <f>TEXT(ReconciliationData[[#This Row],[Order_Date]],"YYYY-MM")</f>
        <v>2024-09</v>
      </c>
    </row>
    <row r="2850" spans="1:29">
      <c r="A2850" t="s">
        <v>6908</v>
      </c>
      <c r="B2850" s="1">
        <v>45010</v>
      </c>
      <c r="C2850" t="s">
        <v>1049</v>
      </c>
      <c r="D2850" t="s">
        <v>610</v>
      </c>
      <c r="E2850">
        <v>63</v>
      </c>
      <c r="F2850" t="s">
        <v>6909</v>
      </c>
      <c r="G2850">
        <v>63</v>
      </c>
      <c r="H2850">
        <v>457.65019999999998</v>
      </c>
      <c r="N2850">
        <v>457.65019999999998</v>
      </c>
      <c r="O2850" s="1">
        <v>44950</v>
      </c>
      <c r="P2850">
        <f>IF(ISBLANK(ReconciliationData[[#This Row],[Invoice_ID]]),1,0)</f>
        <v>0</v>
      </c>
      <c r="Q2850">
        <f>IF(AND(NOT(ISBLANK(ReconciliationData[[#This Row],[Billed_Units]])),ReconciliationData[[#This Row],[ordered_units]]&lt;&gt;ReconciliationData[[#This Row],[Billed_Units]]),1,0)</f>
        <v>0</v>
      </c>
      <c r="R28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0">
        <f>IF(AND(NOT(ISBLANK(ReconciliationData[[#This Row],[Contract_Price]])),ReconciliationData[[#This Row],[Billed_Price]]&lt;&gt;ReconciliationData[[#This Row],[Contract_Price]]),1,0)</f>
        <v>0</v>
      </c>
      <c r="T2850">
        <f>IF(AND(NOT(ISBLANK(ReconciliationData[[#This Row],[End_Date]])),ReconciliationData[[#This Row],[Order_Date]]&gt;ReconciliationData[[#This Row],[End_Date]]),1,0)</f>
        <v>0</v>
      </c>
      <c r="U2850">
        <f>IF(AND(NOT(ISBLANK(ReconciliationData[[#This Row],[last_return_date]])),ReconciliationData[[#This Row],[last_return_date]]&gt;ReconciliationData[[#This Row],[Order_Date]]+60),1,0)</f>
        <v>0</v>
      </c>
      <c r="V2850">
        <f>IF(ReconciliationData[[#This Row],[total_returned_units]]&gt;ReconciliationData[[#This Row],[ordered_units]],1,0)</f>
        <v>0</v>
      </c>
      <c r="W28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50">
        <f>ReconciliationData[[#This Row],[Billed_Units]]*ReconciliationData[[#This Row],[Billed_Price]]</f>
        <v>28831.962599999999</v>
      </c>
      <c r="Y2850">
        <f>ReconciliationData[[#This Row],[ordered_units]]*ReconciliationData[[#This Row],[List_Price]]</f>
        <v>28831.962599999999</v>
      </c>
      <c r="Z2850">
        <f>ReconciliationData[[#This Row],[billed_revenue]]-ReconciliationData[[#This Row],[expected_revenue]]</f>
        <v>0</v>
      </c>
      <c r="AA28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50" t="str">
        <f>IF(ReconciliationData[[#This Row],[severity_score]]=0,"LOW",
 IF(ReconciliationData[[#This Row],[severity_score]]&lt;=5,"MEDIUM","HIGH"))</f>
        <v>LOW</v>
      </c>
      <c r="AC2850" t="str">
        <f>TEXT(ReconciliationData[[#This Row],[Order_Date]],"YYYY-MM")</f>
        <v>2023-03</v>
      </c>
    </row>
    <row r="2851" spans="1:29">
      <c r="A2851" t="s">
        <v>6910</v>
      </c>
      <c r="B2851" s="1">
        <v>45459</v>
      </c>
      <c r="C2851" t="s">
        <v>1967</v>
      </c>
      <c r="D2851" t="s">
        <v>243</v>
      </c>
      <c r="E2851">
        <v>198</v>
      </c>
      <c r="F2851" t="s">
        <v>6911</v>
      </c>
      <c r="G2851">
        <v>198</v>
      </c>
      <c r="H2851">
        <v>129.17519999999999</v>
      </c>
      <c r="N2851">
        <v>129.17519999999999</v>
      </c>
      <c r="O2851" s="1">
        <v>45184</v>
      </c>
      <c r="P2851">
        <f>IF(ISBLANK(ReconciliationData[[#This Row],[Invoice_ID]]),1,0)</f>
        <v>0</v>
      </c>
      <c r="Q2851">
        <f>IF(AND(NOT(ISBLANK(ReconciliationData[[#This Row],[Billed_Units]])),ReconciliationData[[#This Row],[ordered_units]]&lt;&gt;ReconciliationData[[#This Row],[Billed_Units]]),1,0)</f>
        <v>0</v>
      </c>
      <c r="R28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1">
        <f>IF(AND(NOT(ISBLANK(ReconciliationData[[#This Row],[Contract_Price]])),ReconciliationData[[#This Row],[Billed_Price]]&lt;&gt;ReconciliationData[[#This Row],[Contract_Price]]),1,0)</f>
        <v>0</v>
      </c>
      <c r="T2851">
        <f>IF(AND(NOT(ISBLANK(ReconciliationData[[#This Row],[End_Date]])),ReconciliationData[[#This Row],[Order_Date]]&gt;ReconciliationData[[#This Row],[End_Date]]),1,0)</f>
        <v>0</v>
      </c>
      <c r="U2851">
        <f>IF(AND(NOT(ISBLANK(ReconciliationData[[#This Row],[last_return_date]])),ReconciliationData[[#This Row],[last_return_date]]&gt;ReconciliationData[[#This Row],[Order_Date]]+60),1,0)</f>
        <v>0</v>
      </c>
      <c r="V2851">
        <f>IF(ReconciliationData[[#This Row],[total_returned_units]]&gt;ReconciliationData[[#This Row],[ordered_units]],1,0)</f>
        <v>0</v>
      </c>
      <c r="W28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51">
        <f>ReconciliationData[[#This Row],[Billed_Units]]*ReconciliationData[[#This Row],[Billed_Price]]</f>
        <v>25576.689599999998</v>
      </c>
      <c r="Y2851">
        <f>ReconciliationData[[#This Row],[ordered_units]]*ReconciliationData[[#This Row],[List_Price]]</f>
        <v>25576.689599999998</v>
      </c>
      <c r="Z2851">
        <f>ReconciliationData[[#This Row],[billed_revenue]]-ReconciliationData[[#This Row],[expected_revenue]]</f>
        <v>0</v>
      </c>
      <c r="AA28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51" t="str">
        <f>IF(ReconciliationData[[#This Row],[severity_score]]=0,"LOW",
 IF(ReconciliationData[[#This Row],[severity_score]]&lt;=5,"MEDIUM","HIGH"))</f>
        <v>LOW</v>
      </c>
      <c r="AC2851" t="str">
        <f>TEXT(ReconciliationData[[#This Row],[Order_Date]],"YYYY-MM")</f>
        <v>2024-06</v>
      </c>
    </row>
    <row r="2852" spans="1:29">
      <c r="A2852" t="s">
        <v>6912</v>
      </c>
      <c r="B2852" s="1">
        <v>45127</v>
      </c>
      <c r="C2852" t="s">
        <v>359</v>
      </c>
      <c r="D2852" t="s">
        <v>1424</v>
      </c>
      <c r="E2852">
        <v>34</v>
      </c>
      <c r="F2852" t="s">
        <v>6913</v>
      </c>
      <c r="G2852">
        <v>34</v>
      </c>
      <c r="H2852">
        <v>181.02959999999999</v>
      </c>
      <c r="N2852">
        <v>181.02959999999999</v>
      </c>
      <c r="O2852" s="1">
        <v>44989</v>
      </c>
      <c r="P2852">
        <f>IF(ISBLANK(ReconciliationData[[#This Row],[Invoice_ID]]),1,0)</f>
        <v>0</v>
      </c>
      <c r="Q2852">
        <f>IF(AND(NOT(ISBLANK(ReconciliationData[[#This Row],[Billed_Units]])),ReconciliationData[[#This Row],[ordered_units]]&lt;&gt;ReconciliationData[[#This Row],[Billed_Units]]),1,0)</f>
        <v>0</v>
      </c>
      <c r="R28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2">
        <f>IF(AND(NOT(ISBLANK(ReconciliationData[[#This Row],[Contract_Price]])),ReconciliationData[[#This Row],[Billed_Price]]&lt;&gt;ReconciliationData[[#This Row],[Contract_Price]]),1,0)</f>
        <v>0</v>
      </c>
      <c r="T2852">
        <f>IF(AND(NOT(ISBLANK(ReconciliationData[[#This Row],[End_Date]])),ReconciliationData[[#This Row],[Order_Date]]&gt;ReconciliationData[[#This Row],[End_Date]]),1,0)</f>
        <v>0</v>
      </c>
      <c r="U2852">
        <f>IF(AND(NOT(ISBLANK(ReconciliationData[[#This Row],[last_return_date]])),ReconciliationData[[#This Row],[last_return_date]]&gt;ReconciliationData[[#This Row],[Order_Date]]+60),1,0)</f>
        <v>0</v>
      </c>
      <c r="V2852">
        <f>IF(ReconciliationData[[#This Row],[total_returned_units]]&gt;ReconciliationData[[#This Row],[ordered_units]],1,0)</f>
        <v>0</v>
      </c>
      <c r="W28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52">
        <f>ReconciliationData[[#This Row],[Billed_Units]]*ReconciliationData[[#This Row],[Billed_Price]]</f>
        <v>6155.0063999999993</v>
      </c>
      <c r="Y2852">
        <f>ReconciliationData[[#This Row],[ordered_units]]*ReconciliationData[[#This Row],[List_Price]]</f>
        <v>6155.0063999999993</v>
      </c>
      <c r="Z2852">
        <f>ReconciliationData[[#This Row],[billed_revenue]]-ReconciliationData[[#This Row],[expected_revenue]]</f>
        <v>0</v>
      </c>
      <c r="AA28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52" t="str">
        <f>IF(ReconciliationData[[#This Row],[severity_score]]=0,"LOW",
 IF(ReconciliationData[[#This Row],[severity_score]]&lt;=5,"MEDIUM","HIGH"))</f>
        <v>LOW</v>
      </c>
      <c r="AC2852" t="str">
        <f>TEXT(ReconciliationData[[#This Row],[Order_Date]],"YYYY-MM")</f>
        <v>2023-07</v>
      </c>
    </row>
    <row r="2853" spans="1:29">
      <c r="A2853" t="s">
        <v>6914</v>
      </c>
      <c r="B2853" s="1">
        <v>45199</v>
      </c>
      <c r="C2853" t="s">
        <v>3203</v>
      </c>
      <c r="D2853" t="s">
        <v>397</v>
      </c>
      <c r="E2853">
        <v>84</v>
      </c>
      <c r="F2853" t="s">
        <v>6915</v>
      </c>
      <c r="G2853">
        <v>84</v>
      </c>
      <c r="H2853">
        <v>96.6</v>
      </c>
      <c r="N2853">
        <v>96.6</v>
      </c>
      <c r="O2853" s="1">
        <v>45105</v>
      </c>
      <c r="P2853">
        <f>IF(ISBLANK(ReconciliationData[[#This Row],[Invoice_ID]]),1,0)</f>
        <v>0</v>
      </c>
      <c r="Q2853">
        <f>IF(AND(NOT(ISBLANK(ReconciliationData[[#This Row],[Billed_Units]])),ReconciliationData[[#This Row],[ordered_units]]&lt;&gt;ReconciliationData[[#This Row],[Billed_Units]]),1,0)</f>
        <v>0</v>
      </c>
      <c r="R28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3">
        <f>IF(AND(NOT(ISBLANK(ReconciliationData[[#This Row],[Contract_Price]])),ReconciliationData[[#This Row],[Billed_Price]]&lt;&gt;ReconciliationData[[#This Row],[Contract_Price]]),1,0)</f>
        <v>0</v>
      </c>
      <c r="T2853">
        <f>IF(AND(NOT(ISBLANK(ReconciliationData[[#This Row],[End_Date]])),ReconciliationData[[#This Row],[Order_Date]]&gt;ReconciliationData[[#This Row],[End_Date]]),1,0)</f>
        <v>0</v>
      </c>
      <c r="U2853">
        <f>IF(AND(NOT(ISBLANK(ReconciliationData[[#This Row],[last_return_date]])),ReconciliationData[[#This Row],[last_return_date]]&gt;ReconciliationData[[#This Row],[Order_Date]]+60),1,0)</f>
        <v>0</v>
      </c>
      <c r="V2853">
        <f>IF(ReconciliationData[[#This Row],[total_returned_units]]&gt;ReconciliationData[[#This Row],[ordered_units]],1,0)</f>
        <v>0</v>
      </c>
      <c r="W28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53">
        <f>ReconciliationData[[#This Row],[Billed_Units]]*ReconciliationData[[#This Row],[Billed_Price]]</f>
        <v>8114.4</v>
      </c>
      <c r="Y2853">
        <f>ReconciliationData[[#This Row],[ordered_units]]*ReconciliationData[[#This Row],[List_Price]]</f>
        <v>8114.4</v>
      </c>
      <c r="Z2853">
        <f>ReconciliationData[[#This Row],[billed_revenue]]-ReconciliationData[[#This Row],[expected_revenue]]</f>
        <v>0</v>
      </c>
      <c r="AA28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53" t="str">
        <f>IF(ReconciliationData[[#This Row],[severity_score]]=0,"LOW",
 IF(ReconciliationData[[#This Row],[severity_score]]&lt;=5,"MEDIUM","HIGH"))</f>
        <v>LOW</v>
      </c>
      <c r="AC2853" t="str">
        <f>TEXT(ReconciliationData[[#This Row],[Order_Date]],"YYYY-MM")</f>
        <v>2023-09</v>
      </c>
    </row>
    <row r="2854" spans="1:29">
      <c r="A2854" t="s">
        <v>6916</v>
      </c>
      <c r="B2854" s="1">
        <v>45491</v>
      </c>
      <c r="C2854" t="s">
        <v>1696</v>
      </c>
      <c r="D2854" t="s">
        <v>997</v>
      </c>
      <c r="E2854">
        <v>49</v>
      </c>
      <c r="F2854" t="s">
        <v>6917</v>
      </c>
      <c r="G2854">
        <v>49</v>
      </c>
      <c r="H2854">
        <v>1153.4984999999999</v>
      </c>
      <c r="I2854">
        <v>10</v>
      </c>
      <c r="J2854" s="1">
        <v>45164</v>
      </c>
      <c r="N2854">
        <v>1153.4984999999999</v>
      </c>
      <c r="O2854" s="1">
        <v>44962</v>
      </c>
      <c r="P2854">
        <f>IF(ISBLANK(ReconciliationData[[#This Row],[Invoice_ID]]),1,0)</f>
        <v>0</v>
      </c>
      <c r="Q2854">
        <f>IF(AND(NOT(ISBLANK(ReconciliationData[[#This Row],[Billed_Units]])),ReconciliationData[[#This Row],[ordered_units]]&lt;&gt;ReconciliationData[[#This Row],[Billed_Units]]),1,0)</f>
        <v>0</v>
      </c>
      <c r="R28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4">
        <f>IF(AND(NOT(ISBLANK(ReconciliationData[[#This Row],[Contract_Price]])),ReconciliationData[[#This Row],[Billed_Price]]&lt;&gt;ReconciliationData[[#This Row],[Contract_Price]]),1,0)</f>
        <v>0</v>
      </c>
      <c r="T2854">
        <f>IF(AND(NOT(ISBLANK(ReconciliationData[[#This Row],[End_Date]])),ReconciliationData[[#This Row],[Order_Date]]&gt;ReconciliationData[[#This Row],[End_Date]]),1,0)</f>
        <v>0</v>
      </c>
      <c r="U2854">
        <f>IF(AND(NOT(ISBLANK(ReconciliationData[[#This Row],[last_return_date]])),ReconciliationData[[#This Row],[last_return_date]]&gt;ReconciliationData[[#This Row],[Order_Date]]+60),1,0)</f>
        <v>0</v>
      </c>
      <c r="V2854">
        <f>IF(ReconciliationData[[#This Row],[total_returned_units]]&gt;ReconciliationData[[#This Row],[ordered_units]],1,0)</f>
        <v>0</v>
      </c>
      <c r="W28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54">
        <f>ReconciliationData[[#This Row],[Billed_Units]]*ReconciliationData[[#This Row],[Billed_Price]]</f>
        <v>56521.426499999994</v>
      </c>
      <c r="Y2854">
        <f>ReconciliationData[[#This Row],[ordered_units]]*ReconciliationData[[#This Row],[List_Price]]</f>
        <v>56521.426499999994</v>
      </c>
      <c r="Z2854">
        <f>ReconciliationData[[#This Row],[billed_revenue]]-ReconciliationData[[#This Row],[expected_revenue]]</f>
        <v>0</v>
      </c>
      <c r="AA28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54" t="str">
        <f>IF(ReconciliationData[[#This Row],[severity_score]]=0,"LOW",
 IF(ReconciliationData[[#This Row],[severity_score]]&lt;=5,"MEDIUM","HIGH"))</f>
        <v>LOW</v>
      </c>
      <c r="AC2854" t="str">
        <f>TEXT(ReconciliationData[[#This Row],[Order_Date]],"YYYY-MM")</f>
        <v>2024-07</v>
      </c>
    </row>
    <row r="2855" spans="1:29">
      <c r="A2855" t="s">
        <v>6918</v>
      </c>
      <c r="B2855" s="1">
        <v>45342</v>
      </c>
      <c r="C2855" t="s">
        <v>266</v>
      </c>
      <c r="D2855" t="s">
        <v>1171</v>
      </c>
      <c r="E2855">
        <v>188</v>
      </c>
      <c r="F2855" t="s">
        <v>6919</v>
      </c>
      <c r="G2855">
        <v>188</v>
      </c>
      <c r="H2855">
        <v>435.57279999999997</v>
      </c>
      <c r="N2855">
        <v>435.57279999999997</v>
      </c>
      <c r="O2855" s="1">
        <v>45159</v>
      </c>
      <c r="P2855">
        <f>IF(ISBLANK(ReconciliationData[[#This Row],[Invoice_ID]]),1,0)</f>
        <v>0</v>
      </c>
      <c r="Q2855">
        <f>IF(AND(NOT(ISBLANK(ReconciliationData[[#This Row],[Billed_Units]])),ReconciliationData[[#This Row],[ordered_units]]&lt;&gt;ReconciliationData[[#This Row],[Billed_Units]]),1,0)</f>
        <v>0</v>
      </c>
      <c r="R28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5">
        <f>IF(AND(NOT(ISBLANK(ReconciliationData[[#This Row],[Contract_Price]])),ReconciliationData[[#This Row],[Billed_Price]]&lt;&gt;ReconciliationData[[#This Row],[Contract_Price]]),1,0)</f>
        <v>0</v>
      </c>
      <c r="T2855">
        <f>IF(AND(NOT(ISBLANK(ReconciliationData[[#This Row],[End_Date]])),ReconciliationData[[#This Row],[Order_Date]]&gt;ReconciliationData[[#This Row],[End_Date]]),1,0)</f>
        <v>0</v>
      </c>
      <c r="U2855">
        <f>IF(AND(NOT(ISBLANK(ReconciliationData[[#This Row],[last_return_date]])),ReconciliationData[[#This Row],[last_return_date]]&gt;ReconciliationData[[#This Row],[Order_Date]]+60),1,0)</f>
        <v>0</v>
      </c>
      <c r="V2855">
        <f>IF(ReconciliationData[[#This Row],[total_returned_units]]&gt;ReconciliationData[[#This Row],[ordered_units]],1,0)</f>
        <v>0</v>
      </c>
      <c r="W28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55">
        <f>ReconciliationData[[#This Row],[Billed_Units]]*ReconciliationData[[#This Row],[Billed_Price]]</f>
        <v>81887.686399999991</v>
      </c>
      <c r="Y2855">
        <f>ReconciliationData[[#This Row],[ordered_units]]*ReconciliationData[[#This Row],[List_Price]]</f>
        <v>81887.686399999991</v>
      </c>
      <c r="Z2855">
        <f>ReconciliationData[[#This Row],[billed_revenue]]-ReconciliationData[[#This Row],[expected_revenue]]</f>
        <v>0</v>
      </c>
      <c r="AA28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55" t="str">
        <f>IF(ReconciliationData[[#This Row],[severity_score]]=0,"LOW",
 IF(ReconciliationData[[#This Row],[severity_score]]&lt;=5,"MEDIUM","HIGH"))</f>
        <v>LOW</v>
      </c>
      <c r="AC2855" t="str">
        <f>TEXT(ReconciliationData[[#This Row],[Order_Date]],"YYYY-MM")</f>
        <v>2024-02</v>
      </c>
    </row>
    <row r="2856" spans="1:29">
      <c r="A2856" t="s">
        <v>6920</v>
      </c>
      <c r="B2856" s="1">
        <v>45555</v>
      </c>
      <c r="C2856" t="s">
        <v>1348</v>
      </c>
      <c r="D2856" t="s">
        <v>259</v>
      </c>
      <c r="E2856">
        <v>30</v>
      </c>
      <c r="F2856" t="s">
        <v>6921</v>
      </c>
      <c r="G2856">
        <v>30</v>
      </c>
      <c r="H2856">
        <v>360.68479999999994</v>
      </c>
      <c r="N2856">
        <v>360.68479999999994</v>
      </c>
      <c r="O2856" s="1">
        <v>45072</v>
      </c>
      <c r="P2856">
        <f>IF(ISBLANK(ReconciliationData[[#This Row],[Invoice_ID]]),1,0)</f>
        <v>0</v>
      </c>
      <c r="Q2856">
        <f>IF(AND(NOT(ISBLANK(ReconciliationData[[#This Row],[Billed_Units]])),ReconciliationData[[#This Row],[ordered_units]]&lt;&gt;ReconciliationData[[#This Row],[Billed_Units]]),1,0)</f>
        <v>0</v>
      </c>
      <c r="R28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6">
        <f>IF(AND(NOT(ISBLANK(ReconciliationData[[#This Row],[Contract_Price]])),ReconciliationData[[#This Row],[Billed_Price]]&lt;&gt;ReconciliationData[[#This Row],[Contract_Price]]),1,0)</f>
        <v>0</v>
      </c>
      <c r="T2856">
        <f>IF(AND(NOT(ISBLANK(ReconciliationData[[#This Row],[End_Date]])),ReconciliationData[[#This Row],[Order_Date]]&gt;ReconciliationData[[#This Row],[End_Date]]),1,0)</f>
        <v>0</v>
      </c>
      <c r="U2856">
        <f>IF(AND(NOT(ISBLANK(ReconciliationData[[#This Row],[last_return_date]])),ReconciliationData[[#This Row],[last_return_date]]&gt;ReconciliationData[[#This Row],[Order_Date]]+60),1,0)</f>
        <v>0</v>
      </c>
      <c r="V2856">
        <f>IF(ReconciliationData[[#This Row],[total_returned_units]]&gt;ReconciliationData[[#This Row],[ordered_units]],1,0)</f>
        <v>0</v>
      </c>
      <c r="W28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56">
        <f>ReconciliationData[[#This Row],[Billed_Units]]*ReconciliationData[[#This Row],[Billed_Price]]</f>
        <v>10820.543999999998</v>
      </c>
      <c r="Y2856">
        <f>ReconciliationData[[#This Row],[ordered_units]]*ReconciliationData[[#This Row],[List_Price]]</f>
        <v>10820.543999999998</v>
      </c>
      <c r="Z2856">
        <f>ReconciliationData[[#This Row],[billed_revenue]]-ReconciliationData[[#This Row],[expected_revenue]]</f>
        <v>0</v>
      </c>
      <c r="AA28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56" t="str">
        <f>IF(ReconciliationData[[#This Row],[severity_score]]=0,"LOW",
 IF(ReconciliationData[[#This Row],[severity_score]]&lt;=5,"MEDIUM","HIGH"))</f>
        <v>LOW</v>
      </c>
      <c r="AC2856" t="str">
        <f>TEXT(ReconciliationData[[#This Row],[Order_Date]],"YYYY-MM")</f>
        <v>2024-09</v>
      </c>
    </row>
    <row r="2857" spans="1:29">
      <c r="A2857" t="s">
        <v>6922</v>
      </c>
      <c r="B2857" s="1">
        <v>45038</v>
      </c>
      <c r="C2857" t="s">
        <v>1101</v>
      </c>
      <c r="D2857" t="s">
        <v>674</v>
      </c>
      <c r="E2857">
        <v>47</v>
      </c>
      <c r="F2857" t="s">
        <v>6923</v>
      </c>
      <c r="G2857">
        <v>47</v>
      </c>
      <c r="H2857">
        <v>1032.2340000000002</v>
      </c>
      <c r="N2857">
        <v>1032.2340000000002</v>
      </c>
      <c r="O2857" s="1">
        <v>44798</v>
      </c>
      <c r="P2857">
        <f>IF(ISBLANK(ReconciliationData[[#This Row],[Invoice_ID]]),1,0)</f>
        <v>0</v>
      </c>
      <c r="Q2857">
        <f>IF(AND(NOT(ISBLANK(ReconciliationData[[#This Row],[Billed_Units]])),ReconciliationData[[#This Row],[ordered_units]]&lt;&gt;ReconciliationData[[#This Row],[Billed_Units]]),1,0)</f>
        <v>0</v>
      </c>
      <c r="R28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7">
        <f>IF(AND(NOT(ISBLANK(ReconciliationData[[#This Row],[Contract_Price]])),ReconciliationData[[#This Row],[Billed_Price]]&lt;&gt;ReconciliationData[[#This Row],[Contract_Price]]),1,0)</f>
        <v>0</v>
      </c>
      <c r="T2857">
        <f>IF(AND(NOT(ISBLANK(ReconciliationData[[#This Row],[End_Date]])),ReconciliationData[[#This Row],[Order_Date]]&gt;ReconciliationData[[#This Row],[End_Date]]),1,0)</f>
        <v>0</v>
      </c>
      <c r="U2857">
        <f>IF(AND(NOT(ISBLANK(ReconciliationData[[#This Row],[last_return_date]])),ReconciliationData[[#This Row],[last_return_date]]&gt;ReconciliationData[[#This Row],[Order_Date]]+60),1,0)</f>
        <v>0</v>
      </c>
      <c r="V2857">
        <f>IF(ReconciliationData[[#This Row],[total_returned_units]]&gt;ReconciliationData[[#This Row],[ordered_units]],1,0)</f>
        <v>0</v>
      </c>
      <c r="W28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57">
        <f>ReconciliationData[[#This Row],[Billed_Units]]*ReconciliationData[[#This Row],[Billed_Price]]</f>
        <v>48514.998000000007</v>
      </c>
      <c r="Y2857">
        <f>ReconciliationData[[#This Row],[ordered_units]]*ReconciliationData[[#This Row],[List_Price]]</f>
        <v>48514.998000000007</v>
      </c>
      <c r="Z2857">
        <f>ReconciliationData[[#This Row],[billed_revenue]]-ReconciliationData[[#This Row],[expected_revenue]]</f>
        <v>0</v>
      </c>
      <c r="AA28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57" t="str">
        <f>IF(ReconciliationData[[#This Row],[severity_score]]=0,"LOW",
 IF(ReconciliationData[[#This Row],[severity_score]]&lt;=5,"MEDIUM","HIGH"))</f>
        <v>LOW</v>
      </c>
      <c r="AC2857" t="str">
        <f>TEXT(ReconciliationData[[#This Row],[Order_Date]],"YYYY-MM")</f>
        <v>2023-04</v>
      </c>
    </row>
    <row r="2858" spans="1:29">
      <c r="A2858" t="s">
        <v>6924</v>
      </c>
      <c r="B2858" s="1">
        <v>45275</v>
      </c>
      <c r="C2858" t="s">
        <v>631</v>
      </c>
      <c r="D2858" t="s">
        <v>1142</v>
      </c>
      <c r="E2858">
        <v>137</v>
      </c>
      <c r="F2858" t="s">
        <v>6925</v>
      </c>
      <c r="G2858">
        <v>137</v>
      </c>
      <c r="H2858">
        <v>624.37260000000003</v>
      </c>
      <c r="N2858">
        <v>624.37260000000003</v>
      </c>
      <c r="O2858" s="1">
        <v>44932</v>
      </c>
      <c r="P2858">
        <f>IF(ISBLANK(ReconciliationData[[#This Row],[Invoice_ID]]),1,0)</f>
        <v>0</v>
      </c>
      <c r="Q2858">
        <f>IF(AND(NOT(ISBLANK(ReconciliationData[[#This Row],[Billed_Units]])),ReconciliationData[[#This Row],[ordered_units]]&lt;&gt;ReconciliationData[[#This Row],[Billed_Units]]),1,0)</f>
        <v>0</v>
      </c>
      <c r="R28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8">
        <f>IF(AND(NOT(ISBLANK(ReconciliationData[[#This Row],[Contract_Price]])),ReconciliationData[[#This Row],[Billed_Price]]&lt;&gt;ReconciliationData[[#This Row],[Contract_Price]]),1,0)</f>
        <v>0</v>
      </c>
      <c r="T2858">
        <f>IF(AND(NOT(ISBLANK(ReconciliationData[[#This Row],[End_Date]])),ReconciliationData[[#This Row],[Order_Date]]&gt;ReconciliationData[[#This Row],[End_Date]]),1,0)</f>
        <v>0</v>
      </c>
      <c r="U2858">
        <f>IF(AND(NOT(ISBLANK(ReconciliationData[[#This Row],[last_return_date]])),ReconciliationData[[#This Row],[last_return_date]]&gt;ReconciliationData[[#This Row],[Order_Date]]+60),1,0)</f>
        <v>0</v>
      </c>
      <c r="V2858">
        <f>IF(ReconciliationData[[#This Row],[total_returned_units]]&gt;ReconciliationData[[#This Row],[ordered_units]],1,0)</f>
        <v>0</v>
      </c>
      <c r="W28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58">
        <f>ReconciliationData[[#This Row],[Billed_Units]]*ReconciliationData[[#This Row],[Billed_Price]]</f>
        <v>85539.046200000012</v>
      </c>
      <c r="Y2858">
        <f>ReconciliationData[[#This Row],[ordered_units]]*ReconciliationData[[#This Row],[List_Price]]</f>
        <v>85539.046200000012</v>
      </c>
      <c r="Z2858">
        <f>ReconciliationData[[#This Row],[billed_revenue]]-ReconciliationData[[#This Row],[expected_revenue]]</f>
        <v>0</v>
      </c>
      <c r="AA28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58" t="str">
        <f>IF(ReconciliationData[[#This Row],[severity_score]]=0,"LOW",
 IF(ReconciliationData[[#This Row],[severity_score]]&lt;=5,"MEDIUM","HIGH"))</f>
        <v>LOW</v>
      </c>
      <c r="AC2858" t="str">
        <f>TEXT(ReconciliationData[[#This Row],[Order_Date]],"YYYY-MM")</f>
        <v>2023-12</v>
      </c>
    </row>
    <row r="2859" spans="1:29">
      <c r="A2859" t="s">
        <v>6926</v>
      </c>
      <c r="B2859" s="1">
        <v>45387</v>
      </c>
      <c r="C2859" t="s">
        <v>1074</v>
      </c>
      <c r="D2859" t="s">
        <v>227</v>
      </c>
      <c r="E2859">
        <v>151</v>
      </c>
      <c r="F2859" t="s">
        <v>6927</v>
      </c>
      <c r="G2859">
        <v>151</v>
      </c>
      <c r="H2859">
        <v>626.68790000000001</v>
      </c>
      <c r="N2859">
        <v>626.68790000000001</v>
      </c>
      <c r="O2859" s="1">
        <v>45103</v>
      </c>
      <c r="P2859">
        <f>IF(ISBLANK(ReconciliationData[[#This Row],[Invoice_ID]]),1,0)</f>
        <v>0</v>
      </c>
      <c r="Q2859">
        <f>IF(AND(NOT(ISBLANK(ReconciliationData[[#This Row],[Billed_Units]])),ReconciliationData[[#This Row],[ordered_units]]&lt;&gt;ReconciliationData[[#This Row],[Billed_Units]]),1,0)</f>
        <v>0</v>
      </c>
      <c r="R28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59">
        <f>IF(AND(NOT(ISBLANK(ReconciliationData[[#This Row],[Contract_Price]])),ReconciliationData[[#This Row],[Billed_Price]]&lt;&gt;ReconciliationData[[#This Row],[Contract_Price]]),1,0)</f>
        <v>0</v>
      </c>
      <c r="T2859">
        <f>IF(AND(NOT(ISBLANK(ReconciliationData[[#This Row],[End_Date]])),ReconciliationData[[#This Row],[Order_Date]]&gt;ReconciliationData[[#This Row],[End_Date]]),1,0)</f>
        <v>0</v>
      </c>
      <c r="U2859">
        <f>IF(AND(NOT(ISBLANK(ReconciliationData[[#This Row],[last_return_date]])),ReconciliationData[[#This Row],[last_return_date]]&gt;ReconciliationData[[#This Row],[Order_Date]]+60),1,0)</f>
        <v>0</v>
      </c>
      <c r="V2859">
        <f>IF(ReconciliationData[[#This Row],[total_returned_units]]&gt;ReconciliationData[[#This Row],[ordered_units]],1,0)</f>
        <v>0</v>
      </c>
      <c r="W28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59">
        <f>ReconciliationData[[#This Row],[Billed_Units]]*ReconciliationData[[#This Row],[Billed_Price]]</f>
        <v>94629.872900000002</v>
      </c>
      <c r="Y2859">
        <f>ReconciliationData[[#This Row],[ordered_units]]*ReconciliationData[[#This Row],[List_Price]]</f>
        <v>94629.872900000002</v>
      </c>
      <c r="Z2859">
        <f>ReconciliationData[[#This Row],[billed_revenue]]-ReconciliationData[[#This Row],[expected_revenue]]</f>
        <v>0</v>
      </c>
      <c r="AA28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59" t="str">
        <f>IF(ReconciliationData[[#This Row],[severity_score]]=0,"LOW",
 IF(ReconciliationData[[#This Row],[severity_score]]&lt;=5,"MEDIUM","HIGH"))</f>
        <v>LOW</v>
      </c>
      <c r="AC2859" t="str">
        <f>TEXT(ReconciliationData[[#This Row],[Order_Date]],"YYYY-MM")</f>
        <v>2024-04</v>
      </c>
    </row>
    <row r="2860" spans="1:29">
      <c r="A2860" t="s">
        <v>6928</v>
      </c>
      <c r="B2860" s="1">
        <v>45150</v>
      </c>
      <c r="C2860" t="s">
        <v>687</v>
      </c>
      <c r="D2860" t="s">
        <v>628</v>
      </c>
      <c r="E2860">
        <v>121</v>
      </c>
      <c r="F2860" t="s">
        <v>6929</v>
      </c>
      <c r="G2860">
        <v>121</v>
      </c>
      <c r="H2860">
        <v>303.73439999999999</v>
      </c>
      <c r="N2860">
        <v>303.73439999999999</v>
      </c>
      <c r="O2860" s="1">
        <v>44810</v>
      </c>
      <c r="P2860">
        <f>IF(ISBLANK(ReconciliationData[[#This Row],[Invoice_ID]]),1,0)</f>
        <v>0</v>
      </c>
      <c r="Q2860">
        <f>IF(AND(NOT(ISBLANK(ReconciliationData[[#This Row],[Billed_Units]])),ReconciliationData[[#This Row],[ordered_units]]&lt;&gt;ReconciliationData[[#This Row],[Billed_Units]]),1,0)</f>
        <v>0</v>
      </c>
      <c r="R28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0">
        <f>IF(AND(NOT(ISBLANK(ReconciliationData[[#This Row],[Contract_Price]])),ReconciliationData[[#This Row],[Billed_Price]]&lt;&gt;ReconciliationData[[#This Row],[Contract_Price]]),1,0)</f>
        <v>0</v>
      </c>
      <c r="T2860">
        <f>IF(AND(NOT(ISBLANK(ReconciliationData[[#This Row],[End_Date]])),ReconciliationData[[#This Row],[Order_Date]]&gt;ReconciliationData[[#This Row],[End_Date]]),1,0)</f>
        <v>0</v>
      </c>
      <c r="U2860">
        <f>IF(AND(NOT(ISBLANK(ReconciliationData[[#This Row],[last_return_date]])),ReconciliationData[[#This Row],[last_return_date]]&gt;ReconciliationData[[#This Row],[Order_Date]]+60),1,0)</f>
        <v>0</v>
      </c>
      <c r="V2860">
        <f>IF(ReconciliationData[[#This Row],[total_returned_units]]&gt;ReconciliationData[[#This Row],[ordered_units]],1,0)</f>
        <v>0</v>
      </c>
      <c r="W28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0">
        <f>ReconciliationData[[#This Row],[Billed_Units]]*ReconciliationData[[#This Row],[Billed_Price]]</f>
        <v>36751.862399999998</v>
      </c>
      <c r="Y2860">
        <f>ReconciliationData[[#This Row],[ordered_units]]*ReconciliationData[[#This Row],[List_Price]]</f>
        <v>36751.862399999998</v>
      </c>
      <c r="Z2860">
        <f>ReconciliationData[[#This Row],[billed_revenue]]-ReconciliationData[[#This Row],[expected_revenue]]</f>
        <v>0</v>
      </c>
      <c r="AA28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0" t="str">
        <f>IF(ReconciliationData[[#This Row],[severity_score]]=0,"LOW",
 IF(ReconciliationData[[#This Row],[severity_score]]&lt;=5,"MEDIUM","HIGH"))</f>
        <v>LOW</v>
      </c>
      <c r="AC2860" t="str">
        <f>TEXT(ReconciliationData[[#This Row],[Order_Date]],"YYYY-MM")</f>
        <v>2023-08</v>
      </c>
    </row>
    <row r="2861" spans="1:29">
      <c r="A2861" t="s">
        <v>6930</v>
      </c>
      <c r="B2861" s="1">
        <v>45008</v>
      </c>
      <c r="C2861" t="s">
        <v>1811</v>
      </c>
      <c r="D2861" t="s">
        <v>389</v>
      </c>
      <c r="E2861">
        <v>160</v>
      </c>
      <c r="F2861" t="s">
        <v>6931</v>
      </c>
      <c r="G2861">
        <v>160</v>
      </c>
      <c r="H2861">
        <v>782.04880000000003</v>
      </c>
      <c r="N2861">
        <v>782.04880000000003</v>
      </c>
      <c r="O2861" s="1">
        <v>44996</v>
      </c>
      <c r="P2861">
        <f>IF(ISBLANK(ReconciliationData[[#This Row],[Invoice_ID]]),1,0)</f>
        <v>0</v>
      </c>
      <c r="Q2861">
        <f>IF(AND(NOT(ISBLANK(ReconciliationData[[#This Row],[Billed_Units]])),ReconciliationData[[#This Row],[ordered_units]]&lt;&gt;ReconciliationData[[#This Row],[Billed_Units]]),1,0)</f>
        <v>0</v>
      </c>
      <c r="R28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1">
        <f>IF(AND(NOT(ISBLANK(ReconciliationData[[#This Row],[Contract_Price]])),ReconciliationData[[#This Row],[Billed_Price]]&lt;&gt;ReconciliationData[[#This Row],[Contract_Price]]),1,0)</f>
        <v>0</v>
      </c>
      <c r="T2861">
        <f>IF(AND(NOT(ISBLANK(ReconciliationData[[#This Row],[End_Date]])),ReconciliationData[[#This Row],[Order_Date]]&gt;ReconciliationData[[#This Row],[End_Date]]),1,0)</f>
        <v>0</v>
      </c>
      <c r="U2861">
        <f>IF(AND(NOT(ISBLANK(ReconciliationData[[#This Row],[last_return_date]])),ReconciliationData[[#This Row],[last_return_date]]&gt;ReconciliationData[[#This Row],[Order_Date]]+60),1,0)</f>
        <v>0</v>
      </c>
      <c r="V2861">
        <f>IF(ReconciliationData[[#This Row],[total_returned_units]]&gt;ReconciliationData[[#This Row],[ordered_units]],1,0)</f>
        <v>0</v>
      </c>
      <c r="W28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1">
        <f>ReconciliationData[[#This Row],[Billed_Units]]*ReconciliationData[[#This Row],[Billed_Price]]</f>
        <v>125127.808</v>
      </c>
      <c r="Y2861">
        <f>ReconciliationData[[#This Row],[ordered_units]]*ReconciliationData[[#This Row],[List_Price]]</f>
        <v>125127.808</v>
      </c>
      <c r="Z2861">
        <f>ReconciliationData[[#This Row],[billed_revenue]]-ReconciliationData[[#This Row],[expected_revenue]]</f>
        <v>0</v>
      </c>
      <c r="AA28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1" t="str">
        <f>IF(ReconciliationData[[#This Row],[severity_score]]=0,"LOW",
 IF(ReconciliationData[[#This Row],[severity_score]]&lt;=5,"MEDIUM","HIGH"))</f>
        <v>LOW</v>
      </c>
      <c r="AC2861" t="str">
        <f>TEXT(ReconciliationData[[#This Row],[Order_Date]],"YYYY-MM")</f>
        <v>2023-03</v>
      </c>
    </row>
    <row r="2862" spans="1:29">
      <c r="A2862" t="s">
        <v>6932</v>
      </c>
      <c r="B2862" s="1">
        <v>44947</v>
      </c>
      <c r="C2862" t="s">
        <v>2632</v>
      </c>
      <c r="D2862" t="s">
        <v>1238</v>
      </c>
      <c r="E2862">
        <v>185</v>
      </c>
      <c r="F2862" t="s">
        <v>6933</v>
      </c>
      <c r="G2862">
        <v>185</v>
      </c>
      <c r="H2862">
        <v>312.55</v>
      </c>
      <c r="N2862">
        <v>312.55</v>
      </c>
      <c r="O2862" s="1">
        <v>44942</v>
      </c>
      <c r="P2862">
        <f>IF(ISBLANK(ReconciliationData[[#This Row],[Invoice_ID]]),1,0)</f>
        <v>0</v>
      </c>
      <c r="Q2862">
        <f>IF(AND(NOT(ISBLANK(ReconciliationData[[#This Row],[Billed_Units]])),ReconciliationData[[#This Row],[ordered_units]]&lt;&gt;ReconciliationData[[#This Row],[Billed_Units]]),1,0)</f>
        <v>0</v>
      </c>
      <c r="R28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2">
        <f>IF(AND(NOT(ISBLANK(ReconciliationData[[#This Row],[Contract_Price]])),ReconciliationData[[#This Row],[Billed_Price]]&lt;&gt;ReconciliationData[[#This Row],[Contract_Price]]),1,0)</f>
        <v>0</v>
      </c>
      <c r="T2862">
        <f>IF(AND(NOT(ISBLANK(ReconciliationData[[#This Row],[End_Date]])),ReconciliationData[[#This Row],[Order_Date]]&gt;ReconciliationData[[#This Row],[End_Date]]),1,0)</f>
        <v>0</v>
      </c>
      <c r="U2862">
        <f>IF(AND(NOT(ISBLANK(ReconciliationData[[#This Row],[last_return_date]])),ReconciliationData[[#This Row],[last_return_date]]&gt;ReconciliationData[[#This Row],[Order_Date]]+60),1,0)</f>
        <v>0</v>
      </c>
      <c r="V2862">
        <f>IF(ReconciliationData[[#This Row],[total_returned_units]]&gt;ReconciliationData[[#This Row],[ordered_units]],1,0)</f>
        <v>0</v>
      </c>
      <c r="W28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2">
        <f>ReconciliationData[[#This Row],[Billed_Units]]*ReconciliationData[[#This Row],[Billed_Price]]</f>
        <v>57821.75</v>
      </c>
      <c r="Y2862">
        <f>ReconciliationData[[#This Row],[ordered_units]]*ReconciliationData[[#This Row],[List_Price]]</f>
        <v>57821.75</v>
      </c>
      <c r="Z2862">
        <f>ReconciliationData[[#This Row],[billed_revenue]]-ReconciliationData[[#This Row],[expected_revenue]]</f>
        <v>0</v>
      </c>
      <c r="AA28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2" t="str">
        <f>IF(ReconciliationData[[#This Row],[severity_score]]=0,"LOW",
 IF(ReconciliationData[[#This Row],[severity_score]]&lt;=5,"MEDIUM","HIGH"))</f>
        <v>LOW</v>
      </c>
      <c r="AC2862" t="str">
        <f>TEXT(ReconciliationData[[#This Row],[Order_Date]],"YYYY-MM")</f>
        <v>2023-01</v>
      </c>
    </row>
    <row r="2863" spans="1:29">
      <c r="A2863" t="s">
        <v>6934</v>
      </c>
      <c r="B2863" s="1">
        <v>45258</v>
      </c>
      <c r="C2863" t="s">
        <v>1570</v>
      </c>
      <c r="D2863" t="s">
        <v>635</v>
      </c>
      <c r="E2863">
        <v>8</v>
      </c>
      <c r="F2863" t="s">
        <v>6935</v>
      </c>
      <c r="G2863">
        <v>8</v>
      </c>
      <c r="H2863">
        <v>951.54780000000005</v>
      </c>
      <c r="N2863">
        <v>951.54780000000005</v>
      </c>
      <c r="O2863" s="1">
        <v>44964</v>
      </c>
      <c r="P2863">
        <f>IF(ISBLANK(ReconciliationData[[#This Row],[Invoice_ID]]),1,0)</f>
        <v>0</v>
      </c>
      <c r="Q2863">
        <f>IF(AND(NOT(ISBLANK(ReconciliationData[[#This Row],[Billed_Units]])),ReconciliationData[[#This Row],[ordered_units]]&lt;&gt;ReconciliationData[[#This Row],[Billed_Units]]),1,0)</f>
        <v>0</v>
      </c>
      <c r="R28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3">
        <f>IF(AND(NOT(ISBLANK(ReconciliationData[[#This Row],[Contract_Price]])),ReconciliationData[[#This Row],[Billed_Price]]&lt;&gt;ReconciliationData[[#This Row],[Contract_Price]]),1,0)</f>
        <v>0</v>
      </c>
      <c r="T2863">
        <f>IF(AND(NOT(ISBLANK(ReconciliationData[[#This Row],[End_Date]])),ReconciliationData[[#This Row],[Order_Date]]&gt;ReconciliationData[[#This Row],[End_Date]]),1,0)</f>
        <v>0</v>
      </c>
      <c r="U2863">
        <f>IF(AND(NOT(ISBLANK(ReconciliationData[[#This Row],[last_return_date]])),ReconciliationData[[#This Row],[last_return_date]]&gt;ReconciliationData[[#This Row],[Order_Date]]+60),1,0)</f>
        <v>0</v>
      </c>
      <c r="V2863">
        <f>IF(ReconciliationData[[#This Row],[total_returned_units]]&gt;ReconciliationData[[#This Row],[ordered_units]],1,0)</f>
        <v>0</v>
      </c>
      <c r="W28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3">
        <f>ReconciliationData[[#This Row],[Billed_Units]]*ReconciliationData[[#This Row],[Billed_Price]]</f>
        <v>7612.3824000000004</v>
      </c>
      <c r="Y2863">
        <f>ReconciliationData[[#This Row],[ordered_units]]*ReconciliationData[[#This Row],[List_Price]]</f>
        <v>7612.3824000000004</v>
      </c>
      <c r="Z2863">
        <f>ReconciliationData[[#This Row],[billed_revenue]]-ReconciliationData[[#This Row],[expected_revenue]]</f>
        <v>0</v>
      </c>
      <c r="AA28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3" t="str">
        <f>IF(ReconciliationData[[#This Row],[severity_score]]=0,"LOW",
 IF(ReconciliationData[[#This Row],[severity_score]]&lt;=5,"MEDIUM","HIGH"))</f>
        <v>LOW</v>
      </c>
      <c r="AC2863" t="str">
        <f>TEXT(ReconciliationData[[#This Row],[Order_Date]],"YYYY-MM")</f>
        <v>2023-11</v>
      </c>
    </row>
    <row r="2864" spans="1:29">
      <c r="A2864" t="s">
        <v>6936</v>
      </c>
      <c r="B2864" s="1">
        <v>44997</v>
      </c>
      <c r="C2864" t="s">
        <v>1000</v>
      </c>
      <c r="D2864" t="s">
        <v>4508</v>
      </c>
      <c r="E2864">
        <v>164</v>
      </c>
      <c r="F2864" t="s">
        <v>6937</v>
      </c>
      <c r="G2864">
        <v>164</v>
      </c>
      <c r="H2864">
        <v>728.84</v>
      </c>
      <c r="N2864">
        <v>728.84</v>
      </c>
      <c r="O2864" s="1">
        <v>44626</v>
      </c>
      <c r="P2864">
        <f>IF(ISBLANK(ReconciliationData[[#This Row],[Invoice_ID]]),1,0)</f>
        <v>0</v>
      </c>
      <c r="Q2864">
        <f>IF(AND(NOT(ISBLANK(ReconciliationData[[#This Row],[Billed_Units]])),ReconciliationData[[#This Row],[ordered_units]]&lt;&gt;ReconciliationData[[#This Row],[Billed_Units]]),1,0)</f>
        <v>0</v>
      </c>
      <c r="R28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4">
        <f>IF(AND(NOT(ISBLANK(ReconciliationData[[#This Row],[Contract_Price]])),ReconciliationData[[#This Row],[Billed_Price]]&lt;&gt;ReconciliationData[[#This Row],[Contract_Price]]),1,0)</f>
        <v>0</v>
      </c>
      <c r="T2864">
        <f>IF(AND(NOT(ISBLANK(ReconciliationData[[#This Row],[End_Date]])),ReconciliationData[[#This Row],[Order_Date]]&gt;ReconciliationData[[#This Row],[End_Date]]),1,0)</f>
        <v>0</v>
      </c>
      <c r="U2864">
        <f>IF(AND(NOT(ISBLANK(ReconciliationData[[#This Row],[last_return_date]])),ReconciliationData[[#This Row],[last_return_date]]&gt;ReconciliationData[[#This Row],[Order_Date]]+60),1,0)</f>
        <v>0</v>
      </c>
      <c r="V2864">
        <f>IF(ReconciliationData[[#This Row],[total_returned_units]]&gt;ReconciliationData[[#This Row],[ordered_units]],1,0)</f>
        <v>0</v>
      </c>
      <c r="W28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4">
        <f>ReconciliationData[[#This Row],[Billed_Units]]*ReconciliationData[[#This Row],[Billed_Price]]</f>
        <v>119529.76000000001</v>
      </c>
      <c r="Y2864">
        <f>ReconciliationData[[#This Row],[ordered_units]]*ReconciliationData[[#This Row],[List_Price]]</f>
        <v>119529.76000000001</v>
      </c>
      <c r="Z2864">
        <f>ReconciliationData[[#This Row],[billed_revenue]]-ReconciliationData[[#This Row],[expected_revenue]]</f>
        <v>0</v>
      </c>
      <c r="AA28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4" t="str">
        <f>IF(ReconciliationData[[#This Row],[severity_score]]=0,"LOW",
 IF(ReconciliationData[[#This Row],[severity_score]]&lt;=5,"MEDIUM","HIGH"))</f>
        <v>LOW</v>
      </c>
      <c r="AC2864" t="str">
        <f>TEXT(ReconciliationData[[#This Row],[Order_Date]],"YYYY-MM")</f>
        <v>2023-03</v>
      </c>
    </row>
    <row r="2865" spans="1:29">
      <c r="A2865" t="s">
        <v>6938</v>
      </c>
      <c r="B2865" s="1">
        <v>45548</v>
      </c>
      <c r="C2865" t="s">
        <v>907</v>
      </c>
      <c r="D2865" t="s">
        <v>628</v>
      </c>
      <c r="E2865">
        <v>28</v>
      </c>
      <c r="F2865" t="s">
        <v>6939</v>
      </c>
      <c r="G2865">
        <v>28</v>
      </c>
      <c r="H2865">
        <v>322.71780000000001</v>
      </c>
      <c r="I2865">
        <v>11</v>
      </c>
      <c r="J2865" s="1">
        <v>45088</v>
      </c>
      <c r="N2865">
        <v>322.71780000000001</v>
      </c>
      <c r="O2865" s="1">
        <v>45169</v>
      </c>
      <c r="P2865">
        <f>IF(ISBLANK(ReconciliationData[[#This Row],[Invoice_ID]]),1,0)</f>
        <v>0</v>
      </c>
      <c r="Q2865">
        <f>IF(AND(NOT(ISBLANK(ReconciliationData[[#This Row],[Billed_Units]])),ReconciliationData[[#This Row],[ordered_units]]&lt;&gt;ReconciliationData[[#This Row],[Billed_Units]]),1,0)</f>
        <v>0</v>
      </c>
      <c r="R28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5">
        <f>IF(AND(NOT(ISBLANK(ReconciliationData[[#This Row],[Contract_Price]])),ReconciliationData[[#This Row],[Billed_Price]]&lt;&gt;ReconciliationData[[#This Row],[Contract_Price]]),1,0)</f>
        <v>0</v>
      </c>
      <c r="T2865">
        <f>IF(AND(NOT(ISBLANK(ReconciliationData[[#This Row],[End_Date]])),ReconciliationData[[#This Row],[Order_Date]]&gt;ReconciliationData[[#This Row],[End_Date]]),1,0)</f>
        <v>0</v>
      </c>
      <c r="U2865">
        <f>IF(AND(NOT(ISBLANK(ReconciliationData[[#This Row],[last_return_date]])),ReconciliationData[[#This Row],[last_return_date]]&gt;ReconciliationData[[#This Row],[Order_Date]]+60),1,0)</f>
        <v>0</v>
      </c>
      <c r="V2865">
        <f>IF(ReconciliationData[[#This Row],[total_returned_units]]&gt;ReconciliationData[[#This Row],[ordered_units]],1,0)</f>
        <v>0</v>
      </c>
      <c r="W28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5">
        <f>ReconciliationData[[#This Row],[Billed_Units]]*ReconciliationData[[#This Row],[Billed_Price]]</f>
        <v>9036.0984000000008</v>
      </c>
      <c r="Y2865">
        <f>ReconciliationData[[#This Row],[ordered_units]]*ReconciliationData[[#This Row],[List_Price]]</f>
        <v>9036.0984000000008</v>
      </c>
      <c r="Z2865">
        <f>ReconciliationData[[#This Row],[billed_revenue]]-ReconciliationData[[#This Row],[expected_revenue]]</f>
        <v>0</v>
      </c>
      <c r="AA28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5" t="str">
        <f>IF(ReconciliationData[[#This Row],[severity_score]]=0,"LOW",
 IF(ReconciliationData[[#This Row],[severity_score]]&lt;=5,"MEDIUM","HIGH"))</f>
        <v>LOW</v>
      </c>
      <c r="AC2865" t="str">
        <f>TEXT(ReconciliationData[[#This Row],[Order_Date]],"YYYY-MM")</f>
        <v>2024-09</v>
      </c>
    </row>
    <row r="2866" spans="1:29">
      <c r="A2866" t="s">
        <v>6940</v>
      </c>
      <c r="B2866" s="1">
        <v>45358</v>
      </c>
      <c r="C2866" t="s">
        <v>528</v>
      </c>
      <c r="D2866" t="s">
        <v>370</v>
      </c>
      <c r="E2866">
        <v>101</v>
      </c>
      <c r="F2866" t="s">
        <v>6941</v>
      </c>
      <c r="G2866">
        <v>101</v>
      </c>
      <c r="H2866">
        <v>639.91840000000002</v>
      </c>
      <c r="N2866">
        <v>639.91840000000002</v>
      </c>
      <c r="O2866" s="1">
        <v>44930</v>
      </c>
      <c r="P2866">
        <f>IF(ISBLANK(ReconciliationData[[#This Row],[Invoice_ID]]),1,0)</f>
        <v>0</v>
      </c>
      <c r="Q2866">
        <f>IF(AND(NOT(ISBLANK(ReconciliationData[[#This Row],[Billed_Units]])),ReconciliationData[[#This Row],[ordered_units]]&lt;&gt;ReconciliationData[[#This Row],[Billed_Units]]),1,0)</f>
        <v>0</v>
      </c>
      <c r="R28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6">
        <f>IF(AND(NOT(ISBLANK(ReconciliationData[[#This Row],[Contract_Price]])),ReconciliationData[[#This Row],[Billed_Price]]&lt;&gt;ReconciliationData[[#This Row],[Contract_Price]]),1,0)</f>
        <v>0</v>
      </c>
      <c r="T2866">
        <f>IF(AND(NOT(ISBLANK(ReconciliationData[[#This Row],[End_Date]])),ReconciliationData[[#This Row],[Order_Date]]&gt;ReconciliationData[[#This Row],[End_Date]]),1,0)</f>
        <v>0</v>
      </c>
      <c r="U2866">
        <f>IF(AND(NOT(ISBLANK(ReconciliationData[[#This Row],[last_return_date]])),ReconciliationData[[#This Row],[last_return_date]]&gt;ReconciliationData[[#This Row],[Order_Date]]+60),1,0)</f>
        <v>0</v>
      </c>
      <c r="V2866">
        <f>IF(ReconciliationData[[#This Row],[total_returned_units]]&gt;ReconciliationData[[#This Row],[ordered_units]],1,0)</f>
        <v>0</v>
      </c>
      <c r="W28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6">
        <f>ReconciliationData[[#This Row],[Billed_Units]]*ReconciliationData[[#This Row],[Billed_Price]]</f>
        <v>64631.758399999999</v>
      </c>
      <c r="Y2866">
        <f>ReconciliationData[[#This Row],[ordered_units]]*ReconciliationData[[#This Row],[List_Price]]</f>
        <v>64631.758399999999</v>
      </c>
      <c r="Z2866">
        <f>ReconciliationData[[#This Row],[billed_revenue]]-ReconciliationData[[#This Row],[expected_revenue]]</f>
        <v>0</v>
      </c>
      <c r="AA28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6" t="str">
        <f>IF(ReconciliationData[[#This Row],[severity_score]]=0,"LOW",
 IF(ReconciliationData[[#This Row],[severity_score]]&lt;=5,"MEDIUM","HIGH"))</f>
        <v>LOW</v>
      </c>
      <c r="AC2866" t="str">
        <f>TEXT(ReconciliationData[[#This Row],[Order_Date]],"YYYY-MM")</f>
        <v>2024-03</v>
      </c>
    </row>
    <row r="2867" spans="1:29">
      <c r="A2867" t="s">
        <v>6942</v>
      </c>
      <c r="B2867" s="1">
        <v>45373</v>
      </c>
      <c r="C2867" t="s">
        <v>756</v>
      </c>
      <c r="D2867" t="s">
        <v>1188</v>
      </c>
      <c r="E2867">
        <v>61</v>
      </c>
      <c r="F2867" t="s">
        <v>6943</v>
      </c>
      <c r="G2867">
        <v>61</v>
      </c>
      <c r="H2867">
        <v>73.305100000000024</v>
      </c>
      <c r="N2867">
        <v>73.305100000000024</v>
      </c>
      <c r="O2867" s="1">
        <v>45046</v>
      </c>
      <c r="P2867">
        <f>IF(ISBLANK(ReconciliationData[[#This Row],[Invoice_ID]]),1,0)</f>
        <v>0</v>
      </c>
      <c r="Q2867">
        <f>IF(AND(NOT(ISBLANK(ReconciliationData[[#This Row],[Billed_Units]])),ReconciliationData[[#This Row],[ordered_units]]&lt;&gt;ReconciliationData[[#This Row],[Billed_Units]]),1,0)</f>
        <v>0</v>
      </c>
      <c r="R28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7">
        <f>IF(AND(NOT(ISBLANK(ReconciliationData[[#This Row],[Contract_Price]])),ReconciliationData[[#This Row],[Billed_Price]]&lt;&gt;ReconciliationData[[#This Row],[Contract_Price]]),1,0)</f>
        <v>0</v>
      </c>
      <c r="T2867">
        <f>IF(AND(NOT(ISBLANK(ReconciliationData[[#This Row],[End_Date]])),ReconciliationData[[#This Row],[Order_Date]]&gt;ReconciliationData[[#This Row],[End_Date]]),1,0)</f>
        <v>0</v>
      </c>
      <c r="U2867">
        <f>IF(AND(NOT(ISBLANK(ReconciliationData[[#This Row],[last_return_date]])),ReconciliationData[[#This Row],[last_return_date]]&gt;ReconciliationData[[#This Row],[Order_Date]]+60),1,0)</f>
        <v>0</v>
      </c>
      <c r="V2867">
        <f>IF(ReconciliationData[[#This Row],[total_returned_units]]&gt;ReconciliationData[[#This Row],[ordered_units]],1,0)</f>
        <v>0</v>
      </c>
      <c r="W28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7">
        <f>ReconciliationData[[#This Row],[Billed_Units]]*ReconciliationData[[#This Row],[Billed_Price]]</f>
        <v>4471.6111000000019</v>
      </c>
      <c r="Y2867">
        <f>ReconciliationData[[#This Row],[ordered_units]]*ReconciliationData[[#This Row],[List_Price]]</f>
        <v>4471.6111000000019</v>
      </c>
      <c r="Z2867">
        <f>ReconciliationData[[#This Row],[billed_revenue]]-ReconciliationData[[#This Row],[expected_revenue]]</f>
        <v>0</v>
      </c>
      <c r="AA28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7" t="str">
        <f>IF(ReconciliationData[[#This Row],[severity_score]]=0,"LOW",
 IF(ReconciliationData[[#This Row],[severity_score]]&lt;=5,"MEDIUM","HIGH"))</f>
        <v>LOW</v>
      </c>
      <c r="AC2867" t="str">
        <f>TEXT(ReconciliationData[[#This Row],[Order_Date]],"YYYY-MM")</f>
        <v>2024-03</v>
      </c>
    </row>
    <row r="2868" spans="1:29">
      <c r="A2868" t="s">
        <v>6944</v>
      </c>
      <c r="B2868" s="1">
        <v>45279</v>
      </c>
      <c r="C2868" t="s">
        <v>4595</v>
      </c>
      <c r="D2868" t="s">
        <v>573</v>
      </c>
      <c r="E2868">
        <v>200</v>
      </c>
      <c r="F2868" t="s">
        <v>6945</v>
      </c>
      <c r="G2868">
        <v>200</v>
      </c>
      <c r="H2868">
        <v>1223.9694</v>
      </c>
      <c r="N2868">
        <v>1223.9694</v>
      </c>
      <c r="O2868" s="1">
        <v>45154</v>
      </c>
      <c r="P2868">
        <f>IF(ISBLANK(ReconciliationData[[#This Row],[Invoice_ID]]),1,0)</f>
        <v>0</v>
      </c>
      <c r="Q2868">
        <f>IF(AND(NOT(ISBLANK(ReconciliationData[[#This Row],[Billed_Units]])),ReconciliationData[[#This Row],[ordered_units]]&lt;&gt;ReconciliationData[[#This Row],[Billed_Units]]),1,0)</f>
        <v>0</v>
      </c>
      <c r="R28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8">
        <f>IF(AND(NOT(ISBLANK(ReconciliationData[[#This Row],[Contract_Price]])),ReconciliationData[[#This Row],[Billed_Price]]&lt;&gt;ReconciliationData[[#This Row],[Contract_Price]]),1,0)</f>
        <v>0</v>
      </c>
      <c r="T2868">
        <f>IF(AND(NOT(ISBLANK(ReconciliationData[[#This Row],[End_Date]])),ReconciliationData[[#This Row],[Order_Date]]&gt;ReconciliationData[[#This Row],[End_Date]]),1,0)</f>
        <v>0</v>
      </c>
      <c r="U2868">
        <f>IF(AND(NOT(ISBLANK(ReconciliationData[[#This Row],[last_return_date]])),ReconciliationData[[#This Row],[last_return_date]]&gt;ReconciliationData[[#This Row],[Order_Date]]+60),1,0)</f>
        <v>0</v>
      </c>
      <c r="V2868">
        <f>IF(ReconciliationData[[#This Row],[total_returned_units]]&gt;ReconciliationData[[#This Row],[ordered_units]],1,0)</f>
        <v>0</v>
      </c>
      <c r="W28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8">
        <f>ReconciliationData[[#This Row],[Billed_Units]]*ReconciliationData[[#This Row],[Billed_Price]]</f>
        <v>244793.88</v>
      </c>
      <c r="Y2868">
        <f>ReconciliationData[[#This Row],[ordered_units]]*ReconciliationData[[#This Row],[List_Price]]</f>
        <v>244793.88</v>
      </c>
      <c r="Z2868">
        <f>ReconciliationData[[#This Row],[billed_revenue]]-ReconciliationData[[#This Row],[expected_revenue]]</f>
        <v>0</v>
      </c>
      <c r="AA28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8" t="str">
        <f>IF(ReconciliationData[[#This Row],[severity_score]]=0,"LOW",
 IF(ReconciliationData[[#This Row],[severity_score]]&lt;=5,"MEDIUM","HIGH"))</f>
        <v>LOW</v>
      </c>
      <c r="AC2868" t="str">
        <f>TEXT(ReconciliationData[[#This Row],[Order_Date]],"YYYY-MM")</f>
        <v>2023-12</v>
      </c>
    </row>
    <row r="2869" spans="1:29">
      <c r="A2869" t="s">
        <v>6946</v>
      </c>
      <c r="B2869" s="1">
        <v>45495</v>
      </c>
      <c r="C2869" t="s">
        <v>1964</v>
      </c>
      <c r="D2869" t="s">
        <v>3770</v>
      </c>
      <c r="E2869">
        <v>192</v>
      </c>
      <c r="F2869" t="s">
        <v>6947</v>
      </c>
      <c r="G2869">
        <v>192</v>
      </c>
      <c r="H2869">
        <v>724.16120000000001</v>
      </c>
      <c r="N2869">
        <v>724.16120000000001</v>
      </c>
      <c r="O2869" s="1">
        <v>45044</v>
      </c>
      <c r="P2869">
        <f>IF(ISBLANK(ReconciliationData[[#This Row],[Invoice_ID]]),1,0)</f>
        <v>0</v>
      </c>
      <c r="Q2869">
        <f>IF(AND(NOT(ISBLANK(ReconciliationData[[#This Row],[Billed_Units]])),ReconciliationData[[#This Row],[ordered_units]]&lt;&gt;ReconciliationData[[#This Row],[Billed_Units]]),1,0)</f>
        <v>0</v>
      </c>
      <c r="R28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69">
        <f>IF(AND(NOT(ISBLANK(ReconciliationData[[#This Row],[Contract_Price]])),ReconciliationData[[#This Row],[Billed_Price]]&lt;&gt;ReconciliationData[[#This Row],[Contract_Price]]),1,0)</f>
        <v>0</v>
      </c>
      <c r="T2869">
        <f>IF(AND(NOT(ISBLANK(ReconciliationData[[#This Row],[End_Date]])),ReconciliationData[[#This Row],[Order_Date]]&gt;ReconciliationData[[#This Row],[End_Date]]),1,0)</f>
        <v>0</v>
      </c>
      <c r="U2869">
        <f>IF(AND(NOT(ISBLANK(ReconciliationData[[#This Row],[last_return_date]])),ReconciliationData[[#This Row],[last_return_date]]&gt;ReconciliationData[[#This Row],[Order_Date]]+60),1,0)</f>
        <v>0</v>
      </c>
      <c r="V2869">
        <f>IF(ReconciliationData[[#This Row],[total_returned_units]]&gt;ReconciliationData[[#This Row],[ordered_units]],1,0)</f>
        <v>0</v>
      </c>
      <c r="W28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69">
        <f>ReconciliationData[[#This Row],[Billed_Units]]*ReconciliationData[[#This Row],[Billed_Price]]</f>
        <v>139038.9504</v>
      </c>
      <c r="Y2869">
        <f>ReconciliationData[[#This Row],[ordered_units]]*ReconciliationData[[#This Row],[List_Price]]</f>
        <v>139038.9504</v>
      </c>
      <c r="Z2869">
        <f>ReconciliationData[[#This Row],[billed_revenue]]-ReconciliationData[[#This Row],[expected_revenue]]</f>
        <v>0</v>
      </c>
      <c r="AA28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69" t="str">
        <f>IF(ReconciliationData[[#This Row],[severity_score]]=0,"LOW",
 IF(ReconciliationData[[#This Row],[severity_score]]&lt;=5,"MEDIUM","HIGH"))</f>
        <v>LOW</v>
      </c>
      <c r="AC2869" t="str">
        <f>TEXT(ReconciliationData[[#This Row],[Order_Date]],"YYYY-MM")</f>
        <v>2024-07</v>
      </c>
    </row>
    <row r="2870" spans="1:29">
      <c r="A2870" t="s">
        <v>6948</v>
      </c>
      <c r="B2870" s="1">
        <v>45412</v>
      </c>
      <c r="C2870" t="s">
        <v>2673</v>
      </c>
      <c r="D2870" t="s">
        <v>309</v>
      </c>
      <c r="E2870">
        <v>132</v>
      </c>
      <c r="F2870" t="s">
        <v>6949</v>
      </c>
      <c r="G2870">
        <v>140</v>
      </c>
      <c r="H2870">
        <v>946.74860000000001</v>
      </c>
      <c r="N2870">
        <v>946.74860000000001</v>
      </c>
      <c r="O2870" s="1">
        <v>45038</v>
      </c>
      <c r="P2870">
        <f>IF(ISBLANK(ReconciliationData[[#This Row],[Invoice_ID]]),1,0)</f>
        <v>0</v>
      </c>
      <c r="Q2870">
        <f>IF(AND(NOT(ISBLANK(ReconciliationData[[#This Row],[Billed_Units]])),ReconciliationData[[#This Row],[ordered_units]]&lt;&gt;ReconciliationData[[#This Row],[Billed_Units]]),1,0)</f>
        <v>1</v>
      </c>
      <c r="R28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0">
        <f>IF(AND(NOT(ISBLANK(ReconciliationData[[#This Row],[Contract_Price]])),ReconciliationData[[#This Row],[Billed_Price]]&lt;&gt;ReconciliationData[[#This Row],[Contract_Price]]),1,0)</f>
        <v>0</v>
      </c>
      <c r="T2870">
        <f>IF(AND(NOT(ISBLANK(ReconciliationData[[#This Row],[End_Date]])),ReconciliationData[[#This Row],[Order_Date]]&gt;ReconciliationData[[#This Row],[End_Date]]),1,0)</f>
        <v>0</v>
      </c>
      <c r="U2870">
        <f>IF(AND(NOT(ISBLANK(ReconciliationData[[#This Row],[last_return_date]])),ReconciliationData[[#This Row],[last_return_date]]&gt;ReconciliationData[[#This Row],[Order_Date]]+60),1,0)</f>
        <v>0</v>
      </c>
      <c r="V2870">
        <f>IF(ReconciliationData[[#This Row],[total_returned_units]]&gt;ReconciliationData[[#This Row],[ordered_units]],1,0)</f>
        <v>0</v>
      </c>
      <c r="W28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70">
        <f>ReconciliationData[[#This Row],[Billed_Units]]*ReconciliationData[[#This Row],[Billed_Price]]</f>
        <v>132544.804</v>
      </c>
      <c r="Y2870">
        <f>ReconciliationData[[#This Row],[ordered_units]]*ReconciliationData[[#This Row],[List_Price]]</f>
        <v>124970.8152</v>
      </c>
      <c r="Z2870">
        <f>ReconciliationData[[#This Row],[billed_revenue]]-ReconciliationData[[#This Row],[expected_revenue]]</f>
        <v>7573.9888000000064</v>
      </c>
      <c r="AA28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870" t="str">
        <f>IF(ReconciliationData[[#This Row],[severity_score]]=0,"LOW",
 IF(ReconciliationData[[#This Row],[severity_score]]&lt;=5,"MEDIUM","HIGH"))</f>
        <v>HIGH</v>
      </c>
      <c r="AC2870" t="str">
        <f>TEXT(ReconciliationData[[#This Row],[Order_Date]],"YYYY-MM")</f>
        <v>2024-04</v>
      </c>
    </row>
    <row r="2871" spans="1:29">
      <c r="A2871" t="s">
        <v>6950</v>
      </c>
      <c r="B2871" s="1">
        <v>45238</v>
      </c>
      <c r="C2871" t="s">
        <v>6156</v>
      </c>
      <c r="D2871" t="s">
        <v>2064</v>
      </c>
      <c r="E2871">
        <v>177</v>
      </c>
      <c r="F2871" t="s">
        <v>6951</v>
      </c>
      <c r="G2871">
        <v>177</v>
      </c>
      <c r="H2871">
        <v>251.7122</v>
      </c>
      <c r="N2871">
        <v>251.7122</v>
      </c>
      <c r="O2871" s="1">
        <v>45088</v>
      </c>
      <c r="P2871">
        <f>IF(ISBLANK(ReconciliationData[[#This Row],[Invoice_ID]]),1,0)</f>
        <v>0</v>
      </c>
      <c r="Q2871">
        <f>IF(AND(NOT(ISBLANK(ReconciliationData[[#This Row],[Billed_Units]])),ReconciliationData[[#This Row],[ordered_units]]&lt;&gt;ReconciliationData[[#This Row],[Billed_Units]]),1,0)</f>
        <v>0</v>
      </c>
      <c r="R28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1">
        <f>IF(AND(NOT(ISBLANK(ReconciliationData[[#This Row],[Contract_Price]])),ReconciliationData[[#This Row],[Billed_Price]]&lt;&gt;ReconciliationData[[#This Row],[Contract_Price]]),1,0)</f>
        <v>0</v>
      </c>
      <c r="T2871">
        <f>IF(AND(NOT(ISBLANK(ReconciliationData[[#This Row],[End_Date]])),ReconciliationData[[#This Row],[Order_Date]]&gt;ReconciliationData[[#This Row],[End_Date]]),1,0)</f>
        <v>0</v>
      </c>
      <c r="U2871">
        <f>IF(AND(NOT(ISBLANK(ReconciliationData[[#This Row],[last_return_date]])),ReconciliationData[[#This Row],[last_return_date]]&gt;ReconciliationData[[#This Row],[Order_Date]]+60),1,0)</f>
        <v>0</v>
      </c>
      <c r="V2871">
        <f>IF(ReconciliationData[[#This Row],[total_returned_units]]&gt;ReconciliationData[[#This Row],[ordered_units]],1,0)</f>
        <v>0</v>
      </c>
      <c r="W28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71">
        <f>ReconciliationData[[#This Row],[Billed_Units]]*ReconciliationData[[#This Row],[Billed_Price]]</f>
        <v>44553.059399999998</v>
      </c>
      <c r="Y2871">
        <f>ReconciliationData[[#This Row],[ordered_units]]*ReconciliationData[[#This Row],[List_Price]]</f>
        <v>44553.059399999998</v>
      </c>
      <c r="Z2871">
        <f>ReconciliationData[[#This Row],[billed_revenue]]-ReconciliationData[[#This Row],[expected_revenue]]</f>
        <v>0</v>
      </c>
      <c r="AA28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71" t="str">
        <f>IF(ReconciliationData[[#This Row],[severity_score]]=0,"LOW",
 IF(ReconciliationData[[#This Row],[severity_score]]&lt;=5,"MEDIUM","HIGH"))</f>
        <v>LOW</v>
      </c>
      <c r="AC2871" t="str">
        <f>TEXT(ReconciliationData[[#This Row],[Order_Date]],"YYYY-MM")</f>
        <v>2023-11</v>
      </c>
    </row>
    <row r="2872" spans="1:29">
      <c r="A2872" t="s">
        <v>6952</v>
      </c>
      <c r="B2872" s="1">
        <v>45120</v>
      </c>
      <c r="C2872" t="s">
        <v>6953</v>
      </c>
      <c r="D2872" t="s">
        <v>512</v>
      </c>
      <c r="E2872">
        <v>76</v>
      </c>
      <c r="F2872" t="s">
        <v>6954</v>
      </c>
      <c r="G2872">
        <v>76</v>
      </c>
      <c r="H2872">
        <v>209.48449999999997</v>
      </c>
      <c r="N2872">
        <v>209.48449999999997</v>
      </c>
      <c r="O2872" s="1">
        <v>44956</v>
      </c>
      <c r="P2872">
        <f>IF(ISBLANK(ReconciliationData[[#This Row],[Invoice_ID]]),1,0)</f>
        <v>0</v>
      </c>
      <c r="Q2872">
        <f>IF(AND(NOT(ISBLANK(ReconciliationData[[#This Row],[Billed_Units]])),ReconciliationData[[#This Row],[ordered_units]]&lt;&gt;ReconciliationData[[#This Row],[Billed_Units]]),1,0)</f>
        <v>0</v>
      </c>
      <c r="R28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2">
        <f>IF(AND(NOT(ISBLANK(ReconciliationData[[#This Row],[Contract_Price]])),ReconciliationData[[#This Row],[Billed_Price]]&lt;&gt;ReconciliationData[[#This Row],[Contract_Price]]),1,0)</f>
        <v>0</v>
      </c>
      <c r="T2872">
        <f>IF(AND(NOT(ISBLANK(ReconciliationData[[#This Row],[End_Date]])),ReconciliationData[[#This Row],[Order_Date]]&gt;ReconciliationData[[#This Row],[End_Date]]),1,0)</f>
        <v>0</v>
      </c>
      <c r="U2872">
        <f>IF(AND(NOT(ISBLANK(ReconciliationData[[#This Row],[last_return_date]])),ReconciliationData[[#This Row],[last_return_date]]&gt;ReconciliationData[[#This Row],[Order_Date]]+60),1,0)</f>
        <v>0</v>
      </c>
      <c r="V2872">
        <f>IF(ReconciliationData[[#This Row],[total_returned_units]]&gt;ReconciliationData[[#This Row],[ordered_units]],1,0)</f>
        <v>0</v>
      </c>
      <c r="W28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72">
        <f>ReconciliationData[[#This Row],[Billed_Units]]*ReconciliationData[[#This Row],[Billed_Price]]</f>
        <v>15920.821999999998</v>
      </c>
      <c r="Y2872">
        <f>ReconciliationData[[#This Row],[ordered_units]]*ReconciliationData[[#This Row],[List_Price]]</f>
        <v>15920.821999999998</v>
      </c>
      <c r="Z2872">
        <f>ReconciliationData[[#This Row],[billed_revenue]]-ReconciliationData[[#This Row],[expected_revenue]]</f>
        <v>0</v>
      </c>
      <c r="AA28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72" t="str">
        <f>IF(ReconciliationData[[#This Row],[severity_score]]=0,"LOW",
 IF(ReconciliationData[[#This Row],[severity_score]]&lt;=5,"MEDIUM","HIGH"))</f>
        <v>LOW</v>
      </c>
      <c r="AC2872" t="str">
        <f>TEXT(ReconciliationData[[#This Row],[Order_Date]],"YYYY-MM")</f>
        <v>2023-07</v>
      </c>
    </row>
    <row r="2873" spans="1:29">
      <c r="A2873" t="s">
        <v>6955</v>
      </c>
      <c r="B2873" s="1">
        <v>44995</v>
      </c>
      <c r="C2873" t="s">
        <v>6023</v>
      </c>
      <c r="D2873" t="s">
        <v>381</v>
      </c>
      <c r="E2873">
        <v>107</v>
      </c>
      <c r="F2873" t="s">
        <v>6956</v>
      </c>
      <c r="G2873">
        <v>117</v>
      </c>
      <c r="H2873">
        <v>933.82110000000011</v>
      </c>
      <c r="N2873">
        <v>933.82110000000011</v>
      </c>
      <c r="O2873" s="1">
        <v>44855</v>
      </c>
      <c r="P2873">
        <f>IF(ISBLANK(ReconciliationData[[#This Row],[Invoice_ID]]),1,0)</f>
        <v>0</v>
      </c>
      <c r="Q2873">
        <f>IF(AND(NOT(ISBLANK(ReconciliationData[[#This Row],[Billed_Units]])),ReconciliationData[[#This Row],[ordered_units]]&lt;&gt;ReconciliationData[[#This Row],[Billed_Units]]),1,0)</f>
        <v>1</v>
      </c>
      <c r="R28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3">
        <f>IF(AND(NOT(ISBLANK(ReconciliationData[[#This Row],[Contract_Price]])),ReconciliationData[[#This Row],[Billed_Price]]&lt;&gt;ReconciliationData[[#This Row],[Contract_Price]]),1,0)</f>
        <v>0</v>
      </c>
      <c r="T2873">
        <f>IF(AND(NOT(ISBLANK(ReconciliationData[[#This Row],[End_Date]])),ReconciliationData[[#This Row],[Order_Date]]&gt;ReconciliationData[[#This Row],[End_Date]]),1,0)</f>
        <v>0</v>
      </c>
      <c r="U2873">
        <f>IF(AND(NOT(ISBLANK(ReconciliationData[[#This Row],[last_return_date]])),ReconciliationData[[#This Row],[last_return_date]]&gt;ReconciliationData[[#This Row],[Order_Date]]+60),1,0)</f>
        <v>0</v>
      </c>
      <c r="V2873">
        <f>IF(ReconciliationData[[#This Row],[total_returned_units]]&gt;ReconciliationData[[#This Row],[ordered_units]],1,0)</f>
        <v>0</v>
      </c>
      <c r="W28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73">
        <f>ReconciliationData[[#This Row],[Billed_Units]]*ReconciliationData[[#This Row],[Billed_Price]]</f>
        <v>109257.06870000002</v>
      </c>
      <c r="Y2873">
        <f>ReconciliationData[[#This Row],[ordered_units]]*ReconciliationData[[#This Row],[List_Price]]</f>
        <v>99918.857700000008</v>
      </c>
      <c r="Z2873">
        <f>ReconciliationData[[#This Row],[billed_revenue]]-ReconciliationData[[#This Row],[expected_revenue]]</f>
        <v>9338.2110000000102</v>
      </c>
      <c r="AA28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873" t="str">
        <f>IF(ReconciliationData[[#This Row],[severity_score]]=0,"LOW",
 IF(ReconciliationData[[#This Row],[severity_score]]&lt;=5,"MEDIUM","HIGH"))</f>
        <v>HIGH</v>
      </c>
      <c r="AC2873" t="str">
        <f>TEXT(ReconciliationData[[#This Row],[Order_Date]],"YYYY-MM")</f>
        <v>2023-03</v>
      </c>
    </row>
    <row r="2874" spans="1:29">
      <c r="A2874" t="s">
        <v>6957</v>
      </c>
      <c r="B2874" s="1">
        <v>44955</v>
      </c>
      <c r="C2874" t="s">
        <v>2280</v>
      </c>
      <c r="D2874" t="s">
        <v>1580</v>
      </c>
      <c r="E2874">
        <v>85</v>
      </c>
      <c r="F2874" t="s">
        <v>6958</v>
      </c>
      <c r="G2874">
        <v>85</v>
      </c>
      <c r="H2874">
        <v>674.78</v>
      </c>
      <c r="N2874">
        <v>674.78</v>
      </c>
      <c r="O2874" s="1">
        <v>44683</v>
      </c>
      <c r="P2874">
        <f>IF(ISBLANK(ReconciliationData[[#This Row],[Invoice_ID]]),1,0)</f>
        <v>0</v>
      </c>
      <c r="Q2874">
        <f>IF(AND(NOT(ISBLANK(ReconciliationData[[#This Row],[Billed_Units]])),ReconciliationData[[#This Row],[ordered_units]]&lt;&gt;ReconciliationData[[#This Row],[Billed_Units]]),1,0)</f>
        <v>0</v>
      </c>
      <c r="R28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4">
        <f>IF(AND(NOT(ISBLANK(ReconciliationData[[#This Row],[Contract_Price]])),ReconciliationData[[#This Row],[Billed_Price]]&lt;&gt;ReconciliationData[[#This Row],[Contract_Price]]),1,0)</f>
        <v>0</v>
      </c>
      <c r="T2874">
        <f>IF(AND(NOT(ISBLANK(ReconciliationData[[#This Row],[End_Date]])),ReconciliationData[[#This Row],[Order_Date]]&gt;ReconciliationData[[#This Row],[End_Date]]),1,0)</f>
        <v>0</v>
      </c>
      <c r="U2874">
        <f>IF(AND(NOT(ISBLANK(ReconciliationData[[#This Row],[last_return_date]])),ReconciliationData[[#This Row],[last_return_date]]&gt;ReconciliationData[[#This Row],[Order_Date]]+60),1,0)</f>
        <v>0</v>
      </c>
      <c r="V2874">
        <f>IF(ReconciliationData[[#This Row],[total_returned_units]]&gt;ReconciliationData[[#This Row],[ordered_units]],1,0)</f>
        <v>0</v>
      </c>
      <c r="W28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74">
        <f>ReconciliationData[[#This Row],[Billed_Units]]*ReconciliationData[[#This Row],[Billed_Price]]</f>
        <v>57356.299999999996</v>
      </c>
      <c r="Y2874">
        <f>ReconciliationData[[#This Row],[ordered_units]]*ReconciliationData[[#This Row],[List_Price]]</f>
        <v>57356.299999999996</v>
      </c>
      <c r="Z2874">
        <f>ReconciliationData[[#This Row],[billed_revenue]]-ReconciliationData[[#This Row],[expected_revenue]]</f>
        <v>0</v>
      </c>
      <c r="AA28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74" t="str">
        <f>IF(ReconciliationData[[#This Row],[severity_score]]=0,"LOW",
 IF(ReconciliationData[[#This Row],[severity_score]]&lt;=5,"MEDIUM","HIGH"))</f>
        <v>LOW</v>
      </c>
      <c r="AC2874" t="str">
        <f>TEXT(ReconciliationData[[#This Row],[Order_Date]],"YYYY-MM")</f>
        <v>2023-01</v>
      </c>
    </row>
    <row r="2875" spans="1:29">
      <c r="A2875" t="s">
        <v>6959</v>
      </c>
      <c r="B2875" s="1">
        <v>45374</v>
      </c>
      <c r="C2875" t="s">
        <v>3637</v>
      </c>
      <c r="D2875" t="s">
        <v>1455</v>
      </c>
      <c r="E2875">
        <v>50</v>
      </c>
      <c r="F2875" t="s">
        <v>6960</v>
      </c>
      <c r="G2875">
        <v>48</v>
      </c>
      <c r="H2875">
        <v>556.99</v>
      </c>
      <c r="N2875">
        <v>556.99</v>
      </c>
      <c r="O2875" s="1">
        <v>45147</v>
      </c>
      <c r="P2875">
        <f>IF(ISBLANK(ReconciliationData[[#This Row],[Invoice_ID]]),1,0)</f>
        <v>0</v>
      </c>
      <c r="Q2875">
        <f>IF(AND(NOT(ISBLANK(ReconciliationData[[#This Row],[Billed_Units]])),ReconciliationData[[#This Row],[ordered_units]]&lt;&gt;ReconciliationData[[#This Row],[Billed_Units]]),1,0)</f>
        <v>1</v>
      </c>
      <c r="R28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5">
        <f>IF(AND(NOT(ISBLANK(ReconciliationData[[#This Row],[Contract_Price]])),ReconciliationData[[#This Row],[Billed_Price]]&lt;&gt;ReconciliationData[[#This Row],[Contract_Price]]),1,0)</f>
        <v>0</v>
      </c>
      <c r="T2875">
        <f>IF(AND(NOT(ISBLANK(ReconciliationData[[#This Row],[End_Date]])),ReconciliationData[[#This Row],[Order_Date]]&gt;ReconciliationData[[#This Row],[End_Date]]),1,0)</f>
        <v>0</v>
      </c>
      <c r="U2875">
        <f>IF(AND(NOT(ISBLANK(ReconciliationData[[#This Row],[last_return_date]])),ReconciliationData[[#This Row],[last_return_date]]&gt;ReconciliationData[[#This Row],[Order_Date]]+60),1,0)</f>
        <v>0</v>
      </c>
      <c r="V2875">
        <f>IF(ReconciliationData[[#This Row],[total_returned_units]]&gt;ReconciliationData[[#This Row],[ordered_units]],1,0)</f>
        <v>0</v>
      </c>
      <c r="W28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75">
        <f>ReconciliationData[[#This Row],[Billed_Units]]*ReconciliationData[[#This Row],[Billed_Price]]</f>
        <v>26735.52</v>
      </c>
      <c r="Y2875">
        <f>ReconciliationData[[#This Row],[ordered_units]]*ReconciliationData[[#This Row],[List_Price]]</f>
        <v>27849.5</v>
      </c>
      <c r="Z2875">
        <f>ReconciliationData[[#This Row],[billed_revenue]]-ReconciliationData[[#This Row],[expected_revenue]]</f>
        <v>-1113.9799999999996</v>
      </c>
      <c r="AA28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875" t="str">
        <f>IF(ReconciliationData[[#This Row],[severity_score]]=0,"LOW",
 IF(ReconciliationData[[#This Row],[severity_score]]&lt;=5,"MEDIUM","HIGH"))</f>
        <v>HIGH</v>
      </c>
      <c r="AC2875" t="str">
        <f>TEXT(ReconciliationData[[#This Row],[Order_Date]],"YYYY-MM")</f>
        <v>2024-03</v>
      </c>
    </row>
    <row r="2876" spans="1:29">
      <c r="A2876" t="s">
        <v>6961</v>
      </c>
      <c r="B2876" s="1">
        <v>45403</v>
      </c>
      <c r="C2876" t="s">
        <v>6962</v>
      </c>
      <c r="D2876" t="s">
        <v>182</v>
      </c>
      <c r="E2876">
        <v>84</v>
      </c>
      <c r="F2876" t="s">
        <v>6963</v>
      </c>
      <c r="G2876">
        <v>84</v>
      </c>
      <c r="H2876">
        <v>689.58720000000005</v>
      </c>
      <c r="N2876">
        <v>689.58720000000005</v>
      </c>
      <c r="O2876" s="1">
        <v>45224</v>
      </c>
      <c r="P2876">
        <f>IF(ISBLANK(ReconciliationData[[#This Row],[Invoice_ID]]),1,0)</f>
        <v>0</v>
      </c>
      <c r="Q2876">
        <f>IF(AND(NOT(ISBLANK(ReconciliationData[[#This Row],[Billed_Units]])),ReconciliationData[[#This Row],[ordered_units]]&lt;&gt;ReconciliationData[[#This Row],[Billed_Units]]),1,0)</f>
        <v>0</v>
      </c>
      <c r="R28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6">
        <f>IF(AND(NOT(ISBLANK(ReconciliationData[[#This Row],[Contract_Price]])),ReconciliationData[[#This Row],[Billed_Price]]&lt;&gt;ReconciliationData[[#This Row],[Contract_Price]]),1,0)</f>
        <v>0</v>
      </c>
      <c r="T2876">
        <f>IF(AND(NOT(ISBLANK(ReconciliationData[[#This Row],[End_Date]])),ReconciliationData[[#This Row],[Order_Date]]&gt;ReconciliationData[[#This Row],[End_Date]]),1,0)</f>
        <v>0</v>
      </c>
      <c r="U2876">
        <f>IF(AND(NOT(ISBLANK(ReconciliationData[[#This Row],[last_return_date]])),ReconciliationData[[#This Row],[last_return_date]]&gt;ReconciliationData[[#This Row],[Order_Date]]+60),1,0)</f>
        <v>0</v>
      </c>
      <c r="V2876">
        <f>IF(ReconciliationData[[#This Row],[total_returned_units]]&gt;ReconciliationData[[#This Row],[ordered_units]],1,0)</f>
        <v>0</v>
      </c>
      <c r="W28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76">
        <f>ReconciliationData[[#This Row],[Billed_Units]]*ReconciliationData[[#This Row],[Billed_Price]]</f>
        <v>57925.324800000002</v>
      </c>
      <c r="Y2876">
        <f>ReconciliationData[[#This Row],[ordered_units]]*ReconciliationData[[#This Row],[List_Price]]</f>
        <v>57925.324800000002</v>
      </c>
      <c r="Z2876">
        <f>ReconciliationData[[#This Row],[billed_revenue]]-ReconciliationData[[#This Row],[expected_revenue]]</f>
        <v>0</v>
      </c>
      <c r="AA28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76" t="str">
        <f>IF(ReconciliationData[[#This Row],[severity_score]]=0,"LOW",
 IF(ReconciliationData[[#This Row],[severity_score]]&lt;=5,"MEDIUM","HIGH"))</f>
        <v>LOW</v>
      </c>
      <c r="AC2876" t="str">
        <f>TEXT(ReconciliationData[[#This Row],[Order_Date]],"YYYY-MM")</f>
        <v>2024-04</v>
      </c>
    </row>
    <row r="2877" spans="1:29">
      <c r="A2877" t="s">
        <v>6964</v>
      </c>
      <c r="B2877" s="1">
        <v>45149</v>
      </c>
      <c r="C2877" t="s">
        <v>149</v>
      </c>
      <c r="D2877" t="s">
        <v>251</v>
      </c>
      <c r="E2877">
        <v>176</v>
      </c>
      <c r="F2877" t="s">
        <v>6965</v>
      </c>
      <c r="G2877">
        <v>176</v>
      </c>
      <c r="H2877">
        <v>957.65700000000015</v>
      </c>
      <c r="N2877">
        <v>957.65700000000015</v>
      </c>
      <c r="O2877" s="1">
        <v>45057</v>
      </c>
      <c r="P2877">
        <f>IF(ISBLANK(ReconciliationData[[#This Row],[Invoice_ID]]),1,0)</f>
        <v>0</v>
      </c>
      <c r="Q2877">
        <f>IF(AND(NOT(ISBLANK(ReconciliationData[[#This Row],[Billed_Units]])),ReconciliationData[[#This Row],[ordered_units]]&lt;&gt;ReconciliationData[[#This Row],[Billed_Units]]),1,0)</f>
        <v>0</v>
      </c>
      <c r="R28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7">
        <f>IF(AND(NOT(ISBLANK(ReconciliationData[[#This Row],[Contract_Price]])),ReconciliationData[[#This Row],[Billed_Price]]&lt;&gt;ReconciliationData[[#This Row],[Contract_Price]]),1,0)</f>
        <v>0</v>
      </c>
      <c r="T2877">
        <f>IF(AND(NOT(ISBLANK(ReconciliationData[[#This Row],[End_Date]])),ReconciliationData[[#This Row],[Order_Date]]&gt;ReconciliationData[[#This Row],[End_Date]]),1,0)</f>
        <v>0</v>
      </c>
      <c r="U2877">
        <f>IF(AND(NOT(ISBLANK(ReconciliationData[[#This Row],[last_return_date]])),ReconciliationData[[#This Row],[last_return_date]]&gt;ReconciliationData[[#This Row],[Order_Date]]+60),1,0)</f>
        <v>0</v>
      </c>
      <c r="V2877">
        <f>IF(ReconciliationData[[#This Row],[total_returned_units]]&gt;ReconciliationData[[#This Row],[ordered_units]],1,0)</f>
        <v>0</v>
      </c>
      <c r="W28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77">
        <f>ReconciliationData[[#This Row],[Billed_Units]]*ReconciliationData[[#This Row],[Billed_Price]]</f>
        <v>168547.63200000004</v>
      </c>
      <c r="Y2877">
        <f>ReconciliationData[[#This Row],[ordered_units]]*ReconciliationData[[#This Row],[List_Price]]</f>
        <v>168547.63200000004</v>
      </c>
      <c r="Z2877">
        <f>ReconciliationData[[#This Row],[billed_revenue]]-ReconciliationData[[#This Row],[expected_revenue]]</f>
        <v>0</v>
      </c>
      <c r="AA28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77" t="str">
        <f>IF(ReconciliationData[[#This Row],[severity_score]]=0,"LOW",
 IF(ReconciliationData[[#This Row],[severity_score]]&lt;=5,"MEDIUM","HIGH"))</f>
        <v>LOW</v>
      </c>
      <c r="AC2877" t="str">
        <f>TEXT(ReconciliationData[[#This Row],[Order_Date]],"YYYY-MM")</f>
        <v>2023-08</v>
      </c>
    </row>
    <row r="2878" spans="1:29">
      <c r="A2878" t="s">
        <v>6966</v>
      </c>
      <c r="B2878" s="1">
        <v>45469</v>
      </c>
      <c r="C2878" t="s">
        <v>4231</v>
      </c>
      <c r="D2878" t="s">
        <v>4508</v>
      </c>
      <c r="E2878">
        <v>151</v>
      </c>
      <c r="F2878" t="s">
        <v>6967</v>
      </c>
      <c r="G2878">
        <v>151</v>
      </c>
      <c r="H2878">
        <v>750.70520000000022</v>
      </c>
      <c r="I2878">
        <v>2</v>
      </c>
      <c r="J2878" s="1">
        <v>45174</v>
      </c>
      <c r="N2878">
        <v>750.70520000000022</v>
      </c>
      <c r="O2878" s="1">
        <v>45226</v>
      </c>
      <c r="P2878">
        <f>IF(ISBLANK(ReconciliationData[[#This Row],[Invoice_ID]]),1,0)</f>
        <v>0</v>
      </c>
      <c r="Q2878">
        <f>IF(AND(NOT(ISBLANK(ReconciliationData[[#This Row],[Billed_Units]])),ReconciliationData[[#This Row],[ordered_units]]&lt;&gt;ReconciliationData[[#This Row],[Billed_Units]]),1,0)</f>
        <v>0</v>
      </c>
      <c r="R28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8">
        <f>IF(AND(NOT(ISBLANK(ReconciliationData[[#This Row],[Contract_Price]])),ReconciliationData[[#This Row],[Billed_Price]]&lt;&gt;ReconciliationData[[#This Row],[Contract_Price]]),1,0)</f>
        <v>0</v>
      </c>
      <c r="T2878">
        <f>IF(AND(NOT(ISBLANK(ReconciliationData[[#This Row],[End_Date]])),ReconciliationData[[#This Row],[Order_Date]]&gt;ReconciliationData[[#This Row],[End_Date]]),1,0)</f>
        <v>0</v>
      </c>
      <c r="U2878">
        <f>IF(AND(NOT(ISBLANK(ReconciliationData[[#This Row],[last_return_date]])),ReconciliationData[[#This Row],[last_return_date]]&gt;ReconciliationData[[#This Row],[Order_Date]]+60),1,0)</f>
        <v>0</v>
      </c>
      <c r="V2878">
        <f>IF(ReconciliationData[[#This Row],[total_returned_units]]&gt;ReconciliationData[[#This Row],[ordered_units]],1,0)</f>
        <v>0</v>
      </c>
      <c r="W28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78">
        <f>ReconciliationData[[#This Row],[Billed_Units]]*ReconciliationData[[#This Row],[Billed_Price]]</f>
        <v>113356.48520000004</v>
      </c>
      <c r="Y2878">
        <f>ReconciliationData[[#This Row],[ordered_units]]*ReconciliationData[[#This Row],[List_Price]]</f>
        <v>113356.48520000004</v>
      </c>
      <c r="Z2878">
        <f>ReconciliationData[[#This Row],[billed_revenue]]-ReconciliationData[[#This Row],[expected_revenue]]</f>
        <v>0</v>
      </c>
      <c r="AA28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78" t="str">
        <f>IF(ReconciliationData[[#This Row],[severity_score]]=0,"LOW",
 IF(ReconciliationData[[#This Row],[severity_score]]&lt;=5,"MEDIUM","HIGH"))</f>
        <v>LOW</v>
      </c>
      <c r="AC2878" t="str">
        <f>TEXT(ReconciliationData[[#This Row],[Order_Date]],"YYYY-MM")</f>
        <v>2024-06</v>
      </c>
    </row>
    <row r="2879" spans="1:29">
      <c r="A2879" t="s">
        <v>6968</v>
      </c>
      <c r="B2879" s="1">
        <v>45386</v>
      </c>
      <c r="C2879" t="s">
        <v>6962</v>
      </c>
      <c r="D2879" t="s">
        <v>170</v>
      </c>
      <c r="E2879">
        <v>111</v>
      </c>
      <c r="F2879" t="s">
        <v>6969</v>
      </c>
      <c r="G2879">
        <v>111</v>
      </c>
      <c r="H2879">
        <v>397.40159999999997</v>
      </c>
      <c r="N2879">
        <v>397.40159999999997</v>
      </c>
      <c r="O2879" s="1">
        <v>45021</v>
      </c>
      <c r="P2879">
        <f>IF(ISBLANK(ReconciliationData[[#This Row],[Invoice_ID]]),1,0)</f>
        <v>0</v>
      </c>
      <c r="Q2879">
        <f>IF(AND(NOT(ISBLANK(ReconciliationData[[#This Row],[Billed_Units]])),ReconciliationData[[#This Row],[ordered_units]]&lt;&gt;ReconciliationData[[#This Row],[Billed_Units]]),1,0)</f>
        <v>0</v>
      </c>
      <c r="R28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79">
        <f>IF(AND(NOT(ISBLANK(ReconciliationData[[#This Row],[Contract_Price]])),ReconciliationData[[#This Row],[Billed_Price]]&lt;&gt;ReconciliationData[[#This Row],[Contract_Price]]),1,0)</f>
        <v>0</v>
      </c>
      <c r="T2879">
        <f>IF(AND(NOT(ISBLANK(ReconciliationData[[#This Row],[End_Date]])),ReconciliationData[[#This Row],[Order_Date]]&gt;ReconciliationData[[#This Row],[End_Date]]),1,0)</f>
        <v>0</v>
      </c>
      <c r="U2879">
        <f>IF(AND(NOT(ISBLANK(ReconciliationData[[#This Row],[last_return_date]])),ReconciliationData[[#This Row],[last_return_date]]&gt;ReconciliationData[[#This Row],[Order_Date]]+60),1,0)</f>
        <v>0</v>
      </c>
      <c r="V2879">
        <f>IF(ReconciliationData[[#This Row],[total_returned_units]]&gt;ReconciliationData[[#This Row],[ordered_units]],1,0)</f>
        <v>0</v>
      </c>
      <c r="W28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79">
        <f>ReconciliationData[[#This Row],[Billed_Units]]*ReconciliationData[[#This Row],[Billed_Price]]</f>
        <v>44111.577599999997</v>
      </c>
      <c r="Y2879">
        <f>ReconciliationData[[#This Row],[ordered_units]]*ReconciliationData[[#This Row],[List_Price]]</f>
        <v>44111.577599999997</v>
      </c>
      <c r="Z2879">
        <f>ReconciliationData[[#This Row],[billed_revenue]]-ReconciliationData[[#This Row],[expected_revenue]]</f>
        <v>0</v>
      </c>
      <c r="AA28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79" t="str">
        <f>IF(ReconciliationData[[#This Row],[severity_score]]=0,"LOW",
 IF(ReconciliationData[[#This Row],[severity_score]]&lt;=5,"MEDIUM","HIGH"))</f>
        <v>LOW</v>
      </c>
      <c r="AC2879" t="str">
        <f>TEXT(ReconciliationData[[#This Row],[Order_Date]],"YYYY-MM")</f>
        <v>2024-04</v>
      </c>
    </row>
    <row r="2880" spans="1:29">
      <c r="A2880" t="s">
        <v>6970</v>
      </c>
      <c r="B2880" s="1">
        <v>45075</v>
      </c>
      <c r="C2880" t="s">
        <v>5631</v>
      </c>
      <c r="D2880" t="s">
        <v>287</v>
      </c>
      <c r="E2880">
        <v>104</v>
      </c>
      <c r="F2880" t="s">
        <v>6971</v>
      </c>
      <c r="G2880">
        <v>104</v>
      </c>
      <c r="H2880">
        <v>690.84160000000008</v>
      </c>
      <c r="N2880">
        <v>690.84160000000008</v>
      </c>
      <c r="O2880" s="1">
        <v>45051</v>
      </c>
      <c r="P2880">
        <f>IF(ISBLANK(ReconciliationData[[#This Row],[Invoice_ID]]),1,0)</f>
        <v>0</v>
      </c>
      <c r="Q2880">
        <f>IF(AND(NOT(ISBLANK(ReconciliationData[[#This Row],[Billed_Units]])),ReconciliationData[[#This Row],[ordered_units]]&lt;&gt;ReconciliationData[[#This Row],[Billed_Units]]),1,0)</f>
        <v>0</v>
      </c>
      <c r="R28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80">
        <f>IF(AND(NOT(ISBLANK(ReconciliationData[[#This Row],[Contract_Price]])),ReconciliationData[[#This Row],[Billed_Price]]&lt;&gt;ReconciliationData[[#This Row],[Contract_Price]]),1,0)</f>
        <v>0</v>
      </c>
      <c r="T2880">
        <f>IF(AND(NOT(ISBLANK(ReconciliationData[[#This Row],[End_Date]])),ReconciliationData[[#This Row],[Order_Date]]&gt;ReconciliationData[[#This Row],[End_Date]]),1,0)</f>
        <v>0</v>
      </c>
      <c r="U2880">
        <f>IF(AND(NOT(ISBLANK(ReconciliationData[[#This Row],[last_return_date]])),ReconciliationData[[#This Row],[last_return_date]]&gt;ReconciliationData[[#This Row],[Order_Date]]+60),1,0)</f>
        <v>0</v>
      </c>
      <c r="V2880">
        <f>IF(ReconciliationData[[#This Row],[total_returned_units]]&gt;ReconciliationData[[#This Row],[ordered_units]],1,0)</f>
        <v>0</v>
      </c>
      <c r="W28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80">
        <f>ReconciliationData[[#This Row],[Billed_Units]]*ReconciliationData[[#This Row],[Billed_Price]]</f>
        <v>71847.526400000002</v>
      </c>
      <c r="Y2880">
        <f>ReconciliationData[[#This Row],[ordered_units]]*ReconciliationData[[#This Row],[List_Price]]</f>
        <v>71847.526400000002</v>
      </c>
      <c r="Z2880">
        <f>ReconciliationData[[#This Row],[billed_revenue]]-ReconciliationData[[#This Row],[expected_revenue]]</f>
        <v>0</v>
      </c>
      <c r="AA28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80" t="str">
        <f>IF(ReconciliationData[[#This Row],[severity_score]]=0,"LOW",
 IF(ReconciliationData[[#This Row],[severity_score]]&lt;=5,"MEDIUM","HIGH"))</f>
        <v>LOW</v>
      </c>
      <c r="AC2880" t="str">
        <f>TEXT(ReconciliationData[[#This Row],[Order_Date]],"YYYY-MM")</f>
        <v>2023-05</v>
      </c>
    </row>
    <row r="2881" spans="1:29">
      <c r="A2881" t="s">
        <v>6972</v>
      </c>
      <c r="B2881" s="1">
        <v>44935</v>
      </c>
      <c r="C2881" t="s">
        <v>6962</v>
      </c>
      <c r="D2881" t="s">
        <v>825</v>
      </c>
      <c r="E2881">
        <v>166</v>
      </c>
      <c r="F2881" t="s">
        <v>6973</v>
      </c>
      <c r="G2881">
        <v>166</v>
      </c>
      <c r="H2881">
        <v>760.09</v>
      </c>
      <c r="N2881">
        <v>760.09</v>
      </c>
      <c r="O2881" s="1">
        <v>44776</v>
      </c>
      <c r="P2881">
        <f>IF(ISBLANK(ReconciliationData[[#This Row],[Invoice_ID]]),1,0)</f>
        <v>0</v>
      </c>
      <c r="Q2881">
        <f>IF(AND(NOT(ISBLANK(ReconciliationData[[#This Row],[Billed_Units]])),ReconciliationData[[#This Row],[ordered_units]]&lt;&gt;ReconciliationData[[#This Row],[Billed_Units]]),1,0)</f>
        <v>0</v>
      </c>
      <c r="R28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81">
        <f>IF(AND(NOT(ISBLANK(ReconciliationData[[#This Row],[Contract_Price]])),ReconciliationData[[#This Row],[Billed_Price]]&lt;&gt;ReconciliationData[[#This Row],[Contract_Price]]),1,0)</f>
        <v>0</v>
      </c>
      <c r="T2881">
        <f>IF(AND(NOT(ISBLANK(ReconciliationData[[#This Row],[End_Date]])),ReconciliationData[[#This Row],[Order_Date]]&gt;ReconciliationData[[#This Row],[End_Date]]),1,0)</f>
        <v>0</v>
      </c>
      <c r="U2881">
        <f>IF(AND(NOT(ISBLANK(ReconciliationData[[#This Row],[last_return_date]])),ReconciliationData[[#This Row],[last_return_date]]&gt;ReconciliationData[[#This Row],[Order_Date]]+60),1,0)</f>
        <v>0</v>
      </c>
      <c r="V2881">
        <f>IF(ReconciliationData[[#This Row],[total_returned_units]]&gt;ReconciliationData[[#This Row],[ordered_units]],1,0)</f>
        <v>0</v>
      </c>
      <c r="W28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81">
        <f>ReconciliationData[[#This Row],[Billed_Units]]*ReconciliationData[[#This Row],[Billed_Price]]</f>
        <v>126174.94</v>
      </c>
      <c r="Y2881">
        <f>ReconciliationData[[#This Row],[ordered_units]]*ReconciliationData[[#This Row],[List_Price]]</f>
        <v>126174.94</v>
      </c>
      <c r="Z2881">
        <f>ReconciliationData[[#This Row],[billed_revenue]]-ReconciliationData[[#This Row],[expected_revenue]]</f>
        <v>0</v>
      </c>
      <c r="AA28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81" t="str">
        <f>IF(ReconciliationData[[#This Row],[severity_score]]=0,"LOW",
 IF(ReconciliationData[[#This Row],[severity_score]]&lt;=5,"MEDIUM","HIGH"))</f>
        <v>LOW</v>
      </c>
      <c r="AC2881" t="str">
        <f>TEXT(ReconciliationData[[#This Row],[Order_Date]],"YYYY-MM")</f>
        <v>2023-01</v>
      </c>
    </row>
    <row r="2882" spans="1:29">
      <c r="A2882" t="s">
        <v>6974</v>
      </c>
      <c r="B2882" s="1">
        <v>45514</v>
      </c>
      <c r="C2882" t="s">
        <v>897</v>
      </c>
      <c r="D2882" t="s">
        <v>370</v>
      </c>
      <c r="E2882">
        <v>99</v>
      </c>
      <c r="F2882" t="s">
        <v>6975</v>
      </c>
      <c r="G2882">
        <v>99</v>
      </c>
      <c r="H2882">
        <v>639.91840000000002</v>
      </c>
      <c r="N2882">
        <v>639.91840000000002</v>
      </c>
      <c r="O2882" s="1">
        <v>44930</v>
      </c>
      <c r="P2882">
        <f>IF(ISBLANK(ReconciliationData[[#This Row],[Invoice_ID]]),1,0)</f>
        <v>0</v>
      </c>
      <c r="Q2882">
        <f>IF(AND(NOT(ISBLANK(ReconciliationData[[#This Row],[Billed_Units]])),ReconciliationData[[#This Row],[ordered_units]]&lt;&gt;ReconciliationData[[#This Row],[Billed_Units]]),1,0)</f>
        <v>0</v>
      </c>
      <c r="R28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82">
        <f>IF(AND(NOT(ISBLANK(ReconciliationData[[#This Row],[Contract_Price]])),ReconciliationData[[#This Row],[Billed_Price]]&lt;&gt;ReconciliationData[[#This Row],[Contract_Price]]),1,0)</f>
        <v>0</v>
      </c>
      <c r="T2882">
        <f>IF(AND(NOT(ISBLANK(ReconciliationData[[#This Row],[End_Date]])),ReconciliationData[[#This Row],[Order_Date]]&gt;ReconciliationData[[#This Row],[End_Date]]),1,0)</f>
        <v>0</v>
      </c>
      <c r="U2882">
        <f>IF(AND(NOT(ISBLANK(ReconciliationData[[#This Row],[last_return_date]])),ReconciliationData[[#This Row],[last_return_date]]&gt;ReconciliationData[[#This Row],[Order_Date]]+60),1,0)</f>
        <v>0</v>
      </c>
      <c r="V2882">
        <f>IF(ReconciliationData[[#This Row],[total_returned_units]]&gt;ReconciliationData[[#This Row],[ordered_units]],1,0)</f>
        <v>0</v>
      </c>
      <c r="W28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82">
        <f>ReconciliationData[[#This Row],[Billed_Units]]*ReconciliationData[[#This Row],[Billed_Price]]</f>
        <v>63351.921600000001</v>
      </c>
      <c r="Y2882">
        <f>ReconciliationData[[#This Row],[ordered_units]]*ReconciliationData[[#This Row],[List_Price]]</f>
        <v>63351.921600000001</v>
      </c>
      <c r="Z2882">
        <f>ReconciliationData[[#This Row],[billed_revenue]]-ReconciliationData[[#This Row],[expected_revenue]]</f>
        <v>0</v>
      </c>
      <c r="AA28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82" t="str">
        <f>IF(ReconciliationData[[#This Row],[severity_score]]=0,"LOW",
 IF(ReconciliationData[[#This Row],[severity_score]]&lt;=5,"MEDIUM","HIGH"))</f>
        <v>LOW</v>
      </c>
      <c r="AC2882" t="str">
        <f>TEXT(ReconciliationData[[#This Row],[Order_Date]],"YYYY-MM")</f>
        <v>2024-08</v>
      </c>
    </row>
    <row r="2883" spans="1:29">
      <c r="A2883" t="s">
        <v>6976</v>
      </c>
      <c r="B2883" s="1">
        <v>45406</v>
      </c>
      <c r="C2883" t="s">
        <v>2134</v>
      </c>
      <c r="D2883" t="s">
        <v>1571</v>
      </c>
      <c r="E2883">
        <v>58</v>
      </c>
      <c r="F2883" t="s">
        <v>6977</v>
      </c>
      <c r="G2883">
        <v>58</v>
      </c>
      <c r="H2883">
        <v>1226.9154000000001</v>
      </c>
      <c r="I2883">
        <v>4</v>
      </c>
      <c r="J2883" s="1">
        <v>45413</v>
      </c>
      <c r="N2883">
        <v>1226.9154000000001</v>
      </c>
      <c r="O2883" s="1">
        <v>45032</v>
      </c>
      <c r="P2883">
        <f>IF(ISBLANK(ReconciliationData[[#This Row],[Invoice_ID]]),1,0)</f>
        <v>0</v>
      </c>
      <c r="Q2883">
        <f>IF(AND(NOT(ISBLANK(ReconciliationData[[#This Row],[Billed_Units]])),ReconciliationData[[#This Row],[ordered_units]]&lt;&gt;ReconciliationData[[#This Row],[Billed_Units]]),1,0)</f>
        <v>0</v>
      </c>
      <c r="R28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83">
        <f>IF(AND(NOT(ISBLANK(ReconciliationData[[#This Row],[Contract_Price]])),ReconciliationData[[#This Row],[Billed_Price]]&lt;&gt;ReconciliationData[[#This Row],[Contract_Price]]),1,0)</f>
        <v>0</v>
      </c>
      <c r="T2883">
        <f>IF(AND(NOT(ISBLANK(ReconciliationData[[#This Row],[End_Date]])),ReconciliationData[[#This Row],[Order_Date]]&gt;ReconciliationData[[#This Row],[End_Date]]),1,0)</f>
        <v>0</v>
      </c>
      <c r="U2883">
        <f>IF(AND(NOT(ISBLANK(ReconciliationData[[#This Row],[last_return_date]])),ReconciliationData[[#This Row],[last_return_date]]&gt;ReconciliationData[[#This Row],[Order_Date]]+60),1,0)</f>
        <v>0</v>
      </c>
      <c r="V2883">
        <f>IF(ReconciliationData[[#This Row],[total_returned_units]]&gt;ReconciliationData[[#This Row],[ordered_units]],1,0)</f>
        <v>0</v>
      </c>
      <c r="W28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83">
        <f>ReconciliationData[[#This Row],[Billed_Units]]*ReconciliationData[[#This Row],[Billed_Price]]</f>
        <v>71161.093200000003</v>
      </c>
      <c r="Y2883">
        <f>ReconciliationData[[#This Row],[ordered_units]]*ReconciliationData[[#This Row],[List_Price]]</f>
        <v>71161.093200000003</v>
      </c>
      <c r="Z2883">
        <f>ReconciliationData[[#This Row],[billed_revenue]]-ReconciliationData[[#This Row],[expected_revenue]]</f>
        <v>0</v>
      </c>
      <c r="AA28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83" t="str">
        <f>IF(ReconciliationData[[#This Row],[severity_score]]=0,"LOW",
 IF(ReconciliationData[[#This Row],[severity_score]]&lt;=5,"MEDIUM","HIGH"))</f>
        <v>LOW</v>
      </c>
      <c r="AC2883" t="str">
        <f>TEXT(ReconciliationData[[#This Row],[Order_Date]],"YYYY-MM")</f>
        <v>2024-04</v>
      </c>
    </row>
    <row r="2884" spans="1:29">
      <c r="A2884" t="s">
        <v>6978</v>
      </c>
      <c r="B2884" s="1">
        <v>45394</v>
      </c>
      <c r="C2884" t="s">
        <v>4282</v>
      </c>
      <c r="D2884" t="s">
        <v>747</v>
      </c>
      <c r="E2884">
        <v>127</v>
      </c>
      <c r="F2884" t="s">
        <v>6979</v>
      </c>
      <c r="G2884">
        <v>127</v>
      </c>
      <c r="H2884">
        <v>58.98</v>
      </c>
      <c r="N2884">
        <v>58.98</v>
      </c>
      <c r="O2884" s="1">
        <v>44934</v>
      </c>
      <c r="P2884">
        <f>IF(ISBLANK(ReconciliationData[[#This Row],[Invoice_ID]]),1,0)</f>
        <v>0</v>
      </c>
      <c r="Q2884">
        <f>IF(AND(NOT(ISBLANK(ReconciliationData[[#This Row],[Billed_Units]])),ReconciliationData[[#This Row],[ordered_units]]&lt;&gt;ReconciliationData[[#This Row],[Billed_Units]]),1,0)</f>
        <v>0</v>
      </c>
      <c r="R28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84">
        <f>IF(AND(NOT(ISBLANK(ReconciliationData[[#This Row],[Contract_Price]])),ReconciliationData[[#This Row],[Billed_Price]]&lt;&gt;ReconciliationData[[#This Row],[Contract_Price]]),1,0)</f>
        <v>0</v>
      </c>
      <c r="T2884">
        <f>IF(AND(NOT(ISBLANK(ReconciliationData[[#This Row],[End_Date]])),ReconciliationData[[#This Row],[Order_Date]]&gt;ReconciliationData[[#This Row],[End_Date]]),1,0)</f>
        <v>0</v>
      </c>
      <c r="U2884">
        <f>IF(AND(NOT(ISBLANK(ReconciliationData[[#This Row],[last_return_date]])),ReconciliationData[[#This Row],[last_return_date]]&gt;ReconciliationData[[#This Row],[Order_Date]]+60),1,0)</f>
        <v>0</v>
      </c>
      <c r="V2884">
        <f>IF(ReconciliationData[[#This Row],[total_returned_units]]&gt;ReconciliationData[[#This Row],[ordered_units]],1,0)</f>
        <v>0</v>
      </c>
      <c r="W28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84">
        <f>ReconciliationData[[#This Row],[Billed_Units]]*ReconciliationData[[#This Row],[Billed_Price]]</f>
        <v>7490.46</v>
      </c>
      <c r="Y2884">
        <f>ReconciliationData[[#This Row],[ordered_units]]*ReconciliationData[[#This Row],[List_Price]]</f>
        <v>7490.46</v>
      </c>
      <c r="Z2884">
        <f>ReconciliationData[[#This Row],[billed_revenue]]-ReconciliationData[[#This Row],[expected_revenue]]</f>
        <v>0</v>
      </c>
      <c r="AA28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84" t="str">
        <f>IF(ReconciliationData[[#This Row],[severity_score]]=0,"LOW",
 IF(ReconciliationData[[#This Row],[severity_score]]&lt;=5,"MEDIUM","HIGH"))</f>
        <v>LOW</v>
      </c>
      <c r="AC2884" t="str">
        <f>TEXT(ReconciliationData[[#This Row],[Order_Date]],"YYYY-MM")</f>
        <v>2024-04</v>
      </c>
    </row>
    <row r="2885" spans="1:29">
      <c r="A2885" t="s">
        <v>6980</v>
      </c>
      <c r="B2885" s="1">
        <v>45433</v>
      </c>
      <c r="C2885" t="s">
        <v>6545</v>
      </c>
      <c r="D2885" t="s">
        <v>1706</v>
      </c>
      <c r="E2885">
        <v>199</v>
      </c>
      <c r="F2885" t="s">
        <v>6981</v>
      </c>
      <c r="G2885">
        <v>199</v>
      </c>
      <c r="H2885">
        <v>854.74350000000004</v>
      </c>
      <c r="N2885">
        <v>854.74350000000004</v>
      </c>
      <c r="O2885" s="1">
        <v>44984</v>
      </c>
      <c r="P2885">
        <f>IF(ISBLANK(ReconciliationData[[#This Row],[Invoice_ID]]),1,0)</f>
        <v>0</v>
      </c>
      <c r="Q2885">
        <f>IF(AND(NOT(ISBLANK(ReconciliationData[[#This Row],[Billed_Units]])),ReconciliationData[[#This Row],[ordered_units]]&lt;&gt;ReconciliationData[[#This Row],[Billed_Units]]),1,0)</f>
        <v>0</v>
      </c>
      <c r="R28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85">
        <f>IF(AND(NOT(ISBLANK(ReconciliationData[[#This Row],[Contract_Price]])),ReconciliationData[[#This Row],[Billed_Price]]&lt;&gt;ReconciliationData[[#This Row],[Contract_Price]]),1,0)</f>
        <v>0</v>
      </c>
      <c r="T2885">
        <f>IF(AND(NOT(ISBLANK(ReconciliationData[[#This Row],[End_Date]])),ReconciliationData[[#This Row],[Order_Date]]&gt;ReconciliationData[[#This Row],[End_Date]]),1,0)</f>
        <v>0</v>
      </c>
      <c r="U2885">
        <f>IF(AND(NOT(ISBLANK(ReconciliationData[[#This Row],[last_return_date]])),ReconciliationData[[#This Row],[last_return_date]]&gt;ReconciliationData[[#This Row],[Order_Date]]+60),1,0)</f>
        <v>0</v>
      </c>
      <c r="V2885">
        <f>IF(ReconciliationData[[#This Row],[total_returned_units]]&gt;ReconciliationData[[#This Row],[ordered_units]],1,0)</f>
        <v>0</v>
      </c>
      <c r="W28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85">
        <f>ReconciliationData[[#This Row],[Billed_Units]]*ReconciliationData[[#This Row],[Billed_Price]]</f>
        <v>170093.9565</v>
      </c>
      <c r="Y2885">
        <f>ReconciliationData[[#This Row],[ordered_units]]*ReconciliationData[[#This Row],[List_Price]]</f>
        <v>170093.9565</v>
      </c>
      <c r="Z2885">
        <f>ReconciliationData[[#This Row],[billed_revenue]]-ReconciliationData[[#This Row],[expected_revenue]]</f>
        <v>0</v>
      </c>
      <c r="AA28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85" t="str">
        <f>IF(ReconciliationData[[#This Row],[severity_score]]=0,"LOW",
 IF(ReconciliationData[[#This Row],[severity_score]]&lt;=5,"MEDIUM","HIGH"))</f>
        <v>LOW</v>
      </c>
      <c r="AC2885" t="str">
        <f>TEXT(ReconciliationData[[#This Row],[Order_Date]],"YYYY-MM")</f>
        <v>2024-05</v>
      </c>
    </row>
    <row r="2886" spans="1:29">
      <c r="A2886" t="s">
        <v>6982</v>
      </c>
      <c r="B2886" s="1">
        <v>45474</v>
      </c>
      <c r="C2886" t="s">
        <v>547</v>
      </c>
      <c r="D2886" t="s">
        <v>146</v>
      </c>
      <c r="E2886">
        <v>19</v>
      </c>
      <c r="F2886" t="s">
        <v>6983</v>
      </c>
      <c r="G2886">
        <v>19</v>
      </c>
      <c r="H2886">
        <v>849.43949999999995</v>
      </c>
      <c r="N2886">
        <v>849.43949999999995</v>
      </c>
      <c r="O2886" s="1">
        <v>45114</v>
      </c>
      <c r="P2886">
        <f>IF(ISBLANK(ReconciliationData[[#This Row],[Invoice_ID]]),1,0)</f>
        <v>0</v>
      </c>
      <c r="Q2886">
        <f>IF(AND(NOT(ISBLANK(ReconciliationData[[#This Row],[Billed_Units]])),ReconciliationData[[#This Row],[ordered_units]]&lt;&gt;ReconciliationData[[#This Row],[Billed_Units]]),1,0)</f>
        <v>0</v>
      </c>
      <c r="R28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86">
        <f>IF(AND(NOT(ISBLANK(ReconciliationData[[#This Row],[Contract_Price]])),ReconciliationData[[#This Row],[Billed_Price]]&lt;&gt;ReconciliationData[[#This Row],[Contract_Price]]),1,0)</f>
        <v>0</v>
      </c>
      <c r="T2886">
        <f>IF(AND(NOT(ISBLANK(ReconciliationData[[#This Row],[End_Date]])),ReconciliationData[[#This Row],[Order_Date]]&gt;ReconciliationData[[#This Row],[End_Date]]),1,0)</f>
        <v>0</v>
      </c>
      <c r="U2886">
        <f>IF(AND(NOT(ISBLANK(ReconciliationData[[#This Row],[last_return_date]])),ReconciliationData[[#This Row],[last_return_date]]&gt;ReconciliationData[[#This Row],[Order_Date]]+60),1,0)</f>
        <v>0</v>
      </c>
      <c r="V2886">
        <f>IF(ReconciliationData[[#This Row],[total_returned_units]]&gt;ReconciliationData[[#This Row],[ordered_units]],1,0)</f>
        <v>0</v>
      </c>
      <c r="W28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86">
        <f>ReconciliationData[[#This Row],[Billed_Units]]*ReconciliationData[[#This Row],[Billed_Price]]</f>
        <v>16139.350499999999</v>
      </c>
      <c r="Y2886">
        <f>ReconciliationData[[#This Row],[ordered_units]]*ReconciliationData[[#This Row],[List_Price]]</f>
        <v>16139.350499999999</v>
      </c>
      <c r="Z2886">
        <f>ReconciliationData[[#This Row],[billed_revenue]]-ReconciliationData[[#This Row],[expected_revenue]]</f>
        <v>0</v>
      </c>
      <c r="AA28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86" t="str">
        <f>IF(ReconciliationData[[#This Row],[severity_score]]=0,"LOW",
 IF(ReconciliationData[[#This Row],[severity_score]]&lt;=5,"MEDIUM","HIGH"))</f>
        <v>LOW</v>
      </c>
      <c r="AC2886" t="str">
        <f>TEXT(ReconciliationData[[#This Row],[Order_Date]],"YYYY-MM")</f>
        <v>2024-07</v>
      </c>
    </row>
    <row r="2887" spans="1:29">
      <c r="A2887" t="s">
        <v>6984</v>
      </c>
      <c r="B2887" s="1">
        <v>45190</v>
      </c>
      <c r="C2887" t="s">
        <v>1318</v>
      </c>
      <c r="D2887" t="s">
        <v>1502</v>
      </c>
      <c r="E2887">
        <v>189</v>
      </c>
      <c r="F2887" t="s">
        <v>6985</v>
      </c>
      <c r="G2887">
        <v>189</v>
      </c>
      <c r="H2887">
        <v>307.97520000000003</v>
      </c>
      <c r="N2887">
        <v>307.97520000000003</v>
      </c>
      <c r="O2887" s="1">
        <v>45029</v>
      </c>
      <c r="P2887">
        <f>IF(ISBLANK(ReconciliationData[[#This Row],[Invoice_ID]]),1,0)</f>
        <v>0</v>
      </c>
      <c r="Q2887">
        <f>IF(AND(NOT(ISBLANK(ReconciliationData[[#This Row],[Billed_Units]])),ReconciliationData[[#This Row],[ordered_units]]&lt;&gt;ReconciliationData[[#This Row],[Billed_Units]]),1,0)</f>
        <v>0</v>
      </c>
      <c r="R28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87">
        <f>IF(AND(NOT(ISBLANK(ReconciliationData[[#This Row],[Contract_Price]])),ReconciliationData[[#This Row],[Billed_Price]]&lt;&gt;ReconciliationData[[#This Row],[Contract_Price]]),1,0)</f>
        <v>0</v>
      </c>
      <c r="T2887">
        <f>IF(AND(NOT(ISBLANK(ReconciliationData[[#This Row],[End_Date]])),ReconciliationData[[#This Row],[Order_Date]]&gt;ReconciliationData[[#This Row],[End_Date]]),1,0)</f>
        <v>0</v>
      </c>
      <c r="U2887">
        <f>IF(AND(NOT(ISBLANK(ReconciliationData[[#This Row],[last_return_date]])),ReconciliationData[[#This Row],[last_return_date]]&gt;ReconciliationData[[#This Row],[Order_Date]]+60),1,0)</f>
        <v>0</v>
      </c>
      <c r="V2887">
        <f>IF(ReconciliationData[[#This Row],[total_returned_units]]&gt;ReconciliationData[[#This Row],[ordered_units]],1,0)</f>
        <v>0</v>
      </c>
      <c r="W28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87">
        <f>ReconciliationData[[#This Row],[Billed_Units]]*ReconciliationData[[#This Row],[Billed_Price]]</f>
        <v>58207.312800000007</v>
      </c>
      <c r="Y2887">
        <f>ReconciliationData[[#This Row],[ordered_units]]*ReconciliationData[[#This Row],[List_Price]]</f>
        <v>58207.312800000007</v>
      </c>
      <c r="Z2887">
        <f>ReconciliationData[[#This Row],[billed_revenue]]-ReconciliationData[[#This Row],[expected_revenue]]</f>
        <v>0</v>
      </c>
      <c r="AA28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87" t="str">
        <f>IF(ReconciliationData[[#This Row],[severity_score]]=0,"LOW",
 IF(ReconciliationData[[#This Row],[severity_score]]&lt;=5,"MEDIUM","HIGH"))</f>
        <v>LOW</v>
      </c>
      <c r="AC2887" t="str">
        <f>TEXT(ReconciliationData[[#This Row],[Order_Date]],"YYYY-MM")</f>
        <v>2023-09</v>
      </c>
    </row>
    <row r="2888" spans="1:29">
      <c r="A2888" t="s">
        <v>6986</v>
      </c>
      <c r="B2888" s="1">
        <v>45574</v>
      </c>
      <c r="C2888" t="s">
        <v>4914</v>
      </c>
      <c r="D2888" t="s">
        <v>1146</v>
      </c>
      <c r="E2888">
        <v>72</v>
      </c>
      <c r="F2888" t="s">
        <v>6987</v>
      </c>
      <c r="G2888">
        <v>72</v>
      </c>
      <c r="H2888">
        <v>427.43</v>
      </c>
      <c r="N2888">
        <v>427.43</v>
      </c>
      <c r="O2888" s="1">
        <v>45054</v>
      </c>
      <c r="P2888">
        <f>IF(ISBLANK(ReconciliationData[[#This Row],[Invoice_ID]]),1,0)</f>
        <v>0</v>
      </c>
      <c r="Q2888">
        <f>IF(AND(NOT(ISBLANK(ReconciliationData[[#This Row],[Billed_Units]])),ReconciliationData[[#This Row],[ordered_units]]&lt;&gt;ReconciliationData[[#This Row],[Billed_Units]]),1,0)</f>
        <v>0</v>
      </c>
      <c r="R28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88">
        <f>IF(AND(NOT(ISBLANK(ReconciliationData[[#This Row],[Contract_Price]])),ReconciliationData[[#This Row],[Billed_Price]]&lt;&gt;ReconciliationData[[#This Row],[Contract_Price]]),1,0)</f>
        <v>0</v>
      </c>
      <c r="T2888">
        <f>IF(AND(NOT(ISBLANK(ReconciliationData[[#This Row],[End_Date]])),ReconciliationData[[#This Row],[Order_Date]]&gt;ReconciliationData[[#This Row],[End_Date]]),1,0)</f>
        <v>0</v>
      </c>
      <c r="U2888">
        <f>IF(AND(NOT(ISBLANK(ReconciliationData[[#This Row],[last_return_date]])),ReconciliationData[[#This Row],[last_return_date]]&gt;ReconciliationData[[#This Row],[Order_Date]]+60),1,0)</f>
        <v>0</v>
      </c>
      <c r="V2888">
        <f>IF(ReconciliationData[[#This Row],[total_returned_units]]&gt;ReconciliationData[[#This Row],[ordered_units]],1,0)</f>
        <v>0</v>
      </c>
      <c r="W28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88">
        <f>ReconciliationData[[#This Row],[Billed_Units]]*ReconciliationData[[#This Row],[Billed_Price]]</f>
        <v>30774.959999999999</v>
      </c>
      <c r="Y2888">
        <f>ReconciliationData[[#This Row],[ordered_units]]*ReconciliationData[[#This Row],[List_Price]]</f>
        <v>30774.959999999999</v>
      </c>
      <c r="Z2888">
        <f>ReconciliationData[[#This Row],[billed_revenue]]-ReconciliationData[[#This Row],[expected_revenue]]</f>
        <v>0</v>
      </c>
      <c r="AA28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88" t="str">
        <f>IF(ReconciliationData[[#This Row],[severity_score]]=0,"LOW",
 IF(ReconciliationData[[#This Row],[severity_score]]&lt;=5,"MEDIUM","HIGH"))</f>
        <v>LOW</v>
      </c>
      <c r="AC2888" t="str">
        <f>TEXT(ReconciliationData[[#This Row],[Order_Date]],"YYYY-MM")</f>
        <v>2024-10</v>
      </c>
    </row>
    <row r="2889" spans="1:29">
      <c r="A2889" t="s">
        <v>6988</v>
      </c>
      <c r="B2889" s="1">
        <v>45271</v>
      </c>
      <c r="C2889" t="s">
        <v>521</v>
      </c>
      <c r="D2889" t="s">
        <v>1396</v>
      </c>
      <c r="E2889">
        <v>175</v>
      </c>
      <c r="F2889" t="s">
        <v>6989</v>
      </c>
      <c r="G2889">
        <v>175</v>
      </c>
      <c r="H2889">
        <v>880.66300000000001</v>
      </c>
      <c r="N2889">
        <v>880.66300000000001</v>
      </c>
      <c r="O2889" s="1">
        <v>44966</v>
      </c>
      <c r="P2889">
        <f>IF(ISBLANK(ReconciliationData[[#This Row],[Invoice_ID]]),1,0)</f>
        <v>0</v>
      </c>
      <c r="Q2889">
        <f>IF(AND(NOT(ISBLANK(ReconciliationData[[#This Row],[Billed_Units]])),ReconciliationData[[#This Row],[ordered_units]]&lt;&gt;ReconciliationData[[#This Row],[Billed_Units]]),1,0)</f>
        <v>0</v>
      </c>
      <c r="R28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89">
        <f>IF(AND(NOT(ISBLANK(ReconciliationData[[#This Row],[Contract_Price]])),ReconciliationData[[#This Row],[Billed_Price]]&lt;&gt;ReconciliationData[[#This Row],[Contract_Price]]),1,0)</f>
        <v>0</v>
      </c>
      <c r="T2889">
        <f>IF(AND(NOT(ISBLANK(ReconciliationData[[#This Row],[End_Date]])),ReconciliationData[[#This Row],[Order_Date]]&gt;ReconciliationData[[#This Row],[End_Date]]),1,0)</f>
        <v>0</v>
      </c>
      <c r="U2889">
        <f>IF(AND(NOT(ISBLANK(ReconciliationData[[#This Row],[last_return_date]])),ReconciliationData[[#This Row],[last_return_date]]&gt;ReconciliationData[[#This Row],[Order_Date]]+60),1,0)</f>
        <v>0</v>
      </c>
      <c r="V2889">
        <f>IF(ReconciliationData[[#This Row],[total_returned_units]]&gt;ReconciliationData[[#This Row],[ordered_units]],1,0)</f>
        <v>0</v>
      </c>
      <c r="W28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89">
        <f>ReconciliationData[[#This Row],[Billed_Units]]*ReconciliationData[[#This Row],[Billed_Price]]</f>
        <v>154116.02499999999</v>
      </c>
      <c r="Y2889">
        <f>ReconciliationData[[#This Row],[ordered_units]]*ReconciliationData[[#This Row],[List_Price]]</f>
        <v>154116.02499999999</v>
      </c>
      <c r="Z2889">
        <f>ReconciliationData[[#This Row],[billed_revenue]]-ReconciliationData[[#This Row],[expected_revenue]]</f>
        <v>0</v>
      </c>
      <c r="AA28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89" t="str">
        <f>IF(ReconciliationData[[#This Row],[severity_score]]=0,"LOW",
 IF(ReconciliationData[[#This Row],[severity_score]]&lt;=5,"MEDIUM","HIGH"))</f>
        <v>LOW</v>
      </c>
      <c r="AC2889" t="str">
        <f>TEXT(ReconciliationData[[#This Row],[Order_Date]],"YYYY-MM")</f>
        <v>2023-12</v>
      </c>
    </row>
    <row r="2890" spans="1:29">
      <c r="A2890" t="s">
        <v>6990</v>
      </c>
      <c r="B2890" s="1">
        <v>45529</v>
      </c>
      <c r="C2890" t="s">
        <v>2242</v>
      </c>
      <c r="D2890" t="s">
        <v>1812</v>
      </c>
      <c r="E2890">
        <v>68</v>
      </c>
      <c r="F2890" t="s">
        <v>6991</v>
      </c>
      <c r="G2890">
        <v>68</v>
      </c>
      <c r="H2890">
        <v>226.88399999999999</v>
      </c>
      <c r="N2890">
        <v>226.88399999999999</v>
      </c>
      <c r="O2890" s="1">
        <v>45086</v>
      </c>
      <c r="P2890">
        <f>IF(ISBLANK(ReconciliationData[[#This Row],[Invoice_ID]]),1,0)</f>
        <v>0</v>
      </c>
      <c r="Q2890">
        <f>IF(AND(NOT(ISBLANK(ReconciliationData[[#This Row],[Billed_Units]])),ReconciliationData[[#This Row],[ordered_units]]&lt;&gt;ReconciliationData[[#This Row],[Billed_Units]]),1,0)</f>
        <v>0</v>
      </c>
      <c r="R28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0">
        <f>IF(AND(NOT(ISBLANK(ReconciliationData[[#This Row],[Contract_Price]])),ReconciliationData[[#This Row],[Billed_Price]]&lt;&gt;ReconciliationData[[#This Row],[Contract_Price]]),1,0)</f>
        <v>0</v>
      </c>
      <c r="T2890">
        <f>IF(AND(NOT(ISBLANK(ReconciliationData[[#This Row],[End_Date]])),ReconciliationData[[#This Row],[Order_Date]]&gt;ReconciliationData[[#This Row],[End_Date]]),1,0)</f>
        <v>0</v>
      </c>
      <c r="U2890">
        <f>IF(AND(NOT(ISBLANK(ReconciliationData[[#This Row],[last_return_date]])),ReconciliationData[[#This Row],[last_return_date]]&gt;ReconciliationData[[#This Row],[Order_Date]]+60),1,0)</f>
        <v>0</v>
      </c>
      <c r="V2890">
        <f>IF(ReconciliationData[[#This Row],[total_returned_units]]&gt;ReconciliationData[[#This Row],[ordered_units]],1,0)</f>
        <v>0</v>
      </c>
      <c r="W28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90">
        <f>ReconciliationData[[#This Row],[Billed_Units]]*ReconciliationData[[#This Row],[Billed_Price]]</f>
        <v>15428.111999999999</v>
      </c>
      <c r="Y2890">
        <f>ReconciliationData[[#This Row],[ordered_units]]*ReconciliationData[[#This Row],[List_Price]]</f>
        <v>15428.111999999999</v>
      </c>
      <c r="Z2890">
        <f>ReconciliationData[[#This Row],[billed_revenue]]-ReconciliationData[[#This Row],[expected_revenue]]</f>
        <v>0</v>
      </c>
      <c r="AA28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90" t="str">
        <f>IF(ReconciliationData[[#This Row],[severity_score]]=0,"LOW",
 IF(ReconciliationData[[#This Row],[severity_score]]&lt;=5,"MEDIUM","HIGH"))</f>
        <v>LOW</v>
      </c>
      <c r="AC2890" t="str">
        <f>TEXT(ReconciliationData[[#This Row],[Order_Date]],"YYYY-MM")</f>
        <v>2024-08</v>
      </c>
    </row>
    <row r="2891" spans="1:29">
      <c r="A2891" t="s">
        <v>6992</v>
      </c>
      <c r="B2891" s="1">
        <v>45518</v>
      </c>
      <c r="C2891" t="s">
        <v>219</v>
      </c>
      <c r="D2891" t="s">
        <v>1057</v>
      </c>
      <c r="E2891">
        <v>120</v>
      </c>
      <c r="F2891" t="s">
        <v>6993</v>
      </c>
      <c r="G2891">
        <v>120</v>
      </c>
      <c r="H2891">
        <v>212.07900000000001</v>
      </c>
      <c r="N2891">
        <v>212.07900000000001</v>
      </c>
      <c r="O2891" s="1">
        <v>45057</v>
      </c>
      <c r="P2891">
        <f>IF(ISBLANK(ReconciliationData[[#This Row],[Invoice_ID]]),1,0)</f>
        <v>0</v>
      </c>
      <c r="Q2891">
        <f>IF(AND(NOT(ISBLANK(ReconciliationData[[#This Row],[Billed_Units]])),ReconciliationData[[#This Row],[ordered_units]]&lt;&gt;ReconciliationData[[#This Row],[Billed_Units]]),1,0)</f>
        <v>0</v>
      </c>
      <c r="R28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1">
        <f>IF(AND(NOT(ISBLANK(ReconciliationData[[#This Row],[Contract_Price]])),ReconciliationData[[#This Row],[Billed_Price]]&lt;&gt;ReconciliationData[[#This Row],[Contract_Price]]),1,0)</f>
        <v>0</v>
      </c>
      <c r="T2891">
        <f>IF(AND(NOT(ISBLANK(ReconciliationData[[#This Row],[End_Date]])),ReconciliationData[[#This Row],[Order_Date]]&gt;ReconciliationData[[#This Row],[End_Date]]),1,0)</f>
        <v>0</v>
      </c>
      <c r="U2891">
        <f>IF(AND(NOT(ISBLANK(ReconciliationData[[#This Row],[last_return_date]])),ReconciliationData[[#This Row],[last_return_date]]&gt;ReconciliationData[[#This Row],[Order_Date]]+60),1,0)</f>
        <v>0</v>
      </c>
      <c r="V2891">
        <f>IF(ReconciliationData[[#This Row],[total_returned_units]]&gt;ReconciliationData[[#This Row],[ordered_units]],1,0)</f>
        <v>0</v>
      </c>
      <c r="W28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91">
        <f>ReconciliationData[[#This Row],[Billed_Units]]*ReconciliationData[[#This Row],[Billed_Price]]</f>
        <v>25449.48</v>
      </c>
      <c r="Y2891">
        <f>ReconciliationData[[#This Row],[ordered_units]]*ReconciliationData[[#This Row],[List_Price]]</f>
        <v>25449.48</v>
      </c>
      <c r="Z2891">
        <f>ReconciliationData[[#This Row],[billed_revenue]]-ReconciliationData[[#This Row],[expected_revenue]]</f>
        <v>0</v>
      </c>
      <c r="AA28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91" t="str">
        <f>IF(ReconciliationData[[#This Row],[severity_score]]=0,"LOW",
 IF(ReconciliationData[[#This Row],[severity_score]]&lt;=5,"MEDIUM","HIGH"))</f>
        <v>LOW</v>
      </c>
      <c r="AC2891" t="str">
        <f>TEXT(ReconciliationData[[#This Row],[Order_Date]],"YYYY-MM")</f>
        <v>2024-08</v>
      </c>
    </row>
    <row r="2892" spans="1:29">
      <c r="A2892" t="s">
        <v>6994</v>
      </c>
      <c r="B2892" s="1">
        <v>45306</v>
      </c>
      <c r="C2892" t="s">
        <v>627</v>
      </c>
      <c r="D2892" t="s">
        <v>548</v>
      </c>
      <c r="E2892">
        <v>19</v>
      </c>
      <c r="F2892" t="s">
        <v>6995</v>
      </c>
      <c r="G2892">
        <v>19</v>
      </c>
      <c r="H2892">
        <v>1072.1079000000002</v>
      </c>
      <c r="N2892">
        <v>1072.1079000000002</v>
      </c>
      <c r="O2892" s="1">
        <v>45035</v>
      </c>
      <c r="P2892">
        <f>IF(ISBLANK(ReconciliationData[[#This Row],[Invoice_ID]]),1,0)</f>
        <v>0</v>
      </c>
      <c r="Q2892">
        <f>IF(AND(NOT(ISBLANK(ReconciliationData[[#This Row],[Billed_Units]])),ReconciliationData[[#This Row],[ordered_units]]&lt;&gt;ReconciliationData[[#This Row],[Billed_Units]]),1,0)</f>
        <v>0</v>
      </c>
      <c r="R28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2">
        <f>IF(AND(NOT(ISBLANK(ReconciliationData[[#This Row],[Contract_Price]])),ReconciliationData[[#This Row],[Billed_Price]]&lt;&gt;ReconciliationData[[#This Row],[Contract_Price]]),1,0)</f>
        <v>0</v>
      </c>
      <c r="T2892">
        <f>IF(AND(NOT(ISBLANK(ReconciliationData[[#This Row],[End_Date]])),ReconciliationData[[#This Row],[Order_Date]]&gt;ReconciliationData[[#This Row],[End_Date]]),1,0)</f>
        <v>0</v>
      </c>
      <c r="U2892">
        <f>IF(AND(NOT(ISBLANK(ReconciliationData[[#This Row],[last_return_date]])),ReconciliationData[[#This Row],[last_return_date]]&gt;ReconciliationData[[#This Row],[Order_Date]]+60),1,0)</f>
        <v>0</v>
      </c>
      <c r="V2892">
        <f>IF(ReconciliationData[[#This Row],[total_returned_units]]&gt;ReconciliationData[[#This Row],[ordered_units]],1,0)</f>
        <v>0</v>
      </c>
      <c r="W28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92">
        <f>ReconciliationData[[#This Row],[Billed_Units]]*ReconciliationData[[#This Row],[Billed_Price]]</f>
        <v>20370.050100000004</v>
      </c>
      <c r="Y2892">
        <f>ReconciliationData[[#This Row],[ordered_units]]*ReconciliationData[[#This Row],[List_Price]]</f>
        <v>20370.050100000004</v>
      </c>
      <c r="Z2892">
        <f>ReconciliationData[[#This Row],[billed_revenue]]-ReconciliationData[[#This Row],[expected_revenue]]</f>
        <v>0</v>
      </c>
      <c r="AA28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92" t="str">
        <f>IF(ReconciliationData[[#This Row],[severity_score]]=0,"LOW",
 IF(ReconciliationData[[#This Row],[severity_score]]&lt;=5,"MEDIUM","HIGH"))</f>
        <v>LOW</v>
      </c>
      <c r="AC2892" t="str">
        <f>TEXT(ReconciliationData[[#This Row],[Order_Date]],"YYYY-MM")</f>
        <v>2024-01</v>
      </c>
    </row>
    <row r="2893" spans="1:29">
      <c r="A2893" t="s">
        <v>6996</v>
      </c>
      <c r="B2893" s="1">
        <v>45489</v>
      </c>
      <c r="C2893" t="s">
        <v>4436</v>
      </c>
      <c r="D2893" t="s">
        <v>722</v>
      </c>
      <c r="E2893">
        <v>148</v>
      </c>
      <c r="F2893" t="s">
        <v>6997</v>
      </c>
      <c r="G2893">
        <v>148</v>
      </c>
      <c r="H2893">
        <v>343.34190000000001</v>
      </c>
      <c r="N2893">
        <v>343.34190000000001</v>
      </c>
      <c r="O2893" s="1">
        <v>45126</v>
      </c>
      <c r="P2893">
        <f>IF(ISBLANK(ReconciliationData[[#This Row],[Invoice_ID]]),1,0)</f>
        <v>0</v>
      </c>
      <c r="Q2893">
        <f>IF(AND(NOT(ISBLANK(ReconciliationData[[#This Row],[Billed_Units]])),ReconciliationData[[#This Row],[ordered_units]]&lt;&gt;ReconciliationData[[#This Row],[Billed_Units]]),1,0)</f>
        <v>0</v>
      </c>
      <c r="R28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3">
        <f>IF(AND(NOT(ISBLANK(ReconciliationData[[#This Row],[Contract_Price]])),ReconciliationData[[#This Row],[Billed_Price]]&lt;&gt;ReconciliationData[[#This Row],[Contract_Price]]),1,0)</f>
        <v>0</v>
      </c>
      <c r="T2893">
        <f>IF(AND(NOT(ISBLANK(ReconciliationData[[#This Row],[End_Date]])),ReconciliationData[[#This Row],[Order_Date]]&gt;ReconciliationData[[#This Row],[End_Date]]),1,0)</f>
        <v>0</v>
      </c>
      <c r="U2893">
        <f>IF(AND(NOT(ISBLANK(ReconciliationData[[#This Row],[last_return_date]])),ReconciliationData[[#This Row],[last_return_date]]&gt;ReconciliationData[[#This Row],[Order_Date]]+60),1,0)</f>
        <v>0</v>
      </c>
      <c r="V2893">
        <f>IF(ReconciliationData[[#This Row],[total_returned_units]]&gt;ReconciliationData[[#This Row],[ordered_units]],1,0)</f>
        <v>0</v>
      </c>
      <c r="W28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93">
        <f>ReconciliationData[[#This Row],[Billed_Units]]*ReconciliationData[[#This Row],[Billed_Price]]</f>
        <v>50814.601200000005</v>
      </c>
      <c r="Y2893">
        <f>ReconciliationData[[#This Row],[ordered_units]]*ReconciliationData[[#This Row],[List_Price]]</f>
        <v>50814.601200000005</v>
      </c>
      <c r="Z2893">
        <f>ReconciliationData[[#This Row],[billed_revenue]]-ReconciliationData[[#This Row],[expected_revenue]]</f>
        <v>0</v>
      </c>
      <c r="AA28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93" t="str">
        <f>IF(ReconciliationData[[#This Row],[severity_score]]=0,"LOW",
 IF(ReconciliationData[[#This Row],[severity_score]]&lt;=5,"MEDIUM","HIGH"))</f>
        <v>LOW</v>
      </c>
      <c r="AC2893" t="str">
        <f>TEXT(ReconciliationData[[#This Row],[Order_Date]],"YYYY-MM")</f>
        <v>2024-07</v>
      </c>
    </row>
    <row r="2894" spans="1:29">
      <c r="A2894" t="s">
        <v>6998</v>
      </c>
      <c r="B2894" s="1">
        <v>45336</v>
      </c>
      <c r="C2894" t="s">
        <v>2375</v>
      </c>
      <c r="D2894" t="s">
        <v>639</v>
      </c>
      <c r="E2894">
        <v>54</v>
      </c>
      <c r="F2894" t="s">
        <v>6999</v>
      </c>
      <c r="G2894">
        <v>54</v>
      </c>
      <c r="H2894">
        <v>945.38850000000002</v>
      </c>
      <c r="N2894">
        <v>945.38850000000002</v>
      </c>
      <c r="O2894" s="1">
        <v>45047</v>
      </c>
      <c r="P2894">
        <f>IF(ISBLANK(ReconciliationData[[#This Row],[Invoice_ID]]),1,0)</f>
        <v>0</v>
      </c>
      <c r="Q2894">
        <f>IF(AND(NOT(ISBLANK(ReconciliationData[[#This Row],[Billed_Units]])),ReconciliationData[[#This Row],[ordered_units]]&lt;&gt;ReconciliationData[[#This Row],[Billed_Units]]),1,0)</f>
        <v>0</v>
      </c>
      <c r="R28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4">
        <f>IF(AND(NOT(ISBLANK(ReconciliationData[[#This Row],[Contract_Price]])),ReconciliationData[[#This Row],[Billed_Price]]&lt;&gt;ReconciliationData[[#This Row],[Contract_Price]]),1,0)</f>
        <v>0</v>
      </c>
      <c r="T2894">
        <f>IF(AND(NOT(ISBLANK(ReconciliationData[[#This Row],[End_Date]])),ReconciliationData[[#This Row],[Order_Date]]&gt;ReconciliationData[[#This Row],[End_Date]]),1,0)</f>
        <v>0</v>
      </c>
      <c r="U2894">
        <f>IF(AND(NOT(ISBLANK(ReconciliationData[[#This Row],[last_return_date]])),ReconciliationData[[#This Row],[last_return_date]]&gt;ReconciliationData[[#This Row],[Order_Date]]+60),1,0)</f>
        <v>0</v>
      </c>
      <c r="V2894">
        <f>IF(ReconciliationData[[#This Row],[total_returned_units]]&gt;ReconciliationData[[#This Row],[ordered_units]],1,0)</f>
        <v>0</v>
      </c>
      <c r="W28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94">
        <f>ReconciliationData[[#This Row],[Billed_Units]]*ReconciliationData[[#This Row],[Billed_Price]]</f>
        <v>51050.978999999999</v>
      </c>
      <c r="Y2894">
        <f>ReconciliationData[[#This Row],[ordered_units]]*ReconciliationData[[#This Row],[List_Price]]</f>
        <v>51050.978999999999</v>
      </c>
      <c r="Z2894">
        <f>ReconciliationData[[#This Row],[billed_revenue]]-ReconciliationData[[#This Row],[expected_revenue]]</f>
        <v>0</v>
      </c>
      <c r="AA28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94" t="str">
        <f>IF(ReconciliationData[[#This Row],[severity_score]]=0,"LOW",
 IF(ReconciliationData[[#This Row],[severity_score]]&lt;=5,"MEDIUM","HIGH"))</f>
        <v>LOW</v>
      </c>
      <c r="AC2894" t="str">
        <f>TEXT(ReconciliationData[[#This Row],[Order_Date]],"YYYY-MM")</f>
        <v>2024-02</v>
      </c>
    </row>
    <row r="2895" spans="1:29">
      <c r="A2895" t="s">
        <v>7000</v>
      </c>
      <c r="B2895" s="1">
        <v>44972</v>
      </c>
      <c r="C2895" t="s">
        <v>1259</v>
      </c>
      <c r="D2895" t="s">
        <v>3006</v>
      </c>
      <c r="E2895">
        <v>95</v>
      </c>
      <c r="F2895" t="s">
        <v>7001</v>
      </c>
      <c r="G2895">
        <v>92</v>
      </c>
      <c r="H2895">
        <v>680.07339999999999</v>
      </c>
      <c r="N2895">
        <v>680.07339999999999</v>
      </c>
      <c r="O2895" s="1">
        <v>44887</v>
      </c>
      <c r="P2895">
        <f>IF(ISBLANK(ReconciliationData[[#This Row],[Invoice_ID]]),1,0)</f>
        <v>0</v>
      </c>
      <c r="Q2895">
        <f>IF(AND(NOT(ISBLANK(ReconciliationData[[#This Row],[Billed_Units]])),ReconciliationData[[#This Row],[ordered_units]]&lt;&gt;ReconciliationData[[#This Row],[Billed_Units]]),1,0)</f>
        <v>1</v>
      </c>
      <c r="R28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5">
        <f>IF(AND(NOT(ISBLANK(ReconciliationData[[#This Row],[Contract_Price]])),ReconciliationData[[#This Row],[Billed_Price]]&lt;&gt;ReconciliationData[[#This Row],[Contract_Price]]),1,0)</f>
        <v>0</v>
      </c>
      <c r="T2895">
        <f>IF(AND(NOT(ISBLANK(ReconciliationData[[#This Row],[End_Date]])),ReconciliationData[[#This Row],[Order_Date]]&gt;ReconciliationData[[#This Row],[End_Date]]),1,0)</f>
        <v>0</v>
      </c>
      <c r="U2895">
        <f>IF(AND(NOT(ISBLANK(ReconciliationData[[#This Row],[last_return_date]])),ReconciliationData[[#This Row],[last_return_date]]&gt;ReconciliationData[[#This Row],[Order_Date]]+60),1,0)</f>
        <v>0</v>
      </c>
      <c r="V2895">
        <f>IF(ReconciliationData[[#This Row],[total_returned_units]]&gt;ReconciliationData[[#This Row],[ordered_units]],1,0)</f>
        <v>0</v>
      </c>
      <c r="W28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95">
        <f>ReconciliationData[[#This Row],[Billed_Units]]*ReconciliationData[[#This Row],[Billed_Price]]</f>
        <v>62566.752800000002</v>
      </c>
      <c r="Y2895">
        <f>ReconciliationData[[#This Row],[ordered_units]]*ReconciliationData[[#This Row],[List_Price]]</f>
        <v>64606.972999999998</v>
      </c>
      <c r="Z2895">
        <f>ReconciliationData[[#This Row],[billed_revenue]]-ReconciliationData[[#This Row],[expected_revenue]]</f>
        <v>-2040.2201999999961</v>
      </c>
      <c r="AA28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895" t="str">
        <f>IF(ReconciliationData[[#This Row],[severity_score]]=0,"LOW",
 IF(ReconciliationData[[#This Row],[severity_score]]&lt;=5,"MEDIUM","HIGH"))</f>
        <v>HIGH</v>
      </c>
      <c r="AC2895" t="str">
        <f>TEXT(ReconciliationData[[#This Row],[Order_Date]],"YYYY-MM")</f>
        <v>2023-02</v>
      </c>
    </row>
    <row r="2896" spans="1:29">
      <c r="A2896" t="s">
        <v>7002</v>
      </c>
      <c r="B2896" s="1">
        <v>45620</v>
      </c>
      <c r="C2896" t="s">
        <v>1033</v>
      </c>
      <c r="D2896" t="s">
        <v>1555</v>
      </c>
      <c r="E2896">
        <v>199</v>
      </c>
      <c r="F2896" t="s">
        <v>7003</v>
      </c>
      <c r="G2896">
        <v>196</v>
      </c>
      <c r="H2896">
        <v>850.16200000000003</v>
      </c>
      <c r="N2896">
        <v>850.16200000000003</v>
      </c>
      <c r="O2896" s="1">
        <v>45099</v>
      </c>
      <c r="P2896">
        <f>IF(ISBLANK(ReconciliationData[[#This Row],[Invoice_ID]]),1,0)</f>
        <v>0</v>
      </c>
      <c r="Q2896">
        <f>IF(AND(NOT(ISBLANK(ReconciliationData[[#This Row],[Billed_Units]])),ReconciliationData[[#This Row],[ordered_units]]&lt;&gt;ReconciliationData[[#This Row],[Billed_Units]]),1,0)</f>
        <v>1</v>
      </c>
      <c r="R28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6">
        <f>IF(AND(NOT(ISBLANK(ReconciliationData[[#This Row],[Contract_Price]])),ReconciliationData[[#This Row],[Billed_Price]]&lt;&gt;ReconciliationData[[#This Row],[Contract_Price]]),1,0)</f>
        <v>0</v>
      </c>
      <c r="T2896">
        <f>IF(AND(NOT(ISBLANK(ReconciliationData[[#This Row],[End_Date]])),ReconciliationData[[#This Row],[Order_Date]]&gt;ReconciliationData[[#This Row],[End_Date]]),1,0)</f>
        <v>0</v>
      </c>
      <c r="U2896">
        <f>IF(AND(NOT(ISBLANK(ReconciliationData[[#This Row],[last_return_date]])),ReconciliationData[[#This Row],[last_return_date]]&gt;ReconciliationData[[#This Row],[Order_Date]]+60),1,0)</f>
        <v>0</v>
      </c>
      <c r="V2896">
        <f>IF(ReconciliationData[[#This Row],[total_returned_units]]&gt;ReconciliationData[[#This Row],[ordered_units]],1,0)</f>
        <v>0</v>
      </c>
      <c r="W28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896">
        <f>ReconciliationData[[#This Row],[Billed_Units]]*ReconciliationData[[#This Row],[Billed_Price]]</f>
        <v>166631.75200000001</v>
      </c>
      <c r="Y2896">
        <f>ReconciliationData[[#This Row],[ordered_units]]*ReconciliationData[[#This Row],[List_Price]]</f>
        <v>169182.23800000001</v>
      </c>
      <c r="Z2896">
        <f>ReconciliationData[[#This Row],[billed_revenue]]-ReconciliationData[[#This Row],[expected_revenue]]</f>
        <v>-2550.4860000000044</v>
      </c>
      <c r="AA28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896" t="str">
        <f>IF(ReconciliationData[[#This Row],[severity_score]]=0,"LOW",
 IF(ReconciliationData[[#This Row],[severity_score]]&lt;=5,"MEDIUM","HIGH"))</f>
        <v>HIGH</v>
      </c>
      <c r="AC2896" t="str">
        <f>TEXT(ReconciliationData[[#This Row],[Order_Date]],"YYYY-MM")</f>
        <v>2024-11</v>
      </c>
    </row>
    <row r="2897" spans="1:29">
      <c r="A2897" t="s">
        <v>7004</v>
      </c>
      <c r="B2897" s="1">
        <v>45470</v>
      </c>
      <c r="C2897" t="s">
        <v>3637</v>
      </c>
      <c r="D2897" t="s">
        <v>1754</v>
      </c>
      <c r="E2897">
        <v>138</v>
      </c>
      <c r="F2897" t="s">
        <v>7005</v>
      </c>
      <c r="G2897">
        <v>138</v>
      </c>
      <c r="H2897">
        <v>1072.2954</v>
      </c>
      <c r="N2897">
        <v>1072.2954</v>
      </c>
      <c r="O2897" s="1">
        <v>45120</v>
      </c>
      <c r="P2897">
        <f>IF(ISBLANK(ReconciliationData[[#This Row],[Invoice_ID]]),1,0)</f>
        <v>0</v>
      </c>
      <c r="Q2897">
        <f>IF(AND(NOT(ISBLANK(ReconciliationData[[#This Row],[Billed_Units]])),ReconciliationData[[#This Row],[ordered_units]]&lt;&gt;ReconciliationData[[#This Row],[Billed_Units]]),1,0)</f>
        <v>0</v>
      </c>
      <c r="R28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7">
        <f>IF(AND(NOT(ISBLANK(ReconciliationData[[#This Row],[Contract_Price]])),ReconciliationData[[#This Row],[Billed_Price]]&lt;&gt;ReconciliationData[[#This Row],[Contract_Price]]),1,0)</f>
        <v>0</v>
      </c>
      <c r="T2897">
        <f>IF(AND(NOT(ISBLANK(ReconciliationData[[#This Row],[End_Date]])),ReconciliationData[[#This Row],[Order_Date]]&gt;ReconciliationData[[#This Row],[End_Date]]),1,0)</f>
        <v>0</v>
      </c>
      <c r="U2897">
        <f>IF(AND(NOT(ISBLANK(ReconciliationData[[#This Row],[last_return_date]])),ReconciliationData[[#This Row],[last_return_date]]&gt;ReconciliationData[[#This Row],[Order_Date]]+60),1,0)</f>
        <v>0</v>
      </c>
      <c r="V2897">
        <f>IF(ReconciliationData[[#This Row],[total_returned_units]]&gt;ReconciliationData[[#This Row],[ordered_units]],1,0)</f>
        <v>0</v>
      </c>
      <c r="W28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97">
        <f>ReconciliationData[[#This Row],[Billed_Units]]*ReconciliationData[[#This Row],[Billed_Price]]</f>
        <v>147976.76519999999</v>
      </c>
      <c r="Y2897">
        <f>ReconciliationData[[#This Row],[ordered_units]]*ReconciliationData[[#This Row],[List_Price]]</f>
        <v>147976.76519999999</v>
      </c>
      <c r="Z2897">
        <f>ReconciliationData[[#This Row],[billed_revenue]]-ReconciliationData[[#This Row],[expected_revenue]]</f>
        <v>0</v>
      </c>
      <c r="AA28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97" t="str">
        <f>IF(ReconciliationData[[#This Row],[severity_score]]=0,"LOW",
 IF(ReconciliationData[[#This Row],[severity_score]]&lt;=5,"MEDIUM","HIGH"))</f>
        <v>LOW</v>
      </c>
      <c r="AC2897" t="str">
        <f>TEXT(ReconciliationData[[#This Row],[Order_Date]],"YYYY-MM")</f>
        <v>2024-06</v>
      </c>
    </row>
    <row r="2898" spans="1:29">
      <c r="A2898" t="s">
        <v>7006</v>
      </c>
      <c r="B2898" s="1">
        <v>45576</v>
      </c>
      <c r="C2898" t="s">
        <v>3903</v>
      </c>
      <c r="D2898" t="s">
        <v>479</v>
      </c>
      <c r="E2898">
        <v>122</v>
      </c>
      <c r="F2898" t="s">
        <v>7007</v>
      </c>
      <c r="G2898">
        <v>122</v>
      </c>
      <c r="H2898">
        <v>1014.5718000000001</v>
      </c>
      <c r="N2898">
        <v>1014.5718000000001</v>
      </c>
      <c r="O2898" s="1">
        <v>45035</v>
      </c>
      <c r="P2898">
        <f>IF(ISBLANK(ReconciliationData[[#This Row],[Invoice_ID]]),1,0)</f>
        <v>0</v>
      </c>
      <c r="Q2898">
        <f>IF(AND(NOT(ISBLANK(ReconciliationData[[#This Row],[Billed_Units]])),ReconciliationData[[#This Row],[ordered_units]]&lt;&gt;ReconciliationData[[#This Row],[Billed_Units]]),1,0)</f>
        <v>0</v>
      </c>
      <c r="R28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8">
        <f>IF(AND(NOT(ISBLANK(ReconciliationData[[#This Row],[Contract_Price]])),ReconciliationData[[#This Row],[Billed_Price]]&lt;&gt;ReconciliationData[[#This Row],[Contract_Price]]),1,0)</f>
        <v>0</v>
      </c>
      <c r="T2898">
        <f>IF(AND(NOT(ISBLANK(ReconciliationData[[#This Row],[End_Date]])),ReconciliationData[[#This Row],[Order_Date]]&gt;ReconciliationData[[#This Row],[End_Date]]),1,0)</f>
        <v>0</v>
      </c>
      <c r="U2898">
        <f>IF(AND(NOT(ISBLANK(ReconciliationData[[#This Row],[last_return_date]])),ReconciliationData[[#This Row],[last_return_date]]&gt;ReconciliationData[[#This Row],[Order_Date]]+60),1,0)</f>
        <v>0</v>
      </c>
      <c r="V2898">
        <f>IF(ReconciliationData[[#This Row],[total_returned_units]]&gt;ReconciliationData[[#This Row],[ordered_units]],1,0)</f>
        <v>0</v>
      </c>
      <c r="W28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98">
        <f>ReconciliationData[[#This Row],[Billed_Units]]*ReconciliationData[[#This Row],[Billed_Price]]</f>
        <v>123777.7596</v>
      </c>
      <c r="Y2898">
        <f>ReconciliationData[[#This Row],[ordered_units]]*ReconciliationData[[#This Row],[List_Price]]</f>
        <v>123777.7596</v>
      </c>
      <c r="Z2898">
        <f>ReconciliationData[[#This Row],[billed_revenue]]-ReconciliationData[[#This Row],[expected_revenue]]</f>
        <v>0</v>
      </c>
      <c r="AA28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98" t="str">
        <f>IF(ReconciliationData[[#This Row],[severity_score]]=0,"LOW",
 IF(ReconciliationData[[#This Row],[severity_score]]&lt;=5,"MEDIUM","HIGH"))</f>
        <v>LOW</v>
      </c>
      <c r="AC2898" t="str">
        <f>TEXT(ReconciliationData[[#This Row],[Order_Date]],"YYYY-MM")</f>
        <v>2024-10</v>
      </c>
    </row>
    <row r="2899" spans="1:29">
      <c r="A2899" t="s">
        <v>7008</v>
      </c>
      <c r="B2899" s="1">
        <v>45347</v>
      </c>
      <c r="C2899" t="s">
        <v>6710</v>
      </c>
      <c r="D2899" t="s">
        <v>275</v>
      </c>
      <c r="E2899">
        <v>78</v>
      </c>
      <c r="F2899" t="s">
        <v>7009</v>
      </c>
      <c r="G2899">
        <v>78</v>
      </c>
      <c r="H2899">
        <v>397.19560000000001</v>
      </c>
      <c r="I2899">
        <v>2</v>
      </c>
      <c r="J2899" s="1">
        <v>45276</v>
      </c>
      <c r="N2899">
        <v>397.19560000000001</v>
      </c>
      <c r="O2899" s="1">
        <v>44932</v>
      </c>
      <c r="P2899">
        <f>IF(ISBLANK(ReconciliationData[[#This Row],[Invoice_ID]]),1,0)</f>
        <v>0</v>
      </c>
      <c r="Q2899">
        <f>IF(AND(NOT(ISBLANK(ReconciliationData[[#This Row],[Billed_Units]])),ReconciliationData[[#This Row],[ordered_units]]&lt;&gt;ReconciliationData[[#This Row],[Billed_Units]]),1,0)</f>
        <v>0</v>
      </c>
      <c r="R28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899">
        <f>IF(AND(NOT(ISBLANK(ReconciliationData[[#This Row],[Contract_Price]])),ReconciliationData[[#This Row],[Billed_Price]]&lt;&gt;ReconciliationData[[#This Row],[Contract_Price]]),1,0)</f>
        <v>0</v>
      </c>
      <c r="T2899">
        <f>IF(AND(NOT(ISBLANK(ReconciliationData[[#This Row],[End_Date]])),ReconciliationData[[#This Row],[Order_Date]]&gt;ReconciliationData[[#This Row],[End_Date]]),1,0)</f>
        <v>0</v>
      </c>
      <c r="U2899">
        <f>IF(AND(NOT(ISBLANK(ReconciliationData[[#This Row],[last_return_date]])),ReconciliationData[[#This Row],[last_return_date]]&gt;ReconciliationData[[#This Row],[Order_Date]]+60),1,0)</f>
        <v>0</v>
      </c>
      <c r="V2899">
        <f>IF(ReconciliationData[[#This Row],[total_returned_units]]&gt;ReconciliationData[[#This Row],[ordered_units]],1,0)</f>
        <v>0</v>
      </c>
      <c r="W28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899">
        <f>ReconciliationData[[#This Row],[Billed_Units]]*ReconciliationData[[#This Row],[Billed_Price]]</f>
        <v>30981.256800000003</v>
      </c>
      <c r="Y2899">
        <f>ReconciliationData[[#This Row],[ordered_units]]*ReconciliationData[[#This Row],[List_Price]]</f>
        <v>30981.256800000003</v>
      </c>
      <c r="Z2899">
        <f>ReconciliationData[[#This Row],[billed_revenue]]-ReconciliationData[[#This Row],[expected_revenue]]</f>
        <v>0</v>
      </c>
      <c r="AA28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899" t="str">
        <f>IF(ReconciliationData[[#This Row],[severity_score]]=0,"LOW",
 IF(ReconciliationData[[#This Row],[severity_score]]&lt;=5,"MEDIUM","HIGH"))</f>
        <v>LOW</v>
      </c>
      <c r="AC2899" t="str">
        <f>TEXT(ReconciliationData[[#This Row],[Order_Date]],"YYYY-MM")</f>
        <v>2024-02</v>
      </c>
    </row>
    <row r="2900" spans="1:29">
      <c r="A2900" t="s">
        <v>7010</v>
      </c>
      <c r="B2900" s="1">
        <v>45164</v>
      </c>
      <c r="C2900" t="s">
        <v>797</v>
      </c>
      <c r="D2900" t="s">
        <v>190</v>
      </c>
      <c r="E2900">
        <v>110</v>
      </c>
      <c r="F2900" t="s">
        <v>7011</v>
      </c>
      <c r="G2900">
        <v>110</v>
      </c>
      <c r="H2900">
        <v>265.44960000000003</v>
      </c>
      <c r="N2900">
        <v>265.44960000000003</v>
      </c>
      <c r="O2900" s="1">
        <v>44999</v>
      </c>
      <c r="P2900">
        <f>IF(ISBLANK(ReconciliationData[[#This Row],[Invoice_ID]]),1,0)</f>
        <v>0</v>
      </c>
      <c r="Q2900">
        <f>IF(AND(NOT(ISBLANK(ReconciliationData[[#This Row],[Billed_Units]])),ReconciliationData[[#This Row],[ordered_units]]&lt;&gt;ReconciliationData[[#This Row],[Billed_Units]]),1,0)</f>
        <v>0</v>
      </c>
      <c r="R29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0">
        <f>IF(AND(NOT(ISBLANK(ReconciliationData[[#This Row],[Contract_Price]])),ReconciliationData[[#This Row],[Billed_Price]]&lt;&gt;ReconciliationData[[#This Row],[Contract_Price]]),1,0)</f>
        <v>0</v>
      </c>
      <c r="T2900">
        <f>IF(AND(NOT(ISBLANK(ReconciliationData[[#This Row],[End_Date]])),ReconciliationData[[#This Row],[Order_Date]]&gt;ReconciliationData[[#This Row],[End_Date]]),1,0)</f>
        <v>0</v>
      </c>
      <c r="U2900">
        <f>IF(AND(NOT(ISBLANK(ReconciliationData[[#This Row],[last_return_date]])),ReconciliationData[[#This Row],[last_return_date]]&gt;ReconciliationData[[#This Row],[Order_Date]]+60),1,0)</f>
        <v>0</v>
      </c>
      <c r="V2900">
        <f>IF(ReconciliationData[[#This Row],[total_returned_units]]&gt;ReconciliationData[[#This Row],[ordered_units]],1,0)</f>
        <v>0</v>
      </c>
      <c r="W29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00">
        <f>ReconciliationData[[#This Row],[Billed_Units]]*ReconciliationData[[#This Row],[Billed_Price]]</f>
        <v>29199.456000000002</v>
      </c>
      <c r="Y2900">
        <f>ReconciliationData[[#This Row],[ordered_units]]*ReconciliationData[[#This Row],[List_Price]]</f>
        <v>29199.456000000002</v>
      </c>
      <c r="Z2900">
        <f>ReconciliationData[[#This Row],[billed_revenue]]-ReconciliationData[[#This Row],[expected_revenue]]</f>
        <v>0</v>
      </c>
      <c r="AA29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00" t="str">
        <f>IF(ReconciliationData[[#This Row],[severity_score]]=0,"LOW",
 IF(ReconciliationData[[#This Row],[severity_score]]&lt;=5,"MEDIUM","HIGH"))</f>
        <v>LOW</v>
      </c>
      <c r="AC2900" t="str">
        <f>TEXT(ReconciliationData[[#This Row],[Order_Date]],"YYYY-MM")</f>
        <v>2023-08</v>
      </c>
    </row>
    <row r="2901" spans="1:29">
      <c r="A2901" t="s">
        <v>7012</v>
      </c>
      <c r="B2901" s="1">
        <v>45051</v>
      </c>
      <c r="C2901" t="s">
        <v>3066</v>
      </c>
      <c r="D2901" t="s">
        <v>423</v>
      </c>
      <c r="E2901">
        <v>41</v>
      </c>
      <c r="F2901" t="s">
        <v>7013</v>
      </c>
      <c r="G2901">
        <v>41</v>
      </c>
      <c r="H2901">
        <v>168.12909999999999</v>
      </c>
      <c r="I2901">
        <v>17</v>
      </c>
      <c r="J2901" s="1">
        <v>45132</v>
      </c>
      <c r="N2901">
        <v>168.12909999999999</v>
      </c>
      <c r="O2901" s="1">
        <v>45013</v>
      </c>
      <c r="P2901">
        <f>IF(ISBLANK(ReconciliationData[[#This Row],[Invoice_ID]]),1,0)</f>
        <v>0</v>
      </c>
      <c r="Q2901">
        <f>IF(AND(NOT(ISBLANK(ReconciliationData[[#This Row],[Billed_Units]])),ReconciliationData[[#This Row],[ordered_units]]&lt;&gt;ReconciliationData[[#This Row],[Billed_Units]]),1,0)</f>
        <v>0</v>
      </c>
      <c r="R29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1">
        <f>IF(AND(NOT(ISBLANK(ReconciliationData[[#This Row],[Contract_Price]])),ReconciliationData[[#This Row],[Billed_Price]]&lt;&gt;ReconciliationData[[#This Row],[Contract_Price]]),1,0)</f>
        <v>0</v>
      </c>
      <c r="T2901">
        <f>IF(AND(NOT(ISBLANK(ReconciliationData[[#This Row],[End_Date]])),ReconciliationData[[#This Row],[Order_Date]]&gt;ReconciliationData[[#This Row],[End_Date]]),1,0)</f>
        <v>0</v>
      </c>
      <c r="U2901">
        <f>IF(AND(NOT(ISBLANK(ReconciliationData[[#This Row],[last_return_date]])),ReconciliationData[[#This Row],[last_return_date]]&gt;ReconciliationData[[#This Row],[Order_Date]]+60),1,0)</f>
        <v>1</v>
      </c>
      <c r="V2901">
        <f>IF(ReconciliationData[[#This Row],[total_returned_units]]&gt;ReconciliationData[[#This Row],[ordered_units]],1,0)</f>
        <v>0</v>
      </c>
      <c r="W29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01">
        <f>ReconciliationData[[#This Row],[Billed_Units]]*ReconciliationData[[#This Row],[Billed_Price]]</f>
        <v>6893.2930999999999</v>
      </c>
      <c r="Y2901">
        <f>ReconciliationData[[#This Row],[ordered_units]]*ReconciliationData[[#This Row],[List_Price]]</f>
        <v>6893.2930999999999</v>
      </c>
      <c r="Z2901">
        <f>ReconciliationData[[#This Row],[billed_revenue]]-ReconciliationData[[#This Row],[expected_revenue]]</f>
        <v>0</v>
      </c>
      <c r="AA29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901" t="str">
        <f>IF(ReconciliationData[[#This Row],[severity_score]]=0,"LOW",
 IF(ReconciliationData[[#This Row],[severity_score]]&lt;=5,"MEDIUM","HIGH"))</f>
        <v>MEDIUM</v>
      </c>
      <c r="AC2901" t="str">
        <f>TEXT(ReconciliationData[[#This Row],[Order_Date]],"YYYY-MM")</f>
        <v>2023-05</v>
      </c>
    </row>
    <row r="2902" spans="1:29">
      <c r="A2902" t="s">
        <v>7014</v>
      </c>
      <c r="B2902" s="1">
        <v>45181</v>
      </c>
      <c r="C2902" t="s">
        <v>4758</v>
      </c>
      <c r="D2902" t="s">
        <v>1491</v>
      </c>
      <c r="E2902">
        <v>34</v>
      </c>
      <c r="F2902" t="s">
        <v>7015</v>
      </c>
      <c r="G2902">
        <v>34</v>
      </c>
      <c r="H2902">
        <v>919.86659999999995</v>
      </c>
      <c r="N2902">
        <v>919.86659999999995</v>
      </c>
      <c r="O2902" s="1">
        <v>45108</v>
      </c>
      <c r="P2902">
        <f>IF(ISBLANK(ReconciliationData[[#This Row],[Invoice_ID]]),1,0)</f>
        <v>0</v>
      </c>
      <c r="Q2902">
        <f>IF(AND(NOT(ISBLANK(ReconciliationData[[#This Row],[Billed_Units]])),ReconciliationData[[#This Row],[ordered_units]]&lt;&gt;ReconciliationData[[#This Row],[Billed_Units]]),1,0)</f>
        <v>0</v>
      </c>
      <c r="R29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2">
        <f>IF(AND(NOT(ISBLANK(ReconciliationData[[#This Row],[Contract_Price]])),ReconciliationData[[#This Row],[Billed_Price]]&lt;&gt;ReconciliationData[[#This Row],[Contract_Price]]),1,0)</f>
        <v>0</v>
      </c>
      <c r="T2902">
        <f>IF(AND(NOT(ISBLANK(ReconciliationData[[#This Row],[End_Date]])),ReconciliationData[[#This Row],[Order_Date]]&gt;ReconciliationData[[#This Row],[End_Date]]),1,0)</f>
        <v>0</v>
      </c>
      <c r="U2902">
        <f>IF(AND(NOT(ISBLANK(ReconciliationData[[#This Row],[last_return_date]])),ReconciliationData[[#This Row],[last_return_date]]&gt;ReconciliationData[[#This Row],[Order_Date]]+60),1,0)</f>
        <v>0</v>
      </c>
      <c r="V2902">
        <f>IF(ReconciliationData[[#This Row],[total_returned_units]]&gt;ReconciliationData[[#This Row],[ordered_units]],1,0)</f>
        <v>0</v>
      </c>
      <c r="W29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02">
        <f>ReconciliationData[[#This Row],[Billed_Units]]*ReconciliationData[[#This Row],[Billed_Price]]</f>
        <v>31275.464399999997</v>
      </c>
      <c r="Y2902">
        <f>ReconciliationData[[#This Row],[ordered_units]]*ReconciliationData[[#This Row],[List_Price]]</f>
        <v>31275.464399999997</v>
      </c>
      <c r="Z2902">
        <f>ReconciliationData[[#This Row],[billed_revenue]]-ReconciliationData[[#This Row],[expected_revenue]]</f>
        <v>0</v>
      </c>
      <c r="AA29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02" t="str">
        <f>IF(ReconciliationData[[#This Row],[severity_score]]=0,"LOW",
 IF(ReconciliationData[[#This Row],[severity_score]]&lt;=5,"MEDIUM","HIGH"))</f>
        <v>LOW</v>
      </c>
      <c r="AC2902" t="str">
        <f>TEXT(ReconciliationData[[#This Row],[Order_Date]],"YYYY-MM")</f>
        <v>2023-09</v>
      </c>
    </row>
    <row r="2903" spans="1:29">
      <c r="A2903" t="s">
        <v>7016</v>
      </c>
      <c r="B2903" s="1">
        <v>45059</v>
      </c>
      <c r="C2903" t="s">
        <v>2356</v>
      </c>
      <c r="D2903" t="s">
        <v>1315</v>
      </c>
      <c r="E2903">
        <v>86</v>
      </c>
      <c r="F2903" t="s">
        <v>7017</v>
      </c>
      <c r="G2903">
        <v>86</v>
      </c>
      <c r="H2903">
        <v>311.96339999999998</v>
      </c>
      <c r="N2903">
        <v>311.96339999999998</v>
      </c>
      <c r="O2903" s="1">
        <v>45012</v>
      </c>
      <c r="P2903">
        <f>IF(ISBLANK(ReconciliationData[[#This Row],[Invoice_ID]]),1,0)</f>
        <v>0</v>
      </c>
      <c r="Q2903">
        <f>IF(AND(NOT(ISBLANK(ReconciliationData[[#This Row],[Billed_Units]])),ReconciliationData[[#This Row],[ordered_units]]&lt;&gt;ReconciliationData[[#This Row],[Billed_Units]]),1,0)</f>
        <v>0</v>
      </c>
      <c r="R29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3">
        <f>IF(AND(NOT(ISBLANK(ReconciliationData[[#This Row],[Contract_Price]])),ReconciliationData[[#This Row],[Billed_Price]]&lt;&gt;ReconciliationData[[#This Row],[Contract_Price]]),1,0)</f>
        <v>0</v>
      </c>
      <c r="T2903">
        <f>IF(AND(NOT(ISBLANK(ReconciliationData[[#This Row],[End_Date]])),ReconciliationData[[#This Row],[Order_Date]]&gt;ReconciliationData[[#This Row],[End_Date]]),1,0)</f>
        <v>0</v>
      </c>
      <c r="U2903">
        <f>IF(AND(NOT(ISBLANK(ReconciliationData[[#This Row],[last_return_date]])),ReconciliationData[[#This Row],[last_return_date]]&gt;ReconciliationData[[#This Row],[Order_Date]]+60),1,0)</f>
        <v>0</v>
      </c>
      <c r="V2903">
        <f>IF(ReconciliationData[[#This Row],[total_returned_units]]&gt;ReconciliationData[[#This Row],[ordered_units]],1,0)</f>
        <v>0</v>
      </c>
      <c r="W29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03">
        <f>ReconciliationData[[#This Row],[Billed_Units]]*ReconciliationData[[#This Row],[Billed_Price]]</f>
        <v>26828.8524</v>
      </c>
      <c r="Y2903">
        <f>ReconciliationData[[#This Row],[ordered_units]]*ReconciliationData[[#This Row],[List_Price]]</f>
        <v>26828.8524</v>
      </c>
      <c r="Z2903">
        <f>ReconciliationData[[#This Row],[billed_revenue]]-ReconciliationData[[#This Row],[expected_revenue]]</f>
        <v>0</v>
      </c>
      <c r="AA29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03" t="str">
        <f>IF(ReconciliationData[[#This Row],[severity_score]]=0,"LOW",
 IF(ReconciliationData[[#This Row],[severity_score]]&lt;=5,"MEDIUM","HIGH"))</f>
        <v>LOW</v>
      </c>
      <c r="AC2903" t="str">
        <f>TEXT(ReconciliationData[[#This Row],[Order_Date]],"YYYY-MM")</f>
        <v>2023-05</v>
      </c>
    </row>
    <row r="2904" spans="1:29">
      <c r="A2904" t="s">
        <v>7018</v>
      </c>
      <c r="B2904" s="1">
        <v>45114</v>
      </c>
      <c r="C2904" t="s">
        <v>1552</v>
      </c>
      <c r="D2904" t="s">
        <v>856</v>
      </c>
      <c r="E2904">
        <v>181</v>
      </c>
      <c r="F2904" t="s">
        <v>7019</v>
      </c>
      <c r="G2904">
        <v>181</v>
      </c>
      <c r="H2904">
        <v>1195.6769999999999</v>
      </c>
      <c r="N2904">
        <v>1195.6769999999999</v>
      </c>
      <c r="O2904" s="1">
        <v>45010</v>
      </c>
      <c r="P2904">
        <f>IF(ISBLANK(ReconciliationData[[#This Row],[Invoice_ID]]),1,0)</f>
        <v>0</v>
      </c>
      <c r="Q2904">
        <f>IF(AND(NOT(ISBLANK(ReconciliationData[[#This Row],[Billed_Units]])),ReconciliationData[[#This Row],[ordered_units]]&lt;&gt;ReconciliationData[[#This Row],[Billed_Units]]),1,0)</f>
        <v>0</v>
      </c>
      <c r="R29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4">
        <f>IF(AND(NOT(ISBLANK(ReconciliationData[[#This Row],[Contract_Price]])),ReconciliationData[[#This Row],[Billed_Price]]&lt;&gt;ReconciliationData[[#This Row],[Contract_Price]]),1,0)</f>
        <v>0</v>
      </c>
      <c r="T2904">
        <f>IF(AND(NOT(ISBLANK(ReconciliationData[[#This Row],[End_Date]])),ReconciliationData[[#This Row],[Order_Date]]&gt;ReconciliationData[[#This Row],[End_Date]]),1,0)</f>
        <v>0</v>
      </c>
      <c r="U2904">
        <f>IF(AND(NOT(ISBLANK(ReconciliationData[[#This Row],[last_return_date]])),ReconciliationData[[#This Row],[last_return_date]]&gt;ReconciliationData[[#This Row],[Order_Date]]+60),1,0)</f>
        <v>0</v>
      </c>
      <c r="V2904">
        <f>IF(ReconciliationData[[#This Row],[total_returned_units]]&gt;ReconciliationData[[#This Row],[ordered_units]],1,0)</f>
        <v>0</v>
      </c>
      <c r="W29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04">
        <f>ReconciliationData[[#This Row],[Billed_Units]]*ReconciliationData[[#This Row],[Billed_Price]]</f>
        <v>216417.53699999998</v>
      </c>
      <c r="Y2904">
        <f>ReconciliationData[[#This Row],[ordered_units]]*ReconciliationData[[#This Row],[List_Price]]</f>
        <v>216417.53699999998</v>
      </c>
      <c r="Z2904">
        <f>ReconciliationData[[#This Row],[billed_revenue]]-ReconciliationData[[#This Row],[expected_revenue]]</f>
        <v>0</v>
      </c>
      <c r="AA29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04" t="str">
        <f>IF(ReconciliationData[[#This Row],[severity_score]]=0,"LOW",
 IF(ReconciliationData[[#This Row],[severity_score]]&lt;=5,"MEDIUM","HIGH"))</f>
        <v>LOW</v>
      </c>
      <c r="AC2904" t="str">
        <f>TEXT(ReconciliationData[[#This Row],[Order_Date]],"YYYY-MM")</f>
        <v>2023-07</v>
      </c>
    </row>
    <row r="2905" spans="1:29">
      <c r="A2905" t="s">
        <v>7020</v>
      </c>
      <c r="B2905" s="1">
        <v>45139</v>
      </c>
      <c r="C2905" t="s">
        <v>2200</v>
      </c>
      <c r="D2905" t="s">
        <v>647</v>
      </c>
      <c r="E2905">
        <v>139</v>
      </c>
      <c r="F2905" t="s">
        <v>7021</v>
      </c>
      <c r="G2905">
        <v>139</v>
      </c>
      <c r="H2905">
        <v>279.42789999999997</v>
      </c>
      <c r="N2905">
        <v>279.42789999999997</v>
      </c>
      <c r="O2905" s="1">
        <v>45103</v>
      </c>
      <c r="P2905">
        <f>IF(ISBLANK(ReconciliationData[[#This Row],[Invoice_ID]]),1,0)</f>
        <v>0</v>
      </c>
      <c r="Q2905">
        <f>IF(AND(NOT(ISBLANK(ReconciliationData[[#This Row],[Billed_Units]])),ReconciliationData[[#This Row],[ordered_units]]&lt;&gt;ReconciliationData[[#This Row],[Billed_Units]]),1,0)</f>
        <v>0</v>
      </c>
      <c r="R29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5">
        <f>IF(AND(NOT(ISBLANK(ReconciliationData[[#This Row],[Contract_Price]])),ReconciliationData[[#This Row],[Billed_Price]]&lt;&gt;ReconciliationData[[#This Row],[Contract_Price]]),1,0)</f>
        <v>0</v>
      </c>
      <c r="T2905">
        <f>IF(AND(NOT(ISBLANK(ReconciliationData[[#This Row],[End_Date]])),ReconciliationData[[#This Row],[Order_Date]]&gt;ReconciliationData[[#This Row],[End_Date]]),1,0)</f>
        <v>0</v>
      </c>
      <c r="U2905">
        <f>IF(AND(NOT(ISBLANK(ReconciliationData[[#This Row],[last_return_date]])),ReconciliationData[[#This Row],[last_return_date]]&gt;ReconciliationData[[#This Row],[Order_Date]]+60),1,0)</f>
        <v>0</v>
      </c>
      <c r="V2905">
        <f>IF(ReconciliationData[[#This Row],[total_returned_units]]&gt;ReconciliationData[[#This Row],[ordered_units]],1,0)</f>
        <v>0</v>
      </c>
      <c r="W29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05">
        <f>ReconciliationData[[#This Row],[Billed_Units]]*ReconciliationData[[#This Row],[Billed_Price]]</f>
        <v>38840.478099999993</v>
      </c>
      <c r="Y2905">
        <f>ReconciliationData[[#This Row],[ordered_units]]*ReconciliationData[[#This Row],[List_Price]]</f>
        <v>38840.478099999993</v>
      </c>
      <c r="Z2905">
        <f>ReconciliationData[[#This Row],[billed_revenue]]-ReconciliationData[[#This Row],[expected_revenue]]</f>
        <v>0</v>
      </c>
      <c r="AA29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05" t="str">
        <f>IF(ReconciliationData[[#This Row],[severity_score]]=0,"LOW",
 IF(ReconciliationData[[#This Row],[severity_score]]&lt;=5,"MEDIUM","HIGH"))</f>
        <v>LOW</v>
      </c>
      <c r="AC2905" t="str">
        <f>TEXT(ReconciliationData[[#This Row],[Order_Date]],"YYYY-MM")</f>
        <v>2023-08</v>
      </c>
    </row>
    <row r="2906" spans="1:29">
      <c r="A2906" t="s">
        <v>7022</v>
      </c>
      <c r="B2906" s="1">
        <v>45235</v>
      </c>
      <c r="C2906" t="s">
        <v>6156</v>
      </c>
      <c r="D2906" t="s">
        <v>2035</v>
      </c>
      <c r="E2906">
        <v>43</v>
      </c>
      <c r="F2906" t="s">
        <v>7023</v>
      </c>
      <c r="G2906">
        <v>43</v>
      </c>
      <c r="H2906">
        <v>1160.71</v>
      </c>
      <c r="N2906">
        <v>1160.71</v>
      </c>
      <c r="O2906" s="1">
        <v>44964</v>
      </c>
      <c r="P2906">
        <f>IF(ISBLANK(ReconciliationData[[#This Row],[Invoice_ID]]),1,0)</f>
        <v>0</v>
      </c>
      <c r="Q2906">
        <f>IF(AND(NOT(ISBLANK(ReconciliationData[[#This Row],[Billed_Units]])),ReconciliationData[[#This Row],[ordered_units]]&lt;&gt;ReconciliationData[[#This Row],[Billed_Units]]),1,0)</f>
        <v>0</v>
      </c>
      <c r="R29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6">
        <f>IF(AND(NOT(ISBLANK(ReconciliationData[[#This Row],[Contract_Price]])),ReconciliationData[[#This Row],[Billed_Price]]&lt;&gt;ReconciliationData[[#This Row],[Contract_Price]]),1,0)</f>
        <v>0</v>
      </c>
      <c r="T2906">
        <f>IF(AND(NOT(ISBLANK(ReconciliationData[[#This Row],[End_Date]])),ReconciliationData[[#This Row],[Order_Date]]&gt;ReconciliationData[[#This Row],[End_Date]]),1,0)</f>
        <v>0</v>
      </c>
      <c r="U2906">
        <f>IF(AND(NOT(ISBLANK(ReconciliationData[[#This Row],[last_return_date]])),ReconciliationData[[#This Row],[last_return_date]]&gt;ReconciliationData[[#This Row],[Order_Date]]+60),1,0)</f>
        <v>0</v>
      </c>
      <c r="V2906">
        <f>IF(ReconciliationData[[#This Row],[total_returned_units]]&gt;ReconciliationData[[#This Row],[ordered_units]],1,0)</f>
        <v>0</v>
      </c>
      <c r="W29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06">
        <f>ReconciliationData[[#This Row],[Billed_Units]]*ReconciliationData[[#This Row],[Billed_Price]]</f>
        <v>49910.53</v>
      </c>
      <c r="Y2906">
        <f>ReconciliationData[[#This Row],[ordered_units]]*ReconciliationData[[#This Row],[List_Price]]</f>
        <v>49910.53</v>
      </c>
      <c r="Z2906">
        <f>ReconciliationData[[#This Row],[billed_revenue]]-ReconciliationData[[#This Row],[expected_revenue]]</f>
        <v>0</v>
      </c>
      <c r="AA29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06" t="str">
        <f>IF(ReconciliationData[[#This Row],[severity_score]]=0,"LOW",
 IF(ReconciliationData[[#This Row],[severity_score]]&lt;=5,"MEDIUM","HIGH"))</f>
        <v>LOW</v>
      </c>
      <c r="AC2906" t="str">
        <f>TEXT(ReconciliationData[[#This Row],[Order_Date]],"YYYY-MM")</f>
        <v>2023-11</v>
      </c>
    </row>
    <row r="2907" spans="1:29">
      <c r="A2907" t="s">
        <v>7024</v>
      </c>
      <c r="B2907" s="1">
        <v>45066</v>
      </c>
      <c r="C2907" t="s">
        <v>4060</v>
      </c>
      <c r="D2907" t="s">
        <v>2245</v>
      </c>
      <c r="E2907">
        <v>74</v>
      </c>
      <c r="F2907" t="s">
        <v>7025</v>
      </c>
      <c r="G2907">
        <v>74</v>
      </c>
      <c r="H2907">
        <v>382.81740000000002</v>
      </c>
      <c r="N2907">
        <v>382.81740000000002</v>
      </c>
      <c r="O2907" s="1">
        <v>44878</v>
      </c>
      <c r="P2907">
        <f>IF(ISBLANK(ReconciliationData[[#This Row],[Invoice_ID]]),1,0)</f>
        <v>0</v>
      </c>
      <c r="Q2907">
        <f>IF(AND(NOT(ISBLANK(ReconciliationData[[#This Row],[Billed_Units]])),ReconciliationData[[#This Row],[ordered_units]]&lt;&gt;ReconciliationData[[#This Row],[Billed_Units]]),1,0)</f>
        <v>0</v>
      </c>
      <c r="R29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7">
        <f>IF(AND(NOT(ISBLANK(ReconciliationData[[#This Row],[Contract_Price]])),ReconciliationData[[#This Row],[Billed_Price]]&lt;&gt;ReconciliationData[[#This Row],[Contract_Price]]),1,0)</f>
        <v>0</v>
      </c>
      <c r="T2907">
        <f>IF(AND(NOT(ISBLANK(ReconciliationData[[#This Row],[End_Date]])),ReconciliationData[[#This Row],[Order_Date]]&gt;ReconciliationData[[#This Row],[End_Date]]),1,0)</f>
        <v>0</v>
      </c>
      <c r="U2907">
        <f>IF(AND(NOT(ISBLANK(ReconciliationData[[#This Row],[last_return_date]])),ReconciliationData[[#This Row],[last_return_date]]&gt;ReconciliationData[[#This Row],[Order_Date]]+60),1,0)</f>
        <v>0</v>
      </c>
      <c r="V2907">
        <f>IF(ReconciliationData[[#This Row],[total_returned_units]]&gt;ReconciliationData[[#This Row],[ordered_units]],1,0)</f>
        <v>0</v>
      </c>
      <c r="W29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07">
        <f>ReconciliationData[[#This Row],[Billed_Units]]*ReconciliationData[[#This Row],[Billed_Price]]</f>
        <v>28328.4876</v>
      </c>
      <c r="Y2907">
        <f>ReconciliationData[[#This Row],[ordered_units]]*ReconciliationData[[#This Row],[List_Price]]</f>
        <v>28328.4876</v>
      </c>
      <c r="Z2907">
        <f>ReconciliationData[[#This Row],[billed_revenue]]-ReconciliationData[[#This Row],[expected_revenue]]</f>
        <v>0</v>
      </c>
      <c r="AA29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07" t="str">
        <f>IF(ReconciliationData[[#This Row],[severity_score]]=0,"LOW",
 IF(ReconciliationData[[#This Row],[severity_score]]&lt;=5,"MEDIUM","HIGH"))</f>
        <v>LOW</v>
      </c>
      <c r="AC2907" t="str">
        <f>TEXT(ReconciliationData[[#This Row],[Order_Date]],"YYYY-MM")</f>
        <v>2023-05</v>
      </c>
    </row>
    <row r="2908" spans="1:29">
      <c r="A2908" t="s">
        <v>7026</v>
      </c>
      <c r="B2908" s="1">
        <v>45163</v>
      </c>
      <c r="C2908" t="s">
        <v>774</v>
      </c>
      <c r="D2908" t="s">
        <v>789</v>
      </c>
      <c r="E2908">
        <v>86</v>
      </c>
      <c r="F2908" t="s">
        <v>7027</v>
      </c>
      <c r="G2908">
        <v>86</v>
      </c>
      <c r="H2908">
        <v>1026.4637</v>
      </c>
      <c r="N2908">
        <v>1026.4637</v>
      </c>
      <c r="O2908" s="1">
        <v>44967</v>
      </c>
      <c r="P2908">
        <f>IF(ISBLANK(ReconciliationData[[#This Row],[Invoice_ID]]),1,0)</f>
        <v>0</v>
      </c>
      <c r="Q2908">
        <f>IF(AND(NOT(ISBLANK(ReconciliationData[[#This Row],[Billed_Units]])),ReconciliationData[[#This Row],[ordered_units]]&lt;&gt;ReconciliationData[[#This Row],[Billed_Units]]),1,0)</f>
        <v>0</v>
      </c>
      <c r="R29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8">
        <f>IF(AND(NOT(ISBLANK(ReconciliationData[[#This Row],[Contract_Price]])),ReconciliationData[[#This Row],[Billed_Price]]&lt;&gt;ReconciliationData[[#This Row],[Contract_Price]]),1,0)</f>
        <v>0</v>
      </c>
      <c r="T2908">
        <f>IF(AND(NOT(ISBLANK(ReconciliationData[[#This Row],[End_Date]])),ReconciliationData[[#This Row],[Order_Date]]&gt;ReconciliationData[[#This Row],[End_Date]]),1,0)</f>
        <v>0</v>
      </c>
      <c r="U2908">
        <f>IF(AND(NOT(ISBLANK(ReconciliationData[[#This Row],[last_return_date]])),ReconciliationData[[#This Row],[last_return_date]]&gt;ReconciliationData[[#This Row],[Order_Date]]+60),1,0)</f>
        <v>0</v>
      </c>
      <c r="V2908">
        <f>IF(ReconciliationData[[#This Row],[total_returned_units]]&gt;ReconciliationData[[#This Row],[ordered_units]],1,0)</f>
        <v>0</v>
      </c>
      <c r="W29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08">
        <f>ReconciliationData[[#This Row],[Billed_Units]]*ReconciliationData[[#This Row],[Billed_Price]]</f>
        <v>88275.878200000006</v>
      </c>
      <c r="Y2908">
        <f>ReconciliationData[[#This Row],[ordered_units]]*ReconciliationData[[#This Row],[List_Price]]</f>
        <v>88275.878200000006</v>
      </c>
      <c r="Z2908">
        <f>ReconciliationData[[#This Row],[billed_revenue]]-ReconciliationData[[#This Row],[expected_revenue]]</f>
        <v>0</v>
      </c>
      <c r="AA29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08" t="str">
        <f>IF(ReconciliationData[[#This Row],[severity_score]]=0,"LOW",
 IF(ReconciliationData[[#This Row],[severity_score]]&lt;=5,"MEDIUM","HIGH"))</f>
        <v>LOW</v>
      </c>
      <c r="AC2908" t="str">
        <f>TEXT(ReconciliationData[[#This Row],[Order_Date]],"YYYY-MM")</f>
        <v>2023-08</v>
      </c>
    </row>
    <row r="2909" spans="1:29">
      <c r="A2909" t="s">
        <v>7028</v>
      </c>
      <c r="B2909" s="1">
        <v>45108</v>
      </c>
      <c r="C2909" t="s">
        <v>1462</v>
      </c>
      <c r="D2909" t="s">
        <v>825</v>
      </c>
      <c r="E2909">
        <v>46</v>
      </c>
      <c r="F2909" t="s">
        <v>7029</v>
      </c>
      <c r="G2909">
        <v>46</v>
      </c>
      <c r="H2909">
        <v>752.48910000000001</v>
      </c>
      <c r="N2909">
        <v>752.48910000000001</v>
      </c>
      <c r="O2909" s="1">
        <v>44953</v>
      </c>
      <c r="P2909">
        <f>IF(ISBLANK(ReconciliationData[[#This Row],[Invoice_ID]]),1,0)</f>
        <v>0</v>
      </c>
      <c r="Q2909">
        <f>IF(AND(NOT(ISBLANK(ReconciliationData[[#This Row],[Billed_Units]])),ReconciliationData[[#This Row],[ordered_units]]&lt;&gt;ReconciliationData[[#This Row],[Billed_Units]]),1,0)</f>
        <v>0</v>
      </c>
      <c r="R29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09">
        <f>IF(AND(NOT(ISBLANK(ReconciliationData[[#This Row],[Contract_Price]])),ReconciliationData[[#This Row],[Billed_Price]]&lt;&gt;ReconciliationData[[#This Row],[Contract_Price]]),1,0)</f>
        <v>0</v>
      </c>
      <c r="T2909">
        <f>IF(AND(NOT(ISBLANK(ReconciliationData[[#This Row],[End_Date]])),ReconciliationData[[#This Row],[Order_Date]]&gt;ReconciliationData[[#This Row],[End_Date]]),1,0)</f>
        <v>0</v>
      </c>
      <c r="U2909">
        <f>IF(AND(NOT(ISBLANK(ReconciliationData[[#This Row],[last_return_date]])),ReconciliationData[[#This Row],[last_return_date]]&gt;ReconciliationData[[#This Row],[Order_Date]]+60),1,0)</f>
        <v>0</v>
      </c>
      <c r="V2909">
        <f>IF(ReconciliationData[[#This Row],[total_returned_units]]&gt;ReconciliationData[[#This Row],[ordered_units]],1,0)</f>
        <v>0</v>
      </c>
      <c r="W29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09">
        <f>ReconciliationData[[#This Row],[Billed_Units]]*ReconciliationData[[#This Row],[Billed_Price]]</f>
        <v>34614.498599999999</v>
      </c>
      <c r="Y2909">
        <f>ReconciliationData[[#This Row],[ordered_units]]*ReconciliationData[[#This Row],[List_Price]]</f>
        <v>34614.498599999999</v>
      </c>
      <c r="Z2909">
        <f>ReconciliationData[[#This Row],[billed_revenue]]-ReconciliationData[[#This Row],[expected_revenue]]</f>
        <v>0</v>
      </c>
      <c r="AA29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09" t="str">
        <f>IF(ReconciliationData[[#This Row],[severity_score]]=0,"LOW",
 IF(ReconciliationData[[#This Row],[severity_score]]&lt;=5,"MEDIUM","HIGH"))</f>
        <v>LOW</v>
      </c>
      <c r="AC2909" t="str">
        <f>TEXT(ReconciliationData[[#This Row],[Order_Date]],"YYYY-MM")</f>
        <v>2023-07</v>
      </c>
    </row>
    <row r="2910" spans="1:29">
      <c r="A2910" t="s">
        <v>7030</v>
      </c>
      <c r="B2910" s="1">
        <v>44931</v>
      </c>
      <c r="C2910" t="s">
        <v>1027</v>
      </c>
      <c r="D2910" t="s">
        <v>251</v>
      </c>
      <c r="E2910">
        <v>107</v>
      </c>
      <c r="F2910" t="s">
        <v>7031</v>
      </c>
      <c r="G2910">
        <v>107</v>
      </c>
      <c r="H2910">
        <v>975.72600000000011</v>
      </c>
      <c r="N2910">
        <v>975.72600000000011</v>
      </c>
      <c r="O2910" s="1">
        <v>44864</v>
      </c>
      <c r="P2910">
        <f>IF(ISBLANK(ReconciliationData[[#This Row],[Invoice_ID]]),1,0)</f>
        <v>0</v>
      </c>
      <c r="Q2910">
        <f>IF(AND(NOT(ISBLANK(ReconciliationData[[#This Row],[Billed_Units]])),ReconciliationData[[#This Row],[ordered_units]]&lt;&gt;ReconciliationData[[#This Row],[Billed_Units]]),1,0)</f>
        <v>0</v>
      </c>
      <c r="R29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0">
        <f>IF(AND(NOT(ISBLANK(ReconciliationData[[#This Row],[Contract_Price]])),ReconciliationData[[#This Row],[Billed_Price]]&lt;&gt;ReconciliationData[[#This Row],[Contract_Price]]),1,0)</f>
        <v>0</v>
      </c>
      <c r="T2910">
        <f>IF(AND(NOT(ISBLANK(ReconciliationData[[#This Row],[End_Date]])),ReconciliationData[[#This Row],[Order_Date]]&gt;ReconciliationData[[#This Row],[End_Date]]),1,0)</f>
        <v>0</v>
      </c>
      <c r="U2910">
        <f>IF(AND(NOT(ISBLANK(ReconciliationData[[#This Row],[last_return_date]])),ReconciliationData[[#This Row],[last_return_date]]&gt;ReconciliationData[[#This Row],[Order_Date]]+60),1,0)</f>
        <v>0</v>
      </c>
      <c r="V2910">
        <f>IF(ReconciliationData[[#This Row],[total_returned_units]]&gt;ReconciliationData[[#This Row],[ordered_units]],1,0)</f>
        <v>0</v>
      </c>
      <c r="W29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10">
        <f>ReconciliationData[[#This Row],[Billed_Units]]*ReconciliationData[[#This Row],[Billed_Price]]</f>
        <v>104402.68200000002</v>
      </c>
      <c r="Y2910">
        <f>ReconciliationData[[#This Row],[ordered_units]]*ReconciliationData[[#This Row],[List_Price]]</f>
        <v>104402.68200000002</v>
      </c>
      <c r="Z2910">
        <f>ReconciliationData[[#This Row],[billed_revenue]]-ReconciliationData[[#This Row],[expected_revenue]]</f>
        <v>0</v>
      </c>
      <c r="AA29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10" t="str">
        <f>IF(ReconciliationData[[#This Row],[severity_score]]=0,"LOW",
 IF(ReconciliationData[[#This Row],[severity_score]]&lt;=5,"MEDIUM","HIGH"))</f>
        <v>LOW</v>
      </c>
      <c r="AC2910" t="str">
        <f>TEXT(ReconciliationData[[#This Row],[Order_Date]],"YYYY-MM")</f>
        <v>2023-01</v>
      </c>
    </row>
    <row r="2911" spans="1:29">
      <c r="A2911" t="s">
        <v>7032</v>
      </c>
      <c r="B2911" s="1">
        <v>45649</v>
      </c>
      <c r="C2911" t="s">
        <v>3646</v>
      </c>
      <c r="D2911" t="s">
        <v>694</v>
      </c>
      <c r="E2911">
        <v>51</v>
      </c>
      <c r="F2911" t="s">
        <v>7033</v>
      </c>
      <c r="G2911">
        <v>51</v>
      </c>
      <c r="H2911">
        <v>618.375</v>
      </c>
      <c r="N2911">
        <v>618.375</v>
      </c>
      <c r="O2911" s="1">
        <v>45124</v>
      </c>
      <c r="P2911">
        <f>IF(ISBLANK(ReconciliationData[[#This Row],[Invoice_ID]]),1,0)</f>
        <v>0</v>
      </c>
      <c r="Q2911">
        <f>IF(AND(NOT(ISBLANK(ReconciliationData[[#This Row],[Billed_Units]])),ReconciliationData[[#This Row],[ordered_units]]&lt;&gt;ReconciliationData[[#This Row],[Billed_Units]]),1,0)</f>
        <v>0</v>
      </c>
      <c r="R29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1">
        <f>IF(AND(NOT(ISBLANK(ReconciliationData[[#This Row],[Contract_Price]])),ReconciliationData[[#This Row],[Billed_Price]]&lt;&gt;ReconciliationData[[#This Row],[Contract_Price]]),1,0)</f>
        <v>0</v>
      </c>
      <c r="T2911">
        <f>IF(AND(NOT(ISBLANK(ReconciliationData[[#This Row],[End_Date]])),ReconciliationData[[#This Row],[Order_Date]]&gt;ReconciliationData[[#This Row],[End_Date]]),1,0)</f>
        <v>0</v>
      </c>
      <c r="U2911">
        <f>IF(AND(NOT(ISBLANK(ReconciliationData[[#This Row],[last_return_date]])),ReconciliationData[[#This Row],[last_return_date]]&gt;ReconciliationData[[#This Row],[Order_Date]]+60),1,0)</f>
        <v>0</v>
      </c>
      <c r="V2911">
        <f>IF(ReconciliationData[[#This Row],[total_returned_units]]&gt;ReconciliationData[[#This Row],[ordered_units]],1,0)</f>
        <v>0</v>
      </c>
      <c r="W29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11">
        <f>ReconciliationData[[#This Row],[Billed_Units]]*ReconciliationData[[#This Row],[Billed_Price]]</f>
        <v>31537.125</v>
      </c>
      <c r="Y2911">
        <f>ReconciliationData[[#This Row],[ordered_units]]*ReconciliationData[[#This Row],[List_Price]]</f>
        <v>31537.125</v>
      </c>
      <c r="Z2911">
        <f>ReconciliationData[[#This Row],[billed_revenue]]-ReconciliationData[[#This Row],[expected_revenue]]</f>
        <v>0</v>
      </c>
      <c r="AA29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11" t="str">
        <f>IF(ReconciliationData[[#This Row],[severity_score]]=0,"LOW",
 IF(ReconciliationData[[#This Row],[severity_score]]&lt;=5,"MEDIUM","HIGH"))</f>
        <v>LOW</v>
      </c>
      <c r="AC2911" t="str">
        <f>TEXT(ReconciliationData[[#This Row],[Order_Date]],"YYYY-MM")</f>
        <v>2024-12</v>
      </c>
    </row>
    <row r="2912" spans="1:29">
      <c r="A2912" t="s">
        <v>7034</v>
      </c>
      <c r="B2912" s="1">
        <v>45149</v>
      </c>
      <c r="C2912" t="s">
        <v>646</v>
      </c>
      <c r="D2912" t="s">
        <v>1571</v>
      </c>
      <c r="E2912">
        <v>197</v>
      </c>
      <c r="F2912" t="s">
        <v>7035</v>
      </c>
      <c r="G2912">
        <v>197</v>
      </c>
      <c r="H2912">
        <v>1226.9154000000001</v>
      </c>
      <c r="N2912">
        <v>1226.9154000000001</v>
      </c>
      <c r="O2912" s="1">
        <v>45032</v>
      </c>
      <c r="P2912">
        <f>IF(ISBLANK(ReconciliationData[[#This Row],[Invoice_ID]]),1,0)</f>
        <v>0</v>
      </c>
      <c r="Q2912">
        <f>IF(AND(NOT(ISBLANK(ReconciliationData[[#This Row],[Billed_Units]])),ReconciliationData[[#This Row],[ordered_units]]&lt;&gt;ReconciliationData[[#This Row],[Billed_Units]]),1,0)</f>
        <v>0</v>
      </c>
      <c r="R29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2">
        <f>IF(AND(NOT(ISBLANK(ReconciliationData[[#This Row],[Contract_Price]])),ReconciliationData[[#This Row],[Billed_Price]]&lt;&gt;ReconciliationData[[#This Row],[Contract_Price]]),1,0)</f>
        <v>0</v>
      </c>
      <c r="T2912">
        <f>IF(AND(NOT(ISBLANK(ReconciliationData[[#This Row],[End_Date]])),ReconciliationData[[#This Row],[Order_Date]]&gt;ReconciliationData[[#This Row],[End_Date]]),1,0)</f>
        <v>0</v>
      </c>
      <c r="U2912">
        <f>IF(AND(NOT(ISBLANK(ReconciliationData[[#This Row],[last_return_date]])),ReconciliationData[[#This Row],[last_return_date]]&gt;ReconciliationData[[#This Row],[Order_Date]]+60),1,0)</f>
        <v>0</v>
      </c>
      <c r="V2912">
        <f>IF(ReconciliationData[[#This Row],[total_returned_units]]&gt;ReconciliationData[[#This Row],[ordered_units]],1,0)</f>
        <v>0</v>
      </c>
      <c r="W29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12">
        <f>ReconciliationData[[#This Row],[Billed_Units]]*ReconciliationData[[#This Row],[Billed_Price]]</f>
        <v>241702.33380000002</v>
      </c>
      <c r="Y2912">
        <f>ReconciliationData[[#This Row],[ordered_units]]*ReconciliationData[[#This Row],[List_Price]]</f>
        <v>241702.33380000002</v>
      </c>
      <c r="Z2912">
        <f>ReconciliationData[[#This Row],[billed_revenue]]-ReconciliationData[[#This Row],[expected_revenue]]</f>
        <v>0</v>
      </c>
      <c r="AA29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12" t="str">
        <f>IF(ReconciliationData[[#This Row],[severity_score]]=0,"LOW",
 IF(ReconciliationData[[#This Row],[severity_score]]&lt;=5,"MEDIUM","HIGH"))</f>
        <v>LOW</v>
      </c>
      <c r="AC2912" t="str">
        <f>TEXT(ReconciliationData[[#This Row],[Order_Date]],"YYYY-MM")</f>
        <v>2023-08</v>
      </c>
    </row>
    <row r="2913" spans="1:29">
      <c r="A2913" t="s">
        <v>7036</v>
      </c>
      <c r="B2913" s="1">
        <v>45017</v>
      </c>
      <c r="C2913" t="s">
        <v>1232</v>
      </c>
      <c r="D2913" t="s">
        <v>1459</v>
      </c>
      <c r="E2913">
        <v>41</v>
      </c>
      <c r="F2913" t="s">
        <v>7037</v>
      </c>
      <c r="G2913">
        <v>37</v>
      </c>
      <c r="H2913">
        <v>1208.5299</v>
      </c>
      <c r="N2913">
        <v>1208.5299</v>
      </c>
      <c r="O2913" s="1">
        <v>44983</v>
      </c>
      <c r="P2913">
        <f>IF(ISBLANK(ReconciliationData[[#This Row],[Invoice_ID]]),1,0)</f>
        <v>0</v>
      </c>
      <c r="Q2913">
        <f>IF(AND(NOT(ISBLANK(ReconciliationData[[#This Row],[Billed_Units]])),ReconciliationData[[#This Row],[ordered_units]]&lt;&gt;ReconciliationData[[#This Row],[Billed_Units]]),1,0)</f>
        <v>1</v>
      </c>
      <c r="R29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3">
        <f>IF(AND(NOT(ISBLANK(ReconciliationData[[#This Row],[Contract_Price]])),ReconciliationData[[#This Row],[Billed_Price]]&lt;&gt;ReconciliationData[[#This Row],[Contract_Price]]),1,0)</f>
        <v>0</v>
      </c>
      <c r="T2913">
        <f>IF(AND(NOT(ISBLANK(ReconciliationData[[#This Row],[End_Date]])),ReconciliationData[[#This Row],[Order_Date]]&gt;ReconciliationData[[#This Row],[End_Date]]),1,0)</f>
        <v>0</v>
      </c>
      <c r="U2913">
        <f>IF(AND(NOT(ISBLANK(ReconciliationData[[#This Row],[last_return_date]])),ReconciliationData[[#This Row],[last_return_date]]&gt;ReconciliationData[[#This Row],[Order_Date]]+60),1,0)</f>
        <v>0</v>
      </c>
      <c r="V2913">
        <f>IF(ReconciliationData[[#This Row],[total_returned_units]]&gt;ReconciliationData[[#This Row],[ordered_units]],1,0)</f>
        <v>0</v>
      </c>
      <c r="W29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13">
        <f>ReconciliationData[[#This Row],[Billed_Units]]*ReconciliationData[[#This Row],[Billed_Price]]</f>
        <v>44715.606299999999</v>
      </c>
      <c r="Y2913">
        <f>ReconciliationData[[#This Row],[ordered_units]]*ReconciliationData[[#This Row],[List_Price]]</f>
        <v>49549.725899999998</v>
      </c>
      <c r="Z2913">
        <f>ReconciliationData[[#This Row],[billed_revenue]]-ReconciliationData[[#This Row],[expected_revenue]]</f>
        <v>-4834.1195999999982</v>
      </c>
      <c r="AA29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913" t="str">
        <f>IF(ReconciliationData[[#This Row],[severity_score]]=0,"LOW",
 IF(ReconciliationData[[#This Row],[severity_score]]&lt;=5,"MEDIUM","HIGH"))</f>
        <v>HIGH</v>
      </c>
      <c r="AC2913" t="str">
        <f>TEXT(ReconciliationData[[#This Row],[Order_Date]],"YYYY-MM")</f>
        <v>2023-04</v>
      </c>
    </row>
    <row r="2914" spans="1:29">
      <c r="A2914" t="s">
        <v>7038</v>
      </c>
      <c r="B2914" s="1">
        <v>45572</v>
      </c>
      <c r="C2914" t="s">
        <v>215</v>
      </c>
      <c r="D2914" t="s">
        <v>453</v>
      </c>
      <c r="E2914">
        <v>141</v>
      </c>
      <c r="F2914" t="s">
        <v>7039</v>
      </c>
      <c r="G2914">
        <v>141</v>
      </c>
      <c r="H2914">
        <v>1184.9544000000001</v>
      </c>
      <c r="I2914">
        <v>1</v>
      </c>
      <c r="J2914" s="1">
        <v>45581</v>
      </c>
      <c r="N2914">
        <v>1184.9544000000001</v>
      </c>
      <c r="O2914" s="1">
        <v>45171</v>
      </c>
      <c r="P2914">
        <f>IF(ISBLANK(ReconciliationData[[#This Row],[Invoice_ID]]),1,0)</f>
        <v>0</v>
      </c>
      <c r="Q2914">
        <f>IF(AND(NOT(ISBLANK(ReconciliationData[[#This Row],[Billed_Units]])),ReconciliationData[[#This Row],[ordered_units]]&lt;&gt;ReconciliationData[[#This Row],[Billed_Units]]),1,0)</f>
        <v>0</v>
      </c>
      <c r="R29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4">
        <f>IF(AND(NOT(ISBLANK(ReconciliationData[[#This Row],[Contract_Price]])),ReconciliationData[[#This Row],[Billed_Price]]&lt;&gt;ReconciliationData[[#This Row],[Contract_Price]]),1,0)</f>
        <v>0</v>
      </c>
      <c r="T2914">
        <f>IF(AND(NOT(ISBLANK(ReconciliationData[[#This Row],[End_Date]])),ReconciliationData[[#This Row],[Order_Date]]&gt;ReconciliationData[[#This Row],[End_Date]]),1,0)</f>
        <v>0</v>
      </c>
      <c r="U2914">
        <f>IF(AND(NOT(ISBLANK(ReconciliationData[[#This Row],[last_return_date]])),ReconciliationData[[#This Row],[last_return_date]]&gt;ReconciliationData[[#This Row],[Order_Date]]+60),1,0)</f>
        <v>0</v>
      </c>
      <c r="V2914">
        <f>IF(ReconciliationData[[#This Row],[total_returned_units]]&gt;ReconciliationData[[#This Row],[ordered_units]],1,0)</f>
        <v>0</v>
      </c>
      <c r="W29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14">
        <f>ReconciliationData[[#This Row],[Billed_Units]]*ReconciliationData[[#This Row],[Billed_Price]]</f>
        <v>167078.5704</v>
      </c>
      <c r="Y2914">
        <f>ReconciliationData[[#This Row],[ordered_units]]*ReconciliationData[[#This Row],[List_Price]]</f>
        <v>167078.5704</v>
      </c>
      <c r="Z2914">
        <f>ReconciliationData[[#This Row],[billed_revenue]]-ReconciliationData[[#This Row],[expected_revenue]]</f>
        <v>0</v>
      </c>
      <c r="AA29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14" t="str">
        <f>IF(ReconciliationData[[#This Row],[severity_score]]=0,"LOW",
 IF(ReconciliationData[[#This Row],[severity_score]]&lt;=5,"MEDIUM","HIGH"))</f>
        <v>LOW</v>
      </c>
      <c r="AC2914" t="str">
        <f>TEXT(ReconciliationData[[#This Row],[Order_Date]],"YYYY-MM")</f>
        <v>2024-10</v>
      </c>
    </row>
    <row r="2915" spans="1:29">
      <c r="A2915" t="s">
        <v>7040</v>
      </c>
      <c r="B2915" s="1">
        <v>45657</v>
      </c>
      <c r="C2915" t="s">
        <v>1688</v>
      </c>
      <c r="D2915" t="s">
        <v>825</v>
      </c>
      <c r="E2915">
        <v>105</v>
      </c>
      <c r="F2915" t="s">
        <v>7041</v>
      </c>
      <c r="G2915">
        <v>105</v>
      </c>
      <c r="H2915">
        <v>752.48910000000001</v>
      </c>
      <c r="N2915">
        <v>752.48910000000001</v>
      </c>
      <c r="O2915" s="1">
        <v>44953</v>
      </c>
      <c r="P2915">
        <f>IF(ISBLANK(ReconciliationData[[#This Row],[Invoice_ID]]),1,0)</f>
        <v>0</v>
      </c>
      <c r="Q2915">
        <f>IF(AND(NOT(ISBLANK(ReconciliationData[[#This Row],[Billed_Units]])),ReconciliationData[[#This Row],[ordered_units]]&lt;&gt;ReconciliationData[[#This Row],[Billed_Units]]),1,0)</f>
        <v>0</v>
      </c>
      <c r="R29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5">
        <f>IF(AND(NOT(ISBLANK(ReconciliationData[[#This Row],[Contract_Price]])),ReconciliationData[[#This Row],[Billed_Price]]&lt;&gt;ReconciliationData[[#This Row],[Contract_Price]]),1,0)</f>
        <v>0</v>
      </c>
      <c r="T2915">
        <f>IF(AND(NOT(ISBLANK(ReconciliationData[[#This Row],[End_Date]])),ReconciliationData[[#This Row],[Order_Date]]&gt;ReconciliationData[[#This Row],[End_Date]]),1,0)</f>
        <v>0</v>
      </c>
      <c r="U2915">
        <f>IF(AND(NOT(ISBLANK(ReconciliationData[[#This Row],[last_return_date]])),ReconciliationData[[#This Row],[last_return_date]]&gt;ReconciliationData[[#This Row],[Order_Date]]+60),1,0)</f>
        <v>0</v>
      </c>
      <c r="V2915">
        <f>IF(ReconciliationData[[#This Row],[total_returned_units]]&gt;ReconciliationData[[#This Row],[ordered_units]],1,0)</f>
        <v>0</v>
      </c>
      <c r="W29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15">
        <f>ReconciliationData[[#This Row],[Billed_Units]]*ReconciliationData[[#This Row],[Billed_Price]]</f>
        <v>79011.355500000005</v>
      </c>
      <c r="Y2915">
        <f>ReconciliationData[[#This Row],[ordered_units]]*ReconciliationData[[#This Row],[List_Price]]</f>
        <v>79011.355500000005</v>
      </c>
      <c r="Z2915">
        <f>ReconciliationData[[#This Row],[billed_revenue]]-ReconciliationData[[#This Row],[expected_revenue]]</f>
        <v>0</v>
      </c>
      <c r="AA29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15" t="str">
        <f>IF(ReconciliationData[[#This Row],[severity_score]]=0,"LOW",
 IF(ReconciliationData[[#This Row],[severity_score]]&lt;=5,"MEDIUM","HIGH"))</f>
        <v>LOW</v>
      </c>
      <c r="AC2915" t="str">
        <f>TEXT(ReconciliationData[[#This Row],[Order_Date]],"YYYY-MM")</f>
        <v>2024-12</v>
      </c>
    </row>
    <row r="2916" spans="1:29">
      <c r="A2916" t="s">
        <v>7042</v>
      </c>
      <c r="B2916" s="1">
        <v>45430</v>
      </c>
      <c r="C2916" t="s">
        <v>4265</v>
      </c>
      <c r="D2916" t="s">
        <v>1179</v>
      </c>
      <c r="E2916">
        <v>20</v>
      </c>
      <c r="F2916" t="s">
        <v>7043</v>
      </c>
      <c r="G2916">
        <v>20</v>
      </c>
      <c r="H2916">
        <v>892.1431</v>
      </c>
      <c r="N2916">
        <v>892.1431</v>
      </c>
      <c r="O2916" s="1">
        <v>45222</v>
      </c>
      <c r="P2916">
        <f>IF(ISBLANK(ReconciliationData[[#This Row],[Invoice_ID]]),1,0)</f>
        <v>0</v>
      </c>
      <c r="Q2916">
        <f>IF(AND(NOT(ISBLANK(ReconciliationData[[#This Row],[Billed_Units]])),ReconciliationData[[#This Row],[ordered_units]]&lt;&gt;ReconciliationData[[#This Row],[Billed_Units]]),1,0)</f>
        <v>0</v>
      </c>
      <c r="R29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6">
        <f>IF(AND(NOT(ISBLANK(ReconciliationData[[#This Row],[Contract_Price]])),ReconciliationData[[#This Row],[Billed_Price]]&lt;&gt;ReconciliationData[[#This Row],[Contract_Price]]),1,0)</f>
        <v>0</v>
      </c>
      <c r="T2916">
        <f>IF(AND(NOT(ISBLANK(ReconciliationData[[#This Row],[End_Date]])),ReconciliationData[[#This Row],[Order_Date]]&gt;ReconciliationData[[#This Row],[End_Date]]),1,0)</f>
        <v>0</v>
      </c>
      <c r="U2916">
        <f>IF(AND(NOT(ISBLANK(ReconciliationData[[#This Row],[last_return_date]])),ReconciliationData[[#This Row],[last_return_date]]&gt;ReconciliationData[[#This Row],[Order_Date]]+60),1,0)</f>
        <v>0</v>
      </c>
      <c r="V2916">
        <f>IF(ReconciliationData[[#This Row],[total_returned_units]]&gt;ReconciliationData[[#This Row],[ordered_units]],1,0)</f>
        <v>0</v>
      </c>
      <c r="W29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16">
        <f>ReconciliationData[[#This Row],[Billed_Units]]*ReconciliationData[[#This Row],[Billed_Price]]</f>
        <v>17842.862000000001</v>
      </c>
      <c r="Y2916">
        <f>ReconciliationData[[#This Row],[ordered_units]]*ReconciliationData[[#This Row],[List_Price]]</f>
        <v>17842.862000000001</v>
      </c>
      <c r="Z2916">
        <f>ReconciliationData[[#This Row],[billed_revenue]]-ReconciliationData[[#This Row],[expected_revenue]]</f>
        <v>0</v>
      </c>
      <c r="AA29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16" t="str">
        <f>IF(ReconciliationData[[#This Row],[severity_score]]=0,"LOW",
 IF(ReconciliationData[[#This Row],[severity_score]]&lt;=5,"MEDIUM","HIGH"))</f>
        <v>LOW</v>
      </c>
      <c r="AC2916" t="str">
        <f>TEXT(ReconciliationData[[#This Row],[Order_Date]],"YYYY-MM")</f>
        <v>2024-05</v>
      </c>
    </row>
    <row r="2917" spans="1:29">
      <c r="A2917" t="s">
        <v>7044</v>
      </c>
      <c r="B2917" s="1">
        <v>45318</v>
      </c>
      <c r="C2917" t="s">
        <v>1321</v>
      </c>
      <c r="D2917" t="s">
        <v>718</v>
      </c>
      <c r="E2917">
        <v>4</v>
      </c>
      <c r="F2917" t="s">
        <v>7045</v>
      </c>
      <c r="G2917">
        <v>4</v>
      </c>
      <c r="H2917">
        <v>287.14</v>
      </c>
      <c r="N2917">
        <v>287.14</v>
      </c>
      <c r="O2917" s="1">
        <v>44977</v>
      </c>
      <c r="P2917">
        <f>IF(ISBLANK(ReconciliationData[[#This Row],[Invoice_ID]]),1,0)</f>
        <v>0</v>
      </c>
      <c r="Q2917">
        <f>IF(AND(NOT(ISBLANK(ReconciliationData[[#This Row],[Billed_Units]])),ReconciliationData[[#This Row],[ordered_units]]&lt;&gt;ReconciliationData[[#This Row],[Billed_Units]]),1,0)</f>
        <v>0</v>
      </c>
      <c r="R29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7">
        <f>IF(AND(NOT(ISBLANK(ReconciliationData[[#This Row],[Contract_Price]])),ReconciliationData[[#This Row],[Billed_Price]]&lt;&gt;ReconciliationData[[#This Row],[Contract_Price]]),1,0)</f>
        <v>0</v>
      </c>
      <c r="T2917">
        <f>IF(AND(NOT(ISBLANK(ReconciliationData[[#This Row],[End_Date]])),ReconciliationData[[#This Row],[Order_Date]]&gt;ReconciliationData[[#This Row],[End_Date]]),1,0)</f>
        <v>0</v>
      </c>
      <c r="U2917">
        <f>IF(AND(NOT(ISBLANK(ReconciliationData[[#This Row],[last_return_date]])),ReconciliationData[[#This Row],[last_return_date]]&gt;ReconciliationData[[#This Row],[Order_Date]]+60),1,0)</f>
        <v>0</v>
      </c>
      <c r="V2917">
        <f>IF(ReconciliationData[[#This Row],[total_returned_units]]&gt;ReconciliationData[[#This Row],[ordered_units]],1,0)</f>
        <v>0</v>
      </c>
      <c r="W29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17">
        <f>ReconciliationData[[#This Row],[Billed_Units]]*ReconciliationData[[#This Row],[Billed_Price]]</f>
        <v>1148.56</v>
      </c>
      <c r="Y2917">
        <f>ReconciliationData[[#This Row],[ordered_units]]*ReconciliationData[[#This Row],[List_Price]]</f>
        <v>1148.56</v>
      </c>
      <c r="Z2917">
        <f>ReconciliationData[[#This Row],[billed_revenue]]-ReconciliationData[[#This Row],[expected_revenue]]</f>
        <v>0</v>
      </c>
      <c r="AA29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17" t="str">
        <f>IF(ReconciliationData[[#This Row],[severity_score]]=0,"LOW",
 IF(ReconciliationData[[#This Row],[severity_score]]&lt;=5,"MEDIUM","HIGH"))</f>
        <v>LOW</v>
      </c>
      <c r="AC2917" t="str">
        <f>TEXT(ReconciliationData[[#This Row],[Order_Date]],"YYYY-MM")</f>
        <v>2024-01</v>
      </c>
    </row>
    <row r="2918" spans="1:29">
      <c r="A2918" t="s">
        <v>7046</v>
      </c>
      <c r="B2918" s="1">
        <v>44945</v>
      </c>
      <c r="C2918" t="s">
        <v>2430</v>
      </c>
      <c r="D2918" t="s">
        <v>345</v>
      </c>
      <c r="E2918">
        <v>33</v>
      </c>
      <c r="F2918" t="s">
        <v>7047</v>
      </c>
      <c r="G2918">
        <v>29</v>
      </c>
      <c r="H2918">
        <v>574.3415</v>
      </c>
      <c r="N2918">
        <v>574.3415</v>
      </c>
      <c r="O2918" s="1">
        <v>44806</v>
      </c>
      <c r="P2918">
        <f>IF(ISBLANK(ReconciliationData[[#This Row],[Invoice_ID]]),1,0)</f>
        <v>0</v>
      </c>
      <c r="Q2918">
        <f>IF(AND(NOT(ISBLANK(ReconciliationData[[#This Row],[Billed_Units]])),ReconciliationData[[#This Row],[ordered_units]]&lt;&gt;ReconciliationData[[#This Row],[Billed_Units]]),1,0)</f>
        <v>1</v>
      </c>
      <c r="R29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8">
        <f>IF(AND(NOT(ISBLANK(ReconciliationData[[#This Row],[Contract_Price]])),ReconciliationData[[#This Row],[Billed_Price]]&lt;&gt;ReconciliationData[[#This Row],[Contract_Price]]),1,0)</f>
        <v>0</v>
      </c>
      <c r="T2918">
        <f>IF(AND(NOT(ISBLANK(ReconciliationData[[#This Row],[End_Date]])),ReconciliationData[[#This Row],[Order_Date]]&gt;ReconciliationData[[#This Row],[End_Date]]),1,0)</f>
        <v>0</v>
      </c>
      <c r="U2918">
        <f>IF(AND(NOT(ISBLANK(ReconciliationData[[#This Row],[last_return_date]])),ReconciliationData[[#This Row],[last_return_date]]&gt;ReconciliationData[[#This Row],[Order_Date]]+60),1,0)</f>
        <v>0</v>
      </c>
      <c r="V2918">
        <f>IF(ReconciliationData[[#This Row],[total_returned_units]]&gt;ReconciliationData[[#This Row],[ordered_units]],1,0)</f>
        <v>0</v>
      </c>
      <c r="W29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18">
        <f>ReconciliationData[[#This Row],[Billed_Units]]*ReconciliationData[[#This Row],[Billed_Price]]</f>
        <v>16655.9035</v>
      </c>
      <c r="Y2918">
        <f>ReconciliationData[[#This Row],[ordered_units]]*ReconciliationData[[#This Row],[List_Price]]</f>
        <v>18953.269499999999</v>
      </c>
      <c r="Z2918">
        <f>ReconciliationData[[#This Row],[billed_revenue]]-ReconciliationData[[#This Row],[expected_revenue]]</f>
        <v>-2297.3659999999982</v>
      </c>
      <c r="AA29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918" t="str">
        <f>IF(ReconciliationData[[#This Row],[severity_score]]=0,"LOW",
 IF(ReconciliationData[[#This Row],[severity_score]]&lt;=5,"MEDIUM","HIGH"))</f>
        <v>HIGH</v>
      </c>
      <c r="AC2918" t="str">
        <f>TEXT(ReconciliationData[[#This Row],[Order_Date]],"YYYY-MM")</f>
        <v>2023-01</v>
      </c>
    </row>
    <row r="2919" spans="1:29">
      <c r="A2919" t="s">
        <v>7048</v>
      </c>
      <c r="B2919" s="1">
        <v>45384</v>
      </c>
      <c r="C2919" t="s">
        <v>6796</v>
      </c>
      <c r="D2919" t="s">
        <v>821</v>
      </c>
      <c r="E2919">
        <v>36</v>
      </c>
      <c r="F2919" t="s">
        <v>7049</v>
      </c>
      <c r="G2919">
        <v>36</v>
      </c>
      <c r="H2919">
        <v>785.89</v>
      </c>
      <c r="N2919">
        <v>785.89</v>
      </c>
      <c r="O2919" s="1">
        <v>44989</v>
      </c>
      <c r="P2919">
        <f>IF(ISBLANK(ReconciliationData[[#This Row],[Invoice_ID]]),1,0)</f>
        <v>0</v>
      </c>
      <c r="Q2919">
        <f>IF(AND(NOT(ISBLANK(ReconciliationData[[#This Row],[Billed_Units]])),ReconciliationData[[#This Row],[ordered_units]]&lt;&gt;ReconciliationData[[#This Row],[Billed_Units]]),1,0)</f>
        <v>0</v>
      </c>
      <c r="R29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19">
        <f>IF(AND(NOT(ISBLANK(ReconciliationData[[#This Row],[Contract_Price]])),ReconciliationData[[#This Row],[Billed_Price]]&lt;&gt;ReconciliationData[[#This Row],[Contract_Price]]),1,0)</f>
        <v>0</v>
      </c>
      <c r="T2919">
        <f>IF(AND(NOT(ISBLANK(ReconciliationData[[#This Row],[End_Date]])),ReconciliationData[[#This Row],[Order_Date]]&gt;ReconciliationData[[#This Row],[End_Date]]),1,0)</f>
        <v>0</v>
      </c>
      <c r="U2919">
        <f>IF(AND(NOT(ISBLANK(ReconciliationData[[#This Row],[last_return_date]])),ReconciliationData[[#This Row],[last_return_date]]&gt;ReconciliationData[[#This Row],[Order_Date]]+60),1,0)</f>
        <v>0</v>
      </c>
      <c r="V2919">
        <f>IF(ReconciliationData[[#This Row],[total_returned_units]]&gt;ReconciliationData[[#This Row],[ordered_units]],1,0)</f>
        <v>0</v>
      </c>
      <c r="W29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19">
        <f>ReconciliationData[[#This Row],[Billed_Units]]*ReconciliationData[[#This Row],[Billed_Price]]</f>
        <v>28292.04</v>
      </c>
      <c r="Y2919">
        <f>ReconciliationData[[#This Row],[ordered_units]]*ReconciliationData[[#This Row],[List_Price]]</f>
        <v>28292.04</v>
      </c>
      <c r="Z2919">
        <f>ReconciliationData[[#This Row],[billed_revenue]]-ReconciliationData[[#This Row],[expected_revenue]]</f>
        <v>0</v>
      </c>
      <c r="AA29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19" t="str">
        <f>IF(ReconciliationData[[#This Row],[severity_score]]=0,"LOW",
 IF(ReconciliationData[[#This Row],[severity_score]]&lt;=5,"MEDIUM","HIGH"))</f>
        <v>LOW</v>
      </c>
      <c r="AC2919" t="str">
        <f>TEXT(ReconciliationData[[#This Row],[Order_Date]],"YYYY-MM")</f>
        <v>2024-04</v>
      </c>
    </row>
    <row r="2920" spans="1:29">
      <c r="A2920" t="s">
        <v>7050</v>
      </c>
      <c r="B2920" s="1">
        <v>45156</v>
      </c>
      <c r="C2920" t="s">
        <v>3157</v>
      </c>
      <c r="D2920" t="s">
        <v>1088</v>
      </c>
      <c r="E2920">
        <v>90</v>
      </c>
      <c r="F2920" t="s">
        <v>7051</v>
      </c>
      <c r="G2920">
        <v>90</v>
      </c>
      <c r="H2920">
        <v>72.63</v>
      </c>
      <c r="I2920">
        <v>10</v>
      </c>
      <c r="J2920" s="1">
        <v>45362</v>
      </c>
      <c r="N2920">
        <v>72.63</v>
      </c>
      <c r="O2920" s="1">
        <v>44956</v>
      </c>
      <c r="P2920">
        <f>IF(ISBLANK(ReconciliationData[[#This Row],[Invoice_ID]]),1,0)</f>
        <v>0</v>
      </c>
      <c r="Q2920">
        <f>IF(AND(NOT(ISBLANK(ReconciliationData[[#This Row],[Billed_Units]])),ReconciliationData[[#This Row],[ordered_units]]&lt;&gt;ReconciliationData[[#This Row],[Billed_Units]]),1,0)</f>
        <v>0</v>
      </c>
      <c r="R29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20">
        <f>IF(AND(NOT(ISBLANK(ReconciliationData[[#This Row],[Contract_Price]])),ReconciliationData[[#This Row],[Billed_Price]]&lt;&gt;ReconciliationData[[#This Row],[Contract_Price]]),1,0)</f>
        <v>0</v>
      </c>
      <c r="T2920">
        <f>IF(AND(NOT(ISBLANK(ReconciliationData[[#This Row],[End_Date]])),ReconciliationData[[#This Row],[Order_Date]]&gt;ReconciliationData[[#This Row],[End_Date]]),1,0)</f>
        <v>0</v>
      </c>
      <c r="U2920">
        <f>IF(AND(NOT(ISBLANK(ReconciliationData[[#This Row],[last_return_date]])),ReconciliationData[[#This Row],[last_return_date]]&gt;ReconciliationData[[#This Row],[Order_Date]]+60),1,0)</f>
        <v>1</v>
      </c>
      <c r="V2920">
        <f>IF(ReconciliationData[[#This Row],[total_returned_units]]&gt;ReconciliationData[[#This Row],[ordered_units]],1,0)</f>
        <v>0</v>
      </c>
      <c r="W29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20">
        <f>ReconciliationData[[#This Row],[Billed_Units]]*ReconciliationData[[#This Row],[Billed_Price]]</f>
        <v>6536.7</v>
      </c>
      <c r="Y2920">
        <f>ReconciliationData[[#This Row],[ordered_units]]*ReconciliationData[[#This Row],[List_Price]]</f>
        <v>6536.7</v>
      </c>
      <c r="Z2920">
        <f>ReconciliationData[[#This Row],[billed_revenue]]-ReconciliationData[[#This Row],[expected_revenue]]</f>
        <v>0</v>
      </c>
      <c r="AA29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920" t="str">
        <f>IF(ReconciliationData[[#This Row],[severity_score]]=0,"LOW",
 IF(ReconciliationData[[#This Row],[severity_score]]&lt;=5,"MEDIUM","HIGH"))</f>
        <v>MEDIUM</v>
      </c>
      <c r="AC2920" t="str">
        <f>TEXT(ReconciliationData[[#This Row],[Order_Date]],"YYYY-MM")</f>
        <v>2023-08</v>
      </c>
    </row>
    <row r="2921" spans="1:29">
      <c r="A2921" t="s">
        <v>7052</v>
      </c>
      <c r="B2921" s="1">
        <v>45597</v>
      </c>
      <c r="C2921" t="s">
        <v>6545</v>
      </c>
      <c r="D2921" t="s">
        <v>2035</v>
      </c>
      <c r="E2921">
        <v>11</v>
      </c>
      <c r="F2921" t="s">
        <v>7053</v>
      </c>
      <c r="G2921">
        <v>18</v>
      </c>
      <c r="H2921">
        <v>1160.71</v>
      </c>
      <c r="I2921">
        <v>10</v>
      </c>
      <c r="J2921" s="1">
        <v>45007</v>
      </c>
      <c r="N2921">
        <v>1160.71</v>
      </c>
      <c r="O2921" s="1">
        <v>44964</v>
      </c>
      <c r="P2921">
        <f>IF(ISBLANK(ReconciliationData[[#This Row],[Invoice_ID]]),1,0)</f>
        <v>0</v>
      </c>
      <c r="Q2921">
        <f>IF(AND(NOT(ISBLANK(ReconciliationData[[#This Row],[Billed_Units]])),ReconciliationData[[#This Row],[ordered_units]]&lt;&gt;ReconciliationData[[#This Row],[Billed_Units]]),1,0)</f>
        <v>1</v>
      </c>
      <c r="R29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21">
        <f>IF(AND(NOT(ISBLANK(ReconciliationData[[#This Row],[Contract_Price]])),ReconciliationData[[#This Row],[Billed_Price]]&lt;&gt;ReconciliationData[[#This Row],[Contract_Price]]),1,0)</f>
        <v>0</v>
      </c>
      <c r="T2921">
        <f>IF(AND(NOT(ISBLANK(ReconciliationData[[#This Row],[End_Date]])),ReconciliationData[[#This Row],[Order_Date]]&gt;ReconciliationData[[#This Row],[End_Date]]),1,0)</f>
        <v>0</v>
      </c>
      <c r="U2921">
        <f>IF(AND(NOT(ISBLANK(ReconciliationData[[#This Row],[last_return_date]])),ReconciliationData[[#This Row],[last_return_date]]&gt;ReconciliationData[[#This Row],[Order_Date]]+60),1,0)</f>
        <v>0</v>
      </c>
      <c r="V2921">
        <f>IF(ReconciliationData[[#This Row],[total_returned_units]]&gt;ReconciliationData[[#This Row],[ordered_units]],1,0)</f>
        <v>0</v>
      </c>
      <c r="W29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21">
        <f>ReconciliationData[[#This Row],[Billed_Units]]*ReconciliationData[[#This Row],[Billed_Price]]</f>
        <v>20892.78</v>
      </c>
      <c r="Y2921">
        <f>ReconciliationData[[#This Row],[ordered_units]]*ReconciliationData[[#This Row],[List_Price]]</f>
        <v>12767.810000000001</v>
      </c>
      <c r="Z2921">
        <f>ReconciliationData[[#This Row],[billed_revenue]]-ReconciliationData[[#This Row],[expected_revenue]]</f>
        <v>8124.9699999999975</v>
      </c>
      <c r="AA29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921" t="str">
        <f>IF(ReconciliationData[[#This Row],[severity_score]]=0,"LOW",
 IF(ReconciliationData[[#This Row],[severity_score]]&lt;=5,"MEDIUM","HIGH"))</f>
        <v>HIGH</v>
      </c>
      <c r="AC2921" t="str">
        <f>TEXT(ReconciliationData[[#This Row],[Order_Date]],"YYYY-MM")</f>
        <v>2024-11</v>
      </c>
    </row>
    <row r="2922" spans="1:29">
      <c r="A2922" t="s">
        <v>7054</v>
      </c>
      <c r="B2922" s="1">
        <v>45102</v>
      </c>
      <c r="C2922" t="s">
        <v>1161</v>
      </c>
      <c r="D2922" t="s">
        <v>1414</v>
      </c>
      <c r="E2922">
        <v>11</v>
      </c>
      <c r="F2922" t="s">
        <v>7055</v>
      </c>
      <c r="G2922">
        <v>21</v>
      </c>
      <c r="H2922">
        <v>855.83360000000005</v>
      </c>
      <c r="N2922">
        <v>855.83360000000005</v>
      </c>
      <c r="O2922" s="1">
        <v>45049</v>
      </c>
      <c r="P2922">
        <f>IF(ISBLANK(ReconciliationData[[#This Row],[Invoice_ID]]),1,0)</f>
        <v>0</v>
      </c>
      <c r="Q2922">
        <f>IF(AND(NOT(ISBLANK(ReconciliationData[[#This Row],[Billed_Units]])),ReconciliationData[[#This Row],[ordered_units]]&lt;&gt;ReconciliationData[[#This Row],[Billed_Units]]),1,0)</f>
        <v>1</v>
      </c>
      <c r="R29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22">
        <f>IF(AND(NOT(ISBLANK(ReconciliationData[[#This Row],[Contract_Price]])),ReconciliationData[[#This Row],[Billed_Price]]&lt;&gt;ReconciliationData[[#This Row],[Contract_Price]]),1,0)</f>
        <v>0</v>
      </c>
      <c r="T2922">
        <f>IF(AND(NOT(ISBLANK(ReconciliationData[[#This Row],[End_Date]])),ReconciliationData[[#This Row],[Order_Date]]&gt;ReconciliationData[[#This Row],[End_Date]]),1,0)</f>
        <v>0</v>
      </c>
      <c r="U2922">
        <f>IF(AND(NOT(ISBLANK(ReconciliationData[[#This Row],[last_return_date]])),ReconciliationData[[#This Row],[last_return_date]]&gt;ReconciliationData[[#This Row],[Order_Date]]+60),1,0)</f>
        <v>0</v>
      </c>
      <c r="V2922">
        <f>IF(ReconciliationData[[#This Row],[total_returned_units]]&gt;ReconciliationData[[#This Row],[ordered_units]],1,0)</f>
        <v>0</v>
      </c>
      <c r="W29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22">
        <f>ReconciliationData[[#This Row],[Billed_Units]]*ReconciliationData[[#This Row],[Billed_Price]]</f>
        <v>17972.5056</v>
      </c>
      <c r="Y2922">
        <f>ReconciliationData[[#This Row],[ordered_units]]*ReconciliationData[[#This Row],[List_Price]]</f>
        <v>9414.1696000000011</v>
      </c>
      <c r="Z2922">
        <f>ReconciliationData[[#This Row],[billed_revenue]]-ReconciliationData[[#This Row],[expected_revenue]]</f>
        <v>8558.3359999999993</v>
      </c>
      <c r="AA29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922" t="str">
        <f>IF(ReconciliationData[[#This Row],[severity_score]]=0,"LOW",
 IF(ReconciliationData[[#This Row],[severity_score]]&lt;=5,"MEDIUM","HIGH"))</f>
        <v>HIGH</v>
      </c>
      <c r="AC2922" t="str">
        <f>TEXT(ReconciliationData[[#This Row],[Order_Date]],"YYYY-MM")</f>
        <v>2023-06</v>
      </c>
    </row>
    <row r="2923" spans="1:29">
      <c r="A2923" t="s">
        <v>7056</v>
      </c>
      <c r="B2923" s="1">
        <v>45570</v>
      </c>
      <c r="C2923" t="s">
        <v>4392</v>
      </c>
      <c r="D2923" t="s">
        <v>259</v>
      </c>
      <c r="E2923">
        <v>9</v>
      </c>
      <c r="F2923" t="s">
        <v>7057</v>
      </c>
      <c r="G2923">
        <v>9</v>
      </c>
      <c r="H2923">
        <v>360.68479999999994</v>
      </c>
      <c r="N2923">
        <v>360.68479999999994</v>
      </c>
      <c r="O2923" s="1">
        <v>45072</v>
      </c>
      <c r="P2923">
        <f>IF(ISBLANK(ReconciliationData[[#This Row],[Invoice_ID]]),1,0)</f>
        <v>0</v>
      </c>
      <c r="Q2923">
        <f>IF(AND(NOT(ISBLANK(ReconciliationData[[#This Row],[Billed_Units]])),ReconciliationData[[#This Row],[ordered_units]]&lt;&gt;ReconciliationData[[#This Row],[Billed_Units]]),1,0)</f>
        <v>0</v>
      </c>
      <c r="R29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23">
        <f>IF(AND(NOT(ISBLANK(ReconciliationData[[#This Row],[Contract_Price]])),ReconciliationData[[#This Row],[Billed_Price]]&lt;&gt;ReconciliationData[[#This Row],[Contract_Price]]),1,0)</f>
        <v>0</v>
      </c>
      <c r="T2923">
        <f>IF(AND(NOT(ISBLANK(ReconciliationData[[#This Row],[End_Date]])),ReconciliationData[[#This Row],[Order_Date]]&gt;ReconciliationData[[#This Row],[End_Date]]),1,0)</f>
        <v>0</v>
      </c>
      <c r="U2923">
        <f>IF(AND(NOT(ISBLANK(ReconciliationData[[#This Row],[last_return_date]])),ReconciliationData[[#This Row],[last_return_date]]&gt;ReconciliationData[[#This Row],[Order_Date]]+60),1,0)</f>
        <v>0</v>
      </c>
      <c r="V2923">
        <f>IF(ReconciliationData[[#This Row],[total_returned_units]]&gt;ReconciliationData[[#This Row],[ordered_units]],1,0)</f>
        <v>0</v>
      </c>
      <c r="W29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23">
        <f>ReconciliationData[[#This Row],[Billed_Units]]*ReconciliationData[[#This Row],[Billed_Price]]</f>
        <v>3246.1631999999995</v>
      </c>
      <c r="Y2923">
        <f>ReconciliationData[[#This Row],[ordered_units]]*ReconciliationData[[#This Row],[List_Price]]</f>
        <v>3246.1631999999995</v>
      </c>
      <c r="Z2923">
        <f>ReconciliationData[[#This Row],[billed_revenue]]-ReconciliationData[[#This Row],[expected_revenue]]</f>
        <v>0</v>
      </c>
      <c r="AA29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23" t="str">
        <f>IF(ReconciliationData[[#This Row],[severity_score]]=0,"LOW",
 IF(ReconciliationData[[#This Row],[severity_score]]&lt;=5,"MEDIUM","HIGH"))</f>
        <v>LOW</v>
      </c>
      <c r="AC2923" t="str">
        <f>TEXT(ReconciliationData[[#This Row],[Order_Date]],"YYYY-MM")</f>
        <v>2024-10</v>
      </c>
    </row>
    <row r="2924" spans="1:29">
      <c r="A2924" t="s">
        <v>7058</v>
      </c>
      <c r="B2924" s="1">
        <v>45562</v>
      </c>
      <c r="C2924" t="s">
        <v>1856</v>
      </c>
      <c r="D2924" t="s">
        <v>317</v>
      </c>
      <c r="E2924">
        <v>148</v>
      </c>
      <c r="F2924" t="s">
        <v>7059</v>
      </c>
      <c r="G2924">
        <v>148</v>
      </c>
      <c r="H2924">
        <v>1120.0405280969353</v>
      </c>
      <c r="I2924">
        <v>12</v>
      </c>
      <c r="J2924" s="1">
        <v>45105</v>
      </c>
      <c r="N2924">
        <v>1119.3012000000001</v>
      </c>
      <c r="O2924" s="1">
        <v>45091</v>
      </c>
      <c r="P2924">
        <f>IF(ISBLANK(ReconciliationData[[#This Row],[Invoice_ID]]),1,0)</f>
        <v>0</v>
      </c>
      <c r="Q2924">
        <f>IF(AND(NOT(ISBLANK(ReconciliationData[[#This Row],[Billed_Units]])),ReconciliationData[[#This Row],[ordered_units]]&lt;&gt;ReconciliationData[[#This Row],[Billed_Units]]),1,0)</f>
        <v>0</v>
      </c>
      <c r="R292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924">
        <f>IF(AND(NOT(ISBLANK(ReconciliationData[[#This Row],[Contract_Price]])),ReconciliationData[[#This Row],[Billed_Price]]&lt;&gt;ReconciliationData[[#This Row],[Contract_Price]]),1,0)</f>
        <v>0</v>
      </c>
      <c r="T2924">
        <f>IF(AND(NOT(ISBLANK(ReconciliationData[[#This Row],[End_Date]])),ReconciliationData[[#This Row],[Order_Date]]&gt;ReconciliationData[[#This Row],[End_Date]]),1,0)</f>
        <v>0</v>
      </c>
      <c r="U2924">
        <f>IF(AND(NOT(ISBLANK(ReconciliationData[[#This Row],[last_return_date]])),ReconciliationData[[#This Row],[last_return_date]]&gt;ReconciliationData[[#This Row],[Order_Date]]+60),1,0)</f>
        <v>0</v>
      </c>
      <c r="V2924">
        <f>IF(ReconciliationData[[#This Row],[total_returned_units]]&gt;ReconciliationData[[#This Row],[ordered_units]],1,0)</f>
        <v>0</v>
      </c>
      <c r="W29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24">
        <f>ReconciliationData[[#This Row],[Billed_Units]]*ReconciliationData[[#This Row],[Billed_Price]]</f>
        <v>165765.99815834643</v>
      </c>
      <c r="Y2924">
        <f>ReconciliationData[[#This Row],[ordered_units]]*ReconciliationData[[#This Row],[List_Price]]</f>
        <v>165656.57760000002</v>
      </c>
      <c r="Z2924">
        <f>ReconciliationData[[#This Row],[billed_revenue]]-ReconciliationData[[#This Row],[expected_revenue]]</f>
        <v>109.42055834640632</v>
      </c>
      <c r="AA29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924" t="str">
        <f>IF(ReconciliationData[[#This Row],[severity_score]]=0,"LOW",
 IF(ReconciliationData[[#This Row],[severity_score]]&lt;=5,"MEDIUM","HIGH"))</f>
        <v>MEDIUM</v>
      </c>
      <c r="AC2924" t="str">
        <f>TEXT(ReconciliationData[[#This Row],[Order_Date]],"YYYY-MM")</f>
        <v>2024-09</v>
      </c>
    </row>
    <row r="2925" spans="1:29">
      <c r="A2925" t="s">
        <v>7060</v>
      </c>
      <c r="B2925" s="1">
        <v>45203</v>
      </c>
      <c r="C2925" t="s">
        <v>4841</v>
      </c>
      <c r="D2925" t="s">
        <v>166</v>
      </c>
      <c r="E2925">
        <v>9</v>
      </c>
      <c r="F2925" t="s">
        <v>7061</v>
      </c>
      <c r="G2925">
        <v>9</v>
      </c>
      <c r="H2925">
        <v>376.82319999999999</v>
      </c>
      <c r="N2925">
        <v>376.82319999999999</v>
      </c>
      <c r="O2925" s="1">
        <v>45171</v>
      </c>
      <c r="P2925">
        <f>IF(ISBLANK(ReconciliationData[[#This Row],[Invoice_ID]]),1,0)</f>
        <v>0</v>
      </c>
      <c r="Q2925">
        <f>IF(AND(NOT(ISBLANK(ReconciliationData[[#This Row],[Billed_Units]])),ReconciliationData[[#This Row],[ordered_units]]&lt;&gt;ReconciliationData[[#This Row],[Billed_Units]]),1,0)</f>
        <v>0</v>
      </c>
      <c r="R29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25">
        <f>IF(AND(NOT(ISBLANK(ReconciliationData[[#This Row],[Contract_Price]])),ReconciliationData[[#This Row],[Billed_Price]]&lt;&gt;ReconciliationData[[#This Row],[Contract_Price]]),1,0)</f>
        <v>0</v>
      </c>
      <c r="T2925">
        <f>IF(AND(NOT(ISBLANK(ReconciliationData[[#This Row],[End_Date]])),ReconciliationData[[#This Row],[Order_Date]]&gt;ReconciliationData[[#This Row],[End_Date]]),1,0)</f>
        <v>0</v>
      </c>
      <c r="U2925">
        <f>IF(AND(NOT(ISBLANK(ReconciliationData[[#This Row],[last_return_date]])),ReconciliationData[[#This Row],[last_return_date]]&gt;ReconciliationData[[#This Row],[Order_Date]]+60),1,0)</f>
        <v>0</v>
      </c>
      <c r="V2925">
        <f>IF(ReconciliationData[[#This Row],[total_returned_units]]&gt;ReconciliationData[[#This Row],[ordered_units]],1,0)</f>
        <v>0</v>
      </c>
      <c r="W29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25">
        <f>ReconciliationData[[#This Row],[Billed_Units]]*ReconciliationData[[#This Row],[Billed_Price]]</f>
        <v>3391.4087999999997</v>
      </c>
      <c r="Y2925">
        <f>ReconciliationData[[#This Row],[ordered_units]]*ReconciliationData[[#This Row],[List_Price]]</f>
        <v>3391.4087999999997</v>
      </c>
      <c r="Z2925">
        <f>ReconciliationData[[#This Row],[billed_revenue]]-ReconciliationData[[#This Row],[expected_revenue]]</f>
        <v>0</v>
      </c>
      <c r="AA29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25" t="str">
        <f>IF(ReconciliationData[[#This Row],[severity_score]]=0,"LOW",
 IF(ReconciliationData[[#This Row],[severity_score]]&lt;=5,"MEDIUM","HIGH"))</f>
        <v>LOW</v>
      </c>
      <c r="AC2925" t="str">
        <f>TEXT(ReconciliationData[[#This Row],[Order_Date]],"YYYY-MM")</f>
        <v>2023-10</v>
      </c>
    </row>
    <row r="2926" spans="1:29">
      <c r="A2926" t="s">
        <v>7062</v>
      </c>
      <c r="B2926" s="1">
        <v>45571</v>
      </c>
      <c r="C2926" t="s">
        <v>1013</v>
      </c>
      <c r="D2926" t="s">
        <v>828</v>
      </c>
      <c r="E2926">
        <v>141</v>
      </c>
      <c r="F2926" t="s">
        <v>7063</v>
      </c>
      <c r="G2926">
        <v>141</v>
      </c>
      <c r="H2926">
        <v>893.8972</v>
      </c>
      <c r="N2926">
        <v>893.8972</v>
      </c>
      <c r="O2926" s="1">
        <v>45049</v>
      </c>
      <c r="P2926">
        <f>IF(ISBLANK(ReconciliationData[[#This Row],[Invoice_ID]]),1,0)</f>
        <v>0</v>
      </c>
      <c r="Q2926">
        <f>IF(AND(NOT(ISBLANK(ReconciliationData[[#This Row],[Billed_Units]])),ReconciliationData[[#This Row],[ordered_units]]&lt;&gt;ReconciliationData[[#This Row],[Billed_Units]]),1,0)</f>
        <v>0</v>
      </c>
      <c r="R29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26">
        <f>IF(AND(NOT(ISBLANK(ReconciliationData[[#This Row],[Contract_Price]])),ReconciliationData[[#This Row],[Billed_Price]]&lt;&gt;ReconciliationData[[#This Row],[Contract_Price]]),1,0)</f>
        <v>0</v>
      </c>
      <c r="T2926">
        <f>IF(AND(NOT(ISBLANK(ReconciliationData[[#This Row],[End_Date]])),ReconciliationData[[#This Row],[Order_Date]]&gt;ReconciliationData[[#This Row],[End_Date]]),1,0)</f>
        <v>0</v>
      </c>
      <c r="U2926">
        <f>IF(AND(NOT(ISBLANK(ReconciliationData[[#This Row],[last_return_date]])),ReconciliationData[[#This Row],[last_return_date]]&gt;ReconciliationData[[#This Row],[Order_Date]]+60),1,0)</f>
        <v>0</v>
      </c>
      <c r="V2926">
        <f>IF(ReconciliationData[[#This Row],[total_returned_units]]&gt;ReconciliationData[[#This Row],[ordered_units]],1,0)</f>
        <v>0</v>
      </c>
      <c r="W29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26">
        <f>ReconciliationData[[#This Row],[Billed_Units]]*ReconciliationData[[#This Row],[Billed_Price]]</f>
        <v>126039.5052</v>
      </c>
      <c r="Y2926">
        <f>ReconciliationData[[#This Row],[ordered_units]]*ReconciliationData[[#This Row],[List_Price]]</f>
        <v>126039.5052</v>
      </c>
      <c r="Z2926">
        <f>ReconciliationData[[#This Row],[billed_revenue]]-ReconciliationData[[#This Row],[expected_revenue]]</f>
        <v>0</v>
      </c>
      <c r="AA29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26" t="str">
        <f>IF(ReconciliationData[[#This Row],[severity_score]]=0,"LOW",
 IF(ReconciliationData[[#This Row],[severity_score]]&lt;=5,"MEDIUM","HIGH"))</f>
        <v>LOW</v>
      </c>
      <c r="AC2926" t="str">
        <f>TEXT(ReconciliationData[[#This Row],[Order_Date]],"YYYY-MM")</f>
        <v>2024-10</v>
      </c>
    </row>
    <row r="2927" spans="1:29">
      <c r="A2927" t="s">
        <v>7064</v>
      </c>
      <c r="B2927" s="1">
        <v>45262</v>
      </c>
      <c r="C2927" t="s">
        <v>2598</v>
      </c>
      <c r="D2927" t="s">
        <v>807</v>
      </c>
      <c r="E2927">
        <v>74</v>
      </c>
      <c r="F2927" t="s">
        <v>7065</v>
      </c>
      <c r="G2927">
        <v>74</v>
      </c>
      <c r="H2927">
        <v>383.63</v>
      </c>
      <c r="N2927">
        <v>383.63</v>
      </c>
      <c r="O2927" s="1">
        <v>45200</v>
      </c>
      <c r="P2927">
        <f>IF(ISBLANK(ReconciliationData[[#This Row],[Invoice_ID]]),1,0)</f>
        <v>0</v>
      </c>
      <c r="Q2927">
        <f>IF(AND(NOT(ISBLANK(ReconciliationData[[#This Row],[Billed_Units]])),ReconciliationData[[#This Row],[ordered_units]]&lt;&gt;ReconciliationData[[#This Row],[Billed_Units]]),1,0)</f>
        <v>0</v>
      </c>
      <c r="R29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27">
        <f>IF(AND(NOT(ISBLANK(ReconciliationData[[#This Row],[Contract_Price]])),ReconciliationData[[#This Row],[Billed_Price]]&lt;&gt;ReconciliationData[[#This Row],[Contract_Price]]),1,0)</f>
        <v>0</v>
      </c>
      <c r="T2927">
        <f>IF(AND(NOT(ISBLANK(ReconciliationData[[#This Row],[End_Date]])),ReconciliationData[[#This Row],[Order_Date]]&gt;ReconciliationData[[#This Row],[End_Date]]),1,0)</f>
        <v>0</v>
      </c>
      <c r="U2927">
        <f>IF(AND(NOT(ISBLANK(ReconciliationData[[#This Row],[last_return_date]])),ReconciliationData[[#This Row],[last_return_date]]&gt;ReconciliationData[[#This Row],[Order_Date]]+60),1,0)</f>
        <v>0</v>
      </c>
      <c r="V2927">
        <f>IF(ReconciliationData[[#This Row],[total_returned_units]]&gt;ReconciliationData[[#This Row],[ordered_units]],1,0)</f>
        <v>0</v>
      </c>
      <c r="W29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27">
        <f>ReconciliationData[[#This Row],[Billed_Units]]*ReconciliationData[[#This Row],[Billed_Price]]</f>
        <v>28388.62</v>
      </c>
      <c r="Y2927">
        <f>ReconciliationData[[#This Row],[ordered_units]]*ReconciliationData[[#This Row],[List_Price]]</f>
        <v>28388.62</v>
      </c>
      <c r="Z2927">
        <f>ReconciliationData[[#This Row],[billed_revenue]]-ReconciliationData[[#This Row],[expected_revenue]]</f>
        <v>0</v>
      </c>
      <c r="AA29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27" t="str">
        <f>IF(ReconciliationData[[#This Row],[severity_score]]=0,"LOW",
 IF(ReconciliationData[[#This Row],[severity_score]]&lt;=5,"MEDIUM","HIGH"))</f>
        <v>LOW</v>
      </c>
      <c r="AC2927" t="str">
        <f>TEXT(ReconciliationData[[#This Row],[Order_Date]],"YYYY-MM")</f>
        <v>2023-12</v>
      </c>
    </row>
    <row r="2928" spans="1:29">
      <c r="A2928" t="s">
        <v>7066</v>
      </c>
      <c r="B2928" s="1">
        <v>45307</v>
      </c>
      <c r="C2928" t="s">
        <v>2113</v>
      </c>
      <c r="D2928" t="s">
        <v>1869</v>
      </c>
      <c r="E2928">
        <v>2</v>
      </c>
      <c r="F2928" t="s">
        <v>7067</v>
      </c>
      <c r="G2928">
        <v>2</v>
      </c>
      <c r="H2928">
        <v>75.504800000000003</v>
      </c>
      <c r="I2928">
        <v>9</v>
      </c>
      <c r="J2928" s="1">
        <v>45003</v>
      </c>
      <c r="N2928">
        <v>75.504800000000003</v>
      </c>
      <c r="O2928" s="1">
        <v>45080</v>
      </c>
      <c r="P2928">
        <f>IF(ISBLANK(ReconciliationData[[#This Row],[Invoice_ID]]),1,0)</f>
        <v>0</v>
      </c>
      <c r="Q2928">
        <f>IF(AND(NOT(ISBLANK(ReconciliationData[[#This Row],[Billed_Units]])),ReconciliationData[[#This Row],[ordered_units]]&lt;&gt;ReconciliationData[[#This Row],[Billed_Units]]),1,0)</f>
        <v>0</v>
      </c>
      <c r="R29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28">
        <f>IF(AND(NOT(ISBLANK(ReconciliationData[[#This Row],[Contract_Price]])),ReconciliationData[[#This Row],[Billed_Price]]&lt;&gt;ReconciliationData[[#This Row],[Contract_Price]]),1,0)</f>
        <v>0</v>
      </c>
      <c r="T2928">
        <f>IF(AND(NOT(ISBLANK(ReconciliationData[[#This Row],[End_Date]])),ReconciliationData[[#This Row],[Order_Date]]&gt;ReconciliationData[[#This Row],[End_Date]]),1,0)</f>
        <v>0</v>
      </c>
      <c r="U2928">
        <f>IF(AND(NOT(ISBLANK(ReconciliationData[[#This Row],[last_return_date]])),ReconciliationData[[#This Row],[last_return_date]]&gt;ReconciliationData[[#This Row],[Order_Date]]+60),1,0)</f>
        <v>0</v>
      </c>
      <c r="V2928">
        <f>IF(ReconciliationData[[#This Row],[total_returned_units]]&gt;ReconciliationData[[#This Row],[ordered_units]],1,0)</f>
        <v>1</v>
      </c>
      <c r="W29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28">
        <f>ReconciliationData[[#This Row],[Billed_Units]]*ReconciliationData[[#This Row],[Billed_Price]]</f>
        <v>151.00960000000001</v>
      </c>
      <c r="Y2928">
        <f>ReconciliationData[[#This Row],[ordered_units]]*ReconciliationData[[#This Row],[List_Price]]</f>
        <v>151.00960000000001</v>
      </c>
      <c r="Z2928">
        <f>ReconciliationData[[#This Row],[billed_revenue]]-ReconciliationData[[#This Row],[expected_revenue]]</f>
        <v>0</v>
      </c>
      <c r="AA29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2928" t="str">
        <f>IF(ReconciliationData[[#This Row],[severity_score]]=0,"LOW",
 IF(ReconciliationData[[#This Row],[severity_score]]&lt;=5,"MEDIUM","HIGH"))</f>
        <v>MEDIUM</v>
      </c>
      <c r="AC2928" t="str">
        <f>TEXT(ReconciliationData[[#This Row],[Order_Date]],"YYYY-MM")</f>
        <v>2024-01</v>
      </c>
    </row>
    <row r="2929" spans="1:29">
      <c r="A2929" t="s">
        <v>7068</v>
      </c>
      <c r="B2929" s="1">
        <v>45063</v>
      </c>
      <c r="C2929" t="s">
        <v>1152</v>
      </c>
      <c r="D2929" t="s">
        <v>2050</v>
      </c>
      <c r="E2929">
        <v>98</v>
      </c>
      <c r="F2929" t="s">
        <v>7069</v>
      </c>
      <c r="G2929">
        <v>98</v>
      </c>
      <c r="H2929">
        <v>956.22119999999995</v>
      </c>
      <c r="I2929">
        <v>1</v>
      </c>
      <c r="J2929" s="1">
        <v>45544</v>
      </c>
      <c r="N2929">
        <v>956.22119999999995</v>
      </c>
      <c r="O2929" s="1">
        <v>44906</v>
      </c>
      <c r="P2929">
        <f>IF(ISBLANK(ReconciliationData[[#This Row],[Invoice_ID]]),1,0)</f>
        <v>0</v>
      </c>
      <c r="Q2929">
        <f>IF(AND(NOT(ISBLANK(ReconciliationData[[#This Row],[Billed_Units]])),ReconciliationData[[#This Row],[ordered_units]]&lt;&gt;ReconciliationData[[#This Row],[Billed_Units]]),1,0)</f>
        <v>0</v>
      </c>
      <c r="R29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29">
        <f>IF(AND(NOT(ISBLANK(ReconciliationData[[#This Row],[Contract_Price]])),ReconciliationData[[#This Row],[Billed_Price]]&lt;&gt;ReconciliationData[[#This Row],[Contract_Price]]),1,0)</f>
        <v>0</v>
      </c>
      <c r="T2929">
        <f>IF(AND(NOT(ISBLANK(ReconciliationData[[#This Row],[End_Date]])),ReconciliationData[[#This Row],[Order_Date]]&gt;ReconciliationData[[#This Row],[End_Date]]),1,0)</f>
        <v>0</v>
      </c>
      <c r="U2929">
        <f>IF(AND(NOT(ISBLANK(ReconciliationData[[#This Row],[last_return_date]])),ReconciliationData[[#This Row],[last_return_date]]&gt;ReconciliationData[[#This Row],[Order_Date]]+60),1,0)</f>
        <v>1</v>
      </c>
      <c r="V2929">
        <f>IF(ReconciliationData[[#This Row],[total_returned_units]]&gt;ReconciliationData[[#This Row],[ordered_units]],1,0)</f>
        <v>0</v>
      </c>
      <c r="W29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29">
        <f>ReconciliationData[[#This Row],[Billed_Units]]*ReconciliationData[[#This Row],[Billed_Price]]</f>
        <v>93709.677599999995</v>
      </c>
      <c r="Y2929">
        <f>ReconciliationData[[#This Row],[ordered_units]]*ReconciliationData[[#This Row],[List_Price]]</f>
        <v>93709.677599999995</v>
      </c>
      <c r="Z2929">
        <f>ReconciliationData[[#This Row],[billed_revenue]]-ReconciliationData[[#This Row],[expected_revenue]]</f>
        <v>0</v>
      </c>
      <c r="AA29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929" t="str">
        <f>IF(ReconciliationData[[#This Row],[severity_score]]=0,"LOW",
 IF(ReconciliationData[[#This Row],[severity_score]]&lt;=5,"MEDIUM","HIGH"))</f>
        <v>MEDIUM</v>
      </c>
      <c r="AC2929" t="str">
        <f>TEXT(ReconciliationData[[#This Row],[Order_Date]],"YYYY-MM")</f>
        <v>2023-05</v>
      </c>
    </row>
    <row r="2930" spans="1:29">
      <c r="A2930" t="s">
        <v>7070</v>
      </c>
      <c r="B2930" s="1">
        <v>45010</v>
      </c>
      <c r="C2930" t="s">
        <v>1984</v>
      </c>
      <c r="D2930" t="s">
        <v>186</v>
      </c>
      <c r="E2930">
        <v>163</v>
      </c>
      <c r="F2930" t="s">
        <v>7071</v>
      </c>
      <c r="G2930">
        <v>163</v>
      </c>
      <c r="H2930">
        <v>248.24449999999999</v>
      </c>
      <c r="I2930">
        <v>16</v>
      </c>
      <c r="J2930" s="1">
        <v>45014</v>
      </c>
      <c r="N2930">
        <v>248.24449999999999</v>
      </c>
      <c r="O2930" s="1">
        <v>44933</v>
      </c>
      <c r="P2930">
        <f>IF(ISBLANK(ReconciliationData[[#This Row],[Invoice_ID]]),1,0)</f>
        <v>0</v>
      </c>
      <c r="Q2930">
        <f>IF(AND(NOT(ISBLANK(ReconciliationData[[#This Row],[Billed_Units]])),ReconciliationData[[#This Row],[ordered_units]]&lt;&gt;ReconciliationData[[#This Row],[Billed_Units]]),1,0)</f>
        <v>0</v>
      </c>
      <c r="R29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0">
        <f>IF(AND(NOT(ISBLANK(ReconciliationData[[#This Row],[Contract_Price]])),ReconciliationData[[#This Row],[Billed_Price]]&lt;&gt;ReconciliationData[[#This Row],[Contract_Price]]),1,0)</f>
        <v>0</v>
      </c>
      <c r="T2930">
        <f>IF(AND(NOT(ISBLANK(ReconciliationData[[#This Row],[End_Date]])),ReconciliationData[[#This Row],[Order_Date]]&gt;ReconciliationData[[#This Row],[End_Date]]),1,0)</f>
        <v>0</v>
      </c>
      <c r="U2930">
        <f>IF(AND(NOT(ISBLANK(ReconciliationData[[#This Row],[last_return_date]])),ReconciliationData[[#This Row],[last_return_date]]&gt;ReconciliationData[[#This Row],[Order_Date]]+60),1,0)</f>
        <v>0</v>
      </c>
      <c r="V2930">
        <f>IF(ReconciliationData[[#This Row],[total_returned_units]]&gt;ReconciliationData[[#This Row],[ordered_units]],1,0)</f>
        <v>0</v>
      </c>
      <c r="W29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0">
        <f>ReconciliationData[[#This Row],[Billed_Units]]*ReconciliationData[[#This Row],[Billed_Price]]</f>
        <v>40463.853499999997</v>
      </c>
      <c r="Y2930">
        <f>ReconciliationData[[#This Row],[ordered_units]]*ReconciliationData[[#This Row],[List_Price]]</f>
        <v>40463.853499999997</v>
      </c>
      <c r="Z2930">
        <f>ReconciliationData[[#This Row],[billed_revenue]]-ReconciliationData[[#This Row],[expected_revenue]]</f>
        <v>0</v>
      </c>
      <c r="AA29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0" t="str">
        <f>IF(ReconciliationData[[#This Row],[severity_score]]=0,"LOW",
 IF(ReconciliationData[[#This Row],[severity_score]]&lt;=5,"MEDIUM","HIGH"))</f>
        <v>LOW</v>
      </c>
      <c r="AC2930" t="str">
        <f>TEXT(ReconciliationData[[#This Row],[Order_Date]],"YYYY-MM")</f>
        <v>2023-03</v>
      </c>
    </row>
    <row r="2931" spans="1:29">
      <c r="A2931" t="s">
        <v>7072</v>
      </c>
      <c r="B2931" s="1">
        <v>45462</v>
      </c>
      <c r="C2931" t="s">
        <v>2723</v>
      </c>
      <c r="D2931" t="s">
        <v>1525</v>
      </c>
      <c r="E2931">
        <v>175</v>
      </c>
      <c r="F2931" t="s">
        <v>7073</v>
      </c>
      <c r="G2931">
        <v>175</v>
      </c>
      <c r="H2931">
        <v>1067.6925000000001</v>
      </c>
      <c r="N2931">
        <v>1067.6925000000001</v>
      </c>
      <c r="O2931" s="1">
        <v>44999</v>
      </c>
      <c r="P2931">
        <f>IF(ISBLANK(ReconciliationData[[#This Row],[Invoice_ID]]),1,0)</f>
        <v>0</v>
      </c>
      <c r="Q2931">
        <f>IF(AND(NOT(ISBLANK(ReconciliationData[[#This Row],[Billed_Units]])),ReconciliationData[[#This Row],[ordered_units]]&lt;&gt;ReconciliationData[[#This Row],[Billed_Units]]),1,0)</f>
        <v>0</v>
      </c>
      <c r="R29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1">
        <f>IF(AND(NOT(ISBLANK(ReconciliationData[[#This Row],[Contract_Price]])),ReconciliationData[[#This Row],[Billed_Price]]&lt;&gt;ReconciliationData[[#This Row],[Contract_Price]]),1,0)</f>
        <v>0</v>
      </c>
      <c r="T2931">
        <f>IF(AND(NOT(ISBLANK(ReconciliationData[[#This Row],[End_Date]])),ReconciliationData[[#This Row],[Order_Date]]&gt;ReconciliationData[[#This Row],[End_Date]]),1,0)</f>
        <v>0</v>
      </c>
      <c r="U2931">
        <f>IF(AND(NOT(ISBLANK(ReconciliationData[[#This Row],[last_return_date]])),ReconciliationData[[#This Row],[last_return_date]]&gt;ReconciliationData[[#This Row],[Order_Date]]+60),1,0)</f>
        <v>0</v>
      </c>
      <c r="V2931">
        <f>IF(ReconciliationData[[#This Row],[total_returned_units]]&gt;ReconciliationData[[#This Row],[ordered_units]],1,0)</f>
        <v>0</v>
      </c>
      <c r="W29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1">
        <f>ReconciliationData[[#This Row],[Billed_Units]]*ReconciliationData[[#This Row],[Billed_Price]]</f>
        <v>186846.18750000003</v>
      </c>
      <c r="Y2931">
        <f>ReconciliationData[[#This Row],[ordered_units]]*ReconciliationData[[#This Row],[List_Price]]</f>
        <v>186846.18750000003</v>
      </c>
      <c r="Z2931">
        <f>ReconciliationData[[#This Row],[billed_revenue]]-ReconciliationData[[#This Row],[expected_revenue]]</f>
        <v>0</v>
      </c>
      <c r="AA29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1" t="str">
        <f>IF(ReconciliationData[[#This Row],[severity_score]]=0,"LOW",
 IF(ReconciliationData[[#This Row],[severity_score]]&lt;=5,"MEDIUM","HIGH"))</f>
        <v>LOW</v>
      </c>
      <c r="AC2931" t="str">
        <f>TEXT(ReconciliationData[[#This Row],[Order_Date]],"YYYY-MM")</f>
        <v>2024-06</v>
      </c>
    </row>
    <row r="2932" spans="1:29">
      <c r="A2932" t="s">
        <v>7074</v>
      </c>
      <c r="B2932" s="1">
        <v>45618</v>
      </c>
      <c r="C2932" t="s">
        <v>3217</v>
      </c>
      <c r="D2932" t="s">
        <v>1362</v>
      </c>
      <c r="E2932">
        <v>92</v>
      </c>
      <c r="F2932" t="s">
        <v>7075</v>
      </c>
      <c r="G2932">
        <v>92</v>
      </c>
      <c r="H2932">
        <v>82.749600000000015</v>
      </c>
      <c r="N2932">
        <v>82.749600000000015</v>
      </c>
      <c r="O2932" s="1">
        <v>45068</v>
      </c>
      <c r="P2932">
        <f>IF(ISBLANK(ReconciliationData[[#This Row],[Invoice_ID]]),1,0)</f>
        <v>0</v>
      </c>
      <c r="Q2932">
        <f>IF(AND(NOT(ISBLANK(ReconciliationData[[#This Row],[Billed_Units]])),ReconciliationData[[#This Row],[ordered_units]]&lt;&gt;ReconciliationData[[#This Row],[Billed_Units]]),1,0)</f>
        <v>0</v>
      </c>
      <c r="R29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2">
        <f>IF(AND(NOT(ISBLANK(ReconciliationData[[#This Row],[Contract_Price]])),ReconciliationData[[#This Row],[Billed_Price]]&lt;&gt;ReconciliationData[[#This Row],[Contract_Price]]),1,0)</f>
        <v>0</v>
      </c>
      <c r="T2932">
        <f>IF(AND(NOT(ISBLANK(ReconciliationData[[#This Row],[End_Date]])),ReconciliationData[[#This Row],[Order_Date]]&gt;ReconciliationData[[#This Row],[End_Date]]),1,0)</f>
        <v>0</v>
      </c>
      <c r="U2932">
        <f>IF(AND(NOT(ISBLANK(ReconciliationData[[#This Row],[last_return_date]])),ReconciliationData[[#This Row],[last_return_date]]&gt;ReconciliationData[[#This Row],[Order_Date]]+60),1,0)</f>
        <v>0</v>
      </c>
      <c r="V2932">
        <f>IF(ReconciliationData[[#This Row],[total_returned_units]]&gt;ReconciliationData[[#This Row],[ordered_units]],1,0)</f>
        <v>0</v>
      </c>
      <c r="W29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2">
        <f>ReconciliationData[[#This Row],[Billed_Units]]*ReconciliationData[[#This Row],[Billed_Price]]</f>
        <v>7612.9632000000011</v>
      </c>
      <c r="Y2932">
        <f>ReconciliationData[[#This Row],[ordered_units]]*ReconciliationData[[#This Row],[List_Price]]</f>
        <v>7612.9632000000011</v>
      </c>
      <c r="Z2932">
        <f>ReconciliationData[[#This Row],[billed_revenue]]-ReconciliationData[[#This Row],[expected_revenue]]</f>
        <v>0</v>
      </c>
      <c r="AA29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2" t="str">
        <f>IF(ReconciliationData[[#This Row],[severity_score]]=0,"LOW",
 IF(ReconciliationData[[#This Row],[severity_score]]&lt;=5,"MEDIUM","HIGH"))</f>
        <v>LOW</v>
      </c>
      <c r="AC2932" t="str">
        <f>TEXT(ReconciliationData[[#This Row],[Order_Date]],"YYYY-MM")</f>
        <v>2024-11</v>
      </c>
    </row>
    <row r="2933" spans="1:29">
      <c r="A2933" t="s">
        <v>7076</v>
      </c>
      <c r="B2933" s="1">
        <v>44952</v>
      </c>
      <c r="C2933" t="s">
        <v>4297</v>
      </c>
      <c r="D2933" t="s">
        <v>1470</v>
      </c>
      <c r="E2933">
        <v>177</v>
      </c>
      <c r="F2933" t="s">
        <v>7077</v>
      </c>
      <c r="G2933">
        <v>177</v>
      </c>
      <c r="H2933">
        <v>612.66449999999998</v>
      </c>
      <c r="N2933">
        <v>612.66449999999998</v>
      </c>
      <c r="O2933" s="1">
        <v>44951</v>
      </c>
      <c r="P2933">
        <f>IF(ISBLANK(ReconciliationData[[#This Row],[Invoice_ID]]),1,0)</f>
        <v>0</v>
      </c>
      <c r="Q2933">
        <f>IF(AND(NOT(ISBLANK(ReconciliationData[[#This Row],[Billed_Units]])),ReconciliationData[[#This Row],[ordered_units]]&lt;&gt;ReconciliationData[[#This Row],[Billed_Units]]),1,0)</f>
        <v>0</v>
      </c>
      <c r="R29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3">
        <f>IF(AND(NOT(ISBLANK(ReconciliationData[[#This Row],[Contract_Price]])),ReconciliationData[[#This Row],[Billed_Price]]&lt;&gt;ReconciliationData[[#This Row],[Contract_Price]]),1,0)</f>
        <v>0</v>
      </c>
      <c r="T2933">
        <f>IF(AND(NOT(ISBLANK(ReconciliationData[[#This Row],[End_Date]])),ReconciliationData[[#This Row],[Order_Date]]&gt;ReconciliationData[[#This Row],[End_Date]]),1,0)</f>
        <v>0</v>
      </c>
      <c r="U2933">
        <f>IF(AND(NOT(ISBLANK(ReconciliationData[[#This Row],[last_return_date]])),ReconciliationData[[#This Row],[last_return_date]]&gt;ReconciliationData[[#This Row],[Order_Date]]+60),1,0)</f>
        <v>0</v>
      </c>
      <c r="V2933">
        <f>IF(ReconciliationData[[#This Row],[total_returned_units]]&gt;ReconciliationData[[#This Row],[ordered_units]],1,0)</f>
        <v>0</v>
      </c>
      <c r="W29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3">
        <f>ReconciliationData[[#This Row],[Billed_Units]]*ReconciliationData[[#This Row],[Billed_Price]]</f>
        <v>108441.61649999999</v>
      </c>
      <c r="Y2933">
        <f>ReconciliationData[[#This Row],[ordered_units]]*ReconciliationData[[#This Row],[List_Price]]</f>
        <v>108441.61649999999</v>
      </c>
      <c r="Z2933">
        <f>ReconciliationData[[#This Row],[billed_revenue]]-ReconciliationData[[#This Row],[expected_revenue]]</f>
        <v>0</v>
      </c>
      <c r="AA29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3" t="str">
        <f>IF(ReconciliationData[[#This Row],[severity_score]]=0,"LOW",
 IF(ReconciliationData[[#This Row],[severity_score]]&lt;=5,"MEDIUM","HIGH"))</f>
        <v>LOW</v>
      </c>
      <c r="AC2933" t="str">
        <f>TEXT(ReconciliationData[[#This Row],[Order_Date]],"YYYY-MM")</f>
        <v>2023-01</v>
      </c>
    </row>
    <row r="2934" spans="1:29">
      <c r="A2934" t="s">
        <v>7078</v>
      </c>
      <c r="B2934" s="1">
        <v>45098</v>
      </c>
      <c r="C2934" t="s">
        <v>1325</v>
      </c>
      <c r="D2934" t="s">
        <v>2765</v>
      </c>
      <c r="E2934">
        <v>125</v>
      </c>
      <c r="F2934" t="s">
        <v>7079</v>
      </c>
      <c r="G2934">
        <v>125</v>
      </c>
      <c r="H2934">
        <v>987.07560000000001</v>
      </c>
      <c r="N2934">
        <v>987.07560000000001</v>
      </c>
      <c r="O2934" s="1">
        <v>44877</v>
      </c>
      <c r="P2934">
        <f>IF(ISBLANK(ReconciliationData[[#This Row],[Invoice_ID]]),1,0)</f>
        <v>0</v>
      </c>
      <c r="Q2934">
        <f>IF(AND(NOT(ISBLANK(ReconciliationData[[#This Row],[Billed_Units]])),ReconciliationData[[#This Row],[ordered_units]]&lt;&gt;ReconciliationData[[#This Row],[Billed_Units]]),1,0)</f>
        <v>0</v>
      </c>
      <c r="R29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4">
        <f>IF(AND(NOT(ISBLANK(ReconciliationData[[#This Row],[Contract_Price]])),ReconciliationData[[#This Row],[Billed_Price]]&lt;&gt;ReconciliationData[[#This Row],[Contract_Price]]),1,0)</f>
        <v>0</v>
      </c>
      <c r="T2934">
        <f>IF(AND(NOT(ISBLANK(ReconciliationData[[#This Row],[End_Date]])),ReconciliationData[[#This Row],[Order_Date]]&gt;ReconciliationData[[#This Row],[End_Date]]),1,0)</f>
        <v>0</v>
      </c>
      <c r="U2934">
        <f>IF(AND(NOT(ISBLANK(ReconciliationData[[#This Row],[last_return_date]])),ReconciliationData[[#This Row],[last_return_date]]&gt;ReconciliationData[[#This Row],[Order_Date]]+60),1,0)</f>
        <v>0</v>
      </c>
      <c r="V2934">
        <f>IF(ReconciliationData[[#This Row],[total_returned_units]]&gt;ReconciliationData[[#This Row],[ordered_units]],1,0)</f>
        <v>0</v>
      </c>
      <c r="W29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4">
        <f>ReconciliationData[[#This Row],[Billed_Units]]*ReconciliationData[[#This Row],[Billed_Price]]</f>
        <v>123384.45</v>
      </c>
      <c r="Y2934">
        <f>ReconciliationData[[#This Row],[ordered_units]]*ReconciliationData[[#This Row],[List_Price]]</f>
        <v>123384.45</v>
      </c>
      <c r="Z2934">
        <f>ReconciliationData[[#This Row],[billed_revenue]]-ReconciliationData[[#This Row],[expected_revenue]]</f>
        <v>0</v>
      </c>
      <c r="AA29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4" t="str">
        <f>IF(ReconciliationData[[#This Row],[severity_score]]=0,"LOW",
 IF(ReconciliationData[[#This Row],[severity_score]]&lt;=5,"MEDIUM","HIGH"))</f>
        <v>LOW</v>
      </c>
      <c r="AC2934" t="str">
        <f>TEXT(ReconciliationData[[#This Row],[Order_Date]],"YYYY-MM")</f>
        <v>2023-06</v>
      </c>
    </row>
    <row r="2935" spans="1:29">
      <c r="A2935" t="s">
        <v>7080</v>
      </c>
      <c r="B2935" s="1">
        <v>45221</v>
      </c>
      <c r="C2935" t="s">
        <v>486</v>
      </c>
      <c r="D2935" t="s">
        <v>880</v>
      </c>
      <c r="E2935">
        <v>159</v>
      </c>
      <c r="F2935" t="s">
        <v>7081</v>
      </c>
      <c r="G2935">
        <v>159</v>
      </c>
      <c r="H2935">
        <v>212.73140000000001</v>
      </c>
      <c r="N2935">
        <v>212.73140000000001</v>
      </c>
      <c r="O2935" s="1">
        <v>45144</v>
      </c>
      <c r="P2935">
        <f>IF(ISBLANK(ReconciliationData[[#This Row],[Invoice_ID]]),1,0)</f>
        <v>0</v>
      </c>
      <c r="Q2935">
        <f>IF(AND(NOT(ISBLANK(ReconciliationData[[#This Row],[Billed_Units]])),ReconciliationData[[#This Row],[ordered_units]]&lt;&gt;ReconciliationData[[#This Row],[Billed_Units]]),1,0)</f>
        <v>0</v>
      </c>
      <c r="R29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5">
        <f>IF(AND(NOT(ISBLANK(ReconciliationData[[#This Row],[Contract_Price]])),ReconciliationData[[#This Row],[Billed_Price]]&lt;&gt;ReconciliationData[[#This Row],[Contract_Price]]),1,0)</f>
        <v>0</v>
      </c>
      <c r="T2935">
        <f>IF(AND(NOT(ISBLANK(ReconciliationData[[#This Row],[End_Date]])),ReconciliationData[[#This Row],[Order_Date]]&gt;ReconciliationData[[#This Row],[End_Date]]),1,0)</f>
        <v>0</v>
      </c>
      <c r="U2935">
        <f>IF(AND(NOT(ISBLANK(ReconciliationData[[#This Row],[last_return_date]])),ReconciliationData[[#This Row],[last_return_date]]&gt;ReconciliationData[[#This Row],[Order_Date]]+60),1,0)</f>
        <v>0</v>
      </c>
      <c r="V2935">
        <f>IF(ReconciliationData[[#This Row],[total_returned_units]]&gt;ReconciliationData[[#This Row],[ordered_units]],1,0)</f>
        <v>0</v>
      </c>
      <c r="W29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5">
        <f>ReconciliationData[[#This Row],[Billed_Units]]*ReconciliationData[[#This Row],[Billed_Price]]</f>
        <v>33824.292600000001</v>
      </c>
      <c r="Y2935">
        <f>ReconciliationData[[#This Row],[ordered_units]]*ReconciliationData[[#This Row],[List_Price]]</f>
        <v>33824.292600000001</v>
      </c>
      <c r="Z2935">
        <f>ReconciliationData[[#This Row],[billed_revenue]]-ReconciliationData[[#This Row],[expected_revenue]]</f>
        <v>0</v>
      </c>
      <c r="AA29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5" t="str">
        <f>IF(ReconciliationData[[#This Row],[severity_score]]=0,"LOW",
 IF(ReconciliationData[[#This Row],[severity_score]]&lt;=5,"MEDIUM","HIGH"))</f>
        <v>LOW</v>
      </c>
      <c r="AC2935" t="str">
        <f>TEXT(ReconciliationData[[#This Row],[Order_Date]],"YYYY-MM")</f>
        <v>2023-10</v>
      </c>
    </row>
    <row r="2936" spans="1:29">
      <c r="A2936" t="s">
        <v>7082</v>
      </c>
      <c r="B2936" s="1">
        <v>45107</v>
      </c>
      <c r="C2936" t="s">
        <v>3276</v>
      </c>
      <c r="D2936" t="s">
        <v>158</v>
      </c>
      <c r="E2936">
        <v>55</v>
      </c>
      <c r="F2936" t="s">
        <v>7083</v>
      </c>
      <c r="G2936">
        <v>55</v>
      </c>
      <c r="H2936">
        <v>700.93560000000002</v>
      </c>
      <c r="N2936">
        <v>700.93560000000002</v>
      </c>
      <c r="O2936" s="1">
        <v>45077</v>
      </c>
      <c r="P2936">
        <f>IF(ISBLANK(ReconciliationData[[#This Row],[Invoice_ID]]),1,0)</f>
        <v>0</v>
      </c>
      <c r="Q2936">
        <f>IF(AND(NOT(ISBLANK(ReconciliationData[[#This Row],[Billed_Units]])),ReconciliationData[[#This Row],[ordered_units]]&lt;&gt;ReconciliationData[[#This Row],[Billed_Units]]),1,0)</f>
        <v>0</v>
      </c>
      <c r="R29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6">
        <f>IF(AND(NOT(ISBLANK(ReconciliationData[[#This Row],[Contract_Price]])),ReconciliationData[[#This Row],[Billed_Price]]&lt;&gt;ReconciliationData[[#This Row],[Contract_Price]]),1,0)</f>
        <v>0</v>
      </c>
      <c r="T2936">
        <f>IF(AND(NOT(ISBLANK(ReconciliationData[[#This Row],[End_Date]])),ReconciliationData[[#This Row],[Order_Date]]&gt;ReconciliationData[[#This Row],[End_Date]]),1,0)</f>
        <v>0</v>
      </c>
      <c r="U2936">
        <f>IF(AND(NOT(ISBLANK(ReconciliationData[[#This Row],[last_return_date]])),ReconciliationData[[#This Row],[last_return_date]]&gt;ReconciliationData[[#This Row],[Order_Date]]+60),1,0)</f>
        <v>0</v>
      </c>
      <c r="V2936">
        <f>IF(ReconciliationData[[#This Row],[total_returned_units]]&gt;ReconciliationData[[#This Row],[ordered_units]],1,0)</f>
        <v>0</v>
      </c>
      <c r="W29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6">
        <f>ReconciliationData[[#This Row],[Billed_Units]]*ReconciliationData[[#This Row],[Billed_Price]]</f>
        <v>38551.457999999999</v>
      </c>
      <c r="Y2936">
        <f>ReconciliationData[[#This Row],[ordered_units]]*ReconciliationData[[#This Row],[List_Price]]</f>
        <v>38551.457999999999</v>
      </c>
      <c r="Z2936">
        <f>ReconciliationData[[#This Row],[billed_revenue]]-ReconciliationData[[#This Row],[expected_revenue]]</f>
        <v>0</v>
      </c>
      <c r="AA29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6" t="str">
        <f>IF(ReconciliationData[[#This Row],[severity_score]]=0,"LOW",
 IF(ReconciliationData[[#This Row],[severity_score]]&lt;=5,"MEDIUM","HIGH"))</f>
        <v>LOW</v>
      </c>
      <c r="AC2936" t="str">
        <f>TEXT(ReconciliationData[[#This Row],[Order_Date]],"YYYY-MM")</f>
        <v>2023-06</v>
      </c>
    </row>
    <row r="2937" spans="1:29">
      <c r="A2937" t="s">
        <v>7084</v>
      </c>
      <c r="B2937" s="1">
        <v>45447</v>
      </c>
      <c r="C2937" t="s">
        <v>1709</v>
      </c>
      <c r="D2937" t="s">
        <v>150</v>
      </c>
      <c r="E2937">
        <v>129</v>
      </c>
      <c r="F2937" t="s">
        <v>7085</v>
      </c>
      <c r="G2937">
        <v>129</v>
      </c>
      <c r="H2937">
        <v>353.52719999999999</v>
      </c>
      <c r="N2937">
        <v>353.52719999999999</v>
      </c>
      <c r="O2937" s="1">
        <v>45182</v>
      </c>
      <c r="P2937">
        <f>IF(ISBLANK(ReconciliationData[[#This Row],[Invoice_ID]]),1,0)</f>
        <v>0</v>
      </c>
      <c r="Q2937">
        <f>IF(AND(NOT(ISBLANK(ReconciliationData[[#This Row],[Billed_Units]])),ReconciliationData[[#This Row],[ordered_units]]&lt;&gt;ReconciliationData[[#This Row],[Billed_Units]]),1,0)</f>
        <v>0</v>
      </c>
      <c r="R29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7">
        <f>IF(AND(NOT(ISBLANK(ReconciliationData[[#This Row],[Contract_Price]])),ReconciliationData[[#This Row],[Billed_Price]]&lt;&gt;ReconciliationData[[#This Row],[Contract_Price]]),1,0)</f>
        <v>0</v>
      </c>
      <c r="T2937">
        <f>IF(AND(NOT(ISBLANK(ReconciliationData[[#This Row],[End_Date]])),ReconciliationData[[#This Row],[Order_Date]]&gt;ReconciliationData[[#This Row],[End_Date]]),1,0)</f>
        <v>0</v>
      </c>
      <c r="U2937">
        <f>IF(AND(NOT(ISBLANK(ReconciliationData[[#This Row],[last_return_date]])),ReconciliationData[[#This Row],[last_return_date]]&gt;ReconciliationData[[#This Row],[Order_Date]]+60),1,0)</f>
        <v>0</v>
      </c>
      <c r="V2937">
        <f>IF(ReconciliationData[[#This Row],[total_returned_units]]&gt;ReconciliationData[[#This Row],[ordered_units]],1,0)</f>
        <v>0</v>
      </c>
      <c r="W29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7">
        <f>ReconciliationData[[#This Row],[Billed_Units]]*ReconciliationData[[#This Row],[Billed_Price]]</f>
        <v>45605.008799999996</v>
      </c>
      <c r="Y2937">
        <f>ReconciliationData[[#This Row],[ordered_units]]*ReconciliationData[[#This Row],[List_Price]]</f>
        <v>45605.008799999996</v>
      </c>
      <c r="Z2937">
        <f>ReconciliationData[[#This Row],[billed_revenue]]-ReconciliationData[[#This Row],[expected_revenue]]</f>
        <v>0</v>
      </c>
      <c r="AA29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7" t="str">
        <f>IF(ReconciliationData[[#This Row],[severity_score]]=0,"LOW",
 IF(ReconciliationData[[#This Row],[severity_score]]&lt;=5,"MEDIUM","HIGH"))</f>
        <v>LOW</v>
      </c>
      <c r="AC2937" t="str">
        <f>TEXT(ReconciliationData[[#This Row],[Order_Date]],"YYYY-MM")</f>
        <v>2024-06</v>
      </c>
    </row>
    <row r="2938" spans="1:29">
      <c r="A2938" t="s">
        <v>7086</v>
      </c>
      <c r="B2938" s="1">
        <v>45328</v>
      </c>
      <c r="C2938" t="s">
        <v>4654</v>
      </c>
      <c r="D2938" t="s">
        <v>468</v>
      </c>
      <c r="E2938">
        <v>86</v>
      </c>
      <c r="F2938" t="s">
        <v>7087</v>
      </c>
      <c r="G2938">
        <v>86</v>
      </c>
      <c r="H2938">
        <v>372.85379999999998</v>
      </c>
      <c r="N2938">
        <v>372.85379999999998</v>
      </c>
      <c r="O2938" s="1">
        <v>45175</v>
      </c>
      <c r="P2938">
        <f>IF(ISBLANK(ReconciliationData[[#This Row],[Invoice_ID]]),1,0)</f>
        <v>0</v>
      </c>
      <c r="Q2938">
        <f>IF(AND(NOT(ISBLANK(ReconciliationData[[#This Row],[Billed_Units]])),ReconciliationData[[#This Row],[ordered_units]]&lt;&gt;ReconciliationData[[#This Row],[Billed_Units]]),1,0)</f>
        <v>0</v>
      </c>
      <c r="R29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8">
        <f>IF(AND(NOT(ISBLANK(ReconciliationData[[#This Row],[Contract_Price]])),ReconciliationData[[#This Row],[Billed_Price]]&lt;&gt;ReconciliationData[[#This Row],[Contract_Price]]),1,0)</f>
        <v>0</v>
      </c>
      <c r="T2938">
        <f>IF(AND(NOT(ISBLANK(ReconciliationData[[#This Row],[End_Date]])),ReconciliationData[[#This Row],[Order_Date]]&gt;ReconciliationData[[#This Row],[End_Date]]),1,0)</f>
        <v>0</v>
      </c>
      <c r="U2938">
        <f>IF(AND(NOT(ISBLANK(ReconciliationData[[#This Row],[last_return_date]])),ReconciliationData[[#This Row],[last_return_date]]&gt;ReconciliationData[[#This Row],[Order_Date]]+60),1,0)</f>
        <v>0</v>
      </c>
      <c r="V2938">
        <f>IF(ReconciliationData[[#This Row],[total_returned_units]]&gt;ReconciliationData[[#This Row],[ordered_units]],1,0)</f>
        <v>0</v>
      </c>
      <c r="W29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8">
        <f>ReconciliationData[[#This Row],[Billed_Units]]*ReconciliationData[[#This Row],[Billed_Price]]</f>
        <v>32065.426799999997</v>
      </c>
      <c r="Y2938">
        <f>ReconciliationData[[#This Row],[ordered_units]]*ReconciliationData[[#This Row],[List_Price]]</f>
        <v>32065.426799999997</v>
      </c>
      <c r="Z2938">
        <f>ReconciliationData[[#This Row],[billed_revenue]]-ReconciliationData[[#This Row],[expected_revenue]]</f>
        <v>0</v>
      </c>
      <c r="AA29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8" t="str">
        <f>IF(ReconciliationData[[#This Row],[severity_score]]=0,"LOW",
 IF(ReconciliationData[[#This Row],[severity_score]]&lt;=5,"MEDIUM","HIGH"))</f>
        <v>LOW</v>
      </c>
      <c r="AC2938" t="str">
        <f>TEXT(ReconciliationData[[#This Row],[Order_Date]],"YYYY-MM")</f>
        <v>2024-02</v>
      </c>
    </row>
    <row r="2939" spans="1:29">
      <c r="A2939" t="s">
        <v>7088</v>
      </c>
      <c r="B2939" s="1">
        <v>44963</v>
      </c>
      <c r="C2939" t="s">
        <v>5425</v>
      </c>
      <c r="D2939" t="s">
        <v>374</v>
      </c>
      <c r="E2939">
        <v>69</v>
      </c>
      <c r="F2939" t="s">
        <v>7089</v>
      </c>
      <c r="G2939">
        <v>69</v>
      </c>
      <c r="H2939">
        <v>527.95000000000005</v>
      </c>
      <c r="N2939">
        <v>527.95000000000005</v>
      </c>
      <c r="O2939" s="1">
        <v>44755</v>
      </c>
      <c r="P2939">
        <f>IF(ISBLANK(ReconciliationData[[#This Row],[Invoice_ID]]),1,0)</f>
        <v>0</v>
      </c>
      <c r="Q2939">
        <f>IF(AND(NOT(ISBLANK(ReconciliationData[[#This Row],[Billed_Units]])),ReconciliationData[[#This Row],[ordered_units]]&lt;&gt;ReconciliationData[[#This Row],[Billed_Units]]),1,0)</f>
        <v>0</v>
      </c>
      <c r="R29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39">
        <f>IF(AND(NOT(ISBLANK(ReconciliationData[[#This Row],[Contract_Price]])),ReconciliationData[[#This Row],[Billed_Price]]&lt;&gt;ReconciliationData[[#This Row],[Contract_Price]]),1,0)</f>
        <v>0</v>
      </c>
      <c r="T2939">
        <f>IF(AND(NOT(ISBLANK(ReconciliationData[[#This Row],[End_Date]])),ReconciliationData[[#This Row],[Order_Date]]&gt;ReconciliationData[[#This Row],[End_Date]]),1,0)</f>
        <v>0</v>
      </c>
      <c r="U2939">
        <f>IF(AND(NOT(ISBLANK(ReconciliationData[[#This Row],[last_return_date]])),ReconciliationData[[#This Row],[last_return_date]]&gt;ReconciliationData[[#This Row],[Order_Date]]+60),1,0)</f>
        <v>0</v>
      </c>
      <c r="V2939">
        <f>IF(ReconciliationData[[#This Row],[total_returned_units]]&gt;ReconciliationData[[#This Row],[ordered_units]],1,0)</f>
        <v>0</v>
      </c>
      <c r="W29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39">
        <f>ReconciliationData[[#This Row],[Billed_Units]]*ReconciliationData[[#This Row],[Billed_Price]]</f>
        <v>36428.550000000003</v>
      </c>
      <c r="Y2939">
        <f>ReconciliationData[[#This Row],[ordered_units]]*ReconciliationData[[#This Row],[List_Price]]</f>
        <v>36428.550000000003</v>
      </c>
      <c r="Z2939">
        <f>ReconciliationData[[#This Row],[billed_revenue]]-ReconciliationData[[#This Row],[expected_revenue]]</f>
        <v>0</v>
      </c>
      <c r="AA29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39" t="str">
        <f>IF(ReconciliationData[[#This Row],[severity_score]]=0,"LOW",
 IF(ReconciliationData[[#This Row],[severity_score]]&lt;=5,"MEDIUM","HIGH"))</f>
        <v>LOW</v>
      </c>
      <c r="AC2939" t="str">
        <f>TEXT(ReconciliationData[[#This Row],[Order_Date]],"YYYY-MM")</f>
        <v>2023-02</v>
      </c>
    </row>
    <row r="2940" spans="1:29">
      <c r="A2940" t="s">
        <v>7090</v>
      </c>
      <c r="B2940" s="1">
        <v>45604</v>
      </c>
      <c r="C2940" t="s">
        <v>731</v>
      </c>
      <c r="D2940" t="s">
        <v>647</v>
      </c>
      <c r="E2940">
        <v>125</v>
      </c>
      <c r="F2940" t="s">
        <v>7091</v>
      </c>
      <c r="G2940">
        <v>125</v>
      </c>
      <c r="H2940">
        <v>279.42789999999997</v>
      </c>
      <c r="N2940">
        <v>279.42789999999997</v>
      </c>
      <c r="O2940" s="1">
        <v>45103</v>
      </c>
      <c r="P2940">
        <f>IF(ISBLANK(ReconciliationData[[#This Row],[Invoice_ID]]),1,0)</f>
        <v>0</v>
      </c>
      <c r="Q2940">
        <f>IF(AND(NOT(ISBLANK(ReconciliationData[[#This Row],[Billed_Units]])),ReconciliationData[[#This Row],[ordered_units]]&lt;&gt;ReconciliationData[[#This Row],[Billed_Units]]),1,0)</f>
        <v>0</v>
      </c>
      <c r="R29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0">
        <f>IF(AND(NOT(ISBLANK(ReconciliationData[[#This Row],[Contract_Price]])),ReconciliationData[[#This Row],[Billed_Price]]&lt;&gt;ReconciliationData[[#This Row],[Contract_Price]]),1,0)</f>
        <v>0</v>
      </c>
      <c r="T2940">
        <f>IF(AND(NOT(ISBLANK(ReconciliationData[[#This Row],[End_Date]])),ReconciliationData[[#This Row],[Order_Date]]&gt;ReconciliationData[[#This Row],[End_Date]]),1,0)</f>
        <v>0</v>
      </c>
      <c r="U2940">
        <f>IF(AND(NOT(ISBLANK(ReconciliationData[[#This Row],[last_return_date]])),ReconciliationData[[#This Row],[last_return_date]]&gt;ReconciliationData[[#This Row],[Order_Date]]+60),1,0)</f>
        <v>0</v>
      </c>
      <c r="V2940">
        <f>IF(ReconciliationData[[#This Row],[total_returned_units]]&gt;ReconciliationData[[#This Row],[ordered_units]],1,0)</f>
        <v>0</v>
      </c>
      <c r="W29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40">
        <f>ReconciliationData[[#This Row],[Billed_Units]]*ReconciliationData[[#This Row],[Billed_Price]]</f>
        <v>34928.487499999996</v>
      </c>
      <c r="Y2940">
        <f>ReconciliationData[[#This Row],[ordered_units]]*ReconciliationData[[#This Row],[List_Price]]</f>
        <v>34928.487499999996</v>
      </c>
      <c r="Z2940">
        <f>ReconciliationData[[#This Row],[billed_revenue]]-ReconciliationData[[#This Row],[expected_revenue]]</f>
        <v>0</v>
      </c>
      <c r="AA29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40" t="str">
        <f>IF(ReconciliationData[[#This Row],[severity_score]]=0,"LOW",
 IF(ReconciliationData[[#This Row],[severity_score]]&lt;=5,"MEDIUM","HIGH"))</f>
        <v>LOW</v>
      </c>
      <c r="AC2940" t="str">
        <f>TEXT(ReconciliationData[[#This Row],[Order_Date]],"YYYY-MM")</f>
        <v>2024-11</v>
      </c>
    </row>
    <row r="2941" spans="1:29">
      <c r="A2941" t="s">
        <v>7092</v>
      </c>
      <c r="B2941" s="1">
        <v>45537</v>
      </c>
      <c r="C2941" t="s">
        <v>1043</v>
      </c>
      <c r="D2941" t="s">
        <v>198</v>
      </c>
      <c r="E2941">
        <v>134</v>
      </c>
      <c r="F2941" t="s">
        <v>7093</v>
      </c>
      <c r="G2941">
        <v>134</v>
      </c>
      <c r="H2941">
        <v>78.696099999999987</v>
      </c>
      <c r="N2941">
        <v>78.696099999999987</v>
      </c>
      <c r="O2941" s="1">
        <v>45083</v>
      </c>
      <c r="P2941">
        <f>IF(ISBLANK(ReconciliationData[[#This Row],[Invoice_ID]]),1,0)</f>
        <v>0</v>
      </c>
      <c r="Q2941">
        <f>IF(AND(NOT(ISBLANK(ReconciliationData[[#This Row],[Billed_Units]])),ReconciliationData[[#This Row],[ordered_units]]&lt;&gt;ReconciliationData[[#This Row],[Billed_Units]]),1,0)</f>
        <v>0</v>
      </c>
      <c r="R29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1">
        <f>IF(AND(NOT(ISBLANK(ReconciliationData[[#This Row],[Contract_Price]])),ReconciliationData[[#This Row],[Billed_Price]]&lt;&gt;ReconciliationData[[#This Row],[Contract_Price]]),1,0)</f>
        <v>0</v>
      </c>
      <c r="T2941">
        <f>IF(AND(NOT(ISBLANK(ReconciliationData[[#This Row],[End_Date]])),ReconciliationData[[#This Row],[Order_Date]]&gt;ReconciliationData[[#This Row],[End_Date]]),1,0)</f>
        <v>0</v>
      </c>
      <c r="U2941">
        <f>IF(AND(NOT(ISBLANK(ReconciliationData[[#This Row],[last_return_date]])),ReconciliationData[[#This Row],[last_return_date]]&gt;ReconciliationData[[#This Row],[Order_Date]]+60),1,0)</f>
        <v>0</v>
      </c>
      <c r="V2941">
        <f>IF(ReconciliationData[[#This Row],[total_returned_units]]&gt;ReconciliationData[[#This Row],[ordered_units]],1,0)</f>
        <v>0</v>
      </c>
      <c r="W29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41">
        <f>ReconciliationData[[#This Row],[Billed_Units]]*ReconciliationData[[#This Row],[Billed_Price]]</f>
        <v>10545.277399999999</v>
      </c>
      <c r="Y2941">
        <f>ReconciliationData[[#This Row],[ordered_units]]*ReconciliationData[[#This Row],[List_Price]]</f>
        <v>10545.277399999999</v>
      </c>
      <c r="Z2941">
        <f>ReconciliationData[[#This Row],[billed_revenue]]-ReconciliationData[[#This Row],[expected_revenue]]</f>
        <v>0</v>
      </c>
      <c r="AA29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41" t="str">
        <f>IF(ReconciliationData[[#This Row],[severity_score]]=0,"LOW",
 IF(ReconciliationData[[#This Row],[severity_score]]&lt;=5,"MEDIUM","HIGH"))</f>
        <v>LOW</v>
      </c>
      <c r="AC2941" t="str">
        <f>TEXT(ReconciliationData[[#This Row],[Order_Date]],"YYYY-MM")</f>
        <v>2024-09</v>
      </c>
    </row>
    <row r="2942" spans="1:29">
      <c r="A2942" t="s">
        <v>7094</v>
      </c>
      <c r="B2942" s="1">
        <v>45222</v>
      </c>
      <c r="C2942" t="s">
        <v>943</v>
      </c>
      <c r="D2942" t="s">
        <v>569</v>
      </c>
      <c r="E2942">
        <v>173</v>
      </c>
      <c r="F2942" t="s">
        <v>7095</v>
      </c>
      <c r="G2942">
        <v>173</v>
      </c>
      <c r="H2942">
        <v>1231.9933000000001</v>
      </c>
      <c r="N2942">
        <v>1231.9933000000001</v>
      </c>
      <c r="O2942" s="1">
        <v>44934</v>
      </c>
      <c r="P2942">
        <f>IF(ISBLANK(ReconciliationData[[#This Row],[Invoice_ID]]),1,0)</f>
        <v>0</v>
      </c>
      <c r="Q2942">
        <f>IF(AND(NOT(ISBLANK(ReconciliationData[[#This Row],[Billed_Units]])),ReconciliationData[[#This Row],[ordered_units]]&lt;&gt;ReconciliationData[[#This Row],[Billed_Units]]),1,0)</f>
        <v>0</v>
      </c>
      <c r="R29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2">
        <f>IF(AND(NOT(ISBLANK(ReconciliationData[[#This Row],[Contract_Price]])),ReconciliationData[[#This Row],[Billed_Price]]&lt;&gt;ReconciliationData[[#This Row],[Contract_Price]]),1,0)</f>
        <v>0</v>
      </c>
      <c r="T2942">
        <f>IF(AND(NOT(ISBLANK(ReconciliationData[[#This Row],[End_Date]])),ReconciliationData[[#This Row],[Order_Date]]&gt;ReconciliationData[[#This Row],[End_Date]]),1,0)</f>
        <v>0</v>
      </c>
      <c r="U2942">
        <f>IF(AND(NOT(ISBLANK(ReconciliationData[[#This Row],[last_return_date]])),ReconciliationData[[#This Row],[last_return_date]]&gt;ReconciliationData[[#This Row],[Order_Date]]+60),1,0)</f>
        <v>0</v>
      </c>
      <c r="V2942">
        <f>IF(ReconciliationData[[#This Row],[total_returned_units]]&gt;ReconciliationData[[#This Row],[ordered_units]],1,0)</f>
        <v>0</v>
      </c>
      <c r="W29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42">
        <f>ReconciliationData[[#This Row],[Billed_Units]]*ReconciliationData[[#This Row],[Billed_Price]]</f>
        <v>213134.84090000001</v>
      </c>
      <c r="Y2942">
        <f>ReconciliationData[[#This Row],[ordered_units]]*ReconciliationData[[#This Row],[List_Price]]</f>
        <v>213134.84090000001</v>
      </c>
      <c r="Z2942">
        <f>ReconciliationData[[#This Row],[billed_revenue]]-ReconciliationData[[#This Row],[expected_revenue]]</f>
        <v>0</v>
      </c>
      <c r="AA29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42" t="str">
        <f>IF(ReconciliationData[[#This Row],[severity_score]]=0,"LOW",
 IF(ReconciliationData[[#This Row],[severity_score]]&lt;=5,"MEDIUM","HIGH"))</f>
        <v>LOW</v>
      </c>
      <c r="AC2942" t="str">
        <f>TEXT(ReconciliationData[[#This Row],[Order_Date]],"YYYY-MM")</f>
        <v>2023-10</v>
      </c>
    </row>
    <row r="2943" spans="1:29">
      <c r="A2943" t="s">
        <v>7096</v>
      </c>
      <c r="B2943" s="1">
        <v>45596</v>
      </c>
      <c r="C2943" t="s">
        <v>1679</v>
      </c>
      <c r="D2943" t="s">
        <v>1542</v>
      </c>
      <c r="E2943">
        <v>26</v>
      </c>
      <c r="F2943" t="s">
        <v>7097</v>
      </c>
      <c r="G2943">
        <v>26</v>
      </c>
      <c r="H2943">
        <v>402.05340000000001</v>
      </c>
      <c r="N2943">
        <v>402.05340000000001</v>
      </c>
      <c r="O2943" s="1">
        <v>45214</v>
      </c>
      <c r="P2943">
        <f>IF(ISBLANK(ReconciliationData[[#This Row],[Invoice_ID]]),1,0)</f>
        <v>0</v>
      </c>
      <c r="Q2943">
        <f>IF(AND(NOT(ISBLANK(ReconciliationData[[#This Row],[Billed_Units]])),ReconciliationData[[#This Row],[ordered_units]]&lt;&gt;ReconciliationData[[#This Row],[Billed_Units]]),1,0)</f>
        <v>0</v>
      </c>
      <c r="R29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3">
        <f>IF(AND(NOT(ISBLANK(ReconciliationData[[#This Row],[Contract_Price]])),ReconciliationData[[#This Row],[Billed_Price]]&lt;&gt;ReconciliationData[[#This Row],[Contract_Price]]),1,0)</f>
        <v>0</v>
      </c>
      <c r="T2943">
        <f>IF(AND(NOT(ISBLANK(ReconciliationData[[#This Row],[End_Date]])),ReconciliationData[[#This Row],[Order_Date]]&gt;ReconciliationData[[#This Row],[End_Date]]),1,0)</f>
        <v>0</v>
      </c>
      <c r="U2943">
        <f>IF(AND(NOT(ISBLANK(ReconciliationData[[#This Row],[last_return_date]])),ReconciliationData[[#This Row],[last_return_date]]&gt;ReconciliationData[[#This Row],[Order_Date]]+60),1,0)</f>
        <v>0</v>
      </c>
      <c r="V2943">
        <f>IF(ReconciliationData[[#This Row],[total_returned_units]]&gt;ReconciliationData[[#This Row],[ordered_units]],1,0)</f>
        <v>0</v>
      </c>
      <c r="W29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43">
        <f>ReconciliationData[[#This Row],[Billed_Units]]*ReconciliationData[[#This Row],[Billed_Price]]</f>
        <v>10453.3884</v>
      </c>
      <c r="Y2943">
        <f>ReconciliationData[[#This Row],[ordered_units]]*ReconciliationData[[#This Row],[List_Price]]</f>
        <v>10453.3884</v>
      </c>
      <c r="Z2943">
        <f>ReconciliationData[[#This Row],[billed_revenue]]-ReconciliationData[[#This Row],[expected_revenue]]</f>
        <v>0</v>
      </c>
      <c r="AA29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43" t="str">
        <f>IF(ReconciliationData[[#This Row],[severity_score]]=0,"LOW",
 IF(ReconciliationData[[#This Row],[severity_score]]&lt;=5,"MEDIUM","HIGH"))</f>
        <v>LOW</v>
      </c>
      <c r="AC2943" t="str">
        <f>TEXT(ReconciliationData[[#This Row],[Order_Date]],"YYYY-MM")</f>
        <v>2024-10</v>
      </c>
    </row>
    <row r="2944" spans="1:29">
      <c r="A2944" t="s">
        <v>7098</v>
      </c>
      <c r="B2944" s="1">
        <v>45557</v>
      </c>
      <c r="C2944" t="s">
        <v>403</v>
      </c>
      <c r="D2944" t="s">
        <v>2489</v>
      </c>
      <c r="E2944">
        <v>54</v>
      </c>
      <c r="F2944" t="s">
        <v>7099</v>
      </c>
      <c r="G2944">
        <v>54</v>
      </c>
      <c r="H2944">
        <v>544.5</v>
      </c>
      <c r="N2944">
        <v>544.5</v>
      </c>
      <c r="O2944" s="1">
        <v>45159</v>
      </c>
      <c r="P2944">
        <f>IF(ISBLANK(ReconciliationData[[#This Row],[Invoice_ID]]),1,0)</f>
        <v>0</v>
      </c>
      <c r="Q2944">
        <f>IF(AND(NOT(ISBLANK(ReconciliationData[[#This Row],[Billed_Units]])),ReconciliationData[[#This Row],[ordered_units]]&lt;&gt;ReconciliationData[[#This Row],[Billed_Units]]),1,0)</f>
        <v>0</v>
      </c>
      <c r="R29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4">
        <f>IF(AND(NOT(ISBLANK(ReconciliationData[[#This Row],[Contract_Price]])),ReconciliationData[[#This Row],[Billed_Price]]&lt;&gt;ReconciliationData[[#This Row],[Contract_Price]]),1,0)</f>
        <v>0</v>
      </c>
      <c r="T2944">
        <f>IF(AND(NOT(ISBLANK(ReconciliationData[[#This Row],[End_Date]])),ReconciliationData[[#This Row],[Order_Date]]&gt;ReconciliationData[[#This Row],[End_Date]]),1,0)</f>
        <v>0</v>
      </c>
      <c r="U2944">
        <f>IF(AND(NOT(ISBLANK(ReconciliationData[[#This Row],[last_return_date]])),ReconciliationData[[#This Row],[last_return_date]]&gt;ReconciliationData[[#This Row],[Order_Date]]+60),1,0)</f>
        <v>0</v>
      </c>
      <c r="V2944">
        <f>IF(ReconciliationData[[#This Row],[total_returned_units]]&gt;ReconciliationData[[#This Row],[ordered_units]],1,0)</f>
        <v>0</v>
      </c>
      <c r="W29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44">
        <f>ReconciliationData[[#This Row],[Billed_Units]]*ReconciliationData[[#This Row],[Billed_Price]]</f>
        <v>29403</v>
      </c>
      <c r="Y2944">
        <f>ReconciliationData[[#This Row],[ordered_units]]*ReconciliationData[[#This Row],[List_Price]]</f>
        <v>29403</v>
      </c>
      <c r="Z2944">
        <f>ReconciliationData[[#This Row],[billed_revenue]]-ReconciliationData[[#This Row],[expected_revenue]]</f>
        <v>0</v>
      </c>
      <c r="AA29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44" t="str">
        <f>IF(ReconciliationData[[#This Row],[severity_score]]=0,"LOW",
 IF(ReconciliationData[[#This Row],[severity_score]]&lt;=5,"MEDIUM","HIGH"))</f>
        <v>LOW</v>
      </c>
      <c r="AC2944" t="str">
        <f>TEXT(ReconciliationData[[#This Row],[Order_Date]],"YYYY-MM")</f>
        <v>2024-09</v>
      </c>
    </row>
    <row r="2945" spans="1:29">
      <c r="A2945" t="s">
        <v>7100</v>
      </c>
      <c r="B2945" s="1">
        <v>45041</v>
      </c>
      <c r="C2945" t="s">
        <v>767</v>
      </c>
      <c r="D2945" t="s">
        <v>366</v>
      </c>
      <c r="E2945">
        <v>99</v>
      </c>
      <c r="F2945" t="s">
        <v>7101</v>
      </c>
      <c r="G2945">
        <v>99</v>
      </c>
      <c r="H2945">
        <v>525.45000000000005</v>
      </c>
      <c r="I2945">
        <v>14</v>
      </c>
      <c r="J2945" s="1">
        <v>45303</v>
      </c>
      <c r="N2945">
        <v>525.45000000000005</v>
      </c>
      <c r="O2945" s="1">
        <v>44623</v>
      </c>
      <c r="P2945">
        <f>IF(ISBLANK(ReconciliationData[[#This Row],[Invoice_ID]]),1,0)</f>
        <v>0</v>
      </c>
      <c r="Q2945">
        <f>IF(AND(NOT(ISBLANK(ReconciliationData[[#This Row],[Billed_Units]])),ReconciliationData[[#This Row],[ordered_units]]&lt;&gt;ReconciliationData[[#This Row],[Billed_Units]]),1,0)</f>
        <v>0</v>
      </c>
      <c r="R29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5">
        <f>IF(AND(NOT(ISBLANK(ReconciliationData[[#This Row],[Contract_Price]])),ReconciliationData[[#This Row],[Billed_Price]]&lt;&gt;ReconciliationData[[#This Row],[Contract_Price]]),1,0)</f>
        <v>0</v>
      </c>
      <c r="T2945">
        <f>IF(AND(NOT(ISBLANK(ReconciliationData[[#This Row],[End_Date]])),ReconciliationData[[#This Row],[Order_Date]]&gt;ReconciliationData[[#This Row],[End_Date]]),1,0)</f>
        <v>0</v>
      </c>
      <c r="U2945">
        <f>IF(AND(NOT(ISBLANK(ReconciliationData[[#This Row],[last_return_date]])),ReconciliationData[[#This Row],[last_return_date]]&gt;ReconciliationData[[#This Row],[Order_Date]]+60),1,0)</f>
        <v>1</v>
      </c>
      <c r="V2945">
        <f>IF(ReconciliationData[[#This Row],[total_returned_units]]&gt;ReconciliationData[[#This Row],[ordered_units]],1,0)</f>
        <v>0</v>
      </c>
      <c r="W29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45">
        <f>ReconciliationData[[#This Row],[Billed_Units]]*ReconciliationData[[#This Row],[Billed_Price]]</f>
        <v>52019.55</v>
      </c>
      <c r="Y2945">
        <f>ReconciliationData[[#This Row],[ordered_units]]*ReconciliationData[[#This Row],[List_Price]]</f>
        <v>52019.55</v>
      </c>
      <c r="Z2945">
        <f>ReconciliationData[[#This Row],[billed_revenue]]-ReconciliationData[[#This Row],[expected_revenue]]</f>
        <v>0</v>
      </c>
      <c r="AA29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945" t="str">
        <f>IF(ReconciliationData[[#This Row],[severity_score]]=0,"LOW",
 IF(ReconciliationData[[#This Row],[severity_score]]&lt;=5,"MEDIUM","HIGH"))</f>
        <v>MEDIUM</v>
      </c>
      <c r="AC2945" t="str">
        <f>TEXT(ReconciliationData[[#This Row],[Order_Date]],"YYYY-MM")</f>
        <v>2023-04</v>
      </c>
    </row>
    <row r="2946" spans="1:29">
      <c r="A2946" t="s">
        <v>7102</v>
      </c>
      <c r="B2946" s="1">
        <v>45283</v>
      </c>
      <c r="C2946" t="s">
        <v>1120</v>
      </c>
      <c r="D2946" t="s">
        <v>472</v>
      </c>
      <c r="E2946">
        <v>93</v>
      </c>
      <c r="F2946" t="s">
        <v>7103</v>
      </c>
      <c r="G2946">
        <v>93</v>
      </c>
      <c r="H2946">
        <v>730.7886000000002</v>
      </c>
      <c r="N2946">
        <v>730.7886000000002</v>
      </c>
      <c r="O2946" s="1">
        <v>45099</v>
      </c>
      <c r="P2946">
        <f>IF(ISBLANK(ReconciliationData[[#This Row],[Invoice_ID]]),1,0)</f>
        <v>0</v>
      </c>
      <c r="Q2946">
        <f>IF(AND(NOT(ISBLANK(ReconciliationData[[#This Row],[Billed_Units]])),ReconciliationData[[#This Row],[ordered_units]]&lt;&gt;ReconciliationData[[#This Row],[Billed_Units]]),1,0)</f>
        <v>0</v>
      </c>
      <c r="R29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6">
        <f>IF(AND(NOT(ISBLANK(ReconciliationData[[#This Row],[Contract_Price]])),ReconciliationData[[#This Row],[Billed_Price]]&lt;&gt;ReconciliationData[[#This Row],[Contract_Price]]),1,0)</f>
        <v>0</v>
      </c>
      <c r="T2946">
        <f>IF(AND(NOT(ISBLANK(ReconciliationData[[#This Row],[End_Date]])),ReconciliationData[[#This Row],[Order_Date]]&gt;ReconciliationData[[#This Row],[End_Date]]),1,0)</f>
        <v>0</v>
      </c>
      <c r="U2946">
        <f>IF(AND(NOT(ISBLANK(ReconciliationData[[#This Row],[last_return_date]])),ReconciliationData[[#This Row],[last_return_date]]&gt;ReconciliationData[[#This Row],[Order_Date]]+60),1,0)</f>
        <v>0</v>
      </c>
      <c r="V2946">
        <f>IF(ReconciliationData[[#This Row],[total_returned_units]]&gt;ReconciliationData[[#This Row],[ordered_units]],1,0)</f>
        <v>0</v>
      </c>
      <c r="W29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46">
        <f>ReconciliationData[[#This Row],[Billed_Units]]*ReconciliationData[[#This Row],[Billed_Price]]</f>
        <v>67963.339800000016</v>
      </c>
      <c r="Y2946">
        <f>ReconciliationData[[#This Row],[ordered_units]]*ReconciliationData[[#This Row],[List_Price]]</f>
        <v>67963.339800000016</v>
      </c>
      <c r="Z2946">
        <f>ReconciliationData[[#This Row],[billed_revenue]]-ReconciliationData[[#This Row],[expected_revenue]]</f>
        <v>0</v>
      </c>
      <c r="AA29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46" t="str">
        <f>IF(ReconciliationData[[#This Row],[severity_score]]=0,"LOW",
 IF(ReconciliationData[[#This Row],[severity_score]]&lt;=5,"MEDIUM","HIGH"))</f>
        <v>LOW</v>
      </c>
      <c r="AC2946" t="str">
        <f>TEXT(ReconciliationData[[#This Row],[Order_Date]],"YYYY-MM")</f>
        <v>2023-12</v>
      </c>
    </row>
    <row r="2947" spans="1:29">
      <c r="A2947" t="s">
        <v>7104</v>
      </c>
      <c r="B2947" s="1">
        <v>45629</v>
      </c>
      <c r="C2947" t="s">
        <v>173</v>
      </c>
      <c r="D2947" t="s">
        <v>259</v>
      </c>
      <c r="E2947">
        <v>183</v>
      </c>
      <c r="F2947" t="s">
        <v>7105</v>
      </c>
      <c r="G2947">
        <v>183</v>
      </c>
      <c r="H2947">
        <v>360.68479999999994</v>
      </c>
      <c r="N2947">
        <v>360.68479999999994</v>
      </c>
      <c r="O2947" s="1">
        <v>45072</v>
      </c>
      <c r="P2947">
        <f>IF(ISBLANK(ReconciliationData[[#This Row],[Invoice_ID]]),1,0)</f>
        <v>0</v>
      </c>
      <c r="Q2947">
        <f>IF(AND(NOT(ISBLANK(ReconciliationData[[#This Row],[Billed_Units]])),ReconciliationData[[#This Row],[ordered_units]]&lt;&gt;ReconciliationData[[#This Row],[Billed_Units]]),1,0)</f>
        <v>0</v>
      </c>
      <c r="R29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7">
        <f>IF(AND(NOT(ISBLANK(ReconciliationData[[#This Row],[Contract_Price]])),ReconciliationData[[#This Row],[Billed_Price]]&lt;&gt;ReconciliationData[[#This Row],[Contract_Price]]),1,0)</f>
        <v>0</v>
      </c>
      <c r="T2947">
        <f>IF(AND(NOT(ISBLANK(ReconciliationData[[#This Row],[End_Date]])),ReconciliationData[[#This Row],[Order_Date]]&gt;ReconciliationData[[#This Row],[End_Date]]),1,0)</f>
        <v>0</v>
      </c>
      <c r="U2947">
        <f>IF(AND(NOT(ISBLANK(ReconciliationData[[#This Row],[last_return_date]])),ReconciliationData[[#This Row],[last_return_date]]&gt;ReconciliationData[[#This Row],[Order_Date]]+60),1,0)</f>
        <v>0</v>
      </c>
      <c r="V2947">
        <f>IF(ReconciliationData[[#This Row],[total_returned_units]]&gt;ReconciliationData[[#This Row],[ordered_units]],1,0)</f>
        <v>0</v>
      </c>
      <c r="W29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47">
        <f>ReconciliationData[[#This Row],[Billed_Units]]*ReconciliationData[[#This Row],[Billed_Price]]</f>
        <v>66005.318399999989</v>
      </c>
      <c r="Y2947">
        <f>ReconciliationData[[#This Row],[ordered_units]]*ReconciliationData[[#This Row],[List_Price]]</f>
        <v>66005.318399999989</v>
      </c>
      <c r="Z2947">
        <f>ReconciliationData[[#This Row],[billed_revenue]]-ReconciliationData[[#This Row],[expected_revenue]]</f>
        <v>0</v>
      </c>
      <c r="AA29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47" t="str">
        <f>IF(ReconciliationData[[#This Row],[severity_score]]=0,"LOW",
 IF(ReconciliationData[[#This Row],[severity_score]]&lt;=5,"MEDIUM","HIGH"))</f>
        <v>LOW</v>
      </c>
      <c r="AC2947" t="str">
        <f>TEXT(ReconciliationData[[#This Row],[Order_Date]],"YYYY-MM")</f>
        <v>2024-12</v>
      </c>
    </row>
    <row r="2948" spans="1:29">
      <c r="A2948" t="s">
        <v>7106</v>
      </c>
      <c r="B2948" s="1">
        <v>45036</v>
      </c>
      <c r="C2948" t="s">
        <v>1141</v>
      </c>
      <c r="D2948" t="s">
        <v>1414</v>
      </c>
      <c r="E2948">
        <v>76</v>
      </c>
      <c r="F2948" t="s">
        <v>7107</v>
      </c>
      <c r="G2948">
        <v>76</v>
      </c>
      <c r="H2948">
        <v>847.36</v>
      </c>
      <c r="N2948">
        <v>847.36</v>
      </c>
      <c r="O2948" s="1">
        <v>44727</v>
      </c>
      <c r="P2948">
        <f>IF(ISBLANK(ReconciliationData[[#This Row],[Invoice_ID]]),1,0)</f>
        <v>0</v>
      </c>
      <c r="Q2948">
        <f>IF(AND(NOT(ISBLANK(ReconciliationData[[#This Row],[Billed_Units]])),ReconciliationData[[#This Row],[ordered_units]]&lt;&gt;ReconciliationData[[#This Row],[Billed_Units]]),1,0)</f>
        <v>0</v>
      </c>
      <c r="R29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8">
        <f>IF(AND(NOT(ISBLANK(ReconciliationData[[#This Row],[Contract_Price]])),ReconciliationData[[#This Row],[Billed_Price]]&lt;&gt;ReconciliationData[[#This Row],[Contract_Price]]),1,0)</f>
        <v>0</v>
      </c>
      <c r="T2948">
        <f>IF(AND(NOT(ISBLANK(ReconciliationData[[#This Row],[End_Date]])),ReconciliationData[[#This Row],[Order_Date]]&gt;ReconciliationData[[#This Row],[End_Date]]),1,0)</f>
        <v>0</v>
      </c>
      <c r="U2948">
        <f>IF(AND(NOT(ISBLANK(ReconciliationData[[#This Row],[last_return_date]])),ReconciliationData[[#This Row],[last_return_date]]&gt;ReconciliationData[[#This Row],[Order_Date]]+60),1,0)</f>
        <v>0</v>
      </c>
      <c r="V2948">
        <f>IF(ReconciliationData[[#This Row],[total_returned_units]]&gt;ReconciliationData[[#This Row],[ordered_units]],1,0)</f>
        <v>0</v>
      </c>
      <c r="W29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48">
        <f>ReconciliationData[[#This Row],[Billed_Units]]*ReconciliationData[[#This Row],[Billed_Price]]</f>
        <v>64399.360000000001</v>
      </c>
      <c r="Y2948">
        <f>ReconciliationData[[#This Row],[ordered_units]]*ReconciliationData[[#This Row],[List_Price]]</f>
        <v>64399.360000000001</v>
      </c>
      <c r="Z2948">
        <f>ReconciliationData[[#This Row],[billed_revenue]]-ReconciliationData[[#This Row],[expected_revenue]]</f>
        <v>0</v>
      </c>
      <c r="AA29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48" t="str">
        <f>IF(ReconciliationData[[#This Row],[severity_score]]=0,"LOW",
 IF(ReconciliationData[[#This Row],[severity_score]]&lt;=5,"MEDIUM","HIGH"))</f>
        <v>LOW</v>
      </c>
      <c r="AC2948" t="str">
        <f>TEXT(ReconciliationData[[#This Row],[Order_Date]],"YYYY-MM")</f>
        <v>2023-04</v>
      </c>
    </row>
    <row r="2949" spans="1:29">
      <c r="A2949" t="s">
        <v>7108</v>
      </c>
      <c r="B2949" s="1">
        <v>45196</v>
      </c>
      <c r="C2949" t="s">
        <v>3700</v>
      </c>
      <c r="D2949" t="s">
        <v>138</v>
      </c>
      <c r="E2949">
        <v>3</v>
      </c>
      <c r="F2949" t="s">
        <v>7109</v>
      </c>
      <c r="G2949">
        <v>3</v>
      </c>
      <c r="H2949">
        <v>444.22</v>
      </c>
      <c r="N2949">
        <v>444.22</v>
      </c>
      <c r="O2949" s="1">
        <v>45074</v>
      </c>
      <c r="P2949">
        <f>IF(ISBLANK(ReconciliationData[[#This Row],[Invoice_ID]]),1,0)</f>
        <v>0</v>
      </c>
      <c r="Q2949">
        <f>IF(AND(NOT(ISBLANK(ReconciliationData[[#This Row],[Billed_Units]])),ReconciliationData[[#This Row],[ordered_units]]&lt;&gt;ReconciliationData[[#This Row],[Billed_Units]]),1,0)</f>
        <v>0</v>
      </c>
      <c r="R29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49">
        <f>IF(AND(NOT(ISBLANK(ReconciliationData[[#This Row],[Contract_Price]])),ReconciliationData[[#This Row],[Billed_Price]]&lt;&gt;ReconciliationData[[#This Row],[Contract_Price]]),1,0)</f>
        <v>0</v>
      </c>
      <c r="T2949">
        <f>IF(AND(NOT(ISBLANK(ReconciliationData[[#This Row],[End_Date]])),ReconciliationData[[#This Row],[Order_Date]]&gt;ReconciliationData[[#This Row],[End_Date]]),1,0)</f>
        <v>0</v>
      </c>
      <c r="U2949">
        <f>IF(AND(NOT(ISBLANK(ReconciliationData[[#This Row],[last_return_date]])),ReconciliationData[[#This Row],[last_return_date]]&gt;ReconciliationData[[#This Row],[Order_Date]]+60),1,0)</f>
        <v>0</v>
      </c>
      <c r="V2949">
        <f>IF(ReconciliationData[[#This Row],[total_returned_units]]&gt;ReconciliationData[[#This Row],[ordered_units]],1,0)</f>
        <v>0</v>
      </c>
      <c r="W29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49">
        <f>ReconciliationData[[#This Row],[Billed_Units]]*ReconciliationData[[#This Row],[Billed_Price]]</f>
        <v>1332.66</v>
      </c>
      <c r="Y2949">
        <f>ReconciliationData[[#This Row],[ordered_units]]*ReconciliationData[[#This Row],[List_Price]]</f>
        <v>1332.66</v>
      </c>
      <c r="Z2949">
        <f>ReconciliationData[[#This Row],[billed_revenue]]-ReconciliationData[[#This Row],[expected_revenue]]</f>
        <v>0</v>
      </c>
      <c r="AA29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49" t="str">
        <f>IF(ReconciliationData[[#This Row],[severity_score]]=0,"LOW",
 IF(ReconciliationData[[#This Row],[severity_score]]&lt;=5,"MEDIUM","HIGH"))</f>
        <v>LOW</v>
      </c>
      <c r="AC2949" t="str">
        <f>TEXT(ReconciliationData[[#This Row],[Order_Date]],"YYYY-MM")</f>
        <v>2023-09</v>
      </c>
    </row>
    <row r="2950" spans="1:29">
      <c r="A2950" t="s">
        <v>7110</v>
      </c>
      <c r="B2950" s="1">
        <v>45135</v>
      </c>
      <c r="C2950" t="s">
        <v>536</v>
      </c>
      <c r="D2950" t="s">
        <v>684</v>
      </c>
      <c r="E2950">
        <v>53</v>
      </c>
      <c r="F2950" t="s">
        <v>7111</v>
      </c>
      <c r="G2950">
        <v>53</v>
      </c>
      <c r="H2950">
        <v>75.620999999999995</v>
      </c>
      <c r="N2950">
        <v>75.620999999999995</v>
      </c>
      <c r="O2950" s="1">
        <v>45108</v>
      </c>
      <c r="P2950">
        <f>IF(ISBLANK(ReconciliationData[[#This Row],[Invoice_ID]]),1,0)</f>
        <v>0</v>
      </c>
      <c r="Q2950">
        <f>IF(AND(NOT(ISBLANK(ReconciliationData[[#This Row],[Billed_Units]])),ReconciliationData[[#This Row],[ordered_units]]&lt;&gt;ReconciliationData[[#This Row],[Billed_Units]]),1,0)</f>
        <v>0</v>
      </c>
      <c r="R29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50">
        <f>IF(AND(NOT(ISBLANK(ReconciliationData[[#This Row],[Contract_Price]])),ReconciliationData[[#This Row],[Billed_Price]]&lt;&gt;ReconciliationData[[#This Row],[Contract_Price]]),1,0)</f>
        <v>0</v>
      </c>
      <c r="T2950">
        <f>IF(AND(NOT(ISBLANK(ReconciliationData[[#This Row],[End_Date]])),ReconciliationData[[#This Row],[Order_Date]]&gt;ReconciliationData[[#This Row],[End_Date]]),1,0)</f>
        <v>0</v>
      </c>
      <c r="U2950">
        <f>IF(AND(NOT(ISBLANK(ReconciliationData[[#This Row],[last_return_date]])),ReconciliationData[[#This Row],[last_return_date]]&gt;ReconciliationData[[#This Row],[Order_Date]]+60),1,0)</f>
        <v>0</v>
      </c>
      <c r="V2950">
        <f>IF(ReconciliationData[[#This Row],[total_returned_units]]&gt;ReconciliationData[[#This Row],[ordered_units]],1,0)</f>
        <v>0</v>
      </c>
      <c r="W29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50">
        <f>ReconciliationData[[#This Row],[Billed_Units]]*ReconciliationData[[#This Row],[Billed_Price]]</f>
        <v>4007.9129999999996</v>
      </c>
      <c r="Y2950">
        <f>ReconciliationData[[#This Row],[ordered_units]]*ReconciliationData[[#This Row],[List_Price]]</f>
        <v>4007.9129999999996</v>
      </c>
      <c r="Z2950">
        <f>ReconciliationData[[#This Row],[billed_revenue]]-ReconciliationData[[#This Row],[expected_revenue]]</f>
        <v>0</v>
      </c>
      <c r="AA29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50" t="str">
        <f>IF(ReconciliationData[[#This Row],[severity_score]]=0,"LOW",
 IF(ReconciliationData[[#This Row],[severity_score]]&lt;=5,"MEDIUM","HIGH"))</f>
        <v>LOW</v>
      </c>
      <c r="AC2950" t="str">
        <f>TEXT(ReconciliationData[[#This Row],[Order_Date]],"YYYY-MM")</f>
        <v>2023-07</v>
      </c>
    </row>
    <row r="2951" spans="1:29">
      <c r="A2951" t="s">
        <v>7112</v>
      </c>
      <c r="B2951" s="1">
        <v>45020</v>
      </c>
      <c r="C2951" t="s">
        <v>599</v>
      </c>
      <c r="D2951" t="s">
        <v>385</v>
      </c>
      <c r="E2951">
        <v>89</v>
      </c>
      <c r="F2951" t="s">
        <v>7113</v>
      </c>
      <c r="G2951">
        <v>89</v>
      </c>
      <c r="H2951">
        <v>1087.8191999999999</v>
      </c>
      <c r="N2951">
        <v>1087.8191999999999</v>
      </c>
      <c r="O2951" s="1">
        <v>44844</v>
      </c>
      <c r="P2951">
        <f>IF(ISBLANK(ReconciliationData[[#This Row],[Invoice_ID]]),1,0)</f>
        <v>0</v>
      </c>
      <c r="Q2951">
        <f>IF(AND(NOT(ISBLANK(ReconciliationData[[#This Row],[Billed_Units]])),ReconciliationData[[#This Row],[ordered_units]]&lt;&gt;ReconciliationData[[#This Row],[Billed_Units]]),1,0)</f>
        <v>0</v>
      </c>
      <c r="R29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51">
        <f>IF(AND(NOT(ISBLANK(ReconciliationData[[#This Row],[Contract_Price]])),ReconciliationData[[#This Row],[Billed_Price]]&lt;&gt;ReconciliationData[[#This Row],[Contract_Price]]),1,0)</f>
        <v>0</v>
      </c>
      <c r="T2951">
        <f>IF(AND(NOT(ISBLANK(ReconciliationData[[#This Row],[End_Date]])),ReconciliationData[[#This Row],[Order_Date]]&gt;ReconciliationData[[#This Row],[End_Date]]),1,0)</f>
        <v>0</v>
      </c>
      <c r="U2951">
        <f>IF(AND(NOT(ISBLANK(ReconciliationData[[#This Row],[last_return_date]])),ReconciliationData[[#This Row],[last_return_date]]&gt;ReconciliationData[[#This Row],[Order_Date]]+60),1,0)</f>
        <v>0</v>
      </c>
      <c r="V2951">
        <f>IF(ReconciliationData[[#This Row],[total_returned_units]]&gt;ReconciliationData[[#This Row],[ordered_units]],1,0)</f>
        <v>0</v>
      </c>
      <c r="W29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51">
        <f>ReconciliationData[[#This Row],[Billed_Units]]*ReconciliationData[[#This Row],[Billed_Price]]</f>
        <v>96815.90879999999</v>
      </c>
      <c r="Y2951">
        <f>ReconciliationData[[#This Row],[ordered_units]]*ReconciliationData[[#This Row],[List_Price]]</f>
        <v>96815.90879999999</v>
      </c>
      <c r="Z2951">
        <f>ReconciliationData[[#This Row],[billed_revenue]]-ReconciliationData[[#This Row],[expected_revenue]]</f>
        <v>0</v>
      </c>
      <c r="AA29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51" t="str">
        <f>IF(ReconciliationData[[#This Row],[severity_score]]=0,"LOW",
 IF(ReconciliationData[[#This Row],[severity_score]]&lt;=5,"MEDIUM","HIGH"))</f>
        <v>LOW</v>
      </c>
      <c r="AC2951" t="str">
        <f>TEXT(ReconciliationData[[#This Row],[Order_Date]],"YYYY-MM")</f>
        <v>2023-04</v>
      </c>
    </row>
    <row r="2952" spans="1:29">
      <c r="A2952" t="s">
        <v>7114</v>
      </c>
      <c r="B2952" s="1">
        <v>44940</v>
      </c>
      <c r="C2952" t="s">
        <v>3940</v>
      </c>
      <c r="D2952" t="s">
        <v>341</v>
      </c>
      <c r="E2952">
        <v>96</v>
      </c>
      <c r="F2952" t="s">
        <v>7115</v>
      </c>
      <c r="G2952">
        <v>96</v>
      </c>
      <c r="H2952">
        <v>47.936999999999998</v>
      </c>
      <c r="N2952">
        <v>47.936999999999998</v>
      </c>
      <c r="O2952" s="1">
        <v>44934</v>
      </c>
      <c r="P2952">
        <f>IF(ISBLANK(ReconciliationData[[#This Row],[Invoice_ID]]),1,0)</f>
        <v>0</v>
      </c>
      <c r="Q2952">
        <f>IF(AND(NOT(ISBLANK(ReconciliationData[[#This Row],[Billed_Units]])),ReconciliationData[[#This Row],[ordered_units]]&lt;&gt;ReconciliationData[[#This Row],[Billed_Units]]),1,0)</f>
        <v>0</v>
      </c>
      <c r="R29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52">
        <f>IF(AND(NOT(ISBLANK(ReconciliationData[[#This Row],[Contract_Price]])),ReconciliationData[[#This Row],[Billed_Price]]&lt;&gt;ReconciliationData[[#This Row],[Contract_Price]]),1,0)</f>
        <v>0</v>
      </c>
      <c r="T2952">
        <f>IF(AND(NOT(ISBLANK(ReconciliationData[[#This Row],[End_Date]])),ReconciliationData[[#This Row],[Order_Date]]&gt;ReconciliationData[[#This Row],[End_Date]]),1,0)</f>
        <v>0</v>
      </c>
      <c r="U2952">
        <f>IF(AND(NOT(ISBLANK(ReconciliationData[[#This Row],[last_return_date]])),ReconciliationData[[#This Row],[last_return_date]]&gt;ReconciliationData[[#This Row],[Order_Date]]+60),1,0)</f>
        <v>0</v>
      </c>
      <c r="V2952">
        <f>IF(ReconciliationData[[#This Row],[total_returned_units]]&gt;ReconciliationData[[#This Row],[ordered_units]],1,0)</f>
        <v>0</v>
      </c>
      <c r="W29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52">
        <f>ReconciliationData[[#This Row],[Billed_Units]]*ReconciliationData[[#This Row],[Billed_Price]]</f>
        <v>4601.9519999999993</v>
      </c>
      <c r="Y2952">
        <f>ReconciliationData[[#This Row],[ordered_units]]*ReconciliationData[[#This Row],[List_Price]]</f>
        <v>4601.9519999999993</v>
      </c>
      <c r="Z2952">
        <f>ReconciliationData[[#This Row],[billed_revenue]]-ReconciliationData[[#This Row],[expected_revenue]]</f>
        <v>0</v>
      </c>
      <c r="AA29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52" t="str">
        <f>IF(ReconciliationData[[#This Row],[severity_score]]=0,"LOW",
 IF(ReconciliationData[[#This Row],[severity_score]]&lt;=5,"MEDIUM","HIGH"))</f>
        <v>LOW</v>
      </c>
      <c r="AC2952" t="str">
        <f>TEXT(ReconciliationData[[#This Row],[Order_Date]],"YYYY-MM")</f>
        <v>2023-01</v>
      </c>
    </row>
    <row r="2953" spans="1:29">
      <c r="A2953" t="s">
        <v>7116</v>
      </c>
      <c r="B2953" s="1">
        <v>45248</v>
      </c>
      <c r="C2953" t="s">
        <v>1524</v>
      </c>
      <c r="D2953" t="s">
        <v>1362</v>
      </c>
      <c r="E2953">
        <v>184</v>
      </c>
      <c r="F2953" t="s">
        <v>7117</v>
      </c>
      <c r="G2953">
        <v>184</v>
      </c>
      <c r="H2953">
        <v>82.749600000000015</v>
      </c>
      <c r="N2953">
        <v>82.749600000000015</v>
      </c>
      <c r="O2953" s="1">
        <v>45068</v>
      </c>
      <c r="P2953">
        <f>IF(ISBLANK(ReconciliationData[[#This Row],[Invoice_ID]]),1,0)</f>
        <v>0</v>
      </c>
      <c r="Q2953">
        <f>IF(AND(NOT(ISBLANK(ReconciliationData[[#This Row],[Billed_Units]])),ReconciliationData[[#This Row],[ordered_units]]&lt;&gt;ReconciliationData[[#This Row],[Billed_Units]]),1,0)</f>
        <v>0</v>
      </c>
      <c r="R29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53">
        <f>IF(AND(NOT(ISBLANK(ReconciliationData[[#This Row],[Contract_Price]])),ReconciliationData[[#This Row],[Billed_Price]]&lt;&gt;ReconciliationData[[#This Row],[Contract_Price]]),1,0)</f>
        <v>0</v>
      </c>
      <c r="T2953">
        <f>IF(AND(NOT(ISBLANK(ReconciliationData[[#This Row],[End_Date]])),ReconciliationData[[#This Row],[Order_Date]]&gt;ReconciliationData[[#This Row],[End_Date]]),1,0)</f>
        <v>0</v>
      </c>
      <c r="U2953">
        <f>IF(AND(NOT(ISBLANK(ReconciliationData[[#This Row],[last_return_date]])),ReconciliationData[[#This Row],[last_return_date]]&gt;ReconciliationData[[#This Row],[Order_Date]]+60),1,0)</f>
        <v>0</v>
      </c>
      <c r="V2953">
        <f>IF(ReconciliationData[[#This Row],[total_returned_units]]&gt;ReconciliationData[[#This Row],[ordered_units]],1,0)</f>
        <v>0</v>
      </c>
      <c r="W29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53">
        <f>ReconciliationData[[#This Row],[Billed_Units]]*ReconciliationData[[#This Row],[Billed_Price]]</f>
        <v>15225.926400000002</v>
      </c>
      <c r="Y2953">
        <f>ReconciliationData[[#This Row],[ordered_units]]*ReconciliationData[[#This Row],[List_Price]]</f>
        <v>15225.926400000002</v>
      </c>
      <c r="Z2953">
        <f>ReconciliationData[[#This Row],[billed_revenue]]-ReconciliationData[[#This Row],[expected_revenue]]</f>
        <v>0</v>
      </c>
      <c r="AA29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53" t="str">
        <f>IF(ReconciliationData[[#This Row],[severity_score]]=0,"LOW",
 IF(ReconciliationData[[#This Row],[severity_score]]&lt;=5,"MEDIUM","HIGH"))</f>
        <v>LOW</v>
      </c>
      <c r="AC2953" t="str">
        <f>TEXT(ReconciliationData[[#This Row],[Order_Date]],"YYYY-MM")</f>
        <v>2023-11</v>
      </c>
    </row>
    <row r="2954" spans="1:29">
      <c r="A2954" t="s">
        <v>7118</v>
      </c>
      <c r="B2954" s="1">
        <v>45030</v>
      </c>
      <c r="C2954" t="s">
        <v>3450</v>
      </c>
      <c r="D2954" t="s">
        <v>628</v>
      </c>
      <c r="E2954">
        <v>112</v>
      </c>
      <c r="F2954" t="s">
        <v>7119</v>
      </c>
      <c r="G2954">
        <v>112</v>
      </c>
      <c r="H2954">
        <v>303.73439999999999</v>
      </c>
      <c r="N2954">
        <v>303.73439999999999</v>
      </c>
      <c r="O2954" s="1">
        <v>44810</v>
      </c>
      <c r="P2954">
        <f>IF(ISBLANK(ReconciliationData[[#This Row],[Invoice_ID]]),1,0)</f>
        <v>0</v>
      </c>
      <c r="Q2954">
        <f>IF(AND(NOT(ISBLANK(ReconciliationData[[#This Row],[Billed_Units]])),ReconciliationData[[#This Row],[ordered_units]]&lt;&gt;ReconciliationData[[#This Row],[Billed_Units]]),1,0)</f>
        <v>0</v>
      </c>
      <c r="R29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54">
        <f>IF(AND(NOT(ISBLANK(ReconciliationData[[#This Row],[Contract_Price]])),ReconciliationData[[#This Row],[Billed_Price]]&lt;&gt;ReconciliationData[[#This Row],[Contract_Price]]),1,0)</f>
        <v>0</v>
      </c>
      <c r="T2954">
        <f>IF(AND(NOT(ISBLANK(ReconciliationData[[#This Row],[End_Date]])),ReconciliationData[[#This Row],[Order_Date]]&gt;ReconciliationData[[#This Row],[End_Date]]),1,0)</f>
        <v>0</v>
      </c>
      <c r="U2954">
        <f>IF(AND(NOT(ISBLANK(ReconciliationData[[#This Row],[last_return_date]])),ReconciliationData[[#This Row],[last_return_date]]&gt;ReconciliationData[[#This Row],[Order_Date]]+60),1,0)</f>
        <v>0</v>
      </c>
      <c r="V2954">
        <f>IF(ReconciliationData[[#This Row],[total_returned_units]]&gt;ReconciliationData[[#This Row],[ordered_units]],1,0)</f>
        <v>0</v>
      </c>
      <c r="W29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54">
        <f>ReconciliationData[[#This Row],[Billed_Units]]*ReconciliationData[[#This Row],[Billed_Price]]</f>
        <v>34018.252800000002</v>
      </c>
      <c r="Y2954">
        <f>ReconciliationData[[#This Row],[ordered_units]]*ReconciliationData[[#This Row],[List_Price]]</f>
        <v>34018.252800000002</v>
      </c>
      <c r="Z2954">
        <f>ReconciliationData[[#This Row],[billed_revenue]]-ReconciliationData[[#This Row],[expected_revenue]]</f>
        <v>0</v>
      </c>
      <c r="AA29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54" t="str">
        <f>IF(ReconciliationData[[#This Row],[severity_score]]=0,"LOW",
 IF(ReconciliationData[[#This Row],[severity_score]]&lt;=5,"MEDIUM","HIGH"))</f>
        <v>LOW</v>
      </c>
      <c r="AC2954" t="str">
        <f>TEXT(ReconciliationData[[#This Row],[Order_Date]],"YYYY-MM")</f>
        <v>2023-04</v>
      </c>
    </row>
    <row r="2955" spans="1:29">
      <c r="A2955" t="s">
        <v>7120</v>
      </c>
      <c r="B2955" s="1">
        <v>45625</v>
      </c>
      <c r="C2955" t="s">
        <v>1016</v>
      </c>
      <c r="D2955" t="s">
        <v>1567</v>
      </c>
      <c r="E2955">
        <v>53</v>
      </c>
      <c r="F2955" t="s">
        <v>7121</v>
      </c>
      <c r="G2955">
        <v>53</v>
      </c>
      <c r="H2955">
        <v>799.8357000000002</v>
      </c>
      <c r="N2955">
        <v>799.8357000000002</v>
      </c>
      <c r="O2955" s="1">
        <v>45063</v>
      </c>
      <c r="P2955">
        <f>IF(ISBLANK(ReconciliationData[[#This Row],[Invoice_ID]]),1,0)</f>
        <v>0</v>
      </c>
      <c r="Q2955">
        <f>IF(AND(NOT(ISBLANK(ReconciliationData[[#This Row],[Billed_Units]])),ReconciliationData[[#This Row],[ordered_units]]&lt;&gt;ReconciliationData[[#This Row],[Billed_Units]]),1,0)</f>
        <v>0</v>
      </c>
      <c r="R29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55">
        <f>IF(AND(NOT(ISBLANK(ReconciliationData[[#This Row],[Contract_Price]])),ReconciliationData[[#This Row],[Billed_Price]]&lt;&gt;ReconciliationData[[#This Row],[Contract_Price]]),1,0)</f>
        <v>0</v>
      </c>
      <c r="T2955">
        <f>IF(AND(NOT(ISBLANK(ReconciliationData[[#This Row],[End_Date]])),ReconciliationData[[#This Row],[Order_Date]]&gt;ReconciliationData[[#This Row],[End_Date]]),1,0)</f>
        <v>0</v>
      </c>
      <c r="U2955">
        <f>IF(AND(NOT(ISBLANK(ReconciliationData[[#This Row],[last_return_date]])),ReconciliationData[[#This Row],[last_return_date]]&gt;ReconciliationData[[#This Row],[Order_Date]]+60),1,0)</f>
        <v>0</v>
      </c>
      <c r="V2955">
        <f>IF(ReconciliationData[[#This Row],[total_returned_units]]&gt;ReconciliationData[[#This Row],[ordered_units]],1,0)</f>
        <v>0</v>
      </c>
      <c r="W29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55">
        <f>ReconciliationData[[#This Row],[Billed_Units]]*ReconciliationData[[#This Row],[Billed_Price]]</f>
        <v>42391.292100000013</v>
      </c>
      <c r="Y2955">
        <f>ReconciliationData[[#This Row],[ordered_units]]*ReconciliationData[[#This Row],[List_Price]]</f>
        <v>42391.292100000013</v>
      </c>
      <c r="Z2955">
        <f>ReconciliationData[[#This Row],[billed_revenue]]-ReconciliationData[[#This Row],[expected_revenue]]</f>
        <v>0</v>
      </c>
      <c r="AA29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55" t="str">
        <f>IF(ReconciliationData[[#This Row],[severity_score]]=0,"LOW",
 IF(ReconciliationData[[#This Row],[severity_score]]&lt;=5,"MEDIUM","HIGH"))</f>
        <v>LOW</v>
      </c>
      <c r="AC2955" t="str">
        <f>TEXT(ReconciliationData[[#This Row],[Order_Date]],"YYYY-MM")</f>
        <v>2024-11</v>
      </c>
    </row>
    <row r="2956" spans="1:29">
      <c r="A2956" t="s">
        <v>7122</v>
      </c>
      <c r="B2956" s="1">
        <v>45059</v>
      </c>
      <c r="C2956" t="s">
        <v>1825</v>
      </c>
      <c r="D2956" t="s">
        <v>1309</v>
      </c>
      <c r="E2956">
        <v>78</v>
      </c>
      <c r="F2956" t="s">
        <v>7123</v>
      </c>
      <c r="G2956">
        <v>78</v>
      </c>
      <c r="H2956">
        <v>906.88919999999996</v>
      </c>
      <c r="N2956">
        <v>906.88919999999996</v>
      </c>
      <c r="O2956" s="1">
        <v>44991</v>
      </c>
      <c r="P2956">
        <f>IF(ISBLANK(ReconciliationData[[#This Row],[Invoice_ID]]),1,0)</f>
        <v>0</v>
      </c>
      <c r="Q2956">
        <f>IF(AND(NOT(ISBLANK(ReconciliationData[[#This Row],[Billed_Units]])),ReconciliationData[[#This Row],[ordered_units]]&lt;&gt;ReconciliationData[[#This Row],[Billed_Units]]),1,0)</f>
        <v>0</v>
      </c>
      <c r="R29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56">
        <f>IF(AND(NOT(ISBLANK(ReconciliationData[[#This Row],[Contract_Price]])),ReconciliationData[[#This Row],[Billed_Price]]&lt;&gt;ReconciliationData[[#This Row],[Contract_Price]]),1,0)</f>
        <v>0</v>
      </c>
      <c r="T2956">
        <f>IF(AND(NOT(ISBLANK(ReconciliationData[[#This Row],[End_Date]])),ReconciliationData[[#This Row],[Order_Date]]&gt;ReconciliationData[[#This Row],[End_Date]]),1,0)</f>
        <v>0</v>
      </c>
      <c r="U2956">
        <f>IF(AND(NOT(ISBLANK(ReconciliationData[[#This Row],[last_return_date]])),ReconciliationData[[#This Row],[last_return_date]]&gt;ReconciliationData[[#This Row],[Order_Date]]+60),1,0)</f>
        <v>0</v>
      </c>
      <c r="V2956">
        <f>IF(ReconciliationData[[#This Row],[total_returned_units]]&gt;ReconciliationData[[#This Row],[ordered_units]],1,0)</f>
        <v>0</v>
      </c>
      <c r="W29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56">
        <f>ReconciliationData[[#This Row],[Billed_Units]]*ReconciliationData[[#This Row],[Billed_Price]]</f>
        <v>70737.357600000003</v>
      </c>
      <c r="Y2956">
        <f>ReconciliationData[[#This Row],[ordered_units]]*ReconciliationData[[#This Row],[List_Price]]</f>
        <v>70737.357600000003</v>
      </c>
      <c r="Z2956">
        <f>ReconciliationData[[#This Row],[billed_revenue]]-ReconciliationData[[#This Row],[expected_revenue]]</f>
        <v>0</v>
      </c>
      <c r="AA29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56" t="str">
        <f>IF(ReconciliationData[[#This Row],[severity_score]]=0,"LOW",
 IF(ReconciliationData[[#This Row],[severity_score]]&lt;=5,"MEDIUM","HIGH"))</f>
        <v>LOW</v>
      </c>
      <c r="AC2956" t="str">
        <f>TEXT(ReconciliationData[[#This Row],[Order_Date]],"YYYY-MM")</f>
        <v>2023-05</v>
      </c>
    </row>
    <row r="2957" spans="1:29">
      <c r="A2957" t="s">
        <v>7124</v>
      </c>
      <c r="B2957" s="1">
        <v>45529</v>
      </c>
      <c r="C2957" t="s">
        <v>499</v>
      </c>
      <c r="D2957" t="s">
        <v>1094</v>
      </c>
      <c r="E2957">
        <v>162</v>
      </c>
      <c r="F2957" t="s">
        <v>7125</v>
      </c>
      <c r="G2957">
        <v>162</v>
      </c>
      <c r="H2957">
        <v>977.22280000000001</v>
      </c>
      <c r="N2957">
        <v>977.22280000000001</v>
      </c>
      <c r="O2957" s="1">
        <v>44984</v>
      </c>
      <c r="P2957">
        <f>IF(ISBLANK(ReconciliationData[[#This Row],[Invoice_ID]]),1,0)</f>
        <v>0</v>
      </c>
      <c r="Q2957">
        <f>IF(AND(NOT(ISBLANK(ReconciliationData[[#This Row],[Billed_Units]])),ReconciliationData[[#This Row],[ordered_units]]&lt;&gt;ReconciliationData[[#This Row],[Billed_Units]]),1,0)</f>
        <v>0</v>
      </c>
      <c r="R29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57">
        <f>IF(AND(NOT(ISBLANK(ReconciliationData[[#This Row],[Contract_Price]])),ReconciliationData[[#This Row],[Billed_Price]]&lt;&gt;ReconciliationData[[#This Row],[Contract_Price]]),1,0)</f>
        <v>0</v>
      </c>
      <c r="T2957">
        <f>IF(AND(NOT(ISBLANK(ReconciliationData[[#This Row],[End_Date]])),ReconciliationData[[#This Row],[Order_Date]]&gt;ReconciliationData[[#This Row],[End_Date]]),1,0)</f>
        <v>0</v>
      </c>
      <c r="U2957">
        <f>IF(AND(NOT(ISBLANK(ReconciliationData[[#This Row],[last_return_date]])),ReconciliationData[[#This Row],[last_return_date]]&gt;ReconciliationData[[#This Row],[Order_Date]]+60),1,0)</f>
        <v>0</v>
      </c>
      <c r="V2957">
        <f>IF(ReconciliationData[[#This Row],[total_returned_units]]&gt;ReconciliationData[[#This Row],[ordered_units]],1,0)</f>
        <v>0</v>
      </c>
      <c r="W29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57">
        <f>ReconciliationData[[#This Row],[Billed_Units]]*ReconciliationData[[#This Row],[Billed_Price]]</f>
        <v>158310.09359999999</v>
      </c>
      <c r="Y2957">
        <f>ReconciliationData[[#This Row],[ordered_units]]*ReconciliationData[[#This Row],[List_Price]]</f>
        <v>158310.09359999999</v>
      </c>
      <c r="Z2957">
        <f>ReconciliationData[[#This Row],[billed_revenue]]-ReconciliationData[[#This Row],[expected_revenue]]</f>
        <v>0</v>
      </c>
      <c r="AA29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57" t="str">
        <f>IF(ReconciliationData[[#This Row],[severity_score]]=0,"LOW",
 IF(ReconciliationData[[#This Row],[severity_score]]&lt;=5,"MEDIUM","HIGH"))</f>
        <v>LOW</v>
      </c>
      <c r="AC2957" t="str">
        <f>TEXT(ReconciliationData[[#This Row],[Order_Date]],"YYYY-MM")</f>
        <v>2024-08</v>
      </c>
    </row>
    <row r="2958" spans="1:29">
      <c r="A2958" t="s">
        <v>7126</v>
      </c>
      <c r="B2958" s="1">
        <v>44965</v>
      </c>
      <c r="C2958" t="s">
        <v>536</v>
      </c>
      <c r="D2958" t="s">
        <v>158</v>
      </c>
      <c r="E2958">
        <v>175</v>
      </c>
      <c r="F2958" t="s">
        <v>7127</v>
      </c>
      <c r="G2958">
        <v>175</v>
      </c>
      <c r="H2958">
        <v>634.80959999999993</v>
      </c>
      <c r="N2958">
        <v>634.80959999999993</v>
      </c>
      <c r="O2958" s="1">
        <v>44895</v>
      </c>
      <c r="P2958">
        <f>IF(ISBLANK(ReconciliationData[[#This Row],[Invoice_ID]]),1,0)</f>
        <v>0</v>
      </c>
      <c r="Q2958">
        <f>IF(AND(NOT(ISBLANK(ReconciliationData[[#This Row],[Billed_Units]])),ReconciliationData[[#This Row],[ordered_units]]&lt;&gt;ReconciliationData[[#This Row],[Billed_Units]]),1,0)</f>
        <v>0</v>
      </c>
      <c r="R29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58">
        <f>IF(AND(NOT(ISBLANK(ReconciliationData[[#This Row],[Contract_Price]])),ReconciliationData[[#This Row],[Billed_Price]]&lt;&gt;ReconciliationData[[#This Row],[Contract_Price]]),1,0)</f>
        <v>0</v>
      </c>
      <c r="T2958">
        <f>IF(AND(NOT(ISBLANK(ReconciliationData[[#This Row],[End_Date]])),ReconciliationData[[#This Row],[Order_Date]]&gt;ReconciliationData[[#This Row],[End_Date]]),1,0)</f>
        <v>0</v>
      </c>
      <c r="U2958">
        <f>IF(AND(NOT(ISBLANK(ReconciliationData[[#This Row],[last_return_date]])),ReconciliationData[[#This Row],[last_return_date]]&gt;ReconciliationData[[#This Row],[Order_Date]]+60),1,0)</f>
        <v>0</v>
      </c>
      <c r="V2958">
        <f>IF(ReconciliationData[[#This Row],[total_returned_units]]&gt;ReconciliationData[[#This Row],[ordered_units]],1,0)</f>
        <v>0</v>
      </c>
      <c r="W29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58">
        <f>ReconciliationData[[#This Row],[Billed_Units]]*ReconciliationData[[#This Row],[Billed_Price]]</f>
        <v>111091.68</v>
      </c>
      <c r="Y2958">
        <f>ReconciliationData[[#This Row],[ordered_units]]*ReconciliationData[[#This Row],[List_Price]]</f>
        <v>111091.68</v>
      </c>
      <c r="Z2958">
        <f>ReconciliationData[[#This Row],[billed_revenue]]-ReconciliationData[[#This Row],[expected_revenue]]</f>
        <v>0</v>
      </c>
      <c r="AA29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58" t="str">
        <f>IF(ReconciliationData[[#This Row],[severity_score]]=0,"LOW",
 IF(ReconciliationData[[#This Row],[severity_score]]&lt;=5,"MEDIUM","HIGH"))</f>
        <v>LOW</v>
      </c>
      <c r="AC2958" t="str">
        <f>TEXT(ReconciliationData[[#This Row],[Order_Date]],"YYYY-MM")</f>
        <v>2023-02</v>
      </c>
    </row>
    <row r="2959" spans="1:29">
      <c r="A2959" t="s">
        <v>7128</v>
      </c>
      <c r="B2959" s="1">
        <v>45429</v>
      </c>
      <c r="C2959" t="s">
        <v>440</v>
      </c>
      <c r="D2959" t="s">
        <v>1459</v>
      </c>
      <c r="E2959">
        <v>24</v>
      </c>
      <c r="F2959" t="s">
        <v>7129</v>
      </c>
      <c r="G2959">
        <v>24</v>
      </c>
      <c r="H2959">
        <v>1150.3522650316022</v>
      </c>
      <c r="N2959">
        <v>1149.8634</v>
      </c>
      <c r="O2959" s="1">
        <v>45135</v>
      </c>
      <c r="P2959">
        <f>IF(ISBLANK(ReconciliationData[[#This Row],[Invoice_ID]]),1,0)</f>
        <v>0</v>
      </c>
      <c r="Q2959">
        <f>IF(AND(NOT(ISBLANK(ReconciliationData[[#This Row],[Billed_Units]])),ReconciliationData[[#This Row],[ordered_units]]&lt;&gt;ReconciliationData[[#This Row],[Billed_Units]]),1,0)</f>
        <v>0</v>
      </c>
      <c r="R295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959">
        <f>IF(AND(NOT(ISBLANK(ReconciliationData[[#This Row],[Contract_Price]])),ReconciliationData[[#This Row],[Billed_Price]]&lt;&gt;ReconciliationData[[#This Row],[Contract_Price]]),1,0)</f>
        <v>0</v>
      </c>
      <c r="T2959">
        <f>IF(AND(NOT(ISBLANK(ReconciliationData[[#This Row],[End_Date]])),ReconciliationData[[#This Row],[Order_Date]]&gt;ReconciliationData[[#This Row],[End_Date]]),1,0)</f>
        <v>0</v>
      </c>
      <c r="U2959">
        <f>IF(AND(NOT(ISBLANK(ReconciliationData[[#This Row],[last_return_date]])),ReconciliationData[[#This Row],[last_return_date]]&gt;ReconciliationData[[#This Row],[Order_Date]]+60),1,0)</f>
        <v>0</v>
      </c>
      <c r="V2959">
        <f>IF(ReconciliationData[[#This Row],[total_returned_units]]&gt;ReconciliationData[[#This Row],[ordered_units]],1,0)</f>
        <v>0</v>
      </c>
      <c r="W29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59">
        <f>ReconciliationData[[#This Row],[Billed_Units]]*ReconciliationData[[#This Row],[Billed_Price]]</f>
        <v>27608.454360758453</v>
      </c>
      <c r="Y2959">
        <f>ReconciliationData[[#This Row],[ordered_units]]*ReconciliationData[[#This Row],[List_Price]]</f>
        <v>27596.721599999997</v>
      </c>
      <c r="Z2959">
        <f>ReconciliationData[[#This Row],[billed_revenue]]-ReconciliationData[[#This Row],[expected_revenue]]</f>
        <v>11.732760758455697</v>
      </c>
      <c r="AA29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959" t="str">
        <f>IF(ReconciliationData[[#This Row],[severity_score]]=0,"LOW",
 IF(ReconciliationData[[#This Row],[severity_score]]&lt;=5,"MEDIUM","HIGH"))</f>
        <v>MEDIUM</v>
      </c>
      <c r="AC2959" t="str">
        <f>TEXT(ReconciliationData[[#This Row],[Order_Date]],"YYYY-MM")</f>
        <v>2024-05</v>
      </c>
    </row>
    <row r="2960" spans="1:29">
      <c r="A2960" t="s">
        <v>7130</v>
      </c>
      <c r="B2960" s="1">
        <v>45216</v>
      </c>
      <c r="C2960" t="s">
        <v>1407</v>
      </c>
      <c r="D2960" t="s">
        <v>337</v>
      </c>
      <c r="E2960">
        <v>166</v>
      </c>
      <c r="F2960" t="s">
        <v>7131</v>
      </c>
      <c r="G2960">
        <v>166</v>
      </c>
      <c r="H2960">
        <v>1040.9412</v>
      </c>
      <c r="N2960">
        <v>1040.9412</v>
      </c>
      <c r="O2960" s="1">
        <v>44983</v>
      </c>
      <c r="P2960">
        <f>IF(ISBLANK(ReconciliationData[[#This Row],[Invoice_ID]]),1,0)</f>
        <v>0</v>
      </c>
      <c r="Q2960">
        <f>IF(AND(NOT(ISBLANK(ReconciliationData[[#This Row],[Billed_Units]])),ReconciliationData[[#This Row],[ordered_units]]&lt;&gt;ReconciliationData[[#This Row],[Billed_Units]]),1,0)</f>
        <v>0</v>
      </c>
      <c r="R29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0">
        <f>IF(AND(NOT(ISBLANK(ReconciliationData[[#This Row],[Contract_Price]])),ReconciliationData[[#This Row],[Billed_Price]]&lt;&gt;ReconciliationData[[#This Row],[Contract_Price]]),1,0)</f>
        <v>0</v>
      </c>
      <c r="T2960">
        <f>IF(AND(NOT(ISBLANK(ReconciliationData[[#This Row],[End_Date]])),ReconciliationData[[#This Row],[Order_Date]]&gt;ReconciliationData[[#This Row],[End_Date]]),1,0)</f>
        <v>0</v>
      </c>
      <c r="U2960">
        <f>IF(AND(NOT(ISBLANK(ReconciliationData[[#This Row],[last_return_date]])),ReconciliationData[[#This Row],[last_return_date]]&gt;ReconciliationData[[#This Row],[Order_Date]]+60),1,0)</f>
        <v>0</v>
      </c>
      <c r="V2960">
        <f>IF(ReconciliationData[[#This Row],[total_returned_units]]&gt;ReconciliationData[[#This Row],[ordered_units]],1,0)</f>
        <v>0</v>
      </c>
      <c r="W29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0">
        <f>ReconciliationData[[#This Row],[Billed_Units]]*ReconciliationData[[#This Row],[Billed_Price]]</f>
        <v>172796.23920000001</v>
      </c>
      <c r="Y2960">
        <f>ReconciliationData[[#This Row],[ordered_units]]*ReconciliationData[[#This Row],[List_Price]]</f>
        <v>172796.23920000001</v>
      </c>
      <c r="Z2960">
        <f>ReconciliationData[[#This Row],[billed_revenue]]-ReconciliationData[[#This Row],[expected_revenue]]</f>
        <v>0</v>
      </c>
      <c r="AA29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0" t="str">
        <f>IF(ReconciliationData[[#This Row],[severity_score]]=0,"LOW",
 IF(ReconciliationData[[#This Row],[severity_score]]&lt;=5,"MEDIUM","HIGH"))</f>
        <v>LOW</v>
      </c>
      <c r="AC2960" t="str">
        <f>TEXT(ReconciliationData[[#This Row],[Order_Date]],"YYYY-MM")</f>
        <v>2023-10</v>
      </c>
    </row>
    <row r="2961" spans="1:29">
      <c r="A2961" t="s">
        <v>7132</v>
      </c>
      <c r="B2961" s="1">
        <v>45531</v>
      </c>
      <c r="C2961" t="s">
        <v>1574</v>
      </c>
      <c r="D2961" t="s">
        <v>883</v>
      </c>
      <c r="E2961">
        <v>104</v>
      </c>
      <c r="F2961" t="s">
        <v>7133</v>
      </c>
      <c r="G2961">
        <v>104</v>
      </c>
      <c r="H2961">
        <v>403.01909999999998</v>
      </c>
      <c r="N2961">
        <v>403.01909999999998</v>
      </c>
      <c r="O2961" s="1">
        <v>45056</v>
      </c>
      <c r="P2961">
        <f>IF(ISBLANK(ReconciliationData[[#This Row],[Invoice_ID]]),1,0)</f>
        <v>0</v>
      </c>
      <c r="Q2961">
        <f>IF(AND(NOT(ISBLANK(ReconciliationData[[#This Row],[Billed_Units]])),ReconciliationData[[#This Row],[ordered_units]]&lt;&gt;ReconciliationData[[#This Row],[Billed_Units]]),1,0)</f>
        <v>0</v>
      </c>
      <c r="R29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1">
        <f>IF(AND(NOT(ISBLANK(ReconciliationData[[#This Row],[Contract_Price]])),ReconciliationData[[#This Row],[Billed_Price]]&lt;&gt;ReconciliationData[[#This Row],[Contract_Price]]),1,0)</f>
        <v>0</v>
      </c>
      <c r="T2961">
        <f>IF(AND(NOT(ISBLANK(ReconciliationData[[#This Row],[End_Date]])),ReconciliationData[[#This Row],[Order_Date]]&gt;ReconciliationData[[#This Row],[End_Date]]),1,0)</f>
        <v>0</v>
      </c>
      <c r="U2961">
        <f>IF(AND(NOT(ISBLANK(ReconciliationData[[#This Row],[last_return_date]])),ReconciliationData[[#This Row],[last_return_date]]&gt;ReconciliationData[[#This Row],[Order_Date]]+60),1,0)</f>
        <v>0</v>
      </c>
      <c r="V2961">
        <f>IF(ReconciliationData[[#This Row],[total_returned_units]]&gt;ReconciliationData[[#This Row],[ordered_units]],1,0)</f>
        <v>0</v>
      </c>
      <c r="W29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1">
        <f>ReconciliationData[[#This Row],[Billed_Units]]*ReconciliationData[[#This Row],[Billed_Price]]</f>
        <v>41913.986399999994</v>
      </c>
      <c r="Y2961">
        <f>ReconciliationData[[#This Row],[ordered_units]]*ReconciliationData[[#This Row],[List_Price]]</f>
        <v>41913.986399999994</v>
      </c>
      <c r="Z2961">
        <f>ReconciliationData[[#This Row],[billed_revenue]]-ReconciliationData[[#This Row],[expected_revenue]]</f>
        <v>0</v>
      </c>
      <c r="AA29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1" t="str">
        <f>IF(ReconciliationData[[#This Row],[severity_score]]=0,"LOW",
 IF(ReconciliationData[[#This Row],[severity_score]]&lt;=5,"MEDIUM","HIGH"))</f>
        <v>LOW</v>
      </c>
      <c r="AC2961" t="str">
        <f>TEXT(ReconciliationData[[#This Row],[Order_Date]],"YYYY-MM")</f>
        <v>2024-08</v>
      </c>
    </row>
    <row r="2962" spans="1:29">
      <c r="A2962" t="s">
        <v>7134</v>
      </c>
      <c r="B2962" s="1">
        <v>45598</v>
      </c>
      <c r="C2962" t="s">
        <v>1990</v>
      </c>
      <c r="D2962" t="s">
        <v>604</v>
      </c>
      <c r="E2962">
        <v>200</v>
      </c>
      <c r="F2962" t="s">
        <v>7135</v>
      </c>
      <c r="G2962">
        <v>200</v>
      </c>
      <c r="H2962">
        <v>1072.5387000000001</v>
      </c>
      <c r="N2962">
        <v>1072.5387000000001</v>
      </c>
      <c r="O2962" s="1">
        <v>45023</v>
      </c>
      <c r="P2962">
        <f>IF(ISBLANK(ReconciliationData[[#This Row],[Invoice_ID]]),1,0)</f>
        <v>0</v>
      </c>
      <c r="Q2962">
        <f>IF(AND(NOT(ISBLANK(ReconciliationData[[#This Row],[Billed_Units]])),ReconciliationData[[#This Row],[ordered_units]]&lt;&gt;ReconciliationData[[#This Row],[Billed_Units]]),1,0)</f>
        <v>0</v>
      </c>
      <c r="R29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2">
        <f>IF(AND(NOT(ISBLANK(ReconciliationData[[#This Row],[Contract_Price]])),ReconciliationData[[#This Row],[Billed_Price]]&lt;&gt;ReconciliationData[[#This Row],[Contract_Price]]),1,0)</f>
        <v>0</v>
      </c>
      <c r="T2962">
        <f>IF(AND(NOT(ISBLANK(ReconciliationData[[#This Row],[End_Date]])),ReconciliationData[[#This Row],[Order_Date]]&gt;ReconciliationData[[#This Row],[End_Date]]),1,0)</f>
        <v>0</v>
      </c>
      <c r="U2962">
        <f>IF(AND(NOT(ISBLANK(ReconciliationData[[#This Row],[last_return_date]])),ReconciliationData[[#This Row],[last_return_date]]&gt;ReconciliationData[[#This Row],[Order_Date]]+60),1,0)</f>
        <v>0</v>
      </c>
      <c r="V2962">
        <f>IF(ReconciliationData[[#This Row],[total_returned_units]]&gt;ReconciliationData[[#This Row],[ordered_units]],1,0)</f>
        <v>0</v>
      </c>
      <c r="W29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2">
        <f>ReconciliationData[[#This Row],[Billed_Units]]*ReconciliationData[[#This Row],[Billed_Price]]</f>
        <v>214507.74000000002</v>
      </c>
      <c r="Y2962">
        <f>ReconciliationData[[#This Row],[ordered_units]]*ReconciliationData[[#This Row],[List_Price]]</f>
        <v>214507.74000000002</v>
      </c>
      <c r="Z2962">
        <f>ReconciliationData[[#This Row],[billed_revenue]]-ReconciliationData[[#This Row],[expected_revenue]]</f>
        <v>0</v>
      </c>
      <c r="AA29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2" t="str">
        <f>IF(ReconciliationData[[#This Row],[severity_score]]=0,"LOW",
 IF(ReconciliationData[[#This Row],[severity_score]]&lt;=5,"MEDIUM","HIGH"))</f>
        <v>LOW</v>
      </c>
      <c r="AC2962" t="str">
        <f>TEXT(ReconciliationData[[#This Row],[Order_Date]],"YYYY-MM")</f>
        <v>2024-11</v>
      </c>
    </row>
    <row r="2963" spans="1:29">
      <c r="A2963" t="s">
        <v>7136</v>
      </c>
      <c r="B2963" s="1">
        <v>45019</v>
      </c>
      <c r="C2963" t="s">
        <v>1351</v>
      </c>
      <c r="D2963" t="s">
        <v>1754</v>
      </c>
      <c r="E2963">
        <v>83</v>
      </c>
      <c r="F2963" t="s">
        <v>7137</v>
      </c>
      <c r="G2963">
        <v>83</v>
      </c>
      <c r="H2963">
        <v>1114.3462</v>
      </c>
      <c r="N2963">
        <v>1114.3462</v>
      </c>
      <c r="O2963" s="1">
        <v>45015</v>
      </c>
      <c r="P2963">
        <f>IF(ISBLANK(ReconciliationData[[#This Row],[Invoice_ID]]),1,0)</f>
        <v>0</v>
      </c>
      <c r="Q2963">
        <f>IF(AND(NOT(ISBLANK(ReconciliationData[[#This Row],[Billed_Units]])),ReconciliationData[[#This Row],[ordered_units]]&lt;&gt;ReconciliationData[[#This Row],[Billed_Units]]),1,0)</f>
        <v>0</v>
      </c>
      <c r="R29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3">
        <f>IF(AND(NOT(ISBLANK(ReconciliationData[[#This Row],[Contract_Price]])),ReconciliationData[[#This Row],[Billed_Price]]&lt;&gt;ReconciliationData[[#This Row],[Contract_Price]]),1,0)</f>
        <v>0</v>
      </c>
      <c r="T2963">
        <f>IF(AND(NOT(ISBLANK(ReconciliationData[[#This Row],[End_Date]])),ReconciliationData[[#This Row],[Order_Date]]&gt;ReconciliationData[[#This Row],[End_Date]]),1,0)</f>
        <v>0</v>
      </c>
      <c r="U2963">
        <f>IF(AND(NOT(ISBLANK(ReconciliationData[[#This Row],[last_return_date]])),ReconciliationData[[#This Row],[last_return_date]]&gt;ReconciliationData[[#This Row],[Order_Date]]+60),1,0)</f>
        <v>0</v>
      </c>
      <c r="V2963">
        <f>IF(ReconciliationData[[#This Row],[total_returned_units]]&gt;ReconciliationData[[#This Row],[ordered_units]],1,0)</f>
        <v>0</v>
      </c>
      <c r="W29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3">
        <f>ReconciliationData[[#This Row],[Billed_Units]]*ReconciliationData[[#This Row],[Billed_Price]]</f>
        <v>92490.734599999996</v>
      </c>
      <c r="Y2963">
        <f>ReconciliationData[[#This Row],[ordered_units]]*ReconciliationData[[#This Row],[List_Price]]</f>
        <v>92490.734599999996</v>
      </c>
      <c r="Z2963">
        <f>ReconciliationData[[#This Row],[billed_revenue]]-ReconciliationData[[#This Row],[expected_revenue]]</f>
        <v>0</v>
      </c>
      <c r="AA29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3" t="str">
        <f>IF(ReconciliationData[[#This Row],[severity_score]]=0,"LOW",
 IF(ReconciliationData[[#This Row],[severity_score]]&lt;=5,"MEDIUM","HIGH"))</f>
        <v>LOW</v>
      </c>
      <c r="AC2963" t="str">
        <f>TEXT(ReconciliationData[[#This Row],[Order_Date]],"YYYY-MM")</f>
        <v>2023-04</v>
      </c>
    </row>
    <row r="2964" spans="1:29">
      <c r="A2964" t="s">
        <v>7138</v>
      </c>
      <c r="B2964" s="1">
        <v>44980</v>
      </c>
      <c r="C2964" t="s">
        <v>6051</v>
      </c>
      <c r="D2964" t="s">
        <v>457</v>
      </c>
      <c r="E2964">
        <v>143</v>
      </c>
      <c r="F2964" t="s">
        <v>7139</v>
      </c>
      <c r="G2964">
        <v>143</v>
      </c>
      <c r="H2964">
        <v>492.38400000000001</v>
      </c>
      <c r="N2964">
        <v>492.38400000000001</v>
      </c>
      <c r="O2964" s="1">
        <v>44966</v>
      </c>
      <c r="P2964">
        <f>IF(ISBLANK(ReconciliationData[[#This Row],[Invoice_ID]]),1,0)</f>
        <v>0</v>
      </c>
      <c r="Q2964">
        <f>IF(AND(NOT(ISBLANK(ReconciliationData[[#This Row],[Billed_Units]])),ReconciliationData[[#This Row],[ordered_units]]&lt;&gt;ReconciliationData[[#This Row],[Billed_Units]]),1,0)</f>
        <v>0</v>
      </c>
      <c r="R29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4">
        <f>IF(AND(NOT(ISBLANK(ReconciliationData[[#This Row],[Contract_Price]])),ReconciliationData[[#This Row],[Billed_Price]]&lt;&gt;ReconciliationData[[#This Row],[Contract_Price]]),1,0)</f>
        <v>0</v>
      </c>
      <c r="T2964">
        <f>IF(AND(NOT(ISBLANK(ReconciliationData[[#This Row],[End_Date]])),ReconciliationData[[#This Row],[Order_Date]]&gt;ReconciliationData[[#This Row],[End_Date]]),1,0)</f>
        <v>0</v>
      </c>
      <c r="U2964">
        <f>IF(AND(NOT(ISBLANK(ReconciliationData[[#This Row],[last_return_date]])),ReconciliationData[[#This Row],[last_return_date]]&gt;ReconciliationData[[#This Row],[Order_Date]]+60),1,0)</f>
        <v>0</v>
      </c>
      <c r="V2964">
        <f>IF(ReconciliationData[[#This Row],[total_returned_units]]&gt;ReconciliationData[[#This Row],[ordered_units]],1,0)</f>
        <v>0</v>
      </c>
      <c r="W29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4">
        <f>ReconciliationData[[#This Row],[Billed_Units]]*ReconciliationData[[#This Row],[Billed_Price]]</f>
        <v>70410.911999999997</v>
      </c>
      <c r="Y2964">
        <f>ReconciliationData[[#This Row],[ordered_units]]*ReconciliationData[[#This Row],[List_Price]]</f>
        <v>70410.911999999997</v>
      </c>
      <c r="Z2964">
        <f>ReconciliationData[[#This Row],[billed_revenue]]-ReconciliationData[[#This Row],[expected_revenue]]</f>
        <v>0</v>
      </c>
      <c r="AA29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4" t="str">
        <f>IF(ReconciliationData[[#This Row],[severity_score]]=0,"LOW",
 IF(ReconciliationData[[#This Row],[severity_score]]&lt;=5,"MEDIUM","HIGH"))</f>
        <v>LOW</v>
      </c>
      <c r="AC2964" t="str">
        <f>TEXT(ReconciliationData[[#This Row],[Order_Date]],"YYYY-MM")</f>
        <v>2023-02</v>
      </c>
    </row>
    <row r="2965" spans="1:29">
      <c r="A2965" t="s">
        <v>7140</v>
      </c>
      <c r="B2965" s="1">
        <v>45356</v>
      </c>
      <c r="C2965" t="s">
        <v>6953</v>
      </c>
      <c r="D2965" t="s">
        <v>753</v>
      </c>
      <c r="E2965">
        <v>51</v>
      </c>
      <c r="F2965" t="s">
        <v>7141</v>
      </c>
      <c r="G2965">
        <v>51</v>
      </c>
      <c r="H2965">
        <v>741.88620000000003</v>
      </c>
      <c r="N2965">
        <v>741.88620000000003</v>
      </c>
      <c r="O2965" s="1">
        <v>44930</v>
      </c>
      <c r="P2965">
        <f>IF(ISBLANK(ReconciliationData[[#This Row],[Invoice_ID]]),1,0)</f>
        <v>0</v>
      </c>
      <c r="Q2965">
        <f>IF(AND(NOT(ISBLANK(ReconciliationData[[#This Row],[Billed_Units]])),ReconciliationData[[#This Row],[ordered_units]]&lt;&gt;ReconciliationData[[#This Row],[Billed_Units]]),1,0)</f>
        <v>0</v>
      </c>
      <c r="R29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5">
        <f>IF(AND(NOT(ISBLANK(ReconciliationData[[#This Row],[Contract_Price]])),ReconciliationData[[#This Row],[Billed_Price]]&lt;&gt;ReconciliationData[[#This Row],[Contract_Price]]),1,0)</f>
        <v>0</v>
      </c>
      <c r="T2965">
        <f>IF(AND(NOT(ISBLANK(ReconciliationData[[#This Row],[End_Date]])),ReconciliationData[[#This Row],[Order_Date]]&gt;ReconciliationData[[#This Row],[End_Date]]),1,0)</f>
        <v>0</v>
      </c>
      <c r="U2965">
        <f>IF(AND(NOT(ISBLANK(ReconciliationData[[#This Row],[last_return_date]])),ReconciliationData[[#This Row],[last_return_date]]&gt;ReconciliationData[[#This Row],[Order_Date]]+60),1,0)</f>
        <v>0</v>
      </c>
      <c r="V2965">
        <f>IF(ReconciliationData[[#This Row],[total_returned_units]]&gt;ReconciliationData[[#This Row],[ordered_units]],1,0)</f>
        <v>0</v>
      </c>
      <c r="W29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5">
        <f>ReconciliationData[[#This Row],[Billed_Units]]*ReconciliationData[[#This Row],[Billed_Price]]</f>
        <v>37836.196199999998</v>
      </c>
      <c r="Y2965">
        <f>ReconciliationData[[#This Row],[ordered_units]]*ReconciliationData[[#This Row],[List_Price]]</f>
        <v>37836.196199999998</v>
      </c>
      <c r="Z2965">
        <f>ReconciliationData[[#This Row],[billed_revenue]]-ReconciliationData[[#This Row],[expected_revenue]]</f>
        <v>0</v>
      </c>
      <c r="AA29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5" t="str">
        <f>IF(ReconciliationData[[#This Row],[severity_score]]=0,"LOW",
 IF(ReconciliationData[[#This Row],[severity_score]]&lt;=5,"MEDIUM","HIGH"))</f>
        <v>LOW</v>
      </c>
      <c r="AC2965" t="str">
        <f>TEXT(ReconciliationData[[#This Row],[Order_Date]],"YYYY-MM")</f>
        <v>2024-03</v>
      </c>
    </row>
    <row r="2966" spans="1:29">
      <c r="A2966" t="s">
        <v>7142</v>
      </c>
      <c r="B2966" s="1">
        <v>45060</v>
      </c>
      <c r="C2966" t="s">
        <v>1475</v>
      </c>
      <c r="D2966" t="s">
        <v>2444</v>
      </c>
      <c r="E2966">
        <v>18</v>
      </c>
      <c r="F2966" t="s">
        <v>7143</v>
      </c>
      <c r="G2966">
        <v>18</v>
      </c>
      <c r="H2966">
        <v>852.48720000000014</v>
      </c>
      <c r="N2966">
        <v>852.48720000000014</v>
      </c>
      <c r="O2966" s="1">
        <v>44983</v>
      </c>
      <c r="P2966">
        <f>IF(ISBLANK(ReconciliationData[[#This Row],[Invoice_ID]]),1,0)</f>
        <v>0</v>
      </c>
      <c r="Q2966">
        <f>IF(AND(NOT(ISBLANK(ReconciliationData[[#This Row],[Billed_Units]])),ReconciliationData[[#This Row],[ordered_units]]&lt;&gt;ReconciliationData[[#This Row],[Billed_Units]]),1,0)</f>
        <v>0</v>
      </c>
      <c r="R29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6">
        <f>IF(AND(NOT(ISBLANK(ReconciliationData[[#This Row],[Contract_Price]])),ReconciliationData[[#This Row],[Billed_Price]]&lt;&gt;ReconciliationData[[#This Row],[Contract_Price]]),1,0)</f>
        <v>0</v>
      </c>
      <c r="T2966">
        <f>IF(AND(NOT(ISBLANK(ReconciliationData[[#This Row],[End_Date]])),ReconciliationData[[#This Row],[Order_Date]]&gt;ReconciliationData[[#This Row],[End_Date]]),1,0)</f>
        <v>0</v>
      </c>
      <c r="U2966">
        <f>IF(AND(NOT(ISBLANK(ReconciliationData[[#This Row],[last_return_date]])),ReconciliationData[[#This Row],[last_return_date]]&gt;ReconciliationData[[#This Row],[Order_Date]]+60),1,0)</f>
        <v>0</v>
      </c>
      <c r="V2966">
        <f>IF(ReconciliationData[[#This Row],[total_returned_units]]&gt;ReconciliationData[[#This Row],[ordered_units]],1,0)</f>
        <v>0</v>
      </c>
      <c r="W29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6">
        <f>ReconciliationData[[#This Row],[Billed_Units]]*ReconciliationData[[#This Row],[Billed_Price]]</f>
        <v>15344.769600000003</v>
      </c>
      <c r="Y2966">
        <f>ReconciliationData[[#This Row],[ordered_units]]*ReconciliationData[[#This Row],[List_Price]]</f>
        <v>15344.769600000003</v>
      </c>
      <c r="Z2966">
        <f>ReconciliationData[[#This Row],[billed_revenue]]-ReconciliationData[[#This Row],[expected_revenue]]</f>
        <v>0</v>
      </c>
      <c r="AA29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6" t="str">
        <f>IF(ReconciliationData[[#This Row],[severity_score]]=0,"LOW",
 IF(ReconciliationData[[#This Row],[severity_score]]&lt;=5,"MEDIUM","HIGH"))</f>
        <v>LOW</v>
      </c>
      <c r="AC2966" t="str">
        <f>TEXT(ReconciliationData[[#This Row],[Order_Date]],"YYYY-MM")</f>
        <v>2023-05</v>
      </c>
    </row>
    <row r="2967" spans="1:29">
      <c r="A2967" t="s">
        <v>7144</v>
      </c>
      <c r="B2967" s="1">
        <v>45638</v>
      </c>
      <c r="C2967" t="s">
        <v>778</v>
      </c>
      <c r="D2967" t="s">
        <v>1933</v>
      </c>
      <c r="E2967">
        <v>25</v>
      </c>
      <c r="F2967" t="s">
        <v>7145</v>
      </c>
      <c r="G2967">
        <v>25</v>
      </c>
      <c r="H2967">
        <v>571.49840000000006</v>
      </c>
      <c r="N2967">
        <v>571.49840000000006</v>
      </c>
      <c r="O2967" s="1">
        <v>45071</v>
      </c>
      <c r="P2967">
        <f>IF(ISBLANK(ReconciliationData[[#This Row],[Invoice_ID]]),1,0)</f>
        <v>0</v>
      </c>
      <c r="Q2967">
        <f>IF(AND(NOT(ISBLANK(ReconciliationData[[#This Row],[Billed_Units]])),ReconciliationData[[#This Row],[ordered_units]]&lt;&gt;ReconciliationData[[#This Row],[Billed_Units]]),1,0)</f>
        <v>0</v>
      </c>
      <c r="R29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7">
        <f>IF(AND(NOT(ISBLANK(ReconciliationData[[#This Row],[Contract_Price]])),ReconciliationData[[#This Row],[Billed_Price]]&lt;&gt;ReconciliationData[[#This Row],[Contract_Price]]),1,0)</f>
        <v>0</v>
      </c>
      <c r="T2967">
        <f>IF(AND(NOT(ISBLANK(ReconciliationData[[#This Row],[End_Date]])),ReconciliationData[[#This Row],[Order_Date]]&gt;ReconciliationData[[#This Row],[End_Date]]),1,0)</f>
        <v>0</v>
      </c>
      <c r="U2967">
        <f>IF(AND(NOT(ISBLANK(ReconciliationData[[#This Row],[last_return_date]])),ReconciliationData[[#This Row],[last_return_date]]&gt;ReconciliationData[[#This Row],[Order_Date]]+60),1,0)</f>
        <v>0</v>
      </c>
      <c r="V2967">
        <f>IF(ReconciliationData[[#This Row],[total_returned_units]]&gt;ReconciliationData[[#This Row],[ordered_units]],1,0)</f>
        <v>0</v>
      </c>
      <c r="W29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7">
        <f>ReconciliationData[[#This Row],[Billed_Units]]*ReconciliationData[[#This Row],[Billed_Price]]</f>
        <v>14287.460000000001</v>
      </c>
      <c r="Y2967">
        <f>ReconciliationData[[#This Row],[ordered_units]]*ReconciliationData[[#This Row],[List_Price]]</f>
        <v>14287.460000000001</v>
      </c>
      <c r="Z2967">
        <f>ReconciliationData[[#This Row],[billed_revenue]]-ReconciliationData[[#This Row],[expected_revenue]]</f>
        <v>0</v>
      </c>
      <c r="AA29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7" t="str">
        <f>IF(ReconciliationData[[#This Row],[severity_score]]=0,"LOW",
 IF(ReconciliationData[[#This Row],[severity_score]]&lt;=5,"MEDIUM","HIGH"))</f>
        <v>LOW</v>
      </c>
      <c r="AC2967" t="str">
        <f>TEXT(ReconciliationData[[#This Row],[Order_Date]],"YYYY-MM")</f>
        <v>2024-12</v>
      </c>
    </row>
    <row r="2968" spans="1:29">
      <c r="A2968" t="s">
        <v>7146</v>
      </c>
      <c r="B2968" s="1">
        <v>45032</v>
      </c>
      <c r="C2968" t="s">
        <v>3473</v>
      </c>
      <c r="D2968" t="s">
        <v>374</v>
      </c>
      <c r="E2968">
        <v>121</v>
      </c>
      <c r="F2968" t="s">
        <v>7147</v>
      </c>
      <c r="G2968">
        <v>121</v>
      </c>
      <c r="H2968">
        <v>538.50900000000001</v>
      </c>
      <c r="N2968">
        <v>538.50900000000001</v>
      </c>
      <c r="O2968" s="1">
        <v>44974</v>
      </c>
      <c r="P2968">
        <f>IF(ISBLANK(ReconciliationData[[#This Row],[Invoice_ID]]),1,0)</f>
        <v>0</v>
      </c>
      <c r="Q2968">
        <f>IF(AND(NOT(ISBLANK(ReconciliationData[[#This Row],[Billed_Units]])),ReconciliationData[[#This Row],[ordered_units]]&lt;&gt;ReconciliationData[[#This Row],[Billed_Units]]),1,0)</f>
        <v>0</v>
      </c>
      <c r="R29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8">
        <f>IF(AND(NOT(ISBLANK(ReconciliationData[[#This Row],[Contract_Price]])),ReconciliationData[[#This Row],[Billed_Price]]&lt;&gt;ReconciliationData[[#This Row],[Contract_Price]]),1,0)</f>
        <v>0</v>
      </c>
      <c r="T2968">
        <f>IF(AND(NOT(ISBLANK(ReconciliationData[[#This Row],[End_Date]])),ReconciliationData[[#This Row],[Order_Date]]&gt;ReconciliationData[[#This Row],[End_Date]]),1,0)</f>
        <v>0</v>
      </c>
      <c r="U2968">
        <f>IF(AND(NOT(ISBLANK(ReconciliationData[[#This Row],[last_return_date]])),ReconciliationData[[#This Row],[last_return_date]]&gt;ReconciliationData[[#This Row],[Order_Date]]+60),1,0)</f>
        <v>0</v>
      </c>
      <c r="V2968">
        <f>IF(ReconciliationData[[#This Row],[total_returned_units]]&gt;ReconciliationData[[#This Row],[ordered_units]],1,0)</f>
        <v>0</v>
      </c>
      <c r="W29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8">
        <f>ReconciliationData[[#This Row],[Billed_Units]]*ReconciliationData[[#This Row],[Billed_Price]]</f>
        <v>65159.589</v>
      </c>
      <c r="Y2968">
        <f>ReconciliationData[[#This Row],[ordered_units]]*ReconciliationData[[#This Row],[List_Price]]</f>
        <v>65159.589</v>
      </c>
      <c r="Z2968">
        <f>ReconciliationData[[#This Row],[billed_revenue]]-ReconciliationData[[#This Row],[expected_revenue]]</f>
        <v>0</v>
      </c>
      <c r="AA29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8" t="str">
        <f>IF(ReconciliationData[[#This Row],[severity_score]]=0,"LOW",
 IF(ReconciliationData[[#This Row],[severity_score]]&lt;=5,"MEDIUM","HIGH"))</f>
        <v>LOW</v>
      </c>
      <c r="AC2968" t="str">
        <f>TEXT(ReconciliationData[[#This Row],[Order_Date]],"YYYY-MM")</f>
        <v>2023-04</v>
      </c>
    </row>
    <row r="2969" spans="1:29">
      <c r="A2969" t="s">
        <v>7148</v>
      </c>
      <c r="B2969" s="1">
        <v>45326</v>
      </c>
      <c r="C2969" t="s">
        <v>6953</v>
      </c>
      <c r="D2969" t="s">
        <v>825</v>
      </c>
      <c r="E2969">
        <v>127</v>
      </c>
      <c r="F2969" t="s">
        <v>7149</v>
      </c>
      <c r="G2969">
        <v>127</v>
      </c>
      <c r="H2969">
        <v>752.48910000000001</v>
      </c>
      <c r="N2969">
        <v>752.48910000000001</v>
      </c>
      <c r="O2969" s="1">
        <v>44953</v>
      </c>
      <c r="P2969">
        <f>IF(ISBLANK(ReconciliationData[[#This Row],[Invoice_ID]]),1,0)</f>
        <v>0</v>
      </c>
      <c r="Q2969">
        <f>IF(AND(NOT(ISBLANK(ReconciliationData[[#This Row],[Billed_Units]])),ReconciliationData[[#This Row],[ordered_units]]&lt;&gt;ReconciliationData[[#This Row],[Billed_Units]]),1,0)</f>
        <v>0</v>
      </c>
      <c r="R29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69">
        <f>IF(AND(NOT(ISBLANK(ReconciliationData[[#This Row],[Contract_Price]])),ReconciliationData[[#This Row],[Billed_Price]]&lt;&gt;ReconciliationData[[#This Row],[Contract_Price]]),1,0)</f>
        <v>0</v>
      </c>
      <c r="T2969">
        <f>IF(AND(NOT(ISBLANK(ReconciliationData[[#This Row],[End_Date]])),ReconciliationData[[#This Row],[Order_Date]]&gt;ReconciliationData[[#This Row],[End_Date]]),1,0)</f>
        <v>0</v>
      </c>
      <c r="U2969">
        <f>IF(AND(NOT(ISBLANK(ReconciliationData[[#This Row],[last_return_date]])),ReconciliationData[[#This Row],[last_return_date]]&gt;ReconciliationData[[#This Row],[Order_Date]]+60),1,0)</f>
        <v>0</v>
      </c>
      <c r="V2969">
        <f>IF(ReconciliationData[[#This Row],[total_returned_units]]&gt;ReconciliationData[[#This Row],[ordered_units]],1,0)</f>
        <v>0</v>
      </c>
      <c r="W29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69">
        <f>ReconciliationData[[#This Row],[Billed_Units]]*ReconciliationData[[#This Row],[Billed_Price]]</f>
        <v>95566.115699999995</v>
      </c>
      <c r="Y2969">
        <f>ReconciliationData[[#This Row],[ordered_units]]*ReconciliationData[[#This Row],[List_Price]]</f>
        <v>95566.115699999995</v>
      </c>
      <c r="Z2969">
        <f>ReconciliationData[[#This Row],[billed_revenue]]-ReconciliationData[[#This Row],[expected_revenue]]</f>
        <v>0</v>
      </c>
      <c r="AA29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69" t="str">
        <f>IF(ReconciliationData[[#This Row],[severity_score]]=0,"LOW",
 IF(ReconciliationData[[#This Row],[severity_score]]&lt;=5,"MEDIUM","HIGH"))</f>
        <v>LOW</v>
      </c>
      <c r="AC2969" t="str">
        <f>TEXT(ReconciliationData[[#This Row],[Order_Date]],"YYYY-MM")</f>
        <v>2024-02</v>
      </c>
    </row>
    <row r="2970" spans="1:29">
      <c r="A2970" t="s">
        <v>7150</v>
      </c>
      <c r="B2970" s="1">
        <v>45090</v>
      </c>
      <c r="C2970" t="s">
        <v>5082</v>
      </c>
      <c r="D2970" t="s">
        <v>494</v>
      </c>
      <c r="E2970">
        <v>195</v>
      </c>
      <c r="F2970" t="s">
        <v>7151</v>
      </c>
      <c r="G2970">
        <v>195</v>
      </c>
      <c r="H2970">
        <v>264.84640000000002</v>
      </c>
      <c r="N2970">
        <v>264.84640000000002</v>
      </c>
      <c r="O2970" s="1">
        <v>44870</v>
      </c>
      <c r="P2970">
        <f>IF(ISBLANK(ReconciliationData[[#This Row],[Invoice_ID]]),1,0)</f>
        <v>0</v>
      </c>
      <c r="Q2970">
        <f>IF(AND(NOT(ISBLANK(ReconciliationData[[#This Row],[Billed_Units]])),ReconciliationData[[#This Row],[ordered_units]]&lt;&gt;ReconciliationData[[#This Row],[Billed_Units]]),1,0)</f>
        <v>0</v>
      </c>
      <c r="R29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70">
        <f>IF(AND(NOT(ISBLANK(ReconciliationData[[#This Row],[Contract_Price]])),ReconciliationData[[#This Row],[Billed_Price]]&lt;&gt;ReconciliationData[[#This Row],[Contract_Price]]),1,0)</f>
        <v>0</v>
      </c>
      <c r="T2970">
        <f>IF(AND(NOT(ISBLANK(ReconciliationData[[#This Row],[End_Date]])),ReconciliationData[[#This Row],[Order_Date]]&gt;ReconciliationData[[#This Row],[End_Date]]),1,0)</f>
        <v>0</v>
      </c>
      <c r="U2970">
        <f>IF(AND(NOT(ISBLANK(ReconciliationData[[#This Row],[last_return_date]])),ReconciliationData[[#This Row],[last_return_date]]&gt;ReconciliationData[[#This Row],[Order_Date]]+60),1,0)</f>
        <v>0</v>
      </c>
      <c r="V2970">
        <f>IF(ReconciliationData[[#This Row],[total_returned_units]]&gt;ReconciliationData[[#This Row],[ordered_units]],1,0)</f>
        <v>0</v>
      </c>
      <c r="W29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70">
        <f>ReconciliationData[[#This Row],[Billed_Units]]*ReconciliationData[[#This Row],[Billed_Price]]</f>
        <v>51645.048000000003</v>
      </c>
      <c r="Y2970">
        <f>ReconciliationData[[#This Row],[ordered_units]]*ReconciliationData[[#This Row],[List_Price]]</f>
        <v>51645.048000000003</v>
      </c>
      <c r="Z2970">
        <f>ReconciliationData[[#This Row],[billed_revenue]]-ReconciliationData[[#This Row],[expected_revenue]]</f>
        <v>0</v>
      </c>
      <c r="AA29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70" t="str">
        <f>IF(ReconciliationData[[#This Row],[severity_score]]=0,"LOW",
 IF(ReconciliationData[[#This Row],[severity_score]]&lt;=5,"MEDIUM","HIGH"))</f>
        <v>LOW</v>
      </c>
      <c r="AC2970" t="str">
        <f>TEXT(ReconciliationData[[#This Row],[Order_Date]],"YYYY-MM")</f>
        <v>2023-06</v>
      </c>
    </row>
    <row r="2971" spans="1:29">
      <c r="A2971" t="s">
        <v>7152</v>
      </c>
      <c r="B2971" s="1">
        <v>45516</v>
      </c>
      <c r="C2971" t="s">
        <v>1395</v>
      </c>
      <c r="D2971" t="s">
        <v>1583</v>
      </c>
      <c r="E2971">
        <v>14</v>
      </c>
      <c r="F2971" t="s">
        <v>7153</v>
      </c>
      <c r="G2971">
        <v>14</v>
      </c>
      <c r="H2971">
        <v>1182.1740000000002</v>
      </c>
      <c r="N2971">
        <v>1182.1740000000002</v>
      </c>
      <c r="O2971" s="1">
        <v>45130</v>
      </c>
      <c r="P2971">
        <f>IF(ISBLANK(ReconciliationData[[#This Row],[Invoice_ID]]),1,0)</f>
        <v>0</v>
      </c>
      <c r="Q2971">
        <f>IF(AND(NOT(ISBLANK(ReconciliationData[[#This Row],[Billed_Units]])),ReconciliationData[[#This Row],[ordered_units]]&lt;&gt;ReconciliationData[[#This Row],[Billed_Units]]),1,0)</f>
        <v>0</v>
      </c>
      <c r="R29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71">
        <f>IF(AND(NOT(ISBLANK(ReconciliationData[[#This Row],[Contract_Price]])),ReconciliationData[[#This Row],[Billed_Price]]&lt;&gt;ReconciliationData[[#This Row],[Contract_Price]]),1,0)</f>
        <v>0</v>
      </c>
      <c r="T2971">
        <f>IF(AND(NOT(ISBLANK(ReconciliationData[[#This Row],[End_Date]])),ReconciliationData[[#This Row],[Order_Date]]&gt;ReconciliationData[[#This Row],[End_Date]]),1,0)</f>
        <v>0</v>
      </c>
      <c r="U2971">
        <f>IF(AND(NOT(ISBLANK(ReconciliationData[[#This Row],[last_return_date]])),ReconciliationData[[#This Row],[last_return_date]]&gt;ReconciliationData[[#This Row],[Order_Date]]+60),1,0)</f>
        <v>0</v>
      </c>
      <c r="V2971">
        <f>IF(ReconciliationData[[#This Row],[total_returned_units]]&gt;ReconciliationData[[#This Row],[ordered_units]],1,0)</f>
        <v>0</v>
      </c>
      <c r="W29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71">
        <f>ReconciliationData[[#This Row],[Billed_Units]]*ReconciliationData[[#This Row],[Billed_Price]]</f>
        <v>16550.436000000002</v>
      </c>
      <c r="Y2971">
        <f>ReconciliationData[[#This Row],[ordered_units]]*ReconciliationData[[#This Row],[List_Price]]</f>
        <v>16550.436000000002</v>
      </c>
      <c r="Z2971">
        <f>ReconciliationData[[#This Row],[billed_revenue]]-ReconciliationData[[#This Row],[expected_revenue]]</f>
        <v>0</v>
      </c>
      <c r="AA29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71" t="str">
        <f>IF(ReconciliationData[[#This Row],[severity_score]]=0,"LOW",
 IF(ReconciliationData[[#This Row],[severity_score]]&lt;=5,"MEDIUM","HIGH"))</f>
        <v>LOW</v>
      </c>
      <c r="AC2971" t="str">
        <f>TEXT(ReconciliationData[[#This Row],[Order_Date]],"YYYY-MM")</f>
        <v>2024-08</v>
      </c>
    </row>
    <row r="2972" spans="1:29">
      <c r="A2972" t="s">
        <v>7154</v>
      </c>
      <c r="B2972" s="1">
        <v>45455</v>
      </c>
      <c r="C2972" t="s">
        <v>4914</v>
      </c>
      <c r="D2972" t="s">
        <v>198</v>
      </c>
      <c r="E2972">
        <v>170</v>
      </c>
      <c r="F2972" t="s">
        <v>7155</v>
      </c>
      <c r="G2972">
        <v>170</v>
      </c>
      <c r="H2972">
        <v>78.696099999999987</v>
      </c>
      <c r="N2972">
        <v>78.696099999999987</v>
      </c>
      <c r="O2972" s="1">
        <v>45083</v>
      </c>
      <c r="P2972">
        <f>IF(ISBLANK(ReconciliationData[[#This Row],[Invoice_ID]]),1,0)</f>
        <v>0</v>
      </c>
      <c r="Q2972">
        <f>IF(AND(NOT(ISBLANK(ReconciliationData[[#This Row],[Billed_Units]])),ReconciliationData[[#This Row],[ordered_units]]&lt;&gt;ReconciliationData[[#This Row],[Billed_Units]]),1,0)</f>
        <v>0</v>
      </c>
      <c r="R29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72">
        <f>IF(AND(NOT(ISBLANK(ReconciliationData[[#This Row],[Contract_Price]])),ReconciliationData[[#This Row],[Billed_Price]]&lt;&gt;ReconciliationData[[#This Row],[Contract_Price]]),1,0)</f>
        <v>0</v>
      </c>
      <c r="T2972">
        <f>IF(AND(NOT(ISBLANK(ReconciliationData[[#This Row],[End_Date]])),ReconciliationData[[#This Row],[Order_Date]]&gt;ReconciliationData[[#This Row],[End_Date]]),1,0)</f>
        <v>0</v>
      </c>
      <c r="U2972">
        <f>IF(AND(NOT(ISBLANK(ReconciliationData[[#This Row],[last_return_date]])),ReconciliationData[[#This Row],[last_return_date]]&gt;ReconciliationData[[#This Row],[Order_Date]]+60),1,0)</f>
        <v>0</v>
      </c>
      <c r="V2972">
        <f>IF(ReconciliationData[[#This Row],[total_returned_units]]&gt;ReconciliationData[[#This Row],[ordered_units]],1,0)</f>
        <v>0</v>
      </c>
      <c r="W29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72">
        <f>ReconciliationData[[#This Row],[Billed_Units]]*ReconciliationData[[#This Row],[Billed_Price]]</f>
        <v>13378.336999999998</v>
      </c>
      <c r="Y2972">
        <f>ReconciliationData[[#This Row],[ordered_units]]*ReconciliationData[[#This Row],[List_Price]]</f>
        <v>13378.336999999998</v>
      </c>
      <c r="Z2972">
        <f>ReconciliationData[[#This Row],[billed_revenue]]-ReconciliationData[[#This Row],[expected_revenue]]</f>
        <v>0</v>
      </c>
      <c r="AA29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72" t="str">
        <f>IF(ReconciliationData[[#This Row],[severity_score]]=0,"LOW",
 IF(ReconciliationData[[#This Row],[severity_score]]&lt;=5,"MEDIUM","HIGH"))</f>
        <v>LOW</v>
      </c>
      <c r="AC2972" t="str">
        <f>TEXT(ReconciliationData[[#This Row],[Order_Date]],"YYYY-MM")</f>
        <v>2024-06</v>
      </c>
    </row>
    <row r="2973" spans="1:29">
      <c r="A2973" t="s">
        <v>7156</v>
      </c>
      <c r="B2973" s="1">
        <v>45531</v>
      </c>
      <c r="C2973" t="s">
        <v>4407</v>
      </c>
      <c r="D2973" t="s">
        <v>449</v>
      </c>
      <c r="E2973">
        <v>94</v>
      </c>
      <c r="F2973" t="s">
        <v>7157</v>
      </c>
      <c r="G2973">
        <v>94</v>
      </c>
      <c r="H2973">
        <v>1006.5498857718147</v>
      </c>
      <c r="N2973">
        <v>1006.5033</v>
      </c>
      <c r="O2973" s="1">
        <v>45123</v>
      </c>
      <c r="P2973">
        <f>IF(ISBLANK(ReconciliationData[[#This Row],[Invoice_ID]]),1,0)</f>
        <v>0</v>
      </c>
      <c r="Q2973">
        <f>IF(AND(NOT(ISBLANK(ReconciliationData[[#This Row],[Billed_Units]])),ReconciliationData[[#This Row],[ordered_units]]&lt;&gt;ReconciliationData[[#This Row],[Billed_Units]]),1,0)</f>
        <v>0</v>
      </c>
      <c r="R297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2973">
        <f>IF(AND(NOT(ISBLANK(ReconciliationData[[#This Row],[Contract_Price]])),ReconciliationData[[#This Row],[Billed_Price]]&lt;&gt;ReconciliationData[[#This Row],[Contract_Price]]),1,0)</f>
        <v>0</v>
      </c>
      <c r="T2973">
        <f>IF(AND(NOT(ISBLANK(ReconciliationData[[#This Row],[End_Date]])),ReconciliationData[[#This Row],[Order_Date]]&gt;ReconciliationData[[#This Row],[End_Date]]),1,0)</f>
        <v>0</v>
      </c>
      <c r="U2973">
        <f>IF(AND(NOT(ISBLANK(ReconciliationData[[#This Row],[last_return_date]])),ReconciliationData[[#This Row],[last_return_date]]&gt;ReconciliationData[[#This Row],[Order_Date]]+60),1,0)</f>
        <v>0</v>
      </c>
      <c r="V2973">
        <f>IF(ReconciliationData[[#This Row],[total_returned_units]]&gt;ReconciliationData[[#This Row],[ordered_units]],1,0)</f>
        <v>0</v>
      </c>
      <c r="W29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73">
        <f>ReconciliationData[[#This Row],[Billed_Units]]*ReconciliationData[[#This Row],[Billed_Price]]</f>
        <v>94615.689262550586</v>
      </c>
      <c r="Y2973">
        <f>ReconciliationData[[#This Row],[ordered_units]]*ReconciliationData[[#This Row],[List_Price]]</f>
        <v>94611.310199999993</v>
      </c>
      <c r="Z2973">
        <f>ReconciliationData[[#This Row],[billed_revenue]]-ReconciliationData[[#This Row],[expected_revenue]]</f>
        <v>4.3790625505935168</v>
      </c>
      <c r="AA29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2973" t="str">
        <f>IF(ReconciliationData[[#This Row],[severity_score]]=0,"LOW",
 IF(ReconciliationData[[#This Row],[severity_score]]&lt;=5,"MEDIUM","HIGH"))</f>
        <v>MEDIUM</v>
      </c>
      <c r="AC2973" t="str">
        <f>TEXT(ReconciliationData[[#This Row],[Order_Date]],"YYYY-MM")</f>
        <v>2024-08</v>
      </c>
    </row>
    <row r="2974" spans="1:29">
      <c r="A2974" t="s">
        <v>7158</v>
      </c>
      <c r="B2974" s="1">
        <v>45515</v>
      </c>
      <c r="C2974" t="s">
        <v>2497</v>
      </c>
      <c r="D2974" t="s">
        <v>1542</v>
      </c>
      <c r="E2974">
        <v>161</v>
      </c>
      <c r="F2974" t="s">
        <v>7159</v>
      </c>
      <c r="G2974">
        <v>161</v>
      </c>
      <c r="H2974">
        <v>402.05340000000001</v>
      </c>
      <c r="N2974">
        <v>402.05340000000001</v>
      </c>
      <c r="O2974" s="1">
        <v>45214</v>
      </c>
      <c r="P2974">
        <f>IF(ISBLANK(ReconciliationData[[#This Row],[Invoice_ID]]),1,0)</f>
        <v>0</v>
      </c>
      <c r="Q2974">
        <f>IF(AND(NOT(ISBLANK(ReconciliationData[[#This Row],[Billed_Units]])),ReconciliationData[[#This Row],[ordered_units]]&lt;&gt;ReconciliationData[[#This Row],[Billed_Units]]),1,0)</f>
        <v>0</v>
      </c>
      <c r="R29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74">
        <f>IF(AND(NOT(ISBLANK(ReconciliationData[[#This Row],[Contract_Price]])),ReconciliationData[[#This Row],[Billed_Price]]&lt;&gt;ReconciliationData[[#This Row],[Contract_Price]]),1,0)</f>
        <v>0</v>
      </c>
      <c r="T2974">
        <f>IF(AND(NOT(ISBLANK(ReconciliationData[[#This Row],[End_Date]])),ReconciliationData[[#This Row],[Order_Date]]&gt;ReconciliationData[[#This Row],[End_Date]]),1,0)</f>
        <v>0</v>
      </c>
      <c r="U2974">
        <f>IF(AND(NOT(ISBLANK(ReconciliationData[[#This Row],[last_return_date]])),ReconciliationData[[#This Row],[last_return_date]]&gt;ReconciliationData[[#This Row],[Order_Date]]+60),1,0)</f>
        <v>0</v>
      </c>
      <c r="V2974">
        <f>IF(ReconciliationData[[#This Row],[total_returned_units]]&gt;ReconciliationData[[#This Row],[ordered_units]],1,0)</f>
        <v>0</v>
      </c>
      <c r="W29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74">
        <f>ReconciliationData[[#This Row],[Billed_Units]]*ReconciliationData[[#This Row],[Billed_Price]]</f>
        <v>64730.597399999999</v>
      </c>
      <c r="Y2974">
        <f>ReconciliationData[[#This Row],[ordered_units]]*ReconciliationData[[#This Row],[List_Price]]</f>
        <v>64730.597399999999</v>
      </c>
      <c r="Z2974">
        <f>ReconciliationData[[#This Row],[billed_revenue]]-ReconciliationData[[#This Row],[expected_revenue]]</f>
        <v>0</v>
      </c>
      <c r="AA29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74" t="str">
        <f>IF(ReconciliationData[[#This Row],[severity_score]]=0,"LOW",
 IF(ReconciliationData[[#This Row],[severity_score]]&lt;=5,"MEDIUM","HIGH"))</f>
        <v>LOW</v>
      </c>
      <c r="AC2974" t="str">
        <f>TEXT(ReconciliationData[[#This Row],[Order_Date]],"YYYY-MM")</f>
        <v>2024-08</v>
      </c>
    </row>
    <row r="2975" spans="1:29">
      <c r="A2975" t="s">
        <v>7160</v>
      </c>
      <c r="B2975" s="1">
        <v>45039</v>
      </c>
      <c r="C2975" t="s">
        <v>4167</v>
      </c>
      <c r="D2975" t="s">
        <v>1424</v>
      </c>
      <c r="E2975">
        <v>169</v>
      </c>
      <c r="F2975" t="s">
        <v>7161</v>
      </c>
      <c r="G2975">
        <v>169</v>
      </c>
      <c r="H2975">
        <v>181.02959999999999</v>
      </c>
      <c r="N2975">
        <v>181.02959999999999</v>
      </c>
      <c r="O2975" s="1">
        <v>44989</v>
      </c>
      <c r="P2975">
        <f>IF(ISBLANK(ReconciliationData[[#This Row],[Invoice_ID]]),1,0)</f>
        <v>0</v>
      </c>
      <c r="Q2975">
        <f>IF(AND(NOT(ISBLANK(ReconciliationData[[#This Row],[Billed_Units]])),ReconciliationData[[#This Row],[ordered_units]]&lt;&gt;ReconciliationData[[#This Row],[Billed_Units]]),1,0)</f>
        <v>0</v>
      </c>
      <c r="R29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75">
        <f>IF(AND(NOT(ISBLANK(ReconciliationData[[#This Row],[Contract_Price]])),ReconciliationData[[#This Row],[Billed_Price]]&lt;&gt;ReconciliationData[[#This Row],[Contract_Price]]),1,0)</f>
        <v>0</v>
      </c>
      <c r="T2975">
        <f>IF(AND(NOT(ISBLANK(ReconciliationData[[#This Row],[End_Date]])),ReconciliationData[[#This Row],[Order_Date]]&gt;ReconciliationData[[#This Row],[End_Date]]),1,0)</f>
        <v>0</v>
      </c>
      <c r="U2975">
        <f>IF(AND(NOT(ISBLANK(ReconciliationData[[#This Row],[last_return_date]])),ReconciliationData[[#This Row],[last_return_date]]&gt;ReconciliationData[[#This Row],[Order_Date]]+60),1,0)</f>
        <v>0</v>
      </c>
      <c r="V2975">
        <f>IF(ReconciliationData[[#This Row],[total_returned_units]]&gt;ReconciliationData[[#This Row],[ordered_units]],1,0)</f>
        <v>0</v>
      </c>
      <c r="W29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75">
        <f>ReconciliationData[[#This Row],[Billed_Units]]*ReconciliationData[[#This Row],[Billed_Price]]</f>
        <v>30594.002399999998</v>
      </c>
      <c r="Y2975">
        <f>ReconciliationData[[#This Row],[ordered_units]]*ReconciliationData[[#This Row],[List_Price]]</f>
        <v>30594.002399999998</v>
      </c>
      <c r="Z2975">
        <f>ReconciliationData[[#This Row],[billed_revenue]]-ReconciliationData[[#This Row],[expected_revenue]]</f>
        <v>0</v>
      </c>
      <c r="AA29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75" t="str">
        <f>IF(ReconciliationData[[#This Row],[severity_score]]=0,"LOW",
 IF(ReconciliationData[[#This Row],[severity_score]]&lt;=5,"MEDIUM","HIGH"))</f>
        <v>LOW</v>
      </c>
      <c r="AC2975" t="str">
        <f>TEXT(ReconciliationData[[#This Row],[Order_Date]],"YYYY-MM")</f>
        <v>2023-04</v>
      </c>
    </row>
    <row r="2976" spans="1:29">
      <c r="A2976" t="s">
        <v>7162</v>
      </c>
      <c r="B2976" s="1">
        <v>45554</v>
      </c>
      <c r="C2976" t="s">
        <v>7163</v>
      </c>
      <c r="D2976" t="s">
        <v>552</v>
      </c>
      <c r="E2976">
        <v>61</v>
      </c>
      <c r="F2976" t="s">
        <v>7164</v>
      </c>
      <c r="G2976">
        <v>61</v>
      </c>
      <c r="H2976">
        <v>497.4264</v>
      </c>
      <c r="I2976">
        <v>3</v>
      </c>
      <c r="J2976" s="1">
        <v>45227</v>
      </c>
      <c r="N2976">
        <v>497.4264</v>
      </c>
      <c r="O2976" s="1">
        <v>45212</v>
      </c>
      <c r="P2976">
        <f>IF(ISBLANK(ReconciliationData[[#This Row],[Invoice_ID]]),1,0)</f>
        <v>0</v>
      </c>
      <c r="Q2976">
        <f>IF(AND(NOT(ISBLANK(ReconciliationData[[#This Row],[Billed_Units]])),ReconciliationData[[#This Row],[ordered_units]]&lt;&gt;ReconciliationData[[#This Row],[Billed_Units]]),1,0)</f>
        <v>0</v>
      </c>
      <c r="R29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76">
        <f>IF(AND(NOT(ISBLANK(ReconciliationData[[#This Row],[Contract_Price]])),ReconciliationData[[#This Row],[Billed_Price]]&lt;&gt;ReconciliationData[[#This Row],[Contract_Price]]),1,0)</f>
        <v>0</v>
      </c>
      <c r="T2976">
        <f>IF(AND(NOT(ISBLANK(ReconciliationData[[#This Row],[End_Date]])),ReconciliationData[[#This Row],[Order_Date]]&gt;ReconciliationData[[#This Row],[End_Date]]),1,0)</f>
        <v>0</v>
      </c>
      <c r="U2976">
        <f>IF(AND(NOT(ISBLANK(ReconciliationData[[#This Row],[last_return_date]])),ReconciliationData[[#This Row],[last_return_date]]&gt;ReconciliationData[[#This Row],[Order_Date]]+60),1,0)</f>
        <v>0</v>
      </c>
      <c r="V2976">
        <f>IF(ReconciliationData[[#This Row],[total_returned_units]]&gt;ReconciliationData[[#This Row],[ordered_units]],1,0)</f>
        <v>0</v>
      </c>
      <c r="W29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76">
        <f>ReconciliationData[[#This Row],[Billed_Units]]*ReconciliationData[[#This Row],[Billed_Price]]</f>
        <v>30343.010399999999</v>
      </c>
      <c r="Y2976">
        <f>ReconciliationData[[#This Row],[ordered_units]]*ReconciliationData[[#This Row],[List_Price]]</f>
        <v>30343.010399999999</v>
      </c>
      <c r="Z2976">
        <f>ReconciliationData[[#This Row],[billed_revenue]]-ReconciliationData[[#This Row],[expected_revenue]]</f>
        <v>0</v>
      </c>
      <c r="AA29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76" t="str">
        <f>IF(ReconciliationData[[#This Row],[severity_score]]=0,"LOW",
 IF(ReconciliationData[[#This Row],[severity_score]]&lt;=5,"MEDIUM","HIGH"))</f>
        <v>LOW</v>
      </c>
      <c r="AC2976" t="str">
        <f>TEXT(ReconciliationData[[#This Row],[Order_Date]],"YYYY-MM")</f>
        <v>2024-09</v>
      </c>
    </row>
    <row r="2977" spans="1:29">
      <c r="A2977" t="s">
        <v>7165</v>
      </c>
      <c r="B2977" s="1">
        <v>45507</v>
      </c>
      <c r="C2977" t="s">
        <v>1046</v>
      </c>
      <c r="D2977" t="s">
        <v>3409</v>
      </c>
      <c r="E2977">
        <v>130</v>
      </c>
      <c r="F2977" t="s">
        <v>7166</v>
      </c>
      <c r="G2977">
        <v>130</v>
      </c>
      <c r="H2977">
        <v>104.9652</v>
      </c>
      <c r="N2977">
        <v>104.9652</v>
      </c>
      <c r="O2977" s="1">
        <v>45066</v>
      </c>
      <c r="P2977">
        <f>IF(ISBLANK(ReconciliationData[[#This Row],[Invoice_ID]]),1,0)</f>
        <v>0</v>
      </c>
      <c r="Q2977">
        <f>IF(AND(NOT(ISBLANK(ReconciliationData[[#This Row],[Billed_Units]])),ReconciliationData[[#This Row],[ordered_units]]&lt;&gt;ReconciliationData[[#This Row],[Billed_Units]]),1,0)</f>
        <v>0</v>
      </c>
      <c r="R29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77">
        <f>IF(AND(NOT(ISBLANK(ReconciliationData[[#This Row],[Contract_Price]])),ReconciliationData[[#This Row],[Billed_Price]]&lt;&gt;ReconciliationData[[#This Row],[Contract_Price]]),1,0)</f>
        <v>0</v>
      </c>
      <c r="T2977">
        <f>IF(AND(NOT(ISBLANK(ReconciliationData[[#This Row],[End_Date]])),ReconciliationData[[#This Row],[Order_Date]]&gt;ReconciliationData[[#This Row],[End_Date]]),1,0)</f>
        <v>0</v>
      </c>
      <c r="U2977">
        <f>IF(AND(NOT(ISBLANK(ReconciliationData[[#This Row],[last_return_date]])),ReconciliationData[[#This Row],[last_return_date]]&gt;ReconciliationData[[#This Row],[Order_Date]]+60),1,0)</f>
        <v>0</v>
      </c>
      <c r="V2977">
        <f>IF(ReconciliationData[[#This Row],[total_returned_units]]&gt;ReconciliationData[[#This Row],[ordered_units]],1,0)</f>
        <v>0</v>
      </c>
      <c r="W29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77">
        <f>ReconciliationData[[#This Row],[Billed_Units]]*ReconciliationData[[#This Row],[Billed_Price]]</f>
        <v>13645.475999999999</v>
      </c>
      <c r="Y2977">
        <f>ReconciliationData[[#This Row],[ordered_units]]*ReconciliationData[[#This Row],[List_Price]]</f>
        <v>13645.475999999999</v>
      </c>
      <c r="Z2977">
        <f>ReconciliationData[[#This Row],[billed_revenue]]-ReconciliationData[[#This Row],[expected_revenue]]</f>
        <v>0</v>
      </c>
      <c r="AA29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77" t="str">
        <f>IF(ReconciliationData[[#This Row],[severity_score]]=0,"LOW",
 IF(ReconciliationData[[#This Row],[severity_score]]&lt;=5,"MEDIUM","HIGH"))</f>
        <v>LOW</v>
      </c>
      <c r="AC2977" t="str">
        <f>TEXT(ReconciliationData[[#This Row],[Order_Date]],"YYYY-MM")</f>
        <v>2024-08</v>
      </c>
    </row>
    <row r="2978" spans="1:29">
      <c r="A2978" t="s">
        <v>7167</v>
      </c>
      <c r="B2978" s="1">
        <v>45135</v>
      </c>
      <c r="C2978" t="s">
        <v>2330</v>
      </c>
      <c r="D2978" t="s">
        <v>1315</v>
      </c>
      <c r="E2978">
        <v>100</v>
      </c>
      <c r="F2978" t="s">
        <v>7168</v>
      </c>
      <c r="G2978">
        <v>100</v>
      </c>
      <c r="H2978">
        <v>334.24649999999997</v>
      </c>
      <c r="N2978">
        <v>334.24649999999997</v>
      </c>
      <c r="O2978" s="1">
        <v>45125</v>
      </c>
      <c r="P2978">
        <f>IF(ISBLANK(ReconciliationData[[#This Row],[Invoice_ID]]),1,0)</f>
        <v>0</v>
      </c>
      <c r="Q2978">
        <f>IF(AND(NOT(ISBLANK(ReconciliationData[[#This Row],[Billed_Units]])),ReconciliationData[[#This Row],[ordered_units]]&lt;&gt;ReconciliationData[[#This Row],[Billed_Units]]),1,0)</f>
        <v>0</v>
      </c>
      <c r="R29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78">
        <f>IF(AND(NOT(ISBLANK(ReconciliationData[[#This Row],[Contract_Price]])),ReconciliationData[[#This Row],[Billed_Price]]&lt;&gt;ReconciliationData[[#This Row],[Contract_Price]]),1,0)</f>
        <v>0</v>
      </c>
      <c r="T2978">
        <f>IF(AND(NOT(ISBLANK(ReconciliationData[[#This Row],[End_Date]])),ReconciliationData[[#This Row],[Order_Date]]&gt;ReconciliationData[[#This Row],[End_Date]]),1,0)</f>
        <v>0</v>
      </c>
      <c r="U2978">
        <f>IF(AND(NOT(ISBLANK(ReconciliationData[[#This Row],[last_return_date]])),ReconciliationData[[#This Row],[last_return_date]]&gt;ReconciliationData[[#This Row],[Order_Date]]+60),1,0)</f>
        <v>0</v>
      </c>
      <c r="V2978">
        <f>IF(ReconciliationData[[#This Row],[total_returned_units]]&gt;ReconciliationData[[#This Row],[ordered_units]],1,0)</f>
        <v>0</v>
      </c>
      <c r="W29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78">
        <f>ReconciliationData[[#This Row],[Billed_Units]]*ReconciliationData[[#This Row],[Billed_Price]]</f>
        <v>33424.649999999994</v>
      </c>
      <c r="Y2978">
        <f>ReconciliationData[[#This Row],[ordered_units]]*ReconciliationData[[#This Row],[List_Price]]</f>
        <v>33424.649999999994</v>
      </c>
      <c r="Z2978">
        <f>ReconciliationData[[#This Row],[billed_revenue]]-ReconciliationData[[#This Row],[expected_revenue]]</f>
        <v>0</v>
      </c>
      <c r="AA29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78" t="str">
        <f>IF(ReconciliationData[[#This Row],[severity_score]]=0,"LOW",
 IF(ReconciliationData[[#This Row],[severity_score]]&lt;=5,"MEDIUM","HIGH"))</f>
        <v>LOW</v>
      </c>
      <c r="AC2978" t="str">
        <f>TEXT(ReconciliationData[[#This Row],[Order_Date]],"YYYY-MM")</f>
        <v>2023-07</v>
      </c>
    </row>
    <row r="2979" spans="1:29">
      <c r="A2979" t="s">
        <v>7169</v>
      </c>
      <c r="B2979" s="1">
        <v>45411</v>
      </c>
      <c r="C2979" t="s">
        <v>4945</v>
      </c>
      <c r="D2979" t="s">
        <v>569</v>
      </c>
      <c r="E2979">
        <v>161</v>
      </c>
      <c r="F2979" t="s">
        <v>7170</v>
      </c>
      <c r="G2979">
        <v>161</v>
      </c>
      <c r="H2979">
        <v>1231.9933000000001</v>
      </c>
      <c r="N2979">
        <v>1231.9933000000001</v>
      </c>
      <c r="O2979" s="1">
        <v>44934</v>
      </c>
      <c r="P2979">
        <f>IF(ISBLANK(ReconciliationData[[#This Row],[Invoice_ID]]),1,0)</f>
        <v>0</v>
      </c>
      <c r="Q2979">
        <f>IF(AND(NOT(ISBLANK(ReconciliationData[[#This Row],[Billed_Units]])),ReconciliationData[[#This Row],[ordered_units]]&lt;&gt;ReconciliationData[[#This Row],[Billed_Units]]),1,0)</f>
        <v>0</v>
      </c>
      <c r="R29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79">
        <f>IF(AND(NOT(ISBLANK(ReconciliationData[[#This Row],[Contract_Price]])),ReconciliationData[[#This Row],[Billed_Price]]&lt;&gt;ReconciliationData[[#This Row],[Contract_Price]]),1,0)</f>
        <v>0</v>
      </c>
      <c r="T2979">
        <f>IF(AND(NOT(ISBLANK(ReconciliationData[[#This Row],[End_Date]])),ReconciliationData[[#This Row],[Order_Date]]&gt;ReconciliationData[[#This Row],[End_Date]]),1,0)</f>
        <v>0</v>
      </c>
      <c r="U2979">
        <f>IF(AND(NOT(ISBLANK(ReconciliationData[[#This Row],[last_return_date]])),ReconciliationData[[#This Row],[last_return_date]]&gt;ReconciliationData[[#This Row],[Order_Date]]+60),1,0)</f>
        <v>0</v>
      </c>
      <c r="V2979">
        <f>IF(ReconciliationData[[#This Row],[total_returned_units]]&gt;ReconciliationData[[#This Row],[ordered_units]],1,0)</f>
        <v>0</v>
      </c>
      <c r="W29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79">
        <f>ReconciliationData[[#This Row],[Billed_Units]]*ReconciliationData[[#This Row],[Billed_Price]]</f>
        <v>198350.92130000002</v>
      </c>
      <c r="Y2979">
        <f>ReconciliationData[[#This Row],[ordered_units]]*ReconciliationData[[#This Row],[List_Price]]</f>
        <v>198350.92130000002</v>
      </c>
      <c r="Z2979">
        <f>ReconciliationData[[#This Row],[billed_revenue]]-ReconciliationData[[#This Row],[expected_revenue]]</f>
        <v>0</v>
      </c>
      <c r="AA29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79" t="str">
        <f>IF(ReconciliationData[[#This Row],[severity_score]]=0,"LOW",
 IF(ReconciliationData[[#This Row],[severity_score]]&lt;=5,"MEDIUM","HIGH"))</f>
        <v>LOW</v>
      </c>
      <c r="AC2979" t="str">
        <f>TEXT(ReconciliationData[[#This Row],[Order_Date]],"YYYY-MM")</f>
        <v>2024-04</v>
      </c>
    </row>
    <row r="2980" spans="1:29">
      <c r="A2980" t="s">
        <v>7171</v>
      </c>
      <c r="B2980" s="1">
        <v>44960</v>
      </c>
      <c r="C2980" t="s">
        <v>4158</v>
      </c>
      <c r="D2980" t="s">
        <v>483</v>
      </c>
      <c r="E2980">
        <v>139</v>
      </c>
      <c r="F2980" t="s">
        <v>7172</v>
      </c>
      <c r="G2980">
        <v>139</v>
      </c>
      <c r="H2980">
        <v>263.89999999999998</v>
      </c>
      <c r="N2980">
        <v>263.89999999999998</v>
      </c>
      <c r="O2980" s="1">
        <v>44855</v>
      </c>
      <c r="P2980">
        <f>IF(ISBLANK(ReconciliationData[[#This Row],[Invoice_ID]]),1,0)</f>
        <v>0</v>
      </c>
      <c r="Q2980">
        <f>IF(AND(NOT(ISBLANK(ReconciliationData[[#This Row],[Billed_Units]])),ReconciliationData[[#This Row],[ordered_units]]&lt;&gt;ReconciliationData[[#This Row],[Billed_Units]]),1,0)</f>
        <v>0</v>
      </c>
      <c r="R29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0">
        <f>IF(AND(NOT(ISBLANK(ReconciliationData[[#This Row],[Contract_Price]])),ReconciliationData[[#This Row],[Billed_Price]]&lt;&gt;ReconciliationData[[#This Row],[Contract_Price]]),1,0)</f>
        <v>0</v>
      </c>
      <c r="T2980">
        <f>IF(AND(NOT(ISBLANK(ReconciliationData[[#This Row],[End_Date]])),ReconciliationData[[#This Row],[Order_Date]]&gt;ReconciliationData[[#This Row],[End_Date]]),1,0)</f>
        <v>0</v>
      </c>
      <c r="U2980">
        <f>IF(AND(NOT(ISBLANK(ReconciliationData[[#This Row],[last_return_date]])),ReconciliationData[[#This Row],[last_return_date]]&gt;ReconciliationData[[#This Row],[Order_Date]]+60),1,0)</f>
        <v>0</v>
      </c>
      <c r="V2980">
        <f>IF(ReconciliationData[[#This Row],[total_returned_units]]&gt;ReconciliationData[[#This Row],[ordered_units]],1,0)</f>
        <v>0</v>
      </c>
      <c r="W29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0">
        <f>ReconciliationData[[#This Row],[Billed_Units]]*ReconciliationData[[#This Row],[Billed_Price]]</f>
        <v>36682.1</v>
      </c>
      <c r="Y2980">
        <f>ReconciliationData[[#This Row],[ordered_units]]*ReconciliationData[[#This Row],[List_Price]]</f>
        <v>36682.1</v>
      </c>
      <c r="Z2980">
        <f>ReconciliationData[[#This Row],[billed_revenue]]-ReconciliationData[[#This Row],[expected_revenue]]</f>
        <v>0</v>
      </c>
      <c r="AA29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0" t="str">
        <f>IF(ReconciliationData[[#This Row],[severity_score]]=0,"LOW",
 IF(ReconciliationData[[#This Row],[severity_score]]&lt;=5,"MEDIUM","HIGH"))</f>
        <v>LOW</v>
      </c>
      <c r="AC2980" t="str">
        <f>TEXT(ReconciliationData[[#This Row],[Order_Date]],"YYYY-MM")</f>
        <v>2023-02</v>
      </c>
    </row>
    <row r="2981" spans="1:29">
      <c r="A2981" t="s">
        <v>7173</v>
      </c>
      <c r="B2981" s="1">
        <v>45417</v>
      </c>
      <c r="C2981" t="s">
        <v>922</v>
      </c>
      <c r="D2981" t="s">
        <v>1583</v>
      </c>
      <c r="E2981">
        <v>101</v>
      </c>
      <c r="F2981" t="s">
        <v>7174</v>
      </c>
      <c r="G2981">
        <v>101</v>
      </c>
      <c r="H2981">
        <v>1182.1740000000002</v>
      </c>
      <c r="N2981">
        <v>1182.1740000000002</v>
      </c>
      <c r="O2981" s="1">
        <v>45130</v>
      </c>
      <c r="P2981">
        <f>IF(ISBLANK(ReconciliationData[[#This Row],[Invoice_ID]]),1,0)</f>
        <v>0</v>
      </c>
      <c r="Q2981">
        <f>IF(AND(NOT(ISBLANK(ReconciliationData[[#This Row],[Billed_Units]])),ReconciliationData[[#This Row],[ordered_units]]&lt;&gt;ReconciliationData[[#This Row],[Billed_Units]]),1,0)</f>
        <v>0</v>
      </c>
      <c r="R29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1">
        <f>IF(AND(NOT(ISBLANK(ReconciliationData[[#This Row],[Contract_Price]])),ReconciliationData[[#This Row],[Billed_Price]]&lt;&gt;ReconciliationData[[#This Row],[Contract_Price]]),1,0)</f>
        <v>0</v>
      </c>
      <c r="T2981">
        <f>IF(AND(NOT(ISBLANK(ReconciliationData[[#This Row],[End_Date]])),ReconciliationData[[#This Row],[Order_Date]]&gt;ReconciliationData[[#This Row],[End_Date]]),1,0)</f>
        <v>0</v>
      </c>
      <c r="U2981">
        <f>IF(AND(NOT(ISBLANK(ReconciliationData[[#This Row],[last_return_date]])),ReconciliationData[[#This Row],[last_return_date]]&gt;ReconciliationData[[#This Row],[Order_Date]]+60),1,0)</f>
        <v>0</v>
      </c>
      <c r="V2981">
        <f>IF(ReconciliationData[[#This Row],[total_returned_units]]&gt;ReconciliationData[[#This Row],[ordered_units]],1,0)</f>
        <v>0</v>
      </c>
      <c r="W29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1">
        <f>ReconciliationData[[#This Row],[Billed_Units]]*ReconciliationData[[#This Row],[Billed_Price]]</f>
        <v>119399.57400000002</v>
      </c>
      <c r="Y2981">
        <f>ReconciliationData[[#This Row],[ordered_units]]*ReconciliationData[[#This Row],[List_Price]]</f>
        <v>119399.57400000002</v>
      </c>
      <c r="Z2981">
        <f>ReconciliationData[[#This Row],[billed_revenue]]-ReconciliationData[[#This Row],[expected_revenue]]</f>
        <v>0</v>
      </c>
      <c r="AA29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1" t="str">
        <f>IF(ReconciliationData[[#This Row],[severity_score]]=0,"LOW",
 IF(ReconciliationData[[#This Row],[severity_score]]&lt;=5,"MEDIUM","HIGH"))</f>
        <v>LOW</v>
      </c>
      <c r="AC2981" t="str">
        <f>TEXT(ReconciliationData[[#This Row],[Order_Date]],"YYYY-MM")</f>
        <v>2024-05</v>
      </c>
    </row>
    <row r="2982" spans="1:29">
      <c r="A2982" t="s">
        <v>7175</v>
      </c>
      <c r="B2982" s="1">
        <v>45322</v>
      </c>
      <c r="C2982" t="s">
        <v>996</v>
      </c>
      <c r="D2982" t="s">
        <v>951</v>
      </c>
      <c r="E2982">
        <v>18</v>
      </c>
      <c r="F2982" t="s">
        <v>7176</v>
      </c>
      <c r="G2982">
        <v>18</v>
      </c>
      <c r="H2982">
        <v>571.32999999999993</v>
      </c>
      <c r="N2982">
        <v>571.32999999999993</v>
      </c>
      <c r="O2982" s="1">
        <v>45206</v>
      </c>
      <c r="P2982">
        <f>IF(ISBLANK(ReconciliationData[[#This Row],[Invoice_ID]]),1,0)</f>
        <v>0</v>
      </c>
      <c r="Q2982">
        <f>IF(AND(NOT(ISBLANK(ReconciliationData[[#This Row],[Billed_Units]])),ReconciliationData[[#This Row],[ordered_units]]&lt;&gt;ReconciliationData[[#This Row],[Billed_Units]]),1,0)</f>
        <v>0</v>
      </c>
      <c r="R29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2">
        <f>IF(AND(NOT(ISBLANK(ReconciliationData[[#This Row],[Contract_Price]])),ReconciliationData[[#This Row],[Billed_Price]]&lt;&gt;ReconciliationData[[#This Row],[Contract_Price]]),1,0)</f>
        <v>0</v>
      </c>
      <c r="T2982">
        <f>IF(AND(NOT(ISBLANK(ReconciliationData[[#This Row],[End_Date]])),ReconciliationData[[#This Row],[Order_Date]]&gt;ReconciliationData[[#This Row],[End_Date]]),1,0)</f>
        <v>0</v>
      </c>
      <c r="U2982">
        <f>IF(AND(NOT(ISBLANK(ReconciliationData[[#This Row],[last_return_date]])),ReconciliationData[[#This Row],[last_return_date]]&gt;ReconciliationData[[#This Row],[Order_Date]]+60),1,0)</f>
        <v>0</v>
      </c>
      <c r="V2982">
        <f>IF(ReconciliationData[[#This Row],[total_returned_units]]&gt;ReconciliationData[[#This Row],[ordered_units]],1,0)</f>
        <v>0</v>
      </c>
      <c r="W29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2">
        <f>ReconciliationData[[#This Row],[Billed_Units]]*ReconciliationData[[#This Row],[Billed_Price]]</f>
        <v>10283.939999999999</v>
      </c>
      <c r="Y2982">
        <f>ReconciliationData[[#This Row],[ordered_units]]*ReconciliationData[[#This Row],[List_Price]]</f>
        <v>10283.939999999999</v>
      </c>
      <c r="Z2982">
        <f>ReconciliationData[[#This Row],[billed_revenue]]-ReconciliationData[[#This Row],[expected_revenue]]</f>
        <v>0</v>
      </c>
      <c r="AA29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2" t="str">
        <f>IF(ReconciliationData[[#This Row],[severity_score]]=0,"LOW",
 IF(ReconciliationData[[#This Row],[severity_score]]&lt;=5,"MEDIUM","HIGH"))</f>
        <v>LOW</v>
      </c>
      <c r="AC2982" t="str">
        <f>TEXT(ReconciliationData[[#This Row],[Order_Date]],"YYYY-MM")</f>
        <v>2024-01</v>
      </c>
    </row>
    <row r="2983" spans="1:29">
      <c r="A2983" t="s">
        <v>7177</v>
      </c>
      <c r="B2983" s="1">
        <v>45340</v>
      </c>
      <c r="C2983" t="s">
        <v>642</v>
      </c>
      <c r="D2983" t="s">
        <v>1583</v>
      </c>
      <c r="E2983">
        <v>35</v>
      </c>
      <c r="F2983" t="s">
        <v>7178</v>
      </c>
      <c r="G2983">
        <v>35</v>
      </c>
      <c r="H2983">
        <v>1182.1740000000002</v>
      </c>
      <c r="N2983">
        <v>1182.1740000000002</v>
      </c>
      <c r="O2983" s="1">
        <v>45130</v>
      </c>
      <c r="P2983">
        <f>IF(ISBLANK(ReconciliationData[[#This Row],[Invoice_ID]]),1,0)</f>
        <v>0</v>
      </c>
      <c r="Q2983">
        <f>IF(AND(NOT(ISBLANK(ReconciliationData[[#This Row],[Billed_Units]])),ReconciliationData[[#This Row],[ordered_units]]&lt;&gt;ReconciliationData[[#This Row],[Billed_Units]]),1,0)</f>
        <v>0</v>
      </c>
      <c r="R29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3">
        <f>IF(AND(NOT(ISBLANK(ReconciliationData[[#This Row],[Contract_Price]])),ReconciliationData[[#This Row],[Billed_Price]]&lt;&gt;ReconciliationData[[#This Row],[Contract_Price]]),1,0)</f>
        <v>0</v>
      </c>
      <c r="T2983">
        <f>IF(AND(NOT(ISBLANK(ReconciliationData[[#This Row],[End_Date]])),ReconciliationData[[#This Row],[Order_Date]]&gt;ReconciliationData[[#This Row],[End_Date]]),1,0)</f>
        <v>0</v>
      </c>
      <c r="U2983">
        <f>IF(AND(NOT(ISBLANK(ReconciliationData[[#This Row],[last_return_date]])),ReconciliationData[[#This Row],[last_return_date]]&gt;ReconciliationData[[#This Row],[Order_Date]]+60),1,0)</f>
        <v>0</v>
      </c>
      <c r="V2983">
        <f>IF(ReconciliationData[[#This Row],[total_returned_units]]&gt;ReconciliationData[[#This Row],[ordered_units]],1,0)</f>
        <v>0</v>
      </c>
      <c r="W29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3">
        <f>ReconciliationData[[#This Row],[Billed_Units]]*ReconciliationData[[#This Row],[Billed_Price]]</f>
        <v>41376.090000000004</v>
      </c>
      <c r="Y2983">
        <f>ReconciliationData[[#This Row],[ordered_units]]*ReconciliationData[[#This Row],[List_Price]]</f>
        <v>41376.090000000004</v>
      </c>
      <c r="Z2983">
        <f>ReconciliationData[[#This Row],[billed_revenue]]-ReconciliationData[[#This Row],[expected_revenue]]</f>
        <v>0</v>
      </c>
      <c r="AA29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3" t="str">
        <f>IF(ReconciliationData[[#This Row],[severity_score]]=0,"LOW",
 IF(ReconciliationData[[#This Row],[severity_score]]&lt;=5,"MEDIUM","HIGH"))</f>
        <v>LOW</v>
      </c>
      <c r="AC2983" t="str">
        <f>TEXT(ReconciliationData[[#This Row],[Order_Date]],"YYYY-MM")</f>
        <v>2024-02</v>
      </c>
    </row>
    <row r="2984" spans="1:29">
      <c r="A2984" t="s">
        <v>7179</v>
      </c>
      <c r="B2984" s="1">
        <v>44944</v>
      </c>
      <c r="C2984" t="s">
        <v>1645</v>
      </c>
      <c r="D2984" t="s">
        <v>1105</v>
      </c>
      <c r="E2984">
        <v>77</v>
      </c>
      <c r="F2984" t="s">
        <v>7180</v>
      </c>
      <c r="G2984">
        <v>77</v>
      </c>
      <c r="H2984">
        <v>860.25239999999997</v>
      </c>
      <c r="N2984">
        <v>860.25239999999997</v>
      </c>
      <c r="O2984" s="1">
        <v>44774</v>
      </c>
      <c r="P2984">
        <f>IF(ISBLANK(ReconciliationData[[#This Row],[Invoice_ID]]),1,0)</f>
        <v>0</v>
      </c>
      <c r="Q2984">
        <f>IF(AND(NOT(ISBLANK(ReconciliationData[[#This Row],[Billed_Units]])),ReconciliationData[[#This Row],[ordered_units]]&lt;&gt;ReconciliationData[[#This Row],[Billed_Units]]),1,0)</f>
        <v>0</v>
      </c>
      <c r="R29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4">
        <f>IF(AND(NOT(ISBLANK(ReconciliationData[[#This Row],[Contract_Price]])),ReconciliationData[[#This Row],[Billed_Price]]&lt;&gt;ReconciliationData[[#This Row],[Contract_Price]]),1,0)</f>
        <v>0</v>
      </c>
      <c r="T2984">
        <f>IF(AND(NOT(ISBLANK(ReconciliationData[[#This Row],[End_Date]])),ReconciliationData[[#This Row],[Order_Date]]&gt;ReconciliationData[[#This Row],[End_Date]]),1,0)</f>
        <v>0</v>
      </c>
      <c r="U2984">
        <f>IF(AND(NOT(ISBLANK(ReconciliationData[[#This Row],[last_return_date]])),ReconciliationData[[#This Row],[last_return_date]]&gt;ReconciliationData[[#This Row],[Order_Date]]+60),1,0)</f>
        <v>0</v>
      </c>
      <c r="V2984">
        <f>IF(ReconciliationData[[#This Row],[total_returned_units]]&gt;ReconciliationData[[#This Row],[ordered_units]],1,0)</f>
        <v>0</v>
      </c>
      <c r="W29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4">
        <f>ReconciliationData[[#This Row],[Billed_Units]]*ReconciliationData[[#This Row],[Billed_Price]]</f>
        <v>66239.434800000003</v>
      </c>
      <c r="Y2984">
        <f>ReconciliationData[[#This Row],[ordered_units]]*ReconciliationData[[#This Row],[List_Price]]</f>
        <v>66239.434800000003</v>
      </c>
      <c r="Z2984">
        <f>ReconciliationData[[#This Row],[billed_revenue]]-ReconciliationData[[#This Row],[expected_revenue]]</f>
        <v>0</v>
      </c>
      <c r="AA29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4" t="str">
        <f>IF(ReconciliationData[[#This Row],[severity_score]]=0,"LOW",
 IF(ReconciliationData[[#This Row],[severity_score]]&lt;=5,"MEDIUM","HIGH"))</f>
        <v>LOW</v>
      </c>
      <c r="AC2984" t="str">
        <f>TEXT(ReconciliationData[[#This Row],[Order_Date]],"YYYY-MM")</f>
        <v>2023-01</v>
      </c>
    </row>
    <row r="2985" spans="1:29">
      <c r="A2985" t="s">
        <v>7181</v>
      </c>
      <c r="B2985" s="1">
        <v>45182</v>
      </c>
      <c r="C2985" t="s">
        <v>4167</v>
      </c>
      <c r="D2985" t="s">
        <v>544</v>
      </c>
      <c r="E2985">
        <v>92</v>
      </c>
      <c r="F2985" t="s">
        <v>7182</v>
      </c>
      <c r="G2985">
        <v>92</v>
      </c>
      <c r="H2985">
        <v>765.52319999999997</v>
      </c>
      <c r="N2985">
        <v>765.52319999999997</v>
      </c>
      <c r="O2985" s="1">
        <v>45174</v>
      </c>
      <c r="P2985">
        <f>IF(ISBLANK(ReconciliationData[[#This Row],[Invoice_ID]]),1,0)</f>
        <v>0</v>
      </c>
      <c r="Q2985">
        <f>IF(AND(NOT(ISBLANK(ReconciliationData[[#This Row],[Billed_Units]])),ReconciliationData[[#This Row],[ordered_units]]&lt;&gt;ReconciliationData[[#This Row],[Billed_Units]]),1,0)</f>
        <v>0</v>
      </c>
      <c r="R29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5">
        <f>IF(AND(NOT(ISBLANK(ReconciliationData[[#This Row],[Contract_Price]])),ReconciliationData[[#This Row],[Billed_Price]]&lt;&gt;ReconciliationData[[#This Row],[Contract_Price]]),1,0)</f>
        <v>0</v>
      </c>
      <c r="T2985">
        <f>IF(AND(NOT(ISBLANK(ReconciliationData[[#This Row],[End_Date]])),ReconciliationData[[#This Row],[Order_Date]]&gt;ReconciliationData[[#This Row],[End_Date]]),1,0)</f>
        <v>0</v>
      </c>
      <c r="U2985">
        <f>IF(AND(NOT(ISBLANK(ReconciliationData[[#This Row],[last_return_date]])),ReconciliationData[[#This Row],[last_return_date]]&gt;ReconciliationData[[#This Row],[Order_Date]]+60),1,0)</f>
        <v>0</v>
      </c>
      <c r="V2985">
        <f>IF(ReconciliationData[[#This Row],[total_returned_units]]&gt;ReconciliationData[[#This Row],[ordered_units]],1,0)</f>
        <v>0</v>
      </c>
      <c r="W29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5">
        <f>ReconciliationData[[#This Row],[Billed_Units]]*ReconciliationData[[#This Row],[Billed_Price]]</f>
        <v>70428.134399999995</v>
      </c>
      <c r="Y2985">
        <f>ReconciliationData[[#This Row],[ordered_units]]*ReconciliationData[[#This Row],[List_Price]]</f>
        <v>70428.134399999995</v>
      </c>
      <c r="Z2985">
        <f>ReconciliationData[[#This Row],[billed_revenue]]-ReconciliationData[[#This Row],[expected_revenue]]</f>
        <v>0</v>
      </c>
      <c r="AA29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5" t="str">
        <f>IF(ReconciliationData[[#This Row],[severity_score]]=0,"LOW",
 IF(ReconciliationData[[#This Row],[severity_score]]&lt;=5,"MEDIUM","HIGH"))</f>
        <v>LOW</v>
      </c>
      <c r="AC2985" t="str">
        <f>TEXT(ReconciliationData[[#This Row],[Order_Date]],"YYYY-MM")</f>
        <v>2023-09</v>
      </c>
    </row>
    <row r="2986" spans="1:29">
      <c r="A2986" t="s">
        <v>7183</v>
      </c>
      <c r="B2986" s="1">
        <v>45028</v>
      </c>
      <c r="C2986" t="s">
        <v>3217</v>
      </c>
      <c r="D2986" t="s">
        <v>1812</v>
      </c>
      <c r="E2986">
        <v>115</v>
      </c>
      <c r="F2986" t="s">
        <v>7184</v>
      </c>
      <c r="G2986">
        <v>115</v>
      </c>
      <c r="H2986">
        <v>224.72319999999999</v>
      </c>
      <c r="N2986">
        <v>224.72319999999999</v>
      </c>
      <c r="O2986" s="1">
        <v>44805</v>
      </c>
      <c r="P2986">
        <f>IF(ISBLANK(ReconciliationData[[#This Row],[Invoice_ID]]),1,0)</f>
        <v>0</v>
      </c>
      <c r="Q2986">
        <f>IF(AND(NOT(ISBLANK(ReconciliationData[[#This Row],[Billed_Units]])),ReconciliationData[[#This Row],[ordered_units]]&lt;&gt;ReconciliationData[[#This Row],[Billed_Units]]),1,0)</f>
        <v>0</v>
      </c>
      <c r="R29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6">
        <f>IF(AND(NOT(ISBLANK(ReconciliationData[[#This Row],[Contract_Price]])),ReconciliationData[[#This Row],[Billed_Price]]&lt;&gt;ReconciliationData[[#This Row],[Contract_Price]]),1,0)</f>
        <v>0</v>
      </c>
      <c r="T2986">
        <f>IF(AND(NOT(ISBLANK(ReconciliationData[[#This Row],[End_Date]])),ReconciliationData[[#This Row],[Order_Date]]&gt;ReconciliationData[[#This Row],[End_Date]]),1,0)</f>
        <v>0</v>
      </c>
      <c r="U2986">
        <f>IF(AND(NOT(ISBLANK(ReconciliationData[[#This Row],[last_return_date]])),ReconciliationData[[#This Row],[last_return_date]]&gt;ReconciliationData[[#This Row],[Order_Date]]+60),1,0)</f>
        <v>0</v>
      </c>
      <c r="V2986">
        <f>IF(ReconciliationData[[#This Row],[total_returned_units]]&gt;ReconciliationData[[#This Row],[ordered_units]],1,0)</f>
        <v>0</v>
      </c>
      <c r="W29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6">
        <f>ReconciliationData[[#This Row],[Billed_Units]]*ReconciliationData[[#This Row],[Billed_Price]]</f>
        <v>25843.167999999998</v>
      </c>
      <c r="Y2986">
        <f>ReconciliationData[[#This Row],[ordered_units]]*ReconciliationData[[#This Row],[List_Price]]</f>
        <v>25843.167999999998</v>
      </c>
      <c r="Z2986">
        <f>ReconciliationData[[#This Row],[billed_revenue]]-ReconciliationData[[#This Row],[expected_revenue]]</f>
        <v>0</v>
      </c>
      <c r="AA29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6" t="str">
        <f>IF(ReconciliationData[[#This Row],[severity_score]]=0,"LOW",
 IF(ReconciliationData[[#This Row],[severity_score]]&lt;=5,"MEDIUM","HIGH"))</f>
        <v>LOW</v>
      </c>
      <c r="AC2986" t="str">
        <f>TEXT(ReconciliationData[[#This Row],[Order_Date]],"YYYY-MM")</f>
        <v>2023-04</v>
      </c>
    </row>
    <row r="2987" spans="1:29">
      <c r="A2987" t="s">
        <v>7185</v>
      </c>
      <c r="B2987" s="1">
        <v>45496</v>
      </c>
      <c r="C2987" t="s">
        <v>3081</v>
      </c>
      <c r="D2987" t="s">
        <v>951</v>
      </c>
      <c r="E2987">
        <v>46</v>
      </c>
      <c r="F2987" t="s">
        <v>7186</v>
      </c>
      <c r="G2987">
        <v>46</v>
      </c>
      <c r="H2987">
        <v>571.32999999999993</v>
      </c>
      <c r="N2987">
        <v>571.32999999999993</v>
      </c>
      <c r="O2987" s="1">
        <v>45206</v>
      </c>
      <c r="P2987">
        <f>IF(ISBLANK(ReconciliationData[[#This Row],[Invoice_ID]]),1,0)</f>
        <v>0</v>
      </c>
      <c r="Q2987">
        <f>IF(AND(NOT(ISBLANK(ReconciliationData[[#This Row],[Billed_Units]])),ReconciliationData[[#This Row],[ordered_units]]&lt;&gt;ReconciliationData[[#This Row],[Billed_Units]]),1,0)</f>
        <v>0</v>
      </c>
      <c r="R29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7">
        <f>IF(AND(NOT(ISBLANK(ReconciliationData[[#This Row],[Contract_Price]])),ReconciliationData[[#This Row],[Billed_Price]]&lt;&gt;ReconciliationData[[#This Row],[Contract_Price]]),1,0)</f>
        <v>0</v>
      </c>
      <c r="T2987">
        <f>IF(AND(NOT(ISBLANK(ReconciliationData[[#This Row],[End_Date]])),ReconciliationData[[#This Row],[Order_Date]]&gt;ReconciliationData[[#This Row],[End_Date]]),1,0)</f>
        <v>0</v>
      </c>
      <c r="U2987">
        <f>IF(AND(NOT(ISBLANK(ReconciliationData[[#This Row],[last_return_date]])),ReconciliationData[[#This Row],[last_return_date]]&gt;ReconciliationData[[#This Row],[Order_Date]]+60),1,0)</f>
        <v>0</v>
      </c>
      <c r="V2987">
        <f>IF(ReconciliationData[[#This Row],[total_returned_units]]&gt;ReconciliationData[[#This Row],[ordered_units]],1,0)</f>
        <v>0</v>
      </c>
      <c r="W29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7">
        <f>ReconciliationData[[#This Row],[Billed_Units]]*ReconciliationData[[#This Row],[Billed_Price]]</f>
        <v>26281.179999999997</v>
      </c>
      <c r="Y2987">
        <f>ReconciliationData[[#This Row],[ordered_units]]*ReconciliationData[[#This Row],[List_Price]]</f>
        <v>26281.179999999997</v>
      </c>
      <c r="Z2987">
        <f>ReconciliationData[[#This Row],[billed_revenue]]-ReconciliationData[[#This Row],[expected_revenue]]</f>
        <v>0</v>
      </c>
      <c r="AA29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7" t="str">
        <f>IF(ReconciliationData[[#This Row],[severity_score]]=0,"LOW",
 IF(ReconciliationData[[#This Row],[severity_score]]&lt;=5,"MEDIUM","HIGH"))</f>
        <v>LOW</v>
      </c>
      <c r="AC2987" t="str">
        <f>TEXT(ReconciliationData[[#This Row],[Order_Date]],"YYYY-MM")</f>
        <v>2024-07</v>
      </c>
    </row>
    <row r="2988" spans="1:29">
      <c r="A2988" t="s">
        <v>7187</v>
      </c>
      <c r="B2988" s="1">
        <v>45122</v>
      </c>
      <c r="C2988" t="s">
        <v>1212</v>
      </c>
      <c r="D2988" t="s">
        <v>707</v>
      </c>
      <c r="E2988">
        <v>190</v>
      </c>
      <c r="F2988" t="s">
        <v>7188</v>
      </c>
      <c r="G2988">
        <v>190</v>
      </c>
      <c r="H2988">
        <v>381.97550000000001</v>
      </c>
      <c r="N2988">
        <v>381.97550000000001</v>
      </c>
      <c r="O2988" s="1">
        <v>45065</v>
      </c>
      <c r="P2988">
        <f>IF(ISBLANK(ReconciliationData[[#This Row],[Invoice_ID]]),1,0)</f>
        <v>0</v>
      </c>
      <c r="Q2988">
        <f>IF(AND(NOT(ISBLANK(ReconciliationData[[#This Row],[Billed_Units]])),ReconciliationData[[#This Row],[ordered_units]]&lt;&gt;ReconciliationData[[#This Row],[Billed_Units]]),1,0)</f>
        <v>0</v>
      </c>
      <c r="R29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8">
        <f>IF(AND(NOT(ISBLANK(ReconciliationData[[#This Row],[Contract_Price]])),ReconciliationData[[#This Row],[Billed_Price]]&lt;&gt;ReconciliationData[[#This Row],[Contract_Price]]),1,0)</f>
        <v>0</v>
      </c>
      <c r="T2988">
        <f>IF(AND(NOT(ISBLANK(ReconciliationData[[#This Row],[End_Date]])),ReconciliationData[[#This Row],[Order_Date]]&gt;ReconciliationData[[#This Row],[End_Date]]),1,0)</f>
        <v>0</v>
      </c>
      <c r="U2988">
        <f>IF(AND(NOT(ISBLANK(ReconciliationData[[#This Row],[last_return_date]])),ReconciliationData[[#This Row],[last_return_date]]&gt;ReconciliationData[[#This Row],[Order_Date]]+60),1,0)</f>
        <v>0</v>
      </c>
      <c r="V2988">
        <f>IF(ReconciliationData[[#This Row],[total_returned_units]]&gt;ReconciliationData[[#This Row],[ordered_units]],1,0)</f>
        <v>0</v>
      </c>
      <c r="W29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8">
        <f>ReconciliationData[[#This Row],[Billed_Units]]*ReconciliationData[[#This Row],[Billed_Price]]</f>
        <v>72575.345000000001</v>
      </c>
      <c r="Y2988">
        <f>ReconciliationData[[#This Row],[ordered_units]]*ReconciliationData[[#This Row],[List_Price]]</f>
        <v>72575.345000000001</v>
      </c>
      <c r="Z2988">
        <f>ReconciliationData[[#This Row],[billed_revenue]]-ReconciliationData[[#This Row],[expected_revenue]]</f>
        <v>0</v>
      </c>
      <c r="AA29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8" t="str">
        <f>IF(ReconciliationData[[#This Row],[severity_score]]=0,"LOW",
 IF(ReconciliationData[[#This Row],[severity_score]]&lt;=5,"MEDIUM","HIGH"))</f>
        <v>LOW</v>
      </c>
      <c r="AC2988" t="str">
        <f>TEXT(ReconciliationData[[#This Row],[Order_Date]],"YYYY-MM")</f>
        <v>2023-07</v>
      </c>
    </row>
    <row r="2989" spans="1:29">
      <c r="A2989" t="s">
        <v>7189</v>
      </c>
      <c r="B2989" s="1">
        <v>45058</v>
      </c>
      <c r="C2989" t="s">
        <v>3193</v>
      </c>
      <c r="D2989" t="s">
        <v>2605</v>
      </c>
      <c r="E2989">
        <v>132</v>
      </c>
      <c r="F2989" t="s">
        <v>7190</v>
      </c>
      <c r="G2989">
        <v>132</v>
      </c>
      <c r="H2989">
        <v>703.97</v>
      </c>
      <c r="N2989">
        <v>703.97</v>
      </c>
      <c r="O2989" s="1">
        <v>45022</v>
      </c>
      <c r="P2989">
        <f>IF(ISBLANK(ReconciliationData[[#This Row],[Invoice_ID]]),1,0)</f>
        <v>0</v>
      </c>
      <c r="Q2989">
        <f>IF(AND(NOT(ISBLANK(ReconciliationData[[#This Row],[Billed_Units]])),ReconciliationData[[#This Row],[ordered_units]]&lt;&gt;ReconciliationData[[#This Row],[Billed_Units]]),1,0)</f>
        <v>0</v>
      </c>
      <c r="R29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89">
        <f>IF(AND(NOT(ISBLANK(ReconciliationData[[#This Row],[Contract_Price]])),ReconciliationData[[#This Row],[Billed_Price]]&lt;&gt;ReconciliationData[[#This Row],[Contract_Price]]),1,0)</f>
        <v>0</v>
      </c>
      <c r="T2989">
        <f>IF(AND(NOT(ISBLANK(ReconciliationData[[#This Row],[End_Date]])),ReconciliationData[[#This Row],[Order_Date]]&gt;ReconciliationData[[#This Row],[End_Date]]),1,0)</f>
        <v>0</v>
      </c>
      <c r="U2989">
        <f>IF(AND(NOT(ISBLANK(ReconciliationData[[#This Row],[last_return_date]])),ReconciliationData[[#This Row],[last_return_date]]&gt;ReconciliationData[[#This Row],[Order_Date]]+60),1,0)</f>
        <v>0</v>
      </c>
      <c r="V2989">
        <f>IF(ReconciliationData[[#This Row],[total_returned_units]]&gt;ReconciliationData[[#This Row],[ordered_units]],1,0)</f>
        <v>0</v>
      </c>
      <c r="W29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89">
        <f>ReconciliationData[[#This Row],[Billed_Units]]*ReconciliationData[[#This Row],[Billed_Price]]</f>
        <v>92924.040000000008</v>
      </c>
      <c r="Y2989">
        <f>ReconciliationData[[#This Row],[ordered_units]]*ReconciliationData[[#This Row],[List_Price]]</f>
        <v>92924.040000000008</v>
      </c>
      <c r="Z2989">
        <f>ReconciliationData[[#This Row],[billed_revenue]]-ReconciliationData[[#This Row],[expected_revenue]]</f>
        <v>0</v>
      </c>
      <c r="AA29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89" t="str">
        <f>IF(ReconciliationData[[#This Row],[severity_score]]=0,"LOW",
 IF(ReconciliationData[[#This Row],[severity_score]]&lt;=5,"MEDIUM","HIGH"))</f>
        <v>LOW</v>
      </c>
      <c r="AC2989" t="str">
        <f>TEXT(ReconciliationData[[#This Row],[Order_Date]],"YYYY-MM")</f>
        <v>2023-05</v>
      </c>
    </row>
    <row r="2990" spans="1:29">
      <c r="A2990" t="s">
        <v>7191</v>
      </c>
      <c r="B2990" s="1">
        <v>44940</v>
      </c>
      <c r="C2990" t="s">
        <v>2884</v>
      </c>
      <c r="D2990" t="s">
        <v>1404</v>
      </c>
      <c r="E2990">
        <v>128</v>
      </c>
      <c r="F2990" t="s">
        <v>7192</v>
      </c>
      <c r="G2990">
        <v>128</v>
      </c>
      <c r="H2990">
        <v>649.86450000000002</v>
      </c>
      <c r="N2990">
        <v>649.86450000000002</v>
      </c>
      <c r="O2990" s="1">
        <v>44914</v>
      </c>
      <c r="P2990">
        <f>IF(ISBLANK(ReconciliationData[[#This Row],[Invoice_ID]]),1,0)</f>
        <v>0</v>
      </c>
      <c r="Q2990">
        <f>IF(AND(NOT(ISBLANK(ReconciliationData[[#This Row],[Billed_Units]])),ReconciliationData[[#This Row],[ordered_units]]&lt;&gt;ReconciliationData[[#This Row],[Billed_Units]]),1,0)</f>
        <v>0</v>
      </c>
      <c r="R29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0">
        <f>IF(AND(NOT(ISBLANK(ReconciliationData[[#This Row],[Contract_Price]])),ReconciliationData[[#This Row],[Billed_Price]]&lt;&gt;ReconciliationData[[#This Row],[Contract_Price]]),1,0)</f>
        <v>0</v>
      </c>
      <c r="T2990">
        <f>IF(AND(NOT(ISBLANK(ReconciliationData[[#This Row],[End_Date]])),ReconciliationData[[#This Row],[Order_Date]]&gt;ReconciliationData[[#This Row],[End_Date]]),1,0)</f>
        <v>0</v>
      </c>
      <c r="U2990">
        <f>IF(AND(NOT(ISBLANK(ReconciliationData[[#This Row],[last_return_date]])),ReconciliationData[[#This Row],[last_return_date]]&gt;ReconciliationData[[#This Row],[Order_Date]]+60),1,0)</f>
        <v>0</v>
      </c>
      <c r="V2990">
        <f>IF(ReconciliationData[[#This Row],[total_returned_units]]&gt;ReconciliationData[[#This Row],[ordered_units]],1,0)</f>
        <v>0</v>
      </c>
      <c r="W29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90">
        <f>ReconciliationData[[#This Row],[Billed_Units]]*ReconciliationData[[#This Row],[Billed_Price]]</f>
        <v>83182.656000000003</v>
      </c>
      <c r="Y2990">
        <f>ReconciliationData[[#This Row],[ordered_units]]*ReconciliationData[[#This Row],[List_Price]]</f>
        <v>83182.656000000003</v>
      </c>
      <c r="Z2990">
        <f>ReconciliationData[[#This Row],[billed_revenue]]-ReconciliationData[[#This Row],[expected_revenue]]</f>
        <v>0</v>
      </c>
      <c r="AA29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90" t="str">
        <f>IF(ReconciliationData[[#This Row],[severity_score]]=0,"LOW",
 IF(ReconciliationData[[#This Row],[severity_score]]&lt;=5,"MEDIUM","HIGH"))</f>
        <v>LOW</v>
      </c>
      <c r="AC2990" t="str">
        <f>TEXT(ReconciliationData[[#This Row],[Order_Date]],"YYYY-MM")</f>
        <v>2023-01</v>
      </c>
    </row>
    <row r="2991" spans="1:29">
      <c r="A2991" t="s">
        <v>7193</v>
      </c>
      <c r="B2991" s="1">
        <v>44942</v>
      </c>
      <c r="C2991" t="s">
        <v>2261</v>
      </c>
      <c r="D2991" t="s">
        <v>667</v>
      </c>
      <c r="E2991">
        <v>186</v>
      </c>
      <c r="F2991" t="s">
        <v>7194</v>
      </c>
      <c r="G2991">
        <v>186</v>
      </c>
      <c r="H2991">
        <v>887.23350000000005</v>
      </c>
      <c r="N2991">
        <v>887.23350000000005</v>
      </c>
      <c r="O2991" s="1">
        <v>44883</v>
      </c>
      <c r="P2991">
        <f>IF(ISBLANK(ReconciliationData[[#This Row],[Invoice_ID]]),1,0)</f>
        <v>0</v>
      </c>
      <c r="Q2991">
        <f>IF(AND(NOT(ISBLANK(ReconciliationData[[#This Row],[Billed_Units]])),ReconciliationData[[#This Row],[ordered_units]]&lt;&gt;ReconciliationData[[#This Row],[Billed_Units]]),1,0)</f>
        <v>0</v>
      </c>
      <c r="R29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1">
        <f>IF(AND(NOT(ISBLANK(ReconciliationData[[#This Row],[Contract_Price]])),ReconciliationData[[#This Row],[Billed_Price]]&lt;&gt;ReconciliationData[[#This Row],[Contract_Price]]),1,0)</f>
        <v>0</v>
      </c>
      <c r="T2991">
        <f>IF(AND(NOT(ISBLANK(ReconciliationData[[#This Row],[End_Date]])),ReconciliationData[[#This Row],[Order_Date]]&gt;ReconciliationData[[#This Row],[End_Date]]),1,0)</f>
        <v>0</v>
      </c>
      <c r="U2991">
        <f>IF(AND(NOT(ISBLANK(ReconciliationData[[#This Row],[last_return_date]])),ReconciliationData[[#This Row],[last_return_date]]&gt;ReconciliationData[[#This Row],[Order_Date]]+60),1,0)</f>
        <v>0</v>
      </c>
      <c r="V2991">
        <f>IF(ReconciliationData[[#This Row],[total_returned_units]]&gt;ReconciliationData[[#This Row],[ordered_units]],1,0)</f>
        <v>0</v>
      </c>
      <c r="W29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91">
        <f>ReconciliationData[[#This Row],[Billed_Units]]*ReconciliationData[[#This Row],[Billed_Price]]</f>
        <v>165025.43100000001</v>
      </c>
      <c r="Y2991">
        <f>ReconciliationData[[#This Row],[ordered_units]]*ReconciliationData[[#This Row],[List_Price]]</f>
        <v>165025.43100000001</v>
      </c>
      <c r="Z2991">
        <f>ReconciliationData[[#This Row],[billed_revenue]]-ReconciliationData[[#This Row],[expected_revenue]]</f>
        <v>0</v>
      </c>
      <c r="AA29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91" t="str">
        <f>IF(ReconciliationData[[#This Row],[severity_score]]=0,"LOW",
 IF(ReconciliationData[[#This Row],[severity_score]]&lt;=5,"MEDIUM","HIGH"))</f>
        <v>LOW</v>
      </c>
      <c r="AC2991" t="str">
        <f>TEXT(ReconciliationData[[#This Row],[Order_Date]],"YYYY-MM")</f>
        <v>2023-01</v>
      </c>
    </row>
    <row r="2992" spans="1:29">
      <c r="A2992" t="s">
        <v>7195</v>
      </c>
      <c r="B2992" s="1">
        <v>45415</v>
      </c>
      <c r="C2992" t="s">
        <v>254</v>
      </c>
      <c r="D2992" t="s">
        <v>3256</v>
      </c>
      <c r="E2992">
        <v>150</v>
      </c>
      <c r="F2992" t="s">
        <v>7196</v>
      </c>
      <c r="G2992">
        <v>154</v>
      </c>
      <c r="H2992">
        <v>1159.732</v>
      </c>
      <c r="N2992">
        <v>1159.732</v>
      </c>
      <c r="O2992" s="1">
        <v>45032</v>
      </c>
      <c r="P2992">
        <f>IF(ISBLANK(ReconciliationData[[#This Row],[Invoice_ID]]),1,0)</f>
        <v>0</v>
      </c>
      <c r="Q2992">
        <f>IF(AND(NOT(ISBLANK(ReconciliationData[[#This Row],[Billed_Units]])),ReconciliationData[[#This Row],[ordered_units]]&lt;&gt;ReconciliationData[[#This Row],[Billed_Units]]),1,0)</f>
        <v>1</v>
      </c>
      <c r="R29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2">
        <f>IF(AND(NOT(ISBLANK(ReconciliationData[[#This Row],[Contract_Price]])),ReconciliationData[[#This Row],[Billed_Price]]&lt;&gt;ReconciliationData[[#This Row],[Contract_Price]]),1,0)</f>
        <v>0</v>
      </c>
      <c r="T2992">
        <f>IF(AND(NOT(ISBLANK(ReconciliationData[[#This Row],[End_Date]])),ReconciliationData[[#This Row],[Order_Date]]&gt;ReconciliationData[[#This Row],[End_Date]]),1,0)</f>
        <v>0</v>
      </c>
      <c r="U2992">
        <f>IF(AND(NOT(ISBLANK(ReconciliationData[[#This Row],[last_return_date]])),ReconciliationData[[#This Row],[last_return_date]]&gt;ReconciliationData[[#This Row],[Order_Date]]+60),1,0)</f>
        <v>0</v>
      </c>
      <c r="V2992">
        <f>IF(ReconciliationData[[#This Row],[total_returned_units]]&gt;ReconciliationData[[#This Row],[ordered_units]],1,0)</f>
        <v>0</v>
      </c>
      <c r="W29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92">
        <f>ReconciliationData[[#This Row],[Billed_Units]]*ReconciliationData[[#This Row],[Billed_Price]]</f>
        <v>178598.728</v>
      </c>
      <c r="Y2992">
        <f>ReconciliationData[[#This Row],[ordered_units]]*ReconciliationData[[#This Row],[List_Price]]</f>
        <v>173959.8</v>
      </c>
      <c r="Z2992">
        <f>ReconciliationData[[#This Row],[billed_revenue]]-ReconciliationData[[#This Row],[expected_revenue]]</f>
        <v>4638.9280000000144</v>
      </c>
      <c r="AA29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2992" t="str">
        <f>IF(ReconciliationData[[#This Row],[severity_score]]=0,"LOW",
 IF(ReconciliationData[[#This Row],[severity_score]]&lt;=5,"MEDIUM","HIGH"))</f>
        <v>HIGH</v>
      </c>
      <c r="AC2992" t="str">
        <f>TEXT(ReconciliationData[[#This Row],[Order_Date]],"YYYY-MM")</f>
        <v>2024-05</v>
      </c>
    </row>
    <row r="2993" spans="1:29">
      <c r="A2993" t="s">
        <v>7197</v>
      </c>
      <c r="B2993" s="1">
        <v>45502</v>
      </c>
      <c r="C2993" t="s">
        <v>943</v>
      </c>
      <c r="D2993" t="s">
        <v>174</v>
      </c>
      <c r="E2993">
        <v>193</v>
      </c>
      <c r="F2993" t="s">
        <v>7198</v>
      </c>
      <c r="G2993">
        <v>193</v>
      </c>
      <c r="H2993">
        <v>461.69279999999998</v>
      </c>
      <c r="N2993">
        <v>461.69279999999998</v>
      </c>
      <c r="O2993" s="1">
        <v>45031</v>
      </c>
      <c r="P2993">
        <f>IF(ISBLANK(ReconciliationData[[#This Row],[Invoice_ID]]),1,0)</f>
        <v>0</v>
      </c>
      <c r="Q2993">
        <f>IF(AND(NOT(ISBLANK(ReconciliationData[[#This Row],[Billed_Units]])),ReconciliationData[[#This Row],[ordered_units]]&lt;&gt;ReconciliationData[[#This Row],[Billed_Units]]),1,0)</f>
        <v>0</v>
      </c>
      <c r="R29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3">
        <f>IF(AND(NOT(ISBLANK(ReconciliationData[[#This Row],[Contract_Price]])),ReconciliationData[[#This Row],[Billed_Price]]&lt;&gt;ReconciliationData[[#This Row],[Contract_Price]]),1,0)</f>
        <v>0</v>
      </c>
      <c r="T2993">
        <f>IF(AND(NOT(ISBLANK(ReconciliationData[[#This Row],[End_Date]])),ReconciliationData[[#This Row],[Order_Date]]&gt;ReconciliationData[[#This Row],[End_Date]]),1,0)</f>
        <v>0</v>
      </c>
      <c r="U2993">
        <f>IF(AND(NOT(ISBLANK(ReconciliationData[[#This Row],[last_return_date]])),ReconciliationData[[#This Row],[last_return_date]]&gt;ReconciliationData[[#This Row],[Order_Date]]+60),1,0)</f>
        <v>0</v>
      </c>
      <c r="V2993">
        <f>IF(ReconciliationData[[#This Row],[total_returned_units]]&gt;ReconciliationData[[#This Row],[ordered_units]],1,0)</f>
        <v>0</v>
      </c>
      <c r="W29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93">
        <f>ReconciliationData[[#This Row],[Billed_Units]]*ReconciliationData[[#This Row],[Billed_Price]]</f>
        <v>89106.710399999996</v>
      </c>
      <c r="Y2993">
        <f>ReconciliationData[[#This Row],[ordered_units]]*ReconciliationData[[#This Row],[List_Price]]</f>
        <v>89106.710399999996</v>
      </c>
      <c r="Z2993">
        <f>ReconciliationData[[#This Row],[billed_revenue]]-ReconciliationData[[#This Row],[expected_revenue]]</f>
        <v>0</v>
      </c>
      <c r="AA29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93" t="str">
        <f>IF(ReconciliationData[[#This Row],[severity_score]]=0,"LOW",
 IF(ReconciliationData[[#This Row],[severity_score]]&lt;=5,"MEDIUM","HIGH"))</f>
        <v>LOW</v>
      </c>
      <c r="AC2993" t="str">
        <f>TEXT(ReconciliationData[[#This Row],[Order_Date]],"YYYY-MM")</f>
        <v>2024-07</v>
      </c>
    </row>
    <row r="2994" spans="1:29">
      <c r="A2994" t="s">
        <v>7199</v>
      </c>
      <c r="B2994" s="1">
        <v>45311</v>
      </c>
      <c r="C2994" t="s">
        <v>7200</v>
      </c>
      <c r="D2994" t="s">
        <v>2568</v>
      </c>
      <c r="E2994">
        <v>63</v>
      </c>
      <c r="F2994" t="s">
        <v>7201</v>
      </c>
      <c r="G2994">
        <v>63</v>
      </c>
      <c r="H2994">
        <v>461.00940000000003</v>
      </c>
      <c r="I2994">
        <v>14</v>
      </c>
      <c r="J2994" s="1">
        <v>45456</v>
      </c>
      <c r="N2994">
        <v>461.00940000000003</v>
      </c>
      <c r="O2994" s="1">
        <v>45036</v>
      </c>
      <c r="P2994">
        <f>IF(ISBLANK(ReconciliationData[[#This Row],[Invoice_ID]]),1,0)</f>
        <v>0</v>
      </c>
      <c r="Q2994">
        <f>IF(AND(NOT(ISBLANK(ReconciliationData[[#This Row],[Billed_Units]])),ReconciliationData[[#This Row],[ordered_units]]&lt;&gt;ReconciliationData[[#This Row],[Billed_Units]]),1,0)</f>
        <v>0</v>
      </c>
      <c r="R29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4">
        <f>IF(AND(NOT(ISBLANK(ReconciliationData[[#This Row],[Contract_Price]])),ReconciliationData[[#This Row],[Billed_Price]]&lt;&gt;ReconciliationData[[#This Row],[Contract_Price]]),1,0)</f>
        <v>0</v>
      </c>
      <c r="T2994">
        <f>IF(AND(NOT(ISBLANK(ReconciliationData[[#This Row],[End_Date]])),ReconciliationData[[#This Row],[Order_Date]]&gt;ReconciliationData[[#This Row],[End_Date]]),1,0)</f>
        <v>0</v>
      </c>
      <c r="U2994">
        <f>IF(AND(NOT(ISBLANK(ReconciliationData[[#This Row],[last_return_date]])),ReconciliationData[[#This Row],[last_return_date]]&gt;ReconciliationData[[#This Row],[Order_Date]]+60),1,0)</f>
        <v>1</v>
      </c>
      <c r="V2994">
        <f>IF(ReconciliationData[[#This Row],[total_returned_units]]&gt;ReconciliationData[[#This Row],[ordered_units]],1,0)</f>
        <v>0</v>
      </c>
      <c r="W29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2994">
        <f>ReconciliationData[[#This Row],[Billed_Units]]*ReconciliationData[[#This Row],[Billed_Price]]</f>
        <v>29043.592200000003</v>
      </c>
      <c r="Y2994">
        <f>ReconciliationData[[#This Row],[ordered_units]]*ReconciliationData[[#This Row],[List_Price]]</f>
        <v>29043.592200000003</v>
      </c>
      <c r="Z2994">
        <f>ReconciliationData[[#This Row],[billed_revenue]]-ReconciliationData[[#This Row],[expected_revenue]]</f>
        <v>0</v>
      </c>
      <c r="AA29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2994" t="str">
        <f>IF(ReconciliationData[[#This Row],[severity_score]]=0,"LOW",
 IF(ReconciliationData[[#This Row],[severity_score]]&lt;=5,"MEDIUM","HIGH"))</f>
        <v>MEDIUM</v>
      </c>
      <c r="AC2994" t="str">
        <f>TEXT(ReconciliationData[[#This Row],[Order_Date]],"YYYY-MM")</f>
        <v>2024-01</v>
      </c>
    </row>
    <row r="2995" spans="1:29">
      <c r="A2995" t="s">
        <v>7202</v>
      </c>
      <c r="B2995" s="1">
        <v>45034</v>
      </c>
      <c r="C2995" t="s">
        <v>3820</v>
      </c>
      <c r="D2995" t="s">
        <v>1057</v>
      </c>
      <c r="E2995">
        <v>69</v>
      </c>
      <c r="F2995" t="s">
        <v>7203</v>
      </c>
      <c r="G2995">
        <v>69</v>
      </c>
      <c r="H2995">
        <v>212.07900000000001</v>
      </c>
      <c r="N2995">
        <v>212.07900000000001</v>
      </c>
      <c r="O2995" s="1">
        <v>44862</v>
      </c>
      <c r="P2995">
        <f>IF(ISBLANK(ReconciliationData[[#This Row],[Invoice_ID]]),1,0)</f>
        <v>0</v>
      </c>
      <c r="Q2995">
        <f>IF(AND(NOT(ISBLANK(ReconciliationData[[#This Row],[Billed_Units]])),ReconciliationData[[#This Row],[ordered_units]]&lt;&gt;ReconciliationData[[#This Row],[Billed_Units]]),1,0)</f>
        <v>0</v>
      </c>
      <c r="R29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5">
        <f>IF(AND(NOT(ISBLANK(ReconciliationData[[#This Row],[Contract_Price]])),ReconciliationData[[#This Row],[Billed_Price]]&lt;&gt;ReconciliationData[[#This Row],[Contract_Price]]),1,0)</f>
        <v>0</v>
      </c>
      <c r="T2995">
        <f>IF(AND(NOT(ISBLANK(ReconciliationData[[#This Row],[End_Date]])),ReconciliationData[[#This Row],[Order_Date]]&gt;ReconciliationData[[#This Row],[End_Date]]),1,0)</f>
        <v>0</v>
      </c>
      <c r="U2995">
        <f>IF(AND(NOT(ISBLANK(ReconciliationData[[#This Row],[last_return_date]])),ReconciliationData[[#This Row],[last_return_date]]&gt;ReconciliationData[[#This Row],[Order_Date]]+60),1,0)</f>
        <v>0</v>
      </c>
      <c r="V2995">
        <f>IF(ReconciliationData[[#This Row],[total_returned_units]]&gt;ReconciliationData[[#This Row],[ordered_units]],1,0)</f>
        <v>0</v>
      </c>
      <c r="W29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95">
        <f>ReconciliationData[[#This Row],[Billed_Units]]*ReconciliationData[[#This Row],[Billed_Price]]</f>
        <v>14633.451000000001</v>
      </c>
      <c r="Y2995">
        <f>ReconciliationData[[#This Row],[ordered_units]]*ReconciliationData[[#This Row],[List_Price]]</f>
        <v>14633.451000000001</v>
      </c>
      <c r="Z2995">
        <f>ReconciliationData[[#This Row],[billed_revenue]]-ReconciliationData[[#This Row],[expected_revenue]]</f>
        <v>0</v>
      </c>
      <c r="AA29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95" t="str">
        <f>IF(ReconciliationData[[#This Row],[severity_score]]=0,"LOW",
 IF(ReconciliationData[[#This Row],[severity_score]]&lt;=5,"MEDIUM","HIGH"))</f>
        <v>LOW</v>
      </c>
      <c r="AC2995" t="str">
        <f>TEXT(ReconciliationData[[#This Row],[Order_Date]],"YYYY-MM")</f>
        <v>2023-04</v>
      </c>
    </row>
    <row r="2996" spans="1:29">
      <c r="A2996" t="s">
        <v>7204</v>
      </c>
      <c r="B2996" s="1">
        <v>45329</v>
      </c>
      <c r="C2996" t="s">
        <v>1372</v>
      </c>
      <c r="D2996" t="s">
        <v>321</v>
      </c>
      <c r="E2996">
        <v>131</v>
      </c>
      <c r="F2996" t="s">
        <v>7205</v>
      </c>
      <c r="G2996">
        <v>131</v>
      </c>
      <c r="H2996">
        <v>169.22900000000001</v>
      </c>
      <c r="N2996">
        <v>169.22900000000001</v>
      </c>
      <c r="O2996" s="1">
        <v>45039</v>
      </c>
      <c r="P2996">
        <f>IF(ISBLANK(ReconciliationData[[#This Row],[Invoice_ID]]),1,0)</f>
        <v>0</v>
      </c>
      <c r="Q2996">
        <f>IF(AND(NOT(ISBLANK(ReconciliationData[[#This Row],[Billed_Units]])),ReconciliationData[[#This Row],[ordered_units]]&lt;&gt;ReconciliationData[[#This Row],[Billed_Units]]),1,0)</f>
        <v>0</v>
      </c>
      <c r="R29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6">
        <f>IF(AND(NOT(ISBLANK(ReconciliationData[[#This Row],[Contract_Price]])),ReconciliationData[[#This Row],[Billed_Price]]&lt;&gt;ReconciliationData[[#This Row],[Contract_Price]]),1,0)</f>
        <v>0</v>
      </c>
      <c r="T2996">
        <f>IF(AND(NOT(ISBLANK(ReconciliationData[[#This Row],[End_Date]])),ReconciliationData[[#This Row],[Order_Date]]&gt;ReconciliationData[[#This Row],[End_Date]]),1,0)</f>
        <v>0</v>
      </c>
      <c r="U2996">
        <f>IF(AND(NOT(ISBLANK(ReconciliationData[[#This Row],[last_return_date]])),ReconciliationData[[#This Row],[last_return_date]]&gt;ReconciliationData[[#This Row],[Order_Date]]+60),1,0)</f>
        <v>0</v>
      </c>
      <c r="V2996">
        <f>IF(ReconciliationData[[#This Row],[total_returned_units]]&gt;ReconciliationData[[#This Row],[ordered_units]],1,0)</f>
        <v>0</v>
      </c>
      <c r="W29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96">
        <f>ReconciliationData[[#This Row],[Billed_Units]]*ReconciliationData[[#This Row],[Billed_Price]]</f>
        <v>22168.999000000003</v>
      </c>
      <c r="Y2996">
        <f>ReconciliationData[[#This Row],[ordered_units]]*ReconciliationData[[#This Row],[List_Price]]</f>
        <v>22168.999000000003</v>
      </c>
      <c r="Z2996">
        <f>ReconciliationData[[#This Row],[billed_revenue]]-ReconciliationData[[#This Row],[expected_revenue]]</f>
        <v>0</v>
      </c>
      <c r="AA29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96" t="str">
        <f>IF(ReconciliationData[[#This Row],[severity_score]]=0,"LOW",
 IF(ReconciliationData[[#This Row],[severity_score]]&lt;=5,"MEDIUM","HIGH"))</f>
        <v>LOW</v>
      </c>
      <c r="AC2996" t="str">
        <f>TEXT(ReconciliationData[[#This Row],[Order_Date]],"YYYY-MM")</f>
        <v>2024-02</v>
      </c>
    </row>
    <row r="2997" spans="1:29">
      <c r="A2997" t="s">
        <v>7206</v>
      </c>
      <c r="B2997" s="1">
        <v>45565</v>
      </c>
      <c r="C2997" t="s">
        <v>6710</v>
      </c>
      <c r="D2997" t="s">
        <v>1470</v>
      </c>
      <c r="E2997">
        <v>145</v>
      </c>
      <c r="F2997" t="s">
        <v>7207</v>
      </c>
      <c r="G2997">
        <v>145</v>
      </c>
      <c r="H2997">
        <v>690.05370000000005</v>
      </c>
      <c r="N2997">
        <v>690.05370000000005</v>
      </c>
      <c r="O2997" s="1">
        <v>44976</v>
      </c>
      <c r="P2997">
        <f>IF(ISBLANK(ReconciliationData[[#This Row],[Invoice_ID]]),1,0)</f>
        <v>0</v>
      </c>
      <c r="Q2997">
        <f>IF(AND(NOT(ISBLANK(ReconciliationData[[#This Row],[Billed_Units]])),ReconciliationData[[#This Row],[ordered_units]]&lt;&gt;ReconciliationData[[#This Row],[Billed_Units]]),1,0)</f>
        <v>0</v>
      </c>
      <c r="R29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7">
        <f>IF(AND(NOT(ISBLANK(ReconciliationData[[#This Row],[Contract_Price]])),ReconciliationData[[#This Row],[Billed_Price]]&lt;&gt;ReconciliationData[[#This Row],[Contract_Price]]),1,0)</f>
        <v>0</v>
      </c>
      <c r="T2997">
        <f>IF(AND(NOT(ISBLANK(ReconciliationData[[#This Row],[End_Date]])),ReconciliationData[[#This Row],[Order_Date]]&gt;ReconciliationData[[#This Row],[End_Date]]),1,0)</f>
        <v>0</v>
      </c>
      <c r="U2997">
        <f>IF(AND(NOT(ISBLANK(ReconciliationData[[#This Row],[last_return_date]])),ReconciliationData[[#This Row],[last_return_date]]&gt;ReconciliationData[[#This Row],[Order_Date]]+60),1,0)</f>
        <v>0</v>
      </c>
      <c r="V2997">
        <f>IF(ReconciliationData[[#This Row],[total_returned_units]]&gt;ReconciliationData[[#This Row],[ordered_units]],1,0)</f>
        <v>0</v>
      </c>
      <c r="W29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97">
        <f>ReconciliationData[[#This Row],[Billed_Units]]*ReconciliationData[[#This Row],[Billed_Price]]</f>
        <v>100057.7865</v>
      </c>
      <c r="Y2997">
        <f>ReconciliationData[[#This Row],[ordered_units]]*ReconciliationData[[#This Row],[List_Price]]</f>
        <v>100057.7865</v>
      </c>
      <c r="Z2997">
        <f>ReconciliationData[[#This Row],[billed_revenue]]-ReconciliationData[[#This Row],[expected_revenue]]</f>
        <v>0</v>
      </c>
      <c r="AA29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97" t="str">
        <f>IF(ReconciliationData[[#This Row],[severity_score]]=0,"LOW",
 IF(ReconciliationData[[#This Row],[severity_score]]&lt;=5,"MEDIUM","HIGH"))</f>
        <v>LOW</v>
      </c>
      <c r="AC2997" t="str">
        <f>TEXT(ReconciliationData[[#This Row],[Order_Date]],"YYYY-MM")</f>
        <v>2024-09</v>
      </c>
    </row>
    <row r="2998" spans="1:29">
      <c r="A2998" t="s">
        <v>7208</v>
      </c>
      <c r="B2998" s="1">
        <v>45043</v>
      </c>
      <c r="C2998" t="s">
        <v>1720</v>
      </c>
      <c r="D2998" t="s">
        <v>912</v>
      </c>
      <c r="E2998">
        <v>188</v>
      </c>
      <c r="F2998" t="s">
        <v>7209</v>
      </c>
      <c r="G2998">
        <v>188</v>
      </c>
      <c r="H2998">
        <v>376.38049999999998</v>
      </c>
      <c r="N2998">
        <v>376.38049999999998</v>
      </c>
      <c r="O2998" s="1">
        <v>44984</v>
      </c>
      <c r="P2998">
        <f>IF(ISBLANK(ReconciliationData[[#This Row],[Invoice_ID]]),1,0)</f>
        <v>0</v>
      </c>
      <c r="Q2998">
        <f>IF(AND(NOT(ISBLANK(ReconciliationData[[#This Row],[Billed_Units]])),ReconciliationData[[#This Row],[ordered_units]]&lt;&gt;ReconciliationData[[#This Row],[Billed_Units]]),1,0)</f>
        <v>0</v>
      </c>
      <c r="R29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8">
        <f>IF(AND(NOT(ISBLANK(ReconciliationData[[#This Row],[Contract_Price]])),ReconciliationData[[#This Row],[Billed_Price]]&lt;&gt;ReconciliationData[[#This Row],[Contract_Price]]),1,0)</f>
        <v>0</v>
      </c>
      <c r="T2998">
        <f>IF(AND(NOT(ISBLANK(ReconciliationData[[#This Row],[End_Date]])),ReconciliationData[[#This Row],[Order_Date]]&gt;ReconciliationData[[#This Row],[End_Date]]),1,0)</f>
        <v>0</v>
      </c>
      <c r="U2998">
        <f>IF(AND(NOT(ISBLANK(ReconciliationData[[#This Row],[last_return_date]])),ReconciliationData[[#This Row],[last_return_date]]&gt;ReconciliationData[[#This Row],[Order_Date]]+60),1,0)</f>
        <v>0</v>
      </c>
      <c r="V2998">
        <f>IF(ReconciliationData[[#This Row],[total_returned_units]]&gt;ReconciliationData[[#This Row],[ordered_units]],1,0)</f>
        <v>0</v>
      </c>
      <c r="W29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98">
        <f>ReconciliationData[[#This Row],[Billed_Units]]*ReconciliationData[[#This Row],[Billed_Price]]</f>
        <v>70759.534</v>
      </c>
      <c r="Y2998">
        <f>ReconciliationData[[#This Row],[ordered_units]]*ReconciliationData[[#This Row],[List_Price]]</f>
        <v>70759.534</v>
      </c>
      <c r="Z2998">
        <f>ReconciliationData[[#This Row],[billed_revenue]]-ReconciliationData[[#This Row],[expected_revenue]]</f>
        <v>0</v>
      </c>
      <c r="AA29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98" t="str">
        <f>IF(ReconciliationData[[#This Row],[severity_score]]=0,"LOW",
 IF(ReconciliationData[[#This Row],[severity_score]]&lt;=5,"MEDIUM","HIGH"))</f>
        <v>LOW</v>
      </c>
      <c r="AC2998" t="str">
        <f>TEXT(ReconciliationData[[#This Row],[Order_Date]],"YYYY-MM")</f>
        <v>2023-04</v>
      </c>
    </row>
    <row r="2999" spans="1:29">
      <c r="A2999" t="s">
        <v>7210</v>
      </c>
      <c r="B2999" s="1">
        <v>45125</v>
      </c>
      <c r="C2999" t="s">
        <v>2809</v>
      </c>
      <c r="D2999" t="s">
        <v>969</v>
      </c>
      <c r="E2999">
        <v>47</v>
      </c>
      <c r="F2999" t="s">
        <v>7211</v>
      </c>
      <c r="G2999">
        <v>47</v>
      </c>
      <c r="H2999">
        <v>991.99</v>
      </c>
      <c r="N2999">
        <v>991.99</v>
      </c>
      <c r="O2999" s="1">
        <v>44976</v>
      </c>
      <c r="P2999">
        <f>IF(ISBLANK(ReconciliationData[[#This Row],[Invoice_ID]]),1,0)</f>
        <v>0</v>
      </c>
      <c r="Q2999">
        <f>IF(AND(NOT(ISBLANK(ReconciliationData[[#This Row],[Billed_Units]])),ReconciliationData[[#This Row],[ordered_units]]&lt;&gt;ReconciliationData[[#This Row],[Billed_Units]]),1,0)</f>
        <v>0</v>
      </c>
      <c r="R29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2999">
        <f>IF(AND(NOT(ISBLANK(ReconciliationData[[#This Row],[Contract_Price]])),ReconciliationData[[#This Row],[Billed_Price]]&lt;&gt;ReconciliationData[[#This Row],[Contract_Price]]),1,0)</f>
        <v>0</v>
      </c>
      <c r="T2999">
        <f>IF(AND(NOT(ISBLANK(ReconciliationData[[#This Row],[End_Date]])),ReconciliationData[[#This Row],[Order_Date]]&gt;ReconciliationData[[#This Row],[End_Date]]),1,0)</f>
        <v>0</v>
      </c>
      <c r="U2999">
        <f>IF(AND(NOT(ISBLANK(ReconciliationData[[#This Row],[last_return_date]])),ReconciliationData[[#This Row],[last_return_date]]&gt;ReconciliationData[[#This Row],[Order_Date]]+60),1,0)</f>
        <v>0</v>
      </c>
      <c r="V2999">
        <f>IF(ReconciliationData[[#This Row],[total_returned_units]]&gt;ReconciliationData[[#This Row],[ordered_units]],1,0)</f>
        <v>0</v>
      </c>
      <c r="W29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2999">
        <f>ReconciliationData[[#This Row],[Billed_Units]]*ReconciliationData[[#This Row],[Billed_Price]]</f>
        <v>46623.53</v>
      </c>
      <c r="Y2999">
        <f>ReconciliationData[[#This Row],[ordered_units]]*ReconciliationData[[#This Row],[List_Price]]</f>
        <v>46623.53</v>
      </c>
      <c r="Z2999">
        <f>ReconciliationData[[#This Row],[billed_revenue]]-ReconciliationData[[#This Row],[expected_revenue]]</f>
        <v>0</v>
      </c>
      <c r="AA29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2999" t="str">
        <f>IF(ReconciliationData[[#This Row],[severity_score]]=0,"LOW",
 IF(ReconciliationData[[#This Row],[severity_score]]&lt;=5,"MEDIUM","HIGH"))</f>
        <v>LOW</v>
      </c>
      <c r="AC2999" t="str">
        <f>TEXT(ReconciliationData[[#This Row],[Order_Date]],"YYYY-MM")</f>
        <v>2023-07</v>
      </c>
    </row>
    <row r="3000" spans="1:29">
      <c r="A3000" t="s">
        <v>7212</v>
      </c>
      <c r="B3000" s="1">
        <v>45230</v>
      </c>
      <c r="C3000" t="s">
        <v>4158</v>
      </c>
      <c r="D3000" t="s">
        <v>768</v>
      </c>
      <c r="E3000">
        <v>190</v>
      </c>
      <c r="F3000" t="s">
        <v>7213</v>
      </c>
      <c r="G3000">
        <v>190</v>
      </c>
      <c r="H3000">
        <v>410.02</v>
      </c>
      <c r="N3000">
        <v>410.02</v>
      </c>
      <c r="O3000" s="1">
        <v>45017</v>
      </c>
      <c r="P3000">
        <f>IF(ISBLANK(ReconciliationData[[#This Row],[Invoice_ID]]),1,0)</f>
        <v>0</v>
      </c>
      <c r="Q3000">
        <f>IF(AND(NOT(ISBLANK(ReconciliationData[[#This Row],[Billed_Units]])),ReconciliationData[[#This Row],[ordered_units]]&lt;&gt;ReconciliationData[[#This Row],[Billed_Units]]),1,0)</f>
        <v>0</v>
      </c>
      <c r="R30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0">
        <f>IF(AND(NOT(ISBLANK(ReconciliationData[[#This Row],[Contract_Price]])),ReconciliationData[[#This Row],[Billed_Price]]&lt;&gt;ReconciliationData[[#This Row],[Contract_Price]]),1,0)</f>
        <v>0</v>
      </c>
      <c r="T3000">
        <f>IF(AND(NOT(ISBLANK(ReconciliationData[[#This Row],[End_Date]])),ReconciliationData[[#This Row],[Order_Date]]&gt;ReconciliationData[[#This Row],[End_Date]]),1,0)</f>
        <v>0</v>
      </c>
      <c r="U3000">
        <f>IF(AND(NOT(ISBLANK(ReconciliationData[[#This Row],[last_return_date]])),ReconciliationData[[#This Row],[last_return_date]]&gt;ReconciliationData[[#This Row],[Order_Date]]+60),1,0)</f>
        <v>0</v>
      </c>
      <c r="V3000">
        <f>IF(ReconciliationData[[#This Row],[total_returned_units]]&gt;ReconciliationData[[#This Row],[ordered_units]],1,0)</f>
        <v>0</v>
      </c>
      <c r="W30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00">
        <f>ReconciliationData[[#This Row],[Billed_Units]]*ReconciliationData[[#This Row],[Billed_Price]]</f>
        <v>77903.8</v>
      </c>
      <c r="Y3000">
        <f>ReconciliationData[[#This Row],[ordered_units]]*ReconciliationData[[#This Row],[List_Price]]</f>
        <v>77903.8</v>
      </c>
      <c r="Z3000">
        <f>ReconciliationData[[#This Row],[billed_revenue]]-ReconciliationData[[#This Row],[expected_revenue]]</f>
        <v>0</v>
      </c>
      <c r="AA30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00" t="str">
        <f>IF(ReconciliationData[[#This Row],[severity_score]]=0,"LOW",
 IF(ReconciliationData[[#This Row],[severity_score]]&lt;=5,"MEDIUM","HIGH"))</f>
        <v>LOW</v>
      </c>
      <c r="AC3000" t="str">
        <f>TEXT(ReconciliationData[[#This Row],[Order_Date]],"YYYY-MM")</f>
        <v>2023-10</v>
      </c>
    </row>
    <row r="3001" spans="1:29">
      <c r="A3001" t="s">
        <v>7214</v>
      </c>
      <c r="B3001" s="1">
        <v>45523</v>
      </c>
      <c r="C3001" t="s">
        <v>5876</v>
      </c>
      <c r="D3001" t="s">
        <v>753</v>
      </c>
      <c r="E3001">
        <v>98</v>
      </c>
      <c r="F3001" t="s">
        <v>7215</v>
      </c>
      <c r="G3001">
        <v>98</v>
      </c>
      <c r="H3001">
        <v>741.88620000000003</v>
      </c>
      <c r="N3001">
        <v>741.88620000000003</v>
      </c>
      <c r="O3001" s="1">
        <v>44930</v>
      </c>
      <c r="P3001">
        <f>IF(ISBLANK(ReconciliationData[[#This Row],[Invoice_ID]]),1,0)</f>
        <v>0</v>
      </c>
      <c r="Q3001">
        <f>IF(AND(NOT(ISBLANK(ReconciliationData[[#This Row],[Billed_Units]])),ReconciliationData[[#This Row],[ordered_units]]&lt;&gt;ReconciliationData[[#This Row],[Billed_Units]]),1,0)</f>
        <v>0</v>
      </c>
      <c r="R30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1">
        <f>IF(AND(NOT(ISBLANK(ReconciliationData[[#This Row],[Contract_Price]])),ReconciliationData[[#This Row],[Billed_Price]]&lt;&gt;ReconciliationData[[#This Row],[Contract_Price]]),1,0)</f>
        <v>0</v>
      </c>
      <c r="T3001">
        <f>IF(AND(NOT(ISBLANK(ReconciliationData[[#This Row],[End_Date]])),ReconciliationData[[#This Row],[Order_Date]]&gt;ReconciliationData[[#This Row],[End_Date]]),1,0)</f>
        <v>0</v>
      </c>
      <c r="U3001">
        <f>IF(AND(NOT(ISBLANK(ReconciliationData[[#This Row],[last_return_date]])),ReconciliationData[[#This Row],[last_return_date]]&gt;ReconciliationData[[#This Row],[Order_Date]]+60),1,0)</f>
        <v>0</v>
      </c>
      <c r="V3001">
        <f>IF(ReconciliationData[[#This Row],[total_returned_units]]&gt;ReconciliationData[[#This Row],[ordered_units]],1,0)</f>
        <v>0</v>
      </c>
      <c r="W30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01">
        <f>ReconciliationData[[#This Row],[Billed_Units]]*ReconciliationData[[#This Row],[Billed_Price]]</f>
        <v>72704.847600000008</v>
      </c>
      <c r="Y3001">
        <f>ReconciliationData[[#This Row],[ordered_units]]*ReconciliationData[[#This Row],[List_Price]]</f>
        <v>72704.847600000008</v>
      </c>
      <c r="Z3001">
        <f>ReconciliationData[[#This Row],[billed_revenue]]-ReconciliationData[[#This Row],[expected_revenue]]</f>
        <v>0</v>
      </c>
      <c r="AA30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01" t="str">
        <f>IF(ReconciliationData[[#This Row],[severity_score]]=0,"LOW",
 IF(ReconciliationData[[#This Row],[severity_score]]&lt;=5,"MEDIUM","HIGH"))</f>
        <v>LOW</v>
      </c>
      <c r="AC3001" t="str">
        <f>TEXT(ReconciliationData[[#This Row],[Order_Date]],"YYYY-MM")</f>
        <v>2024-08</v>
      </c>
    </row>
    <row r="3002" spans="1:29">
      <c r="A3002" t="s">
        <v>7216</v>
      </c>
      <c r="B3002" s="1">
        <v>45295</v>
      </c>
      <c r="C3002" t="s">
        <v>1155</v>
      </c>
      <c r="D3002" t="s">
        <v>178</v>
      </c>
      <c r="E3002">
        <v>197</v>
      </c>
      <c r="F3002" t="s">
        <v>7217</v>
      </c>
      <c r="G3002">
        <v>197</v>
      </c>
      <c r="H3002">
        <v>687.65840000000003</v>
      </c>
      <c r="N3002">
        <v>687.65840000000003</v>
      </c>
      <c r="O3002" s="1">
        <v>45139</v>
      </c>
      <c r="P3002">
        <f>IF(ISBLANK(ReconciliationData[[#This Row],[Invoice_ID]]),1,0)</f>
        <v>0</v>
      </c>
      <c r="Q3002">
        <f>IF(AND(NOT(ISBLANK(ReconciliationData[[#This Row],[Billed_Units]])),ReconciliationData[[#This Row],[ordered_units]]&lt;&gt;ReconciliationData[[#This Row],[Billed_Units]]),1,0)</f>
        <v>0</v>
      </c>
      <c r="R30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2">
        <f>IF(AND(NOT(ISBLANK(ReconciliationData[[#This Row],[Contract_Price]])),ReconciliationData[[#This Row],[Billed_Price]]&lt;&gt;ReconciliationData[[#This Row],[Contract_Price]]),1,0)</f>
        <v>0</v>
      </c>
      <c r="T3002">
        <f>IF(AND(NOT(ISBLANK(ReconciliationData[[#This Row],[End_Date]])),ReconciliationData[[#This Row],[Order_Date]]&gt;ReconciliationData[[#This Row],[End_Date]]),1,0)</f>
        <v>0</v>
      </c>
      <c r="U3002">
        <f>IF(AND(NOT(ISBLANK(ReconciliationData[[#This Row],[last_return_date]])),ReconciliationData[[#This Row],[last_return_date]]&gt;ReconciliationData[[#This Row],[Order_Date]]+60),1,0)</f>
        <v>0</v>
      </c>
      <c r="V3002">
        <f>IF(ReconciliationData[[#This Row],[total_returned_units]]&gt;ReconciliationData[[#This Row],[ordered_units]],1,0)</f>
        <v>0</v>
      </c>
      <c r="W30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02">
        <f>ReconciliationData[[#This Row],[Billed_Units]]*ReconciliationData[[#This Row],[Billed_Price]]</f>
        <v>135468.70480000001</v>
      </c>
      <c r="Y3002">
        <f>ReconciliationData[[#This Row],[ordered_units]]*ReconciliationData[[#This Row],[List_Price]]</f>
        <v>135468.70480000001</v>
      </c>
      <c r="Z3002">
        <f>ReconciliationData[[#This Row],[billed_revenue]]-ReconciliationData[[#This Row],[expected_revenue]]</f>
        <v>0</v>
      </c>
      <c r="AA30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02" t="str">
        <f>IF(ReconciliationData[[#This Row],[severity_score]]=0,"LOW",
 IF(ReconciliationData[[#This Row],[severity_score]]&lt;=5,"MEDIUM","HIGH"))</f>
        <v>LOW</v>
      </c>
      <c r="AC3002" t="str">
        <f>TEXT(ReconciliationData[[#This Row],[Order_Date]],"YYYY-MM")</f>
        <v>2024-01</v>
      </c>
    </row>
    <row r="3003" spans="1:29">
      <c r="A3003" t="s">
        <v>7218</v>
      </c>
      <c r="B3003" s="1">
        <v>45185</v>
      </c>
      <c r="C3003" t="s">
        <v>1747</v>
      </c>
      <c r="D3003" t="s">
        <v>216</v>
      </c>
      <c r="E3003">
        <v>143</v>
      </c>
      <c r="F3003" t="s">
        <v>7219</v>
      </c>
      <c r="G3003">
        <v>143</v>
      </c>
      <c r="H3003">
        <v>1046.6099999999999</v>
      </c>
      <c r="N3003">
        <v>1046.6099999999999</v>
      </c>
      <c r="O3003" s="1">
        <v>44940</v>
      </c>
      <c r="P3003">
        <f>IF(ISBLANK(ReconciliationData[[#This Row],[Invoice_ID]]),1,0)</f>
        <v>0</v>
      </c>
      <c r="Q3003">
        <f>IF(AND(NOT(ISBLANK(ReconciliationData[[#This Row],[Billed_Units]])),ReconciliationData[[#This Row],[ordered_units]]&lt;&gt;ReconciliationData[[#This Row],[Billed_Units]]),1,0)</f>
        <v>0</v>
      </c>
      <c r="R30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3">
        <f>IF(AND(NOT(ISBLANK(ReconciliationData[[#This Row],[Contract_Price]])),ReconciliationData[[#This Row],[Billed_Price]]&lt;&gt;ReconciliationData[[#This Row],[Contract_Price]]),1,0)</f>
        <v>0</v>
      </c>
      <c r="T3003">
        <f>IF(AND(NOT(ISBLANK(ReconciliationData[[#This Row],[End_Date]])),ReconciliationData[[#This Row],[Order_Date]]&gt;ReconciliationData[[#This Row],[End_Date]]),1,0)</f>
        <v>0</v>
      </c>
      <c r="U3003">
        <f>IF(AND(NOT(ISBLANK(ReconciliationData[[#This Row],[last_return_date]])),ReconciliationData[[#This Row],[last_return_date]]&gt;ReconciliationData[[#This Row],[Order_Date]]+60),1,0)</f>
        <v>0</v>
      </c>
      <c r="V3003">
        <f>IF(ReconciliationData[[#This Row],[total_returned_units]]&gt;ReconciliationData[[#This Row],[ordered_units]],1,0)</f>
        <v>0</v>
      </c>
      <c r="W30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03">
        <f>ReconciliationData[[#This Row],[Billed_Units]]*ReconciliationData[[#This Row],[Billed_Price]]</f>
        <v>149665.22999999998</v>
      </c>
      <c r="Y3003">
        <f>ReconciliationData[[#This Row],[ordered_units]]*ReconciliationData[[#This Row],[List_Price]]</f>
        <v>149665.22999999998</v>
      </c>
      <c r="Z3003">
        <f>ReconciliationData[[#This Row],[billed_revenue]]-ReconciliationData[[#This Row],[expected_revenue]]</f>
        <v>0</v>
      </c>
      <c r="AA30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03" t="str">
        <f>IF(ReconciliationData[[#This Row],[severity_score]]=0,"LOW",
 IF(ReconciliationData[[#This Row],[severity_score]]&lt;=5,"MEDIUM","HIGH"))</f>
        <v>LOW</v>
      </c>
      <c r="AC3003" t="str">
        <f>TEXT(ReconciliationData[[#This Row],[Order_Date]],"YYYY-MM")</f>
        <v>2023-09</v>
      </c>
    </row>
    <row r="3004" spans="1:29">
      <c r="A3004" t="s">
        <v>7220</v>
      </c>
      <c r="B3004" s="1">
        <v>45156</v>
      </c>
      <c r="C3004" t="s">
        <v>2034</v>
      </c>
      <c r="D3004" t="s">
        <v>1525</v>
      </c>
      <c r="E3004">
        <v>48</v>
      </c>
      <c r="F3004" t="s">
        <v>7221</v>
      </c>
      <c r="G3004">
        <v>48</v>
      </c>
      <c r="H3004">
        <v>1067.6925000000001</v>
      </c>
      <c r="N3004">
        <v>1067.6925000000001</v>
      </c>
      <c r="O3004" s="1">
        <v>44999</v>
      </c>
      <c r="P3004">
        <f>IF(ISBLANK(ReconciliationData[[#This Row],[Invoice_ID]]),1,0)</f>
        <v>0</v>
      </c>
      <c r="Q3004">
        <f>IF(AND(NOT(ISBLANK(ReconciliationData[[#This Row],[Billed_Units]])),ReconciliationData[[#This Row],[ordered_units]]&lt;&gt;ReconciliationData[[#This Row],[Billed_Units]]),1,0)</f>
        <v>0</v>
      </c>
      <c r="R30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4">
        <f>IF(AND(NOT(ISBLANK(ReconciliationData[[#This Row],[Contract_Price]])),ReconciliationData[[#This Row],[Billed_Price]]&lt;&gt;ReconciliationData[[#This Row],[Contract_Price]]),1,0)</f>
        <v>0</v>
      </c>
      <c r="T3004">
        <f>IF(AND(NOT(ISBLANK(ReconciliationData[[#This Row],[End_Date]])),ReconciliationData[[#This Row],[Order_Date]]&gt;ReconciliationData[[#This Row],[End_Date]]),1,0)</f>
        <v>0</v>
      </c>
      <c r="U3004">
        <f>IF(AND(NOT(ISBLANK(ReconciliationData[[#This Row],[last_return_date]])),ReconciliationData[[#This Row],[last_return_date]]&gt;ReconciliationData[[#This Row],[Order_Date]]+60),1,0)</f>
        <v>0</v>
      </c>
      <c r="V3004">
        <f>IF(ReconciliationData[[#This Row],[total_returned_units]]&gt;ReconciliationData[[#This Row],[ordered_units]],1,0)</f>
        <v>0</v>
      </c>
      <c r="W30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04">
        <f>ReconciliationData[[#This Row],[Billed_Units]]*ReconciliationData[[#This Row],[Billed_Price]]</f>
        <v>51249.240000000005</v>
      </c>
      <c r="Y3004">
        <f>ReconciliationData[[#This Row],[ordered_units]]*ReconciliationData[[#This Row],[List_Price]]</f>
        <v>51249.240000000005</v>
      </c>
      <c r="Z3004">
        <f>ReconciliationData[[#This Row],[billed_revenue]]-ReconciliationData[[#This Row],[expected_revenue]]</f>
        <v>0</v>
      </c>
      <c r="AA30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04" t="str">
        <f>IF(ReconciliationData[[#This Row],[severity_score]]=0,"LOW",
 IF(ReconciliationData[[#This Row],[severity_score]]&lt;=5,"MEDIUM","HIGH"))</f>
        <v>LOW</v>
      </c>
      <c r="AC3004" t="str">
        <f>TEXT(ReconciliationData[[#This Row],[Order_Date]],"YYYY-MM")</f>
        <v>2023-08</v>
      </c>
    </row>
    <row r="3005" spans="1:29">
      <c r="A3005" t="s">
        <v>7222</v>
      </c>
      <c r="B3005" s="1">
        <v>45642</v>
      </c>
      <c r="C3005" t="s">
        <v>2367</v>
      </c>
      <c r="D3005" t="s">
        <v>134</v>
      </c>
      <c r="E3005">
        <v>160</v>
      </c>
      <c r="F3005" t="s">
        <v>7223</v>
      </c>
      <c r="G3005">
        <v>155</v>
      </c>
      <c r="H3005">
        <v>446.4905</v>
      </c>
      <c r="N3005">
        <v>446.4905</v>
      </c>
      <c r="O3005" s="1">
        <v>45161</v>
      </c>
      <c r="P3005">
        <f>IF(ISBLANK(ReconciliationData[[#This Row],[Invoice_ID]]),1,0)</f>
        <v>0</v>
      </c>
      <c r="Q3005">
        <f>IF(AND(NOT(ISBLANK(ReconciliationData[[#This Row],[Billed_Units]])),ReconciliationData[[#This Row],[ordered_units]]&lt;&gt;ReconciliationData[[#This Row],[Billed_Units]]),1,0)</f>
        <v>1</v>
      </c>
      <c r="R30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5">
        <f>IF(AND(NOT(ISBLANK(ReconciliationData[[#This Row],[Contract_Price]])),ReconciliationData[[#This Row],[Billed_Price]]&lt;&gt;ReconciliationData[[#This Row],[Contract_Price]]),1,0)</f>
        <v>0</v>
      </c>
      <c r="T3005">
        <f>IF(AND(NOT(ISBLANK(ReconciliationData[[#This Row],[End_Date]])),ReconciliationData[[#This Row],[Order_Date]]&gt;ReconciliationData[[#This Row],[End_Date]]),1,0)</f>
        <v>0</v>
      </c>
      <c r="U3005">
        <f>IF(AND(NOT(ISBLANK(ReconciliationData[[#This Row],[last_return_date]])),ReconciliationData[[#This Row],[last_return_date]]&gt;ReconciliationData[[#This Row],[Order_Date]]+60),1,0)</f>
        <v>0</v>
      </c>
      <c r="V3005">
        <f>IF(ReconciliationData[[#This Row],[total_returned_units]]&gt;ReconciliationData[[#This Row],[ordered_units]],1,0)</f>
        <v>0</v>
      </c>
      <c r="W30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05">
        <f>ReconciliationData[[#This Row],[Billed_Units]]*ReconciliationData[[#This Row],[Billed_Price]]</f>
        <v>69206.027499999997</v>
      </c>
      <c r="Y3005">
        <f>ReconciliationData[[#This Row],[ordered_units]]*ReconciliationData[[#This Row],[List_Price]]</f>
        <v>71438.48</v>
      </c>
      <c r="Z3005">
        <f>ReconciliationData[[#This Row],[billed_revenue]]-ReconciliationData[[#This Row],[expected_revenue]]</f>
        <v>-2232.4524999999994</v>
      </c>
      <c r="AA30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005" t="str">
        <f>IF(ReconciliationData[[#This Row],[severity_score]]=0,"LOW",
 IF(ReconciliationData[[#This Row],[severity_score]]&lt;=5,"MEDIUM","HIGH"))</f>
        <v>HIGH</v>
      </c>
      <c r="AC3005" t="str">
        <f>TEXT(ReconciliationData[[#This Row],[Order_Date]],"YYYY-MM")</f>
        <v>2024-12</v>
      </c>
    </row>
    <row r="3006" spans="1:29">
      <c r="A3006" t="s">
        <v>7224</v>
      </c>
      <c r="B3006" s="1">
        <v>45168</v>
      </c>
      <c r="C3006" t="s">
        <v>714</v>
      </c>
      <c r="D3006" t="s">
        <v>267</v>
      </c>
      <c r="E3006">
        <v>71</v>
      </c>
      <c r="F3006" t="s">
        <v>7225</v>
      </c>
      <c r="G3006">
        <v>71</v>
      </c>
      <c r="H3006">
        <v>973.43799999999999</v>
      </c>
      <c r="N3006">
        <v>973.43799999999999</v>
      </c>
      <c r="O3006" s="1">
        <v>45011</v>
      </c>
      <c r="P3006">
        <f>IF(ISBLANK(ReconciliationData[[#This Row],[Invoice_ID]]),1,0)</f>
        <v>0</v>
      </c>
      <c r="Q3006">
        <f>IF(AND(NOT(ISBLANK(ReconciliationData[[#This Row],[Billed_Units]])),ReconciliationData[[#This Row],[ordered_units]]&lt;&gt;ReconciliationData[[#This Row],[Billed_Units]]),1,0)</f>
        <v>0</v>
      </c>
      <c r="R30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6">
        <f>IF(AND(NOT(ISBLANK(ReconciliationData[[#This Row],[Contract_Price]])),ReconciliationData[[#This Row],[Billed_Price]]&lt;&gt;ReconciliationData[[#This Row],[Contract_Price]]),1,0)</f>
        <v>0</v>
      </c>
      <c r="T3006">
        <f>IF(AND(NOT(ISBLANK(ReconciliationData[[#This Row],[End_Date]])),ReconciliationData[[#This Row],[Order_Date]]&gt;ReconciliationData[[#This Row],[End_Date]]),1,0)</f>
        <v>0</v>
      </c>
      <c r="U3006">
        <f>IF(AND(NOT(ISBLANK(ReconciliationData[[#This Row],[last_return_date]])),ReconciliationData[[#This Row],[last_return_date]]&gt;ReconciliationData[[#This Row],[Order_Date]]+60),1,0)</f>
        <v>0</v>
      </c>
      <c r="V3006">
        <f>IF(ReconciliationData[[#This Row],[total_returned_units]]&gt;ReconciliationData[[#This Row],[ordered_units]],1,0)</f>
        <v>0</v>
      </c>
      <c r="W30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06">
        <f>ReconciliationData[[#This Row],[Billed_Units]]*ReconciliationData[[#This Row],[Billed_Price]]</f>
        <v>69114.097999999998</v>
      </c>
      <c r="Y3006">
        <f>ReconciliationData[[#This Row],[ordered_units]]*ReconciliationData[[#This Row],[List_Price]]</f>
        <v>69114.097999999998</v>
      </c>
      <c r="Z3006">
        <f>ReconciliationData[[#This Row],[billed_revenue]]-ReconciliationData[[#This Row],[expected_revenue]]</f>
        <v>0</v>
      </c>
      <c r="AA30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06" t="str">
        <f>IF(ReconciliationData[[#This Row],[severity_score]]=0,"LOW",
 IF(ReconciliationData[[#This Row],[severity_score]]&lt;=5,"MEDIUM","HIGH"))</f>
        <v>LOW</v>
      </c>
      <c r="AC3006" t="str">
        <f>TEXT(ReconciliationData[[#This Row],[Order_Date]],"YYYY-MM")</f>
        <v>2023-08</v>
      </c>
    </row>
    <row r="3007" spans="1:29">
      <c r="A3007" t="s">
        <v>7226</v>
      </c>
      <c r="B3007" s="1">
        <v>45615</v>
      </c>
      <c r="C3007" t="s">
        <v>1990</v>
      </c>
      <c r="D3007" t="s">
        <v>1175</v>
      </c>
      <c r="E3007">
        <v>170</v>
      </c>
      <c r="F3007" t="s">
        <v>7227</v>
      </c>
      <c r="G3007">
        <v>170</v>
      </c>
      <c r="H3007">
        <v>589.66600000000005</v>
      </c>
      <c r="N3007">
        <v>589.66600000000005</v>
      </c>
      <c r="O3007" s="1">
        <v>45218</v>
      </c>
      <c r="P3007">
        <f>IF(ISBLANK(ReconciliationData[[#This Row],[Invoice_ID]]),1,0)</f>
        <v>0</v>
      </c>
      <c r="Q3007">
        <f>IF(AND(NOT(ISBLANK(ReconciliationData[[#This Row],[Billed_Units]])),ReconciliationData[[#This Row],[ordered_units]]&lt;&gt;ReconciliationData[[#This Row],[Billed_Units]]),1,0)</f>
        <v>0</v>
      </c>
      <c r="R30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7">
        <f>IF(AND(NOT(ISBLANK(ReconciliationData[[#This Row],[Contract_Price]])),ReconciliationData[[#This Row],[Billed_Price]]&lt;&gt;ReconciliationData[[#This Row],[Contract_Price]]),1,0)</f>
        <v>0</v>
      </c>
      <c r="T3007">
        <f>IF(AND(NOT(ISBLANK(ReconciliationData[[#This Row],[End_Date]])),ReconciliationData[[#This Row],[Order_Date]]&gt;ReconciliationData[[#This Row],[End_Date]]),1,0)</f>
        <v>0</v>
      </c>
      <c r="U3007">
        <f>IF(AND(NOT(ISBLANK(ReconciliationData[[#This Row],[last_return_date]])),ReconciliationData[[#This Row],[last_return_date]]&gt;ReconciliationData[[#This Row],[Order_Date]]+60),1,0)</f>
        <v>0</v>
      </c>
      <c r="V3007">
        <f>IF(ReconciliationData[[#This Row],[total_returned_units]]&gt;ReconciliationData[[#This Row],[ordered_units]],1,0)</f>
        <v>0</v>
      </c>
      <c r="W30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07">
        <f>ReconciliationData[[#This Row],[Billed_Units]]*ReconciliationData[[#This Row],[Billed_Price]]</f>
        <v>100243.22000000002</v>
      </c>
      <c r="Y3007">
        <f>ReconciliationData[[#This Row],[ordered_units]]*ReconciliationData[[#This Row],[List_Price]]</f>
        <v>100243.22000000002</v>
      </c>
      <c r="Z3007">
        <f>ReconciliationData[[#This Row],[billed_revenue]]-ReconciliationData[[#This Row],[expected_revenue]]</f>
        <v>0</v>
      </c>
      <c r="AA30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07" t="str">
        <f>IF(ReconciliationData[[#This Row],[severity_score]]=0,"LOW",
 IF(ReconciliationData[[#This Row],[severity_score]]&lt;=5,"MEDIUM","HIGH"))</f>
        <v>LOW</v>
      </c>
      <c r="AC3007" t="str">
        <f>TEXT(ReconciliationData[[#This Row],[Order_Date]],"YYYY-MM")</f>
        <v>2024-11</v>
      </c>
    </row>
    <row r="3008" spans="1:29">
      <c r="A3008" t="s">
        <v>7228</v>
      </c>
      <c r="B3008" s="1">
        <v>45330</v>
      </c>
      <c r="C3008" t="s">
        <v>478</v>
      </c>
      <c r="D3008" t="s">
        <v>604</v>
      </c>
      <c r="E3008">
        <v>31</v>
      </c>
      <c r="F3008" t="s">
        <v>7229</v>
      </c>
      <c r="G3008">
        <v>31</v>
      </c>
      <c r="H3008">
        <v>1072.5387000000001</v>
      </c>
      <c r="N3008">
        <v>1072.5387000000001</v>
      </c>
      <c r="O3008" s="1">
        <v>45023</v>
      </c>
      <c r="P3008">
        <f>IF(ISBLANK(ReconciliationData[[#This Row],[Invoice_ID]]),1,0)</f>
        <v>0</v>
      </c>
      <c r="Q3008">
        <f>IF(AND(NOT(ISBLANK(ReconciliationData[[#This Row],[Billed_Units]])),ReconciliationData[[#This Row],[ordered_units]]&lt;&gt;ReconciliationData[[#This Row],[Billed_Units]]),1,0)</f>
        <v>0</v>
      </c>
      <c r="R30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8">
        <f>IF(AND(NOT(ISBLANK(ReconciliationData[[#This Row],[Contract_Price]])),ReconciliationData[[#This Row],[Billed_Price]]&lt;&gt;ReconciliationData[[#This Row],[Contract_Price]]),1,0)</f>
        <v>0</v>
      </c>
      <c r="T3008">
        <f>IF(AND(NOT(ISBLANK(ReconciliationData[[#This Row],[End_Date]])),ReconciliationData[[#This Row],[Order_Date]]&gt;ReconciliationData[[#This Row],[End_Date]]),1,0)</f>
        <v>0</v>
      </c>
      <c r="U3008">
        <f>IF(AND(NOT(ISBLANK(ReconciliationData[[#This Row],[last_return_date]])),ReconciliationData[[#This Row],[last_return_date]]&gt;ReconciliationData[[#This Row],[Order_Date]]+60),1,0)</f>
        <v>0</v>
      </c>
      <c r="V3008">
        <f>IF(ReconciliationData[[#This Row],[total_returned_units]]&gt;ReconciliationData[[#This Row],[ordered_units]],1,0)</f>
        <v>0</v>
      </c>
      <c r="W30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08">
        <f>ReconciliationData[[#This Row],[Billed_Units]]*ReconciliationData[[#This Row],[Billed_Price]]</f>
        <v>33248.699700000005</v>
      </c>
      <c r="Y3008">
        <f>ReconciliationData[[#This Row],[ordered_units]]*ReconciliationData[[#This Row],[List_Price]]</f>
        <v>33248.699700000005</v>
      </c>
      <c r="Z3008">
        <f>ReconciliationData[[#This Row],[billed_revenue]]-ReconciliationData[[#This Row],[expected_revenue]]</f>
        <v>0</v>
      </c>
      <c r="AA30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08" t="str">
        <f>IF(ReconciliationData[[#This Row],[severity_score]]=0,"LOW",
 IF(ReconciliationData[[#This Row],[severity_score]]&lt;=5,"MEDIUM","HIGH"))</f>
        <v>LOW</v>
      </c>
      <c r="AC3008" t="str">
        <f>TEXT(ReconciliationData[[#This Row],[Order_Date]],"YYYY-MM")</f>
        <v>2024-02</v>
      </c>
    </row>
    <row r="3009" spans="1:29">
      <c r="A3009" t="s">
        <v>7230</v>
      </c>
      <c r="B3009" s="1">
        <v>45348</v>
      </c>
      <c r="C3009" t="s">
        <v>3326</v>
      </c>
      <c r="D3009" t="s">
        <v>2444</v>
      </c>
      <c r="E3009">
        <v>10</v>
      </c>
      <c r="F3009" t="s">
        <v>7231</v>
      </c>
      <c r="G3009">
        <v>10</v>
      </c>
      <c r="H3009">
        <v>797.23339999999996</v>
      </c>
      <c r="N3009">
        <v>797.23339999999996</v>
      </c>
      <c r="O3009" s="1">
        <v>45085</v>
      </c>
      <c r="P3009">
        <f>IF(ISBLANK(ReconciliationData[[#This Row],[Invoice_ID]]),1,0)</f>
        <v>0</v>
      </c>
      <c r="Q3009">
        <f>IF(AND(NOT(ISBLANK(ReconciliationData[[#This Row],[Billed_Units]])),ReconciliationData[[#This Row],[ordered_units]]&lt;&gt;ReconciliationData[[#This Row],[Billed_Units]]),1,0)</f>
        <v>0</v>
      </c>
      <c r="R30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09">
        <f>IF(AND(NOT(ISBLANK(ReconciliationData[[#This Row],[Contract_Price]])),ReconciliationData[[#This Row],[Billed_Price]]&lt;&gt;ReconciliationData[[#This Row],[Contract_Price]]),1,0)</f>
        <v>0</v>
      </c>
      <c r="T3009">
        <f>IF(AND(NOT(ISBLANK(ReconciliationData[[#This Row],[End_Date]])),ReconciliationData[[#This Row],[Order_Date]]&gt;ReconciliationData[[#This Row],[End_Date]]),1,0)</f>
        <v>0</v>
      </c>
      <c r="U3009">
        <f>IF(AND(NOT(ISBLANK(ReconciliationData[[#This Row],[last_return_date]])),ReconciliationData[[#This Row],[last_return_date]]&gt;ReconciliationData[[#This Row],[Order_Date]]+60),1,0)</f>
        <v>0</v>
      </c>
      <c r="V3009">
        <f>IF(ReconciliationData[[#This Row],[total_returned_units]]&gt;ReconciliationData[[#This Row],[ordered_units]],1,0)</f>
        <v>0</v>
      </c>
      <c r="W30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09">
        <f>ReconciliationData[[#This Row],[Billed_Units]]*ReconciliationData[[#This Row],[Billed_Price]]</f>
        <v>7972.3339999999998</v>
      </c>
      <c r="Y3009">
        <f>ReconciliationData[[#This Row],[ordered_units]]*ReconciliationData[[#This Row],[List_Price]]</f>
        <v>7972.3339999999998</v>
      </c>
      <c r="Z3009">
        <f>ReconciliationData[[#This Row],[billed_revenue]]-ReconciliationData[[#This Row],[expected_revenue]]</f>
        <v>0</v>
      </c>
      <c r="AA30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09" t="str">
        <f>IF(ReconciliationData[[#This Row],[severity_score]]=0,"LOW",
 IF(ReconciliationData[[#This Row],[severity_score]]&lt;=5,"MEDIUM","HIGH"))</f>
        <v>LOW</v>
      </c>
      <c r="AC3009" t="str">
        <f>TEXT(ReconciliationData[[#This Row],[Order_Date]],"YYYY-MM")</f>
        <v>2024-02</v>
      </c>
    </row>
    <row r="3010" spans="1:29">
      <c r="A3010" t="s">
        <v>7232</v>
      </c>
      <c r="B3010" s="1">
        <v>45034</v>
      </c>
      <c r="C3010" t="s">
        <v>460</v>
      </c>
      <c r="D3010" t="s">
        <v>1802</v>
      </c>
      <c r="E3010">
        <v>6</v>
      </c>
      <c r="F3010" t="s">
        <v>7233</v>
      </c>
      <c r="G3010">
        <v>6</v>
      </c>
      <c r="H3010">
        <v>618.54840000000002</v>
      </c>
      <c r="I3010">
        <v>18</v>
      </c>
      <c r="J3010" s="1">
        <v>45580</v>
      </c>
      <c r="N3010">
        <v>618.54840000000002</v>
      </c>
      <c r="O3010" s="1">
        <v>44916</v>
      </c>
      <c r="P3010">
        <f>IF(ISBLANK(ReconciliationData[[#This Row],[Invoice_ID]]),1,0)</f>
        <v>0</v>
      </c>
      <c r="Q3010">
        <f>IF(AND(NOT(ISBLANK(ReconciliationData[[#This Row],[Billed_Units]])),ReconciliationData[[#This Row],[ordered_units]]&lt;&gt;ReconciliationData[[#This Row],[Billed_Units]]),1,0)</f>
        <v>0</v>
      </c>
      <c r="R30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0">
        <f>IF(AND(NOT(ISBLANK(ReconciliationData[[#This Row],[Contract_Price]])),ReconciliationData[[#This Row],[Billed_Price]]&lt;&gt;ReconciliationData[[#This Row],[Contract_Price]]),1,0)</f>
        <v>0</v>
      </c>
      <c r="T3010">
        <f>IF(AND(NOT(ISBLANK(ReconciliationData[[#This Row],[End_Date]])),ReconciliationData[[#This Row],[Order_Date]]&gt;ReconciliationData[[#This Row],[End_Date]]),1,0)</f>
        <v>0</v>
      </c>
      <c r="U3010">
        <f>IF(AND(NOT(ISBLANK(ReconciliationData[[#This Row],[last_return_date]])),ReconciliationData[[#This Row],[last_return_date]]&gt;ReconciliationData[[#This Row],[Order_Date]]+60),1,0)</f>
        <v>1</v>
      </c>
      <c r="V3010">
        <f>IF(ReconciliationData[[#This Row],[total_returned_units]]&gt;ReconciliationData[[#This Row],[ordered_units]],1,0)</f>
        <v>1</v>
      </c>
      <c r="W30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10">
        <f>ReconciliationData[[#This Row],[Billed_Units]]*ReconciliationData[[#This Row],[Billed_Price]]</f>
        <v>3711.2903999999999</v>
      </c>
      <c r="Y3010">
        <f>ReconciliationData[[#This Row],[ordered_units]]*ReconciliationData[[#This Row],[List_Price]]</f>
        <v>3711.2903999999999</v>
      </c>
      <c r="Z3010">
        <f>ReconciliationData[[#This Row],[billed_revenue]]-ReconciliationData[[#This Row],[expected_revenue]]</f>
        <v>0</v>
      </c>
      <c r="AA30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5</v>
      </c>
      <c r="AB3010" t="str">
        <f>IF(ReconciliationData[[#This Row],[severity_score]]=0,"LOW",
 IF(ReconciliationData[[#This Row],[severity_score]]&lt;=5,"MEDIUM","HIGH"))</f>
        <v>MEDIUM</v>
      </c>
      <c r="AC3010" t="str">
        <f>TEXT(ReconciliationData[[#This Row],[Order_Date]],"YYYY-MM")</f>
        <v>2023-04</v>
      </c>
    </row>
    <row r="3011" spans="1:29">
      <c r="A3011" t="s">
        <v>7234</v>
      </c>
      <c r="B3011" s="1">
        <v>45611</v>
      </c>
      <c r="C3011" t="s">
        <v>4848</v>
      </c>
      <c r="D3011" t="s">
        <v>389</v>
      </c>
      <c r="E3011">
        <v>18</v>
      </c>
      <c r="F3011" t="s">
        <v>7235</v>
      </c>
      <c r="G3011">
        <v>18</v>
      </c>
      <c r="H3011">
        <v>759.48969999999997</v>
      </c>
      <c r="N3011">
        <v>759.48969999999997</v>
      </c>
      <c r="O3011" s="1">
        <v>45138</v>
      </c>
      <c r="P3011">
        <f>IF(ISBLANK(ReconciliationData[[#This Row],[Invoice_ID]]),1,0)</f>
        <v>0</v>
      </c>
      <c r="Q3011">
        <f>IF(AND(NOT(ISBLANK(ReconciliationData[[#This Row],[Billed_Units]])),ReconciliationData[[#This Row],[ordered_units]]&lt;&gt;ReconciliationData[[#This Row],[Billed_Units]]),1,0)</f>
        <v>0</v>
      </c>
      <c r="R30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1">
        <f>IF(AND(NOT(ISBLANK(ReconciliationData[[#This Row],[Contract_Price]])),ReconciliationData[[#This Row],[Billed_Price]]&lt;&gt;ReconciliationData[[#This Row],[Contract_Price]]),1,0)</f>
        <v>0</v>
      </c>
      <c r="T3011">
        <f>IF(AND(NOT(ISBLANK(ReconciliationData[[#This Row],[End_Date]])),ReconciliationData[[#This Row],[Order_Date]]&gt;ReconciliationData[[#This Row],[End_Date]]),1,0)</f>
        <v>0</v>
      </c>
      <c r="U3011">
        <f>IF(AND(NOT(ISBLANK(ReconciliationData[[#This Row],[last_return_date]])),ReconciliationData[[#This Row],[last_return_date]]&gt;ReconciliationData[[#This Row],[Order_Date]]+60),1,0)</f>
        <v>0</v>
      </c>
      <c r="V3011">
        <f>IF(ReconciliationData[[#This Row],[total_returned_units]]&gt;ReconciliationData[[#This Row],[ordered_units]],1,0)</f>
        <v>0</v>
      </c>
      <c r="W30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11">
        <f>ReconciliationData[[#This Row],[Billed_Units]]*ReconciliationData[[#This Row],[Billed_Price]]</f>
        <v>13670.8146</v>
      </c>
      <c r="Y3011">
        <f>ReconciliationData[[#This Row],[ordered_units]]*ReconciliationData[[#This Row],[List_Price]]</f>
        <v>13670.8146</v>
      </c>
      <c r="Z3011">
        <f>ReconciliationData[[#This Row],[billed_revenue]]-ReconciliationData[[#This Row],[expected_revenue]]</f>
        <v>0</v>
      </c>
      <c r="AA30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11" t="str">
        <f>IF(ReconciliationData[[#This Row],[severity_score]]=0,"LOW",
 IF(ReconciliationData[[#This Row],[severity_score]]&lt;=5,"MEDIUM","HIGH"))</f>
        <v>LOW</v>
      </c>
      <c r="AC3011" t="str">
        <f>TEXT(ReconciliationData[[#This Row],[Order_Date]],"YYYY-MM")</f>
        <v>2024-11</v>
      </c>
    </row>
    <row r="3012" spans="1:29">
      <c r="A3012" t="s">
        <v>7236</v>
      </c>
      <c r="B3012" s="1">
        <v>45006</v>
      </c>
      <c r="C3012" t="s">
        <v>3140</v>
      </c>
      <c r="D3012" t="s">
        <v>445</v>
      </c>
      <c r="E3012">
        <v>31</v>
      </c>
      <c r="F3012" t="s">
        <v>7237</v>
      </c>
      <c r="G3012">
        <v>35</v>
      </c>
      <c r="H3012">
        <v>754.02560000000005</v>
      </c>
      <c r="N3012">
        <v>754.02560000000005</v>
      </c>
      <c r="O3012" s="1">
        <v>44949</v>
      </c>
      <c r="P3012">
        <f>IF(ISBLANK(ReconciliationData[[#This Row],[Invoice_ID]]),1,0)</f>
        <v>0</v>
      </c>
      <c r="Q3012">
        <f>IF(AND(NOT(ISBLANK(ReconciliationData[[#This Row],[Billed_Units]])),ReconciliationData[[#This Row],[ordered_units]]&lt;&gt;ReconciliationData[[#This Row],[Billed_Units]]),1,0)</f>
        <v>1</v>
      </c>
      <c r="R30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2">
        <f>IF(AND(NOT(ISBLANK(ReconciliationData[[#This Row],[Contract_Price]])),ReconciliationData[[#This Row],[Billed_Price]]&lt;&gt;ReconciliationData[[#This Row],[Contract_Price]]),1,0)</f>
        <v>0</v>
      </c>
      <c r="T3012">
        <f>IF(AND(NOT(ISBLANK(ReconciliationData[[#This Row],[End_Date]])),ReconciliationData[[#This Row],[Order_Date]]&gt;ReconciliationData[[#This Row],[End_Date]]),1,0)</f>
        <v>0</v>
      </c>
      <c r="U3012">
        <f>IF(AND(NOT(ISBLANK(ReconciliationData[[#This Row],[last_return_date]])),ReconciliationData[[#This Row],[last_return_date]]&gt;ReconciliationData[[#This Row],[Order_Date]]+60),1,0)</f>
        <v>0</v>
      </c>
      <c r="V3012">
        <f>IF(ReconciliationData[[#This Row],[total_returned_units]]&gt;ReconciliationData[[#This Row],[ordered_units]],1,0)</f>
        <v>0</v>
      </c>
      <c r="W30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12">
        <f>ReconciliationData[[#This Row],[Billed_Units]]*ReconciliationData[[#This Row],[Billed_Price]]</f>
        <v>26390.896000000001</v>
      </c>
      <c r="Y3012">
        <f>ReconciliationData[[#This Row],[ordered_units]]*ReconciliationData[[#This Row],[List_Price]]</f>
        <v>23374.793600000001</v>
      </c>
      <c r="Z3012">
        <f>ReconciliationData[[#This Row],[billed_revenue]]-ReconciliationData[[#This Row],[expected_revenue]]</f>
        <v>3016.1023999999998</v>
      </c>
      <c r="AA30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012" t="str">
        <f>IF(ReconciliationData[[#This Row],[severity_score]]=0,"LOW",
 IF(ReconciliationData[[#This Row],[severity_score]]&lt;=5,"MEDIUM","HIGH"))</f>
        <v>HIGH</v>
      </c>
      <c r="AC3012" t="str">
        <f>TEXT(ReconciliationData[[#This Row],[Order_Date]],"YYYY-MM")</f>
        <v>2023-03</v>
      </c>
    </row>
    <row r="3013" spans="1:29">
      <c r="A3013" t="s">
        <v>7238</v>
      </c>
      <c r="B3013" s="1">
        <v>45456</v>
      </c>
      <c r="C3013" t="s">
        <v>1483</v>
      </c>
      <c r="D3013" t="s">
        <v>1083</v>
      </c>
      <c r="E3013">
        <v>63</v>
      </c>
      <c r="F3013" t="s">
        <v>7239</v>
      </c>
      <c r="G3013">
        <v>63</v>
      </c>
      <c r="H3013">
        <v>479.40280000000007</v>
      </c>
      <c r="N3013">
        <v>479.40280000000007</v>
      </c>
      <c r="O3013" s="1">
        <v>44941</v>
      </c>
      <c r="P3013">
        <f>IF(ISBLANK(ReconciliationData[[#This Row],[Invoice_ID]]),1,0)</f>
        <v>0</v>
      </c>
      <c r="Q3013">
        <f>IF(AND(NOT(ISBLANK(ReconciliationData[[#This Row],[Billed_Units]])),ReconciliationData[[#This Row],[ordered_units]]&lt;&gt;ReconciliationData[[#This Row],[Billed_Units]]),1,0)</f>
        <v>0</v>
      </c>
      <c r="R30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3">
        <f>IF(AND(NOT(ISBLANK(ReconciliationData[[#This Row],[Contract_Price]])),ReconciliationData[[#This Row],[Billed_Price]]&lt;&gt;ReconciliationData[[#This Row],[Contract_Price]]),1,0)</f>
        <v>0</v>
      </c>
      <c r="T3013">
        <f>IF(AND(NOT(ISBLANK(ReconciliationData[[#This Row],[End_Date]])),ReconciliationData[[#This Row],[Order_Date]]&gt;ReconciliationData[[#This Row],[End_Date]]),1,0)</f>
        <v>0</v>
      </c>
      <c r="U3013">
        <f>IF(AND(NOT(ISBLANK(ReconciliationData[[#This Row],[last_return_date]])),ReconciliationData[[#This Row],[last_return_date]]&gt;ReconciliationData[[#This Row],[Order_Date]]+60),1,0)</f>
        <v>0</v>
      </c>
      <c r="V3013">
        <f>IF(ReconciliationData[[#This Row],[total_returned_units]]&gt;ReconciliationData[[#This Row],[ordered_units]],1,0)</f>
        <v>0</v>
      </c>
      <c r="W30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13">
        <f>ReconciliationData[[#This Row],[Billed_Units]]*ReconciliationData[[#This Row],[Billed_Price]]</f>
        <v>30202.376400000005</v>
      </c>
      <c r="Y3013">
        <f>ReconciliationData[[#This Row],[ordered_units]]*ReconciliationData[[#This Row],[List_Price]]</f>
        <v>30202.376400000005</v>
      </c>
      <c r="Z3013">
        <f>ReconciliationData[[#This Row],[billed_revenue]]-ReconciliationData[[#This Row],[expected_revenue]]</f>
        <v>0</v>
      </c>
      <c r="AA30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13" t="str">
        <f>IF(ReconciliationData[[#This Row],[severity_score]]=0,"LOW",
 IF(ReconciliationData[[#This Row],[severity_score]]&lt;=5,"MEDIUM","HIGH"))</f>
        <v>LOW</v>
      </c>
      <c r="AC3013" t="str">
        <f>TEXT(ReconciliationData[[#This Row],[Order_Date]],"YYYY-MM")</f>
        <v>2024-06</v>
      </c>
    </row>
    <row r="3014" spans="1:29">
      <c r="A3014" t="s">
        <v>7240</v>
      </c>
      <c r="B3014" s="1">
        <v>45575</v>
      </c>
      <c r="C3014" t="s">
        <v>2902</v>
      </c>
      <c r="D3014" t="s">
        <v>1315</v>
      </c>
      <c r="E3014">
        <v>179</v>
      </c>
      <c r="F3014" t="s">
        <v>7241</v>
      </c>
      <c r="G3014">
        <v>188</v>
      </c>
      <c r="H3014">
        <v>334.24649999999997</v>
      </c>
      <c r="N3014">
        <v>334.24649999999997</v>
      </c>
      <c r="O3014" s="1">
        <v>45125</v>
      </c>
      <c r="P3014">
        <f>IF(ISBLANK(ReconciliationData[[#This Row],[Invoice_ID]]),1,0)</f>
        <v>0</v>
      </c>
      <c r="Q3014">
        <f>IF(AND(NOT(ISBLANK(ReconciliationData[[#This Row],[Billed_Units]])),ReconciliationData[[#This Row],[ordered_units]]&lt;&gt;ReconciliationData[[#This Row],[Billed_Units]]),1,0)</f>
        <v>1</v>
      </c>
      <c r="R30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4">
        <f>IF(AND(NOT(ISBLANK(ReconciliationData[[#This Row],[Contract_Price]])),ReconciliationData[[#This Row],[Billed_Price]]&lt;&gt;ReconciliationData[[#This Row],[Contract_Price]]),1,0)</f>
        <v>0</v>
      </c>
      <c r="T3014">
        <f>IF(AND(NOT(ISBLANK(ReconciliationData[[#This Row],[End_Date]])),ReconciliationData[[#This Row],[Order_Date]]&gt;ReconciliationData[[#This Row],[End_Date]]),1,0)</f>
        <v>0</v>
      </c>
      <c r="U3014">
        <f>IF(AND(NOT(ISBLANK(ReconciliationData[[#This Row],[last_return_date]])),ReconciliationData[[#This Row],[last_return_date]]&gt;ReconciliationData[[#This Row],[Order_Date]]+60),1,0)</f>
        <v>0</v>
      </c>
      <c r="V3014">
        <f>IF(ReconciliationData[[#This Row],[total_returned_units]]&gt;ReconciliationData[[#This Row],[ordered_units]],1,0)</f>
        <v>0</v>
      </c>
      <c r="W30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14">
        <f>ReconciliationData[[#This Row],[Billed_Units]]*ReconciliationData[[#This Row],[Billed_Price]]</f>
        <v>62838.341999999997</v>
      </c>
      <c r="Y3014">
        <f>ReconciliationData[[#This Row],[ordered_units]]*ReconciliationData[[#This Row],[List_Price]]</f>
        <v>59830.123499999994</v>
      </c>
      <c r="Z3014">
        <f>ReconciliationData[[#This Row],[billed_revenue]]-ReconciliationData[[#This Row],[expected_revenue]]</f>
        <v>3008.2185000000027</v>
      </c>
      <c r="AA30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014" t="str">
        <f>IF(ReconciliationData[[#This Row],[severity_score]]=0,"LOW",
 IF(ReconciliationData[[#This Row],[severity_score]]&lt;=5,"MEDIUM","HIGH"))</f>
        <v>HIGH</v>
      </c>
      <c r="AC3014" t="str">
        <f>TEXT(ReconciliationData[[#This Row],[Order_Date]],"YYYY-MM")</f>
        <v>2024-10</v>
      </c>
    </row>
    <row r="3015" spans="1:29">
      <c r="A3015" t="s">
        <v>7242</v>
      </c>
      <c r="B3015" s="1">
        <v>45304</v>
      </c>
      <c r="C3015" t="s">
        <v>2126</v>
      </c>
      <c r="D3015" t="s">
        <v>3954</v>
      </c>
      <c r="E3015">
        <v>168</v>
      </c>
      <c r="F3015" t="s">
        <v>7243</v>
      </c>
      <c r="G3015">
        <v>168</v>
      </c>
      <c r="H3015">
        <v>275.19450000000001</v>
      </c>
      <c r="N3015">
        <v>275.19450000000001</v>
      </c>
      <c r="O3015" s="1">
        <v>45218</v>
      </c>
      <c r="P3015">
        <f>IF(ISBLANK(ReconciliationData[[#This Row],[Invoice_ID]]),1,0)</f>
        <v>0</v>
      </c>
      <c r="Q3015">
        <f>IF(AND(NOT(ISBLANK(ReconciliationData[[#This Row],[Billed_Units]])),ReconciliationData[[#This Row],[ordered_units]]&lt;&gt;ReconciliationData[[#This Row],[Billed_Units]]),1,0)</f>
        <v>0</v>
      </c>
      <c r="R30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5">
        <f>IF(AND(NOT(ISBLANK(ReconciliationData[[#This Row],[Contract_Price]])),ReconciliationData[[#This Row],[Billed_Price]]&lt;&gt;ReconciliationData[[#This Row],[Contract_Price]]),1,0)</f>
        <v>0</v>
      </c>
      <c r="T3015">
        <f>IF(AND(NOT(ISBLANK(ReconciliationData[[#This Row],[End_Date]])),ReconciliationData[[#This Row],[Order_Date]]&gt;ReconciliationData[[#This Row],[End_Date]]),1,0)</f>
        <v>0</v>
      </c>
      <c r="U3015">
        <f>IF(AND(NOT(ISBLANK(ReconciliationData[[#This Row],[last_return_date]])),ReconciliationData[[#This Row],[last_return_date]]&gt;ReconciliationData[[#This Row],[Order_Date]]+60),1,0)</f>
        <v>0</v>
      </c>
      <c r="V3015">
        <f>IF(ReconciliationData[[#This Row],[total_returned_units]]&gt;ReconciliationData[[#This Row],[ordered_units]],1,0)</f>
        <v>0</v>
      </c>
      <c r="W30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15">
        <f>ReconciliationData[[#This Row],[Billed_Units]]*ReconciliationData[[#This Row],[Billed_Price]]</f>
        <v>46232.675999999999</v>
      </c>
      <c r="Y3015">
        <f>ReconciliationData[[#This Row],[ordered_units]]*ReconciliationData[[#This Row],[List_Price]]</f>
        <v>46232.675999999999</v>
      </c>
      <c r="Z3015">
        <f>ReconciliationData[[#This Row],[billed_revenue]]-ReconciliationData[[#This Row],[expected_revenue]]</f>
        <v>0</v>
      </c>
      <c r="AA30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15" t="str">
        <f>IF(ReconciliationData[[#This Row],[severity_score]]=0,"LOW",
 IF(ReconciliationData[[#This Row],[severity_score]]&lt;=5,"MEDIUM","HIGH"))</f>
        <v>LOW</v>
      </c>
      <c r="AC3015" t="str">
        <f>TEXT(ReconciliationData[[#This Row],[Order_Date]],"YYYY-MM")</f>
        <v>2024-01</v>
      </c>
    </row>
    <row r="3016" spans="1:29">
      <c r="A3016" t="s">
        <v>7244</v>
      </c>
      <c r="B3016" s="1">
        <v>45061</v>
      </c>
      <c r="C3016" t="s">
        <v>1515</v>
      </c>
      <c r="D3016" t="s">
        <v>647</v>
      </c>
      <c r="E3016">
        <v>174</v>
      </c>
      <c r="F3016" t="s">
        <v>7245</v>
      </c>
      <c r="G3016">
        <v>174</v>
      </c>
      <c r="H3016">
        <v>288.07</v>
      </c>
      <c r="N3016">
        <v>288.07</v>
      </c>
      <c r="O3016" s="1">
        <v>44954</v>
      </c>
      <c r="P3016">
        <f>IF(ISBLANK(ReconciliationData[[#This Row],[Invoice_ID]]),1,0)</f>
        <v>0</v>
      </c>
      <c r="Q3016">
        <f>IF(AND(NOT(ISBLANK(ReconciliationData[[#This Row],[Billed_Units]])),ReconciliationData[[#This Row],[ordered_units]]&lt;&gt;ReconciliationData[[#This Row],[Billed_Units]]),1,0)</f>
        <v>0</v>
      </c>
      <c r="R30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6">
        <f>IF(AND(NOT(ISBLANK(ReconciliationData[[#This Row],[Contract_Price]])),ReconciliationData[[#This Row],[Billed_Price]]&lt;&gt;ReconciliationData[[#This Row],[Contract_Price]]),1,0)</f>
        <v>0</v>
      </c>
      <c r="T3016">
        <f>IF(AND(NOT(ISBLANK(ReconciliationData[[#This Row],[End_Date]])),ReconciliationData[[#This Row],[Order_Date]]&gt;ReconciliationData[[#This Row],[End_Date]]),1,0)</f>
        <v>0</v>
      </c>
      <c r="U3016">
        <f>IF(AND(NOT(ISBLANK(ReconciliationData[[#This Row],[last_return_date]])),ReconciliationData[[#This Row],[last_return_date]]&gt;ReconciliationData[[#This Row],[Order_Date]]+60),1,0)</f>
        <v>0</v>
      </c>
      <c r="V3016">
        <f>IF(ReconciliationData[[#This Row],[total_returned_units]]&gt;ReconciliationData[[#This Row],[ordered_units]],1,0)</f>
        <v>0</v>
      </c>
      <c r="W30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16">
        <f>ReconciliationData[[#This Row],[Billed_Units]]*ReconciliationData[[#This Row],[Billed_Price]]</f>
        <v>50124.18</v>
      </c>
      <c r="Y3016">
        <f>ReconciliationData[[#This Row],[ordered_units]]*ReconciliationData[[#This Row],[List_Price]]</f>
        <v>50124.18</v>
      </c>
      <c r="Z3016">
        <f>ReconciliationData[[#This Row],[billed_revenue]]-ReconciliationData[[#This Row],[expected_revenue]]</f>
        <v>0</v>
      </c>
      <c r="AA30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16" t="str">
        <f>IF(ReconciliationData[[#This Row],[severity_score]]=0,"LOW",
 IF(ReconciliationData[[#This Row],[severity_score]]&lt;=5,"MEDIUM","HIGH"))</f>
        <v>LOW</v>
      </c>
      <c r="AC3016" t="str">
        <f>TEXT(ReconciliationData[[#This Row],[Order_Date]],"YYYY-MM")</f>
        <v>2023-05</v>
      </c>
    </row>
    <row r="3017" spans="1:29">
      <c r="A3017" t="s">
        <v>7246</v>
      </c>
      <c r="B3017" s="1">
        <v>44981</v>
      </c>
      <c r="C3017" t="s">
        <v>563</v>
      </c>
      <c r="D3017" t="s">
        <v>2360</v>
      </c>
      <c r="E3017">
        <v>7</v>
      </c>
      <c r="F3017" t="s">
        <v>7247</v>
      </c>
      <c r="G3017">
        <v>7</v>
      </c>
      <c r="H3017">
        <v>765.6404</v>
      </c>
      <c r="N3017">
        <v>765.6404</v>
      </c>
      <c r="O3017" s="1">
        <v>44901</v>
      </c>
      <c r="P3017">
        <f>IF(ISBLANK(ReconciliationData[[#This Row],[Invoice_ID]]),1,0)</f>
        <v>0</v>
      </c>
      <c r="Q3017">
        <f>IF(AND(NOT(ISBLANK(ReconciliationData[[#This Row],[Billed_Units]])),ReconciliationData[[#This Row],[ordered_units]]&lt;&gt;ReconciliationData[[#This Row],[Billed_Units]]),1,0)</f>
        <v>0</v>
      </c>
      <c r="R30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7">
        <f>IF(AND(NOT(ISBLANK(ReconciliationData[[#This Row],[Contract_Price]])),ReconciliationData[[#This Row],[Billed_Price]]&lt;&gt;ReconciliationData[[#This Row],[Contract_Price]]),1,0)</f>
        <v>0</v>
      </c>
      <c r="T3017">
        <f>IF(AND(NOT(ISBLANK(ReconciliationData[[#This Row],[End_Date]])),ReconciliationData[[#This Row],[Order_Date]]&gt;ReconciliationData[[#This Row],[End_Date]]),1,0)</f>
        <v>0</v>
      </c>
      <c r="U3017">
        <f>IF(AND(NOT(ISBLANK(ReconciliationData[[#This Row],[last_return_date]])),ReconciliationData[[#This Row],[last_return_date]]&gt;ReconciliationData[[#This Row],[Order_Date]]+60),1,0)</f>
        <v>0</v>
      </c>
      <c r="V3017">
        <f>IF(ReconciliationData[[#This Row],[total_returned_units]]&gt;ReconciliationData[[#This Row],[ordered_units]],1,0)</f>
        <v>0</v>
      </c>
      <c r="W30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17">
        <f>ReconciliationData[[#This Row],[Billed_Units]]*ReconciliationData[[#This Row],[Billed_Price]]</f>
        <v>5359.4827999999998</v>
      </c>
      <c r="Y3017">
        <f>ReconciliationData[[#This Row],[ordered_units]]*ReconciliationData[[#This Row],[List_Price]]</f>
        <v>5359.4827999999998</v>
      </c>
      <c r="Z3017">
        <f>ReconciliationData[[#This Row],[billed_revenue]]-ReconciliationData[[#This Row],[expected_revenue]]</f>
        <v>0</v>
      </c>
      <c r="AA30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17" t="str">
        <f>IF(ReconciliationData[[#This Row],[severity_score]]=0,"LOW",
 IF(ReconciliationData[[#This Row],[severity_score]]&lt;=5,"MEDIUM","HIGH"))</f>
        <v>LOW</v>
      </c>
      <c r="AC3017" t="str">
        <f>TEXT(ReconciliationData[[#This Row],[Order_Date]],"YYYY-MM")</f>
        <v>2023-02</v>
      </c>
    </row>
    <row r="3018" spans="1:29">
      <c r="A3018" t="s">
        <v>7248</v>
      </c>
      <c r="B3018" s="1">
        <v>45000</v>
      </c>
      <c r="C3018" t="s">
        <v>1077</v>
      </c>
      <c r="D3018" t="s">
        <v>923</v>
      </c>
      <c r="E3018">
        <v>5</v>
      </c>
      <c r="F3018" t="s">
        <v>7249</v>
      </c>
      <c r="G3018">
        <v>5</v>
      </c>
      <c r="H3018">
        <v>732.452</v>
      </c>
      <c r="N3018">
        <v>732.452</v>
      </c>
      <c r="O3018" s="1">
        <v>44941</v>
      </c>
      <c r="P3018">
        <f>IF(ISBLANK(ReconciliationData[[#This Row],[Invoice_ID]]),1,0)</f>
        <v>0</v>
      </c>
      <c r="Q3018">
        <f>IF(AND(NOT(ISBLANK(ReconciliationData[[#This Row],[Billed_Units]])),ReconciliationData[[#This Row],[ordered_units]]&lt;&gt;ReconciliationData[[#This Row],[Billed_Units]]),1,0)</f>
        <v>0</v>
      </c>
      <c r="R30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8">
        <f>IF(AND(NOT(ISBLANK(ReconciliationData[[#This Row],[Contract_Price]])),ReconciliationData[[#This Row],[Billed_Price]]&lt;&gt;ReconciliationData[[#This Row],[Contract_Price]]),1,0)</f>
        <v>0</v>
      </c>
      <c r="T3018">
        <f>IF(AND(NOT(ISBLANK(ReconciliationData[[#This Row],[End_Date]])),ReconciliationData[[#This Row],[Order_Date]]&gt;ReconciliationData[[#This Row],[End_Date]]),1,0)</f>
        <v>0</v>
      </c>
      <c r="U3018">
        <f>IF(AND(NOT(ISBLANK(ReconciliationData[[#This Row],[last_return_date]])),ReconciliationData[[#This Row],[last_return_date]]&gt;ReconciliationData[[#This Row],[Order_Date]]+60),1,0)</f>
        <v>0</v>
      </c>
      <c r="V3018">
        <f>IF(ReconciliationData[[#This Row],[total_returned_units]]&gt;ReconciliationData[[#This Row],[ordered_units]],1,0)</f>
        <v>0</v>
      </c>
      <c r="W30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18">
        <f>ReconciliationData[[#This Row],[Billed_Units]]*ReconciliationData[[#This Row],[Billed_Price]]</f>
        <v>3662.26</v>
      </c>
      <c r="Y3018">
        <f>ReconciliationData[[#This Row],[ordered_units]]*ReconciliationData[[#This Row],[List_Price]]</f>
        <v>3662.26</v>
      </c>
      <c r="Z3018">
        <f>ReconciliationData[[#This Row],[billed_revenue]]-ReconciliationData[[#This Row],[expected_revenue]]</f>
        <v>0</v>
      </c>
      <c r="AA30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18" t="str">
        <f>IF(ReconciliationData[[#This Row],[severity_score]]=0,"LOW",
 IF(ReconciliationData[[#This Row],[severity_score]]&lt;=5,"MEDIUM","HIGH"))</f>
        <v>LOW</v>
      </c>
      <c r="AC3018" t="str">
        <f>TEXT(ReconciliationData[[#This Row],[Order_Date]],"YYYY-MM")</f>
        <v>2023-03</v>
      </c>
    </row>
    <row r="3019" spans="1:29">
      <c r="A3019" t="s">
        <v>7250</v>
      </c>
      <c r="B3019" s="1">
        <v>45356</v>
      </c>
      <c r="C3019" t="s">
        <v>219</v>
      </c>
      <c r="D3019" t="s">
        <v>821</v>
      </c>
      <c r="E3019">
        <v>57</v>
      </c>
      <c r="F3019" t="s">
        <v>7251</v>
      </c>
      <c r="G3019">
        <v>57</v>
      </c>
      <c r="H3019">
        <v>785.89</v>
      </c>
      <c r="N3019">
        <v>785.89</v>
      </c>
      <c r="O3019" s="1">
        <v>44989</v>
      </c>
      <c r="P3019">
        <f>IF(ISBLANK(ReconciliationData[[#This Row],[Invoice_ID]]),1,0)</f>
        <v>0</v>
      </c>
      <c r="Q3019">
        <f>IF(AND(NOT(ISBLANK(ReconciliationData[[#This Row],[Billed_Units]])),ReconciliationData[[#This Row],[ordered_units]]&lt;&gt;ReconciliationData[[#This Row],[Billed_Units]]),1,0)</f>
        <v>0</v>
      </c>
      <c r="R30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19">
        <f>IF(AND(NOT(ISBLANK(ReconciliationData[[#This Row],[Contract_Price]])),ReconciliationData[[#This Row],[Billed_Price]]&lt;&gt;ReconciliationData[[#This Row],[Contract_Price]]),1,0)</f>
        <v>0</v>
      </c>
      <c r="T3019">
        <f>IF(AND(NOT(ISBLANK(ReconciliationData[[#This Row],[End_Date]])),ReconciliationData[[#This Row],[Order_Date]]&gt;ReconciliationData[[#This Row],[End_Date]]),1,0)</f>
        <v>0</v>
      </c>
      <c r="U3019">
        <f>IF(AND(NOT(ISBLANK(ReconciliationData[[#This Row],[last_return_date]])),ReconciliationData[[#This Row],[last_return_date]]&gt;ReconciliationData[[#This Row],[Order_Date]]+60),1,0)</f>
        <v>0</v>
      </c>
      <c r="V3019">
        <f>IF(ReconciliationData[[#This Row],[total_returned_units]]&gt;ReconciliationData[[#This Row],[ordered_units]],1,0)</f>
        <v>0</v>
      </c>
      <c r="W30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19">
        <f>ReconciliationData[[#This Row],[Billed_Units]]*ReconciliationData[[#This Row],[Billed_Price]]</f>
        <v>44795.729999999996</v>
      </c>
      <c r="Y3019">
        <f>ReconciliationData[[#This Row],[ordered_units]]*ReconciliationData[[#This Row],[List_Price]]</f>
        <v>44795.729999999996</v>
      </c>
      <c r="Z3019">
        <f>ReconciliationData[[#This Row],[billed_revenue]]-ReconciliationData[[#This Row],[expected_revenue]]</f>
        <v>0</v>
      </c>
      <c r="AA30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19" t="str">
        <f>IF(ReconciliationData[[#This Row],[severity_score]]=0,"LOW",
 IF(ReconciliationData[[#This Row],[severity_score]]&lt;=5,"MEDIUM","HIGH"))</f>
        <v>LOW</v>
      </c>
      <c r="AC3019" t="str">
        <f>TEXT(ReconciliationData[[#This Row],[Order_Date]],"YYYY-MM")</f>
        <v>2024-03</v>
      </c>
    </row>
    <row r="3020" spans="1:29">
      <c r="A3020" t="s">
        <v>7252</v>
      </c>
      <c r="B3020" s="1">
        <v>45148</v>
      </c>
      <c r="C3020" t="s">
        <v>1566</v>
      </c>
      <c r="D3020" t="s">
        <v>585</v>
      </c>
      <c r="E3020">
        <v>149</v>
      </c>
      <c r="F3020" t="s">
        <v>7253</v>
      </c>
      <c r="G3020">
        <v>149</v>
      </c>
      <c r="H3020">
        <v>898.02300000000002</v>
      </c>
      <c r="N3020">
        <v>898.02300000000002</v>
      </c>
      <c r="O3020" s="1">
        <v>45026</v>
      </c>
      <c r="P3020">
        <f>IF(ISBLANK(ReconciliationData[[#This Row],[Invoice_ID]]),1,0)</f>
        <v>0</v>
      </c>
      <c r="Q3020">
        <f>IF(AND(NOT(ISBLANK(ReconciliationData[[#This Row],[Billed_Units]])),ReconciliationData[[#This Row],[ordered_units]]&lt;&gt;ReconciliationData[[#This Row],[Billed_Units]]),1,0)</f>
        <v>0</v>
      </c>
      <c r="R30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0">
        <f>IF(AND(NOT(ISBLANK(ReconciliationData[[#This Row],[Contract_Price]])),ReconciliationData[[#This Row],[Billed_Price]]&lt;&gt;ReconciliationData[[#This Row],[Contract_Price]]),1,0)</f>
        <v>0</v>
      </c>
      <c r="T3020">
        <f>IF(AND(NOT(ISBLANK(ReconciliationData[[#This Row],[End_Date]])),ReconciliationData[[#This Row],[Order_Date]]&gt;ReconciliationData[[#This Row],[End_Date]]),1,0)</f>
        <v>0</v>
      </c>
      <c r="U3020">
        <f>IF(AND(NOT(ISBLANK(ReconciliationData[[#This Row],[last_return_date]])),ReconciliationData[[#This Row],[last_return_date]]&gt;ReconciliationData[[#This Row],[Order_Date]]+60),1,0)</f>
        <v>0</v>
      </c>
      <c r="V3020">
        <f>IF(ReconciliationData[[#This Row],[total_returned_units]]&gt;ReconciliationData[[#This Row],[ordered_units]],1,0)</f>
        <v>0</v>
      </c>
      <c r="W30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20">
        <f>ReconciliationData[[#This Row],[Billed_Units]]*ReconciliationData[[#This Row],[Billed_Price]]</f>
        <v>133805.427</v>
      </c>
      <c r="Y3020">
        <f>ReconciliationData[[#This Row],[ordered_units]]*ReconciliationData[[#This Row],[List_Price]]</f>
        <v>133805.427</v>
      </c>
      <c r="Z3020">
        <f>ReconciliationData[[#This Row],[billed_revenue]]-ReconciliationData[[#This Row],[expected_revenue]]</f>
        <v>0</v>
      </c>
      <c r="AA30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20" t="str">
        <f>IF(ReconciliationData[[#This Row],[severity_score]]=0,"LOW",
 IF(ReconciliationData[[#This Row],[severity_score]]&lt;=5,"MEDIUM","HIGH"))</f>
        <v>LOW</v>
      </c>
      <c r="AC3020" t="str">
        <f>TEXT(ReconciliationData[[#This Row],[Order_Date]],"YYYY-MM")</f>
        <v>2023-08</v>
      </c>
    </row>
    <row r="3021" spans="1:29">
      <c r="A3021" t="s">
        <v>7254</v>
      </c>
      <c r="B3021" s="1">
        <v>45149</v>
      </c>
      <c r="C3021" t="s">
        <v>2197</v>
      </c>
      <c r="D3021" t="s">
        <v>2583</v>
      </c>
      <c r="E3021">
        <v>193</v>
      </c>
      <c r="F3021" t="s">
        <v>7255</v>
      </c>
      <c r="G3021">
        <v>193</v>
      </c>
      <c r="H3021">
        <v>511.96</v>
      </c>
      <c r="N3021">
        <v>511.96</v>
      </c>
      <c r="O3021" s="1">
        <v>45058</v>
      </c>
      <c r="P3021">
        <f>IF(ISBLANK(ReconciliationData[[#This Row],[Invoice_ID]]),1,0)</f>
        <v>0</v>
      </c>
      <c r="Q3021">
        <f>IF(AND(NOT(ISBLANK(ReconciliationData[[#This Row],[Billed_Units]])),ReconciliationData[[#This Row],[ordered_units]]&lt;&gt;ReconciliationData[[#This Row],[Billed_Units]]),1,0)</f>
        <v>0</v>
      </c>
      <c r="R30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1">
        <f>IF(AND(NOT(ISBLANK(ReconciliationData[[#This Row],[Contract_Price]])),ReconciliationData[[#This Row],[Billed_Price]]&lt;&gt;ReconciliationData[[#This Row],[Contract_Price]]),1,0)</f>
        <v>0</v>
      </c>
      <c r="T3021">
        <f>IF(AND(NOT(ISBLANK(ReconciliationData[[#This Row],[End_Date]])),ReconciliationData[[#This Row],[Order_Date]]&gt;ReconciliationData[[#This Row],[End_Date]]),1,0)</f>
        <v>0</v>
      </c>
      <c r="U3021">
        <f>IF(AND(NOT(ISBLANK(ReconciliationData[[#This Row],[last_return_date]])),ReconciliationData[[#This Row],[last_return_date]]&gt;ReconciliationData[[#This Row],[Order_Date]]+60),1,0)</f>
        <v>0</v>
      </c>
      <c r="V3021">
        <f>IF(ReconciliationData[[#This Row],[total_returned_units]]&gt;ReconciliationData[[#This Row],[ordered_units]],1,0)</f>
        <v>0</v>
      </c>
      <c r="W30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21">
        <f>ReconciliationData[[#This Row],[Billed_Units]]*ReconciliationData[[#This Row],[Billed_Price]]</f>
        <v>98808.28</v>
      </c>
      <c r="Y3021">
        <f>ReconciliationData[[#This Row],[ordered_units]]*ReconciliationData[[#This Row],[List_Price]]</f>
        <v>98808.28</v>
      </c>
      <c r="Z3021">
        <f>ReconciliationData[[#This Row],[billed_revenue]]-ReconciliationData[[#This Row],[expected_revenue]]</f>
        <v>0</v>
      </c>
      <c r="AA30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21" t="str">
        <f>IF(ReconciliationData[[#This Row],[severity_score]]=0,"LOW",
 IF(ReconciliationData[[#This Row],[severity_score]]&lt;=5,"MEDIUM","HIGH"))</f>
        <v>LOW</v>
      </c>
      <c r="AC3021" t="str">
        <f>TEXT(ReconciliationData[[#This Row],[Order_Date]],"YYYY-MM")</f>
        <v>2023-08</v>
      </c>
    </row>
    <row r="3022" spans="1:29">
      <c r="A3022" t="s">
        <v>7256</v>
      </c>
      <c r="B3022" s="1">
        <v>45392</v>
      </c>
      <c r="C3022" t="s">
        <v>859</v>
      </c>
      <c r="D3022" t="s">
        <v>1530</v>
      </c>
      <c r="E3022">
        <v>154</v>
      </c>
      <c r="F3022" t="s">
        <v>7257</v>
      </c>
      <c r="G3022">
        <v>154</v>
      </c>
      <c r="H3022">
        <v>1131.7711000000002</v>
      </c>
      <c r="N3022">
        <v>1131.7711000000002</v>
      </c>
      <c r="O3022" s="1">
        <v>45048</v>
      </c>
      <c r="P3022">
        <f>IF(ISBLANK(ReconciliationData[[#This Row],[Invoice_ID]]),1,0)</f>
        <v>0</v>
      </c>
      <c r="Q3022">
        <f>IF(AND(NOT(ISBLANK(ReconciliationData[[#This Row],[Billed_Units]])),ReconciliationData[[#This Row],[ordered_units]]&lt;&gt;ReconciliationData[[#This Row],[Billed_Units]]),1,0)</f>
        <v>0</v>
      </c>
      <c r="R30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2">
        <f>IF(AND(NOT(ISBLANK(ReconciliationData[[#This Row],[Contract_Price]])),ReconciliationData[[#This Row],[Billed_Price]]&lt;&gt;ReconciliationData[[#This Row],[Contract_Price]]),1,0)</f>
        <v>0</v>
      </c>
      <c r="T3022">
        <f>IF(AND(NOT(ISBLANK(ReconciliationData[[#This Row],[End_Date]])),ReconciliationData[[#This Row],[Order_Date]]&gt;ReconciliationData[[#This Row],[End_Date]]),1,0)</f>
        <v>0</v>
      </c>
      <c r="U3022">
        <f>IF(AND(NOT(ISBLANK(ReconciliationData[[#This Row],[last_return_date]])),ReconciliationData[[#This Row],[last_return_date]]&gt;ReconciliationData[[#This Row],[Order_Date]]+60),1,0)</f>
        <v>0</v>
      </c>
      <c r="V3022">
        <f>IF(ReconciliationData[[#This Row],[total_returned_units]]&gt;ReconciliationData[[#This Row],[ordered_units]],1,0)</f>
        <v>0</v>
      </c>
      <c r="W30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22">
        <f>ReconciliationData[[#This Row],[Billed_Units]]*ReconciliationData[[#This Row],[Billed_Price]]</f>
        <v>174292.74940000003</v>
      </c>
      <c r="Y3022">
        <f>ReconciliationData[[#This Row],[ordered_units]]*ReconciliationData[[#This Row],[List_Price]]</f>
        <v>174292.74940000003</v>
      </c>
      <c r="Z3022">
        <f>ReconciliationData[[#This Row],[billed_revenue]]-ReconciliationData[[#This Row],[expected_revenue]]</f>
        <v>0</v>
      </c>
      <c r="AA30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22" t="str">
        <f>IF(ReconciliationData[[#This Row],[severity_score]]=0,"LOW",
 IF(ReconciliationData[[#This Row],[severity_score]]&lt;=5,"MEDIUM","HIGH"))</f>
        <v>LOW</v>
      </c>
      <c r="AC3022" t="str">
        <f>TEXT(ReconciliationData[[#This Row],[Order_Date]],"YYYY-MM")</f>
        <v>2024-04</v>
      </c>
    </row>
    <row r="3023" spans="1:29">
      <c r="A3023" t="s">
        <v>7258</v>
      </c>
      <c r="B3023" s="1">
        <v>45597</v>
      </c>
      <c r="C3023" t="s">
        <v>1036</v>
      </c>
      <c r="D3023" t="s">
        <v>146</v>
      </c>
      <c r="E3023">
        <v>15</v>
      </c>
      <c r="F3023" t="s">
        <v>7259</v>
      </c>
      <c r="G3023">
        <v>15</v>
      </c>
      <c r="H3023">
        <v>849.43949999999995</v>
      </c>
      <c r="N3023">
        <v>849.43949999999995</v>
      </c>
      <c r="O3023" s="1">
        <v>45114</v>
      </c>
      <c r="P3023">
        <f>IF(ISBLANK(ReconciliationData[[#This Row],[Invoice_ID]]),1,0)</f>
        <v>0</v>
      </c>
      <c r="Q3023">
        <f>IF(AND(NOT(ISBLANK(ReconciliationData[[#This Row],[Billed_Units]])),ReconciliationData[[#This Row],[ordered_units]]&lt;&gt;ReconciliationData[[#This Row],[Billed_Units]]),1,0)</f>
        <v>0</v>
      </c>
      <c r="R30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3">
        <f>IF(AND(NOT(ISBLANK(ReconciliationData[[#This Row],[Contract_Price]])),ReconciliationData[[#This Row],[Billed_Price]]&lt;&gt;ReconciliationData[[#This Row],[Contract_Price]]),1,0)</f>
        <v>0</v>
      </c>
      <c r="T3023">
        <f>IF(AND(NOT(ISBLANK(ReconciliationData[[#This Row],[End_Date]])),ReconciliationData[[#This Row],[Order_Date]]&gt;ReconciliationData[[#This Row],[End_Date]]),1,0)</f>
        <v>0</v>
      </c>
      <c r="U3023">
        <f>IF(AND(NOT(ISBLANK(ReconciliationData[[#This Row],[last_return_date]])),ReconciliationData[[#This Row],[last_return_date]]&gt;ReconciliationData[[#This Row],[Order_Date]]+60),1,0)</f>
        <v>0</v>
      </c>
      <c r="V3023">
        <f>IF(ReconciliationData[[#This Row],[total_returned_units]]&gt;ReconciliationData[[#This Row],[ordered_units]],1,0)</f>
        <v>0</v>
      </c>
      <c r="W30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23">
        <f>ReconciliationData[[#This Row],[Billed_Units]]*ReconciliationData[[#This Row],[Billed_Price]]</f>
        <v>12741.592499999999</v>
      </c>
      <c r="Y3023">
        <f>ReconciliationData[[#This Row],[ordered_units]]*ReconciliationData[[#This Row],[List_Price]]</f>
        <v>12741.592499999999</v>
      </c>
      <c r="Z3023">
        <f>ReconciliationData[[#This Row],[billed_revenue]]-ReconciliationData[[#This Row],[expected_revenue]]</f>
        <v>0</v>
      </c>
      <c r="AA30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23" t="str">
        <f>IF(ReconciliationData[[#This Row],[severity_score]]=0,"LOW",
 IF(ReconciliationData[[#This Row],[severity_score]]&lt;=5,"MEDIUM","HIGH"))</f>
        <v>LOW</v>
      </c>
      <c r="AC3023" t="str">
        <f>TEXT(ReconciliationData[[#This Row],[Order_Date]],"YYYY-MM")</f>
        <v>2024-11</v>
      </c>
    </row>
    <row r="3024" spans="1:29">
      <c r="A3024" t="s">
        <v>7260</v>
      </c>
      <c r="B3024" s="1">
        <v>44975</v>
      </c>
      <c r="C3024" t="s">
        <v>2488</v>
      </c>
      <c r="D3024" t="s">
        <v>275</v>
      </c>
      <c r="E3024">
        <v>90</v>
      </c>
      <c r="F3024" t="s">
        <v>7261</v>
      </c>
      <c r="G3024">
        <v>90</v>
      </c>
      <c r="H3024">
        <v>397.19560000000001</v>
      </c>
      <c r="N3024">
        <v>397.19560000000001</v>
      </c>
      <c r="O3024" s="1">
        <v>44932</v>
      </c>
      <c r="P3024">
        <f>IF(ISBLANK(ReconciliationData[[#This Row],[Invoice_ID]]),1,0)</f>
        <v>0</v>
      </c>
      <c r="Q3024">
        <f>IF(AND(NOT(ISBLANK(ReconciliationData[[#This Row],[Billed_Units]])),ReconciliationData[[#This Row],[ordered_units]]&lt;&gt;ReconciliationData[[#This Row],[Billed_Units]]),1,0)</f>
        <v>0</v>
      </c>
      <c r="R30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4">
        <f>IF(AND(NOT(ISBLANK(ReconciliationData[[#This Row],[Contract_Price]])),ReconciliationData[[#This Row],[Billed_Price]]&lt;&gt;ReconciliationData[[#This Row],[Contract_Price]]),1,0)</f>
        <v>0</v>
      </c>
      <c r="T3024">
        <f>IF(AND(NOT(ISBLANK(ReconciliationData[[#This Row],[End_Date]])),ReconciliationData[[#This Row],[Order_Date]]&gt;ReconciliationData[[#This Row],[End_Date]]),1,0)</f>
        <v>0</v>
      </c>
      <c r="U3024">
        <f>IF(AND(NOT(ISBLANK(ReconciliationData[[#This Row],[last_return_date]])),ReconciliationData[[#This Row],[last_return_date]]&gt;ReconciliationData[[#This Row],[Order_Date]]+60),1,0)</f>
        <v>0</v>
      </c>
      <c r="V3024">
        <f>IF(ReconciliationData[[#This Row],[total_returned_units]]&gt;ReconciliationData[[#This Row],[ordered_units]],1,0)</f>
        <v>0</v>
      </c>
      <c r="W30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24">
        <f>ReconciliationData[[#This Row],[Billed_Units]]*ReconciliationData[[#This Row],[Billed_Price]]</f>
        <v>35747.603999999999</v>
      </c>
      <c r="Y3024">
        <f>ReconciliationData[[#This Row],[ordered_units]]*ReconciliationData[[#This Row],[List_Price]]</f>
        <v>35747.603999999999</v>
      </c>
      <c r="Z3024">
        <f>ReconciliationData[[#This Row],[billed_revenue]]-ReconciliationData[[#This Row],[expected_revenue]]</f>
        <v>0</v>
      </c>
      <c r="AA30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24" t="str">
        <f>IF(ReconciliationData[[#This Row],[severity_score]]=0,"LOW",
 IF(ReconciliationData[[#This Row],[severity_score]]&lt;=5,"MEDIUM","HIGH"))</f>
        <v>LOW</v>
      </c>
      <c r="AC3024" t="str">
        <f>TEXT(ReconciliationData[[#This Row],[Order_Date]],"YYYY-MM")</f>
        <v>2023-02</v>
      </c>
    </row>
    <row r="3025" spans="1:29">
      <c r="A3025" t="s">
        <v>7262</v>
      </c>
      <c r="B3025" s="1">
        <v>45477</v>
      </c>
      <c r="C3025" t="s">
        <v>904</v>
      </c>
      <c r="D3025" t="s">
        <v>807</v>
      </c>
      <c r="E3025">
        <v>184</v>
      </c>
      <c r="F3025" t="s">
        <v>7263</v>
      </c>
      <c r="G3025">
        <v>180</v>
      </c>
      <c r="H3025">
        <v>383.63</v>
      </c>
      <c r="N3025">
        <v>383.63</v>
      </c>
      <c r="O3025" s="1">
        <v>45200</v>
      </c>
      <c r="P3025">
        <f>IF(ISBLANK(ReconciliationData[[#This Row],[Invoice_ID]]),1,0)</f>
        <v>0</v>
      </c>
      <c r="Q3025">
        <f>IF(AND(NOT(ISBLANK(ReconciliationData[[#This Row],[Billed_Units]])),ReconciliationData[[#This Row],[ordered_units]]&lt;&gt;ReconciliationData[[#This Row],[Billed_Units]]),1,0)</f>
        <v>1</v>
      </c>
      <c r="R30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5">
        <f>IF(AND(NOT(ISBLANK(ReconciliationData[[#This Row],[Contract_Price]])),ReconciliationData[[#This Row],[Billed_Price]]&lt;&gt;ReconciliationData[[#This Row],[Contract_Price]]),1,0)</f>
        <v>0</v>
      </c>
      <c r="T3025">
        <f>IF(AND(NOT(ISBLANK(ReconciliationData[[#This Row],[End_Date]])),ReconciliationData[[#This Row],[Order_Date]]&gt;ReconciliationData[[#This Row],[End_Date]]),1,0)</f>
        <v>0</v>
      </c>
      <c r="U3025">
        <f>IF(AND(NOT(ISBLANK(ReconciliationData[[#This Row],[last_return_date]])),ReconciliationData[[#This Row],[last_return_date]]&gt;ReconciliationData[[#This Row],[Order_Date]]+60),1,0)</f>
        <v>0</v>
      </c>
      <c r="V3025">
        <f>IF(ReconciliationData[[#This Row],[total_returned_units]]&gt;ReconciliationData[[#This Row],[ordered_units]],1,0)</f>
        <v>0</v>
      </c>
      <c r="W30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25">
        <f>ReconciliationData[[#This Row],[Billed_Units]]*ReconciliationData[[#This Row],[Billed_Price]]</f>
        <v>69053.399999999994</v>
      </c>
      <c r="Y3025">
        <f>ReconciliationData[[#This Row],[ordered_units]]*ReconciliationData[[#This Row],[List_Price]]</f>
        <v>70587.92</v>
      </c>
      <c r="Z3025">
        <f>ReconciliationData[[#This Row],[billed_revenue]]-ReconciliationData[[#This Row],[expected_revenue]]</f>
        <v>-1534.5200000000041</v>
      </c>
      <c r="AA30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025" t="str">
        <f>IF(ReconciliationData[[#This Row],[severity_score]]=0,"LOW",
 IF(ReconciliationData[[#This Row],[severity_score]]&lt;=5,"MEDIUM","HIGH"))</f>
        <v>HIGH</v>
      </c>
      <c r="AC3025" t="str">
        <f>TEXT(ReconciliationData[[#This Row],[Order_Date]],"YYYY-MM")</f>
        <v>2024-07</v>
      </c>
    </row>
    <row r="3026" spans="1:29">
      <c r="A3026" t="s">
        <v>7264</v>
      </c>
      <c r="B3026" s="1">
        <v>45249</v>
      </c>
      <c r="C3026" t="s">
        <v>725</v>
      </c>
      <c r="D3026" t="s">
        <v>154</v>
      </c>
      <c r="E3026">
        <v>123</v>
      </c>
      <c r="F3026" t="s">
        <v>7265</v>
      </c>
      <c r="G3026">
        <v>123</v>
      </c>
      <c r="H3026">
        <v>1058.3499999999999</v>
      </c>
      <c r="N3026">
        <v>1058.3499999999999</v>
      </c>
      <c r="O3026" s="1">
        <v>45136</v>
      </c>
      <c r="P3026">
        <f>IF(ISBLANK(ReconciliationData[[#This Row],[Invoice_ID]]),1,0)</f>
        <v>0</v>
      </c>
      <c r="Q3026">
        <f>IF(AND(NOT(ISBLANK(ReconciliationData[[#This Row],[Billed_Units]])),ReconciliationData[[#This Row],[ordered_units]]&lt;&gt;ReconciliationData[[#This Row],[Billed_Units]]),1,0)</f>
        <v>0</v>
      </c>
      <c r="R30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6">
        <f>IF(AND(NOT(ISBLANK(ReconciliationData[[#This Row],[Contract_Price]])),ReconciliationData[[#This Row],[Billed_Price]]&lt;&gt;ReconciliationData[[#This Row],[Contract_Price]]),1,0)</f>
        <v>0</v>
      </c>
      <c r="T3026">
        <f>IF(AND(NOT(ISBLANK(ReconciliationData[[#This Row],[End_Date]])),ReconciliationData[[#This Row],[Order_Date]]&gt;ReconciliationData[[#This Row],[End_Date]]),1,0)</f>
        <v>0</v>
      </c>
      <c r="U3026">
        <f>IF(AND(NOT(ISBLANK(ReconciliationData[[#This Row],[last_return_date]])),ReconciliationData[[#This Row],[last_return_date]]&gt;ReconciliationData[[#This Row],[Order_Date]]+60),1,0)</f>
        <v>0</v>
      </c>
      <c r="V3026">
        <f>IF(ReconciliationData[[#This Row],[total_returned_units]]&gt;ReconciliationData[[#This Row],[ordered_units]],1,0)</f>
        <v>0</v>
      </c>
      <c r="W30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26">
        <f>ReconciliationData[[#This Row],[Billed_Units]]*ReconciliationData[[#This Row],[Billed_Price]]</f>
        <v>130177.04999999999</v>
      </c>
      <c r="Y3026">
        <f>ReconciliationData[[#This Row],[ordered_units]]*ReconciliationData[[#This Row],[List_Price]]</f>
        <v>130177.04999999999</v>
      </c>
      <c r="Z3026">
        <f>ReconciliationData[[#This Row],[billed_revenue]]-ReconciliationData[[#This Row],[expected_revenue]]</f>
        <v>0</v>
      </c>
      <c r="AA30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26" t="str">
        <f>IF(ReconciliationData[[#This Row],[severity_score]]=0,"LOW",
 IF(ReconciliationData[[#This Row],[severity_score]]&lt;=5,"MEDIUM","HIGH"))</f>
        <v>LOW</v>
      </c>
      <c r="AC3026" t="str">
        <f>TEXT(ReconciliationData[[#This Row],[Order_Date]],"YYYY-MM")</f>
        <v>2023-11</v>
      </c>
    </row>
    <row r="3027" spans="1:29">
      <c r="A3027" t="s">
        <v>7266</v>
      </c>
      <c r="B3027" s="1">
        <v>45369</v>
      </c>
      <c r="C3027" t="s">
        <v>6156</v>
      </c>
      <c r="D3027" t="s">
        <v>614</v>
      </c>
      <c r="E3027">
        <v>48</v>
      </c>
      <c r="F3027" t="s">
        <v>7267</v>
      </c>
      <c r="G3027">
        <v>48</v>
      </c>
      <c r="H3027">
        <v>951.75750000000005</v>
      </c>
      <c r="N3027">
        <v>951.75750000000005</v>
      </c>
      <c r="O3027" s="1">
        <v>45184</v>
      </c>
      <c r="P3027">
        <f>IF(ISBLANK(ReconciliationData[[#This Row],[Invoice_ID]]),1,0)</f>
        <v>0</v>
      </c>
      <c r="Q3027">
        <f>IF(AND(NOT(ISBLANK(ReconciliationData[[#This Row],[Billed_Units]])),ReconciliationData[[#This Row],[ordered_units]]&lt;&gt;ReconciliationData[[#This Row],[Billed_Units]]),1,0)</f>
        <v>0</v>
      </c>
      <c r="R30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7">
        <f>IF(AND(NOT(ISBLANK(ReconciliationData[[#This Row],[Contract_Price]])),ReconciliationData[[#This Row],[Billed_Price]]&lt;&gt;ReconciliationData[[#This Row],[Contract_Price]]),1,0)</f>
        <v>0</v>
      </c>
      <c r="T3027">
        <f>IF(AND(NOT(ISBLANK(ReconciliationData[[#This Row],[End_Date]])),ReconciliationData[[#This Row],[Order_Date]]&gt;ReconciliationData[[#This Row],[End_Date]]),1,0)</f>
        <v>0</v>
      </c>
      <c r="U3027">
        <f>IF(AND(NOT(ISBLANK(ReconciliationData[[#This Row],[last_return_date]])),ReconciliationData[[#This Row],[last_return_date]]&gt;ReconciliationData[[#This Row],[Order_Date]]+60),1,0)</f>
        <v>0</v>
      </c>
      <c r="V3027">
        <f>IF(ReconciliationData[[#This Row],[total_returned_units]]&gt;ReconciliationData[[#This Row],[ordered_units]],1,0)</f>
        <v>0</v>
      </c>
      <c r="W30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27">
        <f>ReconciliationData[[#This Row],[Billed_Units]]*ReconciliationData[[#This Row],[Billed_Price]]</f>
        <v>45684.36</v>
      </c>
      <c r="Y3027">
        <f>ReconciliationData[[#This Row],[ordered_units]]*ReconciliationData[[#This Row],[List_Price]]</f>
        <v>45684.36</v>
      </c>
      <c r="Z3027">
        <f>ReconciliationData[[#This Row],[billed_revenue]]-ReconciliationData[[#This Row],[expected_revenue]]</f>
        <v>0</v>
      </c>
      <c r="AA30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27" t="str">
        <f>IF(ReconciliationData[[#This Row],[severity_score]]=0,"LOW",
 IF(ReconciliationData[[#This Row],[severity_score]]&lt;=5,"MEDIUM","HIGH"))</f>
        <v>LOW</v>
      </c>
      <c r="AC3027" t="str">
        <f>TEXT(ReconciliationData[[#This Row],[Order_Date]],"YYYY-MM")</f>
        <v>2024-03</v>
      </c>
    </row>
    <row r="3028" spans="1:29">
      <c r="A3028" t="s">
        <v>7268</v>
      </c>
      <c r="B3028" s="1">
        <v>45591</v>
      </c>
      <c r="C3028" t="s">
        <v>475</v>
      </c>
      <c r="D3028" t="s">
        <v>2765</v>
      </c>
      <c r="E3028">
        <v>84</v>
      </c>
      <c r="F3028" t="s">
        <v>7269</v>
      </c>
      <c r="G3028">
        <v>84</v>
      </c>
      <c r="H3028">
        <v>1037.4366</v>
      </c>
      <c r="N3028">
        <v>1037.4366</v>
      </c>
      <c r="O3028" s="1">
        <v>45198</v>
      </c>
      <c r="P3028">
        <f>IF(ISBLANK(ReconciliationData[[#This Row],[Invoice_ID]]),1,0)</f>
        <v>0</v>
      </c>
      <c r="Q3028">
        <f>IF(AND(NOT(ISBLANK(ReconciliationData[[#This Row],[Billed_Units]])),ReconciliationData[[#This Row],[ordered_units]]&lt;&gt;ReconciliationData[[#This Row],[Billed_Units]]),1,0)</f>
        <v>0</v>
      </c>
      <c r="R30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8">
        <f>IF(AND(NOT(ISBLANK(ReconciliationData[[#This Row],[Contract_Price]])),ReconciliationData[[#This Row],[Billed_Price]]&lt;&gt;ReconciliationData[[#This Row],[Contract_Price]]),1,0)</f>
        <v>0</v>
      </c>
      <c r="T3028">
        <f>IF(AND(NOT(ISBLANK(ReconciliationData[[#This Row],[End_Date]])),ReconciliationData[[#This Row],[Order_Date]]&gt;ReconciliationData[[#This Row],[End_Date]]),1,0)</f>
        <v>0</v>
      </c>
      <c r="U3028">
        <f>IF(AND(NOT(ISBLANK(ReconciliationData[[#This Row],[last_return_date]])),ReconciliationData[[#This Row],[last_return_date]]&gt;ReconciliationData[[#This Row],[Order_Date]]+60),1,0)</f>
        <v>0</v>
      </c>
      <c r="V3028">
        <f>IF(ReconciliationData[[#This Row],[total_returned_units]]&gt;ReconciliationData[[#This Row],[ordered_units]],1,0)</f>
        <v>0</v>
      </c>
      <c r="W30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28">
        <f>ReconciliationData[[#This Row],[Billed_Units]]*ReconciliationData[[#This Row],[Billed_Price]]</f>
        <v>87144.674400000004</v>
      </c>
      <c r="Y3028">
        <f>ReconciliationData[[#This Row],[ordered_units]]*ReconciliationData[[#This Row],[List_Price]]</f>
        <v>87144.674400000004</v>
      </c>
      <c r="Z3028">
        <f>ReconciliationData[[#This Row],[billed_revenue]]-ReconciliationData[[#This Row],[expected_revenue]]</f>
        <v>0</v>
      </c>
      <c r="AA30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28" t="str">
        <f>IF(ReconciliationData[[#This Row],[severity_score]]=0,"LOW",
 IF(ReconciliationData[[#This Row],[severity_score]]&lt;=5,"MEDIUM","HIGH"))</f>
        <v>LOW</v>
      </c>
      <c r="AC3028" t="str">
        <f>TEXT(ReconciliationData[[#This Row],[Order_Date]],"YYYY-MM")</f>
        <v>2024-10</v>
      </c>
    </row>
    <row r="3029" spans="1:29">
      <c r="A3029" t="s">
        <v>7270</v>
      </c>
      <c r="B3029" s="1">
        <v>45622</v>
      </c>
      <c r="C3029" t="s">
        <v>714</v>
      </c>
      <c r="D3029" t="s">
        <v>186</v>
      </c>
      <c r="E3029">
        <v>118</v>
      </c>
      <c r="F3029" t="s">
        <v>7271</v>
      </c>
      <c r="G3029">
        <v>118</v>
      </c>
      <c r="H3029">
        <v>248.24449999999999</v>
      </c>
      <c r="N3029">
        <v>248.24449999999999</v>
      </c>
      <c r="O3029" s="1">
        <v>44933</v>
      </c>
      <c r="P3029">
        <f>IF(ISBLANK(ReconciliationData[[#This Row],[Invoice_ID]]),1,0)</f>
        <v>0</v>
      </c>
      <c r="Q3029">
        <f>IF(AND(NOT(ISBLANK(ReconciliationData[[#This Row],[Billed_Units]])),ReconciliationData[[#This Row],[ordered_units]]&lt;&gt;ReconciliationData[[#This Row],[Billed_Units]]),1,0)</f>
        <v>0</v>
      </c>
      <c r="R30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29">
        <f>IF(AND(NOT(ISBLANK(ReconciliationData[[#This Row],[Contract_Price]])),ReconciliationData[[#This Row],[Billed_Price]]&lt;&gt;ReconciliationData[[#This Row],[Contract_Price]]),1,0)</f>
        <v>0</v>
      </c>
      <c r="T3029">
        <f>IF(AND(NOT(ISBLANK(ReconciliationData[[#This Row],[End_Date]])),ReconciliationData[[#This Row],[Order_Date]]&gt;ReconciliationData[[#This Row],[End_Date]]),1,0)</f>
        <v>0</v>
      </c>
      <c r="U3029">
        <f>IF(AND(NOT(ISBLANK(ReconciliationData[[#This Row],[last_return_date]])),ReconciliationData[[#This Row],[last_return_date]]&gt;ReconciliationData[[#This Row],[Order_Date]]+60),1,0)</f>
        <v>0</v>
      </c>
      <c r="V3029">
        <f>IF(ReconciliationData[[#This Row],[total_returned_units]]&gt;ReconciliationData[[#This Row],[ordered_units]],1,0)</f>
        <v>0</v>
      </c>
      <c r="W30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29">
        <f>ReconciliationData[[#This Row],[Billed_Units]]*ReconciliationData[[#This Row],[Billed_Price]]</f>
        <v>29292.850999999999</v>
      </c>
      <c r="Y3029">
        <f>ReconciliationData[[#This Row],[ordered_units]]*ReconciliationData[[#This Row],[List_Price]]</f>
        <v>29292.850999999999</v>
      </c>
      <c r="Z3029">
        <f>ReconciliationData[[#This Row],[billed_revenue]]-ReconciliationData[[#This Row],[expected_revenue]]</f>
        <v>0</v>
      </c>
      <c r="AA30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29" t="str">
        <f>IF(ReconciliationData[[#This Row],[severity_score]]=0,"LOW",
 IF(ReconciliationData[[#This Row],[severity_score]]&lt;=5,"MEDIUM","HIGH"))</f>
        <v>LOW</v>
      </c>
      <c r="AC3029" t="str">
        <f>TEXT(ReconciliationData[[#This Row],[Order_Date]],"YYYY-MM")</f>
        <v>2024-11</v>
      </c>
    </row>
    <row r="3030" spans="1:29">
      <c r="A3030" t="s">
        <v>7272</v>
      </c>
      <c r="B3030" s="1">
        <v>45654</v>
      </c>
      <c r="C3030" t="s">
        <v>954</v>
      </c>
      <c r="D3030" t="s">
        <v>1003</v>
      </c>
      <c r="E3030">
        <v>196</v>
      </c>
      <c r="F3030" t="s">
        <v>7273</v>
      </c>
      <c r="G3030">
        <v>196</v>
      </c>
      <c r="H3030">
        <v>825.13580000000002</v>
      </c>
      <c r="I3030">
        <v>10</v>
      </c>
      <c r="J3030" s="1">
        <v>45345</v>
      </c>
      <c r="N3030">
        <v>825.13580000000002</v>
      </c>
      <c r="O3030" s="1">
        <v>44998</v>
      </c>
      <c r="P3030">
        <f>IF(ISBLANK(ReconciliationData[[#This Row],[Invoice_ID]]),1,0)</f>
        <v>0</v>
      </c>
      <c r="Q3030">
        <f>IF(AND(NOT(ISBLANK(ReconciliationData[[#This Row],[Billed_Units]])),ReconciliationData[[#This Row],[ordered_units]]&lt;&gt;ReconciliationData[[#This Row],[Billed_Units]]),1,0)</f>
        <v>0</v>
      </c>
      <c r="R30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0">
        <f>IF(AND(NOT(ISBLANK(ReconciliationData[[#This Row],[Contract_Price]])),ReconciliationData[[#This Row],[Billed_Price]]&lt;&gt;ReconciliationData[[#This Row],[Contract_Price]]),1,0)</f>
        <v>0</v>
      </c>
      <c r="T3030">
        <f>IF(AND(NOT(ISBLANK(ReconciliationData[[#This Row],[End_Date]])),ReconciliationData[[#This Row],[Order_Date]]&gt;ReconciliationData[[#This Row],[End_Date]]),1,0)</f>
        <v>0</v>
      </c>
      <c r="U3030">
        <f>IF(AND(NOT(ISBLANK(ReconciliationData[[#This Row],[last_return_date]])),ReconciliationData[[#This Row],[last_return_date]]&gt;ReconciliationData[[#This Row],[Order_Date]]+60),1,0)</f>
        <v>0</v>
      </c>
      <c r="V3030">
        <f>IF(ReconciliationData[[#This Row],[total_returned_units]]&gt;ReconciliationData[[#This Row],[ordered_units]],1,0)</f>
        <v>0</v>
      </c>
      <c r="W30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30">
        <f>ReconciliationData[[#This Row],[Billed_Units]]*ReconciliationData[[#This Row],[Billed_Price]]</f>
        <v>161726.61680000002</v>
      </c>
      <c r="Y3030">
        <f>ReconciliationData[[#This Row],[ordered_units]]*ReconciliationData[[#This Row],[List_Price]]</f>
        <v>161726.61680000002</v>
      </c>
      <c r="Z3030">
        <f>ReconciliationData[[#This Row],[billed_revenue]]-ReconciliationData[[#This Row],[expected_revenue]]</f>
        <v>0</v>
      </c>
      <c r="AA30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30" t="str">
        <f>IF(ReconciliationData[[#This Row],[severity_score]]=0,"LOW",
 IF(ReconciliationData[[#This Row],[severity_score]]&lt;=5,"MEDIUM","HIGH"))</f>
        <v>LOW</v>
      </c>
      <c r="AC3030" t="str">
        <f>TEXT(ReconciliationData[[#This Row],[Order_Date]],"YYYY-MM")</f>
        <v>2024-12</v>
      </c>
    </row>
    <row r="3031" spans="1:29">
      <c r="A3031" t="s">
        <v>7274</v>
      </c>
      <c r="B3031" s="1">
        <v>45317</v>
      </c>
      <c r="C3031" t="s">
        <v>4300</v>
      </c>
      <c r="D3031" t="s">
        <v>1502</v>
      </c>
      <c r="E3031">
        <v>32</v>
      </c>
      <c r="F3031" t="s">
        <v>7275</v>
      </c>
      <c r="G3031">
        <v>32</v>
      </c>
      <c r="H3031">
        <v>307.97520000000003</v>
      </c>
      <c r="N3031">
        <v>307.97520000000003</v>
      </c>
      <c r="O3031" s="1">
        <v>45029</v>
      </c>
      <c r="P3031">
        <f>IF(ISBLANK(ReconciliationData[[#This Row],[Invoice_ID]]),1,0)</f>
        <v>0</v>
      </c>
      <c r="Q3031">
        <f>IF(AND(NOT(ISBLANK(ReconciliationData[[#This Row],[Billed_Units]])),ReconciliationData[[#This Row],[ordered_units]]&lt;&gt;ReconciliationData[[#This Row],[Billed_Units]]),1,0)</f>
        <v>0</v>
      </c>
      <c r="R30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1">
        <f>IF(AND(NOT(ISBLANK(ReconciliationData[[#This Row],[Contract_Price]])),ReconciliationData[[#This Row],[Billed_Price]]&lt;&gt;ReconciliationData[[#This Row],[Contract_Price]]),1,0)</f>
        <v>0</v>
      </c>
      <c r="T3031">
        <f>IF(AND(NOT(ISBLANK(ReconciliationData[[#This Row],[End_Date]])),ReconciliationData[[#This Row],[Order_Date]]&gt;ReconciliationData[[#This Row],[End_Date]]),1,0)</f>
        <v>0</v>
      </c>
      <c r="U3031">
        <f>IF(AND(NOT(ISBLANK(ReconciliationData[[#This Row],[last_return_date]])),ReconciliationData[[#This Row],[last_return_date]]&gt;ReconciliationData[[#This Row],[Order_Date]]+60),1,0)</f>
        <v>0</v>
      </c>
      <c r="V3031">
        <f>IF(ReconciliationData[[#This Row],[total_returned_units]]&gt;ReconciliationData[[#This Row],[ordered_units]],1,0)</f>
        <v>0</v>
      </c>
      <c r="W30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31">
        <f>ReconciliationData[[#This Row],[Billed_Units]]*ReconciliationData[[#This Row],[Billed_Price]]</f>
        <v>9855.2064000000009</v>
      </c>
      <c r="Y3031">
        <f>ReconciliationData[[#This Row],[ordered_units]]*ReconciliationData[[#This Row],[List_Price]]</f>
        <v>9855.2064000000009</v>
      </c>
      <c r="Z3031">
        <f>ReconciliationData[[#This Row],[billed_revenue]]-ReconciliationData[[#This Row],[expected_revenue]]</f>
        <v>0</v>
      </c>
      <c r="AA30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31" t="str">
        <f>IF(ReconciliationData[[#This Row],[severity_score]]=0,"LOW",
 IF(ReconciliationData[[#This Row],[severity_score]]&lt;=5,"MEDIUM","HIGH"))</f>
        <v>LOW</v>
      </c>
      <c r="AC3031" t="str">
        <f>TEXT(ReconciliationData[[#This Row],[Order_Date]],"YYYY-MM")</f>
        <v>2024-01</v>
      </c>
    </row>
    <row r="3032" spans="1:29">
      <c r="A3032" t="s">
        <v>7276</v>
      </c>
      <c r="B3032" s="1">
        <v>45024</v>
      </c>
      <c r="C3032" t="s">
        <v>1801</v>
      </c>
      <c r="D3032" t="s">
        <v>951</v>
      </c>
      <c r="E3032">
        <v>67</v>
      </c>
      <c r="F3032" t="s">
        <v>7277</v>
      </c>
      <c r="G3032">
        <v>67</v>
      </c>
      <c r="H3032">
        <v>577.34399999999994</v>
      </c>
      <c r="N3032">
        <v>577.34399999999994</v>
      </c>
      <c r="O3032" s="1">
        <v>44807</v>
      </c>
      <c r="P3032">
        <f>IF(ISBLANK(ReconciliationData[[#This Row],[Invoice_ID]]),1,0)</f>
        <v>0</v>
      </c>
      <c r="Q3032">
        <f>IF(AND(NOT(ISBLANK(ReconciliationData[[#This Row],[Billed_Units]])),ReconciliationData[[#This Row],[ordered_units]]&lt;&gt;ReconciliationData[[#This Row],[Billed_Units]]),1,0)</f>
        <v>0</v>
      </c>
      <c r="R30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2">
        <f>IF(AND(NOT(ISBLANK(ReconciliationData[[#This Row],[Contract_Price]])),ReconciliationData[[#This Row],[Billed_Price]]&lt;&gt;ReconciliationData[[#This Row],[Contract_Price]]),1,0)</f>
        <v>0</v>
      </c>
      <c r="T3032">
        <f>IF(AND(NOT(ISBLANK(ReconciliationData[[#This Row],[End_Date]])),ReconciliationData[[#This Row],[Order_Date]]&gt;ReconciliationData[[#This Row],[End_Date]]),1,0)</f>
        <v>0</v>
      </c>
      <c r="U3032">
        <f>IF(AND(NOT(ISBLANK(ReconciliationData[[#This Row],[last_return_date]])),ReconciliationData[[#This Row],[last_return_date]]&gt;ReconciliationData[[#This Row],[Order_Date]]+60),1,0)</f>
        <v>0</v>
      </c>
      <c r="V3032">
        <f>IF(ReconciliationData[[#This Row],[total_returned_units]]&gt;ReconciliationData[[#This Row],[ordered_units]],1,0)</f>
        <v>0</v>
      </c>
      <c r="W30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32">
        <f>ReconciliationData[[#This Row],[Billed_Units]]*ReconciliationData[[#This Row],[Billed_Price]]</f>
        <v>38682.047999999995</v>
      </c>
      <c r="Y3032">
        <f>ReconciliationData[[#This Row],[ordered_units]]*ReconciliationData[[#This Row],[List_Price]]</f>
        <v>38682.047999999995</v>
      </c>
      <c r="Z3032">
        <f>ReconciliationData[[#This Row],[billed_revenue]]-ReconciliationData[[#This Row],[expected_revenue]]</f>
        <v>0</v>
      </c>
      <c r="AA30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32" t="str">
        <f>IF(ReconciliationData[[#This Row],[severity_score]]=0,"LOW",
 IF(ReconciliationData[[#This Row],[severity_score]]&lt;=5,"MEDIUM","HIGH"))</f>
        <v>LOW</v>
      </c>
      <c r="AC3032" t="str">
        <f>TEXT(ReconciliationData[[#This Row],[Order_Date]],"YYYY-MM")</f>
        <v>2023-04</v>
      </c>
    </row>
    <row r="3033" spans="1:29">
      <c r="A3033" t="s">
        <v>7278</v>
      </c>
      <c r="B3033" s="1">
        <v>45348</v>
      </c>
      <c r="C3033" t="s">
        <v>2034</v>
      </c>
      <c r="D3033" t="s">
        <v>2023</v>
      </c>
      <c r="E3033">
        <v>56</v>
      </c>
      <c r="F3033" t="s">
        <v>7279</v>
      </c>
      <c r="G3033">
        <v>56</v>
      </c>
      <c r="H3033">
        <v>510.27839999999998</v>
      </c>
      <c r="N3033">
        <v>510.27839999999998</v>
      </c>
      <c r="O3033" s="1">
        <v>45127</v>
      </c>
      <c r="P3033">
        <f>IF(ISBLANK(ReconciliationData[[#This Row],[Invoice_ID]]),1,0)</f>
        <v>0</v>
      </c>
      <c r="Q3033">
        <f>IF(AND(NOT(ISBLANK(ReconciliationData[[#This Row],[Billed_Units]])),ReconciliationData[[#This Row],[ordered_units]]&lt;&gt;ReconciliationData[[#This Row],[Billed_Units]]),1,0)</f>
        <v>0</v>
      </c>
      <c r="R30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3">
        <f>IF(AND(NOT(ISBLANK(ReconciliationData[[#This Row],[Contract_Price]])),ReconciliationData[[#This Row],[Billed_Price]]&lt;&gt;ReconciliationData[[#This Row],[Contract_Price]]),1,0)</f>
        <v>0</v>
      </c>
      <c r="T3033">
        <f>IF(AND(NOT(ISBLANK(ReconciliationData[[#This Row],[End_Date]])),ReconciliationData[[#This Row],[Order_Date]]&gt;ReconciliationData[[#This Row],[End_Date]]),1,0)</f>
        <v>0</v>
      </c>
      <c r="U3033">
        <f>IF(AND(NOT(ISBLANK(ReconciliationData[[#This Row],[last_return_date]])),ReconciliationData[[#This Row],[last_return_date]]&gt;ReconciliationData[[#This Row],[Order_Date]]+60),1,0)</f>
        <v>0</v>
      </c>
      <c r="V3033">
        <f>IF(ReconciliationData[[#This Row],[total_returned_units]]&gt;ReconciliationData[[#This Row],[ordered_units]],1,0)</f>
        <v>0</v>
      </c>
      <c r="W30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33">
        <f>ReconciliationData[[#This Row],[Billed_Units]]*ReconciliationData[[#This Row],[Billed_Price]]</f>
        <v>28575.590399999997</v>
      </c>
      <c r="Y3033">
        <f>ReconciliationData[[#This Row],[ordered_units]]*ReconciliationData[[#This Row],[List_Price]]</f>
        <v>28575.590399999997</v>
      </c>
      <c r="Z3033">
        <f>ReconciliationData[[#This Row],[billed_revenue]]-ReconciliationData[[#This Row],[expected_revenue]]</f>
        <v>0</v>
      </c>
      <c r="AA30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33" t="str">
        <f>IF(ReconciliationData[[#This Row],[severity_score]]=0,"LOW",
 IF(ReconciliationData[[#This Row],[severity_score]]&lt;=5,"MEDIUM","HIGH"))</f>
        <v>LOW</v>
      </c>
      <c r="AC3033" t="str">
        <f>TEXT(ReconciliationData[[#This Row],[Order_Date]],"YYYY-MM")</f>
        <v>2024-02</v>
      </c>
    </row>
    <row r="3034" spans="1:29">
      <c r="A3034" t="s">
        <v>7280</v>
      </c>
      <c r="B3034" s="1">
        <v>45249</v>
      </c>
      <c r="C3034" t="s">
        <v>4099</v>
      </c>
      <c r="D3034" t="s">
        <v>329</v>
      </c>
      <c r="E3034">
        <v>199</v>
      </c>
      <c r="F3034" t="s">
        <v>7281</v>
      </c>
      <c r="G3034">
        <v>199</v>
      </c>
      <c r="H3034">
        <v>385.42419999999998</v>
      </c>
      <c r="N3034">
        <v>385.42419999999998</v>
      </c>
      <c r="O3034" s="1">
        <v>45079</v>
      </c>
      <c r="P3034">
        <f>IF(ISBLANK(ReconciliationData[[#This Row],[Invoice_ID]]),1,0)</f>
        <v>0</v>
      </c>
      <c r="Q3034">
        <f>IF(AND(NOT(ISBLANK(ReconciliationData[[#This Row],[Billed_Units]])),ReconciliationData[[#This Row],[ordered_units]]&lt;&gt;ReconciliationData[[#This Row],[Billed_Units]]),1,0)</f>
        <v>0</v>
      </c>
      <c r="R30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4">
        <f>IF(AND(NOT(ISBLANK(ReconciliationData[[#This Row],[Contract_Price]])),ReconciliationData[[#This Row],[Billed_Price]]&lt;&gt;ReconciliationData[[#This Row],[Contract_Price]]),1,0)</f>
        <v>0</v>
      </c>
      <c r="T3034">
        <f>IF(AND(NOT(ISBLANK(ReconciliationData[[#This Row],[End_Date]])),ReconciliationData[[#This Row],[Order_Date]]&gt;ReconciliationData[[#This Row],[End_Date]]),1,0)</f>
        <v>0</v>
      </c>
      <c r="U3034">
        <f>IF(AND(NOT(ISBLANK(ReconciliationData[[#This Row],[last_return_date]])),ReconciliationData[[#This Row],[last_return_date]]&gt;ReconciliationData[[#This Row],[Order_Date]]+60),1,0)</f>
        <v>0</v>
      </c>
      <c r="V3034">
        <f>IF(ReconciliationData[[#This Row],[total_returned_units]]&gt;ReconciliationData[[#This Row],[ordered_units]],1,0)</f>
        <v>0</v>
      </c>
      <c r="W30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34">
        <f>ReconciliationData[[#This Row],[Billed_Units]]*ReconciliationData[[#This Row],[Billed_Price]]</f>
        <v>76699.415800000002</v>
      </c>
      <c r="Y3034">
        <f>ReconciliationData[[#This Row],[ordered_units]]*ReconciliationData[[#This Row],[List_Price]]</f>
        <v>76699.415800000002</v>
      </c>
      <c r="Z3034">
        <f>ReconciliationData[[#This Row],[billed_revenue]]-ReconciliationData[[#This Row],[expected_revenue]]</f>
        <v>0</v>
      </c>
      <c r="AA30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34" t="str">
        <f>IF(ReconciliationData[[#This Row],[severity_score]]=0,"LOW",
 IF(ReconciliationData[[#This Row],[severity_score]]&lt;=5,"MEDIUM","HIGH"))</f>
        <v>LOW</v>
      </c>
      <c r="AC3034" t="str">
        <f>TEXT(ReconciliationData[[#This Row],[Order_Date]],"YYYY-MM")</f>
        <v>2023-11</v>
      </c>
    </row>
    <row r="3035" spans="1:29">
      <c r="A3035" t="s">
        <v>7282</v>
      </c>
      <c r="B3035" s="1">
        <v>45044</v>
      </c>
      <c r="C3035" t="s">
        <v>3323</v>
      </c>
      <c r="D3035" t="s">
        <v>453</v>
      </c>
      <c r="E3035">
        <v>190</v>
      </c>
      <c r="F3035" t="s">
        <v>7283</v>
      </c>
      <c r="G3035">
        <v>190</v>
      </c>
      <c r="H3035">
        <v>1138.4856</v>
      </c>
      <c r="N3035">
        <v>1138.4856</v>
      </c>
      <c r="O3035" s="1">
        <v>44865</v>
      </c>
      <c r="P3035">
        <f>IF(ISBLANK(ReconciliationData[[#This Row],[Invoice_ID]]),1,0)</f>
        <v>0</v>
      </c>
      <c r="Q3035">
        <f>IF(AND(NOT(ISBLANK(ReconciliationData[[#This Row],[Billed_Units]])),ReconciliationData[[#This Row],[ordered_units]]&lt;&gt;ReconciliationData[[#This Row],[Billed_Units]]),1,0)</f>
        <v>0</v>
      </c>
      <c r="R30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5">
        <f>IF(AND(NOT(ISBLANK(ReconciliationData[[#This Row],[Contract_Price]])),ReconciliationData[[#This Row],[Billed_Price]]&lt;&gt;ReconciliationData[[#This Row],[Contract_Price]]),1,0)</f>
        <v>0</v>
      </c>
      <c r="T3035">
        <f>IF(AND(NOT(ISBLANK(ReconciliationData[[#This Row],[End_Date]])),ReconciliationData[[#This Row],[Order_Date]]&gt;ReconciliationData[[#This Row],[End_Date]]),1,0)</f>
        <v>0</v>
      </c>
      <c r="U3035">
        <f>IF(AND(NOT(ISBLANK(ReconciliationData[[#This Row],[last_return_date]])),ReconciliationData[[#This Row],[last_return_date]]&gt;ReconciliationData[[#This Row],[Order_Date]]+60),1,0)</f>
        <v>0</v>
      </c>
      <c r="V3035">
        <f>IF(ReconciliationData[[#This Row],[total_returned_units]]&gt;ReconciliationData[[#This Row],[ordered_units]],1,0)</f>
        <v>0</v>
      </c>
      <c r="W30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35">
        <f>ReconciliationData[[#This Row],[Billed_Units]]*ReconciliationData[[#This Row],[Billed_Price]]</f>
        <v>216312.264</v>
      </c>
      <c r="Y3035">
        <f>ReconciliationData[[#This Row],[ordered_units]]*ReconciliationData[[#This Row],[List_Price]]</f>
        <v>216312.264</v>
      </c>
      <c r="Z3035">
        <f>ReconciliationData[[#This Row],[billed_revenue]]-ReconciliationData[[#This Row],[expected_revenue]]</f>
        <v>0</v>
      </c>
      <c r="AA30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35" t="str">
        <f>IF(ReconciliationData[[#This Row],[severity_score]]=0,"LOW",
 IF(ReconciliationData[[#This Row],[severity_score]]&lt;=5,"MEDIUM","HIGH"))</f>
        <v>LOW</v>
      </c>
      <c r="AC3035" t="str">
        <f>TEXT(ReconciliationData[[#This Row],[Order_Date]],"YYYY-MM")</f>
        <v>2023-04</v>
      </c>
    </row>
    <row r="3036" spans="1:29">
      <c r="A3036" t="s">
        <v>7284</v>
      </c>
      <c r="B3036" s="1">
        <v>45043</v>
      </c>
      <c r="C3036" t="s">
        <v>623</v>
      </c>
      <c r="D3036" t="s">
        <v>2331</v>
      </c>
      <c r="E3036">
        <v>146</v>
      </c>
      <c r="F3036" t="s">
        <v>7285</v>
      </c>
      <c r="G3036">
        <v>146</v>
      </c>
      <c r="H3036">
        <v>1012.3984</v>
      </c>
      <c r="N3036">
        <v>1012.3984</v>
      </c>
      <c r="O3036" s="1">
        <v>44798</v>
      </c>
      <c r="P3036">
        <f>IF(ISBLANK(ReconciliationData[[#This Row],[Invoice_ID]]),1,0)</f>
        <v>0</v>
      </c>
      <c r="Q3036">
        <f>IF(AND(NOT(ISBLANK(ReconciliationData[[#This Row],[Billed_Units]])),ReconciliationData[[#This Row],[ordered_units]]&lt;&gt;ReconciliationData[[#This Row],[Billed_Units]]),1,0)</f>
        <v>0</v>
      </c>
      <c r="R30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6">
        <f>IF(AND(NOT(ISBLANK(ReconciliationData[[#This Row],[Contract_Price]])),ReconciliationData[[#This Row],[Billed_Price]]&lt;&gt;ReconciliationData[[#This Row],[Contract_Price]]),1,0)</f>
        <v>0</v>
      </c>
      <c r="T3036">
        <f>IF(AND(NOT(ISBLANK(ReconciliationData[[#This Row],[End_Date]])),ReconciliationData[[#This Row],[Order_Date]]&gt;ReconciliationData[[#This Row],[End_Date]]),1,0)</f>
        <v>0</v>
      </c>
      <c r="U3036">
        <f>IF(AND(NOT(ISBLANK(ReconciliationData[[#This Row],[last_return_date]])),ReconciliationData[[#This Row],[last_return_date]]&gt;ReconciliationData[[#This Row],[Order_Date]]+60),1,0)</f>
        <v>0</v>
      </c>
      <c r="V3036">
        <f>IF(ReconciliationData[[#This Row],[total_returned_units]]&gt;ReconciliationData[[#This Row],[ordered_units]],1,0)</f>
        <v>0</v>
      </c>
      <c r="W30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36">
        <f>ReconciliationData[[#This Row],[Billed_Units]]*ReconciliationData[[#This Row],[Billed_Price]]</f>
        <v>147810.16640000002</v>
      </c>
      <c r="Y3036">
        <f>ReconciliationData[[#This Row],[ordered_units]]*ReconciliationData[[#This Row],[List_Price]]</f>
        <v>147810.16640000002</v>
      </c>
      <c r="Z3036">
        <f>ReconciliationData[[#This Row],[billed_revenue]]-ReconciliationData[[#This Row],[expected_revenue]]</f>
        <v>0</v>
      </c>
      <c r="AA30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36" t="str">
        <f>IF(ReconciliationData[[#This Row],[severity_score]]=0,"LOW",
 IF(ReconciliationData[[#This Row],[severity_score]]&lt;=5,"MEDIUM","HIGH"))</f>
        <v>LOW</v>
      </c>
      <c r="AC3036" t="str">
        <f>TEXT(ReconciliationData[[#This Row],[Order_Date]],"YYYY-MM")</f>
        <v>2023-04</v>
      </c>
    </row>
    <row r="3037" spans="1:29">
      <c r="A3037" t="s">
        <v>7286</v>
      </c>
      <c r="B3037" s="1">
        <v>45340</v>
      </c>
      <c r="C3037" t="s">
        <v>1984</v>
      </c>
      <c r="D3037" t="s">
        <v>1273</v>
      </c>
      <c r="E3037">
        <v>85</v>
      </c>
      <c r="F3037" t="s">
        <v>7287</v>
      </c>
      <c r="G3037">
        <v>85</v>
      </c>
      <c r="H3037">
        <v>1030.7952</v>
      </c>
      <c r="I3037">
        <v>28</v>
      </c>
      <c r="J3037" s="1">
        <v>45658</v>
      </c>
      <c r="N3037">
        <v>1030.7952</v>
      </c>
      <c r="O3037" s="1">
        <v>45154</v>
      </c>
      <c r="P3037">
        <f>IF(ISBLANK(ReconciliationData[[#This Row],[Invoice_ID]]),1,0)</f>
        <v>0</v>
      </c>
      <c r="Q3037">
        <f>IF(AND(NOT(ISBLANK(ReconciliationData[[#This Row],[Billed_Units]])),ReconciliationData[[#This Row],[ordered_units]]&lt;&gt;ReconciliationData[[#This Row],[Billed_Units]]),1,0)</f>
        <v>0</v>
      </c>
      <c r="R30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7">
        <f>IF(AND(NOT(ISBLANK(ReconciliationData[[#This Row],[Contract_Price]])),ReconciliationData[[#This Row],[Billed_Price]]&lt;&gt;ReconciliationData[[#This Row],[Contract_Price]]),1,0)</f>
        <v>0</v>
      </c>
      <c r="T3037">
        <f>IF(AND(NOT(ISBLANK(ReconciliationData[[#This Row],[End_Date]])),ReconciliationData[[#This Row],[Order_Date]]&gt;ReconciliationData[[#This Row],[End_Date]]),1,0)</f>
        <v>0</v>
      </c>
      <c r="U3037">
        <f>IF(AND(NOT(ISBLANK(ReconciliationData[[#This Row],[last_return_date]])),ReconciliationData[[#This Row],[last_return_date]]&gt;ReconciliationData[[#This Row],[Order_Date]]+60),1,0)</f>
        <v>1</v>
      </c>
      <c r="V3037">
        <f>IF(ReconciliationData[[#This Row],[total_returned_units]]&gt;ReconciliationData[[#This Row],[ordered_units]],1,0)</f>
        <v>0</v>
      </c>
      <c r="W30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37">
        <f>ReconciliationData[[#This Row],[Billed_Units]]*ReconciliationData[[#This Row],[Billed_Price]]</f>
        <v>87617.592000000004</v>
      </c>
      <c r="Y3037">
        <f>ReconciliationData[[#This Row],[ordered_units]]*ReconciliationData[[#This Row],[List_Price]]</f>
        <v>87617.592000000004</v>
      </c>
      <c r="Z3037">
        <f>ReconciliationData[[#This Row],[billed_revenue]]-ReconciliationData[[#This Row],[expected_revenue]]</f>
        <v>0</v>
      </c>
      <c r="AA30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037" t="str">
        <f>IF(ReconciliationData[[#This Row],[severity_score]]=0,"LOW",
 IF(ReconciliationData[[#This Row],[severity_score]]&lt;=5,"MEDIUM","HIGH"))</f>
        <v>MEDIUM</v>
      </c>
      <c r="AC3037" t="str">
        <f>TEXT(ReconciliationData[[#This Row],[Order_Date]],"YYYY-MM")</f>
        <v>2024-02</v>
      </c>
    </row>
    <row r="3038" spans="1:29">
      <c r="A3038" t="s">
        <v>7288</v>
      </c>
      <c r="B3038" s="1">
        <v>44932</v>
      </c>
      <c r="C3038" t="s">
        <v>415</v>
      </c>
      <c r="D3038" t="s">
        <v>1235</v>
      </c>
      <c r="E3038">
        <v>82</v>
      </c>
      <c r="F3038" t="s">
        <v>7289</v>
      </c>
      <c r="G3038">
        <v>82</v>
      </c>
      <c r="H3038">
        <v>826.44</v>
      </c>
      <c r="N3038">
        <v>826.44</v>
      </c>
      <c r="O3038" s="1">
        <v>44613</v>
      </c>
      <c r="P3038">
        <f>IF(ISBLANK(ReconciliationData[[#This Row],[Invoice_ID]]),1,0)</f>
        <v>0</v>
      </c>
      <c r="Q3038">
        <f>IF(AND(NOT(ISBLANK(ReconciliationData[[#This Row],[Billed_Units]])),ReconciliationData[[#This Row],[ordered_units]]&lt;&gt;ReconciliationData[[#This Row],[Billed_Units]]),1,0)</f>
        <v>0</v>
      </c>
      <c r="R30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8">
        <f>IF(AND(NOT(ISBLANK(ReconciliationData[[#This Row],[Contract_Price]])),ReconciliationData[[#This Row],[Billed_Price]]&lt;&gt;ReconciliationData[[#This Row],[Contract_Price]]),1,0)</f>
        <v>0</v>
      </c>
      <c r="T3038">
        <f>IF(AND(NOT(ISBLANK(ReconciliationData[[#This Row],[End_Date]])),ReconciliationData[[#This Row],[Order_Date]]&gt;ReconciliationData[[#This Row],[End_Date]]),1,0)</f>
        <v>0</v>
      </c>
      <c r="U3038">
        <f>IF(AND(NOT(ISBLANK(ReconciliationData[[#This Row],[last_return_date]])),ReconciliationData[[#This Row],[last_return_date]]&gt;ReconciliationData[[#This Row],[Order_Date]]+60),1,0)</f>
        <v>0</v>
      </c>
      <c r="V3038">
        <f>IF(ReconciliationData[[#This Row],[total_returned_units]]&gt;ReconciliationData[[#This Row],[ordered_units]],1,0)</f>
        <v>0</v>
      </c>
      <c r="W30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38">
        <f>ReconciliationData[[#This Row],[Billed_Units]]*ReconciliationData[[#This Row],[Billed_Price]]</f>
        <v>67768.08</v>
      </c>
      <c r="Y3038">
        <f>ReconciliationData[[#This Row],[ordered_units]]*ReconciliationData[[#This Row],[List_Price]]</f>
        <v>67768.08</v>
      </c>
      <c r="Z3038">
        <f>ReconciliationData[[#This Row],[billed_revenue]]-ReconciliationData[[#This Row],[expected_revenue]]</f>
        <v>0</v>
      </c>
      <c r="AA30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38" t="str">
        <f>IF(ReconciliationData[[#This Row],[severity_score]]=0,"LOW",
 IF(ReconciliationData[[#This Row],[severity_score]]&lt;=5,"MEDIUM","HIGH"))</f>
        <v>LOW</v>
      </c>
      <c r="AC3038" t="str">
        <f>TEXT(ReconciliationData[[#This Row],[Order_Date]],"YYYY-MM")</f>
        <v>2023-01</v>
      </c>
    </row>
    <row r="3039" spans="1:29">
      <c r="A3039" t="s">
        <v>7290</v>
      </c>
      <c r="B3039" s="1">
        <v>45427</v>
      </c>
      <c r="C3039" t="s">
        <v>1174</v>
      </c>
      <c r="D3039" t="s">
        <v>610</v>
      </c>
      <c r="E3039">
        <v>8</v>
      </c>
      <c r="F3039" t="s">
        <v>7291</v>
      </c>
      <c r="G3039">
        <v>8</v>
      </c>
      <c r="H3039">
        <v>457.65019999999998</v>
      </c>
      <c r="N3039">
        <v>457.65019999999998</v>
      </c>
      <c r="O3039" s="1">
        <v>44950</v>
      </c>
      <c r="P3039">
        <f>IF(ISBLANK(ReconciliationData[[#This Row],[Invoice_ID]]),1,0)</f>
        <v>0</v>
      </c>
      <c r="Q3039">
        <f>IF(AND(NOT(ISBLANK(ReconciliationData[[#This Row],[Billed_Units]])),ReconciliationData[[#This Row],[ordered_units]]&lt;&gt;ReconciliationData[[#This Row],[Billed_Units]]),1,0)</f>
        <v>0</v>
      </c>
      <c r="R30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39">
        <f>IF(AND(NOT(ISBLANK(ReconciliationData[[#This Row],[Contract_Price]])),ReconciliationData[[#This Row],[Billed_Price]]&lt;&gt;ReconciliationData[[#This Row],[Contract_Price]]),1,0)</f>
        <v>0</v>
      </c>
      <c r="T3039">
        <f>IF(AND(NOT(ISBLANK(ReconciliationData[[#This Row],[End_Date]])),ReconciliationData[[#This Row],[Order_Date]]&gt;ReconciliationData[[#This Row],[End_Date]]),1,0)</f>
        <v>0</v>
      </c>
      <c r="U3039">
        <f>IF(AND(NOT(ISBLANK(ReconciliationData[[#This Row],[last_return_date]])),ReconciliationData[[#This Row],[last_return_date]]&gt;ReconciliationData[[#This Row],[Order_Date]]+60),1,0)</f>
        <v>0</v>
      </c>
      <c r="V3039">
        <f>IF(ReconciliationData[[#This Row],[total_returned_units]]&gt;ReconciliationData[[#This Row],[ordered_units]],1,0)</f>
        <v>0</v>
      </c>
      <c r="W30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39">
        <f>ReconciliationData[[#This Row],[Billed_Units]]*ReconciliationData[[#This Row],[Billed_Price]]</f>
        <v>3661.2015999999999</v>
      </c>
      <c r="Y3039">
        <f>ReconciliationData[[#This Row],[ordered_units]]*ReconciliationData[[#This Row],[List_Price]]</f>
        <v>3661.2015999999999</v>
      </c>
      <c r="Z3039">
        <f>ReconciliationData[[#This Row],[billed_revenue]]-ReconciliationData[[#This Row],[expected_revenue]]</f>
        <v>0</v>
      </c>
      <c r="AA30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39" t="str">
        <f>IF(ReconciliationData[[#This Row],[severity_score]]=0,"LOW",
 IF(ReconciliationData[[#This Row],[severity_score]]&lt;=5,"MEDIUM","HIGH"))</f>
        <v>LOW</v>
      </c>
      <c r="AC3039" t="str">
        <f>TEXT(ReconciliationData[[#This Row],[Order_Date]],"YYYY-MM")</f>
        <v>2024-05</v>
      </c>
    </row>
    <row r="3040" spans="1:29">
      <c r="A3040" t="s">
        <v>7292</v>
      </c>
      <c r="B3040" s="1">
        <v>45508</v>
      </c>
      <c r="C3040" t="s">
        <v>336</v>
      </c>
      <c r="D3040" t="s">
        <v>841</v>
      </c>
      <c r="E3040">
        <v>117</v>
      </c>
      <c r="F3040" t="s">
        <v>7293</v>
      </c>
      <c r="G3040">
        <v>117</v>
      </c>
      <c r="H3040">
        <v>185.5224</v>
      </c>
      <c r="N3040">
        <v>185.5224</v>
      </c>
      <c r="O3040" s="1">
        <v>45063</v>
      </c>
      <c r="P3040">
        <f>IF(ISBLANK(ReconciliationData[[#This Row],[Invoice_ID]]),1,0)</f>
        <v>0</v>
      </c>
      <c r="Q3040">
        <f>IF(AND(NOT(ISBLANK(ReconciliationData[[#This Row],[Billed_Units]])),ReconciliationData[[#This Row],[ordered_units]]&lt;&gt;ReconciliationData[[#This Row],[Billed_Units]]),1,0)</f>
        <v>0</v>
      </c>
      <c r="R30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40">
        <f>IF(AND(NOT(ISBLANK(ReconciliationData[[#This Row],[Contract_Price]])),ReconciliationData[[#This Row],[Billed_Price]]&lt;&gt;ReconciliationData[[#This Row],[Contract_Price]]),1,0)</f>
        <v>0</v>
      </c>
      <c r="T3040">
        <f>IF(AND(NOT(ISBLANK(ReconciliationData[[#This Row],[End_Date]])),ReconciliationData[[#This Row],[Order_Date]]&gt;ReconciliationData[[#This Row],[End_Date]]),1,0)</f>
        <v>0</v>
      </c>
      <c r="U3040">
        <f>IF(AND(NOT(ISBLANK(ReconciliationData[[#This Row],[last_return_date]])),ReconciliationData[[#This Row],[last_return_date]]&gt;ReconciliationData[[#This Row],[Order_Date]]+60),1,0)</f>
        <v>0</v>
      </c>
      <c r="V3040">
        <f>IF(ReconciliationData[[#This Row],[total_returned_units]]&gt;ReconciliationData[[#This Row],[ordered_units]],1,0)</f>
        <v>0</v>
      </c>
      <c r="W30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40">
        <f>ReconciliationData[[#This Row],[Billed_Units]]*ReconciliationData[[#This Row],[Billed_Price]]</f>
        <v>21706.120800000001</v>
      </c>
      <c r="Y3040">
        <f>ReconciliationData[[#This Row],[ordered_units]]*ReconciliationData[[#This Row],[List_Price]]</f>
        <v>21706.120800000001</v>
      </c>
      <c r="Z3040">
        <f>ReconciliationData[[#This Row],[billed_revenue]]-ReconciliationData[[#This Row],[expected_revenue]]</f>
        <v>0</v>
      </c>
      <c r="AA30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40" t="str">
        <f>IF(ReconciliationData[[#This Row],[severity_score]]=0,"LOW",
 IF(ReconciliationData[[#This Row],[severity_score]]&lt;=5,"MEDIUM","HIGH"))</f>
        <v>LOW</v>
      </c>
      <c r="AC3040" t="str">
        <f>TEXT(ReconciliationData[[#This Row],[Order_Date]],"YYYY-MM")</f>
        <v>2024-08</v>
      </c>
    </row>
    <row r="3041" spans="1:29">
      <c r="A3041" t="s">
        <v>7294</v>
      </c>
      <c r="B3041" s="1">
        <v>45459</v>
      </c>
      <c r="C3041" t="s">
        <v>1462</v>
      </c>
      <c r="D3041" t="s">
        <v>3036</v>
      </c>
      <c r="E3041">
        <v>106</v>
      </c>
      <c r="F3041" t="s">
        <v>7295</v>
      </c>
      <c r="G3041">
        <v>106</v>
      </c>
      <c r="H3041">
        <v>907.24260000000004</v>
      </c>
      <c r="N3041">
        <v>907.24260000000004</v>
      </c>
      <c r="O3041" s="1">
        <v>45222</v>
      </c>
      <c r="P3041">
        <f>IF(ISBLANK(ReconciliationData[[#This Row],[Invoice_ID]]),1,0)</f>
        <v>0</v>
      </c>
      <c r="Q3041">
        <f>IF(AND(NOT(ISBLANK(ReconciliationData[[#This Row],[Billed_Units]])),ReconciliationData[[#This Row],[ordered_units]]&lt;&gt;ReconciliationData[[#This Row],[Billed_Units]]),1,0)</f>
        <v>0</v>
      </c>
      <c r="R30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41">
        <f>IF(AND(NOT(ISBLANK(ReconciliationData[[#This Row],[Contract_Price]])),ReconciliationData[[#This Row],[Billed_Price]]&lt;&gt;ReconciliationData[[#This Row],[Contract_Price]]),1,0)</f>
        <v>0</v>
      </c>
      <c r="T3041">
        <f>IF(AND(NOT(ISBLANK(ReconciliationData[[#This Row],[End_Date]])),ReconciliationData[[#This Row],[Order_Date]]&gt;ReconciliationData[[#This Row],[End_Date]]),1,0)</f>
        <v>0</v>
      </c>
      <c r="U3041">
        <f>IF(AND(NOT(ISBLANK(ReconciliationData[[#This Row],[last_return_date]])),ReconciliationData[[#This Row],[last_return_date]]&gt;ReconciliationData[[#This Row],[Order_Date]]+60),1,0)</f>
        <v>0</v>
      </c>
      <c r="V3041">
        <f>IF(ReconciliationData[[#This Row],[total_returned_units]]&gt;ReconciliationData[[#This Row],[ordered_units]],1,0)</f>
        <v>0</v>
      </c>
      <c r="W30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41">
        <f>ReconciliationData[[#This Row],[Billed_Units]]*ReconciliationData[[#This Row],[Billed_Price]]</f>
        <v>96167.71560000001</v>
      </c>
      <c r="Y3041">
        <f>ReconciliationData[[#This Row],[ordered_units]]*ReconciliationData[[#This Row],[List_Price]]</f>
        <v>96167.71560000001</v>
      </c>
      <c r="Z3041">
        <f>ReconciliationData[[#This Row],[billed_revenue]]-ReconciliationData[[#This Row],[expected_revenue]]</f>
        <v>0</v>
      </c>
      <c r="AA30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41" t="str">
        <f>IF(ReconciliationData[[#This Row],[severity_score]]=0,"LOW",
 IF(ReconciliationData[[#This Row],[severity_score]]&lt;=5,"MEDIUM","HIGH"))</f>
        <v>LOW</v>
      </c>
      <c r="AC3041" t="str">
        <f>TEXT(ReconciliationData[[#This Row],[Order_Date]],"YYYY-MM")</f>
        <v>2024-06</v>
      </c>
    </row>
    <row r="3042" spans="1:29">
      <c r="A3042" t="s">
        <v>7296</v>
      </c>
      <c r="B3042" s="1">
        <v>45022</v>
      </c>
      <c r="C3042" t="s">
        <v>950</v>
      </c>
      <c r="D3042" t="s">
        <v>408</v>
      </c>
      <c r="E3042">
        <v>43</v>
      </c>
      <c r="F3042" t="s">
        <v>7297</v>
      </c>
      <c r="G3042">
        <v>43</v>
      </c>
      <c r="H3042">
        <v>660.96040000000005</v>
      </c>
      <c r="N3042">
        <v>660.96040000000005</v>
      </c>
      <c r="O3042" s="1">
        <v>44947</v>
      </c>
      <c r="P3042">
        <f>IF(ISBLANK(ReconciliationData[[#This Row],[Invoice_ID]]),1,0)</f>
        <v>0</v>
      </c>
      <c r="Q3042">
        <f>IF(AND(NOT(ISBLANK(ReconciliationData[[#This Row],[Billed_Units]])),ReconciliationData[[#This Row],[ordered_units]]&lt;&gt;ReconciliationData[[#This Row],[Billed_Units]]),1,0)</f>
        <v>0</v>
      </c>
      <c r="R30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42">
        <f>IF(AND(NOT(ISBLANK(ReconciliationData[[#This Row],[Contract_Price]])),ReconciliationData[[#This Row],[Billed_Price]]&lt;&gt;ReconciliationData[[#This Row],[Contract_Price]]),1,0)</f>
        <v>0</v>
      </c>
      <c r="T3042">
        <f>IF(AND(NOT(ISBLANK(ReconciliationData[[#This Row],[End_Date]])),ReconciliationData[[#This Row],[Order_Date]]&gt;ReconciliationData[[#This Row],[End_Date]]),1,0)</f>
        <v>0</v>
      </c>
      <c r="U3042">
        <f>IF(AND(NOT(ISBLANK(ReconciliationData[[#This Row],[last_return_date]])),ReconciliationData[[#This Row],[last_return_date]]&gt;ReconciliationData[[#This Row],[Order_Date]]+60),1,0)</f>
        <v>0</v>
      </c>
      <c r="V3042">
        <f>IF(ReconciliationData[[#This Row],[total_returned_units]]&gt;ReconciliationData[[#This Row],[ordered_units]],1,0)</f>
        <v>0</v>
      </c>
      <c r="W30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42">
        <f>ReconciliationData[[#This Row],[Billed_Units]]*ReconciliationData[[#This Row],[Billed_Price]]</f>
        <v>28421.297200000001</v>
      </c>
      <c r="Y3042">
        <f>ReconciliationData[[#This Row],[ordered_units]]*ReconciliationData[[#This Row],[List_Price]]</f>
        <v>28421.297200000001</v>
      </c>
      <c r="Z3042">
        <f>ReconciliationData[[#This Row],[billed_revenue]]-ReconciliationData[[#This Row],[expected_revenue]]</f>
        <v>0</v>
      </c>
      <c r="AA30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42" t="str">
        <f>IF(ReconciliationData[[#This Row],[severity_score]]=0,"LOW",
 IF(ReconciliationData[[#This Row],[severity_score]]&lt;=5,"MEDIUM","HIGH"))</f>
        <v>LOW</v>
      </c>
      <c r="AC3042" t="str">
        <f>TEXT(ReconciliationData[[#This Row],[Order_Date]],"YYYY-MM")</f>
        <v>2023-04</v>
      </c>
    </row>
    <row r="3043" spans="1:29">
      <c r="A3043" t="s">
        <v>7298</v>
      </c>
      <c r="B3043" s="1">
        <v>45165</v>
      </c>
      <c r="C3043" t="s">
        <v>555</v>
      </c>
      <c r="D3043" t="s">
        <v>1802</v>
      </c>
      <c r="E3043">
        <v>17</v>
      </c>
      <c r="F3043" t="s">
        <v>7299</v>
      </c>
      <c r="G3043">
        <v>17</v>
      </c>
      <c r="H3043">
        <v>649.07187760629336</v>
      </c>
      <c r="N3043">
        <v>648.86940000000004</v>
      </c>
      <c r="O3043" s="1">
        <v>45064</v>
      </c>
      <c r="P3043">
        <f>IF(ISBLANK(ReconciliationData[[#This Row],[Invoice_ID]]),1,0)</f>
        <v>0</v>
      </c>
      <c r="Q3043">
        <f>IF(AND(NOT(ISBLANK(ReconciliationData[[#This Row],[Billed_Units]])),ReconciliationData[[#This Row],[ordered_units]]&lt;&gt;ReconciliationData[[#This Row],[Billed_Units]]),1,0)</f>
        <v>0</v>
      </c>
      <c r="R304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043">
        <f>IF(AND(NOT(ISBLANK(ReconciliationData[[#This Row],[Contract_Price]])),ReconciliationData[[#This Row],[Billed_Price]]&lt;&gt;ReconciliationData[[#This Row],[Contract_Price]]),1,0)</f>
        <v>0</v>
      </c>
      <c r="T3043">
        <f>IF(AND(NOT(ISBLANK(ReconciliationData[[#This Row],[End_Date]])),ReconciliationData[[#This Row],[Order_Date]]&gt;ReconciliationData[[#This Row],[End_Date]]),1,0)</f>
        <v>0</v>
      </c>
      <c r="U3043">
        <f>IF(AND(NOT(ISBLANK(ReconciliationData[[#This Row],[last_return_date]])),ReconciliationData[[#This Row],[last_return_date]]&gt;ReconciliationData[[#This Row],[Order_Date]]+60),1,0)</f>
        <v>0</v>
      </c>
      <c r="V3043">
        <f>IF(ReconciliationData[[#This Row],[total_returned_units]]&gt;ReconciliationData[[#This Row],[ordered_units]],1,0)</f>
        <v>0</v>
      </c>
      <c r="W30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43">
        <f>ReconciliationData[[#This Row],[Billed_Units]]*ReconciliationData[[#This Row],[Billed_Price]]</f>
        <v>11034.221919306987</v>
      </c>
      <c r="Y3043">
        <f>ReconciliationData[[#This Row],[ordered_units]]*ReconciliationData[[#This Row],[List_Price]]</f>
        <v>11030.7798</v>
      </c>
      <c r="Z3043">
        <f>ReconciliationData[[#This Row],[billed_revenue]]-ReconciliationData[[#This Row],[expected_revenue]]</f>
        <v>3.4421193069865694</v>
      </c>
      <c r="AA30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043" t="str">
        <f>IF(ReconciliationData[[#This Row],[severity_score]]=0,"LOW",
 IF(ReconciliationData[[#This Row],[severity_score]]&lt;=5,"MEDIUM","HIGH"))</f>
        <v>MEDIUM</v>
      </c>
      <c r="AC3043" t="str">
        <f>TEXT(ReconciliationData[[#This Row],[Order_Date]],"YYYY-MM")</f>
        <v>2023-08</v>
      </c>
    </row>
    <row r="3044" spans="1:29">
      <c r="A3044" t="s">
        <v>7300</v>
      </c>
      <c r="B3044" s="1">
        <v>45347</v>
      </c>
      <c r="C3044" t="s">
        <v>1866</v>
      </c>
      <c r="D3044" t="s">
        <v>596</v>
      </c>
      <c r="E3044">
        <v>33</v>
      </c>
      <c r="F3044" t="s">
        <v>7301</v>
      </c>
      <c r="G3044">
        <v>33</v>
      </c>
      <c r="H3044">
        <v>652.1472</v>
      </c>
      <c r="N3044">
        <v>652.1472</v>
      </c>
      <c r="O3044" s="1">
        <v>44959</v>
      </c>
      <c r="P3044">
        <f>IF(ISBLANK(ReconciliationData[[#This Row],[Invoice_ID]]),1,0)</f>
        <v>0</v>
      </c>
      <c r="Q3044">
        <f>IF(AND(NOT(ISBLANK(ReconciliationData[[#This Row],[Billed_Units]])),ReconciliationData[[#This Row],[ordered_units]]&lt;&gt;ReconciliationData[[#This Row],[Billed_Units]]),1,0)</f>
        <v>0</v>
      </c>
      <c r="R30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44">
        <f>IF(AND(NOT(ISBLANK(ReconciliationData[[#This Row],[Contract_Price]])),ReconciliationData[[#This Row],[Billed_Price]]&lt;&gt;ReconciliationData[[#This Row],[Contract_Price]]),1,0)</f>
        <v>0</v>
      </c>
      <c r="T3044">
        <f>IF(AND(NOT(ISBLANK(ReconciliationData[[#This Row],[End_Date]])),ReconciliationData[[#This Row],[Order_Date]]&gt;ReconciliationData[[#This Row],[End_Date]]),1,0)</f>
        <v>0</v>
      </c>
      <c r="U3044">
        <f>IF(AND(NOT(ISBLANK(ReconciliationData[[#This Row],[last_return_date]])),ReconciliationData[[#This Row],[last_return_date]]&gt;ReconciliationData[[#This Row],[Order_Date]]+60),1,0)</f>
        <v>0</v>
      </c>
      <c r="V3044">
        <f>IF(ReconciliationData[[#This Row],[total_returned_units]]&gt;ReconciliationData[[#This Row],[ordered_units]],1,0)</f>
        <v>0</v>
      </c>
      <c r="W30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44">
        <f>ReconciliationData[[#This Row],[Billed_Units]]*ReconciliationData[[#This Row],[Billed_Price]]</f>
        <v>21520.857599999999</v>
      </c>
      <c r="Y3044">
        <f>ReconciliationData[[#This Row],[ordered_units]]*ReconciliationData[[#This Row],[List_Price]]</f>
        <v>21520.857599999999</v>
      </c>
      <c r="Z3044">
        <f>ReconciliationData[[#This Row],[billed_revenue]]-ReconciliationData[[#This Row],[expected_revenue]]</f>
        <v>0</v>
      </c>
      <c r="AA30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44" t="str">
        <f>IF(ReconciliationData[[#This Row],[severity_score]]=0,"LOW",
 IF(ReconciliationData[[#This Row],[severity_score]]&lt;=5,"MEDIUM","HIGH"))</f>
        <v>LOW</v>
      </c>
      <c r="AC3044" t="str">
        <f>TEXT(ReconciliationData[[#This Row],[Order_Date]],"YYYY-MM")</f>
        <v>2024-02</v>
      </c>
    </row>
    <row r="3045" spans="1:29">
      <c r="A3045" t="s">
        <v>7302</v>
      </c>
      <c r="B3045" s="1">
        <v>45300</v>
      </c>
      <c r="C3045" t="s">
        <v>1056</v>
      </c>
      <c r="D3045" t="s">
        <v>1382</v>
      </c>
      <c r="E3045">
        <v>102</v>
      </c>
      <c r="F3045" t="s">
        <v>7303</v>
      </c>
      <c r="G3045">
        <v>102</v>
      </c>
      <c r="H3045">
        <v>82.026000000000025</v>
      </c>
      <c r="N3045">
        <v>82.026000000000025</v>
      </c>
      <c r="O3045" s="1">
        <v>45061</v>
      </c>
      <c r="P3045">
        <f>IF(ISBLANK(ReconciliationData[[#This Row],[Invoice_ID]]),1,0)</f>
        <v>0</v>
      </c>
      <c r="Q3045">
        <f>IF(AND(NOT(ISBLANK(ReconciliationData[[#This Row],[Billed_Units]])),ReconciliationData[[#This Row],[ordered_units]]&lt;&gt;ReconciliationData[[#This Row],[Billed_Units]]),1,0)</f>
        <v>0</v>
      </c>
      <c r="R30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45">
        <f>IF(AND(NOT(ISBLANK(ReconciliationData[[#This Row],[Contract_Price]])),ReconciliationData[[#This Row],[Billed_Price]]&lt;&gt;ReconciliationData[[#This Row],[Contract_Price]]),1,0)</f>
        <v>0</v>
      </c>
      <c r="T3045">
        <f>IF(AND(NOT(ISBLANK(ReconciliationData[[#This Row],[End_Date]])),ReconciliationData[[#This Row],[Order_Date]]&gt;ReconciliationData[[#This Row],[End_Date]]),1,0)</f>
        <v>0</v>
      </c>
      <c r="U3045">
        <f>IF(AND(NOT(ISBLANK(ReconciliationData[[#This Row],[last_return_date]])),ReconciliationData[[#This Row],[last_return_date]]&gt;ReconciliationData[[#This Row],[Order_Date]]+60),1,0)</f>
        <v>0</v>
      </c>
      <c r="V3045">
        <f>IF(ReconciliationData[[#This Row],[total_returned_units]]&gt;ReconciliationData[[#This Row],[ordered_units]],1,0)</f>
        <v>0</v>
      </c>
      <c r="W30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45">
        <f>ReconciliationData[[#This Row],[Billed_Units]]*ReconciliationData[[#This Row],[Billed_Price]]</f>
        <v>8366.6520000000019</v>
      </c>
      <c r="Y3045">
        <f>ReconciliationData[[#This Row],[ordered_units]]*ReconciliationData[[#This Row],[List_Price]]</f>
        <v>8366.6520000000019</v>
      </c>
      <c r="Z3045">
        <f>ReconciliationData[[#This Row],[billed_revenue]]-ReconciliationData[[#This Row],[expected_revenue]]</f>
        <v>0</v>
      </c>
      <c r="AA30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45" t="str">
        <f>IF(ReconciliationData[[#This Row],[severity_score]]=0,"LOW",
 IF(ReconciliationData[[#This Row],[severity_score]]&lt;=5,"MEDIUM","HIGH"))</f>
        <v>LOW</v>
      </c>
      <c r="AC3045" t="str">
        <f>TEXT(ReconciliationData[[#This Row],[Order_Date]],"YYYY-MM")</f>
        <v>2024-01</v>
      </c>
    </row>
    <row r="3046" spans="1:29">
      <c r="A3046" t="s">
        <v>7304</v>
      </c>
      <c r="B3046" s="1">
        <v>45595</v>
      </c>
      <c r="C3046" t="s">
        <v>521</v>
      </c>
      <c r="D3046" t="s">
        <v>2097</v>
      </c>
      <c r="E3046">
        <v>178</v>
      </c>
      <c r="F3046" t="s">
        <v>7305</v>
      </c>
      <c r="G3046">
        <v>178</v>
      </c>
      <c r="H3046">
        <v>599.90620000000001</v>
      </c>
      <c r="I3046">
        <v>10</v>
      </c>
      <c r="J3046" s="1">
        <v>44978</v>
      </c>
      <c r="N3046">
        <v>599.90620000000001</v>
      </c>
      <c r="O3046" s="1">
        <v>45060</v>
      </c>
      <c r="P3046">
        <f>IF(ISBLANK(ReconciliationData[[#This Row],[Invoice_ID]]),1,0)</f>
        <v>0</v>
      </c>
      <c r="Q3046">
        <f>IF(AND(NOT(ISBLANK(ReconciliationData[[#This Row],[Billed_Units]])),ReconciliationData[[#This Row],[ordered_units]]&lt;&gt;ReconciliationData[[#This Row],[Billed_Units]]),1,0)</f>
        <v>0</v>
      </c>
      <c r="R30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46">
        <f>IF(AND(NOT(ISBLANK(ReconciliationData[[#This Row],[Contract_Price]])),ReconciliationData[[#This Row],[Billed_Price]]&lt;&gt;ReconciliationData[[#This Row],[Contract_Price]]),1,0)</f>
        <v>0</v>
      </c>
      <c r="T3046">
        <f>IF(AND(NOT(ISBLANK(ReconciliationData[[#This Row],[End_Date]])),ReconciliationData[[#This Row],[Order_Date]]&gt;ReconciliationData[[#This Row],[End_Date]]),1,0)</f>
        <v>0</v>
      </c>
      <c r="U3046">
        <f>IF(AND(NOT(ISBLANK(ReconciliationData[[#This Row],[last_return_date]])),ReconciliationData[[#This Row],[last_return_date]]&gt;ReconciliationData[[#This Row],[Order_Date]]+60),1,0)</f>
        <v>0</v>
      </c>
      <c r="V3046">
        <f>IF(ReconciliationData[[#This Row],[total_returned_units]]&gt;ReconciliationData[[#This Row],[ordered_units]],1,0)</f>
        <v>0</v>
      </c>
      <c r="W30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46">
        <f>ReconciliationData[[#This Row],[Billed_Units]]*ReconciliationData[[#This Row],[Billed_Price]]</f>
        <v>106783.3036</v>
      </c>
      <c r="Y3046">
        <f>ReconciliationData[[#This Row],[ordered_units]]*ReconciliationData[[#This Row],[List_Price]]</f>
        <v>106783.3036</v>
      </c>
      <c r="Z3046">
        <f>ReconciliationData[[#This Row],[billed_revenue]]-ReconciliationData[[#This Row],[expected_revenue]]</f>
        <v>0</v>
      </c>
      <c r="AA30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46" t="str">
        <f>IF(ReconciliationData[[#This Row],[severity_score]]=0,"LOW",
 IF(ReconciliationData[[#This Row],[severity_score]]&lt;=5,"MEDIUM","HIGH"))</f>
        <v>LOW</v>
      </c>
      <c r="AC3046" t="str">
        <f>TEXT(ReconciliationData[[#This Row],[Order_Date]],"YYYY-MM")</f>
        <v>2024-10</v>
      </c>
    </row>
    <row r="3047" spans="1:29">
      <c r="A3047" t="s">
        <v>7306</v>
      </c>
      <c r="B3047" s="1">
        <v>45299</v>
      </c>
      <c r="C3047" t="s">
        <v>3537</v>
      </c>
      <c r="D3047" t="s">
        <v>468</v>
      </c>
      <c r="E3047">
        <v>151</v>
      </c>
      <c r="F3047" t="s">
        <v>7307</v>
      </c>
      <c r="G3047">
        <v>151</v>
      </c>
      <c r="H3047">
        <v>372.85379999999998</v>
      </c>
      <c r="N3047">
        <v>372.85379999999998</v>
      </c>
      <c r="O3047" s="1">
        <v>45175</v>
      </c>
      <c r="P3047">
        <f>IF(ISBLANK(ReconciliationData[[#This Row],[Invoice_ID]]),1,0)</f>
        <v>0</v>
      </c>
      <c r="Q3047">
        <f>IF(AND(NOT(ISBLANK(ReconciliationData[[#This Row],[Billed_Units]])),ReconciliationData[[#This Row],[ordered_units]]&lt;&gt;ReconciliationData[[#This Row],[Billed_Units]]),1,0)</f>
        <v>0</v>
      </c>
      <c r="R30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47">
        <f>IF(AND(NOT(ISBLANK(ReconciliationData[[#This Row],[Contract_Price]])),ReconciliationData[[#This Row],[Billed_Price]]&lt;&gt;ReconciliationData[[#This Row],[Contract_Price]]),1,0)</f>
        <v>0</v>
      </c>
      <c r="T3047">
        <f>IF(AND(NOT(ISBLANK(ReconciliationData[[#This Row],[End_Date]])),ReconciliationData[[#This Row],[Order_Date]]&gt;ReconciliationData[[#This Row],[End_Date]]),1,0)</f>
        <v>0</v>
      </c>
      <c r="U3047">
        <f>IF(AND(NOT(ISBLANK(ReconciliationData[[#This Row],[last_return_date]])),ReconciliationData[[#This Row],[last_return_date]]&gt;ReconciliationData[[#This Row],[Order_Date]]+60),1,0)</f>
        <v>0</v>
      </c>
      <c r="V3047">
        <f>IF(ReconciliationData[[#This Row],[total_returned_units]]&gt;ReconciliationData[[#This Row],[ordered_units]],1,0)</f>
        <v>0</v>
      </c>
      <c r="W30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47">
        <f>ReconciliationData[[#This Row],[Billed_Units]]*ReconciliationData[[#This Row],[Billed_Price]]</f>
        <v>56300.923799999997</v>
      </c>
      <c r="Y3047">
        <f>ReconciliationData[[#This Row],[ordered_units]]*ReconciliationData[[#This Row],[List_Price]]</f>
        <v>56300.923799999997</v>
      </c>
      <c r="Z3047">
        <f>ReconciliationData[[#This Row],[billed_revenue]]-ReconciliationData[[#This Row],[expected_revenue]]</f>
        <v>0</v>
      </c>
      <c r="AA30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47" t="str">
        <f>IF(ReconciliationData[[#This Row],[severity_score]]=0,"LOW",
 IF(ReconciliationData[[#This Row],[severity_score]]&lt;=5,"MEDIUM","HIGH"))</f>
        <v>LOW</v>
      </c>
      <c r="AC3047" t="str">
        <f>TEXT(ReconciliationData[[#This Row],[Order_Date]],"YYYY-MM")</f>
        <v>2024-01</v>
      </c>
    </row>
    <row r="3048" spans="1:29">
      <c r="A3048" t="s">
        <v>7308</v>
      </c>
      <c r="B3048" s="1">
        <v>44941</v>
      </c>
      <c r="C3048" t="s">
        <v>936</v>
      </c>
      <c r="D3048" t="s">
        <v>2353</v>
      </c>
      <c r="E3048">
        <v>20</v>
      </c>
      <c r="F3048" t="s">
        <v>7309</v>
      </c>
      <c r="G3048">
        <v>20</v>
      </c>
      <c r="H3048">
        <v>366.02345449669127</v>
      </c>
      <c r="N3048">
        <v>365.80459999999999</v>
      </c>
      <c r="O3048" s="1">
        <v>44892</v>
      </c>
      <c r="P3048">
        <f>IF(ISBLANK(ReconciliationData[[#This Row],[Invoice_ID]]),1,0)</f>
        <v>0</v>
      </c>
      <c r="Q3048">
        <f>IF(AND(NOT(ISBLANK(ReconciliationData[[#This Row],[Billed_Units]])),ReconciliationData[[#This Row],[ordered_units]]&lt;&gt;ReconciliationData[[#This Row],[Billed_Units]]),1,0)</f>
        <v>0</v>
      </c>
      <c r="R3048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048">
        <f>IF(AND(NOT(ISBLANK(ReconciliationData[[#This Row],[Contract_Price]])),ReconciliationData[[#This Row],[Billed_Price]]&lt;&gt;ReconciliationData[[#This Row],[Contract_Price]]),1,0)</f>
        <v>0</v>
      </c>
      <c r="T3048">
        <f>IF(AND(NOT(ISBLANK(ReconciliationData[[#This Row],[End_Date]])),ReconciliationData[[#This Row],[Order_Date]]&gt;ReconciliationData[[#This Row],[End_Date]]),1,0)</f>
        <v>0</v>
      </c>
      <c r="U3048">
        <f>IF(AND(NOT(ISBLANK(ReconciliationData[[#This Row],[last_return_date]])),ReconciliationData[[#This Row],[last_return_date]]&gt;ReconciliationData[[#This Row],[Order_Date]]+60),1,0)</f>
        <v>0</v>
      </c>
      <c r="V3048">
        <f>IF(ReconciliationData[[#This Row],[total_returned_units]]&gt;ReconciliationData[[#This Row],[ordered_units]],1,0)</f>
        <v>0</v>
      </c>
      <c r="W30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48">
        <f>ReconciliationData[[#This Row],[Billed_Units]]*ReconciliationData[[#This Row],[Billed_Price]]</f>
        <v>7320.4690899338257</v>
      </c>
      <c r="Y3048">
        <f>ReconciliationData[[#This Row],[ordered_units]]*ReconciliationData[[#This Row],[List_Price]]</f>
        <v>7316.0919999999996</v>
      </c>
      <c r="Z3048">
        <f>ReconciliationData[[#This Row],[billed_revenue]]-ReconciliationData[[#This Row],[expected_revenue]]</f>
        <v>4.3770899338260278</v>
      </c>
      <c r="AA30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048" t="str">
        <f>IF(ReconciliationData[[#This Row],[severity_score]]=0,"LOW",
 IF(ReconciliationData[[#This Row],[severity_score]]&lt;=5,"MEDIUM","HIGH"))</f>
        <v>MEDIUM</v>
      </c>
      <c r="AC3048" t="str">
        <f>TEXT(ReconciliationData[[#This Row],[Order_Date]],"YYYY-MM")</f>
        <v>2023-01</v>
      </c>
    </row>
    <row r="3049" spans="1:29">
      <c r="A3049" t="s">
        <v>7310</v>
      </c>
      <c r="B3049" s="1">
        <v>45016</v>
      </c>
      <c r="C3049" t="s">
        <v>1875</v>
      </c>
      <c r="D3049" t="s">
        <v>529</v>
      </c>
      <c r="E3049">
        <v>23</v>
      </c>
      <c r="F3049" t="s">
        <v>7311</v>
      </c>
      <c r="G3049">
        <v>23</v>
      </c>
      <c r="H3049">
        <v>554.83000000000004</v>
      </c>
      <c r="N3049">
        <v>554.83000000000004</v>
      </c>
      <c r="O3049" s="1">
        <v>44749</v>
      </c>
      <c r="P3049">
        <f>IF(ISBLANK(ReconciliationData[[#This Row],[Invoice_ID]]),1,0)</f>
        <v>0</v>
      </c>
      <c r="Q3049">
        <f>IF(AND(NOT(ISBLANK(ReconciliationData[[#This Row],[Billed_Units]])),ReconciliationData[[#This Row],[ordered_units]]&lt;&gt;ReconciliationData[[#This Row],[Billed_Units]]),1,0)</f>
        <v>0</v>
      </c>
      <c r="R30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49">
        <f>IF(AND(NOT(ISBLANK(ReconciliationData[[#This Row],[Contract_Price]])),ReconciliationData[[#This Row],[Billed_Price]]&lt;&gt;ReconciliationData[[#This Row],[Contract_Price]]),1,0)</f>
        <v>0</v>
      </c>
      <c r="T3049">
        <f>IF(AND(NOT(ISBLANK(ReconciliationData[[#This Row],[End_Date]])),ReconciliationData[[#This Row],[Order_Date]]&gt;ReconciliationData[[#This Row],[End_Date]]),1,0)</f>
        <v>0</v>
      </c>
      <c r="U3049">
        <f>IF(AND(NOT(ISBLANK(ReconciliationData[[#This Row],[last_return_date]])),ReconciliationData[[#This Row],[last_return_date]]&gt;ReconciliationData[[#This Row],[Order_Date]]+60),1,0)</f>
        <v>0</v>
      </c>
      <c r="V3049">
        <f>IF(ReconciliationData[[#This Row],[total_returned_units]]&gt;ReconciliationData[[#This Row],[ordered_units]],1,0)</f>
        <v>0</v>
      </c>
      <c r="W30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49">
        <f>ReconciliationData[[#This Row],[Billed_Units]]*ReconciliationData[[#This Row],[Billed_Price]]</f>
        <v>12761.09</v>
      </c>
      <c r="Y3049">
        <f>ReconciliationData[[#This Row],[ordered_units]]*ReconciliationData[[#This Row],[List_Price]]</f>
        <v>12761.09</v>
      </c>
      <c r="Z3049">
        <f>ReconciliationData[[#This Row],[billed_revenue]]-ReconciliationData[[#This Row],[expected_revenue]]</f>
        <v>0</v>
      </c>
      <c r="AA30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49" t="str">
        <f>IF(ReconciliationData[[#This Row],[severity_score]]=0,"LOW",
 IF(ReconciliationData[[#This Row],[severity_score]]&lt;=5,"MEDIUM","HIGH"))</f>
        <v>LOW</v>
      </c>
      <c r="AC3049" t="str">
        <f>TEXT(ReconciliationData[[#This Row],[Order_Date]],"YYYY-MM")</f>
        <v>2023-03</v>
      </c>
    </row>
    <row r="3050" spans="1:29">
      <c r="A3050" t="s">
        <v>7312</v>
      </c>
      <c r="B3050" s="1">
        <v>45008</v>
      </c>
      <c r="C3050" t="s">
        <v>1699</v>
      </c>
      <c r="D3050" t="s">
        <v>423</v>
      </c>
      <c r="E3050">
        <v>135</v>
      </c>
      <c r="F3050" t="s">
        <v>7313</v>
      </c>
      <c r="G3050">
        <v>135</v>
      </c>
      <c r="H3050">
        <v>163.4152</v>
      </c>
      <c r="N3050">
        <v>163.4152</v>
      </c>
      <c r="O3050" s="1">
        <v>44957</v>
      </c>
      <c r="P3050">
        <f>IF(ISBLANK(ReconciliationData[[#This Row],[Invoice_ID]]),1,0)</f>
        <v>0</v>
      </c>
      <c r="Q3050">
        <f>IF(AND(NOT(ISBLANK(ReconciliationData[[#This Row],[Billed_Units]])),ReconciliationData[[#This Row],[ordered_units]]&lt;&gt;ReconciliationData[[#This Row],[Billed_Units]]),1,0)</f>
        <v>0</v>
      </c>
      <c r="R30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0">
        <f>IF(AND(NOT(ISBLANK(ReconciliationData[[#This Row],[Contract_Price]])),ReconciliationData[[#This Row],[Billed_Price]]&lt;&gt;ReconciliationData[[#This Row],[Contract_Price]]),1,0)</f>
        <v>0</v>
      </c>
      <c r="T3050">
        <f>IF(AND(NOT(ISBLANK(ReconciliationData[[#This Row],[End_Date]])),ReconciliationData[[#This Row],[Order_Date]]&gt;ReconciliationData[[#This Row],[End_Date]]),1,0)</f>
        <v>0</v>
      </c>
      <c r="U3050">
        <f>IF(AND(NOT(ISBLANK(ReconciliationData[[#This Row],[last_return_date]])),ReconciliationData[[#This Row],[last_return_date]]&gt;ReconciliationData[[#This Row],[Order_Date]]+60),1,0)</f>
        <v>0</v>
      </c>
      <c r="V3050">
        <f>IF(ReconciliationData[[#This Row],[total_returned_units]]&gt;ReconciliationData[[#This Row],[ordered_units]],1,0)</f>
        <v>0</v>
      </c>
      <c r="W30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50">
        <f>ReconciliationData[[#This Row],[Billed_Units]]*ReconciliationData[[#This Row],[Billed_Price]]</f>
        <v>22061.052</v>
      </c>
      <c r="Y3050">
        <f>ReconciliationData[[#This Row],[ordered_units]]*ReconciliationData[[#This Row],[List_Price]]</f>
        <v>22061.052</v>
      </c>
      <c r="Z3050">
        <f>ReconciliationData[[#This Row],[billed_revenue]]-ReconciliationData[[#This Row],[expected_revenue]]</f>
        <v>0</v>
      </c>
      <c r="AA30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50" t="str">
        <f>IF(ReconciliationData[[#This Row],[severity_score]]=0,"LOW",
 IF(ReconciliationData[[#This Row],[severity_score]]&lt;=5,"MEDIUM","HIGH"))</f>
        <v>LOW</v>
      </c>
      <c r="AC3050" t="str">
        <f>TEXT(ReconciliationData[[#This Row],[Order_Date]],"YYYY-MM")</f>
        <v>2023-03</v>
      </c>
    </row>
    <row r="3051" spans="1:29">
      <c r="A3051" t="s">
        <v>7314</v>
      </c>
      <c r="B3051" s="1">
        <v>45467</v>
      </c>
      <c r="C3051" t="s">
        <v>2789</v>
      </c>
      <c r="D3051" t="s">
        <v>1583</v>
      </c>
      <c r="E3051">
        <v>160</v>
      </c>
      <c r="F3051" t="s">
        <v>7315</v>
      </c>
      <c r="G3051">
        <v>160</v>
      </c>
      <c r="H3051">
        <v>1182.1740000000002</v>
      </c>
      <c r="N3051">
        <v>1182.1740000000002</v>
      </c>
      <c r="O3051" s="1">
        <v>45130</v>
      </c>
      <c r="P3051">
        <f>IF(ISBLANK(ReconciliationData[[#This Row],[Invoice_ID]]),1,0)</f>
        <v>0</v>
      </c>
      <c r="Q3051">
        <f>IF(AND(NOT(ISBLANK(ReconciliationData[[#This Row],[Billed_Units]])),ReconciliationData[[#This Row],[ordered_units]]&lt;&gt;ReconciliationData[[#This Row],[Billed_Units]]),1,0)</f>
        <v>0</v>
      </c>
      <c r="R30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1">
        <f>IF(AND(NOT(ISBLANK(ReconciliationData[[#This Row],[Contract_Price]])),ReconciliationData[[#This Row],[Billed_Price]]&lt;&gt;ReconciliationData[[#This Row],[Contract_Price]]),1,0)</f>
        <v>0</v>
      </c>
      <c r="T3051">
        <f>IF(AND(NOT(ISBLANK(ReconciliationData[[#This Row],[End_Date]])),ReconciliationData[[#This Row],[Order_Date]]&gt;ReconciliationData[[#This Row],[End_Date]]),1,0)</f>
        <v>0</v>
      </c>
      <c r="U3051">
        <f>IF(AND(NOT(ISBLANK(ReconciliationData[[#This Row],[last_return_date]])),ReconciliationData[[#This Row],[last_return_date]]&gt;ReconciliationData[[#This Row],[Order_Date]]+60),1,0)</f>
        <v>0</v>
      </c>
      <c r="V3051">
        <f>IF(ReconciliationData[[#This Row],[total_returned_units]]&gt;ReconciliationData[[#This Row],[ordered_units]],1,0)</f>
        <v>0</v>
      </c>
      <c r="W30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51">
        <f>ReconciliationData[[#This Row],[Billed_Units]]*ReconciliationData[[#This Row],[Billed_Price]]</f>
        <v>189147.84000000003</v>
      </c>
      <c r="Y3051">
        <f>ReconciliationData[[#This Row],[ordered_units]]*ReconciliationData[[#This Row],[List_Price]]</f>
        <v>189147.84000000003</v>
      </c>
      <c r="Z3051">
        <f>ReconciliationData[[#This Row],[billed_revenue]]-ReconciliationData[[#This Row],[expected_revenue]]</f>
        <v>0</v>
      </c>
      <c r="AA30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51" t="str">
        <f>IF(ReconciliationData[[#This Row],[severity_score]]=0,"LOW",
 IF(ReconciliationData[[#This Row],[severity_score]]&lt;=5,"MEDIUM","HIGH"))</f>
        <v>LOW</v>
      </c>
      <c r="AC3051" t="str">
        <f>TEXT(ReconciliationData[[#This Row],[Order_Date]],"YYYY-MM")</f>
        <v>2024-06</v>
      </c>
    </row>
    <row r="3052" spans="1:29">
      <c r="A3052" t="s">
        <v>7316</v>
      </c>
      <c r="B3052" s="1">
        <v>45316</v>
      </c>
      <c r="C3052" t="s">
        <v>2864</v>
      </c>
      <c r="D3052" t="s">
        <v>655</v>
      </c>
      <c r="E3052">
        <v>105</v>
      </c>
      <c r="F3052" t="s">
        <v>7317</v>
      </c>
      <c r="G3052">
        <v>105</v>
      </c>
      <c r="H3052">
        <v>130.87360000000001</v>
      </c>
      <c r="N3052">
        <v>130.87360000000001</v>
      </c>
      <c r="O3052" s="1">
        <v>45074</v>
      </c>
      <c r="P3052">
        <f>IF(ISBLANK(ReconciliationData[[#This Row],[Invoice_ID]]),1,0)</f>
        <v>0</v>
      </c>
      <c r="Q3052">
        <f>IF(AND(NOT(ISBLANK(ReconciliationData[[#This Row],[Billed_Units]])),ReconciliationData[[#This Row],[ordered_units]]&lt;&gt;ReconciliationData[[#This Row],[Billed_Units]]),1,0)</f>
        <v>0</v>
      </c>
      <c r="R30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2">
        <f>IF(AND(NOT(ISBLANK(ReconciliationData[[#This Row],[Contract_Price]])),ReconciliationData[[#This Row],[Billed_Price]]&lt;&gt;ReconciliationData[[#This Row],[Contract_Price]]),1,0)</f>
        <v>0</v>
      </c>
      <c r="T3052">
        <f>IF(AND(NOT(ISBLANK(ReconciliationData[[#This Row],[End_Date]])),ReconciliationData[[#This Row],[Order_Date]]&gt;ReconciliationData[[#This Row],[End_Date]]),1,0)</f>
        <v>0</v>
      </c>
      <c r="U3052">
        <f>IF(AND(NOT(ISBLANK(ReconciliationData[[#This Row],[last_return_date]])),ReconciliationData[[#This Row],[last_return_date]]&gt;ReconciliationData[[#This Row],[Order_Date]]+60),1,0)</f>
        <v>0</v>
      </c>
      <c r="V3052">
        <f>IF(ReconciliationData[[#This Row],[total_returned_units]]&gt;ReconciliationData[[#This Row],[ordered_units]],1,0)</f>
        <v>0</v>
      </c>
      <c r="W30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52">
        <f>ReconciliationData[[#This Row],[Billed_Units]]*ReconciliationData[[#This Row],[Billed_Price]]</f>
        <v>13741.728000000001</v>
      </c>
      <c r="Y3052">
        <f>ReconciliationData[[#This Row],[ordered_units]]*ReconciliationData[[#This Row],[List_Price]]</f>
        <v>13741.728000000001</v>
      </c>
      <c r="Z3052">
        <f>ReconciliationData[[#This Row],[billed_revenue]]-ReconciliationData[[#This Row],[expected_revenue]]</f>
        <v>0</v>
      </c>
      <c r="AA30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52" t="str">
        <f>IF(ReconciliationData[[#This Row],[severity_score]]=0,"LOW",
 IF(ReconciliationData[[#This Row],[severity_score]]&lt;=5,"MEDIUM","HIGH"))</f>
        <v>LOW</v>
      </c>
      <c r="AC3052" t="str">
        <f>TEXT(ReconciliationData[[#This Row],[Order_Date]],"YYYY-MM")</f>
        <v>2024-01</v>
      </c>
    </row>
    <row r="3053" spans="1:29">
      <c r="A3053" t="s">
        <v>7318</v>
      </c>
      <c r="B3053" s="1">
        <v>45515</v>
      </c>
      <c r="C3053" t="s">
        <v>1046</v>
      </c>
      <c r="D3053" t="s">
        <v>1735</v>
      </c>
      <c r="E3053">
        <v>35</v>
      </c>
      <c r="F3053" t="s">
        <v>7319</v>
      </c>
      <c r="G3053">
        <v>35</v>
      </c>
      <c r="H3053">
        <v>191.1936</v>
      </c>
      <c r="I3053">
        <v>8</v>
      </c>
      <c r="J3053" s="1">
        <v>45079</v>
      </c>
      <c r="N3053">
        <v>191.1936</v>
      </c>
      <c r="O3053" s="1">
        <v>45026</v>
      </c>
      <c r="P3053">
        <f>IF(ISBLANK(ReconciliationData[[#This Row],[Invoice_ID]]),1,0)</f>
        <v>0</v>
      </c>
      <c r="Q3053">
        <f>IF(AND(NOT(ISBLANK(ReconciliationData[[#This Row],[Billed_Units]])),ReconciliationData[[#This Row],[ordered_units]]&lt;&gt;ReconciliationData[[#This Row],[Billed_Units]]),1,0)</f>
        <v>0</v>
      </c>
      <c r="R30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3">
        <f>IF(AND(NOT(ISBLANK(ReconciliationData[[#This Row],[Contract_Price]])),ReconciliationData[[#This Row],[Billed_Price]]&lt;&gt;ReconciliationData[[#This Row],[Contract_Price]]),1,0)</f>
        <v>0</v>
      </c>
      <c r="T3053">
        <f>IF(AND(NOT(ISBLANK(ReconciliationData[[#This Row],[End_Date]])),ReconciliationData[[#This Row],[Order_Date]]&gt;ReconciliationData[[#This Row],[End_Date]]),1,0)</f>
        <v>0</v>
      </c>
      <c r="U3053">
        <f>IF(AND(NOT(ISBLANK(ReconciliationData[[#This Row],[last_return_date]])),ReconciliationData[[#This Row],[last_return_date]]&gt;ReconciliationData[[#This Row],[Order_Date]]+60),1,0)</f>
        <v>0</v>
      </c>
      <c r="V3053">
        <f>IF(ReconciliationData[[#This Row],[total_returned_units]]&gt;ReconciliationData[[#This Row],[ordered_units]],1,0)</f>
        <v>0</v>
      </c>
      <c r="W30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53">
        <f>ReconciliationData[[#This Row],[Billed_Units]]*ReconciliationData[[#This Row],[Billed_Price]]</f>
        <v>6691.7759999999998</v>
      </c>
      <c r="Y3053">
        <f>ReconciliationData[[#This Row],[ordered_units]]*ReconciliationData[[#This Row],[List_Price]]</f>
        <v>6691.7759999999998</v>
      </c>
      <c r="Z3053">
        <f>ReconciliationData[[#This Row],[billed_revenue]]-ReconciliationData[[#This Row],[expected_revenue]]</f>
        <v>0</v>
      </c>
      <c r="AA30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53" t="str">
        <f>IF(ReconciliationData[[#This Row],[severity_score]]=0,"LOW",
 IF(ReconciliationData[[#This Row],[severity_score]]&lt;=5,"MEDIUM","HIGH"))</f>
        <v>LOW</v>
      </c>
      <c r="AC3053" t="str">
        <f>TEXT(ReconciliationData[[#This Row],[Order_Date]],"YYYY-MM")</f>
        <v>2024-08</v>
      </c>
    </row>
    <row r="3054" spans="1:29">
      <c r="A3054" t="s">
        <v>7320</v>
      </c>
      <c r="B3054" s="1">
        <v>45292</v>
      </c>
      <c r="C3054" t="s">
        <v>4040</v>
      </c>
      <c r="D3054" t="s">
        <v>873</v>
      </c>
      <c r="E3054">
        <v>93</v>
      </c>
      <c r="F3054" t="s">
        <v>7321</v>
      </c>
      <c r="G3054">
        <v>93</v>
      </c>
      <c r="H3054">
        <v>956.41030000000001</v>
      </c>
      <c r="N3054">
        <v>956.41030000000001</v>
      </c>
      <c r="O3054" s="1">
        <v>45168</v>
      </c>
      <c r="P3054">
        <f>IF(ISBLANK(ReconciliationData[[#This Row],[Invoice_ID]]),1,0)</f>
        <v>0</v>
      </c>
      <c r="Q3054">
        <f>IF(AND(NOT(ISBLANK(ReconciliationData[[#This Row],[Billed_Units]])),ReconciliationData[[#This Row],[ordered_units]]&lt;&gt;ReconciliationData[[#This Row],[Billed_Units]]),1,0)</f>
        <v>0</v>
      </c>
      <c r="R30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4">
        <f>IF(AND(NOT(ISBLANK(ReconciliationData[[#This Row],[Contract_Price]])),ReconciliationData[[#This Row],[Billed_Price]]&lt;&gt;ReconciliationData[[#This Row],[Contract_Price]]),1,0)</f>
        <v>0</v>
      </c>
      <c r="T3054">
        <f>IF(AND(NOT(ISBLANK(ReconciliationData[[#This Row],[End_Date]])),ReconciliationData[[#This Row],[Order_Date]]&gt;ReconciliationData[[#This Row],[End_Date]]),1,0)</f>
        <v>0</v>
      </c>
      <c r="U3054">
        <f>IF(AND(NOT(ISBLANK(ReconciliationData[[#This Row],[last_return_date]])),ReconciliationData[[#This Row],[last_return_date]]&gt;ReconciliationData[[#This Row],[Order_Date]]+60),1,0)</f>
        <v>0</v>
      </c>
      <c r="V3054">
        <f>IF(ReconciliationData[[#This Row],[total_returned_units]]&gt;ReconciliationData[[#This Row],[ordered_units]],1,0)</f>
        <v>0</v>
      </c>
      <c r="W30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54">
        <f>ReconciliationData[[#This Row],[Billed_Units]]*ReconciliationData[[#This Row],[Billed_Price]]</f>
        <v>88946.157900000006</v>
      </c>
      <c r="Y3054">
        <f>ReconciliationData[[#This Row],[ordered_units]]*ReconciliationData[[#This Row],[List_Price]]</f>
        <v>88946.157900000006</v>
      </c>
      <c r="Z3054">
        <f>ReconciliationData[[#This Row],[billed_revenue]]-ReconciliationData[[#This Row],[expected_revenue]]</f>
        <v>0</v>
      </c>
      <c r="AA30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54" t="str">
        <f>IF(ReconciliationData[[#This Row],[severity_score]]=0,"LOW",
 IF(ReconciliationData[[#This Row],[severity_score]]&lt;=5,"MEDIUM","HIGH"))</f>
        <v>LOW</v>
      </c>
      <c r="AC3054" t="str">
        <f>TEXT(ReconciliationData[[#This Row],[Order_Date]],"YYYY-MM")</f>
        <v>2024-01</v>
      </c>
    </row>
    <row r="3055" spans="1:29">
      <c r="A3055" t="s">
        <v>7322</v>
      </c>
      <c r="B3055" s="1">
        <v>45357</v>
      </c>
      <c r="C3055" t="s">
        <v>1781</v>
      </c>
      <c r="D3055" t="s">
        <v>243</v>
      </c>
      <c r="E3055">
        <v>105</v>
      </c>
      <c r="F3055" t="s">
        <v>7323</v>
      </c>
      <c r="G3055">
        <v>105</v>
      </c>
      <c r="H3055">
        <v>129.17519999999999</v>
      </c>
      <c r="N3055">
        <v>129.17519999999999</v>
      </c>
      <c r="O3055" s="1">
        <v>45184</v>
      </c>
      <c r="P3055">
        <f>IF(ISBLANK(ReconciliationData[[#This Row],[Invoice_ID]]),1,0)</f>
        <v>0</v>
      </c>
      <c r="Q3055">
        <f>IF(AND(NOT(ISBLANK(ReconciliationData[[#This Row],[Billed_Units]])),ReconciliationData[[#This Row],[ordered_units]]&lt;&gt;ReconciliationData[[#This Row],[Billed_Units]]),1,0)</f>
        <v>0</v>
      </c>
      <c r="R30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5">
        <f>IF(AND(NOT(ISBLANK(ReconciliationData[[#This Row],[Contract_Price]])),ReconciliationData[[#This Row],[Billed_Price]]&lt;&gt;ReconciliationData[[#This Row],[Contract_Price]]),1,0)</f>
        <v>0</v>
      </c>
      <c r="T3055">
        <f>IF(AND(NOT(ISBLANK(ReconciliationData[[#This Row],[End_Date]])),ReconciliationData[[#This Row],[Order_Date]]&gt;ReconciliationData[[#This Row],[End_Date]]),1,0)</f>
        <v>0</v>
      </c>
      <c r="U3055">
        <f>IF(AND(NOT(ISBLANK(ReconciliationData[[#This Row],[last_return_date]])),ReconciliationData[[#This Row],[last_return_date]]&gt;ReconciliationData[[#This Row],[Order_Date]]+60),1,0)</f>
        <v>0</v>
      </c>
      <c r="V3055">
        <f>IF(ReconciliationData[[#This Row],[total_returned_units]]&gt;ReconciliationData[[#This Row],[ordered_units]],1,0)</f>
        <v>0</v>
      </c>
      <c r="W30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55">
        <f>ReconciliationData[[#This Row],[Billed_Units]]*ReconciliationData[[#This Row],[Billed_Price]]</f>
        <v>13563.395999999999</v>
      </c>
      <c r="Y3055">
        <f>ReconciliationData[[#This Row],[ordered_units]]*ReconciliationData[[#This Row],[List_Price]]</f>
        <v>13563.395999999999</v>
      </c>
      <c r="Z3055">
        <f>ReconciliationData[[#This Row],[billed_revenue]]-ReconciliationData[[#This Row],[expected_revenue]]</f>
        <v>0</v>
      </c>
      <c r="AA30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55" t="str">
        <f>IF(ReconciliationData[[#This Row],[severity_score]]=0,"LOW",
 IF(ReconciliationData[[#This Row],[severity_score]]&lt;=5,"MEDIUM","HIGH"))</f>
        <v>LOW</v>
      </c>
      <c r="AC3055" t="str">
        <f>TEXT(ReconciliationData[[#This Row],[Order_Date]],"YYYY-MM")</f>
        <v>2024-03</v>
      </c>
    </row>
    <row r="3056" spans="1:29">
      <c r="A3056" t="s">
        <v>7324</v>
      </c>
      <c r="B3056" s="1">
        <v>45192</v>
      </c>
      <c r="C3056" t="s">
        <v>1248</v>
      </c>
      <c r="D3056" t="s">
        <v>251</v>
      </c>
      <c r="E3056">
        <v>183</v>
      </c>
      <c r="F3056" t="s">
        <v>7325</v>
      </c>
      <c r="G3056">
        <v>183</v>
      </c>
      <c r="H3056">
        <v>957.65700000000015</v>
      </c>
      <c r="N3056">
        <v>957.65700000000015</v>
      </c>
      <c r="O3056" s="1">
        <v>45057</v>
      </c>
      <c r="P3056">
        <f>IF(ISBLANK(ReconciliationData[[#This Row],[Invoice_ID]]),1,0)</f>
        <v>0</v>
      </c>
      <c r="Q3056">
        <f>IF(AND(NOT(ISBLANK(ReconciliationData[[#This Row],[Billed_Units]])),ReconciliationData[[#This Row],[ordered_units]]&lt;&gt;ReconciliationData[[#This Row],[Billed_Units]]),1,0)</f>
        <v>0</v>
      </c>
      <c r="R30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6">
        <f>IF(AND(NOT(ISBLANK(ReconciliationData[[#This Row],[Contract_Price]])),ReconciliationData[[#This Row],[Billed_Price]]&lt;&gt;ReconciliationData[[#This Row],[Contract_Price]]),1,0)</f>
        <v>0</v>
      </c>
      <c r="T3056">
        <f>IF(AND(NOT(ISBLANK(ReconciliationData[[#This Row],[End_Date]])),ReconciliationData[[#This Row],[Order_Date]]&gt;ReconciliationData[[#This Row],[End_Date]]),1,0)</f>
        <v>0</v>
      </c>
      <c r="U3056">
        <f>IF(AND(NOT(ISBLANK(ReconciliationData[[#This Row],[last_return_date]])),ReconciliationData[[#This Row],[last_return_date]]&gt;ReconciliationData[[#This Row],[Order_Date]]+60),1,0)</f>
        <v>0</v>
      </c>
      <c r="V3056">
        <f>IF(ReconciliationData[[#This Row],[total_returned_units]]&gt;ReconciliationData[[#This Row],[ordered_units]],1,0)</f>
        <v>0</v>
      </c>
      <c r="W30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56">
        <f>ReconciliationData[[#This Row],[Billed_Units]]*ReconciliationData[[#This Row],[Billed_Price]]</f>
        <v>175251.23100000003</v>
      </c>
      <c r="Y3056">
        <f>ReconciliationData[[#This Row],[ordered_units]]*ReconciliationData[[#This Row],[List_Price]]</f>
        <v>175251.23100000003</v>
      </c>
      <c r="Z3056">
        <f>ReconciliationData[[#This Row],[billed_revenue]]-ReconciliationData[[#This Row],[expected_revenue]]</f>
        <v>0</v>
      </c>
      <c r="AA30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56" t="str">
        <f>IF(ReconciliationData[[#This Row],[severity_score]]=0,"LOW",
 IF(ReconciliationData[[#This Row],[severity_score]]&lt;=5,"MEDIUM","HIGH"))</f>
        <v>LOW</v>
      </c>
      <c r="AC3056" t="str">
        <f>TEXT(ReconciliationData[[#This Row],[Order_Date]],"YYYY-MM")</f>
        <v>2023-09</v>
      </c>
    </row>
    <row r="3057" spans="1:29">
      <c r="A3057" t="s">
        <v>7326</v>
      </c>
      <c r="B3057" s="1">
        <v>45392</v>
      </c>
      <c r="C3057" t="s">
        <v>2063</v>
      </c>
      <c r="D3057" t="s">
        <v>227</v>
      </c>
      <c r="E3057">
        <v>110</v>
      </c>
      <c r="F3057" t="s">
        <v>7327</v>
      </c>
      <c r="G3057">
        <v>110</v>
      </c>
      <c r="H3057">
        <v>626.68790000000001</v>
      </c>
      <c r="N3057">
        <v>626.68790000000001</v>
      </c>
      <c r="O3057" s="1">
        <v>45103</v>
      </c>
      <c r="P3057">
        <f>IF(ISBLANK(ReconciliationData[[#This Row],[Invoice_ID]]),1,0)</f>
        <v>0</v>
      </c>
      <c r="Q3057">
        <f>IF(AND(NOT(ISBLANK(ReconciliationData[[#This Row],[Billed_Units]])),ReconciliationData[[#This Row],[ordered_units]]&lt;&gt;ReconciliationData[[#This Row],[Billed_Units]]),1,0)</f>
        <v>0</v>
      </c>
      <c r="R30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7">
        <f>IF(AND(NOT(ISBLANK(ReconciliationData[[#This Row],[Contract_Price]])),ReconciliationData[[#This Row],[Billed_Price]]&lt;&gt;ReconciliationData[[#This Row],[Contract_Price]]),1,0)</f>
        <v>0</v>
      </c>
      <c r="T3057">
        <f>IF(AND(NOT(ISBLANK(ReconciliationData[[#This Row],[End_Date]])),ReconciliationData[[#This Row],[Order_Date]]&gt;ReconciliationData[[#This Row],[End_Date]]),1,0)</f>
        <v>0</v>
      </c>
      <c r="U3057">
        <f>IF(AND(NOT(ISBLANK(ReconciliationData[[#This Row],[last_return_date]])),ReconciliationData[[#This Row],[last_return_date]]&gt;ReconciliationData[[#This Row],[Order_Date]]+60),1,0)</f>
        <v>0</v>
      </c>
      <c r="V3057">
        <f>IF(ReconciliationData[[#This Row],[total_returned_units]]&gt;ReconciliationData[[#This Row],[ordered_units]],1,0)</f>
        <v>0</v>
      </c>
      <c r="W30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57">
        <f>ReconciliationData[[#This Row],[Billed_Units]]*ReconciliationData[[#This Row],[Billed_Price]]</f>
        <v>68935.668999999994</v>
      </c>
      <c r="Y3057">
        <f>ReconciliationData[[#This Row],[ordered_units]]*ReconciliationData[[#This Row],[List_Price]]</f>
        <v>68935.668999999994</v>
      </c>
      <c r="Z3057">
        <f>ReconciliationData[[#This Row],[billed_revenue]]-ReconciliationData[[#This Row],[expected_revenue]]</f>
        <v>0</v>
      </c>
      <c r="AA30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57" t="str">
        <f>IF(ReconciliationData[[#This Row],[severity_score]]=0,"LOW",
 IF(ReconciliationData[[#This Row],[severity_score]]&lt;=5,"MEDIUM","HIGH"))</f>
        <v>LOW</v>
      </c>
      <c r="AC3057" t="str">
        <f>TEXT(ReconciliationData[[#This Row],[Order_Date]],"YYYY-MM")</f>
        <v>2024-04</v>
      </c>
    </row>
    <row r="3058" spans="1:29">
      <c r="A3058" t="s">
        <v>7328</v>
      </c>
      <c r="B3058" s="1">
        <v>45242</v>
      </c>
      <c r="C3058" t="s">
        <v>1831</v>
      </c>
      <c r="D3058" t="s">
        <v>279</v>
      </c>
      <c r="E3058">
        <v>87</v>
      </c>
      <c r="F3058" t="s">
        <v>7329</v>
      </c>
      <c r="G3058">
        <v>87</v>
      </c>
      <c r="H3058">
        <v>1120.6556</v>
      </c>
      <c r="N3058">
        <v>1120.6556</v>
      </c>
      <c r="O3058" s="1">
        <v>45026</v>
      </c>
      <c r="P3058">
        <f>IF(ISBLANK(ReconciliationData[[#This Row],[Invoice_ID]]),1,0)</f>
        <v>0</v>
      </c>
      <c r="Q3058">
        <f>IF(AND(NOT(ISBLANK(ReconciliationData[[#This Row],[Billed_Units]])),ReconciliationData[[#This Row],[ordered_units]]&lt;&gt;ReconciliationData[[#This Row],[Billed_Units]]),1,0)</f>
        <v>0</v>
      </c>
      <c r="R30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8">
        <f>IF(AND(NOT(ISBLANK(ReconciliationData[[#This Row],[Contract_Price]])),ReconciliationData[[#This Row],[Billed_Price]]&lt;&gt;ReconciliationData[[#This Row],[Contract_Price]]),1,0)</f>
        <v>0</v>
      </c>
      <c r="T3058">
        <f>IF(AND(NOT(ISBLANK(ReconciliationData[[#This Row],[End_Date]])),ReconciliationData[[#This Row],[Order_Date]]&gt;ReconciliationData[[#This Row],[End_Date]]),1,0)</f>
        <v>0</v>
      </c>
      <c r="U3058">
        <f>IF(AND(NOT(ISBLANK(ReconciliationData[[#This Row],[last_return_date]])),ReconciliationData[[#This Row],[last_return_date]]&gt;ReconciliationData[[#This Row],[Order_Date]]+60),1,0)</f>
        <v>0</v>
      </c>
      <c r="V3058">
        <f>IF(ReconciliationData[[#This Row],[total_returned_units]]&gt;ReconciliationData[[#This Row],[ordered_units]],1,0)</f>
        <v>0</v>
      </c>
      <c r="W30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58">
        <f>ReconciliationData[[#This Row],[Billed_Units]]*ReconciliationData[[#This Row],[Billed_Price]]</f>
        <v>97497.037200000006</v>
      </c>
      <c r="Y3058">
        <f>ReconciliationData[[#This Row],[ordered_units]]*ReconciliationData[[#This Row],[List_Price]]</f>
        <v>97497.037200000006</v>
      </c>
      <c r="Z3058">
        <f>ReconciliationData[[#This Row],[billed_revenue]]-ReconciliationData[[#This Row],[expected_revenue]]</f>
        <v>0</v>
      </c>
      <c r="AA30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58" t="str">
        <f>IF(ReconciliationData[[#This Row],[severity_score]]=0,"LOW",
 IF(ReconciliationData[[#This Row],[severity_score]]&lt;=5,"MEDIUM","HIGH"))</f>
        <v>LOW</v>
      </c>
      <c r="AC3058" t="str">
        <f>TEXT(ReconciliationData[[#This Row],[Order_Date]],"YYYY-MM")</f>
        <v>2023-11</v>
      </c>
    </row>
    <row r="3059" spans="1:29">
      <c r="A3059" t="s">
        <v>7330</v>
      </c>
      <c r="B3059" s="1">
        <v>45178</v>
      </c>
      <c r="C3059" t="s">
        <v>2210</v>
      </c>
      <c r="D3059" t="s">
        <v>247</v>
      </c>
      <c r="E3059">
        <v>57</v>
      </c>
      <c r="F3059" t="s">
        <v>7331</v>
      </c>
      <c r="G3059">
        <v>57</v>
      </c>
      <c r="H3059">
        <v>715.86900000000003</v>
      </c>
      <c r="I3059">
        <v>4</v>
      </c>
      <c r="J3059" s="1">
        <v>45375</v>
      </c>
      <c r="N3059">
        <v>715.86900000000003</v>
      </c>
      <c r="O3059" s="1">
        <v>45140</v>
      </c>
      <c r="P3059">
        <f>IF(ISBLANK(ReconciliationData[[#This Row],[Invoice_ID]]),1,0)</f>
        <v>0</v>
      </c>
      <c r="Q3059">
        <f>IF(AND(NOT(ISBLANK(ReconciliationData[[#This Row],[Billed_Units]])),ReconciliationData[[#This Row],[ordered_units]]&lt;&gt;ReconciliationData[[#This Row],[Billed_Units]]),1,0)</f>
        <v>0</v>
      </c>
      <c r="R30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59">
        <f>IF(AND(NOT(ISBLANK(ReconciliationData[[#This Row],[Contract_Price]])),ReconciliationData[[#This Row],[Billed_Price]]&lt;&gt;ReconciliationData[[#This Row],[Contract_Price]]),1,0)</f>
        <v>0</v>
      </c>
      <c r="T3059">
        <f>IF(AND(NOT(ISBLANK(ReconciliationData[[#This Row],[End_Date]])),ReconciliationData[[#This Row],[Order_Date]]&gt;ReconciliationData[[#This Row],[End_Date]]),1,0)</f>
        <v>0</v>
      </c>
      <c r="U3059">
        <f>IF(AND(NOT(ISBLANK(ReconciliationData[[#This Row],[last_return_date]])),ReconciliationData[[#This Row],[last_return_date]]&gt;ReconciliationData[[#This Row],[Order_Date]]+60),1,0)</f>
        <v>1</v>
      </c>
      <c r="V3059">
        <f>IF(ReconciliationData[[#This Row],[total_returned_units]]&gt;ReconciliationData[[#This Row],[ordered_units]],1,0)</f>
        <v>0</v>
      </c>
      <c r="W30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59">
        <f>ReconciliationData[[#This Row],[Billed_Units]]*ReconciliationData[[#This Row],[Billed_Price]]</f>
        <v>40804.533000000003</v>
      </c>
      <c r="Y3059">
        <f>ReconciliationData[[#This Row],[ordered_units]]*ReconciliationData[[#This Row],[List_Price]]</f>
        <v>40804.533000000003</v>
      </c>
      <c r="Z3059">
        <f>ReconciliationData[[#This Row],[billed_revenue]]-ReconciliationData[[#This Row],[expected_revenue]]</f>
        <v>0</v>
      </c>
      <c r="AA30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059" t="str">
        <f>IF(ReconciliationData[[#This Row],[severity_score]]=0,"LOW",
 IF(ReconciliationData[[#This Row],[severity_score]]&lt;=5,"MEDIUM","HIGH"))</f>
        <v>MEDIUM</v>
      </c>
      <c r="AC3059" t="str">
        <f>TEXT(ReconciliationData[[#This Row],[Order_Date]],"YYYY-MM")</f>
        <v>2023-09</v>
      </c>
    </row>
    <row r="3060" spans="1:29">
      <c r="A3060" t="s">
        <v>7332</v>
      </c>
      <c r="B3060" s="1">
        <v>45648</v>
      </c>
      <c r="C3060" t="s">
        <v>5464</v>
      </c>
      <c r="D3060" t="s">
        <v>1404</v>
      </c>
      <c r="E3060">
        <v>156</v>
      </c>
      <c r="F3060" t="s">
        <v>7333</v>
      </c>
      <c r="G3060">
        <v>156</v>
      </c>
      <c r="H3060">
        <v>655.93800000000022</v>
      </c>
      <c r="N3060">
        <v>655.93800000000022</v>
      </c>
      <c r="O3060" s="1">
        <v>45075</v>
      </c>
      <c r="P3060">
        <f>IF(ISBLANK(ReconciliationData[[#This Row],[Invoice_ID]]),1,0)</f>
        <v>0</v>
      </c>
      <c r="Q3060">
        <f>IF(AND(NOT(ISBLANK(ReconciliationData[[#This Row],[Billed_Units]])),ReconciliationData[[#This Row],[ordered_units]]&lt;&gt;ReconciliationData[[#This Row],[Billed_Units]]),1,0)</f>
        <v>0</v>
      </c>
      <c r="R30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60">
        <f>IF(AND(NOT(ISBLANK(ReconciliationData[[#This Row],[Contract_Price]])),ReconciliationData[[#This Row],[Billed_Price]]&lt;&gt;ReconciliationData[[#This Row],[Contract_Price]]),1,0)</f>
        <v>0</v>
      </c>
      <c r="T3060">
        <f>IF(AND(NOT(ISBLANK(ReconciliationData[[#This Row],[End_Date]])),ReconciliationData[[#This Row],[Order_Date]]&gt;ReconciliationData[[#This Row],[End_Date]]),1,0)</f>
        <v>0</v>
      </c>
      <c r="U3060">
        <f>IF(AND(NOT(ISBLANK(ReconciliationData[[#This Row],[last_return_date]])),ReconciliationData[[#This Row],[last_return_date]]&gt;ReconciliationData[[#This Row],[Order_Date]]+60),1,0)</f>
        <v>0</v>
      </c>
      <c r="V3060">
        <f>IF(ReconciliationData[[#This Row],[total_returned_units]]&gt;ReconciliationData[[#This Row],[ordered_units]],1,0)</f>
        <v>0</v>
      </c>
      <c r="W30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60">
        <f>ReconciliationData[[#This Row],[Billed_Units]]*ReconciliationData[[#This Row],[Billed_Price]]</f>
        <v>102326.32800000004</v>
      </c>
      <c r="Y3060">
        <f>ReconciliationData[[#This Row],[ordered_units]]*ReconciliationData[[#This Row],[List_Price]]</f>
        <v>102326.32800000004</v>
      </c>
      <c r="Z3060">
        <f>ReconciliationData[[#This Row],[billed_revenue]]-ReconciliationData[[#This Row],[expected_revenue]]</f>
        <v>0</v>
      </c>
      <c r="AA30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60" t="str">
        <f>IF(ReconciliationData[[#This Row],[severity_score]]=0,"LOW",
 IF(ReconciliationData[[#This Row],[severity_score]]&lt;=5,"MEDIUM","HIGH"))</f>
        <v>LOW</v>
      </c>
      <c r="AC3060" t="str">
        <f>TEXT(ReconciliationData[[#This Row],[Order_Date]],"YYYY-MM")</f>
        <v>2024-12</v>
      </c>
    </row>
    <row r="3061" spans="1:29">
      <c r="A3061" t="s">
        <v>7334</v>
      </c>
      <c r="B3061" s="1">
        <v>45182</v>
      </c>
      <c r="C3061" t="s">
        <v>1558</v>
      </c>
      <c r="D3061" t="s">
        <v>1362</v>
      </c>
      <c r="E3061">
        <v>113</v>
      </c>
      <c r="F3061" t="s">
        <v>7335</v>
      </c>
      <c r="G3061">
        <v>113</v>
      </c>
      <c r="H3061">
        <v>82.749600000000015</v>
      </c>
      <c r="N3061">
        <v>82.749600000000015</v>
      </c>
      <c r="O3061" s="1">
        <v>45068</v>
      </c>
      <c r="P3061">
        <f>IF(ISBLANK(ReconciliationData[[#This Row],[Invoice_ID]]),1,0)</f>
        <v>0</v>
      </c>
      <c r="Q3061">
        <f>IF(AND(NOT(ISBLANK(ReconciliationData[[#This Row],[Billed_Units]])),ReconciliationData[[#This Row],[ordered_units]]&lt;&gt;ReconciliationData[[#This Row],[Billed_Units]]),1,0)</f>
        <v>0</v>
      </c>
      <c r="R30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61">
        <f>IF(AND(NOT(ISBLANK(ReconciliationData[[#This Row],[Contract_Price]])),ReconciliationData[[#This Row],[Billed_Price]]&lt;&gt;ReconciliationData[[#This Row],[Contract_Price]]),1,0)</f>
        <v>0</v>
      </c>
      <c r="T3061">
        <f>IF(AND(NOT(ISBLANK(ReconciliationData[[#This Row],[End_Date]])),ReconciliationData[[#This Row],[Order_Date]]&gt;ReconciliationData[[#This Row],[End_Date]]),1,0)</f>
        <v>0</v>
      </c>
      <c r="U3061">
        <f>IF(AND(NOT(ISBLANK(ReconciliationData[[#This Row],[last_return_date]])),ReconciliationData[[#This Row],[last_return_date]]&gt;ReconciliationData[[#This Row],[Order_Date]]+60),1,0)</f>
        <v>0</v>
      </c>
      <c r="V3061">
        <f>IF(ReconciliationData[[#This Row],[total_returned_units]]&gt;ReconciliationData[[#This Row],[ordered_units]],1,0)</f>
        <v>0</v>
      </c>
      <c r="W30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61">
        <f>ReconciliationData[[#This Row],[Billed_Units]]*ReconciliationData[[#This Row],[Billed_Price]]</f>
        <v>9350.7048000000013</v>
      </c>
      <c r="Y3061">
        <f>ReconciliationData[[#This Row],[ordered_units]]*ReconciliationData[[#This Row],[List_Price]]</f>
        <v>9350.7048000000013</v>
      </c>
      <c r="Z3061">
        <f>ReconciliationData[[#This Row],[billed_revenue]]-ReconciliationData[[#This Row],[expected_revenue]]</f>
        <v>0</v>
      </c>
      <c r="AA30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61" t="str">
        <f>IF(ReconciliationData[[#This Row],[severity_score]]=0,"LOW",
 IF(ReconciliationData[[#This Row],[severity_score]]&lt;=5,"MEDIUM","HIGH"))</f>
        <v>LOW</v>
      </c>
      <c r="AC3061" t="str">
        <f>TEXT(ReconciliationData[[#This Row],[Order_Date]],"YYYY-MM")</f>
        <v>2023-09</v>
      </c>
    </row>
    <row r="3062" spans="1:29">
      <c r="A3062" t="s">
        <v>7336</v>
      </c>
      <c r="B3062" s="1">
        <v>44968</v>
      </c>
      <c r="C3062" t="s">
        <v>1077</v>
      </c>
      <c r="D3062" t="s">
        <v>468</v>
      </c>
      <c r="E3062">
        <v>135</v>
      </c>
      <c r="F3062" t="s">
        <v>7337</v>
      </c>
      <c r="G3062">
        <v>135</v>
      </c>
      <c r="H3062">
        <v>376.62</v>
      </c>
      <c r="N3062">
        <v>376.62</v>
      </c>
      <c r="O3062" s="1">
        <v>44747</v>
      </c>
      <c r="P3062">
        <f>IF(ISBLANK(ReconciliationData[[#This Row],[Invoice_ID]]),1,0)</f>
        <v>0</v>
      </c>
      <c r="Q3062">
        <f>IF(AND(NOT(ISBLANK(ReconciliationData[[#This Row],[Billed_Units]])),ReconciliationData[[#This Row],[ordered_units]]&lt;&gt;ReconciliationData[[#This Row],[Billed_Units]]),1,0)</f>
        <v>0</v>
      </c>
      <c r="R30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62">
        <f>IF(AND(NOT(ISBLANK(ReconciliationData[[#This Row],[Contract_Price]])),ReconciliationData[[#This Row],[Billed_Price]]&lt;&gt;ReconciliationData[[#This Row],[Contract_Price]]),1,0)</f>
        <v>0</v>
      </c>
      <c r="T3062">
        <f>IF(AND(NOT(ISBLANK(ReconciliationData[[#This Row],[End_Date]])),ReconciliationData[[#This Row],[Order_Date]]&gt;ReconciliationData[[#This Row],[End_Date]]),1,0)</f>
        <v>0</v>
      </c>
      <c r="U3062">
        <f>IF(AND(NOT(ISBLANK(ReconciliationData[[#This Row],[last_return_date]])),ReconciliationData[[#This Row],[last_return_date]]&gt;ReconciliationData[[#This Row],[Order_Date]]+60),1,0)</f>
        <v>0</v>
      </c>
      <c r="V3062">
        <f>IF(ReconciliationData[[#This Row],[total_returned_units]]&gt;ReconciliationData[[#This Row],[ordered_units]],1,0)</f>
        <v>0</v>
      </c>
      <c r="W30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62">
        <f>ReconciliationData[[#This Row],[Billed_Units]]*ReconciliationData[[#This Row],[Billed_Price]]</f>
        <v>50843.7</v>
      </c>
      <c r="Y3062">
        <f>ReconciliationData[[#This Row],[ordered_units]]*ReconciliationData[[#This Row],[List_Price]]</f>
        <v>50843.7</v>
      </c>
      <c r="Z3062">
        <f>ReconciliationData[[#This Row],[billed_revenue]]-ReconciliationData[[#This Row],[expected_revenue]]</f>
        <v>0</v>
      </c>
      <c r="AA30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62" t="str">
        <f>IF(ReconciliationData[[#This Row],[severity_score]]=0,"LOW",
 IF(ReconciliationData[[#This Row],[severity_score]]&lt;=5,"MEDIUM","HIGH"))</f>
        <v>LOW</v>
      </c>
      <c r="AC3062" t="str">
        <f>TEXT(ReconciliationData[[#This Row],[Order_Date]],"YYYY-MM")</f>
        <v>2023-02</v>
      </c>
    </row>
    <row r="3063" spans="1:29">
      <c r="A3063" t="s">
        <v>7338</v>
      </c>
      <c r="B3063" s="1">
        <v>45202</v>
      </c>
      <c r="C3063" t="s">
        <v>7339</v>
      </c>
      <c r="D3063" t="s">
        <v>814</v>
      </c>
      <c r="E3063">
        <v>41</v>
      </c>
      <c r="F3063" t="s">
        <v>7340</v>
      </c>
      <c r="G3063">
        <v>41</v>
      </c>
      <c r="H3063">
        <v>521.54959999999994</v>
      </c>
      <c r="N3063">
        <v>521.54959999999994</v>
      </c>
      <c r="O3063" s="1">
        <v>44994</v>
      </c>
      <c r="P3063">
        <f>IF(ISBLANK(ReconciliationData[[#This Row],[Invoice_ID]]),1,0)</f>
        <v>0</v>
      </c>
      <c r="Q3063">
        <f>IF(AND(NOT(ISBLANK(ReconciliationData[[#This Row],[Billed_Units]])),ReconciliationData[[#This Row],[ordered_units]]&lt;&gt;ReconciliationData[[#This Row],[Billed_Units]]),1,0)</f>
        <v>0</v>
      </c>
      <c r="R30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63">
        <f>IF(AND(NOT(ISBLANK(ReconciliationData[[#This Row],[Contract_Price]])),ReconciliationData[[#This Row],[Billed_Price]]&lt;&gt;ReconciliationData[[#This Row],[Contract_Price]]),1,0)</f>
        <v>0</v>
      </c>
      <c r="T3063">
        <f>IF(AND(NOT(ISBLANK(ReconciliationData[[#This Row],[End_Date]])),ReconciliationData[[#This Row],[Order_Date]]&gt;ReconciliationData[[#This Row],[End_Date]]),1,0)</f>
        <v>0</v>
      </c>
      <c r="U3063">
        <f>IF(AND(NOT(ISBLANK(ReconciliationData[[#This Row],[last_return_date]])),ReconciliationData[[#This Row],[last_return_date]]&gt;ReconciliationData[[#This Row],[Order_Date]]+60),1,0)</f>
        <v>0</v>
      </c>
      <c r="V3063">
        <f>IF(ReconciliationData[[#This Row],[total_returned_units]]&gt;ReconciliationData[[#This Row],[ordered_units]],1,0)</f>
        <v>0</v>
      </c>
      <c r="W30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63">
        <f>ReconciliationData[[#This Row],[Billed_Units]]*ReconciliationData[[#This Row],[Billed_Price]]</f>
        <v>21383.533599999999</v>
      </c>
      <c r="Y3063">
        <f>ReconciliationData[[#This Row],[ordered_units]]*ReconciliationData[[#This Row],[List_Price]]</f>
        <v>21383.533599999999</v>
      </c>
      <c r="Z3063">
        <f>ReconciliationData[[#This Row],[billed_revenue]]-ReconciliationData[[#This Row],[expected_revenue]]</f>
        <v>0</v>
      </c>
      <c r="AA30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63" t="str">
        <f>IF(ReconciliationData[[#This Row],[severity_score]]=0,"LOW",
 IF(ReconciliationData[[#This Row],[severity_score]]&lt;=5,"MEDIUM","HIGH"))</f>
        <v>LOW</v>
      </c>
      <c r="AC3063" t="str">
        <f>TEXT(ReconciliationData[[#This Row],[Order_Date]],"YYYY-MM")</f>
        <v>2023-10</v>
      </c>
    </row>
    <row r="3064" spans="1:29">
      <c r="A3064" t="s">
        <v>7341</v>
      </c>
      <c r="B3064" s="1">
        <v>44998</v>
      </c>
      <c r="C3064" t="s">
        <v>2751</v>
      </c>
      <c r="D3064" t="s">
        <v>916</v>
      </c>
      <c r="E3064">
        <v>114</v>
      </c>
      <c r="F3064" t="s">
        <v>7342</v>
      </c>
      <c r="G3064">
        <v>114</v>
      </c>
      <c r="H3064">
        <v>1158.2643</v>
      </c>
      <c r="N3064">
        <v>1158.2643</v>
      </c>
      <c r="O3064" s="1">
        <v>44771</v>
      </c>
      <c r="P3064">
        <f>IF(ISBLANK(ReconciliationData[[#This Row],[Invoice_ID]]),1,0)</f>
        <v>0</v>
      </c>
      <c r="Q3064">
        <f>IF(AND(NOT(ISBLANK(ReconciliationData[[#This Row],[Billed_Units]])),ReconciliationData[[#This Row],[ordered_units]]&lt;&gt;ReconciliationData[[#This Row],[Billed_Units]]),1,0)</f>
        <v>0</v>
      </c>
      <c r="R30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64">
        <f>IF(AND(NOT(ISBLANK(ReconciliationData[[#This Row],[Contract_Price]])),ReconciliationData[[#This Row],[Billed_Price]]&lt;&gt;ReconciliationData[[#This Row],[Contract_Price]]),1,0)</f>
        <v>0</v>
      </c>
      <c r="T3064">
        <f>IF(AND(NOT(ISBLANK(ReconciliationData[[#This Row],[End_Date]])),ReconciliationData[[#This Row],[Order_Date]]&gt;ReconciliationData[[#This Row],[End_Date]]),1,0)</f>
        <v>0</v>
      </c>
      <c r="U3064">
        <f>IF(AND(NOT(ISBLANK(ReconciliationData[[#This Row],[last_return_date]])),ReconciliationData[[#This Row],[last_return_date]]&gt;ReconciliationData[[#This Row],[Order_Date]]+60),1,0)</f>
        <v>0</v>
      </c>
      <c r="V3064">
        <f>IF(ReconciliationData[[#This Row],[total_returned_units]]&gt;ReconciliationData[[#This Row],[ordered_units]],1,0)</f>
        <v>0</v>
      </c>
      <c r="W30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64">
        <f>ReconciliationData[[#This Row],[Billed_Units]]*ReconciliationData[[#This Row],[Billed_Price]]</f>
        <v>132042.13020000001</v>
      </c>
      <c r="Y3064">
        <f>ReconciliationData[[#This Row],[ordered_units]]*ReconciliationData[[#This Row],[List_Price]]</f>
        <v>132042.13020000001</v>
      </c>
      <c r="Z3064">
        <f>ReconciliationData[[#This Row],[billed_revenue]]-ReconciliationData[[#This Row],[expected_revenue]]</f>
        <v>0</v>
      </c>
      <c r="AA30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64" t="str">
        <f>IF(ReconciliationData[[#This Row],[severity_score]]=0,"LOW",
 IF(ReconciliationData[[#This Row],[severity_score]]&lt;=5,"MEDIUM","HIGH"))</f>
        <v>LOW</v>
      </c>
      <c r="AC3064" t="str">
        <f>TEXT(ReconciliationData[[#This Row],[Order_Date]],"YYYY-MM")</f>
        <v>2023-03</v>
      </c>
    </row>
    <row r="3065" spans="1:29">
      <c r="A3065" t="s">
        <v>7343</v>
      </c>
      <c r="B3065" s="1">
        <v>45113</v>
      </c>
      <c r="C3065" t="s">
        <v>1928</v>
      </c>
      <c r="D3065" t="s">
        <v>1285</v>
      </c>
      <c r="E3065">
        <v>138</v>
      </c>
      <c r="F3065" t="s">
        <v>7344</v>
      </c>
      <c r="G3065">
        <v>138</v>
      </c>
      <c r="H3065">
        <v>399.4169</v>
      </c>
      <c r="N3065">
        <v>399.4169</v>
      </c>
      <c r="O3065" s="1">
        <v>45020</v>
      </c>
      <c r="P3065">
        <f>IF(ISBLANK(ReconciliationData[[#This Row],[Invoice_ID]]),1,0)</f>
        <v>0</v>
      </c>
      <c r="Q3065">
        <f>IF(AND(NOT(ISBLANK(ReconciliationData[[#This Row],[Billed_Units]])),ReconciliationData[[#This Row],[ordered_units]]&lt;&gt;ReconciliationData[[#This Row],[Billed_Units]]),1,0)</f>
        <v>0</v>
      </c>
      <c r="R30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65">
        <f>IF(AND(NOT(ISBLANK(ReconciliationData[[#This Row],[Contract_Price]])),ReconciliationData[[#This Row],[Billed_Price]]&lt;&gt;ReconciliationData[[#This Row],[Contract_Price]]),1,0)</f>
        <v>0</v>
      </c>
      <c r="T3065">
        <f>IF(AND(NOT(ISBLANK(ReconciliationData[[#This Row],[End_Date]])),ReconciliationData[[#This Row],[Order_Date]]&gt;ReconciliationData[[#This Row],[End_Date]]),1,0)</f>
        <v>0</v>
      </c>
      <c r="U3065">
        <f>IF(AND(NOT(ISBLANK(ReconciliationData[[#This Row],[last_return_date]])),ReconciliationData[[#This Row],[last_return_date]]&gt;ReconciliationData[[#This Row],[Order_Date]]+60),1,0)</f>
        <v>0</v>
      </c>
      <c r="V3065">
        <f>IF(ReconciliationData[[#This Row],[total_returned_units]]&gt;ReconciliationData[[#This Row],[ordered_units]],1,0)</f>
        <v>0</v>
      </c>
      <c r="W30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65">
        <f>ReconciliationData[[#This Row],[Billed_Units]]*ReconciliationData[[#This Row],[Billed_Price]]</f>
        <v>55119.532200000001</v>
      </c>
      <c r="Y3065">
        <f>ReconciliationData[[#This Row],[ordered_units]]*ReconciliationData[[#This Row],[List_Price]]</f>
        <v>55119.532200000001</v>
      </c>
      <c r="Z3065">
        <f>ReconciliationData[[#This Row],[billed_revenue]]-ReconciliationData[[#This Row],[expected_revenue]]</f>
        <v>0</v>
      </c>
      <c r="AA30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65" t="str">
        <f>IF(ReconciliationData[[#This Row],[severity_score]]=0,"LOW",
 IF(ReconciliationData[[#This Row],[severity_score]]&lt;=5,"MEDIUM","HIGH"))</f>
        <v>LOW</v>
      </c>
      <c r="AC3065" t="str">
        <f>TEXT(ReconciliationData[[#This Row],[Order_Date]],"YYYY-MM")</f>
        <v>2023-07</v>
      </c>
    </row>
    <row r="3066" spans="1:29">
      <c r="A3066" t="s">
        <v>7345</v>
      </c>
      <c r="B3066" s="1">
        <v>45475</v>
      </c>
      <c r="C3066" t="s">
        <v>4015</v>
      </c>
      <c r="D3066" t="s">
        <v>1396</v>
      </c>
      <c r="E3066">
        <v>23</v>
      </c>
      <c r="F3066" t="s">
        <v>7346</v>
      </c>
      <c r="G3066">
        <v>23</v>
      </c>
      <c r="H3066">
        <v>880.66300000000001</v>
      </c>
      <c r="N3066">
        <v>880.66300000000001</v>
      </c>
      <c r="O3066" s="1">
        <v>44966</v>
      </c>
      <c r="P3066">
        <f>IF(ISBLANK(ReconciliationData[[#This Row],[Invoice_ID]]),1,0)</f>
        <v>0</v>
      </c>
      <c r="Q3066">
        <f>IF(AND(NOT(ISBLANK(ReconciliationData[[#This Row],[Billed_Units]])),ReconciliationData[[#This Row],[ordered_units]]&lt;&gt;ReconciliationData[[#This Row],[Billed_Units]]),1,0)</f>
        <v>0</v>
      </c>
      <c r="R30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66">
        <f>IF(AND(NOT(ISBLANK(ReconciliationData[[#This Row],[Contract_Price]])),ReconciliationData[[#This Row],[Billed_Price]]&lt;&gt;ReconciliationData[[#This Row],[Contract_Price]]),1,0)</f>
        <v>0</v>
      </c>
      <c r="T3066">
        <f>IF(AND(NOT(ISBLANK(ReconciliationData[[#This Row],[End_Date]])),ReconciliationData[[#This Row],[Order_Date]]&gt;ReconciliationData[[#This Row],[End_Date]]),1,0)</f>
        <v>0</v>
      </c>
      <c r="U3066">
        <f>IF(AND(NOT(ISBLANK(ReconciliationData[[#This Row],[last_return_date]])),ReconciliationData[[#This Row],[last_return_date]]&gt;ReconciliationData[[#This Row],[Order_Date]]+60),1,0)</f>
        <v>0</v>
      </c>
      <c r="V3066">
        <f>IF(ReconciliationData[[#This Row],[total_returned_units]]&gt;ReconciliationData[[#This Row],[ordered_units]],1,0)</f>
        <v>0</v>
      </c>
      <c r="W30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66">
        <f>ReconciliationData[[#This Row],[Billed_Units]]*ReconciliationData[[#This Row],[Billed_Price]]</f>
        <v>20255.249</v>
      </c>
      <c r="Y3066">
        <f>ReconciliationData[[#This Row],[ordered_units]]*ReconciliationData[[#This Row],[List_Price]]</f>
        <v>20255.249</v>
      </c>
      <c r="Z3066">
        <f>ReconciliationData[[#This Row],[billed_revenue]]-ReconciliationData[[#This Row],[expected_revenue]]</f>
        <v>0</v>
      </c>
      <c r="AA30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66" t="str">
        <f>IF(ReconciliationData[[#This Row],[severity_score]]=0,"LOW",
 IF(ReconciliationData[[#This Row],[severity_score]]&lt;=5,"MEDIUM","HIGH"))</f>
        <v>LOW</v>
      </c>
      <c r="AC3066" t="str">
        <f>TEXT(ReconciliationData[[#This Row],[Order_Date]],"YYYY-MM")</f>
        <v>2024-07</v>
      </c>
    </row>
    <row r="3067" spans="1:29">
      <c r="A3067" t="s">
        <v>7347</v>
      </c>
      <c r="B3067" s="1">
        <v>45270</v>
      </c>
      <c r="C3067" t="s">
        <v>2542</v>
      </c>
      <c r="D3067" t="s">
        <v>1549</v>
      </c>
      <c r="E3067">
        <v>135</v>
      </c>
      <c r="F3067" t="s">
        <v>7348</v>
      </c>
      <c r="G3067">
        <v>135</v>
      </c>
      <c r="H3067">
        <v>234.87090000000001</v>
      </c>
      <c r="N3067">
        <v>234.87090000000001</v>
      </c>
      <c r="O3067" s="1">
        <v>45150</v>
      </c>
      <c r="P3067">
        <f>IF(ISBLANK(ReconciliationData[[#This Row],[Invoice_ID]]),1,0)</f>
        <v>0</v>
      </c>
      <c r="Q3067">
        <f>IF(AND(NOT(ISBLANK(ReconciliationData[[#This Row],[Billed_Units]])),ReconciliationData[[#This Row],[ordered_units]]&lt;&gt;ReconciliationData[[#This Row],[Billed_Units]]),1,0)</f>
        <v>0</v>
      </c>
      <c r="R30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67">
        <f>IF(AND(NOT(ISBLANK(ReconciliationData[[#This Row],[Contract_Price]])),ReconciliationData[[#This Row],[Billed_Price]]&lt;&gt;ReconciliationData[[#This Row],[Contract_Price]]),1,0)</f>
        <v>0</v>
      </c>
      <c r="T3067">
        <f>IF(AND(NOT(ISBLANK(ReconciliationData[[#This Row],[End_Date]])),ReconciliationData[[#This Row],[Order_Date]]&gt;ReconciliationData[[#This Row],[End_Date]]),1,0)</f>
        <v>0</v>
      </c>
      <c r="U3067">
        <f>IF(AND(NOT(ISBLANK(ReconciliationData[[#This Row],[last_return_date]])),ReconciliationData[[#This Row],[last_return_date]]&gt;ReconciliationData[[#This Row],[Order_Date]]+60),1,0)</f>
        <v>0</v>
      </c>
      <c r="V3067">
        <f>IF(ReconciliationData[[#This Row],[total_returned_units]]&gt;ReconciliationData[[#This Row],[ordered_units]],1,0)</f>
        <v>0</v>
      </c>
      <c r="W30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67">
        <f>ReconciliationData[[#This Row],[Billed_Units]]*ReconciliationData[[#This Row],[Billed_Price]]</f>
        <v>31707.571500000002</v>
      </c>
      <c r="Y3067">
        <f>ReconciliationData[[#This Row],[ordered_units]]*ReconciliationData[[#This Row],[List_Price]]</f>
        <v>31707.571500000002</v>
      </c>
      <c r="Z3067">
        <f>ReconciliationData[[#This Row],[billed_revenue]]-ReconciliationData[[#This Row],[expected_revenue]]</f>
        <v>0</v>
      </c>
      <c r="AA30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67" t="str">
        <f>IF(ReconciliationData[[#This Row],[severity_score]]=0,"LOW",
 IF(ReconciliationData[[#This Row],[severity_score]]&lt;=5,"MEDIUM","HIGH"))</f>
        <v>LOW</v>
      </c>
      <c r="AC3067" t="str">
        <f>TEXT(ReconciliationData[[#This Row],[Order_Date]],"YYYY-MM")</f>
        <v>2023-12</v>
      </c>
    </row>
    <row r="3068" spans="1:29">
      <c r="A3068" t="s">
        <v>7349</v>
      </c>
      <c r="B3068" s="1">
        <v>45240</v>
      </c>
      <c r="C3068" t="s">
        <v>721</v>
      </c>
      <c r="D3068" t="s">
        <v>423</v>
      </c>
      <c r="E3068">
        <v>198</v>
      </c>
      <c r="F3068" t="s">
        <v>7350</v>
      </c>
      <c r="G3068">
        <v>198</v>
      </c>
      <c r="H3068">
        <v>168.12909999999999</v>
      </c>
      <c r="N3068">
        <v>168.12909999999999</v>
      </c>
      <c r="O3068" s="1">
        <v>45013</v>
      </c>
      <c r="P3068">
        <f>IF(ISBLANK(ReconciliationData[[#This Row],[Invoice_ID]]),1,0)</f>
        <v>0</v>
      </c>
      <c r="Q3068">
        <f>IF(AND(NOT(ISBLANK(ReconciliationData[[#This Row],[Billed_Units]])),ReconciliationData[[#This Row],[ordered_units]]&lt;&gt;ReconciliationData[[#This Row],[Billed_Units]]),1,0)</f>
        <v>0</v>
      </c>
      <c r="R30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68">
        <f>IF(AND(NOT(ISBLANK(ReconciliationData[[#This Row],[Contract_Price]])),ReconciliationData[[#This Row],[Billed_Price]]&lt;&gt;ReconciliationData[[#This Row],[Contract_Price]]),1,0)</f>
        <v>0</v>
      </c>
      <c r="T3068">
        <f>IF(AND(NOT(ISBLANK(ReconciliationData[[#This Row],[End_Date]])),ReconciliationData[[#This Row],[Order_Date]]&gt;ReconciliationData[[#This Row],[End_Date]]),1,0)</f>
        <v>0</v>
      </c>
      <c r="U3068">
        <f>IF(AND(NOT(ISBLANK(ReconciliationData[[#This Row],[last_return_date]])),ReconciliationData[[#This Row],[last_return_date]]&gt;ReconciliationData[[#This Row],[Order_Date]]+60),1,0)</f>
        <v>0</v>
      </c>
      <c r="V3068">
        <f>IF(ReconciliationData[[#This Row],[total_returned_units]]&gt;ReconciliationData[[#This Row],[ordered_units]],1,0)</f>
        <v>0</v>
      </c>
      <c r="W30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68">
        <f>ReconciliationData[[#This Row],[Billed_Units]]*ReconciliationData[[#This Row],[Billed_Price]]</f>
        <v>33289.561799999996</v>
      </c>
      <c r="Y3068">
        <f>ReconciliationData[[#This Row],[ordered_units]]*ReconciliationData[[#This Row],[List_Price]]</f>
        <v>33289.561799999996</v>
      </c>
      <c r="Z3068">
        <f>ReconciliationData[[#This Row],[billed_revenue]]-ReconciliationData[[#This Row],[expected_revenue]]</f>
        <v>0</v>
      </c>
      <c r="AA30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68" t="str">
        <f>IF(ReconciliationData[[#This Row],[severity_score]]=0,"LOW",
 IF(ReconciliationData[[#This Row],[severity_score]]&lt;=5,"MEDIUM","HIGH"))</f>
        <v>LOW</v>
      </c>
      <c r="AC3068" t="str">
        <f>TEXT(ReconciliationData[[#This Row],[Order_Date]],"YYYY-MM")</f>
        <v>2023-11</v>
      </c>
    </row>
    <row r="3069" spans="1:29">
      <c r="A3069" t="s">
        <v>7351</v>
      </c>
      <c r="B3069" s="1">
        <v>45007</v>
      </c>
      <c r="C3069" t="s">
        <v>177</v>
      </c>
      <c r="D3069" t="s">
        <v>628</v>
      </c>
      <c r="E3069">
        <v>130</v>
      </c>
      <c r="F3069" t="s">
        <v>7352</v>
      </c>
      <c r="G3069">
        <v>130</v>
      </c>
      <c r="H3069">
        <v>303.73439999999999</v>
      </c>
      <c r="N3069">
        <v>303.73439999999999</v>
      </c>
      <c r="O3069" s="1">
        <v>44810</v>
      </c>
      <c r="P3069">
        <f>IF(ISBLANK(ReconciliationData[[#This Row],[Invoice_ID]]),1,0)</f>
        <v>0</v>
      </c>
      <c r="Q3069">
        <f>IF(AND(NOT(ISBLANK(ReconciliationData[[#This Row],[Billed_Units]])),ReconciliationData[[#This Row],[ordered_units]]&lt;&gt;ReconciliationData[[#This Row],[Billed_Units]]),1,0)</f>
        <v>0</v>
      </c>
      <c r="R30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69">
        <f>IF(AND(NOT(ISBLANK(ReconciliationData[[#This Row],[Contract_Price]])),ReconciliationData[[#This Row],[Billed_Price]]&lt;&gt;ReconciliationData[[#This Row],[Contract_Price]]),1,0)</f>
        <v>0</v>
      </c>
      <c r="T3069">
        <f>IF(AND(NOT(ISBLANK(ReconciliationData[[#This Row],[End_Date]])),ReconciliationData[[#This Row],[Order_Date]]&gt;ReconciliationData[[#This Row],[End_Date]]),1,0)</f>
        <v>0</v>
      </c>
      <c r="U3069">
        <f>IF(AND(NOT(ISBLANK(ReconciliationData[[#This Row],[last_return_date]])),ReconciliationData[[#This Row],[last_return_date]]&gt;ReconciliationData[[#This Row],[Order_Date]]+60),1,0)</f>
        <v>0</v>
      </c>
      <c r="V3069">
        <f>IF(ReconciliationData[[#This Row],[total_returned_units]]&gt;ReconciliationData[[#This Row],[ordered_units]],1,0)</f>
        <v>0</v>
      </c>
      <c r="W30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69">
        <f>ReconciliationData[[#This Row],[Billed_Units]]*ReconciliationData[[#This Row],[Billed_Price]]</f>
        <v>39485.472000000002</v>
      </c>
      <c r="Y3069">
        <f>ReconciliationData[[#This Row],[ordered_units]]*ReconciliationData[[#This Row],[List_Price]]</f>
        <v>39485.472000000002</v>
      </c>
      <c r="Z3069">
        <f>ReconciliationData[[#This Row],[billed_revenue]]-ReconciliationData[[#This Row],[expected_revenue]]</f>
        <v>0</v>
      </c>
      <c r="AA30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69" t="str">
        <f>IF(ReconciliationData[[#This Row],[severity_score]]=0,"LOW",
 IF(ReconciliationData[[#This Row],[severity_score]]&lt;=5,"MEDIUM","HIGH"))</f>
        <v>LOW</v>
      </c>
      <c r="AC3069" t="str">
        <f>TEXT(ReconciliationData[[#This Row],[Order_Date]],"YYYY-MM")</f>
        <v>2023-03</v>
      </c>
    </row>
    <row r="3070" spans="1:29">
      <c r="A3070" t="s">
        <v>7353</v>
      </c>
      <c r="B3070" s="1">
        <v>45126</v>
      </c>
      <c r="C3070" t="s">
        <v>2998</v>
      </c>
      <c r="D3070" t="s">
        <v>2050</v>
      </c>
      <c r="E3070">
        <v>85</v>
      </c>
      <c r="F3070" t="s">
        <v>7354</v>
      </c>
      <c r="G3070">
        <v>85</v>
      </c>
      <c r="H3070">
        <v>956.22119999999995</v>
      </c>
      <c r="N3070">
        <v>956.22119999999995</v>
      </c>
      <c r="O3070" s="1">
        <v>44906</v>
      </c>
      <c r="P3070">
        <f>IF(ISBLANK(ReconciliationData[[#This Row],[Invoice_ID]]),1,0)</f>
        <v>0</v>
      </c>
      <c r="Q3070">
        <f>IF(AND(NOT(ISBLANK(ReconciliationData[[#This Row],[Billed_Units]])),ReconciliationData[[#This Row],[ordered_units]]&lt;&gt;ReconciliationData[[#This Row],[Billed_Units]]),1,0)</f>
        <v>0</v>
      </c>
      <c r="R30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70">
        <f>IF(AND(NOT(ISBLANK(ReconciliationData[[#This Row],[Contract_Price]])),ReconciliationData[[#This Row],[Billed_Price]]&lt;&gt;ReconciliationData[[#This Row],[Contract_Price]]),1,0)</f>
        <v>0</v>
      </c>
      <c r="T3070">
        <f>IF(AND(NOT(ISBLANK(ReconciliationData[[#This Row],[End_Date]])),ReconciliationData[[#This Row],[Order_Date]]&gt;ReconciliationData[[#This Row],[End_Date]]),1,0)</f>
        <v>0</v>
      </c>
      <c r="U3070">
        <f>IF(AND(NOT(ISBLANK(ReconciliationData[[#This Row],[last_return_date]])),ReconciliationData[[#This Row],[last_return_date]]&gt;ReconciliationData[[#This Row],[Order_Date]]+60),1,0)</f>
        <v>0</v>
      </c>
      <c r="V3070">
        <f>IF(ReconciliationData[[#This Row],[total_returned_units]]&gt;ReconciliationData[[#This Row],[ordered_units]],1,0)</f>
        <v>0</v>
      </c>
      <c r="W30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70">
        <f>ReconciliationData[[#This Row],[Billed_Units]]*ReconciliationData[[#This Row],[Billed_Price]]</f>
        <v>81278.801999999996</v>
      </c>
      <c r="Y3070">
        <f>ReconciliationData[[#This Row],[ordered_units]]*ReconciliationData[[#This Row],[List_Price]]</f>
        <v>81278.801999999996</v>
      </c>
      <c r="Z3070">
        <f>ReconciliationData[[#This Row],[billed_revenue]]-ReconciliationData[[#This Row],[expected_revenue]]</f>
        <v>0</v>
      </c>
      <c r="AA30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70" t="str">
        <f>IF(ReconciliationData[[#This Row],[severity_score]]=0,"LOW",
 IF(ReconciliationData[[#This Row],[severity_score]]&lt;=5,"MEDIUM","HIGH"))</f>
        <v>LOW</v>
      </c>
      <c r="AC3070" t="str">
        <f>TEXT(ReconciliationData[[#This Row],[Order_Date]],"YYYY-MM")</f>
        <v>2023-07</v>
      </c>
    </row>
    <row r="3071" spans="1:29">
      <c r="A3071" t="s">
        <v>7355</v>
      </c>
      <c r="B3071" s="1">
        <v>45098</v>
      </c>
      <c r="C3071" t="s">
        <v>1501</v>
      </c>
      <c r="D3071" t="s">
        <v>589</v>
      </c>
      <c r="E3071">
        <v>171</v>
      </c>
      <c r="F3071" t="s">
        <v>7356</v>
      </c>
      <c r="G3071">
        <v>171</v>
      </c>
      <c r="H3071">
        <v>1109.5024421313501</v>
      </c>
      <c r="N3071">
        <v>1108.7584999999999</v>
      </c>
      <c r="O3071" s="1">
        <v>44805</v>
      </c>
      <c r="P3071">
        <f>IF(ISBLANK(ReconciliationData[[#This Row],[Invoice_ID]]),1,0)</f>
        <v>0</v>
      </c>
      <c r="Q3071">
        <f>IF(AND(NOT(ISBLANK(ReconciliationData[[#This Row],[Billed_Units]])),ReconciliationData[[#This Row],[ordered_units]]&lt;&gt;ReconciliationData[[#This Row],[Billed_Units]]),1,0)</f>
        <v>0</v>
      </c>
      <c r="R3071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071">
        <f>IF(AND(NOT(ISBLANK(ReconciliationData[[#This Row],[Contract_Price]])),ReconciliationData[[#This Row],[Billed_Price]]&lt;&gt;ReconciliationData[[#This Row],[Contract_Price]]),1,0)</f>
        <v>0</v>
      </c>
      <c r="T3071">
        <f>IF(AND(NOT(ISBLANK(ReconciliationData[[#This Row],[End_Date]])),ReconciliationData[[#This Row],[Order_Date]]&gt;ReconciliationData[[#This Row],[End_Date]]),1,0)</f>
        <v>0</v>
      </c>
      <c r="U3071">
        <f>IF(AND(NOT(ISBLANK(ReconciliationData[[#This Row],[last_return_date]])),ReconciliationData[[#This Row],[last_return_date]]&gt;ReconciliationData[[#This Row],[Order_Date]]+60),1,0)</f>
        <v>0</v>
      </c>
      <c r="V3071">
        <f>IF(ReconciliationData[[#This Row],[total_returned_units]]&gt;ReconciliationData[[#This Row],[ordered_units]],1,0)</f>
        <v>0</v>
      </c>
      <c r="W30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71">
        <f>ReconciliationData[[#This Row],[Billed_Units]]*ReconciliationData[[#This Row],[Billed_Price]]</f>
        <v>189724.91760446088</v>
      </c>
      <c r="Y3071">
        <f>ReconciliationData[[#This Row],[ordered_units]]*ReconciliationData[[#This Row],[List_Price]]</f>
        <v>189597.70349999997</v>
      </c>
      <c r="Z3071">
        <f>ReconciliationData[[#This Row],[billed_revenue]]-ReconciliationData[[#This Row],[expected_revenue]]</f>
        <v>127.21410446090158</v>
      </c>
      <c r="AA30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071" t="str">
        <f>IF(ReconciliationData[[#This Row],[severity_score]]=0,"LOW",
 IF(ReconciliationData[[#This Row],[severity_score]]&lt;=5,"MEDIUM","HIGH"))</f>
        <v>MEDIUM</v>
      </c>
      <c r="AC3071" t="str">
        <f>TEXT(ReconciliationData[[#This Row],[Order_Date]],"YYYY-MM")</f>
        <v>2023-06</v>
      </c>
    </row>
    <row r="3072" spans="1:29">
      <c r="A3072" t="s">
        <v>7357</v>
      </c>
      <c r="B3072" s="1">
        <v>45316</v>
      </c>
      <c r="C3072" t="s">
        <v>316</v>
      </c>
      <c r="D3072" t="s">
        <v>821</v>
      </c>
      <c r="E3072">
        <v>98</v>
      </c>
      <c r="F3072" t="s">
        <v>7358</v>
      </c>
      <c r="G3072">
        <v>98</v>
      </c>
      <c r="H3072">
        <v>785.89</v>
      </c>
      <c r="N3072">
        <v>785.89</v>
      </c>
      <c r="O3072" s="1">
        <v>44989</v>
      </c>
      <c r="P3072">
        <f>IF(ISBLANK(ReconciliationData[[#This Row],[Invoice_ID]]),1,0)</f>
        <v>0</v>
      </c>
      <c r="Q3072">
        <f>IF(AND(NOT(ISBLANK(ReconciliationData[[#This Row],[Billed_Units]])),ReconciliationData[[#This Row],[ordered_units]]&lt;&gt;ReconciliationData[[#This Row],[Billed_Units]]),1,0)</f>
        <v>0</v>
      </c>
      <c r="R30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72">
        <f>IF(AND(NOT(ISBLANK(ReconciliationData[[#This Row],[Contract_Price]])),ReconciliationData[[#This Row],[Billed_Price]]&lt;&gt;ReconciliationData[[#This Row],[Contract_Price]]),1,0)</f>
        <v>0</v>
      </c>
      <c r="T3072">
        <f>IF(AND(NOT(ISBLANK(ReconciliationData[[#This Row],[End_Date]])),ReconciliationData[[#This Row],[Order_Date]]&gt;ReconciliationData[[#This Row],[End_Date]]),1,0)</f>
        <v>0</v>
      </c>
      <c r="U3072">
        <f>IF(AND(NOT(ISBLANK(ReconciliationData[[#This Row],[last_return_date]])),ReconciliationData[[#This Row],[last_return_date]]&gt;ReconciliationData[[#This Row],[Order_Date]]+60),1,0)</f>
        <v>0</v>
      </c>
      <c r="V3072">
        <f>IF(ReconciliationData[[#This Row],[total_returned_units]]&gt;ReconciliationData[[#This Row],[ordered_units]],1,0)</f>
        <v>0</v>
      </c>
      <c r="W30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72">
        <f>ReconciliationData[[#This Row],[Billed_Units]]*ReconciliationData[[#This Row],[Billed_Price]]</f>
        <v>77017.22</v>
      </c>
      <c r="Y3072">
        <f>ReconciliationData[[#This Row],[ordered_units]]*ReconciliationData[[#This Row],[List_Price]]</f>
        <v>77017.22</v>
      </c>
      <c r="Z3072">
        <f>ReconciliationData[[#This Row],[billed_revenue]]-ReconciliationData[[#This Row],[expected_revenue]]</f>
        <v>0</v>
      </c>
      <c r="AA30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72" t="str">
        <f>IF(ReconciliationData[[#This Row],[severity_score]]=0,"LOW",
 IF(ReconciliationData[[#This Row],[severity_score]]&lt;=5,"MEDIUM","HIGH"))</f>
        <v>LOW</v>
      </c>
      <c r="AC3072" t="str">
        <f>TEXT(ReconciliationData[[#This Row],[Order_Date]],"YYYY-MM")</f>
        <v>2024-01</v>
      </c>
    </row>
    <row r="3073" spans="1:29">
      <c r="A3073" t="s">
        <v>7359</v>
      </c>
      <c r="B3073" s="1">
        <v>45360</v>
      </c>
      <c r="C3073" t="s">
        <v>5392</v>
      </c>
      <c r="D3073" t="s">
        <v>522</v>
      </c>
      <c r="E3073">
        <v>40</v>
      </c>
      <c r="F3073" t="s">
        <v>7360</v>
      </c>
      <c r="G3073">
        <v>40</v>
      </c>
      <c r="H3073">
        <v>826.46400000000006</v>
      </c>
      <c r="N3073">
        <v>826.46400000000006</v>
      </c>
      <c r="O3073" s="1">
        <v>45128</v>
      </c>
      <c r="P3073">
        <f>IF(ISBLANK(ReconciliationData[[#This Row],[Invoice_ID]]),1,0)</f>
        <v>0</v>
      </c>
      <c r="Q3073">
        <f>IF(AND(NOT(ISBLANK(ReconciliationData[[#This Row],[Billed_Units]])),ReconciliationData[[#This Row],[ordered_units]]&lt;&gt;ReconciliationData[[#This Row],[Billed_Units]]),1,0)</f>
        <v>0</v>
      </c>
      <c r="R30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73">
        <f>IF(AND(NOT(ISBLANK(ReconciliationData[[#This Row],[Contract_Price]])),ReconciliationData[[#This Row],[Billed_Price]]&lt;&gt;ReconciliationData[[#This Row],[Contract_Price]]),1,0)</f>
        <v>0</v>
      </c>
      <c r="T3073">
        <f>IF(AND(NOT(ISBLANK(ReconciliationData[[#This Row],[End_Date]])),ReconciliationData[[#This Row],[Order_Date]]&gt;ReconciliationData[[#This Row],[End_Date]]),1,0)</f>
        <v>0</v>
      </c>
      <c r="U3073">
        <f>IF(AND(NOT(ISBLANK(ReconciliationData[[#This Row],[last_return_date]])),ReconciliationData[[#This Row],[last_return_date]]&gt;ReconciliationData[[#This Row],[Order_Date]]+60),1,0)</f>
        <v>0</v>
      </c>
      <c r="V3073">
        <f>IF(ReconciliationData[[#This Row],[total_returned_units]]&gt;ReconciliationData[[#This Row],[ordered_units]],1,0)</f>
        <v>0</v>
      </c>
      <c r="W30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73">
        <f>ReconciliationData[[#This Row],[Billed_Units]]*ReconciliationData[[#This Row],[Billed_Price]]</f>
        <v>33058.560000000005</v>
      </c>
      <c r="Y3073">
        <f>ReconciliationData[[#This Row],[ordered_units]]*ReconciliationData[[#This Row],[List_Price]]</f>
        <v>33058.560000000005</v>
      </c>
      <c r="Z3073">
        <f>ReconciliationData[[#This Row],[billed_revenue]]-ReconciliationData[[#This Row],[expected_revenue]]</f>
        <v>0</v>
      </c>
      <c r="AA30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73" t="str">
        <f>IF(ReconciliationData[[#This Row],[severity_score]]=0,"LOW",
 IF(ReconciliationData[[#This Row],[severity_score]]&lt;=5,"MEDIUM","HIGH"))</f>
        <v>LOW</v>
      </c>
      <c r="AC3073" t="str">
        <f>TEXT(ReconciliationData[[#This Row],[Order_Date]],"YYYY-MM")</f>
        <v>2024-03</v>
      </c>
    </row>
    <row r="3074" spans="1:29">
      <c r="A3074" t="s">
        <v>7361</v>
      </c>
      <c r="B3074" s="1">
        <v>45313</v>
      </c>
      <c r="C3074" t="s">
        <v>2660</v>
      </c>
      <c r="D3074" t="s">
        <v>299</v>
      </c>
      <c r="E3074">
        <v>112</v>
      </c>
      <c r="F3074" t="s">
        <v>7362</v>
      </c>
      <c r="G3074">
        <v>112</v>
      </c>
      <c r="H3074">
        <v>182.4273</v>
      </c>
      <c r="N3074">
        <v>182.4273</v>
      </c>
      <c r="O3074" s="1">
        <v>44989</v>
      </c>
      <c r="P3074">
        <f>IF(ISBLANK(ReconciliationData[[#This Row],[Invoice_ID]]),1,0)</f>
        <v>0</v>
      </c>
      <c r="Q3074">
        <f>IF(AND(NOT(ISBLANK(ReconciliationData[[#This Row],[Billed_Units]])),ReconciliationData[[#This Row],[ordered_units]]&lt;&gt;ReconciliationData[[#This Row],[Billed_Units]]),1,0)</f>
        <v>0</v>
      </c>
      <c r="R30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74">
        <f>IF(AND(NOT(ISBLANK(ReconciliationData[[#This Row],[Contract_Price]])),ReconciliationData[[#This Row],[Billed_Price]]&lt;&gt;ReconciliationData[[#This Row],[Contract_Price]]),1,0)</f>
        <v>0</v>
      </c>
      <c r="T3074">
        <f>IF(AND(NOT(ISBLANK(ReconciliationData[[#This Row],[End_Date]])),ReconciliationData[[#This Row],[Order_Date]]&gt;ReconciliationData[[#This Row],[End_Date]]),1,0)</f>
        <v>0</v>
      </c>
      <c r="U3074">
        <f>IF(AND(NOT(ISBLANK(ReconciliationData[[#This Row],[last_return_date]])),ReconciliationData[[#This Row],[last_return_date]]&gt;ReconciliationData[[#This Row],[Order_Date]]+60),1,0)</f>
        <v>0</v>
      </c>
      <c r="V3074">
        <f>IF(ReconciliationData[[#This Row],[total_returned_units]]&gt;ReconciliationData[[#This Row],[ordered_units]],1,0)</f>
        <v>0</v>
      </c>
      <c r="W30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74">
        <f>ReconciliationData[[#This Row],[Billed_Units]]*ReconciliationData[[#This Row],[Billed_Price]]</f>
        <v>20431.857599999999</v>
      </c>
      <c r="Y3074">
        <f>ReconciliationData[[#This Row],[ordered_units]]*ReconciliationData[[#This Row],[List_Price]]</f>
        <v>20431.857599999999</v>
      </c>
      <c r="Z3074">
        <f>ReconciliationData[[#This Row],[billed_revenue]]-ReconciliationData[[#This Row],[expected_revenue]]</f>
        <v>0</v>
      </c>
      <c r="AA30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74" t="str">
        <f>IF(ReconciliationData[[#This Row],[severity_score]]=0,"LOW",
 IF(ReconciliationData[[#This Row],[severity_score]]&lt;=5,"MEDIUM","HIGH"))</f>
        <v>LOW</v>
      </c>
      <c r="AC3074" t="str">
        <f>TEXT(ReconciliationData[[#This Row],[Order_Date]],"YYYY-MM")</f>
        <v>2024-01</v>
      </c>
    </row>
    <row r="3075" spans="1:29">
      <c r="A3075" t="s">
        <v>7363</v>
      </c>
      <c r="B3075" s="1">
        <v>45649</v>
      </c>
      <c r="C3075" t="s">
        <v>400</v>
      </c>
      <c r="D3075" t="s">
        <v>162</v>
      </c>
      <c r="E3075">
        <v>88</v>
      </c>
      <c r="F3075" t="s">
        <v>7364</v>
      </c>
      <c r="G3075">
        <v>88</v>
      </c>
      <c r="H3075">
        <v>511.05885949443564</v>
      </c>
      <c r="I3075">
        <v>14</v>
      </c>
      <c r="J3075" s="1">
        <v>45553</v>
      </c>
      <c r="N3075">
        <v>510.91840000000002</v>
      </c>
      <c r="O3075" s="1">
        <v>44981</v>
      </c>
      <c r="P3075">
        <f>IF(ISBLANK(ReconciliationData[[#This Row],[Invoice_ID]]),1,0)</f>
        <v>0</v>
      </c>
      <c r="Q3075">
        <f>IF(AND(NOT(ISBLANK(ReconciliationData[[#This Row],[Billed_Units]])),ReconciliationData[[#This Row],[ordered_units]]&lt;&gt;ReconciliationData[[#This Row],[Billed_Units]]),1,0)</f>
        <v>0</v>
      </c>
      <c r="R307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075">
        <f>IF(AND(NOT(ISBLANK(ReconciliationData[[#This Row],[Contract_Price]])),ReconciliationData[[#This Row],[Billed_Price]]&lt;&gt;ReconciliationData[[#This Row],[Contract_Price]]),1,0)</f>
        <v>0</v>
      </c>
      <c r="T3075">
        <f>IF(AND(NOT(ISBLANK(ReconciliationData[[#This Row],[End_Date]])),ReconciliationData[[#This Row],[Order_Date]]&gt;ReconciliationData[[#This Row],[End_Date]]),1,0)</f>
        <v>0</v>
      </c>
      <c r="U3075">
        <f>IF(AND(NOT(ISBLANK(ReconciliationData[[#This Row],[last_return_date]])),ReconciliationData[[#This Row],[last_return_date]]&gt;ReconciliationData[[#This Row],[Order_Date]]+60),1,0)</f>
        <v>0</v>
      </c>
      <c r="V3075">
        <f>IF(ReconciliationData[[#This Row],[total_returned_units]]&gt;ReconciliationData[[#This Row],[ordered_units]],1,0)</f>
        <v>0</v>
      </c>
      <c r="W30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75">
        <f>ReconciliationData[[#This Row],[Billed_Units]]*ReconciliationData[[#This Row],[Billed_Price]]</f>
        <v>44973.179635510336</v>
      </c>
      <c r="Y3075">
        <f>ReconciliationData[[#This Row],[ordered_units]]*ReconciliationData[[#This Row],[List_Price]]</f>
        <v>44960.819199999998</v>
      </c>
      <c r="Z3075">
        <f>ReconciliationData[[#This Row],[billed_revenue]]-ReconciliationData[[#This Row],[expected_revenue]]</f>
        <v>12.360435510337993</v>
      </c>
      <c r="AA30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075" t="str">
        <f>IF(ReconciliationData[[#This Row],[severity_score]]=0,"LOW",
 IF(ReconciliationData[[#This Row],[severity_score]]&lt;=5,"MEDIUM","HIGH"))</f>
        <v>MEDIUM</v>
      </c>
      <c r="AC3075" t="str">
        <f>TEXT(ReconciliationData[[#This Row],[Order_Date]],"YYYY-MM")</f>
        <v>2024-12</v>
      </c>
    </row>
    <row r="3076" spans="1:29">
      <c r="A3076" t="s">
        <v>7365</v>
      </c>
      <c r="B3076" s="1">
        <v>45424</v>
      </c>
      <c r="C3076" t="s">
        <v>5631</v>
      </c>
      <c r="D3076" t="s">
        <v>182</v>
      </c>
      <c r="E3076">
        <v>56</v>
      </c>
      <c r="F3076" t="s">
        <v>7366</v>
      </c>
      <c r="G3076">
        <v>56</v>
      </c>
      <c r="H3076">
        <v>689.58720000000005</v>
      </c>
      <c r="I3076">
        <v>11</v>
      </c>
      <c r="J3076" s="1">
        <v>45595</v>
      </c>
      <c r="N3076">
        <v>689.58720000000005</v>
      </c>
      <c r="O3076" s="1">
        <v>45224</v>
      </c>
      <c r="P3076">
        <f>IF(ISBLANK(ReconciliationData[[#This Row],[Invoice_ID]]),1,0)</f>
        <v>0</v>
      </c>
      <c r="Q3076">
        <f>IF(AND(NOT(ISBLANK(ReconciliationData[[#This Row],[Billed_Units]])),ReconciliationData[[#This Row],[ordered_units]]&lt;&gt;ReconciliationData[[#This Row],[Billed_Units]]),1,0)</f>
        <v>0</v>
      </c>
      <c r="R30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76">
        <f>IF(AND(NOT(ISBLANK(ReconciliationData[[#This Row],[Contract_Price]])),ReconciliationData[[#This Row],[Billed_Price]]&lt;&gt;ReconciliationData[[#This Row],[Contract_Price]]),1,0)</f>
        <v>0</v>
      </c>
      <c r="T3076">
        <f>IF(AND(NOT(ISBLANK(ReconciliationData[[#This Row],[End_Date]])),ReconciliationData[[#This Row],[Order_Date]]&gt;ReconciliationData[[#This Row],[End_Date]]),1,0)</f>
        <v>0</v>
      </c>
      <c r="U3076">
        <f>IF(AND(NOT(ISBLANK(ReconciliationData[[#This Row],[last_return_date]])),ReconciliationData[[#This Row],[last_return_date]]&gt;ReconciliationData[[#This Row],[Order_Date]]+60),1,0)</f>
        <v>1</v>
      </c>
      <c r="V3076">
        <f>IF(ReconciliationData[[#This Row],[total_returned_units]]&gt;ReconciliationData[[#This Row],[ordered_units]],1,0)</f>
        <v>0</v>
      </c>
      <c r="W30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76">
        <f>ReconciliationData[[#This Row],[Billed_Units]]*ReconciliationData[[#This Row],[Billed_Price]]</f>
        <v>38616.883200000004</v>
      </c>
      <c r="Y3076">
        <f>ReconciliationData[[#This Row],[ordered_units]]*ReconciliationData[[#This Row],[List_Price]]</f>
        <v>38616.883200000004</v>
      </c>
      <c r="Z3076">
        <f>ReconciliationData[[#This Row],[billed_revenue]]-ReconciliationData[[#This Row],[expected_revenue]]</f>
        <v>0</v>
      </c>
      <c r="AA30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076" t="str">
        <f>IF(ReconciliationData[[#This Row],[severity_score]]=0,"LOW",
 IF(ReconciliationData[[#This Row],[severity_score]]&lt;=5,"MEDIUM","HIGH"))</f>
        <v>MEDIUM</v>
      </c>
      <c r="AC3076" t="str">
        <f>TEXT(ReconciliationData[[#This Row],[Order_Date]],"YYYY-MM")</f>
        <v>2024-05</v>
      </c>
    </row>
    <row r="3077" spans="1:29">
      <c r="A3077" t="s">
        <v>7367</v>
      </c>
      <c r="B3077" s="1">
        <v>45470</v>
      </c>
      <c r="C3077" t="s">
        <v>1301</v>
      </c>
      <c r="D3077" t="s">
        <v>247</v>
      </c>
      <c r="E3077">
        <v>185</v>
      </c>
      <c r="F3077" t="s">
        <v>7368</v>
      </c>
      <c r="G3077">
        <v>185</v>
      </c>
      <c r="H3077">
        <v>715.86900000000003</v>
      </c>
      <c r="I3077">
        <v>16</v>
      </c>
      <c r="J3077" s="1">
        <v>45406</v>
      </c>
      <c r="N3077">
        <v>715.86900000000003</v>
      </c>
      <c r="O3077" s="1">
        <v>45140</v>
      </c>
      <c r="P3077">
        <f>IF(ISBLANK(ReconciliationData[[#This Row],[Invoice_ID]]),1,0)</f>
        <v>0</v>
      </c>
      <c r="Q3077">
        <f>IF(AND(NOT(ISBLANK(ReconciliationData[[#This Row],[Billed_Units]])),ReconciliationData[[#This Row],[ordered_units]]&lt;&gt;ReconciliationData[[#This Row],[Billed_Units]]),1,0)</f>
        <v>0</v>
      </c>
      <c r="R30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77">
        <f>IF(AND(NOT(ISBLANK(ReconciliationData[[#This Row],[Contract_Price]])),ReconciliationData[[#This Row],[Billed_Price]]&lt;&gt;ReconciliationData[[#This Row],[Contract_Price]]),1,0)</f>
        <v>0</v>
      </c>
      <c r="T3077">
        <f>IF(AND(NOT(ISBLANK(ReconciliationData[[#This Row],[End_Date]])),ReconciliationData[[#This Row],[Order_Date]]&gt;ReconciliationData[[#This Row],[End_Date]]),1,0)</f>
        <v>0</v>
      </c>
      <c r="U3077">
        <f>IF(AND(NOT(ISBLANK(ReconciliationData[[#This Row],[last_return_date]])),ReconciliationData[[#This Row],[last_return_date]]&gt;ReconciliationData[[#This Row],[Order_Date]]+60),1,0)</f>
        <v>0</v>
      </c>
      <c r="V3077">
        <f>IF(ReconciliationData[[#This Row],[total_returned_units]]&gt;ReconciliationData[[#This Row],[ordered_units]],1,0)</f>
        <v>0</v>
      </c>
      <c r="W30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77">
        <f>ReconciliationData[[#This Row],[Billed_Units]]*ReconciliationData[[#This Row],[Billed_Price]]</f>
        <v>132435.76500000001</v>
      </c>
      <c r="Y3077">
        <f>ReconciliationData[[#This Row],[ordered_units]]*ReconciliationData[[#This Row],[List_Price]]</f>
        <v>132435.76500000001</v>
      </c>
      <c r="Z3077">
        <f>ReconciliationData[[#This Row],[billed_revenue]]-ReconciliationData[[#This Row],[expected_revenue]]</f>
        <v>0</v>
      </c>
      <c r="AA30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77" t="str">
        <f>IF(ReconciliationData[[#This Row],[severity_score]]=0,"LOW",
 IF(ReconciliationData[[#This Row],[severity_score]]&lt;=5,"MEDIUM","HIGH"))</f>
        <v>LOW</v>
      </c>
      <c r="AC3077" t="str">
        <f>TEXT(ReconciliationData[[#This Row],[Order_Date]],"YYYY-MM")</f>
        <v>2024-06</v>
      </c>
    </row>
    <row r="3078" spans="1:29">
      <c r="A3078" t="s">
        <v>7369</v>
      </c>
      <c r="B3078" s="1">
        <v>45648</v>
      </c>
      <c r="C3078" t="s">
        <v>1545</v>
      </c>
      <c r="D3078" t="s">
        <v>134</v>
      </c>
      <c r="E3078">
        <v>189</v>
      </c>
      <c r="F3078" t="s">
        <v>7370</v>
      </c>
      <c r="G3078">
        <v>189</v>
      </c>
      <c r="H3078">
        <v>446.4905</v>
      </c>
      <c r="N3078">
        <v>446.4905</v>
      </c>
      <c r="O3078" s="1">
        <v>45161</v>
      </c>
      <c r="P3078">
        <f>IF(ISBLANK(ReconciliationData[[#This Row],[Invoice_ID]]),1,0)</f>
        <v>0</v>
      </c>
      <c r="Q3078">
        <f>IF(AND(NOT(ISBLANK(ReconciliationData[[#This Row],[Billed_Units]])),ReconciliationData[[#This Row],[ordered_units]]&lt;&gt;ReconciliationData[[#This Row],[Billed_Units]]),1,0)</f>
        <v>0</v>
      </c>
      <c r="R30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78">
        <f>IF(AND(NOT(ISBLANK(ReconciliationData[[#This Row],[Contract_Price]])),ReconciliationData[[#This Row],[Billed_Price]]&lt;&gt;ReconciliationData[[#This Row],[Contract_Price]]),1,0)</f>
        <v>0</v>
      </c>
      <c r="T3078">
        <f>IF(AND(NOT(ISBLANK(ReconciliationData[[#This Row],[End_Date]])),ReconciliationData[[#This Row],[Order_Date]]&gt;ReconciliationData[[#This Row],[End_Date]]),1,0)</f>
        <v>0</v>
      </c>
      <c r="U3078">
        <f>IF(AND(NOT(ISBLANK(ReconciliationData[[#This Row],[last_return_date]])),ReconciliationData[[#This Row],[last_return_date]]&gt;ReconciliationData[[#This Row],[Order_Date]]+60),1,0)</f>
        <v>0</v>
      </c>
      <c r="V3078">
        <f>IF(ReconciliationData[[#This Row],[total_returned_units]]&gt;ReconciliationData[[#This Row],[ordered_units]],1,0)</f>
        <v>0</v>
      </c>
      <c r="W30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78">
        <f>ReconciliationData[[#This Row],[Billed_Units]]*ReconciliationData[[#This Row],[Billed_Price]]</f>
        <v>84386.704499999993</v>
      </c>
      <c r="Y3078">
        <f>ReconciliationData[[#This Row],[ordered_units]]*ReconciliationData[[#This Row],[List_Price]]</f>
        <v>84386.704499999993</v>
      </c>
      <c r="Z3078">
        <f>ReconciliationData[[#This Row],[billed_revenue]]-ReconciliationData[[#This Row],[expected_revenue]]</f>
        <v>0</v>
      </c>
      <c r="AA30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78" t="str">
        <f>IF(ReconciliationData[[#This Row],[severity_score]]=0,"LOW",
 IF(ReconciliationData[[#This Row],[severity_score]]&lt;=5,"MEDIUM","HIGH"))</f>
        <v>LOW</v>
      </c>
      <c r="AC3078" t="str">
        <f>TEXT(ReconciliationData[[#This Row],[Order_Date]],"YYYY-MM")</f>
        <v>2024-12</v>
      </c>
    </row>
    <row r="3079" spans="1:29">
      <c r="A3079" t="s">
        <v>7371</v>
      </c>
      <c r="B3079" s="1">
        <v>45465</v>
      </c>
      <c r="C3079" t="s">
        <v>5032</v>
      </c>
      <c r="D3079" t="s">
        <v>1717</v>
      </c>
      <c r="E3079">
        <v>120</v>
      </c>
      <c r="F3079" t="s">
        <v>7372</v>
      </c>
      <c r="G3079">
        <v>120</v>
      </c>
      <c r="H3079">
        <v>1166.4765000000002</v>
      </c>
      <c r="N3079">
        <v>1166.4765000000002</v>
      </c>
      <c r="O3079" s="1">
        <v>45114</v>
      </c>
      <c r="P3079">
        <f>IF(ISBLANK(ReconciliationData[[#This Row],[Invoice_ID]]),1,0)</f>
        <v>0</v>
      </c>
      <c r="Q3079">
        <f>IF(AND(NOT(ISBLANK(ReconciliationData[[#This Row],[Billed_Units]])),ReconciliationData[[#This Row],[ordered_units]]&lt;&gt;ReconciliationData[[#This Row],[Billed_Units]]),1,0)</f>
        <v>0</v>
      </c>
      <c r="R30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79">
        <f>IF(AND(NOT(ISBLANK(ReconciliationData[[#This Row],[Contract_Price]])),ReconciliationData[[#This Row],[Billed_Price]]&lt;&gt;ReconciliationData[[#This Row],[Contract_Price]]),1,0)</f>
        <v>0</v>
      </c>
      <c r="T3079">
        <f>IF(AND(NOT(ISBLANK(ReconciliationData[[#This Row],[End_Date]])),ReconciliationData[[#This Row],[Order_Date]]&gt;ReconciliationData[[#This Row],[End_Date]]),1,0)</f>
        <v>0</v>
      </c>
      <c r="U3079">
        <f>IF(AND(NOT(ISBLANK(ReconciliationData[[#This Row],[last_return_date]])),ReconciliationData[[#This Row],[last_return_date]]&gt;ReconciliationData[[#This Row],[Order_Date]]+60),1,0)</f>
        <v>0</v>
      </c>
      <c r="V3079">
        <f>IF(ReconciliationData[[#This Row],[total_returned_units]]&gt;ReconciliationData[[#This Row],[ordered_units]],1,0)</f>
        <v>0</v>
      </c>
      <c r="W30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79">
        <f>ReconciliationData[[#This Row],[Billed_Units]]*ReconciliationData[[#This Row],[Billed_Price]]</f>
        <v>139977.18000000002</v>
      </c>
      <c r="Y3079">
        <f>ReconciliationData[[#This Row],[ordered_units]]*ReconciliationData[[#This Row],[List_Price]]</f>
        <v>139977.18000000002</v>
      </c>
      <c r="Z3079">
        <f>ReconciliationData[[#This Row],[billed_revenue]]-ReconciliationData[[#This Row],[expected_revenue]]</f>
        <v>0</v>
      </c>
      <c r="AA30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79" t="str">
        <f>IF(ReconciliationData[[#This Row],[severity_score]]=0,"LOW",
 IF(ReconciliationData[[#This Row],[severity_score]]&lt;=5,"MEDIUM","HIGH"))</f>
        <v>LOW</v>
      </c>
      <c r="AC3079" t="str">
        <f>TEXT(ReconciliationData[[#This Row],[Order_Date]],"YYYY-MM")</f>
        <v>2024-06</v>
      </c>
    </row>
    <row r="3080" spans="1:29">
      <c r="A3080" t="s">
        <v>7373</v>
      </c>
      <c r="B3080" s="1">
        <v>45226</v>
      </c>
      <c r="C3080" t="s">
        <v>193</v>
      </c>
      <c r="D3080" t="s">
        <v>1470</v>
      </c>
      <c r="E3080">
        <v>124</v>
      </c>
      <c r="F3080" t="s">
        <v>7374</v>
      </c>
      <c r="G3080">
        <v>124</v>
      </c>
      <c r="H3080">
        <v>690.05370000000005</v>
      </c>
      <c r="N3080">
        <v>690.05370000000005</v>
      </c>
      <c r="O3080" s="1">
        <v>44976</v>
      </c>
      <c r="P3080">
        <f>IF(ISBLANK(ReconciliationData[[#This Row],[Invoice_ID]]),1,0)</f>
        <v>0</v>
      </c>
      <c r="Q3080">
        <f>IF(AND(NOT(ISBLANK(ReconciliationData[[#This Row],[Billed_Units]])),ReconciliationData[[#This Row],[ordered_units]]&lt;&gt;ReconciliationData[[#This Row],[Billed_Units]]),1,0)</f>
        <v>0</v>
      </c>
      <c r="R30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0">
        <f>IF(AND(NOT(ISBLANK(ReconciliationData[[#This Row],[Contract_Price]])),ReconciliationData[[#This Row],[Billed_Price]]&lt;&gt;ReconciliationData[[#This Row],[Contract_Price]]),1,0)</f>
        <v>0</v>
      </c>
      <c r="T3080">
        <f>IF(AND(NOT(ISBLANK(ReconciliationData[[#This Row],[End_Date]])),ReconciliationData[[#This Row],[Order_Date]]&gt;ReconciliationData[[#This Row],[End_Date]]),1,0)</f>
        <v>0</v>
      </c>
      <c r="U3080">
        <f>IF(AND(NOT(ISBLANK(ReconciliationData[[#This Row],[last_return_date]])),ReconciliationData[[#This Row],[last_return_date]]&gt;ReconciliationData[[#This Row],[Order_Date]]+60),1,0)</f>
        <v>0</v>
      </c>
      <c r="V3080">
        <f>IF(ReconciliationData[[#This Row],[total_returned_units]]&gt;ReconciliationData[[#This Row],[ordered_units]],1,0)</f>
        <v>0</v>
      </c>
      <c r="W30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80">
        <f>ReconciliationData[[#This Row],[Billed_Units]]*ReconciliationData[[#This Row],[Billed_Price]]</f>
        <v>85566.658800000005</v>
      </c>
      <c r="Y3080">
        <f>ReconciliationData[[#This Row],[ordered_units]]*ReconciliationData[[#This Row],[List_Price]]</f>
        <v>85566.658800000005</v>
      </c>
      <c r="Z3080">
        <f>ReconciliationData[[#This Row],[billed_revenue]]-ReconciliationData[[#This Row],[expected_revenue]]</f>
        <v>0</v>
      </c>
      <c r="AA30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80" t="str">
        <f>IF(ReconciliationData[[#This Row],[severity_score]]=0,"LOW",
 IF(ReconciliationData[[#This Row],[severity_score]]&lt;=5,"MEDIUM","HIGH"))</f>
        <v>LOW</v>
      </c>
      <c r="AC3080" t="str">
        <f>TEXT(ReconciliationData[[#This Row],[Order_Date]],"YYYY-MM")</f>
        <v>2023-10</v>
      </c>
    </row>
    <row r="3081" spans="1:29">
      <c r="A3081" t="s">
        <v>7375</v>
      </c>
      <c r="B3081" s="1">
        <v>44985</v>
      </c>
      <c r="C3081" t="s">
        <v>2884</v>
      </c>
      <c r="D3081" t="s">
        <v>544</v>
      </c>
      <c r="E3081">
        <v>176</v>
      </c>
      <c r="F3081" t="s">
        <v>7376</v>
      </c>
      <c r="G3081">
        <v>176</v>
      </c>
      <c r="H3081">
        <v>813.36839999999995</v>
      </c>
      <c r="N3081">
        <v>813.36839999999995</v>
      </c>
      <c r="O3081" s="1">
        <v>44929</v>
      </c>
      <c r="P3081">
        <f>IF(ISBLANK(ReconciliationData[[#This Row],[Invoice_ID]]),1,0)</f>
        <v>0</v>
      </c>
      <c r="Q3081">
        <f>IF(AND(NOT(ISBLANK(ReconciliationData[[#This Row],[Billed_Units]])),ReconciliationData[[#This Row],[ordered_units]]&lt;&gt;ReconciliationData[[#This Row],[Billed_Units]]),1,0)</f>
        <v>0</v>
      </c>
      <c r="R30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1">
        <f>IF(AND(NOT(ISBLANK(ReconciliationData[[#This Row],[Contract_Price]])),ReconciliationData[[#This Row],[Billed_Price]]&lt;&gt;ReconciliationData[[#This Row],[Contract_Price]]),1,0)</f>
        <v>0</v>
      </c>
      <c r="T3081">
        <f>IF(AND(NOT(ISBLANK(ReconciliationData[[#This Row],[End_Date]])),ReconciliationData[[#This Row],[Order_Date]]&gt;ReconciliationData[[#This Row],[End_Date]]),1,0)</f>
        <v>0</v>
      </c>
      <c r="U3081">
        <f>IF(AND(NOT(ISBLANK(ReconciliationData[[#This Row],[last_return_date]])),ReconciliationData[[#This Row],[last_return_date]]&gt;ReconciliationData[[#This Row],[Order_Date]]+60),1,0)</f>
        <v>0</v>
      </c>
      <c r="V3081">
        <f>IF(ReconciliationData[[#This Row],[total_returned_units]]&gt;ReconciliationData[[#This Row],[ordered_units]],1,0)</f>
        <v>0</v>
      </c>
      <c r="W30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81">
        <f>ReconciliationData[[#This Row],[Billed_Units]]*ReconciliationData[[#This Row],[Billed_Price]]</f>
        <v>143152.83839999998</v>
      </c>
      <c r="Y3081">
        <f>ReconciliationData[[#This Row],[ordered_units]]*ReconciliationData[[#This Row],[List_Price]]</f>
        <v>143152.83839999998</v>
      </c>
      <c r="Z3081">
        <f>ReconciliationData[[#This Row],[billed_revenue]]-ReconciliationData[[#This Row],[expected_revenue]]</f>
        <v>0</v>
      </c>
      <c r="AA30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81" t="str">
        <f>IF(ReconciliationData[[#This Row],[severity_score]]=0,"LOW",
 IF(ReconciliationData[[#This Row],[severity_score]]&lt;=5,"MEDIUM","HIGH"))</f>
        <v>LOW</v>
      </c>
      <c r="AC3081" t="str">
        <f>TEXT(ReconciliationData[[#This Row],[Order_Date]],"YYYY-MM")</f>
        <v>2023-02</v>
      </c>
    </row>
    <row r="3082" spans="1:29">
      <c r="A3082" t="s">
        <v>7377</v>
      </c>
      <c r="B3082" s="1">
        <v>44988</v>
      </c>
      <c r="C3082" t="s">
        <v>2768</v>
      </c>
      <c r="D3082" t="s">
        <v>2064</v>
      </c>
      <c r="E3082">
        <v>5</v>
      </c>
      <c r="F3082" t="s">
        <v>7378</v>
      </c>
      <c r="G3082">
        <v>5</v>
      </c>
      <c r="H3082">
        <v>249.22</v>
      </c>
      <c r="I3082">
        <v>17</v>
      </c>
      <c r="J3082" s="1">
        <v>45021</v>
      </c>
      <c r="N3082">
        <v>249.22</v>
      </c>
      <c r="O3082" s="1">
        <v>44837</v>
      </c>
      <c r="P3082">
        <f>IF(ISBLANK(ReconciliationData[[#This Row],[Invoice_ID]]),1,0)</f>
        <v>0</v>
      </c>
      <c r="Q3082">
        <f>IF(AND(NOT(ISBLANK(ReconciliationData[[#This Row],[Billed_Units]])),ReconciliationData[[#This Row],[ordered_units]]&lt;&gt;ReconciliationData[[#This Row],[Billed_Units]]),1,0)</f>
        <v>0</v>
      </c>
      <c r="R30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2">
        <f>IF(AND(NOT(ISBLANK(ReconciliationData[[#This Row],[Contract_Price]])),ReconciliationData[[#This Row],[Billed_Price]]&lt;&gt;ReconciliationData[[#This Row],[Contract_Price]]),1,0)</f>
        <v>0</v>
      </c>
      <c r="T3082">
        <f>IF(AND(NOT(ISBLANK(ReconciliationData[[#This Row],[End_Date]])),ReconciliationData[[#This Row],[Order_Date]]&gt;ReconciliationData[[#This Row],[End_Date]]),1,0)</f>
        <v>0</v>
      </c>
      <c r="U3082">
        <f>IF(AND(NOT(ISBLANK(ReconciliationData[[#This Row],[last_return_date]])),ReconciliationData[[#This Row],[last_return_date]]&gt;ReconciliationData[[#This Row],[Order_Date]]+60),1,0)</f>
        <v>0</v>
      </c>
      <c r="V3082">
        <f>IF(ReconciliationData[[#This Row],[total_returned_units]]&gt;ReconciliationData[[#This Row],[ordered_units]],1,0)</f>
        <v>1</v>
      </c>
      <c r="W30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82">
        <f>ReconciliationData[[#This Row],[Billed_Units]]*ReconciliationData[[#This Row],[Billed_Price]]</f>
        <v>1246.0999999999999</v>
      </c>
      <c r="Y3082">
        <f>ReconciliationData[[#This Row],[ordered_units]]*ReconciliationData[[#This Row],[List_Price]]</f>
        <v>1246.0999999999999</v>
      </c>
      <c r="Z3082">
        <f>ReconciliationData[[#This Row],[billed_revenue]]-ReconciliationData[[#This Row],[expected_revenue]]</f>
        <v>0</v>
      </c>
      <c r="AA30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082" t="str">
        <f>IF(ReconciliationData[[#This Row],[severity_score]]=0,"LOW",
 IF(ReconciliationData[[#This Row],[severity_score]]&lt;=5,"MEDIUM","HIGH"))</f>
        <v>MEDIUM</v>
      </c>
      <c r="AC3082" t="str">
        <f>TEXT(ReconciliationData[[#This Row],[Order_Date]],"YYYY-MM")</f>
        <v>2023-03</v>
      </c>
    </row>
    <row r="3083" spans="1:29">
      <c r="A3083" t="s">
        <v>7379</v>
      </c>
      <c r="B3083" s="1">
        <v>45458</v>
      </c>
      <c r="C3083" t="s">
        <v>2899</v>
      </c>
      <c r="D3083" t="s">
        <v>962</v>
      </c>
      <c r="E3083">
        <v>9</v>
      </c>
      <c r="F3083" t="s">
        <v>7380</v>
      </c>
      <c r="G3083">
        <v>9</v>
      </c>
      <c r="H3083">
        <v>709.52</v>
      </c>
      <c r="N3083">
        <v>709.52</v>
      </c>
      <c r="O3083" s="1">
        <v>44952</v>
      </c>
      <c r="P3083">
        <f>IF(ISBLANK(ReconciliationData[[#This Row],[Invoice_ID]]),1,0)</f>
        <v>0</v>
      </c>
      <c r="Q3083">
        <f>IF(AND(NOT(ISBLANK(ReconciliationData[[#This Row],[Billed_Units]])),ReconciliationData[[#This Row],[ordered_units]]&lt;&gt;ReconciliationData[[#This Row],[Billed_Units]]),1,0)</f>
        <v>0</v>
      </c>
      <c r="R30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3">
        <f>IF(AND(NOT(ISBLANK(ReconciliationData[[#This Row],[Contract_Price]])),ReconciliationData[[#This Row],[Billed_Price]]&lt;&gt;ReconciliationData[[#This Row],[Contract_Price]]),1,0)</f>
        <v>0</v>
      </c>
      <c r="T3083">
        <f>IF(AND(NOT(ISBLANK(ReconciliationData[[#This Row],[End_Date]])),ReconciliationData[[#This Row],[Order_Date]]&gt;ReconciliationData[[#This Row],[End_Date]]),1,0)</f>
        <v>0</v>
      </c>
      <c r="U3083">
        <f>IF(AND(NOT(ISBLANK(ReconciliationData[[#This Row],[last_return_date]])),ReconciliationData[[#This Row],[last_return_date]]&gt;ReconciliationData[[#This Row],[Order_Date]]+60),1,0)</f>
        <v>0</v>
      </c>
      <c r="V3083">
        <f>IF(ReconciliationData[[#This Row],[total_returned_units]]&gt;ReconciliationData[[#This Row],[ordered_units]],1,0)</f>
        <v>0</v>
      </c>
      <c r="W30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83">
        <f>ReconciliationData[[#This Row],[Billed_Units]]*ReconciliationData[[#This Row],[Billed_Price]]</f>
        <v>6385.68</v>
      </c>
      <c r="Y3083">
        <f>ReconciliationData[[#This Row],[ordered_units]]*ReconciliationData[[#This Row],[List_Price]]</f>
        <v>6385.68</v>
      </c>
      <c r="Z3083">
        <f>ReconciliationData[[#This Row],[billed_revenue]]-ReconciliationData[[#This Row],[expected_revenue]]</f>
        <v>0</v>
      </c>
      <c r="AA30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83" t="str">
        <f>IF(ReconciliationData[[#This Row],[severity_score]]=0,"LOW",
 IF(ReconciliationData[[#This Row],[severity_score]]&lt;=5,"MEDIUM","HIGH"))</f>
        <v>LOW</v>
      </c>
      <c r="AC3083" t="str">
        <f>TEXT(ReconciliationData[[#This Row],[Order_Date]],"YYYY-MM")</f>
        <v>2024-06</v>
      </c>
    </row>
    <row r="3084" spans="1:29">
      <c r="A3084" t="s">
        <v>7381</v>
      </c>
      <c r="B3084" s="1">
        <v>44976</v>
      </c>
      <c r="C3084" t="s">
        <v>2038</v>
      </c>
      <c r="D3084" t="s">
        <v>863</v>
      </c>
      <c r="E3084">
        <v>58</v>
      </c>
      <c r="F3084" t="s">
        <v>7382</v>
      </c>
      <c r="G3084">
        <v>58</v>
      </c>
      <c r="H3084">
        <v>724.52160000000003</v>
      </c>
      <c r="I3084">
        <v>6</v>
      </c>
      <c r="J3084" s="1">
        <v>45628</v>
      </c>
      <c r="N3084">
        <v>724.52160000000003</v>
      </c>
      <c r="O3084" s="1">
        <v>44837</v>
      </c>
      <c r="P3084">
        <f>IF(ISBLANK(ReconciliationData[[#This Row],[Invoice_ID]]),1,0)</f>
        <v>0</v>
      </c>
      <c r="Q3084">
        <f>IF(AND(NOT(ISBLANK(ReconciliationData[[#This Row],[Billed_Units]])),ReconciliationData[[#This Row],[ordered_units]]&lt;&gt;ReconciliationData[[#This Row],[Billed_Units]]),1,0)</f>
        <v>0</v>
      </c>
      <c r="R30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4">
        <f>IF(AND(NOT(ISBLANK(ReconciliationData[[#This Row],[Contract_Price]])),ReconciliationData[[#This Row],[Billed_Price]]&lt;&gt;ReconciliationData[[#This Row],[Contract_Price]]),1,0)</f>
        <v>0</v>
      </c>
      <c r="T3084">
        <f>IF(AND(NOT(ISBLANK(ReconciliationData[[#This Row],[End_Date]])),ReconciliationData[[#This Row],[Order_Date]]&gt;ReconciliationData[[#This Row],[End_Date]]),1,0)</f>
        <v>0</v>
      </c>
      <c r="U3084">
        <f>IF(AND(NOT(ISBLANK(ReconciliationData[[#This Row],[last_return_date]])),ReconciliationData[[#This Row],[last_return_date]]&gt;ReconciliationData[[#This Row],[Order_Date]]+60),1,0)</f>
        <v>1</v>
      </c>
      <c r="V3084">
        <f>IF(ReconciliationData[[#This Row],[total_returned_units]]&gt;ReconciliationData[[#This Row],[ordered_units]],1,0)</f>
        <v>0</v>
      </c>
      <c r="W30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84">
        <f>ReconciliationData[[#This Row],[Billed_Units]]*ReconciliationData[[#This Row],[Billed_Price]]</f>
        <v>42022.252800000002</v>
      </c>
      <c r="Y3084">
        <f>ReconciliationData[[#This Row],[ordered_units]]*ReconciliationData[[#This Row],[List_Price]]</f>
        <v>42022.252800000002</v>
      </c>
      <c r="Z3084">
        <f>ReconciliationData[[#This Row],[billed_revenue]]-ReconciliationData[[#This Row],[expected_revenue]]</f>
        <v>0</v>
      </c>
      <c r="AA30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084" t="str">
        <f>IF(ReconciliationData[[#This Row],[severity_score]]=0,"LOW",
 IF(ReconciliationData[[#This Row],[severity_score]]&lt;=5,"MEDIUM","HIGH"))</f>
        <v>MEDIUM</v>
      </c>
      <c r="AC3084" t="str">
        <f>TEXT(ReconciliationData[[#This Row],[Order_Date]],"YYYY-MM")</f>
        <v>2023-02</v>
      </c>
    </row>
    <row r="3085" spans="1:29">
      <c r="A3085" t="s">
        <v>7383</v>
      </c>
      <c r="B3085" s="1">
        <v>45127</v>
      </c>
      <c r="C3085" t="s">
        <v>536</v>
      </c>
      <c r="D3085" t="s">
        <v>1354</v>
      </c>
      <c r="E3085">
        <v>58</v>
      </c>
      <c r="F3085" t="s">
        <v>7384</v>
      </c>
      <c r="G3085">
        <v>58</v>
      </c>
      <c r="H3085">
        <v>53.988499999999995</v>
      </c>
      <c r="N3085">
        <v>53.988499999999995</v>
      </c>
      <c r="O3085" s="1">
        <v>44884</v>
      </c>
      <c r="P3085">
        <f>IF(ISBLANK(ReconciliationData[[#This Row],[Invoice_ID]]),1,0)</f>
        <v>0</v>
      </c>
      <c r="Q3085">
        <f>IF(AND(NOT(ISBLANK(ReconciliationData[[#This Row],[Billed_Units]])),ReconciliationData[[#This Row],[ordered_units]]&lt;&gt;ReconciliationData[[#This Row],[Billed_Units]]),1,0)</f>
        <v>0</v>
      </c>
      <c r="R30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5">
        <f>IF(AND(NOT(ISBLANK(ReconciliationData[[#This Row],[Contract_Price]])),ReconciliationData[[#This Row],[Billed_Price]]&lt;&gt;ReconciliationData[[#This Row],[Contract_Price]]),1,0)</f>
        <v>0</v>
      </c>
      <c r="T3085">
        <f>IF(AND(NOT(ISBLANK(ReconciliationData[[#This Row],[End_Date]])),ReconciliationData[[#This Row],[Order_Date]]&gt;ReconciliationData[[#This Row],[End_Date]]),1,0)</f>
        <v>0</v>
      </c>
      <c r="U3085">
        <f>IF(AND(NOT(ISBLANK(ReconciliationData[[#This Row],[last_return_date]])),ReconciliationData[[#This Row],[last_return_date]]&gt;ReconciliationData[[#This Row],[Order_Date]]+60),1,0)</f>
        <v>0</v>
      </c>
      <c r="V3085">
        <f>IF(ReconciliationData[[#This Row],[total_returned_units]]&gt;ReconciliationData[[#This Row],[ordered_units]],1,0)</f>
        <v>0</v>
      </c>
      <c r="W30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85">
        <f>ReconciliationData[[#This Row],[Billed_Units]]*ReconciliationData[[#This Row],[Billed_Price]]</f>
        <v>3131.3329999999996</v>
      </c>
      <c r="Y3085">
        <f>ReconciliationData[[#This Row],[ordered_units]]*ReconciliationData[[#This Row],[List_Price]]</f>
        <v>3131.3329999999996</v>
      </c>
      <c r="Z3085">
        <f>ReconciliationData[[#This Row],[billed_revenue]]-ReconciliationData[[#This Row],[expected_revenue]]</f>
        <v>0</v>
      </c>
      <c r="AA30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85" t="str">
        <f>IF(ReconciliationData[[#This Row],[severity_score]]=0,"LOW",
 IF(ReconciliationData[[#This Row],[severity_score]]&lt;=5,"MEDIUM","HIGH"))</f>
        <v>LOW</v>
      </c>
      <c r="AC3085" t="str">
        <f>TEXT(ReconciliationData[[#This Row],[Order_Date]],"YYYY-MM")</f>
        <v>2023-07</v>
      </c>
    </row>
    <row r="3086" spans="1:29">
      <c r="A3086" t="s">
        <v>7385</v>
      </c>
      <c r="B3086" s="1">
        <v>45477</v>
      </c>
      <c r="C3086" t="s">
        <v>1841</v>
      </c>
      <c r="D3086" t="s">
        <v>1362</v>
      </c>
      <c r="E3086">
        <v>99</v>
      </c>
      <c r="F3086" t="s">
        <v>7386</v>
      </c>
      <c r="G3086">
        <v>99</v>
      </c>
      <c r="H3086">
        <v>82.749600000000015</v>
      </c>
      <c r="N3086">
        <v>82.749600000000015</v>
      </c>
      <c r="O3086" s="1">
        <v>45068</v>
      </c>
      <c r="P3086">
        <f>IF(ISBLANK(ReconciliationData[[#This Row],[Invoice_ID]]),1,0)</f>
        <v>0</v>
      </c>
      <c r="Q3086">
        <f>IF(AND(NOT(ISBLANK(ReconciliationData[[#This Row],[Billed_Units]])),ReconciliationData[[#This Row],[ordered_units]]&lt;&gt;ReconciliationData[[#This Row],[Billed_Units]]),1,0)</f>
        <v>0</v>
      </c>
      <c r="R30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6">
        <f>IF(AND(NOT(ISBLANK(ReconciliationData[[#This Row],[Contract_Price]])),ReconciliationData[[#This Row],[Billed_Price]]&lt;&gt;ReconciliationData[[#This Row],[Contract_Price]]),1,0)</f>
        <v>0</v>
      </c>
      <c r="T3086">
        <f>IF(AND(NOT(ISBLANK(ReconciliationData[[#This Row],[End_Date]])),ReconciliationData[[#This Row],[Order_Date]]&gt;ReconciliationData[[#This Row],[End_Date]]),1,0)</f>
        <v>0</v>
      </c>
      <c r="U3086">
        <f>IF(AND(NOT(ISBLANK(ReconciliationData[[#This Row],[last_return_date]])),ReconciliationData[[#This Row],[last_return_date]]&gt;ReconciliationData[[#This Row],[Order_Date]]+60),1,0)</f>
        <v>0</v>
      </c>
      <c r="V3086">
        <f>IF(ReconciliationData[[#This Row],[total_returned_units]]&gt;ReconciliationData[[#This Row],[ordered_units]],1,0)</f>
        <v>0</v>
      </c>
      <c r="W30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86">
        <f>ReconciliationData[[#This Row],[Billed_Units]]*ReconciliationData[[#This Row],[Billed_Price]]</f>
        <v>8192.2104000000018</v>
      </c>
      <c r="Y3086">
        <f>ReconciliationData[[#This Row],[ordered_units]]*ReconciliationData[[#This Row],[List_Price]]</f>
        <v>8192.2104000000018</v>
      </c>
      <c r="Z3086">
        <f>ReconciliationData[[#This Row],[billed_revenue]]-ReconciliationData[[#This Row],[expected_revenue]]</f>
        <v>0</v>
      </c>
      <c r="AA30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86" t="str">
        <f>IF(ReconciliationData[[#This Row],[severity_score]]=0,"LOW",
 IF(ReconciliationData[[#This Row],[severity_score]]&lt;=5,"MEDIUM","HIGH"))</f>
        <v>LOW</v>
      </c>
      <c r="AC3086" t="str">
        <f>TEXT(ReconciliationData[[#This Row],[Order_Date]],"YYYY-MM")</f>
        <v>2024-07</v>
      </c>
    </row>
    <row r="3087" spans="1:29">
      <c r="A3087" t="s">
        <v>7387</v>
      </c>
      <c r="B3087" s="1">
        <v>45600</v>
      </c>
      <c r="C3087" t="s">
        <v>5615</v>
      </c>
      <c r="D3087" t="s">
        <v>614</v>
      </c>
      <c r="E3087">
        <v>56</v>
      </c>
      <c r="F3087" t="s">
        <v>7388</v>
      </c>
      <c r="G3087">
        <v>56</v>
      </c>
      <c r="H3087">
        <v>951.75750000000005</v>
      </c>
      <c r="N3087">
        <v>951.75750000000005</v>
      </c>
      <c r="O3087" s="1">
        <v>45184</v>
      </c>
      <c r="P3087">
        <f>IF(ISBLANK(ReconciliationData[[#This Row],[Invoice_ID]]),1,0)</f>
        <v>0</v>
      </c>
      <c r="Q3087">
        <f>IF(AND(NOT(ISBLANK(ReconciliationData[[#This Row],[Billed_Units]])),ReconciliationData[[#This Row],[ordered_units]]&lt;&gt;ReconciliationData[[#This Row],[Billed_Units]]),1,0)</f>
        <v>0</v>
      </c>
      <c r="R30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7">
        <f>IF(AND(NOT(ISBLANK(ReconciliationData[[#This Row],[Contract_Price]])),ReconciliationData[[#This Row],[Billed_Price]]&lt;&gt;ReconciliationData[[#This Row],[Contract_Price]]),1,0)</f>
        <v>0</v>
      </c>
      <c r="T3087">
        <f>IF(AND(NOT(ISBLANK(ReconciliationData[[#This Row],[End_Date]])),ReconciliationData[[#This Row],[Order_Date]]&gt;ReconciliationData[[#This Row],[End_Date]]),1,0)</f>
        <v>0</v>
      </c>
      <c r="U3087">
        <f>IF(AND(NOT(ISBLANK(ReconciliationData[[#This Row],[last_return_date]])),ReconciliationData[[#This Row],[last_return_date]]&gt;ReconciliationData[[#This Row],[Order_Date]]+60),1,0)</f>
        <v>0</v>
      </c>
      <c r="V3087">
        <f>IF(ReconciliationData[[#This Row],[total_returned_units]]&gt;ReconciliationData[[#This Row],[ordered_units]],1,0)</f>
        <v>0</v>
      </c>
      <c r="W30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87">
        <f>ReconciliationData[[#This Row],[Billed_Units]]*ReconciliationData[[#This Row],[Billed_Price]]</f>
        <v>53298.420000000006</v>
      </c>
      <c r="Y3087">
        <f>ReconciliationData[[#This Row],[ordered_units]]*ReconciliationData[[#This Row],[List_Price]]</f>
        <v>53298.420000000006</v>
      </c>
      <c r="Z3087">
        <f>ReconciliationData[[#This Row],[billed_revenue]]-ReconciliationData[[#This Row],[expected_revenue]]</f>
        <v>0</v>
      </c>
      <c r="AA30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87" t="str">
        <f>IF(ReconciliationData[[#This Row],[severity_score]]=0,"LOW",
 IF(ReconciliationData[[#This Row],[severity_score]]&lt;=5,"MEDIUM","HIGH"))</f>
        <v>LOW</v>
      </c>
      <c r="AC3087" t="str">
        <f>TEXT(ReconciliationData[[#This Row],[Order_Date]],"YYYY-MM")</f>
        <v>2024-11</v>
      </c>
    </row>
    <row r="3088" spans="1:29">
      <c r="A3088" t="s">
        <v>7389</v>
      </c>
      <c r="B3088" s="1">
        <v>45086</v>
      </c>
      <c r="C3088" t="s">
        <v>6516</v>
      </c>
      <c r="D3088" t="s">
        <v>807</v>
      </c>
      <c r="E3088">
        <v>63</v>
      </c>
      <c r="F3088" t="s">
        <v>7390</v>
      </c>
      <c r="G3088">
        <v>63</v>
      </c>
      <c r="H3088">
        <v>414.32040000000001</v>
      </c>
      <c r="N3088">
        <v>414.32040000000001</v>
      </c>
      <c r="O3088" s="1">
        <v>44905</v>
      </c>
      <c r="P3088">
        <f>IF(ISBLANK(ReconciliationData[[#This Row],[Invoice_ID]]),1,0)</f>
        <v>0</v>
      </c>
      <c r="Q3088">
        <f>IF(AND(NOT(ISBLANK(ReconciliationData[[#This Row],[Billed_Units]])),ReconciliationData[[#This Row],[ordered_units]]&lt;&gt;ReconciliationData[[#This Row],[Billed_Units]]),1,0)</f>
        <v>0</v>
      </c>
      <c r="R30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8">
        <f>IF(AND(NOT(ISBLANK(ReconciliationData[[#This Row],[Contract_Price]])),ReconciliationData[[#This Row],[Billed_Price]]&lt;&gt;ReconciliationData[[#This Row],[Contract_Price]]),1,0)</f>
        <v>0</v>
      </c>
      <c r="T3088">
        <f>IF(AND(NOT(ISBLANK(ReconciliationData[[#This Row],[End_Date]])),ReconciliationData[[#This Row],[Order_Date]]&gt;ReconciliationData[[#This Row],[End_Date]]),1,0)</f>
        <v>0</v>
      </c>
      <c r="U3088">
        <f>IF(AND(NOT(ISBLANK(ReconciliationData[[#This Row],[last_return_date]])),ReconciliationData[[#This Row],[last_return_date]]&gt;ReconciliationData[[#This Row],[Order_Date]]+60),1,0)</f>
        <v>0</v>
      </c>
      <c r="V3088">
        <f>IF(ReconciliationData[[#This Row],[total_returned_units]]&gt;ReconciliationData[[#This Row],[ordered_units]],1,0)</f>
        <v>0</v>
      </c>
      <c r="W30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88">
        <f>ReconciliationData[[#This Row],[Billed_Units]]*ReconciliationData[[#This Row],[Billed_Price]]</f>
        <v>26102.1852</v>
      </c>
      <c r="Y3088">
        <f>ReconciliationData[[#This Row],[ordered_units]]*ReconciliationData[[#This Row],[List_Price]]</f>
        <v>26102.1852</v>
      </c>
      <c r="Z3088">
        <f>ReconciliationData[[#This Row],[billed_revenue]]-ReconciliationData[[#This Row],[expected_revenue]]</f>
        <v>0</v>
      </c>
      <c r="AA30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88" t="str">
        <f>IF(ReconciliationData[[#This Row],[severity_score]]=0,"LOW",
 IF(ReconciliationData[[#This Row],[severity_score]]&lt;=5,"MEDIUM","HIGH"))</f>
        <v>LOW</v>
      </c>
      <c r="AC3088" t="str">
        <f>TEXT(ReconciliationData[[#This Row],[Order_Date]],"YYYY-MM")</f>
        <v>2023-06</v>
      </c>
    </row>
    <row r="3089" spans="1:29">
      <c r="A3089" t="s">
        <v>7391</v>
      </c>
      <c r="B3089" s="1">
        <v>45089</v>
      </c>
      <c r="C3089" t="s">
        <v>1399</v>
      </c>
      <c r="D3089" t="s">
        <v>821</v>
      </c>
      <c r="E3089">
        <v>62</v>
      </c>
      <c r="F3089" t="s">
        <v>7392</v>
      </c>
      <c r="G3089">
        <v>62</v>
      </c>
      <c r="H3089">
        <v>785.89</v>
      </c>
      <c r="N3089">
        <v>785.89</v>
      </c>
      <c r="O3089" s="1">
        <v>44989</v>
      </c>
      <c r="P3089">
        <f>IF(ISBLANK(ReconciliationData[[#This Row],[Invoice_ID]]),1,0)</f>
        <v>0</v>
      </c>
      <c r="Q3089">
        <f>IF(AND(NOT(ISBLANK(ReconciliationData[[#This Row],[Billed_Units]])),ReconciliationData[[#This Row],[ordered_units]]&lt;&gt;ReconciliationData[[#This Row],[Billed_Units]]),1,0)</f>
        <v>0</v>
      </c>
      <c r="R30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89">
        <f>IF(AND(NOT(ISBLANK(ReconciliationData[[#This Row],[Contract_Price]])),ReconciliationData[[#This Row],[Billed_Price]]&lt;&gt;ReconciliationData[[#This Row],[Contract_Price]]),1,0)</f>
        <v>0</v>
      </c>
      <c r="T3089">
        <f>IF(AND(NOT(ISBLANK(ReconciliationData[[#This Row],[End_Date]])),ReconciliationData[[#This Row],[Order_Date]]&gt;ReconciliationData[[#This Row],[End_Date]]),1,0)</f>
        <v>0</v>
      </c>
      <c r="U3089">
        <f>IF(AND(NOT(ISBLANK(ReconciliationData[[#This Row],[last_return_date]])),ReconciliationData[[#This Row],[last_return_date]]&gt;ReconciliationData[[#This Row],[Order_Date]]+60),1,0)</f>
        <v>0</v>
      </c>
      <c r="V3089">
        <f>IF(ReconciliationData[[#This Row],[total_returned_units]]&gt;ReconciliationData[[#This Row],[ordered_units]],1,0)</f>
        <v>0</v>
      </c>
      <c r="W30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89">
        <f>ReconciliationData[[#This Row],[Billed_Units]]*ReconciliationData[[#This Row],[Billed_Price]]</f>
        <v>48725.18</v>
      </c>
      <c r="Y3089">
        <f>ReconciliationData[[#This Row],[ordered_units]]*ReconciliationData[[#This Row],[List_Price]]</f>
        <v>48725.18</v>
      </c>
      <c r="Z3089">
        <f>ReconciliationData[[#This Row],[billed_revenue]]-ReconciliationData[[#This Row],[expected_revenue]]</f>
        <v>0</v>
      </c>
      <c r="AA30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89" t="str">
        <f>IF(ReconciliationData[[#This Row],[severity_score]]=0,"LOW",
 IF(ReconciliationData[[#This Row],[severity_score]]&lt;=5,"MEDIUM","HIGH"))</f>
        <v>LOW</v>
      </c>
      <c r="AC3089" t="str">
        <f>TEXT(ReconciliationData[[#This Row],[Order_Date]],"YYYY-MM")</f>
        <v>2023-06</v>
      </c>
    </row>
    <row r="3090" spans="1:29">
      <c r="A3090" t="s">
        <v>7393</v>
      </c>
      <c r="B3090" s="1">
        <v>45597</v>
      </c>
      <c r="C3090" t="s">
        <v>6054</v>
      </c>
      <c r="D3090" t="s">
        <v>500</v>
      </c>
      <c r="E3090">
        <v>190</v>
      </c>
      <c r="F3090" t="s">
        <v>7394</v>
      </c>
      <c r="G3090">
        <v>190</v>
      </c>
      <c r="H3090">
        <v>1086.3648000000001</v>
      </c>
      <c r="I3090">
        <v>39</v>
      </c>
      <c r="J3090" s="1">
        <v>45638</v>
      </c>
      <c r="N3090">
        <v>1086.3648000000001</v>
      </c>
      <c r="O3090" s="1">
        <v>44940</v>
      </c>
      <c r="P3090">
        <f>IF(ISBLANK(ReconciliationData[[#This Row],[Invoice_ID]]),1,0)</f>
        <v>0</v>
      </c>
      <c r="Q3090">
        <f>IF(AND(NOT(ISBLANK(ReconciliationData[[#This Row],[Billed_Units]])),ReconciliationData[[#This Row],[ordered_units]]&lt;&gt;ReconciliationData[[#This Row],[Billed_Units]]),1,0)</f>
        <v>0</v>
      </c>
      <c r="R30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90">
        <f>IF(AND(NOT(ISBLANK(ReconciliationData[[#This Row],[Contract_Price]])),ReconciliationData[[#This Row],[Billed_Price]]&lt;&gt;ReconciliationData[[#This Row],[Contract_Price]]),1,0)</f>
        <v>0</v>
      </c>
      <c r="T3090">
        <f>IF(AND(NOT(ISBLANK(ReconciliationData[[#This Row],[End_Date]])),ReconciliationData[[#This Row],[Order_Date]]&gt;ReconciliationData[[#This Row],[End_Date]]),1,0)</f>
        <v>0</v>
      </c>
      <c r="U3090">
        <f>IF(AND(NOT(ISBLANK(ReconciliationData[[#This Row],[last_return_date]])),ReconciliationData[[#This Row],[last_return_date]]&gt;ReconciliationData[[#This Row],[Order_Date]]+60),1,0)</f>
        <v>0</v>
      </c>
      <c r="V3090">
        <f>IF(ReconciliationData[[#This Row],[total_returned_units]]&gt;ReconciliationData[[#This Row],[ordered_units]],1,0)</f>
        <v>0</v>
      </c>
      <c r="W30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90">
        <f>ReconciliationData[[#This Row],[Billed_Units]]*ReconciliationData[[#This Row],[Billed_Price]]</f>
        <v>206409.31200000001</v>
      </c>
      <c r="Y3090">
        <f>ReconciliationData[[#This Row],[ordered_units]]*ReconciliationData[[#This Row],[List_Price]]</f>
        <v>206409.31200000001</v>
      </c>
      <c r="Z3090">
        <f>ReconciliationData[[#This Row],[billed_revenue]]-ReconciliationData[[#This Row],[expected_revenue]]</f>
        <v>0</v>
      </c>
      <c r="AA30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90" t="str">
        <f>IF(ReconciliationData[[#This Row],[severity_score]]=0,"LOW",
 IF(ReconciliationData[[#This Row],[severity_score]]&lt;=5,"MEDIUM","HIGH"))</f>
        <v>LOW</v>
      </c>
      <c r="AC3090" t="str">
        <f>TEXT(ReconciliationData[[#This Row],[Order_Date]],"YYYY-MM")</f>
        <v>2024-11</v>
      </c>
    </row>
    <row r="3091" spans="1:29">
      <c r="A3091" t="s">
        <v>7395</v>
      </c>
      <c r="B3091" s="1">
        <v>45041</v>
      </c>
      <c r="C3091" t="s">
        <v>543</v>
      </c>
      <c r="D3091" t="s">
        <v>333</v>
      </c>
      <c r="E3091">
        <v>122</v>
      </c>
      <c r="F3091" t="s">
        <v>7396</v>
      </c>
      <c r="G3091">
        <v>122</v>
      </c>
      <c r="H3091">
        <v>1144.1684</v>
      </c>
      <c r="I3091">
        <v>13</v>
      </c>
      <c r="J3091" s="1">
        <v>45242</v>
      </c>
      <c r="N3091">
        <v>1144.1684</v>
      </c>
      <c r="O3091" s="1">
        <v>44955</v>
      </c>
      <c r="P3091">
        <f>IF(ISBLANK(ReconciliationData[[#This Row],[Invoice_ID]]),1,0)</f>
        <v>0</v>
      </c>
      <c r="Q3091">
        <f>IF(AND(NOT(ISBLANK(ReconciliationData[[#This Row],[Billed_Units]])),ReconciliationData[[#This Row],[ordered_units]]&lt;&gt;ReconciliationData[[#This Row],[Billed_Units]]),1,0)</f>
        <v>0</v>
      </c>
      <c r="R30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91">
        <f>IF(AND(NOT(ISBLANK(ReconciliationData[[#This Row],[Contract_Price]])),ReconciliationData[[#This Row],[Billed_Price]]&lt;&gt;ReconciliationData[[#This Row],[Contract_Price]]),1,0)</f>
        <v>0</v>
      </c>
      <c r="T3091">
        <f>IF(AND(NOT(ISBLANK(ReconciliationData[[#This Row],[End_Date]])),ReconciliationData[[#This Row],[Order_Date]]&gt;ReconciliationData[[#This Row],[End_Date]]),1,0)</f>
        <v>0</v>
      </c>
      <c r="U3091">
        <f>IF(AND(NOT(ISBLANK(ReconciliationData[[#This Row],[last_return_date]])),ReconciliationData[[#This Row],[last_return_date]]&gt;ReconciliationData[[#This Row],[Order_Date]]+60),1,0)</f>
        <v>1</v>
      </c>
      <c r="V3091">
        <f>IF(ReconciliationData[[#This Row],[total_returned_units]]&gt;ReconciliationData[[#This Row],[ordered_units]],1,0)</f>
        <v>0</v>
      </c>
      <c r="W30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91">
        <f>ReconciliationData[[#This Row],[Billed_Units]]*ReconciliationData[[#This Row],[Billed_Price]]</f>
        <v>139588.5448</v>
      </c>
      <c r="Y3091">
        <f>ReconciliationData[[#This Row],[ordered_units]]*ReconciliationData[[#This Row],[List_Price]]</f>
        <v>139588.5448</v>
      </c>
      <c r="Z3091">
        <f>ReconciliationData[[#This Row],[billed_revenue]]-ReconciliationData[[#This Row],[expected_revenue]]</f>
        <v>0</v>
      </c>
      <c r="AA30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091" t="str">
        <f>IF(ReconciliationData[[#This Row],[severity_score]]=0,"LOW",
 IF(ReconciliationData[[#This Row],[severity_score]]&lt;=5,"MEDIUM","HIGH"))</f>
        <v>MEDIUM</v>
      </c>
      <c r="AC3091" t="str">
        <f>TEXT(ReconciliationData[[#This Row],[Order_Date]],"YYYY-MM")</f>
        <v>2023-04</v>
      </c>
    </row>
    <row r="3092" spans="1:29">
      <c r="A3092" t="s">
        <v>7397</v>
      </c>
      <c r="B3092" s="1">
        <v>45593</v>
      </c>
      <c r="C3092" t="s">
        <v>3875</v>
      </c>
      <c r="D3092" t="s">
        <v>1495</v>
      </c>
      <c r="E3092">
        <v>100</v>
      </c>
      <c r="F3092" t="s">
        <v>7398</v>
      </c>
      <c r="G3092">
        <v>100</v>
      </c>
      <c r="H3092">
        <v>377.08350000000002</v>
      </c>
      <c r="N3092">
        <v>377.08350000000002</v>
      </c>
      <c r="O3092" s="1">
        <v>45064</v>
      </c>
      <c r="P3092">
        <f>IF(ISBLANK(ReconciliationData[[#This Row],[Invoice_ID]]),1,0)</f>
        <v>0</v>
      </c>
      <c r="Q3092">
        <f>IF(AND(NOT(ISBLANK(ReconciliationData[[#This Row],[Billed_Units]])),ReconciliationData[[#This Row],[ordered_units]]&lt;&gt;ReconciliationData[[#This Row],[Billed_Units]]),1,0)</f>
        <v>0</v>
      </c>
      <c r="R30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92">
        <f>IF(AND(NOT(ISBLANK(ReconciliationData[[#This Row],[Contract_Price]])),ReconciliationData[[#This Row],[Billed_Price]]&lt;&gt;ReconciliationData[[#This Row],[Contract_Price]]),1,0)</f>
        <v>0</v>
      </c>
      <c r="T3092">
        <f>IF(AND(NOT(ISBLANK(ReconciliationData[[#This Row],[End_Date]])),ReconciliationData[[#This Row],[Order_Date]]&gt;ReconciliationData[[#This Row],[End_Date]]),1,0)</f>
        <v>0</v>
      </c>
      <c r="U3092">
        <f>IF(AND(NOT(ISBLANK(ReconciliationData[[#This Row],[last_return_date]])),ReconciliationData[[#This Row],[last_return_date]]&gt;ReconciliationData[[#This Row],[Order_Date]]+60),1,0)</f>
        <v>0</v>
      </c>
      <c r="V3092">
        <f>IF(ReconciliationData[[#This Row],[total_returned_units]]&gt;ReconciliationData[[#This Row],[ordered_units]],1,0)</f>
        <v>0</v>
      </c>
      <c r="W30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92">
        <f>ReconciliationData[[#This Row],[Billed_Units]]*ReconciliationData[[#This Row],[Billed_Price]]</f>
        <v>37708.35</v>
      </c>
      <c r="Y3092">
        <f>ReconciliationData[[#This Row],[ordered_units]]*ReconciliationData[[#This Row],[List_Price]]</f>
        <v>37708.35</v>
      </c>
      <c r="Z3092">
        <f>ReconciliationData[[#This Row],[billed_revenue]]-ReconciliationData[[#This Row],[expected_revenue]]</f>
        <v>0</v>
      </c>
      <c r="AA30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92" t="str">
        <f>IF(ReconciliationData[[#This Row],[severity_score]]=0,"LOW",
 IF(ReconciliationData[[#This Row],[severity_score]]&lt;=5,"MEDIUM","HIGH"))</f>
        <v>LOW</v>
      </c>
      <c r="AC3092" t="str">
        <f>TEXT(ReconciliationData[[#This Row],[Order_Date]],"YYYY-MM")</f>
        <v>2024-10</v>
      </c>
    </row>
    <row r="3093" spans="1:29">
      <c r="A3093" t="s">
        <v>7399</v>
      </c>
      <c r="B3093" s="1">
        <v>44981</v>
      </c>
      <c r="C3093" t="s">
        <v>3259</v>
      </c>
      <c r="D3093" t="s">
        <v>490</v>
      </c>
      <c r="E3093">
        <v>196</v>
      </c>
      <c r="F3093" t="s">
        <v>7400</v>
      </c>
      <c r="G3093">
        <v>196</v>
      </c>
      <c r="H3093">
        <v>1157.6343999999999</v>
      </c>
      <c r="N3093">
        <v>1157.6343999999999</v>
      </c>
      <c r="O3093" s="1">
        <v>44959</v>
      </c>
      <c r="P3093">
        <f>IF(ISBLANK(ReconciliationData[[#This Row],[Invoice_ID]]),1,0)</f>
        <v>0</v>
      </c>
      <c r="Q3093">
        <f>IF(AND(NOT(ISBLANK(ReconciliationData[[#This Row],[Billed_Units]])),ReconciliationData[[#This Row],[ordered_units]]&lt;&gt;ReconciliationData[[#This Row],[Billed_Units]]),1,0)</f>
        <v>0</v>
      </c>
      <c r="R30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93">
        <f>IF(AND(NOT(ISBLANK(ReconciliationData[[#This Row],[Contract_Price]])),ReconciliationData[[#This Row],[Billed_Price]]&lt;&gt;ReconciliationData[[#This Row],[Contract_Price]]),1,0)</f>
        <v>0</v>
      </c>
      <c r="T3093">
        <f>IF(AND(NOT(ISBLANK(ReconciliationData[[#This Row],[End_Date]])),ReconciliationData[[#This Row],[Order_Date]]&gt;ReconciliationData[[#This Row],[End_Date]]),1,0)</f>
        <v>0</v>
      </c>
      <c r="U3093">
        <f>IF(AND(NOT(ISBLANK(ReconciliationData[[#This Row],[last_return_date]])),ReconciliationData[[#This Row],[last_return_date]]&gt;ReconciliationData[[#This Row],[Order_Date]]+60),1,0)</f>
        <v>0</v>
      </c>
      <c r="V3093">
        <f>IF(ReconciliationData[[#This Row],[total_returned_units]]&gt;ReconciliationData[[#This Row],[ordered_units]],1,0)</f>
        <v>0</v>
      </c>
      <c r="W30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93">
        <f>ReconciliationData[[#This Row],[Billed_Units]]*ReconciliationData[[#This Row],[Billed_Price]]</f>
        <v>226896.34239999999</v>
      </c>
      <c r="Y3093">
        <f>ReconciliationData[[#This Row],[ordered_units]]*ReconciliationData[[#This Row],[List_Price]]</f>
        <v>226896.34239999999</v>
      </c>
      <c r="Z3093">
        <f>ReconciliationData[[#This Row],[billed_revenue]]-ReconciliationData[[#This Row],[expected_revenue]]</f>
        <v>0</v>
      </c>
      <c r="AA30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93" t="str">
        <f>IF(ReconciliationData[[#This Row],[severity_score]]=0,"LOW",
 IF(ReconciliationData[[#This Row],[severity_score]]&lt;=5,"MEDIUM","HIGH"))</f>
        <v>LOW</v>
      </c>
      <c r="AC3093" t="str">
        <f>TEXT(ReconciliationData[[#This Row],[Order_Date]],"YYYY-MM")</f>
        <v>2023-02</v>
      </c>
    </row>
    <row r="3094" spans="1:29">
      <c r="A3094" t="s">
        <v>7401</v>
      </c>
      <c r="B3094" s="1">
        <v>45310</v>
      </c>
      <c r="C3094" t="s">
        <v>1579</v>
      </c>
      <c r="D3094" t="s">
        <v>655</v>
      </c>
      <c r="E3094">
        <v>161</v>
      </c>
      <c r="F3094" t="s">
        <v>7402</v>
      </c>
      <c r="G3094">
        <v>161</v>
      </c>
      <c r="H3094">
        <v>130.87360000000001</v>
      </c>
      <c r="I3094">
        <v>9</v>
      </c>
      <c r="J3094" s="1">
        <v>45220</v>
      </c>
      <c r="N3094">
        <v>130.87360000000001</v>
      </c>
      <c r="O3094" s="1">
        <v>45074</v>
      </c>
      <c r="P3094">
        <f>IF(ISBLANK(ReconciliationData[[#This Row],[Invoice_ID]]),1,0)</f>
        <v>0</v>
      </c>
      <c r="Q3094">
        <f>IF(AND(NOT(ISBLANK(ReconciliationData[[#This Row],[Billed_Units]])),ReconciliationData[[#This Row],[ordered_units]]&lt;&gt;ReconciliationData[[#This Row],[Billed_Units]]),1,0)</f>
        <v>0</v>
      </c>
      <c r="R30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94">
        <f>IF(AND(NOT(ISBLANK(ReconciliationData[[#This Row],[Contract_Price]])),ReconciliationData[[#This Row],[Billed_Price]]&lt;&gt;ReconciliationData[[#This Row],[Contract_Price]]),1,0)</f>
        <v>0</v>
      </c>
      <c r="T3094">
        <f>IF(AND(NOT(ISBLANK(ReconciliationData[[#This Row],[End_Date]])),ReconciliationData[[#This Row],[Order_Date]]&gt;ReconciliationData[[#This Row],[End_Date]]),1,0)</f>
        <v>0</v>
      </c>
      <c r="U3094">
        <f>IF(AND(NOT(ISBLANK(ReconciliationData[[#This Row],[last_return_date]])),ReconciliationData[[#This Row],[last_return_date]]&gt;ReconciliationData[[#This Row],[Order_Date]]+60),1,0)</f>
        <v>0</v>
      </c>
      <c r="V3094">
        <f>IF(ReconciliationData[[#This Row],[total_returned_units]]&gt;ReconciliationData[[#This Row],[ordered_units]],1,0)</f>
        <v>0</v>
      </c>
      <c r="W30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94">
        <f>ReconciliationData[[#This Row],[Billed_Units]]*ReconciliationData[[#This Row],[Billed_Price]]</f>
        <v>21070.649600000001</v>
      </c>
      <c r="Y3094">
        <f>ReconciliationData[[#This Row],[ordered_units]]*ReconciliationData[[#This Row],[List_Price]]</f>
        <v>21070.649600000001</v>
      </c>
      <c r="Z3094">
        <f>ReconciliationData[[#This Row],[billed_revenue]]-ReconciliationData[[#This Row],[expected_revenue]]</f>
        <v>0</v>
      </c>
      <c r="AA30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94" t="str">
        <f>IF(ReconciliationData[[#This Row],[severity_score]]=0,"LOW",
 IF(ReconciliationData[[#This Row],[severity_score]]&lt;=5,"MEDIUM","HIGH"))</f>
        <v>LOW</v>
      </c>
      <c r="AC3094" t="str">
        <f>TEXT(ReconciliationData[[#This Row],[Order_Date]],"YYYY-MM")</f>
        <v>2024-01</v>
      </c>
    </row>
    <row r="3095" spans="1:29">
      <c r="A3095" t="s">
        <v>7403</v>
      </c>
      <c r="B3095" s="1">
        <v>45150</v>
      </c>
      <c r="C3095" t="s">
        <v>2343</v>
      </c>
      <c r="D3095" t="s">
        <v>263</v>
      </c>
      <c r="E3095">
        <v>143</v>
      </c>
      <c r="F3095" t="s">
        <v>7404</v>
      </c>
      <c r="G3095">
        <v>143</v>
      </c>
      <c r="H3095">
        <v>1147.3289</v>
      </c>
      <c r="N3095">
        <v>1147.3289</v>
      </c>
      <c r="O3095" s="1">
        <v>44945</v>
      </c>
      <c r="P3095">
        <f>IF(ISBLANK(ReconciliationData[[#This Row],[Invoice_ID]]),1,0)</f>
        <v>0</v>
      </c>
      <c r="Q3095">
        <f>IF(AND(NOT(ISBLANK(ReconciliationData[[#This Row],[Billed_Units]])),ReconciliationData[[#This Row],[ordered_units]]&lt;&gt;ReconciliationData[[#This Row],[Billed_Units]]),1,0)</f>
        <v>0</v>
      </c>
      <c r="R30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95">
        <f>IF(AND(NOT(ISBLANK(ReconciliationData[[#This Row],[Contract_Price]])),ReconciliationData[[#This Row],[Billed_Price]]&lt;&gt;ReconciliationData[[#This Row],[Contract_Price]]),1,0)</f>
        <v>0</v>
      </c>
      <c r="T3095">
        <f>IF(AND(NOT(ISBLANK(ReconciliationData[[#This Row],[End_Date]])),ReconciliationData[[#This Row],[Order_Date]]&gt;ReconciliationData[[#This Row],[End_Date]]),1,0)</f>
        <v>0</v>
      </c>
      <c r="U3095">
        <f>IF(AND(NOT(ISBLANK(ReconciliationData[[#This Row],[last_return_date]])),ReconciliationData[[#This Row],[last_return_date]]&gt;ReconciliationData[[#This Row],[Order_Date]]+60),1,0)</f>
        <v>0</v>
      </c>
      <c r="V3095">
        <f>IF(ReconciliationData[[#This Row],[total_returned_units]]&gt;ReconciliationData[[#This Row],[ordered_units]],1,0)</f>
        <v>0</v>
      </c>
      <c r="W30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95">
        <f>ReconciliationData[[#This Row],[Billed_Units]]*ReconciliationData[[#This Row],[Billed_Price]]</f>
        <v>164068.03270000001</v>
      </c>
      <c r="Y3095">
        <f>ReconciliationData[[#This Row],[ordered_units]]*ReconciliationData[[#This Row],[List_Price]]</f>
        <v>164068.03270000001</v>
      </c>
      <c r="Z3095">
        <f>ReconciliationData[[#This Row],[billed_revenue]]-ReconciliationData[[#This Row],[expected_revenue]]</f>
        <v>0</v>
      </c>
      <c r="AA30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95" t="str">
        <f>IF(ReconciliationData[[#This Row],[severity_score]]=0,"LOW",
 IF(ReconciliationData[[#This Row],[severity_score]]&lt;=5,"MEDIUM","HIGH"))</f>
        <v>LOW</v>
      </c>
      <c r="AC3095" t="str">
        <f>TEXT(ReconciliationData[[#This Row],[Order_Date]],"YYYY-MM")</f>
        <v>2023-08</v>
      </c>
    </row>
    <row r="3096" spans="1:29">
      <c r="A3096" t="s">
        <v>7405</v>
      </c>
      <c r="B3096" s="1">
        <v>45160</v>
      </c>
      <c r="C3096" t="s">
        <v>1202</v>
      </c>
      <c r="D3096" t="s">
        <v>798</v>
      </c>
      <c r="E3096">
        <v>99</v>
      </c>
      <c r="F3096" t="s">
        <v>7406</v>
      </c>
      <c r="G3096">
        <v>104</v>
      </c>
      <c r="H3096">
        <v>153.8671329837826</v>
      </c>
      <c r="N3096">
        <v>153.01650000000001</v>
      </c>
      <c r="O3096" s="1">
        <v>45064</v>
      </c>
      <c r="P3096">
        <f>IF(ISBLANK(ReconciliationData[[#This Row],[Invoice_ID]]),1,0)</f>
        <v>0</v>
      </c>
      <c r="Q3096">
        <f>IF(AND(NOT(ISBLANK(ReconciliationData[[#This Row],[Billed_Units]])),ReconciliationData[[#This Row],[ordered_units]]&lt;&gt;ReconciliationData[[#This Row],[Billed_Units]]),1,0)</f>
        <v>1</v>
      </c>
      <c r="R309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096">
        <f>IF(AND(NOT(ISBLANK(ReconciliationData[[#This Row],[Contract_Price]])),ReconciliationData[[#This Row],[Billed_Price]]&lt;&gt;ReconciliationData[[#This Row],[Contract_Price]]),1,0)</f>
        <v>0</v>
      </c>
      <c r="T3096">
        <f>IF(AND(NOT(ISBLANK(ReconciliationData[[#This Row],[End_Date]])),ReconciliationData[[#This Row],[Order_Date]]&gt;ReconciliationData[[#This Row],[End_Date]]),1,0)</f>
        <v>0</v>
      </c>
      <c r="U3096">
        <f>IF(AND(NOT(ISBLANK(ReconciliationData[[#This Row],[last_return_date]])),ReconciliationData[[#This Row],[last_return_date]]&gt;ReconciliationData[[#This Row],[Order_Date]]+60),1,0)</f>
        <v>0</v>
      </c>
      <c r="V3096">
        <f>IF(ReconciliationData[[#This Row],[total_returned_units]]&gt;ReconciliationData[[#This Row],[ordered_units]],1,0)</f>
        <v>0</v>
      </c>
      <c r="W30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096">
        <f>ReconciliationData[[#This Row],[Billed_Units]]*ReconciliationData[[#This Row],[Billed_Price]]</f>
        <v>16002.18183031339</v>
      </c>
      <c r="Y3096">
        <f>ReconciliationData[[#This Row],[ordered_units]]*ReconciliationData[[#This Row],[List_Price]]</f>
        <v>15148.6335</v>
      </c>
      <c r="Z3096">
        <f>ReconciliationData[[#This Row],[billed_revenue]]-ReconciliationData[[#This Row],[expected_revenue]]</f>
        <v>853.54833031338967</v>
      </c>
      <c r="AA30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12</v>
      </c>
      <c r="AB3096" t="str">
        <f>IF(ReconciliationData[[#This Row],[severity_score]]=0,"LOW",
 IF(ReconciliationData[[#This Row],[severity_score]]&lt;=5,"MEDIUM","HIGH"))</f>
        <v>HIGH</v>
      </c>
      <c r="AC3096" t="str">
        <f>TEXT(ReconciliationData[[#This Row],[Order_Date]],"YYYY-MM")</f>
        <v>2023-08</v>
      </c>
    </row>
    <row r="3097" spans="1:29">
      <c r="A3097" t="s">
        <v>7407</v>
      </c>
      <c r="B3097" s="1">
        <v>45025</v>
      </c>
      <c r="C3097" t="s">
        <v>396</v>
      </c>
      <c r="D3097" t="s">
        <v>732</v>
      </c>
      <c r="E3097">
        <v>57</v>
      </c>
      <c r="F3097" t="s">
        <v>7408</v>
      </c>
      <c r="G3097">
        <v>57</v>
      </c>
      <c r="H3097">
        <v>440.38799999999998</v>
      </c>
      <c r="N3097">
        <v>440.38799999999998</v>
      </c>
      <c r="O3097" s="1">
        <v>45016</v>
      </c>
      <c r="P3097">
        <f>IF(ISBLANK(ReconciliationData[[#This Row],[Invoice_ID]]),1,0)</f>
        <v>0</v>
      </c>
      <c r="Q3097">
        <f>IF(AND(NOT(ISBLANK(ReconciliationData[[#This Row],[Billed_Units]])),ReconciliationData[[#This Row],[ordered_units]]&lt;&gt;ReconciliationData[[#This Row],[Billed_Units]]),1,0)</f>
        <v>0</v>
      </c>
      <c r="R30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97">
        <f>IF(AND(NOT(ISBLANK(ReconciliationData[[#This Row],[Contract_Price]])),ReconciliationData[[#This Row],[Billed_Price]]&lt;&gt;ReconciliationData[[#This Row],[Contract_Price]]),1,0)</f>
        <v>0</v>
      </c>
      <c r="T3097">
        <f>IF(AND(NOT(ISBLANK(ReconciliationData[[#This Row],[End_Date]])),ReconciliationData[[#This Row],[Order_Date]]&gt;ReconciliationData[[#This Row],[End_Date]]),1,0)</f>
        <v>0</v>
      </c>
      <c r="U3097">
        <f>IF(AND(NOT(ISBLANK(ReconciliationData[[#This Row],[last_return_date]])),ReconciliationData[[#This Row],[last_return_date]]&gt;ReconciliationData[[#This Row],[Order_Date]]+60),1,0)</f>
        <v>0</v>
      </c>
      <c r="V3097">
        <f>IF(ReconciliationData[[#This Row],[total_returned_units]]&gt;ReconciliationData[[#This Row],[ordered_units]],1,0)</f>
        <v>0</v>
      </c>
      <c r="W30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97">
        <f>ReconciliationData[[#This Row],[Billed_Units]]*ReconciliationData[[#This Row],[Billed_Price]]</f>
        <v>25102.115999999998</v>
      </c>
      <c r="Y3097">
        <f>ReconciliationData[[#This Row],[ordered_units]]*ReconciliationData[[#This Row],[List_Price]]</f>
        <v>25102.115999999998</v>
      </c>
      <c r="Z3097">
        <f>ReconciliationData[[#This Row],[billed_revenue]]-ReconciliationData[[#This Row],[expected_revenue]]</f>
        <v>0</v>
      </c>
      <c r="AA30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97" t="str">
        <f>IF(ReconciliationData[[#This Row],[severity_score]]=0,"LOW",
 IF(ReconciliationData[[#This Row],[severity_score]]&lt;=5,"MEDIUM","HIGH"))</f>
        <v>LOW</v>
      </c>
      <c r="AC3097" t="str">
        <f>TEXT(ReconciliationData[[#This Row],[Order_Date]],"YYYY-MM")</f>
        <v>2023-04</v>
      </c>
    </row>
    <row r="3098" spans="1:29">
      <c r="A3098" t="s">
        <v>7409</v>
      </c>
      <c r="B3098" s="1">
        <v>45115</v>
      </c>
      <c r="C3098" t="s">
        <v>2751</v>
      </c>
      <c r="D3098" t="s">
        <v>378</v>
      </c>
      <c r="E3098">
        <v>146</v>
      </c>
      <c r="F3098" t="s">
        <v>7410</v>
      </c>
      <c r="G3098">
        <v>146</v>
      </c>
      <c r="H3098">
        <v>601.32929999999999</v>
      </c>
      <c r="N3098">
        <v>601.32929999999999</v>
      </c>
      <c r="O3098" s="1">
        <v>44962</v>
      </c>
      <c r="P3098">
        <f>IF(ISBLANK(ReconciliationData[[#This Row],[Invoice_ID]]),1,0)</f>
        <v>0</v>
      </c>
      <c r="Q3098">
        <f>IF(AND(NOT(ISBLANK(ReconciliationData[[#This Row],[Billed_Units]])),ReconciliationData[[#This Row],[ordered_units]]&lt;&gt;ReconciliationData[[#This Row],[Billed_Units]]),1,0)</f>
        <v>0</v>
      </c>
      <c r="R30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98">
        <f>IF(AND(NOT(ISBLANK(ReconciliationData[[#This Row],[Contract_Price]])),ReconciliationData[[#This Row],[Billed_Price]]&lt;&gt;ReconciliationData[[#This Row],[Contract_Price]]),1,0)</f>
        <v>0</v>
      </c>
      <c r="T3098">
        <f>IF(AND(NOT(ISBLANK(ReconciliationData[[#This Row],[End_Date]])),ReconciliationData[[#This Row],[Order_Date]]&gt;ReconciliationData[[#This Row],[End_Date]]),1,0)</f>
        <v>0</v>
      </c>
      <c r="U3098">
        <f>IF(AND(NOT(ISBLANK(ReconciliationData[[#This Row],[last_return_date]])),ReconciliationData[[#This Row],[last_return_date]]&gt;ReconciliationData[[#This Row],[Order_Date]]+60),1,0)</f>
        <v>0</v>
      </c>
      <c r="V3098">
        <f>IF(ReconciliationData[[#This Row],[total_returned_units]]&gt;ReconciliationData[[#This Row],[ordered_units]],1,0)</f>
        <v>0</v>
      </c>
      <c r="W30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98">
        <f>ReconciliationData[[#This Row],[Billed_Units]]*ReconciliationData[[#This Row],[Billed_Price]]</f>
        <v>87794.077799999999</v>
      </c>
      <c r="Y3098">
        <f>ReconciliationData[[#This Row],[ordered_units]]*ReconciliationData[[#This Row],[List_Price]]</f>
        <v>87794.077799999999</v>
      </c>
      <c r="Z3098">
        <f>ReconciliationData[[#This Row],[billed_revenue]]-ReconciliationData[[#This Row],[expected_revenue]]</f>
        <v>0</v>
      </c>
      <c r="AA30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98" t="str">
        <f>IF(ReconciliationData[[#This Row],[severity_score]]=0,"LOW",
 IF(ReconciliationData[[#This Row],[severity_score]]&lt;=5,"MEDIUM","HIGH"))</f>
        <v>LOW</v>
      </c>
      <c r="AC3098" t="str">
        <f>TEXT(ReconciliationData[[#This Row],[Order_Date]],"YYYY-MM")</f>
        <v>2023-07</v>
      </c>
    </row>
    <row r="3099" spans="1:29">
      <c r="A3099" t="s">
        <v>7411</v>
      </c>
      <c r="B3099" s="1">
        <v>45102</v>
      </c>
      <c r="C3099" t="s">
        <v>731</v>
      </c>
      <c r="D3099" t="s">
        <v>1794</v>
      </c>
      <c r="E3099">
        <v>26</v>
      </c>
      <c r="F3099" t="s">
        <v>7412</v>
      </c>
      <c r="G3099">
        <v>26</v>
      </c>
      <c r="H3099">
        <v>471.65280000000001</v>
      </c>
      <c r="N3099">
        <v>471.65280000000001</v>
      </c>
      <c r="O3099" s="1">
        <v>44929</v>
      </c>
      <c r="P3099">
        <f>IF(ISBLANK(ReconciliationData[[#This Row],[Invoice_ID]]),1,0)</f>
        <v>0</v>
      </c>
      <c r="Q3099">
        <f>IF(AND(NOT(ISBLANK(ReconciliationData[[#This Row],[Billed_Units]])),ReconciliationData[[#This Row],[ordered_units]]&lt;&gt;ReconciliationData[[#This Row],[Billed_Units]]),1,0)</f>
        <v>0</v>
      </c>
      <c r="R30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099">
        <f>IF(AND(NOT(ISBLANK(ReconciliationData[[#This Row],[Contract_Price]])),ReconciliationData[[#This Row],[Billed_Price]]&lt;&gt;ReconciliationData[[#This Row],[Contract_Price]]),1,0)</f>
        <v>0</v>
      </c>
      <c r="T3099">
        <f>IF(AND(NOT(ISBLANK(ReconciliationData[[#This Row],[End_Date]])),ReconciliationData[[#This Row],[Order_Date]]&gt;ReconciliationData[[#This Row],[End_Date]]),1,0)</f>
        <v>0</v>
      </c>
      <c r="U3099">
        <f>IF(AND(NOT(ISBLANK(ReconciliationData[[#This Row],[last_return_date]])),ReconciliationData[[#This Row],[last_return_date]]&gt;ReconciliationData[[#This Row],[Order_Date]]+60),1,0)</f>
        <v>0</v>
      </c>
      <c r="V3099">
        <f>IF(ReconciliationData[[#This Row],[total_returned_units]]&gt;ReconciliationData[[#This Row],[ordered_units]],1,0)</f>
        <v>0</v>
      </c>
      <c r="W30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099">
        <f>ReconciliationData[[#This Row],[Billed_Units]]*ReconciliationData[[#This Row],[Billed_Price]]</f>
        <v>12262.9728</v>
      </c>
      <c r="Y3099">
        <f>ReconciliationData[[#This Row],[ordered_units]]*ReconciliationData[[#This Row],[List_Price]]</f>
        <v>12262.9728</v>
      </c>
      <c r="Z3099">
        <f>ReconciliationData[[#This Row],[billed_revenue]]-ReconciliationData[[#This Row],[expected_revenue]]</f>
        <v>0</v>
      </c>
      <c r="AA30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099" t="str">
        <f>IF(ReconciliationData[[#This Row],[severity_score]]=0,"LOW",
 IF(ReconciliationData[[#This Row],[severity_score]]&lt;=5,"MEDIUM","HIGH"))</f>
        <v>LOW</v>
      </c>
      <c r="AC3099" t="str">
        <f>TEXT(ReconciliationData[[#This Row],[Order_Date]],"YYYY-MM")</f>
        <v>2023-06</v>
      </c>
    </row>
    <row r="3100" spans="1:29">
      <c r="A3100" t="s">
        <v>7413</v>
      </c>
      <c r="B3100" s="1">
        <v>45589</v>
      </c>
      <c r="C3100" t="s">
        <v>3206</v>
      </c>
      <c r="D3100" t="s">
        <v>404</v>
      </c>
      <c r="E3100">
        <v>51</v>
      </c>
      <c r="F3100" t="s">
        <v>7414</v>
      </c>
      <c r="G3100">
        <v>51</v>
      </c>
      <c r="H3100">
        <v>1129.6166000000001</v>
      </c>
      <c r="N3100">
        <v>1129.6166000000001</v>
      </c>
      <c r="O3100" s="1">
        <v>44960</v>
      </c>
      <c r="P3100">
        <f>IF(ISBLANK(ReconciliationData[[#This Row],[Invoice_ID]]),1,0)</f>
        <v>0</v>
      </c>
      <c r="Q3100">
        <f>IF(AND(NOT(ISBLANK(ReconciliationData[[#This Row],[Billed_Units]])),ReconciliationData[[#This Row],[ordered_units]]&lt;&gt;ReconciliationData[[#This Row],[Billed_Units]]),1,0)</f>
        <v>0</v>
      </c>
      <c r="R31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0">
        <f>IF(AND(NOT(ISBLANK(ReconciliationData[[#This Row],[Contract_Price]])),ReconciliationData[[#This Row],[Billed_Price]]&lt;&gt;ReconciliationData[[#This Row],[Contract_Price]]),1,0)</f>
        <v>0</v>
      </c>
      <c r="T3100">
        <f>IF(AND(NOT(ISBLANK(ReconciliationData[[#This Row],[End_Date]])),ReconciliationData[[#This Row],[Order_Date]]&gt;ReconciliationData[[#This Row],[End_Date]]),1,0)</f>
        <v>0</v>
      </c>
      <c r="U3100">
        <f>IF(AND(NOT(ISBLANK(ReconciliationData[[#This Row],[last_return_date]])),ReconciliationData[[#This Row],[last_return_date]]&gt;ReconciliationData[[#This Row],[Order_Date]]+60),1,0)</f>
        <v>0</v>
      </c>
      <c r="V3100">
        <f>IF(ReconciliationData[[#This Row],[total_returned_units]]&gt;ReconciliationData[[#This Row],[ordered_units]],1,0)</f>
        <v>0</v>
      </c>
      <c r="W31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0">
        <f>ReconciliationData[[#This Row],[Billed_Units]]*ReconciliationData[[#This Row],[Billed_Price]]</f>
        <v>57610.446600000003</v>
      </c>
      <c r="Y3100">
        <f>ReconciliationData[[#This Row],[ordered_units]]*ReconciliationData[[#This Row],[List_Price]]</f>
        <v>57610.446600000003</v>
      </c>
      <c r="Z3100">
        <f>ReconciliationData[[#This Row],[billed_revenue]]-ReconciliationData[[#This Row],[expected_revenue]]</f>
        <v>0</v>
      </c>
      <c r="AA31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0" t="str">
        <f>IF(ReconciliationData[[#This Row],[severity_score]]=0,"LOW",
 IF(ReconciliationData[[#This Row],[severity_score]]&lt;=5,"MEDIUM","HIGH"))</f>
        <v>LOW</v>
      </c>
      <c r="AC3100" t="str">
        <f>TEXT(ReconciliationData[[#This Row],[Order_Date]],"YYYY-MM")</f>
        <v>2024-10</v>
      </c>
    </row>
    <row r="3101" spans="1:29">
      <c r="A3101" t="s">
        <v>7415</v>
      </c>
      <c r="B3101" s="1">
        <v>45512</v>
      </c>
      <c r="C3101" t="s">
        <v>316</v>
      </c>
      <c r="D3101" t="s">
        <v>522</v>
      </c>
      <c r="E3101">
        <v>2</v>
      </c>
      <c r="F3101" t="s">
        <v>7416</v>
      </c>
      <c r="G3101">
        <v>2</v>
      </c>
      <c r="H3101">
        <v>826.46400000000006</v>
      </c>
      <c r="N3101">
        <v>826.46400000000006</v>
      </c>
      <c r="O3101" s="1">
        <v>45128</v>
      </c>
      <c r="P3101">
        <f>IF(ISBLANK(ReconciliationData[[#This Row],[Invoice_ID]]),1,0)</f>
        <v>0</v>
      </c>
      <c r="Q3101">
        <f>IF(AND(NOT(ISBLANK(ReconciliationData[[#This Row],[Billed_Units]])),ReconciliationData[[#This Row],[ordered_units]]&lt;&gt;ReconciliationData[[#This Row],[Billed_Units]]),1,0)</f>
        <v>0</v>
      </c>
      <c r="R31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1">
        <f>IF(AND(NOT(ISBLANK(ReconciliationData[[#This Row],[Contract_Price]])),ReconciliationData[[#This Row],[Billed_Price]]&lt;&gt;ReconciliationData[[#This Row],[Contract_Price]]),1,0)</f>
        <v>0</v>
      </c>
      <c r="T3101">
        <f>IF(AND(NOT(ISBLANK(ReconciliationData[[#This Row],[End_Date]])),ReconciliationData[[#This Row],[Order_Date]]&gt;ReconciliationData[[#This Row],[End_Date]]),1,0)</f>
        <v>0</v>
      </c>
      <c r="U3101">
        <f>IF(AND(NOT(ISBLANK(ReconciliationData[[#This Row],[last_return_date]])),ReconciliationData[[#This Row],[last_return_date]]&gt;ReconciliationData[[#This Row],[Order_Date]]+60),1,0)</f>
        <v>0</v>
      </c>
      <c r="V3101">
        <f>IF(ReconciliationData[[#This Row],[total_returned_units]]&gt;ReconciliationData[[#This Row],[ordered_units]],1,0)</f>
        <v>0</v>
      </c>
      <c r="W31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1">
        <f>ReconciliationData[[#This Row],[Billed_Units]]*ReconciliationData[[#This Row],[Billed_Price]]</f>
        <v>1652.9280000000001</v>
      </c>
      <c r="Y3101">
        <f>ReconciliationData[[#This Row],[ordered_units]]*ReconciliationData[[#This Row],[List_Price]]</f>
        <v>1652.9280000000001</v>
      </c>
      <c r="Z3101">
        <f>ReconciliationData[[#This Row],[billed_revenue]]-ReconciliationData[[#This Row],[expected_revenue]]</f>
        <v>0</v>
      </c>
      <c r="AA31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1" t="str">
        <f>IF(ReconciliationData[[#This Row],[severity_score]]=0,"LOW",
 IF(ReconciliationData[[#This Row],[severity_score]]&lt;=5,"MEDIUM","HIGH"))</f>
        <v>LOW</v>
      </c>
      <c r="AC3101" t="str">
        <f>TEXT(ReconciliationData[[#This Row],[Order_Date]],"YYYY-MM")</f>
        <v>2024-08</v>
      </c>
    </row>
    <row r="3102" spans="1:29">
      <c r="A3102" t="s">
        <v>7417</v>
      </c>
      <c r="B3102" s="1">
        <v>44982</v>
      </c>
      <c r="C3102" t="s">
        <v>661</v>
      </c>
      <c r="D3102" t="s">
        <v>585</v>
      </c>
      <c r="E3102">
        <v>148</v>
      </c>
      <c r="F3102" t="s">
        <v>7418</v>
      </c>
      <c r="G3102">
        <v>148</v>
      </c>
      <c r="H3102">
        <v>916.35</v>
      </c>
      <c r="N3102">
        <v>916.35</v>
      </c>
      <c r="O3102" s="1">
        <v>44616</v>
      </c>
      <c r="P3102">
        <f>IF(ISBLANK(ReconciliationData[[#This Row],[Invoice_ID]]),1,0)</f>
        <v>0</v>
      </c>
      <c r="Q3102">
        <f>IF(AND(NOT(ISBLANK(ReconciliationData[[#This Row],[Billed_Units]])),ReconciliationData[[#This Row],[ordered_units]]&lt;&gt;ReconciliationData[[#This Row],[Billed_Units]]),1,0)</f>
        <v>0</v>
      </c>
      <c r="R31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2">
        <f>IF(AND(NOT(ISBLANK(ReconciliationData[[#This Row],[Contract_Price]])),ReconciliationData[[#This Row],[Billed_Price]]&lt;&gt;ReconciliationData[[#This Row],[Contract_Price]]),1,0)</f>
        <v>0</v>
      </c>
      <c r="T3102">
        <f>IF(AND(NOT(ISBLANK(ReconciliationData[[#This Row],[End_Date]])),ReconciliationData[[#This Row],[Order_Date]]&gt;ReconciliationData[[#This Row],[End_Date]]),1,0)</f>
        <v>0</v>
      </c>
      <c r="U3102">
        <f>IF(AND(NOT(ISBLANK(ReconciliationData[[#This Row],[last_return_date]])),ReconciliationData[[#This Row],[last_return_date]]&gt;ReconciliationData[[#This Row],[Order_Date]]+60),1,0)</f>
        <v>0</v>
      </c>
      <c r="V3102">
        <f>IF(ReconciliationData[[#This Row],[total_returned_units]]&gt;ReconciliationData[[#This Row],[ordered_units]],1,0)</f>
        <v>0</v>
      </c>
      <c r="W31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2">
        <f>ReconciliationData[[#This Row],[Billed_Units]]*ReconciliationData[[#This Row],[Billed_Price]]</f>
        <v>135619.80000000002</v>
      </c>
      <c r="Y3102">
        <f>ReconciliationData[[#This Row],[ordered_units]]*ReconciliationData[[#This Row],[List_Price]]</f>
        <v>135619.80000000002</v>
      </c>
      <c r="Z3102">
        <f>ReconciliationData[[#This Row],[billed_revenue]]-ReconciliationData[[#This Row],[expected_revenue]]</f>
        <v>0</v>
      </c>
      <c r="AA31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2" t="str">
        <f>IF(ReconciliationData[[#This Row],[severity_score]]=0,"LOW",
 IF(ReconciliationData[[#This Row],[severity_score]]&lt;=5,"MEDIUM","HIGH"))</f>
        <v>LOW</v>
      </c>
      <c r="AC3102" t="str">
        <f>TEXT(ReconciliationData[[#This Row],[Order_Date]],"YYYY-MM")</f>
        <v>2023-02</v>
      </c>
    </row>
    <row r="3103" spans="1:29">
      <c r="A3103" t="s">
        <v>7419</v>
      </c>
      <c r="B3103" s="1">
        <v>45350</v>
      </c>
      <c r="C3103" t="s">
        <v>954</v>
      </c>
      <c r="D3103" t="s">
        <v>2583</v>
      </c>
      <c r="E3103">
        <v>119</v>
      </c>
      <c r="F3103" t="s">
        <v>7420</v>
      </c>
      <c r="G3103">
        <v>119</v>
      </c>
      <c r="H3103">
        <v>511.96</v>
      </c>
      <c r="I3103">
        <v>20</v>
      </c>
      <c r="J3103" s="1">
        <v>45101</v>
      </c>
      <c r="N3103">
        <v>511.96</v>
      </c>
      <c r="O3103" s="1">
        <v>45058</v>
      </c>
      <c r="P3103">
        <f>IF(ISBLANK(ReconciliationData[[#This Row],[Invoice_ID]]),1,0)</f>
        <v>0</v>
      </c>
      <c r="Q3103">
        <f>IF(AND(NOT(ISBLANK(ReconciliationData[[#This Row],[Billed_Units]])),ReconciliationData[[#This Row],[ordered_units]]&lt;&gt;ReconciliationData[[#This Row],[Billed_Units]]),1,0)</f>
        <v>0</v>
      </c>
      <c r="R31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3">
        <f>IF(AND(NOT(ISBLANK(ReconciliationData[[#This Row],[Contract_Price]])),ReconciliationData[[#This Row],[Billed_Price]]&lt;&gt;ReconciliationData[[#This Row],[Contract_Price]]),1,0)</f>
        <v>0</v>
      </c>
      <c r="T3103">
        <f>IF(AND(NOT(ISBLANK(ReconciliationData[[#This Row],[End_Date]])),ReconciliationData[[#This Row],[Order_Date]]&gt;ReconciliationData[[#This Row],[End_Date]]),1,0)</f>
        <v>0</v>
      </c>
      <c r="U3103">
        <f>IF(AND(NOT(ISBLANK(ReconciliationData[[#This Row],[last_return_date]])),ReconciliationData[[#This Row],[last_return_date]]&gt;ReconciliationData[[#This Row],[Order_Date]]+60),1,0)</f>
        <v>0</v>
      </c>
      <c r="V3103">
        <f>IF(ReconciliationData[[#This Row],[total_returned_units]]&gt;ReconciliationData[[#This Row],[ordered_units]],1,0)</f>
        <v>0</v>
      </c>
      <c r="W31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3">
        <f>ReconciliationData[[#This Row],[Billed_Units]]*ReconciliationData[[#This Row],[Billed_Price]]</f>
        <v>60923.24</v>
      </c>
      <c r="Y3103">
        <f>ReconciliationData[[#This Row],[ordered_units]]*ReconciliationData[[#This Row],[List_Price]]</f>
        <v>60923.24</v>
      </c>
      <c r="Z3103">
        <f>ReconciliationData[[#This Row],[billed_revenue]]-ReconciliationData[[#This Row],[expected_revenue]]</f>
        <v>0</v>
      </c>
      <c r="AA31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3" t="str">
        <f>IF(ReconciliationData[[#This Row],[severity_score]]=0,"LOW",
 IF(ReconciliationData[[#This Row],[severity_score]]&lt;=5,"MEDIUM","HIGH"))</f>
        <v>LOW</v>
      </c>
      <c r="AC3103" t="str">
        <f>TEXT(ReconciliationData[[#This Row],[Order_Date]],"YYYY-MM")</f>
        <v>2024-02</v>
      </c>
    </row>
    <row r="3104" spans="1:29">
      <c r="A3104" t="s">
        <v>7421</v>
      </c>
      <c r="B3104" s="1">
        <v>45653</v>
      </c>
      <c r="C3104" t="s">
        <v>3993</v>
      </c>
      <c r="D3104" t="s">
        <v>556</v>
      </c>
      <c r="E3104">
        <v>160</v>
      </c>
      <c r="F3104" t="s">
        <v>7422</v>
      </c>
      <c r="G3104">
        <v>160</v>
      </c>
      <c r="H3104">
        <v>664.57040000000006</v>
      </c>
      <c r="N3104">
        <v>664.57040000000006</v>
      </c>
      <c r="O3104" s="1">
        <v>45066</v>
      </c>
      <c r="P3104">
        <f>IF(ISBLANK(ReconciliationData[[#This Row],[Invoice_ID]]),1,0)</f>
        <v>0</v>
      </c>
      <c r="Q3104">
        <f>IF(AND(NOT(ISBLANK(ReconciliationData[[#This Row],[Billed_Units]])),ReconciliationData[[#This Row],[ordered_units]]&lt;&gt;ReconciliationData[[#This Row],[Billed_Units]]),1,0)</f>
        <v>0</v>
      </c>
      <c r="R31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4">
        <f>IF(AND(NOT(ISBLANK(ReconciliationData[[#This Row],[Contract_Price]])),ReconciliationData[[#This Row],[Billed_Price]]&lt;&gt;ReconciliationData[[#This Row],[Contract_Price]]),1,0)</f>
        <v>0</v>
      </c>
      <c r="T3104">
        <f>IF(AND(NOT(ISBLANK(ReconciliationData[[#This Row],[End_Date]])),ReconciliationData[[#This Row],[Order_Date]]&gt;ReconciliationData[[#This Row],[End_Date]]),1,0)</f>
        <v>0</v>
      </c>
      <c r="U3104">
        <f>IF(AND(NOT(ISBLANK(ReconciliationData[[#This Row],[last_return_date]])),ReconciliationData[[#This Row],[last_return_date]]&gt;ReconciliationData[[#This Row],[Order_Date]]+60),1,0)</f>
        <v>0</v>
      </c>
      <c r="V3104">
        <f>IF(ReconciliationData[[#This Row],[total_returned_units]]&gt;ReconciliationData[[#This Row],[ordered_units]],1,0)</f>
        <v>0</v>
      </c>
      <c r="W31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4">
        <f>ReconciliationData[[#This Row],[Billed_Units]]*ReconciliationData[[#This Row],[Billed_Price]]</f>
        <v>106331.26400000001</v>
      </c>
      <c r="Y3104">
        <f>ReconciliationData[[#This Row],[ordered_units]]*ReconciliationData[[#This Row],[List_Price]]</f>
        <v>106331.26400000001</v>
      </c>
      <c r="Z3104">
        <f>ReconciliationData[[#This Row],[billed_revenue]]-ReconciliationData[[#This Row],[expected_revenue]]</f>
        <v>0</v>
      </c>
      <c r="AA31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4" t="str">
        <f>IF(ReconciliationData[[#This Row],[severity_score]]=0,"LOW",
 IF(ReconciliationData[[#This Row],[severity_score]]&lt;=5,"MEDIUM","HIGH"))</f>
        <v>LOW</v>
      </c>
      <c r="AC3104" t="str">
        <f>TEXT(ReconciliationData[[#This Row],[Order_Date]],"YYYY-MM")</f>
        <v>2024-12</v>
      </c>
    </row>
    <row r="3105" spans="1:29">
      <c r="A3105" t="s">
        <v>7423</v>
      </c>
      <c r="B3105" s="1">
        <v>45530</v>
      </c>
      <c r="C3105" t="s">
        <v>4256</v>
      </c>
      <c r="D3105" t="s">
        <v>434</v>
      </c>
      <c r="E3105">
        <v>184</v>
      </c>
      <c r="F3105" t="s">
        <v>7424</v>
      </c>
      <c r="G3105">
        <v>184</v>
      </c>
      <c r="H3105">
        <v>68.572800000000001</v>
      </c>
      <c r="N3105">
        <v>68.572800000000001</v>
      </c>
      <c r="O3105" s="1">
        <v>45098</v>
      </c>
      <c r="P3105">
        <f>IF(ISBLANK(ReconciliationData[[#This Row],[Invoice_ID]]),1,0)</f>
        <v>0</v>
      </c>
      <c r="Q3105">
        <f>IF(AND(NOT(ISBLANK(ReconciliationData[[#This Row],[Billed_Units]])),ReconciliationData[[#This Row],[ordered_units]]&lt;&gt;ReconciliationData[[#This Row],[Billed_Units]]),1,0)</f>
        <v>0</v>
      </c>
      <c r="R31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5">
        <f>IF(AND(NOT(ISBLANK(ReconciliationData[[#This Row],[Contract_Price]])),ReconciliationData[[#This Row],[Billed_Price]]&lt;&gt;ReconciliationData[[#This Row],[Contract_Price]]),1,0)</f>
        <v>0</v>
      </c>
      <c r="T3105">
        <f>IF(AND(NOT(ISBLANK(ReconciliationData[[#This Row],[End_Date]])),ReconciliationData[[#This Row],[Order_Date]]&gt;ReconciliationData[[#This Row],[End_Date]]),1,0)</f>
        <v>0</v>
      </c>
      <c r="U3105">
        <f>IF(AND(NOT(ISBLANK(ReconciliationData[[#This Row],[last_return_date]])),ReconciliationData[[#This Row],[last_return_date]]&gt;ReconciliationData[[#This Row],[Order_Date]]+60),1,0)</f>
        <v>0</v>
      </c>
      <c r="V3105">
        <f>IF(ReconciliationData[[#This Row],[total_returned_units]]&gt;ReconciliationData[[#This Row],[ordered_units]],1,0)</f>
        <v>0</v>
      </c>
      <c r="W31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5">
        <f>ReconciliationData[[#This Row],[Billed_Units]]*ReconciliationData[[#This Row],[Billed_Price]]</f>
        <v>12617.395200000001</v>
      </c>
      <c r="Y3105">
        <f>ReconciliationData[[#This Row],[ordered_units]]*ReconciliationData[[#This Row],[List_Price]]</f>
        <v>12617.395200000001</v>
      </c>
      <c r="Z3105">
        <f>ReconciliationData[[#This Row],[billed_revenue]]-ReconciliationData[[#This Row],[expected_revenue]]</f>
        <v>0</v>
      </c>
      <c r="AA31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5" t="str">
        <f>IF(ReconciliationData[[#This Row],[severity_score]]=0,"LOW",
 IF(ReconciliationData[[#This Row],[severity_score]]&lt;=5,"MEDIUM","HIGH"))</f>
        <v>LOW</v>
      </c>
      <c r="AC3105" t="str">
        <f>TEXT(ReconciliationData[[#This Row],[Order_Date]],"YYYY-MM")</f>
        <v>2024-08</v>
      </c>
    </row>
    <row r="3106" spans="1:29">
      <c r="A3106" t="s">
        <v>7425</v>
      </c>
      <c r="B3106" s="1">
        <v>44991</v>
      </c>
      <c r="C3106" t="s">
        <v>3193</v>
      </c>
      <c r="D3106" t="s">
        <v>1238</v>
      </c>
      <c r="E3106">
        <v>82</v>
      </c>
      <c r="F3106" t="s">
        <v>7426</v>
      </c>
      <c r="G3106">
        <v>82</v>
      </c>
      <c r="H3106">
        <v>312.55</v>
      </c>
      <c r="N3106">
        <v>312.55</v>
      </c>
      <c r="O3106" s="1">
        <v>44942</v>
      </c>
      <c r="P3106">
        <f>IF(ISBLANK(ReconciliationData[[#This Row],[Invoice_ID]]),1,0)</f>
        <v>0</v>
      </c>
      <c r="Q3106">
        <f>IF(AND(NOT(ISBLANK(ReconciliationData[[#This Row],[Billed_Units]])),ReconciliationData[[#This Row],[ordered_units]]&lt;&gt;ReconciliationData[[#This Row],[Billed_Units]]),1,0)</f>
        <v>0</v>
      </c>
      <c r="R31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6">
        <f>IF(AND(NOT(ISBLANK(ReconciliationData[[#This Row],[Contract_Price]])),ReconciliationData[[#This Row],[Billed_Price]]&lt;&gt;ReconciliationData[[#This Row],[Contract_Price]]),1,0)</f>
        <v>0</v>
      </c>
      <c r="T3106">
        <f>IF(AND(NOT(ISBLANK(ReconciliationData[[#This Row],[End_Date]])),ReconciliationData[[#This Row],[Order_Date]]&gt;ReconciliationData[[#This Row],[End_Date]]),1,0)</f>
        <v>0</v>
      </c>
      <c r="U3106">
        <f>IF(AND(NOT(ISBLANK(ReconciliationData[[#This Row],[last_return_date]])),ReconciliationData[[#This Row],[last_return_date]]&gt;ReconciliationData[[#This Row],[Order_Date]]+60),1,0)</f>
        <v>0</v>
      </c>
      <c r="V3106">
        <f>IF(ReconciliationData[[#This Row],[total_returned_units]]&gt;ReconciliationData[[#This Row],[ordered_units]],1,0)</f>
        <v>0</v>
      </c>
      <c r="W31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6">
        <f>ReconciliationData[[#This Row],[Billed_Units]]*ReconciliationData[[#This Row],[Billed_Price]]</f>
        <v>25629.100000000002</v>
      </c>
      <c r="Y3106">
        <f>ReconciliationData[[#This Row],[ordered_units]]*ReconciliationData[[#This Row],[List_Price]]</f>
        <v>25629.100000000002</v>
      </c>
      <c r="Z3106">
        <f>ReconciliationData[[#This Row],[billed_revenue]]-ReconciliationData[[#This Row],[expected_revenue]]</f>
        <v>0</v>
      </c>
      <c r="AA31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6" t="str">
        <f>IF(ReconciliationData[[#This Row],[severity_score]]=0,"LOW",
 IF(ReconciliationData[[#This Row],[severity_score]]&lt;=5,"MEDIUM","HIGH"))</f>
        <v>LOW</v>
      </c>
      <c r="AC3106" t="str">
        <f>TEXT(ReconciliationData[[#This Row],[Order_Date]],"YYYY-MM")</f>
        <v>2023-03</v>
      </c>
    </row>
    <row r="3107" spans="1:29">
      <c r="A3107" t="s">
        <v>7427</v>
      </c>
      <c r="B3107" s="1">
        <v>44992</v>
      </c>
      <c r="C3107" t="s">
        <v>3744</v>
      </c>
      <c r="D3107" t="s">
        <v>1945</v>
      </c>
      <c r="E3107">
        <v>116</v>
      </c>
      <c r="F3107" t="s">
        <v>7428</v>
      </c>
      <c r="G3107">
        <v>116</v>
      </c>
      <c r="H3107">
        <v>1178.6880000000001</v>
      </c>
      <c r="N3107">
        <v>1178.6880000000001</v>
      </c>
      <c r="O3107" s="1">
        <v>44930</v>
      </c>
      <c r="P3107">
        <f>IF(ISBLANK(ReconciliationData[[#This Row],[Invoice_ID]]),1,0)</f>
        <v>0</v>
      </c>
      <c r="Q3107">
        <f>IF(AND(NOT(ISBLANK(ReconciliationData[[#This Row],[Billed_Units]])),ReconciliationData[[#This Row],[ordered_units]]&lt;&gt;ReconciliationData[[#This Row],[Billed_Units]]),1,0)</f>
        <v>0</v>
      </c>
      <c r="R31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7">
        <f>IF(AND(NOT(ISBLANK(ReconciliationData[[#This Row],[Contract_Price]])),ReconciliationData[[#This Row],[Billed_Price]]&lt;&gt;ReconciliationData[[#This Row],[Contract_Price]]),1,0)</f>
        <v>0</v>
      </c>
      <c r="T3107">
        <f>IF(AND(NOT(ISBLANK(ReconciliationData[[#This Row],[End_Date]])),ReconciliationData[[#This Row],[Order_Date]]&gt;ReconciliationData[[#This Row],[End_Date]]),1,0)</f>
        <v>0</v>
      </c>
      <c r="U3107">
        <f>IF(AND(NOT(ISBLANK(ReconciliationData[[#This Row],[last_return_date]])),ReconciliationData[[#This Row],[last_return_date]]&gt;ReconciliationData[[#This Row],[Order_Date]]+60),1,0)</f>
        <v>0</v>
      </c>
      <c r="V3107">
        <f>IF(ReconciliationData[[#This Row],[total_returned_units]]&gt;ReconciliationData[[#This Row],[ordered_units]],1,0)</f>
        <v>0</v>
      </c>
      <c r="W31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7">
        <f>ReconciliationData[[#This Row],[Billed_Units]]*ReconciliationData[[#This Row],[Billed_Price]]</f>
        <v>136727.80800000002</v>
      </c>
      <c r="Y3107">
        <f>ReconciliationData[[#This Row],[ordered_units]]*ReconciliationData[[#This Row],[List_Price]]</f>
        <v>136727.80800000002</v>
      </c>
      <c r="Z3107">
        <f>ReconciliationData[[#This Row],[billed_revenue]]-ReconciliationData[[#This Row],[expected_revenue]]</f>
        <v>0</v>
      </c>
      <c r="AA31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7" t="str">
        <f>IF(ReconciliationData[[#This Row],[severity_score]]=0,"LOW",
 IF(ReconciliationData[[#This Row],[severity_score]]&lt;=5,"MEDIUM","HIGH"))</f>
        <v>LOW</v>
      </c>
      <c r="AC3107" t="str">
        <f>TEXT(ReconciliationData[[#This Row],[Order_Date]],"YYYY-MM")</f>
        <v>2023-03</v>
      </c>
    </row>
    <row r="3108" spans="1:29">
      <c r="A3108" t="s">
        <v>7429</v>
      </c>
      <c r="B3108" s="1">
        <v>45282</v>
      </c>
      <c r="C3108" t="s">
        <v>1444</v>
      </c>
      <c r="D3108" t="s">
        <v>1542</v>
      </c>
      <c r="E3108">
        <v>11</v>
      </c>
      <c r="F3108" t="s">
        <v>7430</v>
      </c>
      <c r="G3108">
        <v>11</v>
      </c>
      <c r="H3108">
        <v>402.05340000000001</v>
      </c>
      <c r="N3108">
        <v>402.05340000000001</v>
      </c>
      <c r="O3108" s="1">
        <v>45214</v>
      </c>
      <c r="P3108">
        <f>IF(ISBLANK(ReconciliationData[[#This Row],[Invoice_ID]]),1,0)</f>
        <v>0</v>
      </c>
      <c r="Q3108">
        <f>IF(AND(NOT(ISBLANK(ReconciliationData[[#This Row],[Billed_Units]])),ReconciliationData[[#This Row],[ordered_units]]&lt;&gt;ReconciliationData[[#This Row],[Billed_Units]]),1,0)</f>
        <v>0</v>
      </c>
      <c r="R31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8">
        <f>IF(AND(NOT(ISBLANK(ReconciliationData[[#This Row],[Contract_Price]])),ReconciliationData[[#This Row],[Billed_Price]]&lt;&gt;ReconciliationData[[#This Row],[Contract_Price]]),1,0)</f>
        <v>0</v>
      </c>
      <c r="T3108">
        <f>IF(AND(NOT(ISBLANK(ReconciliationData[[#This Row],[End_Date]])),ReconciliationData[[#This Row],[Order_Date]]&gt;ReconciliationData[[#This Row],[End_Date]]),1,0)</f>
        <v>0</v>
      </c>
      <c r="U3108">
        <f>IF(AND(NOT(ISBLANK(ReconciliationData[[#This Row],[last_return_date]])),ReconciliationData[[#This Row],[last_return_date]]&gt;ReconciliationData[[#This Row],[Order_Date]]+60),1,0)</f>
        <v>0</v>
      </c>
      <c r="V3108">
        <f>IF(ReconciliationData[[#This Row],[total_returned_units]]&gt;ReconciliationData[[#This Row],[ordered_units]],1,0)</f>
        <v>0</v>
      </c>
      <c r="W31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8">
        <f>ReconciliationData[[#This Row],[Billed_Units]]*ReconciliationData[[#This Row],[Billed_Price]]</f>
        <v>4422.5874000000003</v>
      </c>
      <c r="Y3108">
        <f>ReconciliationData[[#This Row],[ordered_units]]*ReconciliationData[[#This Row],[List_Price]]</f>
        <v>4422.5874000000003</v>
      </c>
      <c r="Z3108">
        <f>ReconciliationData[[#This Row],[billed_revenue]]-ReconciliationData[[#This Row],[expected_revenue]]</f>
        <v>0</v>
      </c>
      <c r="AA31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8" t="str">
        <f>IF(ReconciliationData[[#This Row],[severity_score]]=0,"LOW",
 IF(ReconciliationData[[#This Row],[severity_score]]&lt;=5,"MEDIUM","HIGH"))</f>
        <v>LOW</v>
      </c>
      <c r="AC3108" t="str">
        <f>TEXT(ReconciliationData[[#This Row],[Order_Date]],"YYYY-MM")</f>
        <v>2023-12</v>
      </c>
    </row>
    <row r="3109" spans="1:29">
      <c r="A3109" t="s">
        <v>7431</v>
      </c>
      <c r="B3109" s="1">
        <v>45312</v>
      </c>
      <c r="C3109" t="s">
        <v>1498</v>
      </c>
      <c r="D3109" t="s">
        <v>1411</v>
      </c>
      <c r="E3109">
        <v>60</v>
      </c>
      <c r="F3109" t="s">
        <v>7432</v>
      </c>
      <c r="G3109">
        <v>60</v>
      </c>
      <c r="H3109">
        <v>1167.9120000000005</v>
      </c>
      <c r="N3109">
        <v>1167.9120000000005</v>
      </c>
      <c r="O3109" s="1">
        <v>45019</v>
      </c>
      <c r="P3109">
        <f>IF(ISBLANK(ReconciliationData[[#This Row],[Invoice_ID]]),1,0)</f>
        <v>0</v>
      </c>
      <c r="Q3109">
        <f>IF(AND(NOT(ISBLANK(ReconciliationData[[#This Row],[Billed_Units]])),ReconciliationData[[#This Row],[ordered_units]]&lt;&gt;ReconciliationData[[#This Row],[Billed_Units]]),1,0)</f>
        <v>0</v>
      </c>
      <c r="R31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09">
        <f>IF(AND(NOT(ISBLANK(ReconciliationData[[#This Row],[Contract_Price]])),ReconciliationData[[#This Row],[Billed_Price]]&lt;&gt;ReconciliationData[[#This Row],[Contract_Price]]),1,0)</f>
        <v>0</v>
      </c>
      <c r="T3109">
        <f>IF(AND(NOT(ISBLANK(ReconciliationData[[#This Row],[End_Date]])),ReconciliationData[[#This Row],[Order_Date]]&gt;ReconciliationData[[#This Row],[End_Date]]),1,0)</f>
        <v>0</v>
      </c>
      <c r="U3109">
        <f>IF(AND(NOT(ISBLANK(ReconciliationData[[#This Row],[last_return_date]])),ReconciliationData[[#This Row],[last_return_date]]&gt;ReconciliationData[[#This Row],[Order_Date]]+60),1,0)</f>
        <v>0</v>
      </c>
      <c r="V3109">
        <f>IF(ReconciliationData[[#This Row],[total_returned_units]]&gt;ReconciliationData[[#This Row],[ordered_units]],1,0)</f>
        <v>0</v>
      </c>
      <c r="W31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09">
        <f>ReconciliationData[[#This Row],[Billed_Units]]*ReconciliationData[[#This Row],[Billed_Price]]</f>
        <v>70074.72000000003</v>
      </c>
      <c r="Y3109">
        <f>ReconciliationData[[#This Row],[ordered_units]]*ReconciliationData[[#This Row],[List_Price]]</f>
        <v>70074.72000000003</v>
      </c>
      <c r="Z3109">
        <f>ReconciliationData[[#This Row],[billed_revenue]]-ReconciliationData[[#This Row],[expected_revenue]]</f>
        <v>0</v>
      </c>
      <c r="AA31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09" t="str">
        <f>IF(ReconciliationData[[#This Row],[severity_score]]=0,"LOW",
 IF(ReconciliationData[[#This Row],[severity_score]]&lt;=5,"MEDIUM","HIGH"))</f>
        <v>LOW</v>
      </c>
      <c r="AC3109" t="str">
        <f>TEXT(ReconciliationData[[#This Row],[Order_Date]],"YYYY-MM")</f>
        <v>2024-01</v>
      </c>
    </row>
    <row r="3110" spans="1:29">
      <c r="A3110" t="s">
        <v>7433</v>
      </c>
      <c r="B3110" s="1">
        <v>45591</v>
      </c>
      <c r="C3110" t="s">
        <v>6156</v>
      </c>
      <c r="D3110" t="s">
        <v>1362</v>
      </c>
      <c r="E3110">
        <v>193</v>
      </c>
      <c r="F3110" t="s">
        <v>7434</v>
      </c>
      <c r="G3110">
        <v>193</v>
      </c>
      <c r="H3110">
        <v>82.749600000000015</v>
      </c>
      <c r="N3110">
        <v>82.749600000000015</v>
      </c>
      <c r="O3110" s="1">
        <v>45068</v>
      </c>
      <c r="P3110">
        <f>IF(ISBLANK(ReconciliationData[[#This Row],[Invoice_ID]]),1,0)</f>
        <v>0</v>
      </c>
      <c r="Q3110">
        <f>IF(AND(NOT(ISBLANK(ReconciliationData[[#This Row],[Billed_Units]])),ReconciliationData[[#This Row],[ordered_units]]&lt;&gt;ReconciliationData[[#This Row],[Billed_Units]]),1,0)</f>
        <v>0</v>
      </c>
      <c r="R31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0">
        <f>IF(AND(NOT(ISBLANK(ReconciliationData[[#This Row],[Contract_Price]])),ReconciliationData[[#This Row],[Billed_Price]]&lt;&gt;ReconciliationData[[#This Row],[Contract_Price]]),1,0)</f>
        <v>0</v>
      </c>
      <c r="T3110">
        <f>IF(AND(NOT(ISBLANK(ReconciliationData[[#This Row],[End_Date]])),ReconciliationData[[#This Row],[Order_Date]]&gt;ReconciliationData[[#This Row],[End_Date]]),1,0)</f>
        <v>0</v>
      </c>
      <c r="U3110">
        <f>IF(AND(NOT(ISBLANK(ReconciliationData[[#This Row],[last_return_date]])),ReconciliationData[[#This Row],[last_return_date]]&gt;ReconciliationData[[#This Row],[Order_Date]]+60),1,0)</f>
        <v>0</v>
      </c>
      <c r="V3110">
        <f>IF(ReconciliationData[[#This Row],[total_returned_units]]&gt;ReconciliationData[[#This Row],[ordered_units]],1,0)</f>
        <v>0</v>
      </c>
      <c r="W31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10">
        <f>ReconciliationData[[#This Row],[Billed_Units]]*ReconciliationData[[#This Row],[Billed_Price]]</f>
        <v>15970.672800000002</v>
      </c>
      <c r="Y3110">
        <f>ReconciliationData[[#This Row],[ordered_units]]*ReconciliationData[[#This Row],[List_Price]]</f>
        <v>15970.672800000002</v>
      </c>
      <c r="Z3110">
        <f>ReconciliationData[[#This Row],[billed_revenue]]-ReconciliationData[[#This Row],[expected_revenue]]</f>
        <v>0</v>
      </c>
      <c r="AA31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10" t="str">
        <f>IF(ReconciliationData[[#This Row],[severity_score]]=0,"LOW",
 IF(ReconciliationData[[#This Row],[severity_score]]&lt;=5,"MEDIUM","HIGH"))</f>
        <v>LOW</v>
      </c>
      <c r="AC3110" t="str">
        <f>TEXT(ReconciliationData[[#This Row],[Order_Date]],"YYYY-MM")</f>
        <v>2024-10</v>
      </c>
    </row>
    <row r="3111" spans="1:29">
      <c r="A3111" t="s">
        <v>7435</v>
      </c>
      <c r="B3111" s="1">
        <v>44969</v>
      </c>
      <c r="C3111" t="s">
        <v>3296</v>
      </c>
      <c r="D3111" t="s">
        <v>178</v>
      </c>
      <c r="E3111">
        <v>135</v>
      </c>
      <c r="F3111" t="s">
        <v>7436</v>
      </c>
      <c r="G3111">
        <v>135</v>
      </c>
      <c r="H3111">
        <v>634.76160000000004</v>
      </c>
      <c r="I3111">
        <v>1</v>
      </c>
      <c r="J3111" s="1">
        <v>45622</v>
      </c>
      <c r="N3111">
        <v>634.76160000000004</v>
      </c>
      <c r="O3111" s="1">
        <v>44928</v>
      </c>
      <c r="P3111">
        <f>IF(ISBLANK(ReconciliationData[[#This Row],[Invoice_ID]]),1,0)</f>
        <v>0</v>
      </c>
      <c r="Q3111">
        <f>IF(AND(NOT(ISBLANK(ReconciliationData[[#This Row],[Billed_Units]])),ReconciliationData[[#This Row],[ordered_units]]&lt;&gt;ReconciliationData[[#This Row],[Billed_Units]]),1,0)</f>
        <v>0</v>
      </c>
      <c r="R31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1">
        <f>IF(AND(NOT(ISBLANK(ReconciliationData[[#This Row],[Contract_Price]])),ReconciliationData[[#This Row],[Billed_Price]]&lt;&gt;ReconciliationData[[#This Row],[Contract_Price]]),1,0)</f>
        <v>0</v>
      </c>
      <c r="T3111">
        <f>IF(AND(NOT(ISBLANK(ReconciliationData[[#This Row],[End_Date]])),ReconciliationData[[#This Row],[Order_Date]]&gt;ReconciliationData[[#This Row],[End_Date]]),1,0)</f>
        <v>0</v>
      </c>
      <c r="U3111">
        <f>IF(AND(NOT(ISBLANK(ReconciliationData[[#This Row],[last_return_date]])),ReconciliationData[[#This Row],[last_return_date]]&gt;ReconciliationData[[#This Row],[Order_Date]]+60),1,0)</f>
        <v>1</v>
      </c>
      <c r="V3111">
        <f>IF(ReconciliationData[[#This Row],[total_returned_units]]&gt;ReconciliationData[[#This Row],[ordered_units]],1,0)</f>
        <v>0</v>
      </c>
      <c r="W31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11">
        <f>ReconciliationData[[#This Row],[Billed_Units]]*ReconciliationData[[#This Row],[Billed_Price]]</f>
        <v>85692.816000000006</v>
      </c>
      <c r="Y3111">
        <f>ReconciliationData[[#This Row],[ordered_units]]*ReconciliationData[[#This Row],[List_Price]]</f>
        <v>85692.816000000006</v>
      </c>
      <c r="Z3111">
        <f>ReconciliationData[[#This Row],[billed_revenue]]-ReconciliationData[[#This Row],[expected_revenue]]</f>
        <v>0</v>
      </c>
      <c r="AA31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111" t="str">
        <f>IF(ReconciliationData[[#This Row],[severity_score]]=0,"LOW",
 IF(ReconciliationData[[#This Row],[severity_score]]&lt;=5,"MEDIUM","HIGH"))</f>
        <v>MEDIUM</v>
      </c>
      <c r="AC3111" t="str">
        <f>TEXT(ReconciliationData[[#This Row],[Order_Date]],"YYYY-MM")</f>
        <v>2023-02</v>
      </c>
    </row>
    <row r="3112" spans="1:29">
      <c r="A3112" t="s">
        <v>7437</v>
      </c>
      <c r="B3112" s="1">
        <v>45254</v>
      </c>
      <c r="C3112" t="s">
        <v>2389</v>
      </c>
      <c r="D3112" t="s">
        <v>1061</v>
      </c>
      <c r="E3112">
        <v>136</v>
      </c>
      <c r="F3112" t="s">
        <v>7438</v>
      </c>
      <c r="G3112">
        <v>136</v>
      </c>
      <c r="H3112">
        <v>79.105599999999995</v>
      </c>
      <c r="N3112">
        <v>79.105599999999995</v>
      </c>
      <c r="O3112" s="1">
        <v>45204</v>
      </c>
      <c r="P3112">
        <f>IF(ISBLANK(ReconciliationData[[#This Row],[Invoice_ID]]),1,0)</f>
        <v>0</v>
      </c>
      <c r="Q3112">
        <f>IF(AND(NOT(ISBLANK(ReconciliationData[[#This Row],[Billed_Units]])),ReconciliationData[[#This Row],[ordered_units]]&lt;&gt;ReconciliationData[[#This Row],[Billed_Units]]),1,0)</f>
        <v>0</v>
      </c>
      <c r="R31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2">
        <f>IF(AND(NOT(ISBLANK(ReconciliationData[[#This Row],[Contract_Price]])),ReconciliationData[[#This Row],[Billed_Price]]&lt;&gt;ReconciliationData[[#This Row],[Contract_Price]]),1,0)</f>
        <v>0</v>
      </c>
      <c r="T3112">
        <f>IF(AND(NOT(ISBLANK(ReconciliationData[[#This Row],[End_Date]])),ReconciliationData[[#This Row],[Order_Date]]&gt;ReconciliationData[[#This Row],[End_Date]]),1,0)</f>
        <v>0</v>
      </c>
      <c r="U3112">
        <f>IF(AND(NOT(ISBLANK(ReconciliationData[[#This Row],[last_return_date]])),ReconciliationData[[#This Row],[last_return_date]]&gt;ReconciliationData[[#This Row],[Order_Date]]+60),1,0)</f>
        <v>0</v>
      </c>
      <c r="V3112">
        <f>IF(ReconciliationData[[#This Row],[total_returned_units]]&gt;ReconciliationData[[#This Row],[ordered_units]],1,0)</f>
        <v>0</v>
      </c>
      <c r="W31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12">
        <f>ReconciliationData[[#This Row],[Billed_Units]]*ReconciliationData[[#This Row],[Billed_Price]]</f>
        <v>10758.3616</v>
      </c>
      <c r="Y3112">
        <f>ReconciliationData[[#This Row],[ordered_units]]*ReconciliationData[[#This Row],[List_Price]]</f>
        <v>10758.3616</v>
      </c>
      <c r="Z3112">
        <f>ReconciliationData[[#This Row],[billed_revenue]]-ReconciliationData[[#This Row],[expected_revenue]]</f>
        <v>0</v>
      </c>
      <c r="AA31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12" t="str">
        <f>IF(ReconciliationData[[#This Row],[severity_score]]=0,"LOW",
 IF(ReconciliationData[[#This Row],[severity_score]]&lt;=5,"MEDIUM","HIGH"))</f>
        <v>LOW</v>
      </c>
      <c r="AC3112" t="str">
        <f>TEXT(ReconciliationData[[#This Row],[Order_Date]],"YYYY-MM")</f>
        <v>2023-11</v>
      </c>
    </row>
    <row r="3113" spans="1:29">
      <c r="A3113" t="s">
        <v>7439</v>
      </c>
      <c r="B3113" s="1">
        <v>45015</v>
      </c>
      <c r="C3113" t="s">
        <v>2302</v>
      </c>
      <c r="D3113" t="s">
        <v>2853</v>
      </c>
      <c r="E3113">
        <v>107</v>
      </c>
      <c r="F3113" t="s">
        <v>7440</v>
      </c>
      <c r="G3113">
        <v>107</v>
      </c>
      <c r="H3113">
        <v>272.97059999999999</v>
      </c>
      <c r="N3113">
        <v>272.97059999999999</v>
      </c>
      <c r="O3113" s="1">
        <v>44883</v>
      </c>
      <c r="P3113">
        <f>IF(ISBLANK(ReconciliationData[[#This Row],[Invoice_ID]]),1,0)</f>
        <v>0</v>
      </c>
      <c r="Q3113">
        <f>IF(AND(NOT(ISBLANK(ReconciliationData[[#This Row],[Billed_Units]])),ReconciliationData[[#This Row],[ordered_units]]&lt;&gt;ReconciliationData[[#This Row],[Billed_Units]]),1,0)</f>
        <v>0</v>
      </c>
      <c r="R31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3">
        <f>IF(AND(NOT(ISBLANK(ReconciliationData[[#This Row],[Contract_Price]])),ReconciliationData[[#This Row],[Billed_Price]]&lt;&gt;ReconciliationData[[#This Row],[Contract_Price]]),1,0)</f>
        <v>0</v>
      </c>
      <c r="T3113">
        <f>IF(AND(NOT(ISBLANK(ReconciliationData[[#This Row],[End_Date]])),ReconciliationData[[#This Row],[Order_Date]]&gt;ReconciliationData[[#This Row],[End_Date]]),1,0)</f>
        <v>0</v>
      </c>
      <c r="U3113">
        <f>IF(AND(NOT(ISBLANK(ReconciliationData[[#This Row],[last_return_date]])),ReconciliationData[[#This Row],[last_return_date]]&gt;ReconciliationData[[#This Row],[Order_Date]]+60),1,0)</f>
        <v>0</v>
      </c>
      <c r="V3113">
        <f>IF(ReconciliationData[[#This Row],[total_returned_units]]&gt;ReconciliationData[[#This Row],[ordered_units]],1,0)</f>
        <v>0</v>
      </c>
      <c r="W31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13">
        <f>ReconciliationData[[#This Row],[Billed_Units]]*ReconciliationData[[#This Row],[Billed_Price]]</f>
        <v>29207.854199999998</v>
      </c>
      <c r="Y3113">
        <f>ReconciliationData[[#This Row],[ordered_units]]*ReconciliationData[[#This Row],[List_Price]]</f>
        <v>29207.854199999998</v>
      </c>
      <c r="Z3113">
        <f>ReconciliationData[[#This Row],[billed_revenue]]-ReconciliationData[[#This Row],[expected_revenue]]</f>
        <v>0</v>
      </c>
      <c r="AA31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13" t="str">
        <f>IF(ReconciliationData[[#This Row],[severity_score]]=0,"LOW",
 IF(ReconciliationData[[#This Row],[severity_score]]&lt;=5,"MEDIUM","HIGH"))</f>
        <v>LOW</v>
      </c>
      <c r="AC3113" t="str">
        <f>TEXT(ReconciliationData[[#This Row],[Order_Date]],"YYYY-MM")</f>
        <v>2023-03</v>
      </c>
    </row>
    <row r="3114" spans="1:29">
      <c r="A3114" t="s">
        <v>7441</v>
      </c>
      <c r="B3114" s="1">
        <v>45070</v>
      </c>
      <c r="C3114" t="s">
        <v>2349</v>
      </c>
      <c r="D3114" t="s">
        <v>313</v>
      </c>
      <c r="E3114">
        <v>170</v>
      </c>
      <c r="F3114" t="s">
        <v>7442</v>
      </c>
      <c r="G3114">
        <v>170</v>
      </c>
      <c r="H3114">
        <v>1190.6054999999999</v>
      </c>
      <c r="N3114">
        <v>1190.6054999999999</v>
      </c>
      <c r="O3114" s="1">
        <v>44984</v>
      </c>
      <c r="P3114">
        <f>IF(ISBLANK(ReconciliationData[[#This Row],[Invoice_ID]]),1,0)</f>
        <v>0</v>
      </c>
      <c r="Q3114">
        <f>IF(AND(NOT(ISBLANK(ReconciliationData[[#This Row],[Billed_Units]])),ReconciliationData[[#This Row],[ordered_units]]&lt;&gt;ReconciliationData[[#This Row],[Billed_Units]]),1,0)</f>
        <v>0</v>
      </c>
      <c r="R31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4">
        <f>IF(AND(NOT(ISBLANK(ReconciliationData[[#This Row],[Contract_Price]])),ReconciliationData[[#This Row],[Billed_Price]]&lt;&gt;ReconciliationData[[#This Row],[Contract_Price]]),1,0)</f>
        <v>0</v>
      </c>
      <c r="T3114">
        <f>IF(AND(NOT(ISBLANK(ReconciliationData[[#This Row],[End_Date]])),ReconciliationData[[#This Row],[Order_Date]]&gt;ReconciliationData[[#This Row],[End_Date]]),1,0)</f>
        <v>0</v>
      </c>
      <c r="U3114">
        <f>IF(AND(NOT(ISBLANK(ReconciliationData[[#This Row],[last_return_date]])),ReconciliationData[[#This Row],[last_return_date]]&gt;ReconciliationData[[#This Row],[Order_Date]]+60),1,0)</f>
        <v>0</v>
      </c>
      <c r="V3114">
        <f>IF(ReconciliationData[[#This Row],[total_returned_units]]&gt;ReconciliationData[[#This Row],[ordered_units]],1,0)</f>
        <v>0</v>
      </c>
      <c r="W31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14">
        <f>ReconciliationData[[#This Row],[Billed_Units]]*ReconciliationData[[#This Row],[Billed_Price]]</f>
        <v>202402.93499999997</v>
      </c>
      <c r="Y3114">
        <f>ReconciliationData[[#This Row],[ordered_units]]*ReconciliationData[[#This Row],[List_Price]]</f>
        <v>202402.93499999997</v>
      </c>
      <c r="Z3114">
        <f>ReconciliationData[[#This Row],[billed_revenue]]-ReconciliationData[[#This Row],[expected_revenue]]</f>
        <v>0</v>
      </c>
      <c r="AA31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14" t="str">
        <f>IF(ReconciliationData[[#This Row],[severity_score]]=0,"LOW",
 IF(ReconciliationData[[#This Row],[severity_score]]&lt;=5,"MEDIUM","HIGH"))</f>
        <v>LOW</v>
      </c>
      <c r="AC3114" t="str">
        <f>TEXT(ReconciliationData[[#This Row],[Order_Date]],"YYYY-MM")</f>
        <v>2023-05</v>
      </c>
    </row>
    <row r="3115" spans="1:29">
      <c r="A3115" t="s">
        <v>7443</v>
      </c>
      <c r="B3115" s="1">
        <v>45059</v>
      </c>
      <c r="C3115" t="s">
        <v>4096</v>
      </c>
      <c r="D3115" t="s">
        <v>202</v>
      </c>
      <c r="E3115">
        <v>128</v>
      </c>
      <c r="F3115" t="s">
        <v>7444</v>
      </c>
      <c r="G3115">
        <v>128</v>
      </c>
      <c r="H3115">
        <v>696.84799999999996</v>
      </c>
      <c r="I3115">
        <v>20</v>
      </c>
      <c r="J3115" s="1">
        <v>45240</v>
      </c>
      <c r="N3115">
        <v>696.84799999999996</v>
      </c>
      <c r="O3115" s="1">
        <v>44773</v>
      </c>
      <c r="P3115">
        <f>IF(ISBLANK(ReconciliationData[[#This Row],[Invoice_ID]]),1,0)</f>
        <v>0</v>
      </c>
      <c r="Q3115">
        <f>IF(AND(NOT(ISBLANK(ReconciliationData[[#This Row],[Billed_Units]])),ReconciliationData[[#This Row],[ordered_units]]&lt;&gt;ReconciliationData[[#This Row],[Billed_Units]]),1,0)</f>
        <v>0</v>
      </c>
      <c r="R31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5">
        <f>IF(AND(NOT(ISBLANK(ReconciliationData[[#This Row],[Contract_Price]])),ReconciliationData[[#This Row],[Billed_Price]]&lt;&gt;ReconciliationData[[#This Row],[Contract_Price]]),1,0)</f>
        <v>0</v>
      </c>
      <c r="T3115">
        <f>IF(AND(NOT(ISBLANK(ReconciliationData[[#This Row],[End_Date]])),ReconciliationData[[#This Row],[Order_Date]]&gt;ReconciliationData[[#This Row],[End_Date]]),1,0)</f>
        <v>0</v>
      </c>
      <c r="U3115">
        <f>IF(AND(NOT(ISBLANK(ReconciliationData[[#This Row],[last_return_date]])),ReconciliationData[[#This Row],[last_return_date]]&gt;ReconciliationData[[#This Row],[Order_Date]]+60),1,0)</f>
        <v>1</v>
      </c>
      <c r="V3115">
        <f>IF(ReconciliationData[[#This Row],[total_returned_units]]&gt;ReconciliationData[[#This Row],[ordered_units]],1,0)</f>
        <v>0</v>
      </c>
      <c r="W31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15">
        <f>ReconciliationData[[#This Row],[Billed_Units]]*ReconciliationData[[#This Row],[Billed_Price]]</f>
        <v>89196.543999999994</v>
      </c>
      <c r="Y3115">
        <f>ReconciliationData[[#This Row],[ordered_units]]*ReconciliationData[[#This Row],[List_Price]]</f>
        <v>89196.543999999994</v>
      </c>
      <c r="Z3115">
        <f>ReconciliationData[[#This Row],[billed_revenue]]-ReconciliationData[[#This Row],[expected_revenue]]</f>
        <v>0</v>
      </c>
      <c r="AA31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115" t="str">
        <f>IF(ReconciliationData[[#This Row],[severity_score]]=0,"LOW",
 IF(ReconciliationData[[#This Row],[severity_score]]&lt;=5,"MEDIUM","HIGH"))</f>
        <v>MEDIUM</v>
      </c>
      <c r="AC3115" t="str">
        <f>TEXT(ReconciliationData[[#This Row],[Order_Date]],"YYYY-MM")</f>
        <v>2023-05</v>
      </c>
    </row>
    <row r="3116" spans="1:29">
      <c r="A3116" t="s">
        <v>7445</v>
      </c>
      <c r="B3116" s="1">
        <v>44942</v>
      </c>
      <c r="C3116" t="s">
        <v>388</v>
      </c>
      <c r="D3116" t="s">
        <v>461</v>
      </c>
      <c r="E3116">
        <v>100</v>
      </c>
      <c r="F3116" t="s">
        <v>7446</v>
      </c>
      <c r="G3116">
        <v>103</v>
      </c>
      <c r="H3116">
        <v>1218.6930000000002</v>
      </c>
      <c r="N3116">
        <v>1218.6930000000002</v>
      </c>
      <c r="O3116" s="1">
        <v>44926</v>
      </c>
      <c r="P3116">
        <f>IF(ISBLANK(ReconciliationData[[#This Row],[Invoice_ID]]),1,0)</f>
        <v>0</v>
      </c>
      <c r="Q3116">
        <f>IF(AND(NOT(ISBLANK(ReconciliationData[[#This Row],[Billed_Units]])),ReconciliationData[[#This Row],[ordered_units]]&lt;&gt;ReconciliationData[[#This Row],[Billed_Units]]),1,0)</f>
        <v>1</v>
      </c>
      <c r="R31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6">
        <f>IF(AND(NOT(ISBLANK(ReconciliationData[[#This Row],[Contract_Price]])),ReconciliationData[[#This Row],[Billed_Price]]&lt;&gt;ReconciliationData[[#This Row],[Contract_Price]]),1,0)</f>
        <v>0</v>
      </c>
      <c r="T3116">
        <f>IF(AND(NOT(ISBLANK(ReconciliationData[[#This Row],[End_Date]])),ReconciliationData[[#This Row],[Order_Date]]&gt;ReconciliationData[[#This Row],[End_Date]]),1,0)</f>
        <v>0</v>
      </c>
      <c r="U3116">
        <f>IF(AND(NOT(ISBLANK(ReconciliationData[[#This Row],[last_return_date]])),ReconciliationData[[#This Row],[last_return_date]]&gt;ReconciliationData[[#This Row],[Order_Date]]+60),1,0)</f>
        <v>0</v>
      </c>
      <c r="V3116">
        <f>IF(ReconciliationData[[#This Row],[total_returned_units]]&gt;ReconciliationData[[#This Row],[ordered_units]],1,0)</f>
        <v>0</v>
      </c>
      <c r="W31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16">
        <f>ReconciliationData[[#This Row],[Billed_Units]]*ReconciliationData[[#This Row],[Billed_Price]]</f>
        <v>125525.37900000002</v>
      </c>
      <c r="Y3116">
        <f>ReconciliationData[[#This Row],[ordered_units]]*ReconciliationData[[#This Row],[List_Price]]</f>
        <v>121869.30000000002</v>
      </c>
      <c r="Z3116">
        <f>ReconciliationData[[#This Row],[billed_revenue]]-ReconciliationData[[#This Row],[expected_revenue]]</f>
        <v>3656.0789999999979</v>
      </c>
      <c r="AA31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116" t="str">
        <f>IF(ReconciliationData[[#This Row],[severity_score]]=0,"LOW",
 IF(ReconciliationData[[#This Row],[severity_score]]&lt;=5,"MEDIUM","HIGH"))</f>
        <v>HIGH</v>
      </c>
      <c r="AC3116" t="str">
        <f>TEXT(ReconciliationData[[#This Row],[Order_Date]],"YYYY-MM")</f>
        <v>2023-01</v>
      </c>
    </row>
    <row r="3117" spans="1:29">
      <c r="A3117" t="s">
        <v>7447</v>
      </c>
      <c r="B3117" s="1">
        <v>45044</v>
      </c>
      <c r="C3117" t="s">
        <v>933</v>
      </c>
      <c r="D3117" t="s">
        <v>271</v>
      </c>
      <c r="E3117">
        <v>157</v>
      </c>
      <c r="F3117" t="s">
        <v>7448</v>
      </c>
      <c r="G3117">
        <v>157</v>
      </c>
      <c r="H3117">
        <v>54.580199999999998</v>
      </c>
      <c r="N3117">
        <v>54.580199999999998</v>
      </c>
      <c r="O3117" s="1">
        <v>44984</v>
      </c>
      <c r="P3117">
        <f>IF(ISBLANK(ReconciliationData[[#This Row],[Invoice_ID]]),1,0)</f>
        <v>0</v>
      </c>
      <c r="Q3117">
        <f>IF(AND(NOT(ISBLANK(ReconciliationData[[#This Row],[Billed_Units]])),ReconciliationData[[#This Row],[ordered_units]]&lt;&gt;ReconciliationData[[#This Row],[Billed_Units]]),1,0)</f>
        <v>0</v>
      </c>
      <c r="R31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7">
        <f>IF(AND(NOT(ISBLANK(ReconciliationData[[#This Row],[Contract_Price]])),ReconciliationData[[#This Row],[Billed_Price]]&lt;&gt;ReconciliationData[[#This Row],[Contract_Price]]),1,0)</f>
        <v>0</v>
      </c>
      <c r="T3117">
        <f>IF(AND(NOT(ISBLANK(ReconciliationData[[#This Row],[End_Date]])),ReconciliationData[[#This Row],[Order_Date]]&gt;ReconciliationData[[#This Row],[End_Date]]),1,0)</f>
        <v>0</v>
      </c>
      <c r="U3117">
        <f>IF(AND(NOT(ISBLANK(ReconciliationData[[#This Row],[last_return_date]])),ReconciliationData[[#This Row],[last_return_date]]&gt;ReconciliationData[[#This Row],[Order_Date]]+60),1,0)</f>
        <v>0</v>
      </c>
      <c r="V3117">
        <f>IF(ReconciliationData[[#This Row],[total_returned_units]]&gt;ReconciliationData[[#This Row],[ordered_units]],1,0)</f>
        <v>0</v>
      </c>
      <c r="W31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17">
        <f>ReconciliationData[[#This Row],[Billed_Units]]*ReconciliationData[[#This Row],[Billed_Price]]</f>
        <v>8569.0913999999993</v>
      </c>
      <c r="Y3117">
        <f>ReconciliationData[[#This Row],[ordered_units]]*ReconciliationData[[#This Row],[List_Price]]</f>
        <v>8569.0913999999993</v>
      </c>
      <c r="Z3117">
        <f>ReconciliationData[[#This Row],[billed_revenue]]-ReconciliationData[[#This Row],[expected_revenue]]</f>
        <v>0</v>
      </c>
      <c r="AA31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17" t="str">
        <f>IF(ReconciliationData[[#This Row],[severity_score]]=0,"LOW",
 IF(ReconciliationData[[#This Row],[severity_score]]&lt;=5,"MEDIUM","HIGH"))</f>
        <v>LOW</v>
      </c>
      <c r="AC3117" t="str">
        <f>TEXT(ReconciliationData[[#This Row],[Order_Date]],"YYYY-MM")</f>
        <v>2023-04</v>
      </c>
    </row>
    <row r="3118" spans="1:29">
      <c r="A3118" t="s">
        <v>7449</v>
      </c>
      <c r="B3118" s="1">
        <v>45334</v>
      </c>
      <c r="C3118" t="s">
        <v>1357</v>
      </c>
      <c r="D3118" t="s">
        <v>1285</v>
      </c>
      <c r="E3118">
        <v>149</v>
      </c>
      <c r="F3118" t="s">
        <v>7450</v>
      </c>
      <c r="G3118">
        <v>149</v>
      </c>
      <c r="H3118">
        <v>415.8877</v>
      </c>
      <c r="N3118">
        <v>415.8877</v>
      </c>
      <c r="O3118" s="1">
        <v>45146</v>
      </c>
      <c r="P3118">
        <f>IF(ISBLANK(ReconciliationData[[#This Row],[Invoice_ID]]),1,0)</f>
        <v>0</v>
      </c>
      <c r="Q3118">
        <f>IF(AND(NOT(ISBLANK(ReconciliationData[[#This Row],[Billed_Units]])),ReconciliationData[[#This Row],[ordered_units]]&lt;&gt;ReconciliationData[[#This Row],[Billed_Units]]),1,0)</f>
        <v>0</v>
      </c>
      <c r="R31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8">
        <f>IF(AND(NOT(ISBLANK(ReconciliationData[[#This Row],[Contract_Price]])),ReconciliationData[[#This Row],[Billed_Price]]&lt;&gt;ReconciliationData[[#This Row],[Contract_Price]]),1,0)</f>
        <v>0</v>
      </c>
      <c r="T3118">
        <f>IF(AND(NOT(ISBLANK(ReconciliationData[[#This Row],[End_Date]])),ReconciliationData[[#This Row],[Order_Date]]&gt;ReconciliationData[[#This Row],[End_Date]]),1,0)</f>
        <v>0</v>
      </c>
      <c r="U3118">
        <f>IF(AND(NOT(ISBLANK(ReconciliationData[[#This Row],[last_return_date]])),ReconciliationData[[#This Row],[last_return_date]]&gt;ReconciliationData[[#This Row],[Order_Date]]+60),1,0)</f>
        <v>0</v>
      </c>
      <c r="V3118">
        <f>IF(ReconciliationData[[#This Row],[total_returned_units]]&gt;ReconciliationData[[#This Row],[ordered_units]],1,0)</f>
        <v>0</v>
      </c>
      <c r="W31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18">
        <f>ReconciliationData[[#This Row],[Billed_Units]]*ReconciliationData[[#This Row],[Billed_Price]]</f>
        <v>61967.2673</v>
      </c>
      <c r="Y3118">
        <f>ReconciliationData[[#This Row],[ordered_units]]*ReconciliationData[[#This Row],[List_Price]]</f>
        <v>61967.2673</v>
      </c>
      <c r="Z3118">
        <f>ReconciliationData[[#This Row],[billed_revenue]]-ReconciliationData[[#This Row],[expected_revenue]]</f>
        <v>0</v>
      </c>
      <c r="AA31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18" t="str">
        <f>IF(ReconciliationData[[#This Row],[severity_score]]=0,"LOW",
 IF(ReconciliationData[[#This Row],[severity_score]]&lt;=5,"MEDIUM","HIGH"))</f>
        <v>LOW</v>
      </c>
      <c r="AC3118" t="str">
        <f>TEXT(ReconciliationData[[#This Row],[Order_Date]],"YYYY-MM")</f>
        <v>2024-02</v>
      </c>
    </row>
    <row r="3119" spans="1:29">
      <c r="A3119" t="s">
        <v>7451</v>
      </c>
      <c r="B3119" s="1">
        <v>45145</v>
      </c>
      <c r="C3119" t="s">
        <v>177</v>
      </c>
      <c r="D3119" t="s">
        <v>487</v>
      </c>
      <c r="E3119">
        <v>126</v>
      </c>
      <c r="F3119" t="s">
        <v>7452</v>
      </c>
      <c r="G3119">
        <v>126</v>
      </c>
      <c r="H3119">
        <v>285.36900000000003</v>
      </c>
      <c r="N3119">
        <v>285.36900000000003</v>
      </c>
      <c r="O3119" s="1">
        <v>44932</v>
      </c>
      <c r="P3119">
        <f>IF(ISBLANK(ReconciliationData[[#This Row],[Invoice_ID]]),1,0)</f>
        <v>0</v>
      </c>
      <c r="Q3119">
        <f>IF(AND(NOT(ISBLANK(ReconciliationData[[#This Row],[Billed_Units]])),ReconciliationData[[#This Row],[ordered_units]]&lt;&gt;ReconciliationData[[#This Row],[Billed_Units]]),1,0)</f>
        <v>0</v>
      </c>
      <c r="R31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19">
        <f>IF(AND(NOT(ISBLANK(ReconciliationData[[#This Row],[Contract_Price]])),ReconciliationData[[#This Row],[Billed_Price]]&lt;&gt;ReconciliationData[[#This Row],[Contract_Price]]),1,0)</f>
        <v>0</v>
      </c>
      <c r="T3119">
        <f>IF(AND(NOT(ISBLANK(ReconciliationData[[#This Row],[End_Date]])),ReconciliationData[[#This Row],[Order_Date]]&gt;ReconciliationData[[#This Row],[End_Date]]),1,0)</f>
        <v>0</v>
      </c>
      <c r="U3119">
        <f>IF(AND(NOT(ISBLANK(ReconciliationData[[#This Row],[last_return_date]])),ReconciliationData[[#This Row],[last_return_date]]&gt;ReconciliationData[[#This Row],[Order_Date]]+60),1,0)</f>
        <v>0</v>
      </c>
      <c r="V3119">
        <f>IF(ReconciliationData[[#This Row],[total_returned_units]]&gt;ReconciliationData[[#This Row],[ordered_units]],1,0)</f>
        <v>0</v>
      </c>
      <c r="W31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19">
        <f>ReconciliationData[[#This Row],[Billed_Units]]*ReconciliationData[[#This Row],[Billed_Price]]</f>
        <v>35956.494000000006</v>
      </c>
      <c r="Y3119">
        <f>ReconciliationData[[#This Row],[ordered_units]]*ReconciliationData[[#This Row],[List_Price]]</f>
        <v>35956.494000000006</v>
      </c>
      <c r="Z3119">
        <f>ReconciliationData[[#This Row],[billed_revenue]]-ReconciliationData[[#This Row],[expected_revenue]]</f>
        <v>0</v>
      </c>
      <c r="AA31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19" t="str">
        <f>IF(ReconciliationData[[#This Row],[severity_score]]=0,"LOW",
 IF(ReconciliationData[[#This Row],[severity_score]]&lt;=5,"MEDIUM","HIGH"))</f>
        <v>LOW</v>
      </c>
      <c r="AC3119" t="str">
        <f>TEXT(ReconciliationData[[#This Row],[Order_Date]],"YYYY-MM")</f>
        <v>2023-08</v>
      </c>
    </row>
    <row r="3120" spans="1:29">
      <c r="A3120" t="s">
        <v>7453</v>
      </c>
      <c r="B3120" s="1">
        <v>45480</v>
      </c>
      <c r="C3120" t="s">
        <v>3728</v>
      </c>
      <c r="D3120" t="s">
        <v>299</v>
      </c>
      <c r="E3120">
        <v>199</v>
      </c>
      <c r="F3120" t="s">
        <v>7454</v>
      </c>
      <c r="G3120">
        <v>199</v>
      </c>
      <c r="H3120">
        <v>182.4273</v>
      </c>
      <c r="N3120">
        <v>182.4273</v>
      </c>
      <c r="O3120" s="1">
        <v>44989</v>
      </c>
      <c r="P3120">
        <f>IF(ISBLANK(ReconciliationData[[#This Row],[Invoice_ID]]),1,0)</f>
        <v>0</v>
      </c>
      <c r="Q3120">
        <f>IF(AND(NOT(ISBLANK(ReconciliationData[[#This Row],[Billed_Units]])),ReconciliationData[[#This Row],[ordered_units]]&lt;&gt;ReconciliationData[[#This Row],[Billed_Units]]),1,0)</f>
        <v>0</v>
      </c>
      <c r="R31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0">
        <f>IF(AND(NOT(ISBLANK(ReconciliationData[[#This Row],[Contract_Price]])),ReconciliationData[[#This Row],[Billed_Price]]&lt;&gt;ReconciliationData[[#This Row],[Contract_Price]]),1,0)</f>
        <v>0</v>
      </c>
      <c r="T3120">
        <f>IF(AND(NOT(ISBLANK(ReconciliationData[[#This Row],[End_Date]])),ReconciliationData[[#This Row],[Order_Date]]&gt;ReconciliationData[[#This Row],[End_Date]]),1,0)</f>
        <v>0</v>
      </c>
      <c r="U3120">
        <f>IF(AND(NOT(ISBLANK(ReconciliationData[[#This Row],[last_return_date]])),ReconciliationData[[#This Row],[last_return_date]]&gt;ReconciliationData[[#This Row],[Order_Date]]+60),1,0)</f>
        <v>0</v>
      </c>
      <c r="V3120">
        <f>IF(ReconciliationData[[#This Row],[total_returned_units]]&gt;ReconciliationData[[#This Row],[ordered_units]],1,0)</f>
        <v>0</v>
      </c>
      <c r="W31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20">
        <f>ReconciliationData[[#This Row],[Billed_Units]]*ReconciliationData[[#This Row],[Billed_Price]]</f>
        <v>36303.032700000003</v>
      </c>
      <c r="Y3120">
        <f>ReconciliationData[[#This Row],[ordered_units]]*ReconciliationData[[#This Row],[List_Price]]</f>
        <v>36303.032700000003</v>
      </c>
      <c r="Z3120">
        <f>ReconciliationData[[#This Row],[billed_revenue]]-ReconciliationData[[#This Row],[expected_revenue]]</f>
        <v>0</v>
      </c>
      <c r="AA31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20" t="str">
        <f>IF(ReconciliationData[[#This Row],[severity_score]]=0,"LOW",
 IF(ReconciliationData[[#This Row],[severity_score]]&lt;=5,"MEDIUM","HIGH"))</f>
        <v>LOW</v>
      </c>
      <c r="AC3120" t="str">
        <f>TEXT(ReconciliationData[[#This Row],[Order_Date]],"YYYY-MM")</f>
        <v>2024-07</v>
      </c>
    </row>
    <row r="3121" spans="1:29">
      <c r="A3121" t="s">
        <v>7455</v>
      </c>
      <c r="B3121" s="1">
        <v>45569</v>
      </c>
      <c r="C3121" t="s">
        <v>4758</v>
      </c>
      <c r="D3121" t="s">
        <v>271</v>
      </c>
      <c r="E3121">
        <v>2</v>
      </c>
      <c r="F3121" t="s">
        <v>7456</v>
      </c>
      <c r="G3121">
        <v>2</v>
      </c>
      <c r="H3121">
        <v>54.580199999999998</v>
      </c>
      <c r="N3121">
        <v>54.580199999999998</v>
      </c>
      <c r="O3121" s="1">
        <v>44984</v>
      </c>
      <c r="P3121">
        <f>IF(ISBLANK(ReconciliationData[[#This Row],[Invoice_ID]]),1,0)</f>
        <v>0</v>
      </c>
      <c r="Q3121">
        <f>IF(AND(NOT(ISBLANK(ReconciliationData[[#This Row],[Billed_Units]])),ReconciliationData[[#This Row],[ordered_units]]&lt;&gt;ReconciliationData[[#This Row],[Billed_Units]]),1,0)</f>
        <v>0</v>
      </c>
      <c r="R31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1">
        <f>IF(AND(NOT(ISBLANK(ReconciliationData[[#This Row],[Contract_Price]])),ReconciliationData[[#This Row],[Billed_Price]]&lt;&gt;ReconciliationData[[#This Row],[Contract_Price]]),1,0)</f>
        <v>0</v>
      </c>
      <c r="T3121">
        <f>IF(AND(NOT(ISBLANK(ReconciliationData[[#This Row],[End_Date]])),ReconciliationData[[#This Row],[Order_Date]]&gt;ReconciliationData[[#This Row],[End_Date]]),1,0)</f>
        <v>0</v>
      </c>
      <c r="U3121">
        <f>IF(AND(NOT(ISBLANK(ReconciliationData[[#This Row],[last_return_date]])),ReconciliationData[[#This Row],[last_return_date]]&gt;ReconciliationData[[#This Row],[Order_Date]]+60),1,0)</f>
        <v>0</v>
      </c>
      <c r="V3121">
        <f>IF(ReconciliationData[[#This Row],[total_returned_units]]&gt;ReconciliationData[[#This Row],[ordered_units]],1,0)</f>
        <v>0</v>
      </c>
      <c r="W31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21">
        <f>ReconciliationData[[#This Row],[Billed_Units]]*ReconciliationData[[#This Row],[Billed_Price]]</f>
        <v>109.1604</v>
      </c>
      <c r="Y3121">
        <f>ReconciliationData[[#This Row],[ordered_units]]*ReconciliationData[[#This Row],[List_Price]]</f>
        <v>109.1604</v>
      </c>
      <c r="Z3121">
        <f>ReconciliationData[[#This Row],[billed_revenue]]-ReconciliationData[[#This Row],[expected_revenue]]</f>
        <v>0</v>
      </c>
      <c r="AA31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21" t="str">
        <f>IF(ReconciliationData[[#This Row],[severity_score]]=0,"LOW",
 IF(ReconciliationData[[#This Row],[severity_score]]&lt;=5,"MEDIUM","HIGH"))</f>
        <v>LOW</v>
      </c>
      <c r="AC3121" t="str">
        <f>TEXT(ReconciliationData[[#This Row],[Order_Date]],"YYYY-MM")</f>
        <v>2024-10</v>
      </c>
    </row>
    <row r="3122" spans="1:29">
      <c r="A3122" t="s">
        <v>7457</v>
      </c>
      <c r="B3122" s="1">
        <v>45391</v>
      </c>
      <c r="C3122" t="s">
        <v>1828</v>
      </c>
      <c r="D3122" t="s">
        <v>1530</v>
      </c>
      <c r="E3122">
        <v>8</v>
      </c>
      <c r="F3122" t="s">
        <v>7458</v>
      </c>
      <c r="G3122">
        <v>17</v>
      </c>
      <c r="H3122">
        <v>1131.7711000000002</v>
      </c>
      <c r="N3122">
        <v>1131.7711000000002</v>
      </c>
      <c r="O3122" s="1">
        <v>45048</v>
      </c>
      <c r="P3122">
        <f>IF(ISBLANK(ReconciliationData[[#This Row],[Invoice_ID]]),1,0)</f>
        <v>0</v>
      </c>
      <c r="Q3122">
        <f>IF(AND(NOT(ISBLANK(ReconciliationData[[#This Row],[Billed_Units]])),ReconciliationData[[#This Row],[ordered_units]]&lt;&gt;ReconciliationData[[#This Row],[Billed_Units]]),1,0)</f>
        <v>1</v>
      </c>
      <c r="R31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2">
        <f>IF(AND(NOT(ISBLANK(ReconciliationData[[#This Row],[Contract_Price]])),ReconciliationData[[#This Row],[Billed_Price]]&lt;&gt;ReconciliationData[[#This Row],[Contract_Price]]),1,0)</f>
        <v>0</v>
      </c>
      <c r="T3122">
        <f>IF(AND(NOT(ISBLANK(ReconciliationData[[#This Row],[End_Date]])),ReconciliationData[[#This Row],[Order_Date]]&gt;ReconciliationData[[#This Row],[End_Date]]),1,0)</f>
        <v>0</v>
      </c>
      <c r="U3122">
        <f>IF(AND(NOT(ISBLANK(ReconciliationData[[#This Row],[last_return_date]])),ReconciliationData[[#This Row],[last_return_date]]&gt;ReconciliationData[[#This Row],[Order_Date]]+60),1,0)</f>
        <v>0</v>
      </c>
      <c r="V3122">
        <f>IF(ReconciliationData[[#This Row],[total_returned_units]]&gt;ReconciliationData[[#This Row],[ordered_units]],1,0)</f>
        <v>0</v>
      </c>
      <c r="W31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22">
        <f>ReconciliationData[[#This Row],[Billed_Units]]*ReconciliationData[[#This Row],[Billed_Price]]</f>
        <v>19240.108700000004</v>
      </c>
      <c r="Y3122">
        <f>ReconciliationData[[#This Row],[ordered_units]]*ReconciliationData[[#This Row],[List_Price]]</f>
        <v>9054.1688000000013</v>
      </c>
      <c r="Z3122">
        <f>ReconciliationData[[#This Row],[billed_revenue]]-ReconciliationData[[#This Row],[expected_revenue]]</f>
        <v>10185.939900000003</v>
      </c>
      <c r="AA31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122" t="str">
        <f>IF(ReconciliationData[[#This Row],[severity_score]]=0,"LOW",
 IF(ReconciliationData[[#This Row],[severity_score]]&lt;=5,"MEDIUM","HIGH"))</f>
        <v>HIGH</v>
      </c>
      <c r="AC3122" t="str">
        <f>TEXT(ReconciliationData[[#This Row],[Order_Date]],"YYYY-MM")</f>
        <v>2024-04</v>
      </c>
    </row>
    <row r="3123" spans="1:29">
      <c r="A3123" t="s">
        <v>7459</v>
      </c>
      <c r="B3123" s="1">
        <v>45298</v>
      </c>
      <c r="C3123" t="s">
        <v>3436</v>
      </c>
      <c r="D3123" t="s">
        <v>1945</v>
      </c>
      <c r="E3123">
        <v>85</v>
      </c>
      <c r="F3123" t="s">
        <v>7460</v>
      </c>
      <c r="G3123">
        <v>85</v>
      </c>
      <c r="H3123">
        <v>1178.6880000000001</v>
      </c>
      <c r="N3123">
        <v>1178.6880000000001</v>
      </c>
      <c r="O3123" s="1">
        <v>44930</v>
      </c>
      <c r="P3123">
        <f>IF(ISBLANK(ReconciliationData[[#This Row],[Invoice_ID]]),1,0)</f>
        <v>0</v>
      </c>
      <c r="Q3123">
        <f>IF(AND(NOT(ISBLANK(ReconciliationData[[#This Row],[Billed_Units]])),ReconciliationData[[#This Row],[ordered_units]]&lt;&gt;ReconciliationData[[#This Row],[Billed_Units]]),1,0)</f>
        <v>0</v>
      </c>
      <c r="R31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3">
        <f>IF(AND(NOT(ISBLANK(ReconciliationData[[#This Row],[Contract_Price]])),ReconciliationData[[#This Row],[Billed_Price]]&lt;&gt;ReconciliationData[[#This Row],[Contract_Price]]),1,0)</f>
        <v>0</v>
      </c>
      <c r="T3123">
        <f>IF(AND(NOT(ISBLANK(ReconciliationData[[#This Row],[End_Date]])),ReconciliationData[[#This Row],[Order_Date]]&gt;ReconciliationData[[#This Row],[End_Date]]),1,0)</f>
        <v>0</v>
      </c>
      <c r="U3123">
        <f>IF(AND(NOT(ISBLANK(ReconciliationData[[#This Row],[last_return_date]])),ReconciliationData[[#This Row],[last_return_date]]&gt;ReconciliationData[[#This Row],[Order_Date]]+60),1,0)</f>
        <v>0</v>
      </c>
      <c r="V3123">
        <f>IF(ReconciliationData[[#This Row],[total_returned_units]]&gt;ReconciliationData[[#This Row],[ordered_units]],1,0)</f>
        <v>0</v>
      </c>
      <c r="W31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23">
        <f>ReconciliationData[[#This Row],[Billed_Units]]*ReconciliationData[[#This Row],[Billed_Price]]</f>
        <v>100188.48000000001</v>
      </c>
      <c r="Y3123">
        <f>ReconciliationData[[#This Row],[ordered_units]]*ReconciliationData[[#This Row],[List_Price]]</f>
        <v>100188.48000000001</v>
      </c>
      <c r="Z3123">
        <f>ReconciliationData[[#This Row],[billed_revenue]]-ReconciliationData[[#This Row],[expected_revenue]]</f>
        <v>0</v>
      </c>
      <c r="AA31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23" t="str">
        <f>IF(ReconciliationData[[#This Row],[severity_score]]=0,"LOW",
 IF(ReconciliationData[[#This Row],[severity_score]]&lt;=5,"MEDIUM","HIGH"))</f>
        <v>LOW</v>
      </c>
      <c r="AC3123" t="str">
        <f>TEXT(ReconciliationData[[#This Row],[Order_Date]],"YYYY-MM")</f>
        <v>2024-01</v>
      </c>
    </row>
    <row r="3124" spans="1:29">
      <c r="A3124" t="s">
        <v>7461</v>
      </c>
      <c r="B3124" s="1">
        <v>45181</v>
      </c>
      <c r="C3124" t="s">
        <v>1357</v>
      </c>
      <c r="D3124" t="s">
        <v>1559</v>
      </c>
      <c r="E3124">
        <v>9</v>
      </c>
      <c r="F3124" t="s">
        <v>7462</v>
      </c>
      <c r="G3124">
        <v>9</v>
      </c>
      <c r="H3124">
        <v>1065.7722000000001</v>
      </c>
      <c r="N3124">
        <v>1065.7722000000001</v>
      </c>
      <c r="O3124" s="1">
        <v>44936</v>
      </c>
      <c r="P3124">
        <f>IF(ISBLANK(ReconciliationData[[#This Row],[Invoice_ID]]),1,0)</f>
        <v>0</v>
      </c>
      <c r="Q3124">
        <f>IF(AND(NOT(ISBLANK(ReconciliationData[[#This Row],[Billed_Units]])),ReconciliationData[[#This Row],[ordered_units]]&lt;&gt;ReconciliationData[[#This Row],[Billed_Units]]),1,0)</f>
        <v>0</v>
      </c>
      <c r="R31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4">
        <f>IF(AND(NOT(ISBLANK(ReconciliationData[[#This Row],[Contract_Price]])),ReconciliationData[[#This Row],[Billed_Price]]&lt;&gt;ReconciliationData[[#This Row],[Contract_Price]]),1,0)</f>
        <v>0</v>
      </c>
      <c r="T3124">
        <f>IF(AND(NOT(ISBLANK(ReconciliationData[[#This Row],[End_Date]])),ReconciliationData[[#This Row],[Order_Date]]&gt;ReconciliationData[[#This Row],[End_Date]]),1,0)</f>
        <v>0</v>
      </c>
      <c r="U3124">
        <f>IF(AND(NOT(ISBLANK(ReconciliationData[[#This Row],[last_return_date]])),ReconciliationData[[#This Row],[last_return_date]]&gt;ReconciliationData[[#This Row],[Order_Date]]+60),1,0)</f>
        <v>0</v>
      </c>
      <c r="V3124">
        <f>IF(ReconciliationData[[#This Row],[total_returned_units]]&gt;ReconciliationData[[#This Row],[ordered_units]],1,0)</f>
        <v>0</v>
      </c>
      <c r="W31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24">
        <f>ReconciliationData[[#This Row],[Billed_Units]]*ReconciliationData[[#This Row],[Billed_Price]]</f>
        <v>9591.9498000000003</v>
      </c>
      <c r="Y3124">
        <f>ReconciliationData[[#This Row],[ordered_units]]*ReconciliationData[[#This Row],[List_Price]]</f>
        <v>9591.9498000000003</v>
      </c>
      <c r="Z3124">
        <f>ReconciliationData[[#This Row],[billed_revenue]]-ReconciliationData[[#This Row],[expected_revenue]]</f>
        <v>0</v>
      </c>
      <c r="AA31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24" t="str">
        <f>IF(ReconciliationData[[#This Row],[severity_score]]=0,"LOW",
 IF(ReconciliationData[[#This Row],[severity_score]]&lt;=5,"MEDIUM","HIGH"))</f>
        <v>LOW</v>
      </c>
      <c r="AC3124" t="str">
        <f>TEXT(ReconciliationData[[#This Row],[Order_Date]],"YYYY-MM")</f>
        <v>2023-09</v>
      </c>
    </row>
    <row r="3125" spans="1:29">
      <c r="A3125" t="s">
        <v>7463</v>
      </c>
      <c r="B3125" s="1">
        <v>45547</v>
      </c>
      <c r="C3125" t="s">
        <v>3621</v>
      </c>
      <c r="D3125" t="s">
        <v>174</v>
      </c>
      <c r="E3125">
        <v>56</v>
      </c>
      <c r="F3125" t="s">
        <v>7464</v>
      </c>
      <c r="G3125">
        <v>56</v>
      </c>
      <c r="H3125">
        <v>461.69279999999998</v>
      </c>
      <c r="N3125">
        <v>461.69279999999998</v>
      </c>
      <c r="O3125" s="1">
        <v>45031</v>
      </c>
      <c r="P3125">
        <f>IF(ISBLANK(ReconciliationData[[#This Row],[Invoice_ID]]),1,0)</f>
        <v>0</v>
      </c>
      <c r="Q3125">
        <f>IF(AND(NOT(ISBLANK(ReconciliationData[[#This Row],[Billed_Units]])),ReconciliationData[[#This Row],[ordered_units]]&lt;&gt;ReconciliationData[[#This Row],[Billed_Units]]),1,0)</f>
        <v>0</v>
      </c>
      <c r="R31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5">
        <f>IF(AND(NOT(ISBLANK(ReconciliationData[[#This Row],[Contract_Price]])),ReconciliationData[[#This Row],[Billed_Price]]&lt;&gt;ReconciliationData[[#This Row],[Contract_Price]]),1,0)</f>
        <v>0</v>
      </c>
      <c r="T3125">
        <f>IF(AND(NOT(ISBLANK(ReconciliationData[[#This Row],[End_Date]])),ReconciliationData[[#This Row],[Order_Date]]&gt;ReconciliationData[[#This Row],[End_Date]]),1,0)</f>
        <v>0</v>
      </c>
      <c r="U3125">
        <f>IF(AND(NOT(ISBLANK(ReconciliationData[[#This Row],[last_return_date]])),ReconciliationData[[#This Row],[last_return_date]]&gt;ReconciliationData[[#This Row],[Order_Date]]+60),1,0)</f>
        <v>0</v>
      </c>
      <c r="V3125">
        <f>IF(ReconciliationData[[#This Row],[total_returned_units]]&gt;ReconciliationData[[#This Row],[ordered_units]],1,0)</f>
        <v>0</v>
      </c>
      <c r="W31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25">
        <f>ReconciliationData[[#This Row],[Billed_Units]]*ReconciliationData[[#This Row],[Billed_Price]]</f>
        <v>25854.7968</v>
      </c>
      <c r="Y3125">
        <f>ReconciliationData[[#This Row],[ordered_units]]*ReconciliationData[[#This Row],[List_Price]]</f>
        <v>25854.7968</v>
      </c>
      <c r="Z3125">
        <f>ReconciliationData[[#This Row],[billed_revenue]]-ReconciliationData[[#This Row],[expected_revenue]]</f>
        <v>0</v>
      </c>
      <c r="AA31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25" t="str">
        <f>IF(ReconciliationData[[#This Row],[severity_score]]=0,"LOW",
 IF(ReconciliationData[[#This Row],[severity_score]]&lt;=5,"MEDIUM","HIGH"))</f>
        <v>LOW</v>
      </c>
      <c r="AC3125" t="str">
        <f>TEXT(ReconciliationData[[#This Row],[Order_Date]],"YYYY-MM")</f>
        <v>2024-09</v>
      </c>
    </row>
    <row r="3126" spans="1:29">
      <c r="A3126" t="s">
        <v>7465</v>
      </c>
      <c r="B3126" s="1">
        <v>45204</v>
      </c>
      <c r="C3126" t="s">
        <v>824</v>
      </c>
      <c r="D3126" t="s">
        <v>134</v>
      </c>
      <c r="E3126">
        <v>47</v>
      </c>
      <c r="F3126" t="s">
        <v>7466</v>
      </c>
      <c r="G3126">
        <v>47</v>
      </c>
      <c r="H3126">
        <v>446.4905</v>
      </c>
      <c r="I3126">
        <v>2</v>
      </c>
      <c r="J3126" s="1">
        <v>45116</v>
      </c>
      <c r="N3126">
        <v>446.4905</v>
      </c>
      <c r="O3126" s="1">
        <v>45161</v>
      </c>
      <c r="P3126">
        <f>IF(ISBLANK(ReconciliationData[[#This Row],[Invoice_ID]]),1,0)</f>
        <v>0</v>
      </c>
      <c r="Q3126">
        <f>IF(AND(NOT(ISBLANK(ReconciliationData[[#This Row],[Billed_Units]])),ReconciliationData[[#This Row],[ordered_units]]&lt;&gt;ReconciliationData[[#This Row],[Billed_Units]]),1,0)</f>
        <v>0</v>
      </c>
      <c r="R31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6">
        <f>IF(AND(NOT(ISBLANK(ReconciliationData[[#This Row],[Contract_Price]])),ReconciliationData[[#This Row],[Billed_Price]]&lt;&gt;ReconciliationData[[#This Row],[Contract_Price]]),1,0)</f>
        <v>0</v>
      </c>
      <c r="T3126">
        <f>IF(AND(NOT(ISBLANK(ReconciliationData[[#This Row],[End_Date]])),ReconciliationData[[#This Row],[Order_Date]]&gt;ReconciliationData[[#This Row],[End_Date]]),1,0)</f>
        <v>0</v>
      </c>
      <c r="U3126">
        <f>IF(AND(NOT(ISBLANK(ReconciliationData[[#This Row],[last_return_date]])),ReconciliationData[[#This Row],[last_return_date]]&gt;ReconciliationData[[#This Row],[Order_Date]]+60),1,0)</f>
        <v>0</v>
      </c>
      <c r="V3126">
        <f>IF(ReconciliationData[[#This Row],[total_returned_units]]&gt;ReconciliationData[[#This Row],[ordered_units]],1,0)</f>
        <v>0</v>
      </c>
      <c r="W31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26">
        <f>ReconciliationData[[#This Row],[Billed_Units]]*ReconciliationData[[#This Row],[Billed_Price]]</f>
        <v>20985.053499999998</v>
      </c>
      <c r="Y3126">
        <f>ReconciliationData[[#This Row],[ordered_units]]*ReconciliationData[[#This Row],[List_Price]]</f>
        <v>20985.053499999998</v>
      </c>
      <c r="Z3126">
        <f>ReconciliationData[[#This Row],[billed_revenue]]-ReconciliationData[[#This Row],[expected_revenue]]</f>
        <v>0</v>
      </c>
      <c r="AA31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26" t="str">
        <f>IF(ReconciliationData[[#This Row],[severity_score]]=0,"LOW",
 IF(ReconciliationData[[#This Row],[severity_score]]&lt;=5,"MEDIUM","HIGH"))</f>
        <v>LOW</v>
      </c>
      <c r="AC3126" t="str">
        <f>TEXT(ReconciliationData[[#This Row],[Order_Date]],"YYYY-MM")</f>
        <v>2023-10</v>
      </c>
    </row>
    <row r="3127" spans="1:29">
      <c r="A3127" t="s">
        <v>7467</v>
      </c>
      <c r="B3127" s="1">
        <v>45528</v>
      </c>
      <c r="C3127" t="s">
        <v>153</v>
      </c>
      <c r="D3127" t="s">
        <v>389</v>
      </c>
      <c r="E3127">
        <v>47</v>
      </c>
      <c r="F3127" t="s">
        <v>7468</v>
      </c>
      <c r="G3127">
        <v>47</v>
      </c>
      <c r="H3127">
        <v>759.48969999999997</v>
      </c>
      <c r="N3127">
        <v>759.48969999999997</v>
      </c>
      <c r="O3127" s="1">
        <v>45138</v>
      </c>
      <c r="P3127">
        <f>IF(ISBLANK(ReconciliationData[[#This Row],[Invoice_ID]]),1,0)</f>
        <v>0</v>
      </c>
      <c r="Q3127">
        <f>IF(AND(NOT(ISBLANK(ReconciliationData[[#This Row],[Billed_Units]])),ReconciliationData[[#This Row],[ordered_units]]&lt;&gt;ReconciliationData[[#This Row],[Billed_Units]]),1,0)</f>
        <v>0</v>
      </c>
      <c r="R31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7">
        <f>IF(AND(NOT(ISBLANK(ReconciliationData[[#This Row],[Contract_Price]])),ReconciliationData[[#This Row],[Billed_Price]]&lt;&gt;ReconciliationData[[#This Row],[Contract_Price]]),1,0)</f>
        <v>0</v>
      </c>
      <c r="T3127">
        <f>IF(AND(NOT(ISBLANK(ReconciliationData[[#This Row],[End_Date]])),ReconciliationData[[#This Row],[Order_Date]]&gt;ReconciliationData[[#This Row],[End_Date]]),1,0)</f>
        <v>0</v>
      </c>
      <c r="U3127">
        <f>IF(AND(NOT(ISBLANK(ReconciliationData[[#This Row],[last_return_date]])),ReconciliationData[[#This Row],[last_return_date]]&gt;ReconciliationData[[#This Row],[Order_Date]]+60),1,0)</f>
        <v>0</v>
      </c>
      <c r="V3127">
        <f>IF(ReconciliationData[[#This Row],[total_returned_units]]&gt;ReconciliationData[[#This Row],[ordered_units]],1,0)</f>
        <v>0</v>
      </c>
      <c r="W31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27">
        <f>ReconciliationData[[#This Row],[Billed_Units]]*ReconciliationData[[#This Row],[Billed_Price]]</f>
        <v>35696.015899999999</v>
      </c>
      <c r="Y3127">
        <f>ReconciliationData[[#This Row],[ordered_units]]*ReconciliationData[[#This Row],[List_Price]]</f>
        <v>35696.015899999999</v>
      </c>
      <c r="Z3127">
        <f>ReconciliationData[[#This Row],[billed_revenue]]-ReconciliationData[[#This Row],[expected_revenue]]</f>
        <v>0</v>
      </c>
      <c r="AA31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27" t="str">
        <f>IF(ReconciliationData[[#This Row],[severity_score]]=0,"LOW",
 IF(ReconciliationData[[#This Row],[severity_score]]&lt;=5,"MEDIUM","HIGH"))</f>
        <v>LOW</v>
      </c>
      <c r="AC3127" t="str">
        <f>TEXT(ReconciliationData[[#This Row],[Order_Date]],"YYYY-MM")</f>
        <v>2024-08</v>
      </c>
    </row>
    <row r="3128" spans="1:29">
      <c r="A3128" t="s">
        <v>7469</v>
      </c>
      <c r="B3128" s="1">
        <v>45412</v>
      </c>
      <c r="C3128" t="s">
        <v>1101</v>
      </c>
      <c r="D3128" t="s">
        <v>1057</v>
      </c>
      <c r="E3128">
        <v>193</v>
      </c>
      <c r="F3128" t="s">
        <v>7470</v>
      </c>
      <c r="G3128">
        <v>193</v>
      </c>
      <c r="H3128">
        <v>212.07900000000001</v>
      </c>
      <c r="N3128">
        <v>212.07900000000001</v>
      </c>
      <c r="O3128" s="1">
        <v>45057</v>
      </c>
      <c r="P3128">
        <f>IF(ISBLANK(ReconciliationData[[#This Row],[Invoice_ID]]),1,0)</f>
        <v>0</v>
      </c>
      <c r="Q3128">
        <f>IF(AND(NOT(ISBLANK(ReconciliationData[[#This Row],[Billed_Units]])),ReconciliationData[[#This Row],[ordered_units]]&lt;&gt;ReconciliationData[[#This Row],[Billed_Units]]),1,0)</f>
        <v>0</v>
      </c>
      <c r="R31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8">
        <f>IF(AND(NOT(ISBLANK(ReconciliationData[[#This Row],[Contract_Price]])),ReconciliationData[[#This Row],[Billed_Price]]&lt;&gt;ReconciliationData[[#This Row],[Contract_Price]]),1,0)</f>
        <v>0</v>
      </c>
      <c r="T3128">
        <f>IF(AND(NOT(ISBLANK(ReconciliationData[[#This Row],[End_Date]])),ReconciliationData[[#This Row],[Order_Date]]&gt;ReconciliationData[[#This Row],[End_Date]]),1,0)</f>
        <v>0</v>
      </c>
      <c r="U3128">
        <f>IF(AND(NOT(ISBLANK(ReconciliationData[[#This Row],[last_return_date]])),ReconciliationData[[#This Row],[last_return_date]]&gt;ReconciliationData[[#This Row],[Order_Date]]+60),1,0)</f>
        <v>0</v>
      </c>
      <c r="V3128">
        <f>IF(ReconciliationData[[#This Row],[total_returned_units]]&gt;ReconciliationData[[#This Row],[ordered_units]],1,0)</f>
        <v>0</v>
      </c>
      <c r="W31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28">
        <f>ReconciliationData[[#This Row],[Billed_Units]]*ReconciliationData[[#This Row],[Billed_Price]]</f>
        <v>40931.247000000003</v>
      </c>
      <c r="Y3128">
        <f>ReconciliationData[[#This Row],[ordered_units]]*ReconciliationData[[#This Row],[List_Price]]</f>
        <v>40931.247000000003</v>
      </c>
      <c r="Z3128">
        <f>ReconciliationData[[#This Row],[billed_revenue]]-ReconciliationData[[#This Row],[expected_revenue]]</f>
        <v>0</v>
      </c>
      <c r="AA31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28" t="str">
        <f>IF(ReconciliationData[[#This Row],[severity_score]]=0,"LOW",
 IF(ReconciliationData[[#This Row],[severity_score]]&lt;=5,"MEDIUM","HIGH"))</f>
        <v>LOW</v>
      </c>
      <c r="AC3128" t="str">
        <f>TEXT(ReconciliationData[[#This Row],[Order_Date]],"YYYY-MM")</f>
        <v>2024-04</v>
      </c>
    </row>
    <row r="3129" spans="1:29">
      <c r="A3129" t="s">
        <v>7471</v>
      </c>
      <c r="B3129" s="1">
        <v>45486</v>
      </c>
      <c r="C3129" t="s">
        <v>1828</v>
      </c>
      <c r="D3129" t="s">
        <v>239</v>
      </c>
      <c r="E3129">
        <v>133</v>
      </c>
      <c r="F3129" t="s">
        <v>7472</v>
      </c>
      <c r="G3129">
        <v>133</v>
      </c>
      <c r="H3129">
        <v>1218.568</v>
      </c>
      <c r="N3129">
        <v>1218.568</v>
      </c>
      <c r="O3129" s="1">
        <v>45061</v>
      </c>
      <c r="P3129">
        <f>IF(ISBLANK(ReconciliationData[[#This Row],[Invoice_ID]]),1,0)</f>
        <v>0</v>
      </c>
      <c r="Q3129">
        <f>IF(AND(NOT(ISBLANK(ReconciliationData[[#This Row],[Billed_Units]])),ReconciliationData[[#This Row],[ordered_units]]&lt;&gt;ReconciliationData[[#This Row],[Billed_Units]]),1,0)</f>
        <v>0</v>
      </c>
      <c r="R31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29">
        <f>IF(AND(NOT(ISBLANK(ReconciliationData[[#This Row],[Contract_Price]])),ReconciliationData[[#This Row],[Billed_Price]]&lt;&gt;ReconciliationData[[#This Row],[Contract_Price]]),1,0)</f>
        <v>0</v>
      </c>
      <c r="T3129">
        <f>IF(AND(NOT(ISBLANK(ReconciliationData[[#This Row],[End_Date]])),ReconciliationData[[#This Row],[Order_Date]]&gt;ReconciliationData[[#This Row],[End_Date]]),1,0)</f>
        <v>0</v>
      </c>
      <c r="U3129">
        <f>IF(AND(NOT(ISBLANK(ReconciliationData[[#This Row],[last_return_date]])),ReconciliationData[[#This Row],[last_return_date]]&gt;ReconciliationData[[#This Row],[Order_Date]]+60),1,0)</f>
        <v>0</v>
      </c>
      <c r="V3129">
        <f>IF(ReconciliationData[[#This Row],[total_returned_units]]&gt;ReconciliationData[[#This Row],[ordered_units]],1,0)</f>
        <v>0</v>
      </c>
      <c r="W31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29">
        <f>ReconciliationData[[#This Row],[Billed_Units]]*ReconciliationData[[#This Row],[Billed_Price]]</f>
        <v>162069.54399999999</v>
      </c>
      <c r="Y3129">
        <f>ReconciliationData[[#This Row],[ordered_units]]*ReconciliationData[[#This Row],[List_Price]]</f>
        <v>162069.54399999999</v>
      </c>
      <c r="Z3129">
        <f>ReconciliationData[[#This Row],[billed_revenue]]-ReconciliationData[[#This Row],[expected_revenue]]</f>
        <v>0</v>
      </c>
      <c r="AA31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29" t="str">
        <f>IF(ReconciliationData[[#This Row],[severity_score]]=0,"LOW",
 IF(ReconciliationData[[#This Row],[severity_score]]&lt;=5,"MEDIUM","HIGH"))</f>
        <v>LOW</v>
      </c>
      <c r="AC3129" t="str">
        <f>TEXT(ReconciliationData[[#This Row],[Order_Date]],"YYYY-MM")</f>
        <v>2024-07</v>
      </c>
    </row>
    <row r="3130" spans="1:29">
      <c r="A3130" t="s">
        <v>7473</v>
      </c>
      <c r="B3130" s="1">
        <v>45633</v>
      </c>
      <c r="C3130" t="s">
        <v>1111</v>
      </c>
      <c r="D3130" t="s">
        <v>1794</v>
      </c>
      <c r="E3130">
        <v>28</v>
      </c>
      <c r="F3130" t="s">
        <v>7474</v>
      </c>
      <c r="G3130">
        <v>28</v>
      </c>
      <c r="H3130">
        <v>491.10239999999999</v>
      </c>
      <c r="N3130">
        <v>491.10239999999999</v>
      </c>
      <c r="O3130" s="1">
        <v>45187</v>
      </c>
      <c r="P3130">
        <f>IF(ISBLANK(ReconciliationData[[#This Row],[Invoice_ID]]),1,0)</f>
        <v>0</v>
      </c>
      <c r="Q3130">
        <f>IF(AND(NOT(ISBLANK(ReconciliationData[[#This Row],[Billed_Units]])),ReconciliationData[[#This Row],[ordered_units]]&lt;&gt;ReconciliationData[[#This Row],[Billed_Units]]),1,0)</f>
        <v>0</v>
      </c>
      <c r="R31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0">
        <f>IF(AND(NOT(ISBLANK(ReconciliationData[[#This Row],[Contract_Price]])),ReconciliationData[[#This Row],[Billed_Price]]&lt;&gt;ReconciliationData[[#This Row],[Contract_Price]]),1,0)</f>
        <v>0</v>
      </c>
      <c r="T3130">
        <f>IF(AND(NOT(ISBLANK(ReconciliationData[[#This Row],[End_Date]])),ReconciliationData[[#This Row],[Order_Date]]&gt;ReconciliationData[[#This Row],[End_Date]]),1,0)</f>
        <v>0</v>
      </c>
      <c r="U3130">
        <f>IF(AND(NOT(ISBLANK(ReconciliationData[[#This Row],[last_return_date]])),ReconciliationData[[#This Row],[last_return_date]]&gt;ReconciliationData[[#This Row],[Order_Date]]+60),1,0)</f>
        <v>0</v>
      </c>
      <c r="V3130">
        <f>IF(ReconciliationData[[#This Row],[total_returned_units]]&gt;ReconciliationData[[#This Row],[ordered_units]],1,0)</f>
        <v>0</v>
      </c>
      <c r="W31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30">
        <f>ReconciliationData[[#This Row],[Billed_Units]]*ReconciliationData[[#This Row],[Billed_Price]]</f>
        <v>13750.867200000001</v>
      </c>
      <c r="Y3130">
        <f>ReconciliationData[[#This Row],[ordered_units]]*ReconciliationData[[#This Row],[List_Price]]</f>
        <v>13750.867200000001</v>
      </c>
      <c r="Z3130">
        <f>ReconciliationData[[#This Row],[billed_revenue]]-ReconciliationData[[#This Row],[expected_revenue]]</f>
        <v>0</v>
      </c>
      <c r="AA31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30" t="str">
        <f>IF(ReconciliationData[[#This Row],[severity_score]]=0,"LOW",
 IF(ReconciliationData[[#This Row],[severity_score]]&lt;=5,"MEDIUM","HIGH"))</f>
        <v>LOW</v>
      </c>
      <c r="AC3130" t="str">
        <f>TEXT(ReconciliationData[[#This Row],[Order_Date]],"YYYY-MM")</f>
        <v>2024-12</v>
      </c>
    </row>
    <row r="3131" spans="1:29">
      <c r="A3131" t="s">
        <v>7475</v>
      </c>
      <c r="B3131" s="1">
        <v>45570</v>
      </c>
      <c r="C3131" t="s">
        <v>1152</v>
      </c>
      <c r="D3131" t="s">
        <v>718</v>
      </c>
      <c r="E3131">
        <v>175</v>
      </c>
      <c r="F3131" t="s">
        <v>7476</v>
      </c>
      <c r="G3131">
        <v>174</v>
      </c>
      <c r="H3131">
        <v>287.14</v>
      </c>
      <c r="N3131">
        <v>287.14</v>
      </c>
      <c r="O3131" s="1">
        <v>44977</v>
      </c>
      <c r="P3131">
        <f>IF(ISBLANK(ReconciliationData[[#This Row],[Invoice_ID]]),1,0)</f>
        <v>0</v>
      </c>
      <c r="Q3131">
        <f>IF(AND(NOT(ISBLANK(ReconciliationData[[#This Row],[Billed_Units]])),ReconciliationData[[#This Row],[ordered_units]]&lt;&gt;ReconciliationData[[#This Row],[Billed_Units]]),1,0)</f>
        <v>1</v>
      </c>
      <c r="R31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1">
        <f>IF(AND(NOT(ISBLANK(ReconciliationData[[#This Row],[Contract_Price]])),ReconciliationData[[#This Row],[Billed_Price]]&lt;&gt;ReconciliationData[[#This Row],[Contract_Price]]),1,0)</f>
        <v>0</v>
      </c>
      <c r="T3131">
        <f>IF(AND(NOT(ISBLANK(ReconciliationData[[#This Row],[End_Date]])),ReconciliationData[[#This Row],[Order_Date]]&gt;ReconciliationData[[#This Row],[End_Date]]),1,0)</f>
        <v>0</v>
      </c>
      <c r="U3131">
        <f>IF(AND(NOT(ISBLANK(ReconciliationData[[#This Row],[last_return_date]])),ReconciliationData[[#This Row],[last_return_date]]&gt;ReconciliationData[[#This Row],[Order_Date]]+60),1,0)</f>
        <v>0</v>
      </c>
      <c r="V3131">
        <f>IF(ReconciliationData[[#This Row],[total_returned_units]]&gt;ReconciliationData[[#This Row],[ordered_units]],1,0)</f>
        <v>0</v>
      </c>
      <c r="W31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31">
        <f>ReconciliationData[[#This Row],[Billed_Units]]*ReconciliationData[[#This Row],[Billed_Price]]</f>
        <v>49962.36</v>
      </c>
      <c r="Y3131">
        <f>ReconciliationData[[#This Row],[ordered_units]]*ReconciliationData[[#This Row],[List_Price]]</f>
        <v>50249.5</v>
      </c>
      <c r="Z3131">
        <f>ReconciliationData[[#This Row],[billed_revenue]]-ReconciliationData[[#This Row],[expected_revenue]]</f>
        <v>-287.13999999999942</v>
      </c>
      <c r="AA31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131" t="str">
        <f>IF(ReconciliationData[[#This Row],[severity_score]]=0,"LOW",
 IF(ReconciliationData[[#This Row],[severity_score]]&lt;=5,"MEDIUM","HIGH"))</f>
        <v>MEDIUM</v>
      </c>
      <c r="AC3131" t="str">
        <f>TEXT(ReconciliationData[[#This Row],[Order_Date]],"YYYY-MM")</f>
        <v>2024-10</v>
      </c>
    </row>
    <row r="3132" spans="1:29">
      <c r="A3132" t="s">
        <v>7477</v>
      </c>
      <c r="B3132" s="1">
        <v>45254</v>
      </c>
      <c r="C3132" t="s">
        <v>2412</v>
      </c>
      <c r="D3132" t="s">
        <v>1432</v>
      </c>
      <c r="E3132">
        <v>77</v>
      </c>
      <c r="F3132" t="s">
        <v>7478</v>
      </c>
      <c r="G3132">
        <v>77</v>
      </c>
      <c r="H3132">
        <v>828.36189999999999</v>
      </c>
      <c r="N3132">
        <v>828.36189999999999</v>
      </c>
      <c r="O3132" s="1">
        <v>45137</v>
      </c>
      <c r="P3132">
        <f>IF(ISBLANK(ReconciliationData[[#This Row],[Invoice_ID]]),1,0)</f>
        <v>0</v>
      </c>
      <c r="Q3132">
        <f>IF(AND(NOT(ISBLANK(ReconciliationData[[#This Row],[Billed_Units]])),ReconciliationData[[#This Row],[ordered_units]]&lt;&gt;ReconciliationData[[#This Row],[Billed_Units]]),1,0)</f>
        <v>0</v>
      </c>
      <c r="R31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2">
        <f>IF(AND(NOT(ISBLANK(ReconciliationData[[#This Row],[Contract_Price]])),ReconciliationData[[#This Row],[Billed_Price]]&lt;&gt;ReconciliationData[[#This Row],[Contract_Price]]),1,0)</f>
        <v>0</v>
      </c>
      <c r="T3132">
        <f>IF(AND(NOT(ISBLANK(ReconciliationData[[#This Row],[End_Date]])),ReconciliationData[[#This Row],[Order_Date]]&gt;ReconciliationData[[#This Row],[End_Date]]),1,0)</f>
        <v>0</v>
      </c>
      <c r="U3132">
        <f>IF(AND(NOT(ISBLANK(ReconciliationData[[#This Row],[last_return_date]])),ReconciliationData[[#This Row],[last_return_date]]&gt;ReconciliationData[[#This Row],[Order_Date]]+60),1,0)</f>
        <v>0</v>
      </c>
      <c r="V3132">
        <f>IF(ReconciliationData[[#This Row],[total_returned_units]]&gt;ReconciliationData[[#This Row],[ordered_units]],1,0)</f>
        <v>0</v>
      </c>
      <c r="W31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32">
        <f>ReconciliationData[[#This Row],[Billed_Units]]*ReconciliationData[[#This Row],[Billed_Price]]</f>
        <v>63783.866300000002</v>
      </c>
      <c r="Y3132">
        <f>ReconciliationData[[#This Row],[ordered_units]]*ReconciliationData[[#This Row],[List_Price]]</f>
        <v>63783.866300000002</v>
      </c>
      <c r="Z3132">
        <f>ReconciliationData[[#This Row],[billed_revenue]]-ReconciliationData[[#This Row],[expected_revenue]]</f>
        <v>0</v>
      </c>
      <c r="AA31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32" t="str">
        <f>IF(ReconciliationData[[#This Row],[severity_score]]=0,"LOW",
 IF(ReconciliationData[[#This Row],[severity_score]]&lt;=5,"MEDIUM","HIGH"))</f>
        <v>LOW</v>
      </c>
      <c r="AC3132" t="str">
        <f>TEXT(ReconciliationData[[#This Row],[Order_Date]],"YYYY-MM")</f>
        <v>2023-11</v>
      </c>
    </row>
    <row r="3133" spans="1:29">
      <c r="A3133" t="s">
        <v>7479</v>
      </c>
      <c r="B3133" s="1">
        <v>45058</v>
      </c>
      <c r="C3133" t="s">
        <v>1760</v>
      </c>
      <c r="D3133" t="s">
        <v>251</v>
      </c>
      <c r="E3133">
        <v>58</v>
      </c>
      <c r="F3133" t="s">
        <v>7480</v>
      </c>
      <c r="G3133">
        <v>58</v>
      </c>
      <c r="H3133">
        <v>957.65700000000015</v>
      </c>
      <c r="N3133">
        <v>957.65700000000015</v>
      </c>
      <c r="O3133" s="1">
        <v>45057</v>
      </c>
      <c r="P3133">
        <f>IF(ISBLANK(ReconciliationData[[#This Row],[Invoice_ID]]),1,0)</f>
        <v>0</v>
      </c>
      <c r="Q3133">
        <f>IF(AND(NOT(ISBLANK(ReconciliationData[[#This Row],[Billed_Units]])),ReconciliationData[[#This Row],[ordered_units]]&lt;&gt;ReconciliationData[[#This Row],[Billed_Units]]),1,0)</f>
        <v>0</v>
      </c>
      <c r="R31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3">
        <f>IF(AND(NOT(ISBLANK(ReconciliationData[[#This Row],[Contract_Price]])),ReconciliationData[[#This Row],[Billed_Price]]&lt;&gt;ReconciliationData[[#This Row],[Contract_Price]]),1,0)</f>
        <v>0</v>
      </c>
      <c r="T3133">
        <f>IF(AND(NOT(ISBLANK(ReconciliationData[[#This Row],[End_Date]])),ReconciliationData[[#This Row],[Order_Date]]&gt;ReconciliationData[[#This Row],[End_Date]]),1,0)</f>
        <v>0</v>
      </c>
      <c r="U3133">
        <f>IF(AND(NOT(ISBLANK(ReconciliationData[[#This Row],[last_return_date]])),ReconciliationData[[#This Row],[last_return_date]]&gt;ReconciliationData[[#This Row],[Order_Date]]+60),1,0)</f>
        <v>0</v>
      </c>
      <c r="V3133">
        <f>IF(ReconciliationData[[#This Row],[total_returned_units]]&gt;ReconciliationData[[#This Row],[ordered_units]],1,0)</f>
        <v>0</v>
      </c>
      <c r="W31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33">
        <f>ReconciliationData[[#This Row],[Billed_Units]]*ReconciliationData[[#This Row],[Billed_Price]]</f>
        <v>55544.106000000007</v>
      </c>
      <c r="Y3133">
        <f>ReconciliationData[[#This Row],[ordered_units]]*ReconciliationData[[#This Row],[List_Price]]</f>
        <v>55544.106000000007</v>
      </c>
      <c r="Z3133">
        <f>ReconciliationData[[#This Row],[billed_revenue]]-ReconciliationData[[#This Row],[expected_revenue]]</f>
        <v>0</v>
      </c>
      <c r="AA31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33" t="str">
        <f>IF(ReconciliationData[[#This Row],[severity_score]]=0,"LOW",
 IF(ReconciliationData[[#This Row],[severity_score]]&lt;=5,"MEDIUM","HIGH"))</f>
        <v>LOW</v>
      </c>
      <c r="AC3133" t="str">
        <f>TEXT(ReconciliationData[[#This Row],[Order_Date]],"YYYY-MM")</f>
        <v>2023-05</v>
      </c>
    </row>
    <row r="3134" spans="1:29">
      <c r="A3134" t="s">
        <v>7481</v>
      </c>
      <c r="B3134" s="1">
        <v>45012</v>
      </c>
      <c r="C3134" t="s">
        <v>7482</v>
      </c>
      <c r="D3134" t="s">
        <v>2283</v>
      </c>
      <c r="E3134">
        <v>97</v>
      </c>
      <c r="F3134" t="s">
        <v>7483</v>
      </c>
      <c r="G3134">
        <v>97</v>
      </c>
      <c r="H3134">
        <v>68.942999999999998</v>
      </c>
      <c r="N3134">
        <v>68.942999999999998</v>
      </c>
      <c r="O3134" s="1">
        <v>44998</v>
      </c>
      <c r="P3134">
        <f>IF(ISBLANK(ReconciliationData[[#This Row],[Invoice_ID]]),1,0)</f>
        <v>0</v>
      </c>
      <c r="Q3134">
        <f>IF(AND(NOT(ISBLANK(ReconciliationData[[#This Row],[Billed_Units]])),ReconciliationData[[#This Row],[ordered_units]]&lt;&gt;ReconciliationData[[#This Row],[Billed_Units]]),1,0)</f>
        <v>0</v>
      </c>
      <c r="R31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4">
        <f>IF(AND(NOT(ISBLANK(ReconciliationData[[#This Row],[Contract_Price]])),ReconciliationData[[#This Row],[Billed_Price]]&lt;&gt;ReconciliationData[[#This Row],[Contract_Price]]),1,0)</f>
        <v>0</v>
      </c>
      <c r="T3134">
        <f>IF(AND(NOT(ISBLANK(ReconciliationData[[#This Row],[End_Date]])),ReconciliationData[[#This Row],[Order_Date]]&gt;ReconciliationData[[#This Row],[End_Date]]),1,0)</f>
        <v>0</v>
      </c>
      <c r="U3134">
        <f>IF(AND(NOT(ISBLANK(ReconciliationData[[#This Row],[last_return_date]])),ReconciliationData[[#This Row],[last_return_date]]&gt;ReconciliationData[[#This Row],[Order_Date]]+60),1,0)</f>
        <v>0</v>
      </c>
      <c r="V3134">
        <f>IF(ReconciliationData[[#This Row],[total_returned_units]]&gt;ReconciliationData[[#This Row],[ordered_units]],1,0)</f>
        <v>0</v>
      </c>
      <c r="W31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34">
        <f>ReconciliationData[[#This Row],[Billed_Units]]*ReconciliationData[[#This Row],[Billed_Price]]</f>
        <v>6687.4709999999995</v>
      </c>
      <c r="Y3134">
        <f>ReconciliationData[[#This Row],[ordered_units]]*ReconciliationData[[#This Row],[List_Price]]</f>
        <v>6687.4709999999995</v>
      </c>
      <c r="Z3134">
        <f>ReconciliationData[[#This Row],[billed_revenue]]-ReconciliationData[[#This Row],[expected_revenue]]</f>
        <v>0</v>
      </c>
      <c r="AA31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34" t="str">
        <f>IF(ReconciliationData[[#This Row],[severity_score]]=0,"LOW",
 IF(ReconciliationData[[#This Row],[severity_score]]&lt;=5,"MEDIUM","HIGH"))</f>
        <v>LOW</v>
      </c>
      <c r="AC3134" t="str">
        <f>TEXT(ReconciliationData[[#This Row],[Order_Date]],"YYYY-MM")</f>
        <v>2023-03</v>
      </c>
    </row>
    <row r="3135" spans="1:29">
      <c r="A3135" t="s">
        <v>7484</v>
      </c>
      <c r="B3135" s="1">
        <v>45002</v>
      </c>
      <c r="C3135" t="s">
        <v>1010</v>
      </c>
      <c r="D3135" t="s">
        <v>3530</v>
      </c>
      <c r="E3135">
        <v>130</v>
      </c>
      <c r="F3135" t="s">
        <v>7485</v>
      </c>
      <c r="G3135">
        <v>130</v>
      </c>
      <c r="H3135">
        <v>146.89679999999998</v>
      </c>
      <c r="N3135">
        <v>146.89679999999998</v>
      </c>
      <c r="O3135" s="1">
        <v>44920</v>
      </c>
      <c r="P3135">
        <f>IF(ISBLANK(ReconciliationData[[#This Row],[Invoice_ID]]),1,0)</f>
        <v>0</v>
      </c>
      <c r="Q3135">
        <f>IF(AND(NOT(ISBLANK(ReconciliationData[[#This Row],[Billed_Units]])),ReconciliationData[[#This Row],[ordered_units]]&lt;&gt;ReconciliationData[[#This Row],[Billed_Units]]),1,0)</f>
        <v>0</v>
      </c>
      <c r="R31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5">
        <f>IF(AND(NOT(ISBLANK(ReconciliationData[[#This Row],[Contract_Price]])),ReconciliationData[[#This Row],[Billed_Price]]&lt;&gt;ReconciliationData[[#This Row],[Contract_Price]]),1,0)</f>
        <v>0</v>
      </c>
      <c r="T3135">
        <f>IF(AND(NOT(ISBLANK(ReconciliationData[[#This Row],[End_Date]])),ReconciliationData[[#This Row],[Order_Date]]&gt;ReconciliationData[[#This Row],[End_Date]]),1,0)</f>
        <v>0</v>
      </c>
      <c r="U3135">
        <f>IF(AND(NOT(ISBLANK(ReconciliationData[[#This Row],[last_return_date]])),ReconciliationData[[#This Row],[last_return_date]]&gt;ReconciliationData[[#This Row],[Order_Date]]+60),1,0)</f>
        <v>0</v>
      </c>
      <c r="V3135">
        <f>IF(ReconciliationData[[#This Row],[total_returned_units]]&gt;ReconciliationData[[#This Row],[ordered_units]],1,0)</f>
        <v>0</v>
      </c>
      <c r="W31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35">
        <f>ReconciliationData[[#This Row],[Billed_Units]]*ReconciliationData[[#This Row],[Billed_Price]]</f>
        <v>19096.583999999999</v>
      </c>
      <c r="Y3135">
        <f>ReconciliationData[[#This Row],[ordered_units]]*ReconciliationData[[#This Row],[List_Price]]</f>
        <v>19096.583999999999</v>
      </c>
      <c r="Z3135">
        <f>ReconciliationData[[#This Row],[billed_revenue]]-ReconciliationData[[#This Row],[expected_revenue]]</f>
        <v>0</v>
      </c>
      <c r="AA31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35" t="str">
        <f>IF(ReconciliationData[[#This Row],[severity_score]]=0,"LOW",
 IF(ReconciliationData[[#This Row],[severity_score]]&lt;=5,"MEDIUM","HIGH"))</f>
        <v>LOW</v>
      </c>
      <c r="AC3135" t="str">
        <f>TEXT(ReconciliationData[[#This Row],[Order_Date]],"YYYY-MM")</f>
        <v>2023-03</v>
      </c>
    </row>
    <row r="3136" spans="1:29">
      <c r="A3136" t="s">
        <v>7486</v>
      </c>
      <c r="B3136" s="1">
        <v>45129</v>
      </c>
      <c r="C3136" t="s">
        <v>336</v>
      </c>
      <c r="D3136" t="s">
        <v>635</v>
      </c>
      <c r="E3136">
        <v>155</v>
      </c>
      <c r="F3136" t="s">
        <v>7487</v>
      </c>
      <c r="G3136">
        <v>155</v>
      </c>
      <c r="H3136">
        <v>951.54780000000005</v>
      </c>
      <c r="N3136">
        <v>951.54780000000005</v>
      </c>
      <c r="O3136" s="1">
        <v>44964</v>
      </c>
      <c r="P3136">
        <f>IF(ISBLANK(ReconciliationData[[#This Row],[Invoice_ID]]),1,0)</f>
        <v>0</v>
      </c>
      <c r="Q3136">
        <f>IF(AND(NOT(ISBLANK(ReconciliationData[[#This Row],[Billed_Units]])),ReconciliationData[[#This Row],[ordered_units]]&lt;&gt;ReconciliationData[[#This Row],[Billed_Units]]),1,0)</f>
        <v>0</v>
      </c>
      <c r="R31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6">
        <f>IF(AND(NOT(ISBLANK(ReconciliationData[[#This Row],[Contract_Price]])),ReconciliationData[[#This Row],[Billed_Price]]&lt;&gt;ReconciliationData[[#This Row],[Contract_Price]]),1,0)</f>
        <v>0</v>
      </c>
      <c r="T3136">
        <f>IF(AND(NOT(ISBLANK(ReconciliationData[[#This Row],[End_Date]])),ReconciliationData[[#This Row],[Order_Date]]&gt;ReconciliationData[[#This Row],[End_Date]]),1,0)</f>
        <v>0</v>
      </c>
      <c r="U3136">
        <f>IF(AND(NOT(ISBLANK(ReconciliationData[[#This Row],[last_return_date]])),ReconciliationData[[#This Row],[last_return_date]]&gt;ReconciliationData[[#This Row],[Order_Date]]+60),1,0)</f>
        <v>0</v>
      </c>
      <c r="V3136">
        <f>IF(ReconciliationData[[#This Row],[total_returned_units]]&gt;ReconciliationData[[#This Row],[ordered_units]],1,0)</f>
        <v>0</v>
      </c>
      <c r="W31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36">
        <f>ReconciliationData[[#This Row],[Billed_Units]]*ReconciliationData[[#This Row],[Billed_Price]]</f>
        <v>147489.90900000001</v>
      </c>
      <c r="Y3136">
        <f>ReconciliationData[[#This Row],[ordered_units]]*ReconciliationData[[#This Row],[List_Price]]</f>
        <v>147489.90900000001</v>
      </c>
      <c r="Z3136">
        <f>ReconciliationData[[#This Row],[billed_revenue]]-ReconciliationData[[#This Row],[expected_revenue]]</f>
        <v>0</v>
      </c>
      <c r="AA31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36" t="str">
        <f>IF(ReconciliationData[[#This Row],[severity_score]]=0,"LOW",
 IF(ReconciliationData[[#This Row],[severity_score]]&lt;=5,"MEDIUM","HIGH"))</f>
        <v>LOW</v>
      </c>
      <c r="AC3136" t="str">
        <f>TEXT(ReconciliationData[[#This Row],[Order_Date]],"YYYY-MM")</f>
        <v>2023-07</v>
      </c>
    </row>
    <row r="3137" spans="1:29">
      <c r="A3137" t="s">
        <v>7488</v>
      </c>
      <c r="B3137" s="1">
        <v>45095</v>
      </c>
      <c r="C3137" t="s">
        <v>919</v>
      </c>
      <c r="D3137" t="s">
        <v>916</v>
      </c>
      <c r="E3137">
        <v>25</v>
      </c>
      <c r="F3137" t="s">
        <v>7489</v>
      </c>
      <c r="G3137">
        <v>25</v>
      </c>
      <c r="H3137">
        <v>1158.2643</v>
      </c>
      <c r="N3137">
        <v>1158.2643</v>
      </c>
      <c r="O3137" s="1">
        <v>44771</v>
      </c>
      <c r="P3137">
        <f>IF(ISBLANK(ReconciliationData[[#This Row],[Invoice_ID]]),1,0)</f>
        <v>0</v>
      </c>
      <c r="Q3137">
        <f>IF(AND(NOT(ISBLANK(ReconciliationData[[#This Row],[Billed_Units]])),ReconciliationData[[#This Row],[ordered_units]]&lt;&gt;ReconciliationData[[#This Row],[Billed_Units]]),1,0)</f>
        <v>0</v>
      </c>
      <c r="R31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7">
        <f>IF(AND(NOT(ISBLANK(ReconciliationData[[#This Row],[Contract_Price]])),ReconciliationData[[#This Row],[Billed_Price]]&lt;&gt;ReconciliationData[[#This Row],[Contract_Price]]),1,0)</f>
        <v>0</v>
      </c>
      <c r="T3137">
        <f>IF(AND(NOT(ISBLANK(ReconciliationData[[#This Row],[End_Date]])),ReconciliationData[[#This Row],[Order_Date]]&gt;ReconciliationData[[#This Row],[End_Date]]),1,0)</f>
        <v>0</v>
      </c>
      <c r="U3137">
        <f>IF(AND(NOT(ISBLANK(ReconciliationData[[#This Row],[last_return_date]])),ReconciliationData[[#This Row],[last_return_date]]&gt;ReconciliationData[[#This Row],[Order_Date]]+60),1,0)</f>
        <v>0</v>
      </c>
      <c r="V3137">
        <f>IF(ReconciliationData[[#This Row],[total_returned_units]]&gt;ReconciliationData[[#This Row],[ordered_units]],1,0)</f>
        <v>0</v>
      </c>
      <c r="W31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37">
        <f>ReconciliationData[[#This Row],[Billed_Units]]*ReconciliationData[[#This Row],[Billed_Price]]</f>
        <v>28956.607500000002</v>
      </c>
      <c r="Y3137">
        <f>ReconciliationData[[#This Row],[ordered_units]]*ReconciliationData[[#This Row],[List_Price]]</f>
        <v>28956.607500000002</v>
      </c>
      <c r="Z3137">
        <f>ReconciliationData[[#This Row],[billed_revenue]]-ReconciliationData[[#This Row],[expected_revenue]]</f>
        <v>0</v>
      </c>
      <c r="AA31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37" t="str">
        <f>IF(ReconciliationData[[#This Row],[severity_score]]=0,"LOW",
 IF(ReconciliationData[[#This Row],[severity_score]]&lt;=5,"MEDIUM","HIGH"))</f>
        <v>LOW</v>
      </c>
      <c r="AC3137" t="str">
        <f>TEXT(ReconciliationData[[#This Row],[Order_Date]],"YYYY-MM")</f>
        <v>2023-06</v>
      </c>
    </row>
    <row r="3138" spans="1:29">
      <c r="A3138" t="s">
        <v>7490</v>
      </c>
      <c r="B3138" s="1">
        <v>45587</v>
      </c>
      <c r="C3138" t="s">
        <v>2359</v>
      </c>
      <c r="D3138" t="s">
        <v>1238</v>
      </c>
      <c r="E3138">
        <v>28</v>
      </c>
      <c r="F3138" t="s">
        <v>7491</v>
      </c>
      <c r="G3138">
        <v>28</v>
      </c>
      <c r="H3138">
        <v>355.32000000000005</v>
      </c>
      <c r="N3138">
        <v>355.32000000000005</v>
      </c>
      <c r="O3138" s="1">
        <v>45058</v>
      </c>
      <c r="P3138">
        <f>IF(ISBLANK(ReconciliationData[[#This Row],[Invoice_ID]]),1,0)</f>
        <v>0</v>
      </c>
      <c r="Q3138">
        <f>IF(AND(NOT(ISBLANK(ReconciliationData[[#This Row],[Billed_Units]])),ReconciliationData[[#This Row],[ordered_units]]&lt;&gt;ReconciliationData[[#This Row],[Billed_Units]]),1,0)</f>
        <v>0</v>
      </c>
      <c r="R31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8">
        <f>IF(AND(NOT(ISBLANK(ReconciliationData[[#This Row],[Contract_Price]])),ReconciliationData[[#This Row],[Billed_Price]]&lt;&gt;ReconciliationData[[#This Row],[Contract_Price]]),1,0)</f>
        <v>0</v>
      </c>
      <c r="T3138">
        <f>IF(AND(NOT(ISBLANK(ReconciliationData[[#This Row],[End_Date]])),ReconciliationData[[#This Row],[Order_Date]]&gt;ReconciliationData[[#This Row],[End_Date]]),1,0)</f>
        <v>0</v>
      </c>
      <c r="U3138">
        <f>IF(AND(NOT(ISBLANK(ReconciliationData[[#This Row],[last_return_date]])),ReconciliationData[[#This Row],[last_return_date]]&gt;ReconciliationData[[#This Row],[Order_Date]]+60),1,0)</f>
        <v>0</v>
      </c>
      <c r="V3138">
        <f>IF(ReconciliationData[[#This Row],[total_returned_units]]&gt;ReconciliationData[[#This Row],[ordered_units]],1,0)</f>
        <v>0</v>
      </c>
      <c r="W31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38">
        <f>ReconciliationData[[#This Row],[Billed_Units]]*ReconciliationData[[#This Row],[Billed_Price]]</f>
        <v>9948.9600000000009</v>
      </c>
      <c r="Y3138">
        <f>ReconciliationData[[#This Row],[ordered_units]]*ReconciliationData[[#This Row],[List_Price]]</f>
        <v>9948.9600000000009</v>
      </c>
      <c r="Z3138">
        <f>ReconciliationData[[#This Row],[billed_revenue]]-ReconciliationData[[#This Row],[expected_revenue]]</f>
        <v>0</v>
      </c>
      <c r="AA31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38" t="str">
        <f>IF(ReconciliationData[[#This Row],[severity_score]]=0,"LOW",
 IF(ReconciliationData[[#This Row],[severity_score]]&lt;=5,"MEDIUM","HIGH"))</f>
        <v>LOW</v>
      </c>
      <c r="AC3138" t="str">
        <f>TEXT(ReconciliationData[[#This Row],[Order_Date]],"YYYY-MM")</f>
        <v>2024-10</v>
      </c>
    </row>
    <row r="3139" spans="1:29">
      <c r="A3139" t="s">
        <v>7492</v>
      </c>
      <c r="B3139" s="1">
        <v>45344</v>
      </c>
      <c r="C3139" t="s">
        <v>2595</v>
      </c>
      <c r="D3139" t="s">
        <v>500</v>
      </c>
      <c r="E3139">
        <v>124</v>
      </c>
      <c r="F3139" t="s">
        <v>7493</v>
      </c>
      <c r="G3139">
        <v>124</v>
      </c>
      <c r="H3139">
        <v>1086.3648000000001</v>
      </c>
      <c r="N3139">
        <v>1086.3648000000001</v>
      </c>
      <c r="O3139" s="1">
        <v>44940</v>
      </c>
      <c r="P3139">
        <f>IF(ISBLANK(ReconciliationData[[#This Row],[Invoice_ID]]),1,0)</f>
        <v>0</v>
      </c>
      <c r="Q3139">
        <f>IF(AND(NOT(ISBLANK(ReconciliationData[[#This Row],[Billed_Units]])),ReconciliationData[[#This Row],[ordered_units]]&lt;&gt;ReconciliationData[[#This Row],[Billed_Units]]),1,0)</f>
        <v>0</v>
      </c>
      <c r="R31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39">
        <f>IF(AND(NOT(ISBLANK(ReconciliationData[[#This Row],[Contract_Price]])),ReconciliationData[[#This Row],[Billed_Price]]&lt;&gt;ReconciliationData[[#This Row],[Contract_Price]]),1,0)</f>
        <v>0</v>
      </c>
      <c r="T3139">
        <f>IF(AND(NOT(ISBLANK(ReconciliationData[[#This Row],[End_Date]])),ReconciliationData[[#This Row],[Order_Date]]&gt;ReconciliationData[[#This Row],[End_Date]]),1,0)</f>
        <v>0</v>
      </c>
      <c r="U3139">
        <f>IF(AND(NOT(ISBLANK(ReconciliationData[[#This Row],[last_return_date]])),ReconciliationData[[#This Row],[last_return_date]]&gt;ReconciliationData[[#This Row],[Order_Date]]+60),1,0)</f>
        <v>0</v>
      </c>
      <c r="V3139">
        <f>IF(ReconciliationData[[#This Row],[total_returned_units]]&gt;ReconciliationData[[#This Row],[ordered_units]],1,0)</f>
        <v>0</v>
      </c>
      <c r="W31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39">
        <f>ReconciliationData[[#This Row],[Billed_Units]]*ReconciliationData[[#This Row],[Billed_Price]]</f>
        <v>134709.2352</v>
      </c>
      <c r="Y3139">
        <f>ReconciliationData[[#This Row],[ordered_units]]*ReconciliationData[[#This Row],[List_Price]]</f>
        <v>134709.2352</v>
      </c>
      <c r="Z3139">
        <f>ReconciliationData[[#This Row],[billed_revenue]]-ReconciliationData[[#This Row],[expected_revenue]]</f>
        <v>0</v>
      </c>
      <c r="AA31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39" t="str">
        <f>IF(ReconciliationData[[#This Row],[severity_score]]=0,"LOW",
 IF(ReconciliationData[[#This Row],[severity_score]]&lt;=5,"MEDIUM","HIGH"))</f>
        <v>LOW</v>
      </c>
      <c r="AC3139" t="str">
        <f>TEXT(ReconciliationData[[#This Row],[Order_Date]],"YYYY-MM")</f>
        <v>2024-02</v>
      </c>
    </row>
    <row r="3140" spans="1:29">
      <c r="A3140" t="s">
        <v>7494</v>
      </c>
      <c r="B3140" s="1">
        <v>45485</v>
      </c>
      <c r="C3140" t="s">
        <v>1905</v>
      </c>
      <c r="D3140" t="s">
        <v>2489</v>
      </c>
      <c r="E3140">
        <v>22</v>
      </c>
      <c r="F3140" t="s">
        <v>7495</v>
      </c>
      <c r="G3140">
        <v>22</v>
      </c>
      <c r="H3140">
        <v>544.5</v>
      </c>
      <c r="N3140">
        <v>544.5</v>
      </c>
      <c r="O3140" s="1">
        <v>45159</v>
      </c>
      <c r="P3140">
        <f>IF(ISBLANK(ReconciliationData[[#This Row],[Invoice_ID]]),1,0)</f>
        <v>0</v>
      </c>
      <c r="Q3140">
        <f>IF(AND(NOT(ISBLANK(ReconciliationData[[#This Row],[Billed_Units]])),ReconciliationData[[#This Row],[ordered_units]]&lt;&gt;ReconciliationData[[#This Row],[Billed_Units]]),1,0)</f>
        <v>0</v>
      </c>
      <c r="R31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0">
        <f>IF(AND(NOT(ISBLANK(ReconciliationData[[#This Row],[Contract_Price]])),ReconciliationData[[#This Row],[Billed_Price]]&lt;&gt;ReconciliationData[[#This Row],[Contract_Price]]),1,0)</f>
        <v>0</v>
      </c>
      <c r="T3140">
        <f>IF(AND(NOT(ISBLANK(ReconciliationData[[#This Row],[End_Date]])),ReconciliationData[[#This Row],[Order_Date]]&gt;ReconciliationData[[#This Row],[End_Date]]),1,0)</f>
        <v>0</v>
      </c>
      <c r="U3140">
        <f>IF(AND(NOT(ISBLANK(ReconciliationData[[#This Row],[last_return_date]])),ReconciliationData[[#This Row],[last_return_date]]&gt;ReconciliationData[[#This Row],[Order_Date]]+60),1,0)</f>
        <v>0</v>
      </c>
      <c r="V3140">
        <f>IF(ReconciliationData[[#This Row],[total_returned_units]]&gt;ReconciliationData[[#This Row],[ordered_units]],1,0)</f>
        <v>0</v>
      </c>
      <c r="W31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40">
        <f>ReconciliationData[[#This Row],[Billed_Units]]*ReconciliationData[[#This Row],[Billed_Price]]</f>
        <v>11979</v>
      </c>
      <c r="Y3140">
        <f>ReconciliationData[[#This Row],[ordered_units]]*ReconciliationData[[#This Row],[List_Price]]</f>
        <v>11979</v>
      </c>
      <c r="Z3140">
        <f>ReconciliationData[[#This Row],[billed_revenue]]-ReconciliationData[[#This Row],[expected_revenue]]</f>
        <v>0</v>
      </c>
      <c r="AA31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40" t="str">
        <f>IF(ReconciliationData[[#This Row],[severity_score]]=0,"LOW",
 IF(ReconciliationData[[#This Row],[severity_score]]&lt;=5,"MEDIUM","HIGH"))</f>
        <v>LOW</v>
      </c>
      <c r="AC3140" t="str">
        <f>TEXT(ReconciliationData[[#This Row],[Order_Date]],"YYYY-MM")</f>
        <v>2024-07</v>
      </c>
    </row>
    <row r="3141" spans="1:29">
      <c r="A3141" t="s">
        <v>7496</v>
      </c>
      <c r="B3141" s="1">
        <v>45037</v>
      </c>
      <c r="C3141" t="s">
        <v>4875</v>
      </c>
      <c r="D3141" t="s">
        <v>235</v>
      </c>
      <c r="E3141">
        <v>165</v>
      </c>
      <c r="F3141" t="s">
        <v>7497</v>
      </c>
      <c r="G3141">
        <v>165</v>
      </c>
      <c r="H3141">
        <v>421.92750000000001</v>
      </c>
      <c r="N3141">
        <v>421.92750000000001</v>
      </c>
      <c r="O3141" s="1">
        <v>44969</v>
      </c>
      <c r="P3141">
        <f>IF(ISBLANK(ReconciliationData[[#This Row],[Invoice_ID]]),1,0)</f>
        <v>0</v>
      </c>
      <c r="Q3141">
        <f>IF(AND(NOT(ISBLANK(ReconciliationData[[#This Row],[Billed_Units]])),ReconciliationData[[#This Row],[ordered_units]]&lt;&gt;ReconciliationData[[#This Row],[Billed_Units]]),1,0)</f>
        <v>0</v>
      </c>
      <c r="R31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1">
        <f>IF(AND(NOT(ISBLANK(ReconciliationData[[#This Row],[Contract_Price]])),ReconciliationData[[#This Row],[Billed_Price]]&lt;&gt;ReconciliationData[[#This Row],[Contract_Price]]),1,0)</f>
        <v>0</v>
      </c>
      <c r="T3141">
        <f>IF(AND(NOT(ISBLANK(ReconciliationData[[#This Row],[End_Date]])),ReconciliationData[[#This Row],[Order_Date]]&gt;ReconciliationData[[#This Row],[End_Date]]),1,0)</f>
        <v>0</v>
      </c>
      <c r="U3141">
        <f>IF(AND(NOT(ISBLANK(ReconciliationData[[#This Row],[last_return_date]])),ReconciliationData[[#This Row],[last_return_date]]&gt;ReconciliationData[[#This Row],[Order_Date]]+60),1,0)</f>
        <v>0</v>
      </c>
      <c r="V3141">
        <f>IF(ReconciliationData[[#This Row],[total_returned_units]]&gt;ReconciliationData[[#This Row],[ordered_units]],1,0)</f>
        <v>0</v>
      </c>
      <c r="W31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41">
        <f>ReconciliationData[[#This Row],[Billed_Units]]*ReconciliationData[[#This Row],[Billed_Price]]</f>
        <v>69618.037500000006</v>
      </c>
      <c r="Y3141">
        <f>ReconciliationData[[#This Row],[ordered_units]]*ReconciliationData[[#This Row],[List_Price]]</f>
        <v>69618.037500000006</v>
      </c>
      <c r="Z3141">
        <f>ReconciliationData[[#This Row],[billed_revenue]]-ReconciliationData[[#This Row],[expected_revenue]]</f>
        <v>0</v>
      </c>
      <c r="AA31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41" t="str">
        <f>IF(ReconciliationData[[#This Row],[severity_score]]=0,"LOW",
 IF(ReconciliationData[[#This Row],[severity_score]]&lt;=5,"MEDIUM","HIGH"))</f>
        <v>LOW</v>
      </c>
      <c r="AC3141" t="str">
        <f>TEXT(ReconciliationData[[#This Row],[Order_Date]],"YYYY-MM")</f>
        <v>2023-04</v>
      </c>
    </row>
    <row r="3142" spans="1:29">
      <c r="A3142" t="s">
        <v>7498</v>
      </c>
      <c r="B3142" s="1">
        <v>45317</v>
      </c>
      <c r="C3142" t="s">
        <v>3800</v>
      </c>
      <c r="D3142" t="s">
        <v>707</v>
      </c>
      <c r="E3142">
        <v>21</v>
      </c>
      <c r="F3142" t="s">
        <v>7499</v>
      </c>
      <c r="G3142">
        <v>21</v>
      </c>
      <c r="H3142">
        <v>381.97550000000001</v>
      </c>
      <c r="N3142">
        <v>381.97550000000001</v>
      </c>
      <c r="O3142" s="1">
        <v>45065</v>
      </c>
      <c r="P3142">
        <f>IF(ISBLANK(ReconciliationData[[#This Row],[Invoice_ID]]),1,0)</f>
        <v>0</v>
      </c>
      <c r="Q3142">
        <f>IF(AND(NOT(ISBLANK(ReconciliationData[[#This Row],[Billed_Units]])),ReconciliationData[[#This Row],[ordered_units]]&lt;&gt;ReconciliationData[[#This Row],[Billed_Units]]),1,0)</f>
        <v>0</v>
      </c>
      <c r="R31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2">
        <f>IF(AND(NOT(ISBLANK(ReconciliationData[[#This Row],[Contract_Price]])),ReconciliationData[[#This Row],[Billed_Price]]&lt;&gt;ReconciliationData[[#This Row],[Contract_Price]]),1,0)</f>
        <v>0</v>
      </c>
      <c r="T3142">
        <f>IF(AND(NOT(ISBLANK(ReconciliationData[[#This Row],[End_Date]])),ReconciliationData[[#This Row],[Order_Date]]&gt;ReconciliationData[[#This Row],[End_Date]]),1,0)</f>
        <v>0</v>
      </c>
      <c r="U3142">
        <f>IF(AND(NOT(ISBLANK(ReconciliationData[[#This Row],[last_return_date]])),ReconciliationData[[#This Row],[last_return_date]]&gt;ReconciliationData[[#This Row],[Order_Date]]+60),1,0)</f>
        <v>0</v>
      </c>
      <c r="V3142">
        <f>IF(ReconciliationData[[#This Row],[total_returned_units]]&gt;ReconciliationData[[#This Row],[ordered_units]],1,0)</f>
        <v>0</v>
      </c>
      <c r="W31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42">
        <f>ReconciliationData[[#This Row],[Billed_Units]]*ReconciliationData[[#This Row],[Billed_Price]]</f>
        <v>8021.4855000000007</v>
      </c>
      <c r="Y3142">
        <f>ReconciliationData[[#This Row],[ordered_units]]*ReconciliationData[[#This Row],[List_Price]]</f>
        <v>8021.4855000000007</v>
      </c>
      <c r="Z3142">
        <f>ReconciliationData[[#This Row],[billed_revenue]]-ReconciliationData[[#This Row],[expected_revenue]]</f>
        <v>0</v>
      </c>
      <c r="AA31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42" t="str">
        <f>IF(ReconciliationData[[#This Row],[severity_score]]=0,"LOW",
 IF(ReconciliationData[[#This Row],[severity_score]]&lt;=5,"MEDIUM","HIGH"))</f>
        <v>LOW</v>
      </c>
      <c r="AC3142" t="str">
        <f>TEXT(ReconciliationData[[#This Row],[Order_Date]],"YYYY-MM")</f>
        <v>2024-01</v>
      </c>
    </row>
    <row r="3143" spans="1:29">
      <c r="A3143" t="s">
        <v>7500</v>
      </c>
      <c r="B3143" s="1">
        <v>44967</v>
      </c>
      <c r="C3143" t="s">
        <v>1049</v>
      </c>
      <c r="D3143" t="s">
        <v>178</v>
      </c>
      <c r="E3143">
        <v>157</v>
      </c>
      <c r="F3143" t="s">
        <v>7501</v>
      </c>
      <c r="G3143">
        <v>157</v>
      </c>
      <c r="H3143">
        <v>634.76160000000004</v>
      </c>
      <c r="N3143">
        <v>634.76160000000004</v>
      </c>
      <c r="O3143" s="1">
        <v>44928</v>
      </c>
      <c r="P3143">
        <f>IF(ISBLANK(ReconciliationData[[#This Row],[Invoice_ID]]),1,0)</f>
        <v>0</v>
      </c>
      <c r="Q3143">
        <f>IF(AND(NOT(ISBLANK(ReconciliationData[[#This Row],[Billed_Units]])),ReconciliationData[[#This Row],[ordered_units]]&lt;&gt;ReconciliationData[[#This Row],[Billed_Units]]),1,0)</f>
        <v>0</v>
      </c>
      <c r="R31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3">
        <f>IF(AND(NOT(ISBLANK(ReconciliationData[[#This Row],[Contract_Price]])),ReconciliationData[[#This Row],[Billed_Price]]&lt;&gt;ReconciliationData[[#This Row],[Contract_Price]]),1,0)</f>
        <v>0</v>
      </c>
      <c r="T3143">
        <f>IF(AND(NOT(ISBLANK(ReconciliationData[[#This Row],[End_Date]])),ReconciliationData[[#This Row],[Order_Date]]&gt;ReconciliationData[[#This Row],[End_Date]]),1,0)</f>
        <v>0</v>
      </c>
      <c r="U3143">
        <f>IF(AND(NOT(ISBLANK(ReconciliationData[[#This Row],[last_return_date]])),ReconciliationData[[#This Row],[last_return_date]]&gt;ReconciliationData[[#This Row],[Order_Date]]+60),1,0)</f>
        <v>0</v>
      </c>
      <c r="V3143">
        <f>IF(ReconciliationData[[#This Row],[total_returned_units]]&gt;ReconciliationData[[#This Row],[ordered_units]],1,0)</f>
        <v>0</v>
      </c>
      <c r="W31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43">
        <f>ReconciliationData[[#This Row],[Billed_Units]]*ReconciliationData[[#This Row],[Billed_Price]]</f>
        <v>99657.571200000006</v>
      </c>
      <c r="Y3143">
        <f>ReconciliationData[[#This Row],[ordered_units]]*ReconciliationData[[#This Row],[List_Price]]</f>
        <v>99657.571200000006</v>
      </c>
      <c r="Z3143">
        <f>ReconciliationData[[#This Row],[billed_revenue]]-ReconciliationData[[#This Row],[expected_revenue]]</f>
        <v>0</v>
      </c>
      <c r="AA31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43" t="str">
        <f>IF(ReconciliationData[[#This Row],[severity_score]]=0,"LOW",
 IF(ReconciliationData[[#This Row],[severity_score]]&lt;=5,"MEDIUM","HIGH"))</f>
        <v>LOW</v>
      </c>
      <c r="AC3143" t="str">
        <f>TEXT(ReconciliationData[[#This Row],[Order_Date]],"YYYY-MM")</f>
        <v>2023-02</v>
      </c>
    </row>
    <row r="3144" spans="1:29">
      <c r="A3144" t="s">
        <v>7502</v>
      </c>
      <c r="B3144" s="1">
        <v>45064</v>
      </c>
      <c r="C3144" t="s">
        <v>926</v>
      </c>
      <c r="D3144" t="s">
        <v>573</v>
      </c>
      <c r="E3144">
        <v>135</v>
      </c>
      <c r="F3144" t="s">
        <v>7503</v>
      </c>
      <c r="G3144">
        <v>135</v>
      </c>
      <c r="H3144">
        <v>1259.9685000000002</v>
      </c>
      <c r="N3144">
        <v>1259.9685000000002</v>
      </c>
      <c r="O3144" s="1">
        <v>44913</v>
      </c>
      <c r="P3144">
        <f>IF(ISBLANK(ReconciliationData[[#This Row],[Invoice_ID]]),1,0)</f>
        <v>0</v>
      </c>
      <c r="Q3144">
        <f>IF(AND(NOT(ISBLANK(ReconciliationData[[#This Row],[Billed_Units]])),ReconciliationData[[#This Row],[ordered_units]]&lt;&gt;ReconciliationData[[#This Row],[Billed_Units]]),1,0)</f>
        <v>0</v>
      </c>
      <c r="R31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4">
        <f>IF(AND(NOT(ISBLANK(ReconciliationData[[#This Row],[Contract_Price]])),ReconciliationData[[#This Row],[Billed_Price]]&lt;&gt;ReconciliationData[[#This Row],[Contract_Price]]),1,0)</f>
        <v>0</v>
      </c>
      <c r="T3144">
        <f>IF(AND(NOT(ISBLANK(ReconciliationData[[#This Row],[End_Date]])),ReconciliationData[[#This Row],[Order_Date]]&gt;ReconciliationData[[#This Row],[End_Date]]),1,0)</f>
        <v>0</v>
      </c>
      <c r="U3144">
        <f>IF(AND(NOT(ISBLANK(ReconciliationData[[#This Row],[last_return_date]])),ReconciliationData[[#This Row],[last_return_date]]&gt;ReconciliationData[[#This Row],[Order_Date]]+60),1,0)</f>
        <v>0</v>
      </c>
      <c r="V3144">
        <f>IF(ReconciliationData[[#This Row],[total_returned_units]]&gt;ReconciliationData[[#This Row],[ordered_units]],1,0)</f>
        <v>0</v>
      </c>
      <c r="W31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44">
        <f>ReconciliationData[[#This Row],[Billed_Units]]*ReconciliationData[[#This Row],[Billed_Price]]</f>
        <v>170095.74750000003</v>
      </c>
      <c r="Y3144">
        <f>ReconciliationData[[#This Row],[ordered_units]]*ReconciliationData[[#This Row],[List_Price]]</f>
        <v>170095.74750000003</v>
      </c>
      <c r="Z3144">
        <f>ReconciliationData[[#This Row],[billed_revenue]]-ReconciliationData[[#This Row],[expected_revenue]]</f>
        <v>0</v>
      </c>
      <c r="AA31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44" t="str">
        <f>IF(ReconciliationData[[#This Row],[severity_score]]=0,"LOW",
 IF(ReconciliationData[[#This Row],[severity_score]]&lt;=5,"MEDIUM","HIGH"))</f>
        <v>LOW</v>
      </c>
      <c r="AC3144" t="str">
        <f>TEXT(ReconciliationData[[#This Row],[Order_Date]],"YYYY-MM")</f>
        <v>2023-05</v>
      </c>
    </row>
    <row r="3145" spans="1:29">
      <c r="A3145" t="s">
        <v>7504</v>
      </c>
      <c r="B3145" s="1">
        <v>45269</v>
      </c>
      <c r="C3145" t="s">
        <v>3073</v>
      </c>
      <c r="D3145" t="s">
        <v>1309</v>
      </c>
      <c r="E3145">
        <v>53</v>
      </c>
      <c r="F3145" t="s">
        <v>7505</v>
      </c>
      <c r="G3145">
        <v>53</v>
      </c>
      <c r="H3145">
        <v>906.88919999999996</v>
      </c>
      <c r="I3145">
        <v>3</v>
      </c>
      <c r="J3145" s="1">
        <v>45602</v>
      </c>
      <c r="N3145">
        <v>906.88919999999996</v>
      </c>
      <c r="O3145" s="1">
        <v>44991</v>
      </c>
      <c r="P3145">
        <f>IF(ISBLANK(ReconciliationData[[#This Row],[Invoice_ID]]),1,0)</f>
        <v>0</v>
      </c>
      <c r="Q3145">
        <f>IF(AND(NOT(ISBLANK(ReconciliationData[[#This Row],[Billed_Units]])),ReconciliationData[[#This Row],[ordered_units]]&lt;&gt;ReconciliationData[[#This Row],[Billed_Units]]),1,0)</f>
        <v>0</v>
      </c>
      <c r="R31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5">
        <f>IF(AND(NOT(ISBLANK(ReconciliationData[[#This Row],[Contract_Price]])),ReconciliationData[[#This Row],[Billed_Price]]&lt;&gt;ReconciliationData[[#This Row],[Contract_Price]]),1,0)</f>
        <v>0</v>
      </c>
      <c r="T3145">
        <f>IF(AND(NOT(ISBLANK(ReconciliationData[[#This Row],[End_Date]])),ReconciliationData[[#This Row],[Order_Date]]&gt;ReconciliationData[[#This Row],[End_Date]]),1,0)</f>
        <v>0</v>
      </c>
      <c r="U3145">
        <f>IF(AND(NOT(ISBLANK(ReconciliationData[[#This Row],[last_return_date]])),ReconciliationData[[#This Row],[last_return_date]]&gt;ReconciliationData[[#This Row],[Order_Date]]+60),1,0)</f>
        <v>1</v>
      </c>
      <c r="V3145">
        <f>IF(ReconciliationData[[#This Row],[total_returned_units]]&gt;ReconciliationData[[#This Row],[ordered_units]],1,0)</f>
        <v>0</v>
      </c>
      <c r="W31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45">
        <f>ReconciliationData[[#This Row],[Billed_Units]]*ReconciliationData[[#This Row],[Billed_Price]]</f>
        <v>48065.1276</v>
      </c>
      <c r="Y3145">
        <f>ReconciliationData[[#This Row],[ordered_units]]*ReconciliationData[[#This Row],[List_Price]]</f>
        <v>48065.1276</v>
      </c>
      <c r="Z3145">
        <f>ReconciliationData[[#This Row],[billed_revenue]]-ReconciliationData[[#This Row],[expected_revenue]]</f>
        <v>0</v>
      </c>
      <c r="AA31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145" t="str">
        <f>IF(ReconciliationData[[#This Row],[severity_score]]=0,"LOW",
 IF(ReconciliationData[[#This Row],[severity_score]]&lt;=5,"MEDIUM","HIGH"))</f>
        <v>MEDIUM</v>
      </c>
      <c r="AC3145" t="str">
        <f>TEXT(ReconciliationData[[#This Row],[Order_Date]],"YYYY-MM")</f>
        <v>2023-12</v>
      </c>
    </row>
    <row r="3146" spans="1:29">
      <c r="A3146" t="s">
        <v>7506</v>
      </c>
      <c r="B3146" s="1">
        <v>44965</v>
      </c>
      <c r="C3146" t="s">
        <v>153</v>
      </c>
      <c r="D3146" t="s">
        <v>381</v>
      </c>
      <c r="E3146">
        <v>20</v>
      </c>
      <c r="F3146" t="s">
        <v>7507</v>
      </c>
      <c r="G3146">
        <v>20</v>
      </c>
      <c r="H3146">
        <v>933.82110000000011</v>
      </c>
      <c r="N3146">
        <v>933.82110000000011</v>
      </c>
      <c r="O3146" s="1">
        <v>44855</v>
      </c>
      <c r="P3146">
        <f>IF(ISBLANK(ReconciliationData[[#This Row],[Invoice_ID]]),1,0)</f>
        <v>0</v>
      </c>
      <c r="Q3146">
        <f>IF(AND(NOT(ISBLANK(ReconciliationData[[#This Row],[Billed_Units]])),ReconciliationData[[#This Row],[ordered_units]]&lt;&gt;ReconciliationData[[#This Row],[Billed_Units]]),1,0)</f>
        <v>0</v>
      </c>
      <c r="R31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6">
        <f>IF(AND(NOT(ISBLANK(ReconciliationData[[#This Row],[Contract_Price]])),ReconciliationData[[#This Row],[Billed_Price]]&lt;&gt;ReconciliationData[[#This Row],[Contract_Price]]),1,0)</f>
        <v>0</v>
      </c>
      <c r="T3146">
        <f>IF(AND(NOT(ISBLANK(ReconciliationData[[#This Row],[End_Date]])),ReconciliationData[[#This Row],[Order_Date]]&gt;ReconciliationData[[#This Row],[End_Date]]),1,0)</f>
        <v>0</v>
      </c>
      <c r="U3146">
        <f>IF(AND(NOT(ISBLANK(ReconciliationData[[#This Row],[last_return_date]])),ReconciliationData[[#This Row],[last_return_date]]&gt;ReconciliationData[[#This Row],[Order_Date]]+60),1,0)</f>
        <v>0</v>
      </c>
      <c r="V3146">
        <f>IF(ReconciliationData[[#This Row],[total_returned_units]]&gt;ReconciliationData[[#This Row],[ordered_units]],1,0)</f>
        <v>0</v>
      </c>
      <c r="W31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46">
        <f>ReconciliationData[[#This Row],[Billed_Units]]*ReconciliationData[[#This Row],[Billed_Price]]</f>
        <v>18676.422000000002</v>
      </c>
      <c r="Y3146">
        <f>ReconciliationData[[#This Row],[ordered_units]]*ReconciliationData[[#This Row],[List_Price]]</f>
        <v>18676.422000000002</v>
      </c>
      <c r="Z3146">
        <f>ReconciliationData[[#This Row],[billed_revenue]]-ReconciliationData[[#This Row],[expected_revenue]]</f>
        <v>0</v>
      </c>
      <c r="AA31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46" t="str">
        <f>IF(ReconciliationData[[#This Row],[severity_score]]=0,"LOW",
 IF(ReconciliationData[[#This Row],[severity_score]]&lt;=5,"MEDIUM","HIGH"))</f>
        <v>LOW</v>
      </c>
      <c r="AC3146" t="str">
        <f>TEXT(ReconciliationData[[#This Row],[Order_Date]],"YYYY-MM")</f>
        <v>2023-02</v>
      </c>
    </row>
    <row r="3147" spans="1:29">
      <c r="A3147" t="s">
        <v>7508</v>
      </c>
      <c r="B3147" s="1">
        <v>45146</v>
      </c>
      <c r="C3147" t="s">
        <v>4891</v>
      </c>
      <c r="D3147" t="s">
        <v>479</v>
      </c>
      <c r="E3147">
        <v>32</v>
      </c>
      <c r="F3147" t="s">
        <v>7509</v>
      </c>
      <c r="G3147">
        <v>32</v>
      </c>
      <c r="H3147">
        <v>1014.5718000000001</v>
      </c>
      <c r="N3147">
        <v>1014.5718000000001</v>
      </c>
      <c r="O3147" s="1">
        <v>45035</v>
      </c>
      <c r="P3147">
        <f>IF(ISBLANK(ReconciliationData[[#This Row],[Invoice_ID]]),1,0)</f>
        <v>0</v>
      </c>
      <c r="Q3147">
        <f>IF(AND(NOT(ISBLANK(ReconciliationData[[#This Row],[Billed_Units]])),ReconciliationData[[#This Row],[ordered_units]]&lt;&gt;ReconciliationData[[#This Row],[Billed_Units]]),1,0)</f>
        <v>0</v>
      </c>
      <c r="R31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7">
        <f>IF(AND(NOT(ISBLANK(ReconciliationData[[#This Row],[Contract_Price]])),ReconciliationData[[#This Row],[Billed_Price]]&lt;&gt;ReconciliationData[[#This Row],[Contract_Price]]),1,0)</f>
        <v>0</v>
      </c>
      <c r="T3147">
        <f>IF(AND(NOT(ISBLANK(ReconciliationData[[#This Row],[End_Date]])),ReconciliationData[[#This Row],[Order_Date]]&gt;ReconciliationData[[#This Row],[End_Date]]),1,0)</f>
        <v>0</v>
      </c>
      <c r="U3147">
        <f>IF(AND(NOT(ISBLANK(ReconciliationData[[#This Row],[last_return_date]])),ReconciliationData[[#This Row],[last_return_date]]&gt;ReconciliationData[[#This Row],[Order_Date]]+60),1,0)</f>
        <v>0</v>
      </c>
      <c r="V3147">
        <f>IF(ReconciliationData[[#This Row],[total_returned_units]]&gt;ReconciliationData[[#This Row],[ordered_units]],1,0)</f>
        <v>0</v>
      </c>
      <c r="W31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47">
        <f>ReconciliationData[[#This Row],[Billed_Units]]*ReconciliationData[[#This Row],[Billed_Price]]</f>
        <v>32466.297600000002</v>
      </c>
      <c r="Y3147">
        <f>ReconciliationData[[#This Row],[ordered_units]]*ReconciliationData[[#This Row],[List_Price]]</f>
        <v>32466.297600000002</v>
      </c>
      <c r="Z3147">
        <f>ReconciliationData[[#This Row],[billed_revenue]]-ReconciliationData[[#This Row],[expected_revenue]]</f>
        <v>0</v>
      </c>
      <c r="AA31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47" t="str">
        <f>IF(ReconciliationData[[#This Row],[severity_score]]=0,"LOW",
 IF(ReconciliationData[[#This Row],[severity_score]]&lt;=5,"MEDIUM","HIGH"))</f>
        <v>LOW</v>
      </c>
      <c r="AC3147" t="str">
        <f>TEXT(ReconciliationData[[#This Row],[Order_Date]],"YYYY-MM")</f>
        <v>2023-08</v>
      </c>
    </row>
    <row r="3148" spans="1:29">
      <c r="A3148" t="s">
        <v>7510</v>
      </c>
      <c r="B3148" s="1">
        <v>45047</v>
      </c>
      <c r="C3148" t="s">
        <v>3267</v>
      </c>
      <c r="D3148" t="s">
        <v>537</v>
      </c>
      <c r="E3148">
        <v>96</v>
      </c>
      <c r="F3148" t="s">
        <v>7511</v>
      </c>
      <c r="G3148">
        <v>96</v>
      </c>
      <c r="H3148">
        <v>437.39519999999999</v>
      </c>
      <c r="N3148">
        <v>437.39519999999999</v>
      </c>
      <c r="O3148" s="1">
        <v>44935</v>
      </c>
      <c r="P3148">
        <f>IF(ISBLANK(ReconciliationData[[#This Row],[Invoice_ID]]),1,0)</f>
        <v>0</v>
      </c>
      <c r="Q3148">
        <f>IF(AND(NOT(ISBLANK(ReconciliationData[[#This Row],[Billed_Units]])),ReconciliationData[[#This Row],[ordered_units]]&lt;&gt;ReconciliationData[[#This Row],[Billed_Units]]),1,0)</f>
        <v>0</v>
      </c>
      <c r="R31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8">
        <f>IF(AND(NOT(ISBLANK(ReconciliationData[[#This Row],[Contract_Price]])),ReconciliationData[[#This Row],[Billed_Price]]&lt;&gt;ReconciliationData[[#This Row],[Contract_Price]]),1,0)</f>
        <v>0</v>
      </c>
      <c r="T3148">
        <f>IF(AND(NOT(ISBLANK(ReconciliationData[[#This Row],[End_Date]])),ReconciliationData[[#This Row],[Order_Date]]&gt;ReconciliationData[[#This Row],[End_Date]]),1,0)</f>
        <v>0</v>
      </c>
      <c r="U3148">
        <f>IF(AND(NOT(ISBLANK(ReconciliationData[[#This Row],[last_return_date]])),ReconciliationData[[#This Row],[last_return_date]]&gt;ReconciliationData[[#This Row],[Order_Date]]+60),1,0)</f>
        <v>0</v>
      </c>
      <c r="V3148">
        <f>IF(ReconciliationData[[#This Row],[total_returned_units]]&gt;ReconciliationData[[#This Row],[ordered_units]],1,0)</f>
        <v>0</v>
      </c>
      <c r="W31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48">
        <f>ReconciliationData[[#This Row],[Billed_Units]]*ReconciliationData[[#This Row],[Billed_Price]]</f>
        <v>41989.939200000001</v>
      </c>
      <c r="Y3148">
        <f>ReconciliationData[[#This Row],[ordered_units]]*ReconciliationData[[#This Row],[List_Price]]</f>
        <v>41989.939200000001</v>
      </c>
      <c r="Z3148">
        <f>ReconciliationData[[#This Row],[billed_revenue]]-ReconciliationData[[#This Row],[expected_revenue]]</f>
        <v>0</v>
      </c>
      <c r="AA31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48" t="str">
        <f>IF(ReconciliationData[[#This Row],[severity_score]]=0,"LOW",
 IF(ReconciliationData[[#This Row],[severity_score]]&lt;=5,"MEDIUM","HIGH"))</f>
        <v>LOW</v>
      </c>
      <c r="AC3148" t="str">
        <f>TEXT(ReconciliationData[[#This Row],[Order_Date]],"YYYY-MM")</f>
        <v>2023-05</v>
      </c>
    </row>
    <row r="3149" spans="1:29">
      <c r="A3149" t="s">
        <v>7512</v>
      </c>
      <c r="B3149" s="1">
        <v>45287</v>
      </c>
      <c r="C3149" t="s">
        <v>4053</v>
      </c>
      <c r="D3149" t="s">
        <v>1003</v>
      </c>
      <c r="E3149">
        <v>151</v>
      </c>
      <c r="F3149" t="s">
        <v>7513</v>
      </c>
      <c r="G3149">
        <v>150</v>
      </c>
      <c r="H3149">
        <v>825.13580000000002</v>
      </c>
      <c r="N3149">
        <v>825.13580000000002</v>
      </c>
      <c r="O3149" s="1">
        <v>44998</v>
      </c>
      <c r="P3149">
        <f>IF(ISBLANK(ReconciliationData[[#This Row],[Invoice_ID]]),1,0)</f>
        <v>0</v>
      </c>
      <c r="Q3149">
        <f>IF(AND(NOT(ISBLANK(ReconciliationData[[#This Row],[Billed_Units]])),ReconciliationData[[#This Row],[ordered_units]]&lt;&gt;ReconciliationData[[#This Row],[Billed_Units]]),1,0)</f>
        <v>1</v>
      </c>
      <c r="R31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49">
        <f>IF(AND(NOT(ISBLANK(ReconciliationData[[#This Row],[Contract_Price]])),ReconciliationData[[#This Row],[Billed_Price]]&lt;&gt;ReconciliationData[[#This Row],[Contract_Price]]),1,0)</f>
        <v>0</v>
      </c>
      <c r="T3149">
        <f>IF(AND(NOT(ISBLANK(ReconciliationData[[#This Row],[End_Date]])),ReconciliationData[[#This Row],[Order_Date]]&gt;ReconciliationData[[#This Row],[End_Date]]),1,0)</f>
        <v>0</v>
      </c>
      <c r="U3149">
        <f>IF(AND(NOT(ISBLANK(ReconciliationData[[#This Row],[last_return_date]])),ReconciliationData[[#This Row],[last_return_date]]&gt;ReconciliationData[[#This Row],[Order_Date]]+60),1,0)</f>
        <v>0</v>
      </c>
      <c r="V3149">
        <f>IF(ReconciliationData[[#This Row],[total_returned_units]]&gt;ReconciliationData[[#This Row],[ordered_units]],1,0)</f>
        <v>0</v>
      </c>
      <c r="W31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49">
        <f>ReconciliationData[[#This Row],[Billed_Units]]*ReconciliationData[[#This Row],[Billed_Price]]</f>
        <v>123770.37</v>
      </c>
      <c r="Y3149">
        <f>ReconciliationData[[#This Row],[ordered_units]]*ReconciliationData[[#This Row],[List_Price]]</f>
        <v>124595.5058</v>
      </c>
      <c r="Z3149">
        <f>ReconciliationData[[#This Row],[billed_revenue]]-ReconciliationData[[#This Row],[expected_revenue]]</f>
        <v>-825.13580000000366</v>
      </c>
      <c r="AA31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149" t="str">
        <f>IF(ReconciliationData[[#This Row],[severity_score]]=0,"LOW",
 IF(ReconciliationData[[#This Row],[severity_score]]&lt;=5,"MEDIUM","HIGH"))</f>
        <v>HIGH</v>
      </c>
      <c r="AC3149" t="str">
        <f>TEXT(ReconciliationData[[#This Row],[Order_Date]],"YYYY-MM")</f>
        <v>2023-12</v>
      </c>
    </row>
    <row r="3150" spans="1:29">
      <c r="A3150" t="s">
        <v>7514</v>
      </c>
      <c r="B3150" s="1">
        <v>45191</v>
      </c>
      <c r="C3150" t="s">
        <v>2197</v>
      </c>
      <c r="D3150" t="s">
        <v>2471</v>
      </c>
      <c r="E3150">
        <v>26</v>
      </c>
      <c r="F3150" t="s">
        <v>7515</v>
      </c>
      <c r="G3150">
        <v>26</v>
      </c>
      <c r="H3150">
        <v>1066.4874</v>
      </c>
      <c r="N3150">
        <v>1066.4874</v>
      </c>
      <c r="O3150" s="1">
        <v>45077</v>
      </c>
      <c r="P3150">
        <f>IF(ISBLANK(ReconciliationData[[#This Row],[Invoice_ID]]),1,0)</f>
        <v>0</v>
      </c>
      <c r="Q3150">
        <f>IF(AND(NOT(ISBLANK(ReconciliationData[[#This Row],[Billed_Units]])),ReconciliationData[[#This Row],[ordered_units]]&lt;&gt;ReconciliationData[[#This Row],[Billed_Units]]),1,0)</f>
        <v>0</v>
      </c>
      <c r="R31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50">
        <f>IF(AND(NOT(ISBLANK(ReconciliationData[[#This Row],[Contract_Price]])),ReconciliationData[[#This Row],[Billed_Price]]&lt;&gt;ReconciliationData[[#This Row],[Contract_Price]]),1,0)</f>
        <v>0</v>
      </c>
      <c r="T3150">
        <f>IF(AND(NOT(ISBLANK(ReconciliationData[[#This Row],[End_Date]])),ReconciliationData[[#This Row],[Order_Date]]&gt;ReconciliationData[[#This Row],[End_Date]]),1,0)</f>
        <v>0</v>
      </c>
      <c r="U3150">
        <f>IF(AND(NOT(ISBLANK(ReconciliationData[[#This Row],[last_return_date]])),ReconciliationData[[#This Row],[last_return_date]]&gt;ReconciliationData[[#This Row],[Order_Date]]+60),1,0)</f>
        <v>0</v>
      </c>
      <c r="V3150">
        <f>IF(ReconciliationData[[#This Row],[total_returned_units]]&gt;ReconciliationData[[#This Row],[ordered_units]],1,0)</f>
        <v>0</v>
      </c>
      <c r="W31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50">
        <f>ReconciliationData[[#This Row],[Billed_Units]]*ReconciliationData[[#This Row],[Billed_Price]]</f>
        <v>27728.672399999999</v>
      </c>
      <c r="Y3150">
        <f>ReconciliationData[[#This Row],[ordered_units]]*ReconciliationData[[#This Row],[List_Price]]</f>
        <v>27728.672399999999</v>
      </c>
      <c r="Z3150">
        <f>ReconciliationData[[#This Row],[billed_revenue]]-ReconciliationData[[#This Row],[expected_revenue]]</f>
        <v>0</v>
      </c>
      <c r="AA31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50" t="str">
        <f>IF(ReconciliationData[[#This Row],[severity_score]]=0,"LOW",
 IF(ReconciliationData[[#This Row],[severity_score]]&lt;=5,"MEDIUM","HIGH"))</f>
        <v>LOW</v>
      </c>
      <c r="AC3150" t="str">
        <f>TEXT(ReconciliationData[[#This Row],[Order_Date]],"YYYY-MM")</f>
        <v>2023-09</v>
      </c>
    </row>
    <row r="3151" spans="1:29">
      <c r="A3151" t="s">
        <v>7516</v>
      </c>
      <c r="B3151" s="1">
        <v>45263</v>
      </c>
      <c r="C3151" t="s">
        <v>324</v>
      </c>
      <c r="D3151" t="s">
        <v>1794</v>
      </c>
      <c r="E3151">
        <v>193</v>
      </c>
      <c r="F3151" t="s">
        <v>7517</v>
      </c>
      <c r="G3151">
        <v>193</v>
      </c>
      <c r="H3151">
        <v>491.10239999999999</v>
      </c>
      <c r="N3151">
        <v>491.10239999999999</v>
      </c>
      <c r="O3151" s="1">
        <v>45187</v>
      </c>
      <c r="P3151">
        <f>IF(ISBLANK(ReconciliationData[[#This Row],[Invoice_ID]]),1,0)</f>
        <v>0</v>
      </c>
      <c r="Q3151">
        <f>IF(AND(NOT(ISBLANK(ReconciliationData[[#This Row],[Billed_Units]])),ReconciliationData[[#This Row],[ordered_units]]&lt;&gt;ReconciliationData[[#This Row],[Billed_Units]]),1,0)</f>
        <v>0</v>
      </c>
      <c r="R31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51">
        <f>IF(AND(NOT(ISBLANK(ReconciliationData[[#This Row],[Contract_Price]])),ReconciliationData[[#This Row],[Billed_Price]]&lt;&gt;ReconciliationData[[#This Row],[Contract_Price]]),1,0)</f>
        <v>0</v>
      </c>
      <c r="T3151">
        <f>IF(AND(NOT(ISBLANK(ReconciliationData[[#This Row],[End_Date]])),ReconciliationData[[#This Row],[Order_Date]]&gt;ReconciliationData[[#This Row],[End_Date]]),1,0)</f>
        <v>0</v>
      </c>
      <c r="U3151">
        <f>IF(AND(NOT(ISBLANK(ReconciliationData[[#This Row],[last_return_date]])),ReconciliationData[[#This Row],[last_return_date]]&gt;ReconciliationData[[#This Row],[Order_Date]]+60),1,0)</f>
        <v>0</v>
      </c>
      <c r="V3151">
        <f>IF(ReconciliationData[[#This Row],[total_returned_units]]&gt;ReconciliationData[[#This Row],[ordered_units]],1,0)</f>
        <v>0</v>
      </c>
      <c r="W31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51">
        <f>ReconciliationData[[#This Row],[Billed_Units]]*ReconciliationData[[#This Row],[Billed_Price]]</f>
        <v>94782.763200000001</v>
      </c>
      <c r="Y3151">
        <f>ReconciliationData[[#This Row],[ordered_units]]*ReconciliationData[[#This Row],[List_Price]]</f>
        <v>94782.763200000001</v>
      </c>
      <c r="Z3151">
        <f>ReconciliationData[[#This Row],[billed_revenue]]-ReconciliationData[[#This Row],[expected_revenue]]</f>
        <v>0</v>
      </c>
      <c r="AA31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51" t="str">
        <f>IF(ReconciliationData[[#This Row],[severity_score]]=0,"LOW",
 IF(ReconciliationData[[#This Row],[severity_score]]&lt;=5,"MEDIUM","HIGH"))</f>
        <v>LOW</v>
      </c>
      <c r="AC3151" t="str">
        <f>TEXT(ReconciliationData[[#This Row],[Order_Date]],"YYYY-MM")</f>
        <v>2023-12</v>
      </c>
    </row>
    <row r="3152" spans="1:29">
      <c r="A3152" t="s">
        <v>7518</v>
      </c>
      <c r="B3152" s="1">
        <v>45496</v>
      </c>
      <c r="C3152" t="s">
        <v>161</v>
      </c>
      <c r="D3152" t="s">
        <v>628</v>
      </c>
      <c r="E3152">
        <v>15</v>
      </c>
      <c r="F3152" t="s">
        <v>7519</v>
      </c>
      <c r="G3152">
        <v>15</v>
      </c>
      <c r="H3152">
        <v>322.71780000000001</v>
      </c>
      <c r="N3152">
        <v>322.71780000000001</v>
      </c>
      <c r="O3152" s="1">
        <v>45169</v>
      </c>
      <c r="P3152">
        <f>IF(ISBLANK(ReconciliationData[[#This Row],[Invoice_ID]]),1,0)</f>
        <v>0</v>
      </c>
      <c r="Q3152">
        <f>IF(AND(NOT(ISBLANK(ReconciliationData[[#This Row],[Billed_Units]])),ReconciliationData[[#This Row],[ordered_units]]&lt;&gt;ReconciliationData[[#This Row],[Billed_Units]]),1,0)</f>
        <v>0</v>
      </c>
      <c r="R31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52">
        <f>IF(AND(NOT(ISBLANK(ReconciliationData[[#This Row],[Contract_Price]])),ReconciliationData[[#This Row],[Billed_Price]]&lt;&gt;ReconciliationData[[#This Row],[Contract_Price]]),1,0)</f>
        <v>0</v>
      </c>
      <c r="T3152">
        <f>IF(AND(NOT(ISBLANK(ReconciliationData[[#This Row],[End_Date]])),ReconciliationData[[#This Row],[Order_Date]]&gt;ReconciliationData[[#This Row],[End_Date]]),1,0)</f>
        <v>0</v>
      </c>
      <c r="U3152">
        <f>IF(AND(NOT(ISBLANK(ReconciliationData[[#This Row],[last_return_date]])),ReconciliationData[[#This Row],[last_return_date]]&gt;ReconciliationData[[#This Row],[Order_Date]]+60),1,0)</f>
        <v>0</v>
      </c>
      <c r="V3152">
        <f>IF(ReconciliationData[[#This Row],[total_returned_units]]&gt;ReconciliationData[[#This Row],[ordered_units]],1,0)</f>
        <v>0</v>
      </c>
      <c r="W31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52">
        <f>ReconciliationData[[#This Row],[Billed_Units]]*ReconciliationData[[#This Row],[Billed_Price]]</f>
        <v>4840.7669999999998</v>
      </c>
      <c r="Y3152">
        <f>ReconciliationData[[#This Row],[ordered_units]]*ReconciliationData[[#This Row],[List_Price]]</f>
        <v>4840.7669999999998</v>
      </c>
      <c r="Z3152">
        <f>ReconciliationData[[#This Row],[billed_revenue]]-ReconciliationData[[#This Row],[expected_revenue]]</f>
        <v>0</v>
      </c>
      <c r="AA31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52" t="str">
        <f>IF(ReconciliationData[[#This Row],[severity_score]]=0,"LOW",
 IF(ReconciliationData[[#This Row],[severity_score]]&lt;=5,"MEDIUM","HIGH"))</f>
        <v>LOW</v>
      </c>
      <c r="AC3152" t="str">
        <f>TEXT(ReconciliationData[[#This Row],[Order_Date]],"YYYY-MM")</f>
        <v>2024-07</v>
      </c>
    </row>
    <row r="3153" spans="1:29">
      <c r="A3153" t="s">
        <v>7520</v>
      </c>
      <c r="B3153" s="1">
        <v>45470</v>
      </c>
      <c r="C3153" t="s">
        <v>1074</v>
      </c>
      <c r="D3153" t="s">
        <v>512</v>
      </c>
      <c r="E3153">
        <v>124</v>
      </c>
      <c r="F3153" t="s">
        <v>7521</v>
      </c>
      <c r="G3153">
        <v>124</v>
      </c>
      <c r="H3153">
        <v>212.59063189083619</v>
      </c>
      <c r="N3153">
        <v>211.68960000000001</v>
      </c>
      <c r="O3153" s="1">
        <v>45129</v>
      </c>
      <c r="P3153">
        <f>IF(ISBLANK(ReconciliationData[[#This Row],[Invoice_ID]]),1,0)</f>
        <v>0</v>
      </c>
      <c r="Q3153">
        <f>IF(AND(NOT(ISBLANK(ReconciliationData[[#This Row],[Billed_Units]])),ReconciliationData[[#This Row],[ordered_units]]&lt;&gt;ReconciliationData[[#This Row],[Billed_Units]]),1,0)</f>
        <v>0</v>
      </c>
      <c r="R315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153">
        <f>IF(AND(NOT(ISBLANK(ReconciliationData[[#This Row],[Contract_Price]])),ReconciliationData[[#This Row],[Billed_Price]]&lt;&gt;ReconciliationData[[#This Row],[Contract_Price]]),1,0)</f>
        <v>0</v>
      </c>
      <c r="T3153">
        <f>IF(AND(NOT(ISBLANK(ReconciliationData[[#This Row],[End_Date]])),ReconciliationData[[#This Row],[Order_Date]]&gt;ReconciliationData[[#This Row],[End_Date]]),1,0)</f>
        <v>0</v>
      </c>
      <c r="U3153">
        <f>IF(AND(NOT(ISBLANK(ReconciliationData[[#This Row],[last_return_date]])),ReconciliationData[[#This Row],[last_return_date]]&gt;ReconciliationData[[#This Row],[Order_Date]]+60),1,0)</f>
        <v>0</v>
      </c>
      <c r="V3153">
        <f>IF(ReconciliationData[[#This Row],[total_returned_units]]&gt;ReconciliationData[[#This Row],[ordered_units]],1,0)</f>
        <v>0</v>
      </c>
      <c r="W31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53">
        <f>ReconciliationData[[#This Row],[Billed_Units]]*ReconciliationData[[#This Row],[Billed_Price]]</f>
        <v>26361.238354463687</v>
      </c>
      <c r="Y3153">
        <f>ReconciliationData[[#This Row],[ordered_units]]*ReconciliationData[[#This Row],[List_Price]]</f>
        <v>26249.510400000003</v>
      </c>
      <c r="Z3153">
        <f>ReconciliationData[[#This Row],[billed_revenue]]-ReconciliationData[[#This Row],[expected_revenue]]</f>
        <v>111.727954463684</v>
      </c>
      <c r="AA31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153" t="str">
        <f>IF(ReconciliationData[[#This Row],[severity_score]]=0,"LOW",
 IF(ReconciliationData[[#This Row],[severity_score]]&lt;=5,"MEDIUM","HIGH"))</f>
        <v>MEDIUM</v>
      </c>
      <c r="AC3153" t="str">
        <f>TEXT(ReconciliationData[[#This Row],[Order_Date]],"YYYY-MM")</f>
        <v>2024-06</v>
      </c>
    </row>
    <row r="3154" spans="1:29">
      <c r="A3154" t="s">
        <v>7522</v>
      </c>
      <c r="B3154" s="1">
        <v>45512</v>
      </c>
      <c r="C3154" t="s">
        <v>7523</v>
      </c>
      <c r="D3154" t="s">
        <v>2035</v>
      </c>
      <c r="E3154">
        <v>82</v>
      </c>
      <c r="F3154" t="s">
        <v>7524</v>
      </c>
      <c r="G3154">
        <v>82</v>
      </c>
      <c r="H3154">
        <v>1160.71</v>
      </c>
      <c r="N3154">
        <v>1160.71</v>
      </c>
      <c r="O3154" s="1">
        <v>44964</v>
      </c>
      <c r="P3154">
        <f>IF(ISBLANK(ReconciliationData[[#This Row],[Invoice_ID]]),1,0)</f>
        <v>0</v>
      </c>
      <c r="Q3154">
        <f>IF(AND(NOT(ISBLANK(ReconciliationData[[#This Row],[Billed_Units]])),ReconciliationData[[#This Row],[ordered_units]]&lt;&gt;ReconciliationData[[#This Row],[Billed_Units]]),1,0)</f>
        <v>0</v>
      </c>
      <c r="R31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54">
        <f>IF(AND(NOT(ISBLANK(ReconciliationData[[#This Row],[Contract_Price]])),ReconciliationData[[#This Row],[Billed_Price]]&lt;&gt;ReconciliationData[[#This Row],[Contract_Price]]),1,0)</f>
        <v>0</v>
      </c>
      <c r="T3154">
        <f>IF(AND(NOT(ISBLANK(ReconciliationData[[#This Row],[End_Date]])),ReconciliationData[[#This Row],[Order_Date]]&gt;ReconciliationData[[#This Row],[End_Date]]),1,0)</f>
        <v>0</v>
      </c>
      <c r="U3154">
        <f>IF(AND(NOT(ISBLANK(ReconciliationData[[#This Row],[last_return_date]])),ReconciliationData[[#This Row],[last_return_date]]&gt;ReconciliationData[[#This Row],[Order_Date]]+60),1,0)</f>
        <v>0</v>
      </c>
      <c r="V3154">
        <f>IF(ReconciliationData[[#This Row],[total_returned_units]]&gt;ReconciliationData[[#This Row],[ordered_units]],1,0)</f>
        <v>0</v>
      </c>
      <c r="W31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54">
        <f>ReconciliationData[[#This Row],[Billed_Units]]*ReconciliationData[[#This Row],[Billed_Price]]</f>
        <v>95178.22</v>
      </c>
      <c r="Y3154">
        <f>ReconciliationData[[#This Row],[ordered_units]]*ReconciliationData[[#This Row],[List_Price]]</f>
        <v>95178.22</v>
      </c>
      <c r="Z3154">
        <f>ReconciliationData[[#This Row],[billed_revenue]]-ReconciliationData[[#This Row],[expected_revenue]]</f>
        <v>0</v>
      </c>
      <c r="AA31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54" t="str">
        <f>IF(ReconciliationData[[#This Row],[severity_score]]=0,"LOW",
 IF(ReconciliationData[[#This Row],[severity_score]]&lt;=5,"MEDIUM","HIGH"))</f>
        <v>LOW</v>
      </c>
      <c r="AC3154" t="str">
        <f>TEXT(ReconciliationData[[#This Row],[Order_Date]],"YYYY-MM")</f>
        <v>2024-08</v>
      </c>
    </row>
    <row r="3155" spans="1:29">
      <c r="A3155" t="s">
        <v>7525</v>
      </c>
      <c r="B3155" s="1">
        <v>45504</v>
      </c>
      <c r="C3155" t="s">
        <v>4891</v>
      </c>
      <c r="D3155" t="s">
        <v>385</v>
      </c>
      <c r="E3155">
        <v>68</v>
      </c>
      <c r="F3155" t="s">
        <v>7526</v>
      </c>
      <c r="G3155">
        <v>68</v>
      </c>
      <c r="H3155">
        <v>1087.8191999999999</v>
      </c>
      <c r="N3155">
        <v>1087.8191999999999</v>
      </c>
      <c r="O3155" s="1">
        <v>45160</v>
      </c>
      <c r="P3155">
        <f>IF(ISBLANK(ReconciliationData[[#This Row],[Invoice_ID]]),1,0)</f>
        <v>0</v>
      </c>
      <c r="Q3155">
        <f>IF(AND(NOT(ISBLANK(ReconciliationData[[#This Row],[Billed_Units]])),ReconciliationData[[#This Row],[ordered_units]]&lt;&gt;ReconciliationData[[#This Row],[Billed_Units]]),1,0)</f>
        <v>0</v>
      </c>
      <c r="R31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55">
        <f>IF(AND(NOT(ISBLANK(ReconciliationData[[#This Row],[Contract_Price]])),ReconciliationData[[#This Row],[Billed_Price]]&lt;&gt;ReconciliationData[[#This Row],[Contract_Price]]),1,0)</f>
        <v>0</v>
      </c>
      <c r="T3155">
        <f>IF(AND(NOT(ISBLANK(ReconciliationData[[#This Row],[End_Date]])),ReconciliationData[[#This Row],[Order_Date]]&gt;ReconciliationData[[#This Row],[End_Date]]),1,0)</f>
        <v>0</v>
      </c>
      <c r="U3155">
        <f>IF(AND(NOT(ISBLANK(ReconciliationData[[#This Row],[last_return_date]])),ReconciliationData[[#This Row],[last_return_date]]&gt;ReconciliationData[[#This Row],[Order_Date]]+60),1,0)</f>
        <v>0</v>
      </c>
      <c r="V3155">
        <f>IF(ReconciliationData[[#This Row],[total_returned_units]]&gt;ReconciliationData[[#This Row],[ordered_units]],1,0)</f>
        <v>0</v>
      </c>
      <c r="W31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55">
        <f>ReconciliationData[[#This Row],[Billed_Units]]*ReconciliationData[[#This Row],[Billed_Price]]</f>
        <v>73971.705599999987</v>
      </c>
      <c r="Y3155">
        <f>ReconciliationData[[#This Row],[ordered_units]]*ReconciliationData[[#This Row],[List_Price]]</f>
        <v>73971.705599999987</v>
      </c>
      <c r="Z3155">
        <f>ReconciliationData[[#This Row],[billed_revenue]]-ReconciliationData[[#This Row],[expected_revenue]]</f>
        <v>0</v>
      </c>
      <c r="AA31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55" t="str">
        <f>IF(ReconciliationData[[#This Row],[severity_score]]=0,"LOW",
 IF(ReconciliationData[[#This Row],[severity_score]]&lt;=5,"MEDIUM","HIGH"))</f>
        <v>LOW</v>
      </c>
      <c r="AC3155" t="str">
        <f>TEXT(ReconciliationData[[#This Row],[Order_Date]],"YYYY-MM")</f>
        <v>2024-07</v>
      </c>
    </row>
    <row r="3156" spans="1:29">
      <c r="A3156" t="s">
        <v>7527</v>
      </c>
      <c r="B3156" s="1">
        <v>45459</v>
      </c>
      <c r="C3156" t="s">
        <v>2668</v>
      </c>
      <c r="D3156" t="s">
        <v>2045</v>
      </c>
      <c r="E3156">
        <v>40</v>
      </c>
      <c r="F3156" t="s">
        <v>7528</v>
      </c>
      <c r="G3156">
        <v>40</v>
      </c>
      <c r="H3156">
        <v>990.72749999999996</v>
      </c>
      <c r="N3156">
        <v>990.72749999999996</v>
      </c>
      <c r="O3156" s="1">
        <v>45068</v>
      </c>
      <c r="P3156">
        <f>IF(ISBLANK(ReconciliationData[[#This Row],[Invoice_ID]]),1,0)</f>
        <v>0</v>
      </c>
      <c r="Q3156">
        <f>IF(AND(NOT(ISBLANK(ReconciliationData[[#This Row],[Billed_Units]])),ReconciliationData[[#This Row],[ordered_units]]&lt;&gt;ReconciliationData[[#This Row],[Billed_Units]]),1,0)</f>
        <v>0</v>
      </c>
      <c r="R31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56">
        <f>IF(AND(NOT(ISBLANK(ReconciliationData[[#This Row],[Contract_Price]])),ReconciliationData[[#This Row],[Billed_Price]]&lt;&gt;ReconciliationData[[#This Row],[Contract_Price]]),1,0)</f>
        <v>0</v>
      </c>
      <c r="T3156">
        <f>IF(AND(NOT(ISBLANK(ReconciliationData[[#This Row],[End_Date]])),ReconciliationData[[#This Row],[Order_Date]]&gt;ReconciliationData[[#This Row],[End_Date]]),1,0)</f>
        <v>0</v>
      </c>
      <c r="U3156">
        <f>IF(AND(NOT(ISBLANK(ReconciliationData[[#This Row],[last_return_date]])),ReconciliationData[[#This Row],[last_return_date]]&gt;ReconciliationData[[#This Row],[Order_Date]]+60),1,0)</f>
        <v>0</v>
      </c>
      <c r="V3156">
        <f>IF(ReconciliationData[[#This Row],[total_returned_units]]&gt;ReconciliationData[[#This Row],[ordered_units]],1,0)</f>
        <v>0</v>
      </c>
      <c r="W31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56">
        <f>ReconciliationData[[#This Row],[Billed_Units]]*ReconciliationData[[#This Row],[Billed_Price]]</f>
        <v>39629.1</v>
      </c>
      <c r="Y3156">
        <f>ReconciliationData[[#This Row],[ordered_units]]*ReconciliationData[[#This Row],[List_Price]]</f>
        <v>39629.1</v>
      </c>
      <c r="Z3156">
        <f>ReconciliationData[[#This Row],[billed_revenue]]-ReconciliationData[[#This Row],[expected_revenue]]</f>
        <v>0</v>
      </c>
      <c r="AA31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56" t="str">
        <f>IF(ReconciliationData[[#This Row],[severity_score]]=0,"LOW",
 IF(ReconciliationData[[#This Row],[severity_score]]&lt;=5,"MEDIUM","HIGH"))</f>
        <v>LOW</v>
      </c>
      <c r="AC3156" t="str">
        <f>TEXT(ReconciliationData[[#This Row],[Order_Date]],"YYYY-MM")</f>
        <v>2024-06</v>
      </c>
    </row>
    <row r="3157" spans="1:29">
      <c r="A3157" t="s">
        <v>7529</v>
      </c>
      <c r="B3157" s="1">
        <v>45071</v>
      </c>
      <c r="C3157" t="s">
        <v>2778</v>
      </c>
      <c r="D3157" t="s">
        <v>789</v>
      </c>
      <c r="E3157">
        <v>116</v>
      </c>
      <c r="F3157" t="s">
        <v>7530</v>
      </c>
      <c r="G3157">
        <v>116</v>
      </c>
      <c r="H3157">
        <v>1026.4637</v>
      </c>
      <c r="N3157">
        <v>1026.4637</v>
      </c>
      <c r="O3157" s="1">
        <v>44967</v>
      </c>
      <c r="P3157">
        <f>IF(ISBLANK(ReconciliationData[[#This Row],[Invoice_ID]]),1,0)</f>
        <v>0</v>
      </c>
      <c r="Q3157">
        <f>IF(AND(NOT(ISBLANK(ReconciliationData[[#This Row],[Billed_Units]])),ReconciliationData[[#This Row],[ordered_units]]&lt;&gt;ReconciliationData[[#This Row],[Billed_Units]]),1,0)</f>
        <v>0</v>
      </c>
      <c r="R31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57">
        <f>IF(AND(NOT(ISBLANK(ReconciliationData[[#This Row],[Contract_Price]])),ReconciliationData[[#This Row],[Billed_Price]]&lt;&gt;ReconciliationData[[#This Row],[Contract_Price]]),1,0)</f>
        <v>0</v>
      </c>
      <c r="T3157">
        <f>IF(AND(NOT(ISBLANK(ReconciliationData[[#This Row],[End_Date]])),ReconciliationData[[#This Row],[Order_Date]]&gt;ReconciliationData[[#This Row],[End_Date]]),1,0)</f>
        <v>0</v>
      </c>
      <c r="U3157">
        <f>IF(AND(NOT(ISBLANK(ReconciliationData[[#This Row],[last_return_date]])),ReconciliationData[[#This Row],[last_return_date]]&gt;ReconciliationData[[#This Row],[Order_Date]]+60),1,0)</f>
        <v>0</v>
      </c>
      <c r="V3157">
        <f>IF(ReconciliationData[[#This Row],[total_returned_units]]&gt;ReconciliationData[[#This Row],[ordered_units]],1,0)</f>
        <v>0</v>
      </c>
      <c r="W31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57">
        <f>ReconciliationData[[#This Row],[Billed_Units]]*ReconciliationData[[#This Row],[Billed_Price]]</f>
        <v>119069.7892</v>
      </c>
      <c r="Y3157">
        <f>ReconciliationData[[#This Row],[ordered_units]]*ReconciliationData[[#This Row],[List_Price]]</f>
        <v>119069.7892</v>
      </c>
      <c r="Z3157">
        <f>ReconciliationData[[#This Row],[billed_revenue]]-ReconciliationData[[#This Row],[expected_revenue]]</f>
        <v>0</v>
      </c>
      <c r="AA31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57" t="str">
        <f>IF(ReconciliationData[[#This Row],[severity_score]]=0,"LOW",
 IF(ReconciliationData[[#This Row],[severity_score]]&lt;=5,"MEDIUM","HIGH"))</f>
        <v>LOW</v>
      </c>
      <c r="AC3157" t="str">
        <f>TEXT(ReconciliationData[[#This Row],[Order_Date]],"YYYY-MM")</f>
        <v>2023-05</v>
      </c>
    </row>
    <row r="3158" spans="1:29">
      <c r="A3158" t="s">
        <v>7531</v>
      </c>
      <c r="B3158" s="1">
        <v>45541</v>
      </c>
      <c r="C3158" t="s">
        <v>486</v>
      </c>
      <c r="D3158" t="s">
        <v>581</v>
      </c>
      <c r="E3158">
        <v>60</v>
      </c>
      <c r="F3158" t="s">
        <v>7532</v>
      </c>
      <c r="G3158">
        <v>60</v>
      </c>
      <c r="H3158">
        <v>697.85279999999989</v>
      </c>
      <c r="N3158">
        <v>697.85279999999989</v>
      </c>
      <c r="O3158" s="1">
        <v>45169</v>
      </c>
      <c r="P3158">
        <f>IF(ISBLANK(ReconciliationData[[#This Row],[Invoice_ID]]),1,0)</f>
        <v>0</v>
      </c>
      <c r="Q3158">
        <f>IF(AND(NOT(ISBLANK(ReconciliationData[[#This Row],[Billed_Units]])),ReconciliationData[[#This Row],[ordered_units]]&lt;&gt;ReconciliationData[[#This Row],[Billed_Units]]),1,0)</f>
        <v>0</v>
      </c>
      <c r="R31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58">
        <f>IF(AND(NOT(ISBLANK(ReconciliationData[[#This Row],[Contract_Price]])),ReconciliationData[[#This Row],[Billed_Price]]&lt;&gt;ReconciliationData[[#This Row],[Contract_Price]]),1,0)</f>
        <v>0</v>
      </c>
      <c r="T3158">
        <f>IF(AND(NOT(ISBLANK(ReconciliationData[[#This Row],[End_Date]])),ReconciliationData[[#This Row],[Order_Date]]&gt;ReconciliationData[[#This Row],[End_Date]]),1,0)</f>
        <v>0</v>
      </c>
      <c r="U3158">
        <f>IF(AND(NOT(ISBLANK(ReconciliationData[[#This Row],[last_return_date]])),ReconciliationData[[#This Row],[last_return_date]]&gt;ReconciliationData[[#This Row],[Order_Date]]+60),1,0)</f>
        <v>0</v>
      </c>
      <c r="V3158">
        <f>IF(ReconciliationData[[#This Row],[total_returned_units]]&gt;ReconciliationData[[#This Row],[ordered_units]],1,0)</f>
        <v>0</v>
      </c>
      <c r="W31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58">
        <f>ReconciliationData[[#This Row],[Billed_Units]]*ReconciliationData[[#This Row],[Billed_Price]]</f>
        <v>41871.167999999991</v>
      </c>
      <c r="Y3158">
        <f>ReconciliationData[[#This Row],[ordered_units]]*ReconciliationData[[#This Row],[List_Price]]</f>
        <v>41871.167999999991</v>
      </c>
      <c r="Z3158">
        <f>ReconciliationData[[#This Row],[billed_revenue]]-ReconciliationData[[#This Row],[expected_revenue]]</f>
        <v>0</v>
      </c>
      <c r="AA31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58" t="str">
        <f>IF(ReconciliationData[[#This Row],[severity_score]]=0,"LOW",
 IF(ReconciliationData[[#This Row],[severity_score]]&lt;=5,"MEDIUM","HIGH"))</f>
        <v>LOW</v>
      </c>
      <c r="AC3158" t="str">
        <f>TEXT(ReconciliationData[[#This Row],[Order_Date]],"YYYY-MM")</f>
        <v>2024-09</v>
      </c>
    </row>
    <row r="3159" spans="1:29">
      <c r="A3159" t="s">
        <v>7533</v>
      </c>
      <c r="B3159" s="1">
        <v>45153</v>
      </c>
      <c r="C3159" t="s">
        <v>7534</v>
      </c>
      <c r="D3159" t="s">
        <v>2645</v>
      </c>
      <c r="E3159">
        <v>104</v>
      </c>
      <c r="F3159" t="s">
        <v>7535</v>
      </c>
      <c r="G3159">
        <v>104</v>
      </c>
      <c r="H3159">
        <v>110.9413</v>
      </c>
      <c r="I3159">
        <v>18</v>
      </c>
      <c r="J3159" s="1">
        <v>45306</v>
      </c>
      <c r="N3159">
        <v>110.9413</v>
      </c>
      <c r="O3159" s="1">
        <v>45153</v>
      </c>
      <c r="P3159">
        <f>IF(ISBLANK(ReconciliationData[[#This Row],[Invoice_ID]]),1,0)</f>
        <v>0</v>
      </c>
      <c r="Q3159">
        <f>IF(AND(NOT(ISBLANK(ReconciliationData[[#This Row],[Billed_Units]])),ReconciliationData[[#This Row],[ordered_units]]&lt;&gt;ReconciliationData[[#This Row],[Billed_Units]]),1,0)</f>
        <v>0</v>
      </c>
      <c r="R31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59">
        <f>IF(AND(NOT(ISBLANK(ReconciliationData[[#This Row],[Contract_Price]])),ReconciliationData[[#This Row],[Billed_Price]]&lt;&gt;ReconciliationData[[#This Row],[Contract_Price]]),1,0)</f>
        <v>0</v>
      </c>
      <c r="T3159">
        <f>IF(AND(NOT(ISBLANK(ReconciliationData[[#This Row],[End_Date]])),ReconciliationData[[#This Row],[Order_Date]]&gt;ReconciliationData[[#This Row],[End_Date]]),1,0)</f>
        <v>0</v>
      </c>
      <c r="U3159">
        <f>IF(AND(NOT(ISBLANK(ReconciliationData[[#This Row],[last_return_date]])),ReconciliationData[[#This Row],[last_return_date]]&gt;ReconciliationData[[#This Row],[Order_Date]]+60),1,0)</f>
        <v>1</v>
      </c>
      <c r="V3159">
        <f>IF(ReconciliationData[[#This Row],[total_returned_units]]&gt;ReconciliationData[[#This Row],[ordered_units]],1,0)</f>
        <v>0</v>
      </c>
      <c r="W31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59">
        <f>ReconciliationData[[#This Row],[Billed_Units]]*ReconciliationData[[#This Row],[Billed_Price]]</f>
        <v>11537.895199999999</v>
      </c>
      <c r="Y3159">
        <f>ReconciliationData[[#This Row],[ordered_units]]*ReconciliationData[[#This Row],[List_Price]]</f>
        <v>11537.895199999999</v>
      </c>
      <c r="Z3159">
        <f>ReconciliationData[[#This Row],[billed_revenue]]-ReconciliationData[[#This Row],[expected_revenue]]</f>
        <v>0</v>
      </c>
      <c r="AA31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159" t="str">
        <f>IF(ReconciliationData[[#This Row],[severity_score]]=0,"LOW",
 IF(ReconciliationData[[#This Row],[severity_score]]&lt;=5,"MEDIUM","HIGH"))</f>
        <v>MEDIUM</v>
      </c>
      <c r="AC3159" t="str">
        <f>TEXT(ReconciliationData[[#This Row],[Order_Date]],"YYYY-MM")</f>
        <v>2023-08</v>
      </c>
    </row>
    <row r="3160" spans="1:29">
      <c r="A3160" t="s">
        <v>7536</v>
      </c>
      <c r="B3160" s="1">
        <v>45457</v>
      </c>
      <c r="C3160" t="s">
        <v>3940</v>
      </c>
      <c r="D3160" t="s">
        <v>1961</v>
      </c>
      <c r="E3160">
        <v>60</v>
      </c>
      <c r="F3160" t="s">
        <v>7537</v>
      </c>
      <c r="G3160">
        <v>60</v>
      </c>
      <c r="H3160">
        <v>717.0471</v>
      </c>
      <c r="N3160">
        <v>717.0471</v>
      </c>
      <c r="O3160" s="1">
        <v>44984</v>
      </c>
      <c r="P3160">
        <f>IF(ISBLANK(ReconciliationData[[#This Row],[Invoice_ID]]),1,0)</f>
        <v>0</v>
      </c>
      <c r="Q3160">
        <f>IF(AND(NOT(ISBLANK(ReconciliationData[[#This Row],[Billed_Units]])),ReconciliationData[[#This Row],[ordered_units]]&lt;&gt;ReconciliationData[[#This Row],[Billed_Units]]),1,0)</f>
        <v>0</v>
      </c>
      <c r="R31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60">
        <f>IF(AND(NOT(ISBLANK(ReconciliationData[[#This Row],[Contract_Price]])),ReconciliationData[[#This Row],[Billed_Price]]&lt;&gt;ReconciliationData[[#This Row],[Contract_Price]]),1,0)</f>
        <v>0</v>
      </c>
      <c r="T3160">
        <f>IF(AND(NOT(ISBLANK(ReconciliationData[[#This Row],[End_Date]])),ReconciliationData[[#This Row],[Order_Date]]&gt;ReconciliationData[[#This Row],[End_Date]]),1,0)</f>
        <v>0</v>
      </c>
      <c r="U3160">
        <f>IF(AND(NOT(ISBLANK(ReconciliationData[[#This Row],[last_return_date]])),ReconciliationData[[#This Row],[last_return_date]]&gt;ReconciliationData[[#This Row],[Order_Date]]+60),1,0)</f>
        <v>0</v>
      </c>
      <c r="V3160">
        <f>IF(ReconciliationData[[#This Row],[total_returned_units]]&gt;ReconciliationData[[#This Row],[ordered_units]],1,0)</f>
        <v>0</v>
      </c>
      <c r="W31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60">
        <f>ReconciliationData[[#This Row],[Billed_Units]]*ReconciliationData[[#This Row],[Billed_Price]]</f>
        <v>43022.826000000001</v>
      </c>
      <c r="Y3160">
        <f>ReconciliationData[[#This Row],[ordered_units]]*ReconciliationData[[#This Row],[List_Price]]</f>
        <v>43022.826000000001</v>
      </c>
      <c r="Z3160">
        <f>ReconciliationData[[#This Row],[billed_revenue]]-ReconciliationData[[#This Row],[expected_revenue]]</f>
        <v>0</v>
      </c>
      <c r="AA31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60" t="str">
        <f>IF(ReconciliationData[[#This Row],[severity_score]]=0,"LOW",
 IF(ReconciliationData[[#This Row],[severity_score]]&lt;=5,"MEDIUM","HIGH"))</f>
        <v>LOW</v>
      </c>
      <c r="AC3160" t="str">
        <f>TEXT(ReconciliationData[[#This Row],[Order_Date]],"YYYY-MM")</f>
        <v>2024-06</v>
      </c>
    </row>
    <row r="3161" spans="1:29">
      <c r="A3161" t="s">
        <v>7538</v>
      </c>
      <c r="B3161" s="1">
        <v>45477</v>
      </c>
      <c r="C3161" t="s">
        <v>2884</v>
      </c>
      <c r="D3161" t="s">
        <v>552</v>
      </c>
      <c r="E3161">
        <v>112</v>
      </c>
      <c r="F3161" t="s">
        <v>7539</v>
      </c>
      <c r="G3161">
        <v>112</v>
      </c>
      <c r="H3161">
        <v>497.4264</v>
      </c>
      <c r="N3161">
        <v>497.4264</v>
      </c>
      <c r="O3161" s="1">
        <v>45212</v>
      </c>
      <c r="P3161">
        <f>IF(ISBLANK(ReconciliationData[[#This Row],[Invoice_ID]]),1,0)</f>
        <v>0</v>
      </c>
      <c r="Q3161">
        <f>IF(AND(NOT(ISBLANK(ReconciliationData[[#This Row],[Billed_Units]])),ReconciliationData[[#This Row],[ordered_units]]&lt;&gt;ReconciliationData[[#This Row],[Billed_Units]]),1,0)</f>
        <v>0</v>
      </c>
      <c r="R31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61">
        <f>IF(AND(NOT(ISBLANK(ReconciliationData[[#This Row],[Contract_Price]])),ReconciliationData[[#This Row],[Billed_Price]]&lt;&gt;ReconciliationData[[#This Row],[Contract_Price]]),1,0)</f>
        <v>0</v>
      </c>
      <c r="T3161">
        <f>IF(AND(NOT(ISBLANK(ReconciliationData[[#This Row],[End_Date]])),ReconciliationData[[#This Row],[Order_Date]]&gt;ReconciliationData[[#This Row],[End_Date]]),1,0)</f>
        <v>0</v>
      </c>
      <c r="U3161">
        <f>IF(AND(NOT(ISBLANK(ReconciliationData[[#This Row],[last_return_date]])),ReconciliationData[[#This Row],[last_return_date]]&gt;ReconciliationData[[#This Row],[Order_Date]]+60),1,0)</f>
        <v>0</v>
      </c>
      <c r="V3161">
        <f>IF(ReconciliationData[[#This Row],[total_returned_units]]&gt;ReconciliationData[[#This Row],[ordered_units]],1,0)</f>
        <v>0</v>
      </c>
      <c r="W31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61">
        <f>ReconciliationData[[#This Row],[Billed_Units]]*ReconciliationData[[#This Row],[Billed_Price]]</f>
        <v>55711.756800000003</v>
      </c>
      <c r="Y3161">
        <f>ReconciliationData[[#This Row],[ordered_units]]*ReconciliationData[[#This Row],[List_Price]]</f>
        <v>55711.756800000003</v>
      </c>
      <c r="Z3161">
        <f>ReconciliationData[[#This Row],[billed_revenue]]-ReconciliationData[[#This Row],[expected_revenue]]</f>
        <v>0</v>
      </c>
      <c r="AA31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61" t="str">
        <f>IF(ReconciliationData[[#This Row],[severity_score]]=0,"LOW",
 IF(ReconciliationData[[#This Row],[severity_score]]&lt;=5,"MEDIUM","HIGH"))</f>
        <v>LOW</v>
      </c>
      <c r="AC3161" t="str">
        <f>TEXT(ReconciliationData[[#This Row],[Order_Date]],"YYYY-MM")</f>
        <v>2024-07</v>
      </c>
    </row>
    <row r="3162" spans="1:29">
      <c r="A3162" t="s">
        <v>7540</v>
      </c>
      <c r="B3162" s="1">
        <v>45575</v>
      </c>
      <c r="C3162" t="s">
        <v>422</v>
      </c>
      <c r="D3162" t="s">
        <v>321</v>
      </c>
      <c r="E3162">
        <v>83</v>
      </c>
      <c r="F3162" t="s">
        <v>7541</v>
      </c>
      <c r="G3162">
        <v>85</v>
      </c>
      <c r="H3162">
        <v>169.22900000000001</v>
      </c>
      <c r="N3162">
        <v>169.22900000000001</v>
      </c>
      <c r="O3162" s="1">
        <v>45039</v>
      </c>
      <c r="P3162">
        <f>IF(ISBLANK(ReconciliationData[[#This Row],[Invoice_ID]]),1,0)</f>
        <v>0</v>
      </c>
      <c r="Q3162">
        <f>IF(AND(NOT(ISBLANK(ReconciliationData[[#This Row],[Billed_Units]])),ReconciliationData[[#This Row],[ordered_units]]&lt;&gt;ReconciliationData[[#This Row],[Billed_Units]]),1,0)</f>
        <v>1</v>
      </c>
      <c r="R31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62">
        <f>IF(AND(NOT(ISBLANK(ReconciliationData[[#This Row],[Contract_Price]])),ReconciliationData[[#This Row],[Billed_Price]]&lt;&gt;ReconciliationData[[#This Row],[Contract_Price]]),1,0)</f>
        <v>0</v>
      </c>
      <c r="T3162">
        <f>IF(AND(NOT(ISBLANK(ReconciliationData[[#This Row],[End_Date]])),ReconciliationData[[#This Row],[Order_Date]]&gt;ReconciliationData[[#This Row],[End_Date]]),1,0)</f>
        <v>0</v>
      </c>
      <c r="U3162">
        <f>IF(AND(NOT(ISBLANK(ReconciliationData[[#This Row],[last_return_date]])),ReconciliationData[[#This Row],[last_return_date]]&gt;ReconciliationData[[#This Row],[Order_Date]]+60),1,0)</f>
        <v>0</v>
      </c>
      <c r="V3162">
        <f>IF(ReconciliationData[[#This Row],[total_returned_units]]&gt;ReconciliationData[[#This Row],[ordered_units]],1,0)</f>
        <v>0</v>
      </c>
      <c r="W31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62">
        <f>ReconciliationData[[#This Row],[Billed_Units]]*ReconciliationData[[#This Row],[Billed_Price]]</f>
        <v>14384.465000000002</v>
      </c>
      <c r="Y3162">
        <f>ReconciliationData[[#This Row],[ordered_units]]*ReconciliationData[[#This Row],[List_Price]]</f>
        <v>14046.007000000001</v>
      </c>
      <c r="Z3162">
        <f>ReconciliationData[[#This Row],[billed_revenue]]-ReconciliationData[[#This Row],[expected_revenue]]</f>
        <v>338.45800000000054</v>
      </c>
      <c r="AA31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162" t="str">
        <f>IF(ReconciliationData[[#This Row],[severity_score]]=0,"LOW",
 IF(ReconciliationData[[#This Row],[severity_score]]&lt;=5,"MEDIUM","HIGH"))</f>
        <v>MEDIUM</v>
      </c>
      <c r="AC3162" t="str">
        <f>TEXT(ReconciliationData[[#This Row],[Order_Date]],"YYYY-MM")</f>
        <v>2024-10</v>
      </c>
    </row>
    <row r="3163" spans="1:29">
      <c r="A3163" t="s">
        <v>7542</v>
      </c>
      <c r="B3163" s="1">
        <v>45109</v>
      </c>
      <c r="C3163" t="s">
        <v>440</v>
      </c>
      <c r="D3163" t="s">
        <v>1305</v>
      </c>
      <c r="E3163">
        <v>191</v>
      </c>
      <c r="F3163" t="s">
        <v>7543</v>
      </c>
      <c r="G3163">
        <v>191</v>
      </c>
      <c r="H3163">
        <v>240.40479999999999</v>
      </c>
      <c r="N3163">
        <v>240.40479999999999</v>
      </c>
      <c r="O3163" s="1">
        <v>44854</v>
      </c>
      <c r="P3163">
        <f>IF(ISBLANK(ReconciliationData[[#This Row],[Invoice_ID]]),1,0)</f>
        <v>0</v>
      </c>
      <c r="Q3163">
        <f>IF(AND(NOT(ISBLANK(ReconciliationData[[#This Row],[Billed_Units]])),ReconciliationData[[#This Row],[ordered_units]]&lt;&gt;ReconciliationData[[#This Row],[Billed_Units]]),1,0)</f>
        <v>0</v>
      </c>
      <c r="R31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63">
        <f>IF(AND(NOT(ISBLANK(ReconciliationData[[#This Row],[Contract_Price]])),ReconciliationData[[#This Row],[Billed_Price]]&lt;&gt;ReconciliationData[[#This Row],[Contract_Price]]),1,0)</f>
        <v>0</v>
      </c>
      <c r="T3163">
        <f>IF(AND(NOT(ISBLANK(ReconciliationData[[#This Row],[End_Date]])),ReconciliationData[[#This Row],[Order_Date]]&gt;ReconciliationData[[#This Row],[End_Date]]),1,0)</f>
        <v>0</v>
      </c>
      <c r="U3163">
        <f>IF(AND(NOT(ISBLANK(ReconciliationData[[#This Row],[last_return_date]])),ReconciliationData[[#This Row],[last_return_date]]&gt;ReconciliationData[[#This Row],[Order_Date]]+60),1,0)</f>
        <v>0</v>
      </c>
      <c r="V3163">
        <f>IF(ReconciliationData[[#This Row],[total_returned_units]]&gt;ReconciliationData[[#This Row],[ordered_units]],1,0)</f>
        <v>0</v>
      </c>
      <c r="W31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63">
        <f>ReconciliationData[[#This Row],[Billed_Units]]*ReconciliationData[[#This Row],[Billed_Price]]</f>
        <v>45917.316800000001</v>
      </c>
      <c r="Y3163">
        <f>ReconciliationData[[#This Row],[ordered_units]]*ReconciliationData[[#This Row],[List_Price]]</f>
        <v>45917.316800000001</v>
      </c>
      <c r="Z3163">
        <f>ReconciliationData[[#This Row],[billed_revenue]]-ReconciliationData[[#This Row],[expected_revenue]]</f>
        <v>0</v>
      </c>
      <c r="AA31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63" t="str">
        <f>IF(ReconciliationData[[#This Row],[severity_score]]=0,"LOW",
 IF(ReconciliationData[[#This Row],[severity_score]]&lt;=5,"MEDIUM","HIGH"))</f>
        <v>LOW</v>
      </c>
      <c r="AC3163" t="str">
        <f>TEXT(ReconciliationData[[#This Row],[Order_Date]],"YYYY-MM")</f>
        <v>2023-07</v>
      </c>
    </row>
    <row r="3164" spans="1:29">
      <c r="A3164" t="s">
        <v>7544</v>
      </c>
      <c r="B3164" s="1">
        <v>45196</v>
      </c>
      <c r="C3164" t="s">
        <v>2126</v>
      </c>
      <c r="D3164" t="s">
        <v>202</v>
      </c>
      <c r="E3164">
        <v>35</v>
      </c>
      <c r="F3164" t="s">
        <v>7545</v>
      </c>
      <c r="G3164">
        <v>35</v>
      </c>
      <c r="H3164">
        <v>761.50400000000002</v>
      </c>
      <c r="N3164">
        <v>761.50400000000002</v>
      </c>
      <c r="O3164" s="1">
        <v>45161</v>
      </c>
      <c r="P3164">
        <f>IF(ISBLANK(ReconciliationData[[#This Row],[Invoice_ID]]),1,0)</f>
        <v>0</v>
      </c>
      <c r="Q3164">
        <f>IF(AND(NOT(ISBLANK(ReconciliationData[[#This Row],[Billed_Units]])),ReconciliationData[[#This Row],[ordered_units]]&lt;&gt;ReconciliationData[[#This Row],[Billed_Units]]),1,0)</f>
        <v>0</v>
      </c>
      <c r="R31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64">
        <f>IF(AND(NOT(ISBLANK(ReconciliationData[[#This Row],[Contract_Price]])),ReconciliationData[[#This Row],[Billed_Price]]&lt;&gt;ReconciliationData[[#This Row],[Contract_Price]]),1,0)</f>
        <v>0</v>
      </c>
      <c r="T3164">
        <f>IF(AND(NOT(ISBLANK(ReconciliationData[[#This Row],[End_Date]])),ReconciliationData[[#This Row],[Order_Date]]&gt;ReconciliationData[[#This Row],[End_Date]]),1,0)</f>
        <v>0</v>
      </c>
      <c r="U3164">
        <f>IF(AND(NOT(ISBLANK(ReconciliationData[[#This Row],[last_return_date]])),ReconciliationData[[#This Row],[last_return_date]]&gt;ReconciliationData[[#This Row],[Order_Date]]+60),1,0)</f>
        <v>0</v>
      </c>
      <c r="V3164">
        <f>IF(ReconciliationData[[#This Row],[total_returned_units]]&gt;ReconciliationData[[#This Row],[ordered_units]],1,0)</f>
        <v>0</v>
      </c>
      <c r="W31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64">
        <f>ReconciliationData[[#This Row],[Billed_Units]]*ReconciliationData[[#This Row],[Billed_Price]]</f>
        <v>26652.639999999999</v>
      </c>
      <c r="Y3164">
        <f>ReconciliationData[[#This Row],[ordered_units]]*ReconciliationData[[#This Row],[List_Price]]</f>
        <v>26652.639999999999</v>
      </c>
      <c r="Z3164">
        <f>ReconciliationData[[#This Row],[billed_revenue]]-ReconciliationData[[#This Row],[expected_revenue]]</f>
        <v>0</v>
      </c>
      <c r="AA31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64" t="str">
        <f>IF(ReconciliationData[[#This Row],[severity_score]]=0,"LOW",
 IF(ReconciliationData[[#This Row],[severity_score]]&lt;=5,"MEDIUM","HIGH"))</f>
        <v>LOW</v>
      </c>
      <c r="AC3164" t="str">
        <f>TEXT(ReconciliationData[[#This Row],[Order_Date]],"YYYY-MM")</f>
        <v>2023-09</v>
      </c>
    </row>
    <row r="3165" spans="1:29">
      <c r="A3165" t="s">
        <v>7546</v>
      </c>
      <c r="B3165" s="1">
        <v>45223</v>
      </c>
      <c r="C3165" t="s">
        <v>2535</v>
      </c>
      <c r="D3165" t="s">
        <v>3256</v>
      </c>
      <c r="E3165">
        <v>17</v>
      </c>
      <c r="F3165" t="s">
        <v>7547</v>
      </c>
      <c r="G3165">
        <v>17</v>
      </c>
      <c r="H3165">
        <v>1159.732</v>
      </c>
      <c r="N3165">
        <v>1159.732</v>
      </c>
      <c r="O3165" s="1">
        <v>45032</v>
      </c>
      <c r="P3165">
        <f>IF(ISBLANK(ReconciliationData[[#This Row],[Invoice_ID]]),1,0)</f>
        <v>0</v>
      </c>
      <c r="Q3165">
        <f>IF(AND(NOT(ISBLANK(ReconciliationData[[#This Row],[Billed_Units]])),ReconciliationData[[#This Row],[ordered_units]]&lt;&gt;ReconciliationData[[#This Row],[Billed_Units]]),1,0)</f>
        <v>0</v>
      </c>
      <c r="R31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65">
        <f>IF(AND(NOT(ISBLANK(ReconciliationData[[#This Row],[Contract_Price]])),ReconciliationData[[#This Row],[Billed_Price]]&lt;&gt;ReconciliationData[[#This Row],[Contract_Price]]),1,0)</f>
        <v>0</v>
      </c>
      <c r="T3165">
        <f>IF(AND(NOT(ISBLANK(ReconciliationData[[#This Row],[End_Date]])),ReconciliationData[[#This Row],[Order_Date]]&gt;ReconciliationData[[#This Row],[End_Date]]),1,0)</f>
        <v>0</v>
      </c>
      <c r="U3165">
        <f>IF(AND(NOT(ISBLANK(ReconciliationData[[#This Row],[last_return_date]])),ReconciliationData[[#This Row],[last_return_date]]&gt;ReconciliationData[[#This Row],[Order_Date]]+60),1,0)</f>
        <v>0</v>
      </c>
      <c r="V3165">
        <f>IF(ReconciliationData[[#This Row],[total_returned_units]]&gt;ReconciliationData[[#This Row],[ordered_units]],1,0)</f>
        <v>0</v>
      </c>
      <c r="W31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65">
        <f>ReconciliationData[[#This Row],[Billed_Units]]*ReconciliationData[[#This Row],[Billed_Price]]</f>
        <v>19715.444</v>
      </c>
      <c r="Y3165">
        <f>ReconciliationData[[#This Row],[ordered_units]]*ReconciliationData[[#This Row],[List_Price]]</f>
        <v>19715.444</v>
      </c>
      <c r="Z3165">
        <f>ReconciliationData[[#This Row],[billed_revenue]]-ReconciliationData[[#This Row],[expected_revenue]]</f>
        <v>0</v>
      </c>
      <c r="AA31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65" t="str">
        <f>IF(ReconciliationData[[#This Row],[severity_score]]=0,"LOW",
 IF(ReconciliationData[[#This Row],[severity_score]]&lt;=5,"MEDIUM","HIGH"))</f>
        <v>LOW</v>
      </c>
      <c r="AC3165" t="str">
        <f>TEXT(ReconciliationData[[#This Row],[Order_Date]],"YYYY-MM")</f>
        <v>2023-10</v>
      </c>
    </row>
    <row r="3166" spans="1:29">
      <c r="A3166" t="s">
        <v>7548</v>
      </c>
      <c r="B3166" s="1">
        <v>45309</v>
      </c>
      <c r="C3166" t="s">
        <v>4015</v>
      </c>
      <c r="D3166" t="s">
        <v>1037</v>
      </c>
      <c r="E3166">
        <v>76</v>
      </c>
      <c r="F3166" t="s">
        <v>7549</v>
      </c>
      <c r="G3166">
        <v>76</v>
      </c>
      <c r="H3166">
        <v>540.16420703003621</v>
      </c>
      <c r="N3166">
        <v>539.57150000000001</v>
      </c>
      <c r="O3166" s="1">
        <v>45191</v>
      </c>
      <c r="P3166">
        <f>IF(ISBLANK(ReconciliationData[[#This Row],[Invoice_ID]]),1,0)</f>
        <v>0</v>
      </c>
      <c r="Q3166">
        <f>IF(AND(NOT(ISBLANK(ReconciliationData[[#This Row],[Billed_Units]])),ReconciliationData[[#This Row],[ordered_units]]&lt;&gt;ReconciliationData[[#This Row],[Billed_Units]]),1,0)</f>
        <v>0</v>
      </c>
      <c r="R316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166">
        <f>IF(AND(NOT(ISBLANK(ReconciliationData[[#This Row],[Contract_Price]])),ReconciliationData[[#This Row],[Billed_Price]]&lt;&gt;ReconciliationData[[#This Row],[Contract_Price]]),1,0)</f>
        <v>0</v>
      </c>
      <c r="T3166">
        <f>IF(AND(NOT(ISBLANK(ReconciliationData[[#This Row],[End_Date]])),ReconciliationData[[#This Row],[Order_Date]]&gt;ReconciliationData[[#This Row],[End_Date]]),1,0)</f>
        <v>0</v>
      </c>
      <c r="U3166">
        <f>IF(AND(NOT(ISBLANK(ReconciliationData[[#This Row],[last_return_date]])),ReconciliationData[[#This Row],[last_return_date]]&gt;ReconciliationData[[#This Row],[Order_Date]]+60),1,0)</f>
        <v>0</v>
      </c>
      <c r="V3166">
        <f>IF(ReconciliationData[[#This Row],[total_returned_units]]&gt;ReconciliationData[[#This Row],[ordered_units]],1,0)</f>
        <v>0</v>
      </c>
      <c r="W31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66">
        <f>ReconciliationData[[#This Row],[Billed_Units]]*ReconciliationData[[#This Row],[Billed_Price]]</f>
        <v>41052.479734282751</v>
      </c>
      <c r="Y3166">
        <f>ReconciliationData[[#This Row],[ordered_units]]*ReconciliationData[[#This Row],[List_Price]]</f>
        <v>41007.434000000001</v>
      </c>
      <c r="Z3166">
        <f>ReconciliationData[[#This Row],[billed_revenue]]-ReconciliationData[[#This Row],[expected_revenue]]</f>
        <v>45.045734282750345</v>
      </c>
      <c r="AA31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166" t="str">
        <f>IF(ReconciliationData[[#This Row],[severity_score]]=0,"LOW",
 IF(ReconciliationData[[#This Row],[severity_score]]&lt;=5,"MEDIUM","HIGH"))</f>
        <v>MEDIUM</v>
      </c>
      <c r="AC3166" t="str">
        <f>TEXT(ReconciliationData[[#This Row],[Order_Date]],"YYYY-MM")</f>
        <v>2024-01</v>
      </c>
    </row>
    <row r="3167" spans="1:29">
      <c r="A3167" t="s">
        <v>7550</v>
      </c>
      <c r="B3167" s="1">
        <v>45622</v>
      </c>
      <c r="C3167" t="s">
        <v>3462</v>
      </c>
      <c r="D3167" t="s">
        <v>548</v>
      </c>
      <c r="E3167">
        <v>98</v>
      </c>
      <c r="F3167" t="s">
        <v>7551</v>
      </c>
      <c r="G3167">
        <v>98</v>
      </c>
      <c r="H3167">
        <v>1072.7244430144951</v>
      </c>
      <c r="N3167">
        <v>1072.1079000000002</v>
      </c>
      <c r="O3167" s="1">
        <v>45035</v>
      </c>
      <c r="P3167">
        <f>IF(ISBLANK(ReconciliationData[[#This Row],[Invoice_ID]]),1,0)</f>
        <v>0</v>
      </c>
      <c r="Q3167">
        <f>IF(AND(NOT(ISBLANK(ReconciliationData[[#This Row],[Billed_Units]])),ReconciliationData[[#This Row],[ordered_units]]&lt;&gt;ReconciliationData[[#This Row],[Billed_Units]]),1,0)</f>
        <v>0</v>
      </c>
      <c r="R316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167">
        <f>IF(AND(NOT(ISBLANK(ReconciliationData[[#This Row],[Contract_Price]])),ReconciliationData[[#This Row],[Billed_Price]]&lt;&gt;ReconciliationData[[#This Row],[Contract_Price]]),1,0)</f>
        <v>0</v>
      </c>
      <c r="T3167">
        <f>IF(AND(NOT(ISBLANK(ReconciliationData[[#This Row],[End_Date]])),ReconciliationData[[#This Row],[Order_Date]]&gt;ReconciliationData[[#This Row],[End_Date]]),1,0)</f>
        <v>0</v>
      </c>
      <c r="U3167">
        <f>IF(AND(NOT(ISBLANK(ReconciliationData[[#This Row],[last_return_date]])),ReconciliationData[[#This Row],[last_return_date]]&gt;ReconciliationData[[#This Row],[Order_Date]]+60),1,0)</f>
        <v>0</v>
      </c>
      <c r="V3167">
        <f>IF(ReconciliationData[[#This Row],[total_returned_units]]&gt;ReconciliationData[[#This Row],[ordered_units]],1,0)</f>
        <v>0</v>
      </c>
      <c r="W31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67">
        <f>ReconciliationData[[#This Row],[Billed_Units]]*ReconciliationData[[#This Row],[Billed_Price]]</f>
        <v>105126.99541542052</v>
      </c>
      <c r="Y3167">
        <f>ReconciliationData[[#This Row],[ordered_units]]*ReconciliationData[[#This Row],[List_Price]]</f>
        <v>105066.57420000002</v>
      </c>
      <c r="Z3167">
        <f>ReconciliationData[[#This Row],[billed_revenue]]-ReconciliationData[[#This Row],[expected_revenue]]</f>
        <v>60.421215420501539</v>
      </c>
      <c r="AA31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167" t="str">
        <f>IF(ReconciliationData[[#This Row],[severity_score]]=0,"LOW",
 IF(ReconciliationData[[#This Row],[severity_score]]&lt;=5,"MEDIUM","HIGH"))</f>
        <v>MEDIUM</v>
      </c>
      <c r="AC3167" t="str">
        <f>TEXT(ReconciliationData[[#This Row],[Order_Date]],"YYYY-MM")</f>
        <v>2024-11</v>
      </c>
    </row>
    <row r="3168" spans="1:29">
      <c r="A3168" t="s">
        <v>7552</v>
      </c>
      <c r="B3168" s="1">
        <v>45477</v>
      </c>
      <c r="C3168" t="s">
        <v>1498</v>
      </c>
      <c r="D3168" t="s">
        <v>1616</v>
      </c>
      <c r="E3168">
        <v>151</v>
      </c>
      <c r="F3168" t="s">
        <v>7553</v>
      </c>
      <c r="G3168">
        <v>153</v>
      </c>
      <c r="H3168">
        <v>1137.9636</v>
      </c>
      <c r="N3168">
        <v>1137.9636</v>
      </c>
      <c r="O3168" s="1">
        <v>45007</v>
      </c>
      <c r="P3168">
        <f>IF(ISBLANK(ReconciliationData[[#This Row],[Invoice_ID]]),1,0)</f>
        <v>0</v>
      </c>
      <c r="Q3168">
        <f>IF(AND(NOT(ISBLANK(ReconciliationData[[#This Row],[Billed_Units]])),ReconciliationData[[#This Row],[ordered_units]]&lt;&gt;ReconciliationData[[#This Row],[Billed_Units]]),1,0)</f>
        <v>1</v>
      </c>
      <c r="R31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68">
        <f>IF(AND(NOT(ISBLANK(ReconciliationData[[#This Row],[Contract_Price]])),ReconciliationData[[#This Row],[Billed_Price]]&lt;&gt;ReconciliationData[[#This Row],[Contract_Price]]),1,0)</f>
        <v>0</v>
      </c>
      <c r="T3168">
        <f>IF(AND(NOT(ISBLANK(ReconciliationData[[#This Row],[End_Date]])),ReconciliationData[[#This Row],[Order_Date]]&gt;ReconciliationData[[#This Row],[End_Date]]),1,0)</f>
        <v>0</v>
      </c>
      <c r="U3168">
        <f>IF(AND(NOT(ISBLANK(ReconciliationData[[#This Row],[last_return_date]])),ReconciliationData[[#This Row],[last_return_date]]&gt;ReconciliationData[[#This Row],[Order_Date]]+60),1,0)</f>
        <v>0</v>
      </c>
      <c r="V3168">
        <f>IF(ReconciliationData[[#This Row],[total_returned_units]]&gt;ReconciliationData[[#This Row],[ordered_units]],1,0)</f>
        <v>0</v>
      </c>
      <c r="W31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68">
        <f>ReconciliationData[[#This Row],[Billed_Units]]*ReconciliationData[[#This Row],[Billed_Price]]</f>
        <v>174108.4308</v>
      </c>
      <c r="Y3168">
        <f>ReconciliationData[[#This Row],[ordered_units]]*ReconciliationData[[#This Row],[List_Price]]</f>
        <v>171832.5036</v>
      </c>
      <c r="Z3168">
        <f>ReconciliationData[[#This Row],[billed_revenue]]-ReconciliationData[[#This Row],[expected_revenue]]</f>
        <v>2275.9272000000055</v>
      </c>
      <c r="AA31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168" t="str">
        <f>IF(ReconciliationData[[#This Row],[severity_score]]=0,"LOW",
 IF(ReconciliationData[[#This Row],[severity_score]]&lt;=5,"MEDIUM","HIGH"))</f>
        <v>HIGH</v>
      </c>
      <c r="AC3168" t="str">
        <f>TEXT(ReconciliationData[[#This Row],[Order_Date]],"YYYY-MM")</f>
        <v>2024-07</v>
      </c>
    </row>
    <row r="3169" spans="1:29">
      <c r="A3169" t="s">
        <v>7554</v>
      </c>
      <c r="B3169" s="1">
        <v>45442</v>
      </c>
      <c r="C3169" t="s">
        <v>234</v>
      </c>
      <c r="D3169" t="s">
        <v>643</v>
      </c>
      <c r="E3169">
        <v>55</v>
      </c>
      <c r="F3169" t="s">
        <v>7555</v>
      </c>
      <c r="G3169">
        <v>55</v>
      </c>
      <c r="H3169">
        <v>208.65799999999999</v>
      </c>
      <c r="N3169">
        <v>208.65799999999999</v>
      </c>
      <c r="O3169" s="1">
        <v>44971</v>
      </c>
      <c r="P3169">
        <f>IF(ISBLANK(ReconciliationData[[#This Row],[Invoice_ID]]),1,0)</f>
        <v>0</v>
      </c>
      <c r="Q3169">
        <f>IF(AND(NOT(ISBLANK(ReconciliationData[[#This Row],[Billed_Units]])),ReconciliationData[[#This Row],[ordered_units]]&lt;&gt;ReconciliationData[[#This Row],[Billed_Units]]),1,0)</f>
        <v>0</v>
      </c>
      <c r="R31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69">
        <f>IF(AND(NOT(ISBLANK(ReconciliationData[[#This Row],[Contract_Price]])),ReconciliationData[[#This Row],[Billed_Price]]&lt;&gt;ReconciliationData[[#This Row],[Contract_Price]]),1,0)</f>
        <v>0</v>
      </c>
      <c r="T3169">
        <f>IF(AND(NOT(ISBLANK(ReconciliationData[[#This Row],[End_Date]])),ReconciliationData[[#This Row],[Order_Date]]&gt;ReconciliationData[[#This Row],[End_Date]]),1,0)</f>
        <v>0</v>
      </c>
      <c r="U3169">
        <f>IF(AND(NOT(ISBLANK(ReconciliationData[[#This Row],[last_return_date]])),ReconciliationData[[#This Row],[last_return_date]]&gt;ReconciliationData[[#This Row],[Order_Date]]+60),1,0)</f>
        <v>0</v>
      </c>
      <c r="V3169">
        <f>IF(ReconciliationData[[#This Row],[total_returned_units]]&gt;ReconciliationData[[#This Row],[ordered_units]],1,0)</f>
        <v>0</v>
      </c>
      <c r="W31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69">
        <f>ReconciliationData[[#This Row],[Billed_Units]]*ReconciliationData[[#This Row],[Billed_Price]]</f>
        <v>11476.189999999999</v>
      </c>
      <c r="Y3169">
        <f>ReconciliationData[[#This Row],[ordered_units]]*ReconciliationData[[#This Row],[List_Price]]</f>
        <v>11476.189999999999</v>
      </c>
      <c r="Z3169">
        <f>ReconciliationData[[#This Row],[billed_revenue]]-ReconciliationData[[#This Row],[expected_revenue]]</f>
        <v>0</v>
      </c>
      <c r="AA31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69" t="str">
        <f>IF(ReconciliationData[[#This Row],[severity_score]]=0,"LOW",
 IF(ReconciliationData[[#This Row],[severity_score]]&lt;=5,"MEDIUM","HIGH"))</f>
        <v>LOW</v>
      </c>
      <c r="AC3169" t="str">
        <f>TEXT(ReconciliationData[[#This Row],[Order_Date]],"YYYY-MM")</f>
        <v>2024-05</v>
      </c>
    </row>
    <row r="3170" spans="1:29">
      <c r="A3170" t="s">
        <v>7556</v>
      </c>
      <c r="B3170" s="1">
        <v>45642</v>
      </c>
      <c r="C3170" t="s">
        <v>1808</v>
      </c>
      <c r="D3170" t="s">
        <v>190</v>
      </c>
      <c r="E3170">
        <v>166</v>
      </c>
      <c r="F3170" t="s">
        <v>7557</v>
      </c>
      <c r="G3170">
        <v>166</v>
      </c>
      <c r="H3170">
        <v>265.44960000000003</v>
      </c>
      <c r="N3170">
        <v>265.44960000000003</v>
      </c>
      <c r="O3170" s="1">
        <v>44999</v>
      </c>
      <c r="P3170">
        <f>IF(ISBLANK(ReconciliationData[[#This Row],[Invoice_ID]]),1,0)</f>
        <v>0</v>
      </c>
      <c r="Q3170">
        <f>IF(AND(NOT(ISBLANK(ReconciliationData[[#This Row],[Billed_Units]])),ReconciliationData[[#This Row],[ordered_units]]&lt;&gt;ReconciliationData[[#This Row],[Billed_Units]]),1,0)</f>
        <v>0</v>
      </c>
      <c r="R31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0">
        <f>IF(AND(NOT(ISBLANK(ReconciliationData[[#This Row],[Contract_Price]])),ReconciliationData[[#This Row],[Billed_Price]]&lt;&gt;ReconciliationData[[#This Row],[Contract_Price]]),1,0)</f>
        <v>0</v>
      </c>
      <c r="T3170">
        <f>IF(AND(NOT(ISBLANK(ReconciliationData[[#This Row],[End_Date]])),ReconciliationData[[#This Row],[Order_Date]]&gt;ReconciliationData[[#This Row],[End_Date]]),1,0)</f>
        <v>0</v>
      </c>
      <c r="U3170">
        <f>IF(AND(NOT(ISBLANK(ReconciliationData[[#This Row],[last_return_date]])),ReconciliationData[[#This Row],[last_return_date]]&gt;ReconciliationData[[#This Row],[Order_Date]]+60),1,0)</f>
        <v>0</v>
      </c>
      <c r="V3170">
        <f>IF(ReconciliationData[[#This Row],[total_returned_units]]&gt;ReconciliationData[[#This Row],[ordered_units]],1,0)</f>
        <v>0</v>
      </c>
      <c r="W31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0">
        <f>ReconciliationData[[#This Row],[Billed_Units]]*ReconciliationData[[#This Row],[Billed_Price]]</f>
        <v>44064.633600000008</v>
      </c>
      <c r="Y3170">
        <f>ReconciliationData[[#This Row],[ordered_units]]*ReconciliationData[[#This Row],[List_Price]]</f>
        <v>44064.633600000008</v>
      </c>
      <c r="Z3170">
        <f>ReconciliationData[[#This Row],[billed_revenue]]-ReconciliationData[[#This Row],[expected_revenue]]</f>
        <v>0</v>
      </c>
      <c r="AA31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0" t="str">
        <f>IF(ReconciliationData[[#This Row],[severity_score]]=0,"LOW",
 IF(ReconciliationData[[#This Row],[severity_score]]&lt;=5,"MEDIUM","HIGH"))</f>
        <v>LOW</v>
      </c>
      <c r="AC3170" t="str">
        <f>TEXT(ReconciliationData[[#This Row],[Order_Date]],"YYYY-MM")</f>
        <v>2024-12</v>
      </c>
    </row>
    <row r="3171" spans="1:29">
      <c r="A3171" t="s">
        <v>7558</v>
      </c>
      <c r="B3171" s="1">
        <v>44953</v>
      </c>
      <c r="C3171" t="s">
        <v>294</v>
      </c>
      <c r="D3171" t="s">
        <v>3409</v>
      </c>
      <c r="E3171">
        <v>46</v>
      </c>
      <c r="F3171" t="s">
        <v>7559</v>
      </c>
      <c r="G3171">
        <v>46</v>
      </c>
      <c r="H3171">
        <v>94.274299999999997</v>
      </c>
      <c r="N3171">
        <v>94.274299999999997</v>
      </c>
      <c r="O3171" s="1">
        <v>44906</v>
      </c>
      <c r="P3171">
        <f>IF(ISBLANK(ReconciliationData[[#This Row],[Invoice_ID]]),1,0)</f>
        <v>0</v>
      </c>
      <c r="Q3171">
        <f>IF(AND(NOT(ISBLANK(ReconciliationData[[#This Row],[Billed_Units]])),ReconciliationData[[#This Row],[ordered_units]]&lt;&gt;ReconciliationData[[#This Row],[Billed_Units]]),1,0)</f>
        <v>0</v>
      </c>
      <c r="R31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1">
        <f>IF(AND(NOT(ISBLANK(ReconciliationData[[#This Row],[Contract_Price]])),ReconciliationData[[#This Row],[Billed_Price]]&lt;&gt;ReconciliationData[[#This Row],[Contract_Price]]),1,0)</f>
        <v>0</v>
      </c>
      <c r="T3171">
        <f>IF(AND(NOT(ISBLANK(ReconciliationData[[#This Row],[End_Date]])),ReconciliationData[[#This Row],[Order_Date]]&gt;ReconciliationData[[#This Row],[End_Date]]),1,0)</f>
        <v>0</v>
      </c>
      <c r="U3171">
        <f>IF(AND(NOT(ISBLANK(ReconciliationData[[#This Row],[last_return_date]])),ReconciliationData[[#This Row],[last_return_date]]&gt;ReconciliationData[[#This Row],[Order_Date]]+60),1,0)</f>
        <v>0</v>
      </c>
      <c r="V3171">
        <f>IF(ReconciliationData[[#This Row],[total_returned_units]]&gt;ReconciliationData[[#This Row],[ordered_units]],1,0)</f>
        <v>0</v>
      </c>
      <c r="W31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1">
        <f>ReconciliationData[[#This Row],[Billed_Units]]*ReconciliationData[[#This Row],[Billed_Price]]</f>
        <v>4336.6178</v>
      </c>
      <c r="Y3171">
        <f>ReconciliationData[[#This Row],[ordered_units]]*ReconciliationData[[#This Row],[List_Price]]</f>
        <v>4336.6178</v>
      </c>
      <c r="Z3171">
        <f>ReconciliationData[[#This Row],[billed_revenue]]-ReconciliationData[[#This Row],[expected_revenue]]</f>
        <v>0</v>
      </c>
      <c r="AA31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1" t="str">
        <f>IF(ReconciliationData[[#This Row],[severity_score]]=0,"LOW",
 IF(ReconciliationData[[#This Row],[severity_score]]&lt;=5,"MEDIUM","HIGH"))</f>
        <v>LOW</v>
      </c>
      <c r="AC3171" t="str">
        <f>TEXT(ReconciliationData[[#This Row],[Order_Date]],"YYYY-MM")</f>
        <v>2023-01</v>
      </c>
    </row>
    <row r="3172" spans="1:29">
      <c r="A3172" t="s">
        <v>7560</v>
      </c>
      <c r="B3172" s="1">
        <v>45217</v>
      </c>
      <c r="C3172" t="s">
        <v>1483</v>
      </c>
      <c r="D3172" t="s">
        <v>158</v>
      </c>
      <c r="E3172">
        <v>4</v>
      </c>
      <c r="F3172" t="s">
        <v>7561</v>
      </c>
      <c r="G3172">
        <v>4</v>
      </c>
      <c r="H3172">
        <v>700.93560000000002</v>
      </c>
      <c r="N3172">
        <v>700.93560000000002</v>
      </c>
      <c r="O3172" s="1">
        <v>45077</v>
      </c>
      <c r="P3172">
        <f>IF(ISBLANK(ReconciliationData[[#This Row],[Invoice_ID]]),1,0)</f>
        <v>0</v>
      </c>
      <c r="Q3172">
        <f>IF(AND(NOT(ISBLANK(ReconciliationData[[#This Row],[Billed_Units]])),ReconciliationData[[#This Row],[ordered_units]]&lt;&gt;ReconciliationData[[#This Row],[Billed_Units]]),1,0)</f>
        <v>0</v>
      </c>
      <c r="R31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2">
        <f>IF(AND(NOT(ISBLANK(ReconciliationData[[#This Row],[Contract_Price]])),ReconciliationData[[#This Row],[Billed_Price]]&lt;&gt;ReconciliationData[[#This Row],[Contract_Price]]),1,0)</f>
        <v>0</v>
      </c>
      <c r="T3172">
        <f>IF(AND(NOT(ISBLANK(ReconciliationData[[#This Row],[End_Date]])),ReconciliationData[[#This Row],[Order_Date]]&gt;ReconciliationData[[#This Row],[End_Date]]),1,0)</f>
        <v>0</v>
      </c>
      <c r="U3172">
        <f>IF(AND(NOT(ISBLANK(ReconciliationData[[#This Row],[last_return_date]])),ReconciliationData[[#This Row],[last_return_date]]&gt;ReconciliationData[[#This Row],[Order_Date]]+60),1,0)</f>
        <v>0</v>
      </c>
      <c r="V3172">
        <f>IF(ReconciliationData[[#This Row],[total_returned_units]]&gt;ReconciliationData[[#This Row],[ordered_units]],1,0)</f>
        <v>0</v>
      </c>
      <c r="W31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2">
        <f>ReconciliationData[[#This Row],[Billed_Units]]*ReconciliationData[[#This Row],[Billed_Price]]</f>
        <v>2803.7424000000001</v>
      </c>
      <c r="Y3172">
        <f>ReconciliationData[[#This Row],[ordered_units]]*ReconciliationData[[#This Row],[List_Price]]</f>
        <v>2803.7424000000001</v>
      </c>
      <c r="Z3172">
        <f>ReconciliationData[[#This Row],[billed_revenue]]-ReconciliationData[[#This Row],[expected_revenue]]</f>
        <v>0</v>
      </c>
      <c r="AA31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2" t="str">
        <f>IF(ReconciliationData[[#This Row],[severity_score]]=0,"LOW",
 IF(ReconciliationData[[#This Row],[severity_score]]&lt;=5,"MEDIUM","HIGH"))</f>
        <v>LOW</v>
      </c>
      <c r="AC3172" t="str">
        <f>TEXT(ReconciliationData[[#This Row],[Order_Date]],"YYYY-MM")</f>
        <v>2023-10</v>
      </c>
    </row>
    <row r="3173" spans="1:29">
      <c r="A3173" t="s">
        <v>7562</v>
      </c>
      <c r="B3173" s="1">
        <v>45177</v>
      </c>
      <c r="C3173" t="s">
        <v>2217</v>
      </c>
      <c r="D3173" t="s">
        <v>577</v>
      </c>
      <c r="E3173">
        <v>60</v>
      </c>
      <c r="F3173" t="s">
        <v>7563</v>
      </c>
      <c r="G3173">
        <v>60</v>
      </c>
      <c r="H3173">
        <v>1093.1199999999999</v>
      </c>
      <c r="N3173">
        <v>1093.1199999999999</v>
      </c>
      <c r="O3173" s="1">
        <v>45035</v>
      </c>
      <c r="P3173">
        <f>IF(ISBLANK(ReconciliationData[[#This Row],[Invoice_ID]]),1,0)</f>
        <v>0</v>
      </c>
      <c r="Q3173">
        <f>IF(AND(NOT(ISBLANK(ReconciliationData[[#This Row],[Billed_Units]])),ReconciliationData[[#This Row],[ordered_units]]&lt;&gt;ReconciliationData[[#This Row],[Billed_Units]]),1,0)</f>
        <v>0</v>
      </c>
      <c r="R31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3">
        <f>IF(AND(NOT(ISBLANK(ReconciliationData[[#This Row],[Contract_Price]])),ReconciliationData[[#This Row],[Billed_Price]]&lt;&gt;ReconciliationData[[#This Row],[Contract_Price]]),1,0)</f>
        <v>0</v>
      </c>
      <c r="T3173">
        <f>IF(AND(NOT(ISBLANK(ReconciliationData[[#This Row],[End_Date]])),ReconciliationData[[#This Row],[Order_Date]]&gt;ReconciliationData[[#This Row],[End_Date]]),1,0)</f>
        <v>0</v>
      </c>
      <c r="U3173">
        <f>IF(AND(NOT(ISBLANK(ReconciliationData[[#This Row],[last_return_date]])),ReconciliationData[[#This Row],[last_return_date]]&gt;ReconciliationData[[#This Row],[Order_Date]]+60),1,0)</f>
        <v>0</v>
      </c>
      <c r="V3173">
        <f>IF(ReconciliationData[[#This Row],[total_returned_units]]&gt;ReconciliationData[[#This Row],[ordered_units]],1,0)</f>
        <v>0</v>
      </c>
      <c r="W31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3">
        <f>ReconciliationData[[#This Row],[Billed_Units]]*ReconciliationData[[#This Row],[Billed_Price]]</f>
        <v>65587.199999999997</v>
      </c>
      <c r="Y3173">
        <f>ReconciliationData[[#This Row],[ordered_units]]*ReconciliationData[[#This Row],[List_Price]]</f>
        <v>65587.199999999997</v>
      </c>
      <c r="Z3173">
        <f>ReconciliationData[[#This Row],[billed_revenue]]-ReconciliationData[[#This Row],[expected_revenue]]</f>
        <v>0</v>
      </c>
      <c r="AA31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3" t="str">
        <f>IF(ReconciliationData[[#This Row],[severity_score]]=0,"LOW",
 IF(ReconciliationData[[#This Row],[severity_score]]&lt;=5,"MEDIUM","HIGH"))</f>
        <v>LOW</v>
      </c>
      <c r="AC3173" t="str">
        <f>TEXT(ReconciliationData[[#This Row],[Order_Date]],"YYYY-MM")</f>
        <v>2023-09</v>
      </c>
    </row>
    <row r="3174" spans="1:29">
      <c r="A3174" t="s">
        <v>7564</v>
      </c>
      <c r="B3174" s="1">
        <v>45552</v>
      </c>
      <c r="C3174" t="s">
        <v>320</v>
      </c>
      <c r="D3174" t="s">
        <v>1411</v>
      </c>
      <c r="E3174">
        <v>52</v>
      </c>
      <c r="F3174" t="s">
        <v>7565</v>
      </c>
      <c r="G3174">
        <v>52</v>
      </c>
      <c r="H3174">
        <v>1167.9120000000005</v>
      </c>
      <c r="N3174">
        <v>1167.9120000000005</v>
      </c>
      <c r="O3174" s="1">
        <v>45019</v>
      </c>
      <c r="P3174">
        <f>IF(ISBLANK(ReconciliationData[[#This Row],[Invoice_ID]]),1,0)</f>
        <v>0</v>
      </c>
      <c r="Q3174">
        <f>IF(AND(NOT(ISBLANK(ReconciliationData[[#This Row],[Billed_Units]])),ReconciliationData[[#This Row],[ordered_units]]&lt;&gt;ReconciliationData[[#This Row],[Billed_Units]]),1,0)</f>
        <v>0</v>
      </c>
      <c r="R31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4">
        <f>IF(AND(NOT(ISBLANK(ReconciliationData[[#This Row],[Contract_Price]])),ReconciliationData[[#This Row],[Billed_Price]]&lt;&gt;ReconciliationData[[#This Row],[Contract_Price]]),1,0)</f>
        <v>0</v>
      </c>
      <c r="T3174">
        <f>IF(AND(NOT(ISBLANK(ReconciliationData[[#This Row],[End_Date]])),ReconciliationData[[#This Row],[Order_Date]]&gt;ReconciliationData[[#This Row],[End_Date]]),1,0)</f>
        <v>0</v>
      </c>
      <c r="U3174">
        <f>IF(AND(NOT(ISBLANK(ReconciliationData[[#This Row],[last_return_date]])),ReconciliationData[[#This Row],[last_return_date]]&gt;ReconciliationData[[#This Row],[Order_Date]]+60),1,0)</f>
        <v>0</v>
      </c>
      <c r="V3174">
        <f>IF(ReconciliationData[[#This Row],[total_returned_units]]&gt;ReconciliationData[[#This Row],[ordered_units]],1,0)</f>
        <v>0</v>
      </c>
      <c r="W31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4">
        <f>ReconciliationData[[#This Row],[Billed_Units]]*ReconciliationData[[#This Row],[Billed_Price]]</f>
        <v>60731.424000000028</v>
      </c>
      <c r="Y3174">
        <f>ReconciliationData[[#This Row],[ordered_units]]*ReconciliationData[[#This Row],[List_Price]]</f>
        <v>60731.424000000028</v>
      </c>
      <c r="Z3174">
        <f>ReconciliationData[[#This Row],[billed_revenue]]-ReconciliationData[[#This Row],[expected_revenue]]</f>
        <v>0</v>
      </c>
      <c r="AA31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4" t="str">
        <f>IF(ReconciliationData[[#This Row],[severity_score]]=0,"LOW",
 IF(ReconciliationData[[#This Row],[severity_score]]&lt;=5,"MEDIUM","HIGH"))</f>
        <v>LOW</v>
      </c>
      <c r="AC3174" t="str">
        <f>TEXT(ReconciliationData[[#This Row],[Order_Date]],"YYYY-MM")</f>
        <v>2024-09</v>
      </c>
    </row>
    <row r="3175" spans="1:29">
      <c r="A3175" t="s">
        <v>7566</v>
      </c>
      <c r="B3175" s="1">
        <v>45493</v>
      </c>
      <c r="C3175" t="s">
        <v>1135</v>
      </c>
      <c r="D3175" t="s">
        <v>1533</v>
      </c>
      <c r="E3175">
        <v>82</v>
      </c>
      <c r="F3175" t="s">
        <v>7567</v>
      </c>
      <c r="G3175">
        <v>82</v>
      </c>
      <c r="H3175">
        <v>952.36940000000004</v>
      </c>
      <c r="N3175">
        <v>952.36940000000004</v>
      </c>
      <c r="O3175" s="1">
        <v>45169</v>
      </c>
      <c r="P3175">
        <f>IF(ISBLANK(ReconciliationData[[#This Row],[Invoice_ID]]),1,0)</f>
        <v>0</v>
      </c>
      <c r="Q3175">
        <f>IF(AND(NOT(ISBLANK(ReconciliationData[[#This Row],[Billed_Units]])),ReconciliationData[[#This Row],[ordered_units]]&lt;&gt;ReconciliationData[[#This Row],[Billed_Units]]),1,0)</f>
        <v>0</v>
      </c>
      <c r="R31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5">
        <f>IF(AND(NOT(ISBLANK(ReconciliationData[[#This Row],[Contract_Price]])),ReconciliationData[[#This Row],[Billed_Price]]&lt;&gt;ReconciliationData[[#This Row],[Contract_Price]]),1,0)</f>
        <v>0</v>
      </c>
      <c r="T3175">
        <f>IF(AND(NOT(ISBLANK(ReconciliationData[[#This Row],[End_Date]])),ReconciliationData[[#This Row],[Order_Date]]&gt;ReconciliationData[[#This Row],[End_Date]]),1,0)</f>
        <v>0</v>
      </c>
      <c r="U3175">
        <f>IF(AND(NOT(ISBLANK(ReconciliationData[[#This Row],[last_return_date]])),ReconciliationData[[#This Row],[last_return_date]]&gt;ReconciliationData[[#This Row],[Order_Date]]+60),1,0)</f>
        <v>0</v>
      </c>
      <c r="V3175">
        <f>IF(ReconciliationData[[#This Row],[total_returned_units]]&gt;ReconciliationData[[#This Row],[ordered_units]],1,0)</f>
        <v>0</v>
      </c>
      <c r="W31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5">
        <f>ReconciliationData[[#This Row],[Billed_Units]]*ReconciliationData[[#This Row],[Billed_Price]]</f>
        <v>78094.290800000002</v>
      </c>
      <c r="Y3175">
        <f>ReconciliationData[[#This Row],[ordered_units]]*ReconciliationData[[#This Row],[List_Price]]</f>
        <v>78094.290800000002</v>
      </c>
      <c r="Z3175">
        <f>ReconciliationData[[#This Row],[billed_revenue]]-ReconciliationData[[#This Row],[expected_revenue]]</f>
        <v>0</v>
      </c>
      <c r="AA31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5" t="str">
        <f>IF(ReconciliationData[[#This Row],[severity_score]]=0,"LOW",
 IF(ReconciliationData[[#This Row],[severity_score]]&lt;=5,"MEDIUM","HIGH"))</f>
        <v>LOW</v>
      </c>
      <c r="AC3175" t="str">
        <f>TEXT(ReconciliationData[[#This Row],[Order_Date]],"YYYY-MM")</f>
        <v>2024-07</v>
      </c>
    </row>
    <row r="3176" spans="1:29">
      <c r="A3176" t="s">
        <v>7568</v>
      </c>
      <c r="B3176" s="1">
        <v>45091</v>
      </c>
      <c r="C3176" t="s">
        <v>907</v>
      </c>
      <c r="D3176" t="s">
        <v>849</v>
      </c>
      <c r="E3176">
        <v>34</v>
      </c>
      <c r="F3176" t="s">
        <v>7569</v>
      </c>
      <c r="G3176">
        <v>34</v>
      </c>
      <c r="H3176">
        <v>436.9466000000001</v>
      </c>
      <c r="N3176">
        <v>436.9466000000001</v>
      </c>
      <c r="O3176" s="1">
        <v>44764</v>
      </c>
      <c r="P3176">
        <f>IF(ISBLANK(ReconciliationData[[#This Row],[Invoice_ID]]),1,0)</f>
        <v>0</v>
      </c>
      <c r="Q3176">
        <f>IF(AND(NOT(ISBLANK(ReconciliationData[[#This Row],[Billed_Units]])),ReconciliationData[[#This Row],[ordered_units]]&lt;&gt;ReconciliationData[[#This Row],[Billed_Units]]),1,0)</f>
        <v>0</v>
      </c>
      <c r="R31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6">
        <f>IF(AND(NOT(ISBLANK(ReconciliationData[[#This Row],[Contract_Price]])),ReconciliationData[[#This Row],[Billed_Price]]&lt;&gt;ReconciliationData[[#This Row],[Contract_Price]]),1,0)</f>
        <v>0</v>
      </c>
      <c r="T3176">
        <f>IF(AND(NOT(ISBLANK(ReconciliationData[[#This Row],[End_Date]])),ReconciliationData[[#This Row],[Order_Date]]&gt;ReconciliationData[[#This Row],[End_Date]]),1,0)</f>
        <v>0</v>
      </c>
      <c r="U3176">
        <f>IF(AND(NOT(ISBLANK(ReconciliationData[[#This Row],[last_return_date]])),ReconciliationData[[#This Row],[last_return_date]]&gt;ReconciliationData[[#This Row],[Order_Date]]+60),1,0)</f>
        <v>0</v>
      </c>
      <c r="V3176">
        <f>IF(ReconciliationData[[#This Row],[total_returned_units]]&gt;ReconciliationData[[#This Row],[ordered_units]],1,0)</f>
        <v>0</v>
      </c>
      <c r="W31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6">
        <f>ReconciliationData[[#This Row],[Billed_Units]]*ReconciliationData[[#This Row],[Billed_Price]]</f>
        <v>14856.184400000004</v>
      </c>
      <c r="Y3176">
        <f>ReconciliationData[[#This Row],[ordered_units]]*ReconciliationData[[#This Row],[List_Price]]</f>
        <v>14856.184400000004</v>
      </c>
      <c r="Z3176">
        <f>ReconciliationData[[#This Row],[billed_revenue]]-ReconciliationData[[#This Row],[expected_revenue]]</f>
        <v>0</v>
      </c>
      <c r="AA31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6" t="str">
        <f>IF(ReconciliationData[[#This Row],[severity_score]]=0,"LOW",
 IF(ReconciliationData[[#This Row],[severity_score]]&lt;=5,"MEDIUM","HIGH"))</f>
        <v>LOW</v>
      </c>
      <c r="AC3176" t="str">
        <f>TEXT(ReconciliationData[[#This Row],[Order_Date]],"YYYY-MM")</f>
        <v>2023-06</v>
      </c>
    </row>
    <row r="3177" spans="1:29">
      <c r="A3177" t="s">
        <v>7570</v>
      </c>
      <c r="B3177" s="1">
        <v>45404</v>
      </c>
      <c r="C3177" t="s">
        <v>4436</v>
      </c>
      <c r="D3177" t="s">
        <v>138</v>
      </c>
      <c r="E3177">
        <v>61</v>
      </c>
      <c r="F3177" t="s">
        <v>7571</v>
      </c>
      <c r="G3177">
        <v>61</v>
      </c>
      <c r="H3177">
        <v>444.22</v>
      </c>
      <c r="N3177">
        <v>444.22</v>
      </c>
      <c r="O3177" s="1">
        <v>45074</v>
      </c>
      <c r="P3177">
        <f>IF(ISBLANK(ReconciliationData[[#This Row],[Invoice_ID]]),1,0)</f>
        <v>0</v>
      </c>
      <c r="Q3177">
        <f>IF(AND(NOT(ISBLANK(ReconciliationData[[#This Row],[Billed_Units]])),ReconciliationData[[#This Row],[ordered_units]]&lt;&gt;ReconciliationData[[#This Row],[Billed_Units]]),1,0)</f>
        <v>0</v>
      </c>
      <c r="R31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7">
        <f>IF(AND(NOT(ISBLANK(ReconciliationData[[#This Row],[Contract_Price]])),ReconciliationData[[#This Row],[Billed_Price]]&lt;&gt;ReconciliationData[[#This Row],[Contract_Price]]),1,0)</f>
        <v>0</v>
      </c>
      <c r="T3177">
        <f>IF(AND(NOT(ISBLANK(ReconciliationData[[#This Row],[End_Date]])),ReconciliationData[[#This Row],[Order_Date]]&gt;ReconciliationData[[#This Row],[End_Date]]),1,0)</f>
        <v>0</v>
      </c>
      <c r="U3177">
        <f>IF(AND(NOT(ISBLANK(ReconciliationData[[#This Row],[last_return_date]])),ReconciliationData[[#This Row],[last_return_date]]&gt;ReconciliationData[[#This Row],[Order_Date]]+60),1,0)</f>
        <v>0</v>
      </c>
      <c r="V3177">
        <f>IF(ReconciliationData[[#This Row],[total_returned_units]]&gt;ReconciliationData[[#This Row],[ordered_units]],1,0)</f>
        <v>0</v>
      </c>
      <c r="W31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7">
        <f>ReconciliationData[[#This Row],[Billed_Units]]*ReconciliationData[[#This Row],[Billed_Price]]</f>
        <v>27097.420000000002</v>
      </c>
      <c r="Y3177">
        <f>ReconciliationData[[#This Row],[ordered_units]]*ReconciliationData[[#This Row],[List_Price]]</f>
        <v>27097.420000000002</v>
      </c>
      <c r="Z3177">
        <f>ReconciliationData[[#This Row],[billed_revenue]]-ReconciliationData[[#This Row],[expected_revenue]]</f>
        <v>0</v>
      </c>
      <c r="AA31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7" t="str">
        <f>IF(ReconciliationData[[#This Row],[severity_score]]=0,"LOW",
 IF(ReconciliationData[[#This Row],[severity_score]]&lt;=5,"MEDIUM","HIGH"))</f>
        <v>LOW</v>
      </c>
      <c r="AC3177" t="str">
        <f>TEXT(ReconciliationData[[#This Row],[Order_Date]],"YYYY-MM")</f>
        <v>2024-04</v>
      </c>
    </row>
    <row r="3178" spans="1:29">
      <c r="A3178" t="s">
        <v>7572</v>
      </c>
      <c r="B3178" s="1">
        <v>45473</v>
      </c>
      <c r="C3178" t="s">
        <v>806</v>
      </c>
      <c r="D3178" t="s">
        <v>134</v>
      </c>
      <c r="E3178">
        <v>5</v>
      </c>
      <c r="F3178" t="s">
        <v>7573</v>
      </c>
      <c r="G3178">
        <v>5</v>
      </c>
      <c r="H3178">
        <v>446.4905</v>
      </c>
      <c r="N3178">
        <v>446.4905</v>
      </c>
      <c r="O3178" s="1">
        <v>45161</v>
      </c>
      <c r="P3178">
        <f>IF(ISBLANK(ReconciliationData[[#This Row],[Invoice_ID]]),1,0)</f>
        <v>0</v>
      </c>
      <c r="Q3178">
        <f>IF(AND(NOT(ISBLANK(ReconciliationData[[#This Row],[Billed_Units]])),ReconciliationData[[#This Row],[ordered_units]]&lt;&gt;ReconciliationData[[#This Row],[Billed_Units]]),1,0)</f>
        <v>0</v>
      </c>
      <c r="R31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8">
        <f>IF(AND(NOT(ISBLANK(ReconciliationData[[#This Row],[Contract_Price]])),ReconciliationData[[#This Row],[Billed_Price]]&lt;&gt;ReconciliationData[[#This Row],[Contract_Price]]),1,0)</f>
        <v>0</v>
      </c>
      <c r="T3178">
        <f>IF(AND(NOT(ISBLANK(ReconciliationData[[#This Row],[End_Date]])),ReconciliationData[[#This Row],[Order_Date]]&gt;ReconciliationData[[#This Row],[End_Date]]),1,0)</f>
        <v>0</v>
      </c>
      <c r="U3178">
        <f>IF(AND(NOT(ISBLANK(ReconciliationData[[#This Row],[last_return_date]])),ReconciliationData[[#This Row],[last_return_date]]&gt;ReconciliationData[[#This Row],[Order_Date]]+60),1,0)</f>
        <v>0</v>
      </c>
      <c r="V3178">
        <f>IF(ReconciliationData[[#This Row],[total_returned_units]]&gt;ReconciliationData[[#This Row],[ordered_units]],1,0)</f>
        <v>0</v>
      </c>
      <c r="W31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8">
        <f>ReconciliationData[[#This Row],[Billed_Units]]*ReconciliationData[[#This Row],[Billed_Price]]</f>
        <v>2232.4524999999999</v>
      </c>
      <c r="Y3178">
        <f>ReconciliationData[[#This Row],[ordered_units]]*ReconciliationData[[#This Row],[List_Price]]</f>
        <v>2232.4524999999999</v>
      </c>
      <c r="Z3178">
        <f>ReconciliationData[[#This Row],[billed_revenue]]-ReconciliationData[[#This Row],[expected_revenue]]</f>
        <v>0</v>
      </c>
      <c r="AA31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8" t="str">
        <f>IF(ReconciliationData[[#This Row],[severity_score]]=0,"LOW",
 IF(ReconciliationData[[#This Row],[severity_score]]&lt;=5,"MEDIUM","HIGH"))</f>
        <v>LOW</v>
      </c>
      <c r="AC3178" t="str">
        <f>TEXT(ReconciliationData[[#This Row],[Order_Date]],"YYYY-MM")</f>
        <v>2024-06</v>
      </c>
    </row>
    <row r="3179" spans="1:29">
      <c r="A3179" t="s">
        <v>7574</v>
      </c>
      <c r="B3179" s="1">
        <v>45311</v>
      </c>
      <c r="C3179" t="s">
        <v>1036</v>
      </c>
      <c r="D3179" t="s">
        <v>898</v>
      </c>
      <c r="E3179">
        <v>117</v>
      </c>
      <c r="F3179" t="s">
        <v>7575</v>
      </c>
      <c r="G3179">
        <v>117</v>
      </c>
      <c r="H3179">
        <v>744.98490000000004</v>
      </c>
      <c r="N3179">
        <v>744.98490000000004</v>
      </c>
      <c r="O3179" s="1">
        <v>45138</v>
      </c>
      <c r="P3179">
        <f>IF(ISBLANK(ReconciliationData[[#This Row],[Invoice_ID]]),1,0)</f>
        <v>0</v>
      </c>
      <c r="Q3179">
        <f>IF(AND(NOT(ISBLANK(ReconciliationData[[#This Row],[Billed_Units]])),ReconciliationData[[#This Row],[ordered_units]]&lt;&gt;ReconciliationData[[#This Row],[Billed_Units]]),1,0)</f>
        <v>0</v>
      </c>
      <c r="R31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79">
        <f>IF(AND(NOT(ISBLANK(ReconciliationData[[#This Row],[Contract_Price]])),ReconciliationData[[#This Row],[Billed_Price]]&lt;&gt;ReconciliationData[[#This Row],[Contract_Price]]),1,0)</f>
        <v>0</v>
      </c>
      <c r="T3179">
        <f>IF(AND(NOT(ISBLANK(ReconciliationData[[#This Row],[End_Date]])),ReconciliationData[[#This Row],[Order_Date]]&gt;ReconciliationData[[#This Row],[End_Date]]),1,0)</f>
        <v>0</v>
      </c>
      <c r="U3179">
        <f>IF(AND(NOT(ISBLANK(ReconciliationData[[#This Row],[last_return_date]])),ReconciliationData[[#This Row],[last_return_date]]&gt;ReconciliationData[[#This Row],[Order_Date]]+60),1,0)</f>
        <v>0</v>
      </c>
      <c r="V3179">
        <f>IF(ReconciliationData[[#This Row],[total_returned_units]]&gt;ReconciliationData[[#This Row],[ordered_units]],1,0)</f>
        <v>0</v>
      </c>
      <c r="W31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79">
        <f>ReconciliationData[[#This Row],[Billed_Units]]*ReconciliationData[[#This Row],[Billed_Price]]</f>
        <v>87163.233300000007</v>
      </c>
      <c r="Y3179">
        <f>ReconciliationData[[#This Row],[ordered_units]]*ReconciliationData[[#This Row],[List_Price]]</f>
        <v>87163.233300000007</v>
      </c>
      <c r="Z3179">
        <f>ReconciliationData[[#This Row],[billed_revenue]]-ReconciliationData[[#This Row],[expected_revenue]]</f>
        <v>0</v>
      </c>
      <c r="AA31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79" t="str">
        <f>IF(ReconciliationData[[#This Row],[severity_score]]=0,"LOW",
 IF(ReconciliationData[[#This Row],[severity_score]]&lt;=5,"MEDIUM","HIGH"))</f>
        <v>LOW</v>
      </c>
      <c r="AC3179" t="str">
        <f>TEXT(ReconciliationData[[#This Row],[Order_Date]],"YYYY-MM")</f>
        <v>2024-01</v>
      </c>
    </row>
    <row r="3180" spans="1:29">
      <c r="A3180" t="s">
        <v>7576</v>
      </c>
      <c r="B3180" s="1">
        <v>45637</v>
      </c>
      <c r="C3180" t="s">
        <v>731</v>
      </c>
      <c r="D3180" t="s">
        <v>2097</v>
      </c>
      <c r="E3180">
        <v>26</v>
      </c>
      <c r="F3180" t="s">
        <v>7577</v>
      </c>
      <c r="G3180">
        <v>26</v>
      </c>
      <c r="H3180">
        <v>599.90620000000001</v>
      </c>
      <c r="N3180">
        <v>599.90620000000001</v>
      </c>
      <c r="O3180" s="1">
        <v>45060</v>
      </c>
      <c r="P3180">
        <f>IF(ISBLANK(ReconciliationData[[#This Row],[Invoice_ID]]),1,0)</f>
        <v>0</v>
      </c>
      <c r="Q3180">
        <f>IF(AND(NOT(ISBLANK(ReconciliationData[[#This Row],[Billed_Units]])),ReconciliationData[[#This Row],[ordered_units]]&lt;&gt;ReconciliationData[[#This Row],[Billed_Units]]),1,0)</f>
        <v>0</v>
      </c>
      <c r="R31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0">
        <f>IF(AND(NOT(ISBLANK(ReconciliationData[[#This Row],[Contract_Price]])),ReconciliationData[[#This Row],[Billed_Price]]&lt;&gt;ReconciliationData[[#This Row],[Contract_Price]]),1,0)</f>
        <v>0</v>
      </c>
      <c r="T3180">
        <f>IF(AND(NOT(ISBLANK(ReconciliationData[[#This Row],[End_Date]])),ReconciliationData[[#This Row],[Order_Date]]&gt;ReconciliationData[[#This Row],[End_Date]]),1,0)</f>
        <v>0</v>
      </c>
      <c r="U3180">
        <f>IF(AND(NOT(ISBLANK(ReconciliationData[[#This Row],[last_return_date]])),ReconciliationData[[#This Row],[last_return_date]]&gt;ReconciliationData[[#This Row],[Order_Date]]+60),1,0)</f>
        <v>0</v>
      </c>
      <c r="V3180">
        <f>IF(ReconciliationData[[#This Row],[total_returned_units]]&gt;ReconciliationData[[#This Row],[ordered_units]],1,0)</f>
        <v>0</v>
      </c>
      <c r="W31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80">
        <f>ReconciliationData[[#This Row],[Billed_Units]]*ReconciliationData[[#This Row],[Billed_Price]]</f>
        <v>15597.5612</v>
      </c>
      <c r="Y3180">
        <f>ReconciliationData[[#This Row],[ordered_units]]*ReconciliationData[[#This Row],[List_Price]]</f>
        <v>15597.5612</v>
      </c>
      <c r="Z3180">
        <f>ReconciliationData[[#This Row],[billed_revenue]]-ReconciliationData[[#This Row],[expected_revenue]]</f>
        <v>0</v>
      </c>
      <c r="AA31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80" t="str">
        <f>IF(ReconciliationData[[#This Row],[severity_score]]=0,"LOW",
 IF(ReconciliationData[[#This Row],[severity_score]]&lt;=5,"MEDIUM","HIGH"))</f>
        <v>LOW</v>
      </c>
      <c r="AC3180" t="str">
        <f>TEXT(ReconciliationData[[#This Row],[Order_Date]],"YYYY-MM")</f>
        <v>2024-12</v>
      </c>
    </row>
    <row r="3181" spans="1:29">
      <c r="A3181" t="s">
        <v>7578</v>
      </c>
      <c r="B3181" s="1">
        <v>45118</v>
      </c>
      <c r="C3181" t="s">
        <v>282</v>
      </c>
      <c r="D3181" t="s">
        <v>1580</v>
      </c>
      <c r="E3181">
        <v>108</v>
      </c>
      <c r="F3181" t="s">
        <v>7579</v>
      </c>
      <c r="G3181">
        <v>110</v>
      </c>
      <c r="H3181">
        <v>708.51900000000001</v>
      </c>
      <c r="N3181">
        <v>708.51900000000001</v>
      </c>
      <c r="O3181" s="1">
        <v>45063</v>
      </c>
      <c r="P3181">
        <f>IF(ISBLANK(ReconciliationData[[#This Row],[Invoice_ID]]),1,0)</f>
        <v>0</v>
      </c>
      <c r="Q3181">
        <f>IF(AND(NOT(ISBLANK(ReconciliationData[[#This Row],[Billed_Units]])),ReconciliationData[[#This Row],[ordered_units]]&lt;&gt;ReconciliationData[[#This Row],[Billed_Units]]),1,0)</f>
        <v>1</v>
      </c>
      <c r="R31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1">
        <f>IF(AND(NOT(ISBLANK(ReconciliationData[[#This Row],[Contract_Price]])),ReconciliationData[[#This Row],[Billed_Price]]&lt;&gt;ReconciliationData[[#This Row],[Contract_Price]]),1,0)</f>
        <v>0</v>
      </c>
      <c r="T3181">
        <f>IF(AND(NOT(ISBLANK(ReconciliationData[[#This Row],[End_Date]])),ReconciliationData[[#This Row],[Order_Date]]&gt;ReconciliationData[[#This Row],[End_Date]]),1,0)</f>
        <v>0</v>
      </c>
      <c r="U3181">
        <f>IF(AND(NOT(ISBLANK(ReconciliationData[[#This Row],[last_return_date]])),ReconciliationData[[#This Row],[last_return_date]]&gt;ReconciliationData[[#This Row],[Order_Date]]+60),1,0)</f>
        <v>0</v>
      </c>
      <c r="V3181">
        <f>IF(ReconciliationData[[#This Row],[total_returned_units]]&gt;ReconciliationData[[#This Row],[ordered_units]],1,0)</f>
        <v>0</v>
      </c>
      <c r="W31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81">
        <f>ReconciliationData[[#This Row],[Billed_Units]]*ReconciliationData[[#This Row],[Billed_Price]]</f>
        <v>77937.09</v>
      </c>
      <c r="Y3181">
        <f>ReconciliationData[[#This Row],[ordered_units]]*ReconciliationData[[#This Row],[List_Price]]</f>
        <v>76520.051999999996</v>
      </c>
      <c r="Z3181">
        <f>ReconciliationData[[#This Row],[billed_revenue]]-ReconciliationData[[#This Row],[expected_revenue]]</f>
        <v>1417.0380000000005</v>
      </c>
      <c r="AA31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181" t="str">
        <f>IF(ReconciliationData[[#This Row],[severity_score]]=0,"LOW",
 IF(ReconciliationData[[#This Row],[severity_score]]&lt;=5,"MEDIUM","HIGH"))</f>
        <v>HIGH</v>
      </c>
      <c r="AC3181" t="str">
        <f>TEXT(ReconciliationData[[#This Row],[Order_Date]],"YYYY-MM")</f>
        <v>2023-07</v>
      </c>
    </row>
    <row r="3182" spans="1:29">
      <c r="A3182" t="s">
        <v>7580</v>
      </c>
      <c r="B3182" s="1">
        <v>45073</v>
      </c>
      <c r="C3182" t="s">
        <v>3003</v>
      </c>
      <c r="D3182" t="s">
        <v>1654</v>
      </c>
      <c r="E3182">
        <v>9</v>
      </c>
      <c r="F3182" t="s">
        <v>7581</v>
      </c>
      <c r="G3182">
        <v>9</v>
      </c>
      <c r="H3182">
        <v>1280.9556</v>
      </c>
      <c r="N3182">
        <v>1280.9556</v>
      </c>
      <c r="O3182" s="1">
        <v>45053</v>
      </c>
      <c r="P3182">
        <f>IF(ISBLANK(ReconciliationData[[#This Row],[Invoice_ID]]),1,0)</f>
        <v>0</v>
      </c>
      <c r="Q3182">
        <f>IF(AND(NOT(ISBLANK(ReconciliationData[[#This Row],[Billed_Units]])),ReconciliationData[[#This Row],[ordered_units]]&lt;&gt;ReconciliationData[[#This Row],[Billed_Units]]),1,0)</f>
        <v>0</v>
      </c>
      <c r="R31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2">
        <f>IF(AND(NOT(ISBLANK(ReconciliationData[[#This Row],[Contract_Price]])),ReconciliationData[[#This Row],[Billed_Price]]&lt;&gt;ReconciliationData[[#This Row],[Contract_Price]]),1,0)</f>
        <v>0</v>
      </c>
      <c r="T3182">
        <f>IF(AND(NOT(ISBLANK(ReconciliationData[[#This Row],[End_Date]])),ReconciliationData[[#This Row],[Order_Date]]&gt;ReconciliationData[[#This Row],[End_Date]]),1,0)</f>
        <v>0</v>
      </c>
      <c r="U3182">
        <f>IF(AND(NOT(ISBLANK(ReconciliationData[[#This Row],[last_return_date]])),ReconciliationData[[#This Row],[last_return_date]]&gt;ReconciliationData[[#This Row],[Order_Date]]+60),1,0)</f>
        <v>0</v>
      </c>
      <c r="V3182">
        <f>IF(ReconciliationData[[#This Row],[total_returned_units]]&gt;ReconciliationData[[#This Row],[ordered_units]],1,0)</f>
        <v>0</v>
      </c>
      <c r="W31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82">
        <f>ReconciliationData[[#This Row],[Billed_Units]]*ReconciliationData[[#This Row],[Billed_Price]]</f>
        <v>11528.600399999999</v>
      </c>
      <c r="Y3182">
        <f>ReconciliationData[[#This Row],[ordered_units]]*ReconciliationData[[#This Row],[List_Price]]</f>
        <v>11528.600399999999</v>
      </c>
      <c r="Z3182">
        <f>ReconciliationData[[#This Row],[billed_revenue]]-ReconciliationData[[#This Row],[expected_revenue]]</f>
        <v>0</v>
      </c>
      <c r="AA31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82" t="str">
        <f>IF(ReconciliationData[[#This Row],[severity_score]]=0,"LOW",
 IF(ReconciliationData[[#This Row],[severity_score]]&lt;=5,"MEDIUM","HIGH"))</f>
        <v>LOW</v>
      </c>
      <c r="AC3182" t="str">
        <f>TEXT(ReconciliationData[[#This Row],[Order_Date]],"YYYY-MM")</f>
        <v>2023-05</v>
      </c>
    </row>
    <row r="3183" spans="1:29">
      <c r="A3183" t="s">
        <v>7582</v>
      </c>
      <c r="B3183" s="1">
        <v>45393</v>
      </c>
      <c r="C3183" t="s">
        <v>1709</v>
      </c>
      <c r="D3183" t="s">
        <v>321</v>
      </c>
      <c r="E3183">
        <v>30</v>
      </c>
      <c r="F3183" t="s">
        <v>7583</v>
      </c>
      <c r="G3183">
        <v>30</v>
      </c>
      <c r="H3183">
        <v>169.22900000000001</v>
      </c>
      <c r="N3183">
        <v>169.22900000000001</v>
      </c>
      <c r="O3183" s="1">
        <v>45039</v>
      </c>
      <c r="P3183">
        <f>IF(ISBLANK(ReconciliationData[[#This Row],[Invoice_ID]]),1,0)</f>
        <v>0</v>
      </c>
      <c r="Q3183">
        <f>IF(AND(NOT(ISBLANK(ReconciliationData[[#This Row],[Billed_Units]])),ReconciliationData[[#This Row],[ordered_units]]&lt;&gt;ReconciliationData[[#This Row],[Billed_Units]]),1,0)</f>
        <v>0</v>
      </c>
      <c r="R31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3">
        <f>IF(AND(NOT(ISBLANK(ReconciliationData[[#This Row],[Contract_Price]])),ReconciliationData[[#This Row],[Billed_Price]]&lt;&gt;ReconciliationData[[#This Row],[Contract_Price]]),1,0)</f>
        <v>0</v>
      </c>
      <c r="T3183">
        <f>IF(AND(NOT(ISBLANK(ReconciliationData[[#This Row],[End_Date]])),ReconciliationData[[#This Row],[Order_Date]]&gt;ReconciliationData[[#This Row],[End_Date]]),1,0)</f>
        <v>0</v>
      </c>
      <c r="U3183">
        <f>IF(AND(NOT(ISBLANK(ReconciliationData[[#This Row],[last_return_date]])),ReconciliationData[[#This Row],[last_return_date]]&gt;ReconciliationData[[#This Row],[Order_Date]]+60),1,0)</f>
        <v>0</v>
      </c>
      <c r="V3183">
        <f>IF(ReconciliationData[[#This Row],[total_returned_units]]&gt;ReconciliationData[[#This Row],[ordered_units]],1,0)</f>
        <v>0</v>
      </c>
      <c r="W31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83">
        <f>ReconciliationData[[#This Row],[Billed_Units]]*ReconciliationData[[#This Row],[Billed_Price]]</f>
        <v>5076.8700000000008</v>
      </c>
      <c r="Y3183">
        <f>ReconciliationData[[#This Row],[ordered_units]]*ReconciliationData[[#This Row],[List_Price]]</f>
        <v>5076.8700000000008</v>
      </c>
      <c r="Z3183">
        <f>ReconciliationData[[#This Row],[billed_revenue]]-ReconciliationData[[#This Row],[expected_revenue]]</f>
        <v>0</v>
      </c>
      <c r="AA31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83" t="str">
        <f>IF(ReconciliationData[[#This Row],[severity_score]]=0,"LOW",
 IF(ReconciliationData[[#This Row],[severity_score]]&lt;=5,"MEDIUM","HIGH"))</f>
        <v>LOW</v>
      </c>
      <c r="AC3183" t="str">
        <f>TEXT(ReconciliationData[[#This Row],[Order_Date]],"YYYY-MM")</f>
        <v>2024-04</v>
      </c>
    </row>
    <row r="3184" spans="1:29">
      <c r="A3184" t="s">
        <v>7584</v>
      </c>
      <c r="B3184" s="1">
        <v>44985</v>
      </c>
      <c r="C3184" t="s">
        <v>1591</v>
      </c>
      <c r="D3184" t="s">
        <v>423</v>
      </c>
      <c r="E3184">
        <v>140</v>
      </c>
      <c r="F3184" t="s">
        <v>7585</v>
      </c>
      <c r="G3184">
        <v>140</v>
      </c>
      <c r="H3184">
        <v>163.4152</v>
      </c>
      <c r="N3184">
        <v>163.4152</v>
      </c>
      <c r="O3184" s="1">
        <v>44957</v>
      </c>
      <c r="P3184">
        <f>IF(ISBLANK(ReconciliationData[[#This Row],[Invoice_ID]]),1,0)</f>
        <v>0</v>
      </c>
      <c r="Q3184">
        <f>IF(AND(NOT(ISBLANK(ReconciliationData[[#This Row],[Billed_Units]])),ReconciliationData[[#This Row],[ordered_units]]&lt;&gt;ReconciliationData[[#This Row],[Billed_Units]]),1,0)</f>
        <v>0</v>
      </c>
      <c r="R31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4">
        <f>IF(AND(NOT(ISBLANK(ReconciliationData[[#This Row],[Contract_Price]])),ReconciliationData[[#This Row],[Billed_Price]]&lt;&gt;ReconciliationData[[#This Row],[Contract_Price]]),1,0)</f>
        <v>0</v>
      </c>
      <c r="T3184">
        <f>IF(AND(NOT(ISBLANK(ReconciliationData[[#This Row],[End_Date]])),ReconciliationData[[#This Row],[Order_Date]]&gt;ReconciliationData[[#This Row],[End_Date]]),1,0)</f>
        <v>0</v>
      </c>
      <c r="U3184">
        <f>IF(AND(NOT(ISBLANK(ReconciliationData[[#This Row],[last_return_date]])),ReconciliationData[[#This Row],[last_return_date]]&gt;ReconciliationData[[#This Row],[Order_Date]]+60),1,0)</f>
        <v>0</v>
      </c>
      <c r="V3184">
        <f>IF(ReconciliationData[[#This Row],[total_returned_units]]&gt;ReconciliationData[[#This Row],[ordered_units]],1,0)</f>
        <v>0</v>
      </c>
      <c r="W31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84">
        <f>ReconciliationData[[#This Row],[Billed_Units]]*ReconciliationData[[#This Row],[Billed_Price]]</f>
        <v>22878.128000000001</v>
      </c>
      <c r="Y3184">
        <f>ReconciliationData[[#This Row],[ordered_units]]*ReconciliationData[[#This Row],[List_Price]]</f>
        <v>22878.128000000001</v>
      </c>
      <c r="Z3184">
        <f>ReconciliationData[[#This Row],[billed_revenue]]-ReconciliationData[[#This Row],[expected_revenue]]</f>
        <v>0</v>
      </c>
      <c r="AA31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84" t="str">
        <f>IF(ReconciliationData[[#This Row],[severity_score]]=0,"LOW",
 IF(ReconciliationData[[#This Row],[severity_score]]&lt;=5,"MEDIUM","HIGH"))</f>
        <v>LOW</v>
      </c>
      <c r="AC3184" t="str">
        <f>TEXT(ReconciliationData[[#This Row],[Order_Date]],"YYYY-MM")</f>
        <v>2023-02</v>
      </c>
    </row>
    <row r="3185" spans="1:29">
      <c r="A3185" t="s">
        <v>7586</v>
      </c>
      <c r="B3185" s="1">
        <v>45406</v>
      </c>
      <c r="C3185" t="s">
        <v>4360</v>
      </c>
      <c r="D3185" t="s">
        <v>798</v>
      </c>
      <c r="E3185">
        <v>54</v>
      </c>
      <c r="F3185" t="s">
        <v>7587</v>
      </c>
      <c r="G3185">
        <v>54</v>
      </c>
      <c r="H3185">
        <v>153.01650000000001</v>
      </c>
      <c r="N3185">
        <v>153.01650000000001</v>
      </c>
      <c r="O3185" s="1">
        <v>45064</v>
      </c>
      <c r="P3185">
        <f>IF(ISBLANK(ReconciliationData[[#This Row],[Invoice_ID]]),1,0)</f>
        <v>0</v>
      </c>
      <c r="Q3185">
        <f>IF(AND(NOT(ISBLANK(ReconciliationData[[#This Row],[Billed_Units]])),ReconciliationData[[#This Row],[ordered_units]]&lt;&gt;ReconciliationData[[#This Row],[Billed_Units]]),1,0)</f>
        <v>0</v>
      </c>
      <c r="R31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5">
        <f>IF(AND(NOT(ISBLANK(ReconciliationData[[#This Row],[Contract_Price]])),ReconciliationData[[#This Row],[Billed_Price]]&lt;&gt;ReconciliationData[[#This Row],[Contract_Price]]),1,0)</f>
        <v>0</v>
      </c>
      <c r="T3185">
        <f>IF(AND(NOT(ISBLANK(ReconciliationData[[#This Row],[End_Date]])),ReconciliationData[[#This Row],[Order_Date]]&gt;ReconciliationData[[#This Row],[End_Date]]),1,0)</f>
        <v>0</v>
      </c>
      <c r="U3185">
        <f>IF(AND(NOT(ISBLANK(ReconciliationData[[#This Row],[last_return_date]])),ReconciliationData[[#This Row],[last_return_date]]&gt;ReconciliationData[[#This Row],[Order_Date]]+60),1,0)</f>
        <v>0</v>
      </c>
      <c r="V3185">
        <f>IF(ReconciliationData[[#This Row],[total_returned_units]]&gt;ReconciliationData[[#This Row],[ordered_units]],1,0)</f>
        <v>0</v>
      </c>
      <c r="W31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85">
        <f>ReconciliationData[[#This Row],[Billed_Units]]*ReconciliationData[[#This Row],[Billed_Price]]</f>
        <v>8262.8909999999996</v>
      </c>
      <c r="Y3185">
        <f>ReconciliationData[[#This Row],[ordered_units]]*ReconciliationData[[#This Row],[List_Price]]</f>
        <v>8262.8909999999996</v>
      </c>
      <c r="Z3185">
        <f>ReconciliationData[[#This Row],[billed_revenue]]-ReconciliationData[[#This Row],[expected_revenue]]</f>
        <v>0</v>
      </c>
      <c r="AA31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85" t="str">
        <f>IF(ReconciliationData[[#This Row],[severity_score]]=0,"LOW",
 IF(ReconciliationData[[#This Row],[severity_score]]&lt;=5,"MEDIUM","HIGH"))</f>
        <v>LOW</v>
      </c>
      <c r="AC3185" t="str">
        <f>TEXT(ReconciliationData[[#This Row],[Order_Date]],"YYYY-MM")</f>
        <v>2024-04</v>
      </c>
    </row>
    <row r="3186" spans="1:29">
      <c r="A3186" t="s">
        <v>7588</v>
      </c>
      <c r="B3186" s="1">
        <v>45009</v>
      </c>
      <c r="C3186" t="s">
        <v>2998</v>
      </c>
      <c r="D3186" t="s">
        <v>166</v>
      </c>
      <c r="E3186">
        <v>156</v>
      </c>
      <c r="F3186" t="s">
        <v>7589</v>
      </c>
      <c r="G3186">
        <v>156</v>
      </c>
      <c r="H3186">
        <v>365.95330000000001</v>
      </c>
      <c r="N3186">
        <v>365.95330000000001</v>
      </c>
      <c r="O3186" s="1">
        <v>44824</v>
      </c>
      <c r="P3186">
        <f>IF(ISBLANK(ReconciliationData[[#This Row],[Invoice_ID]]),1,0)</f>
        <v>0</v>
      </c>
      <c r="Q3186">
        <f>IF(AND(NOT(ISBLANK(ReconciliationData[[#This Row],[Billed_Units]])),ReconciliationData[[#This Row],[ordered_units]]&lt;&gt;ReconciliationData[[#This Row],[Billed_Units]]),1,0)</f>
        <v>0</v>
      </c>
      <c r="R31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6">
        <f>IF(AND(NOT(ISBLANK(ReconciliationData[[#This Row],[Contract_Price]])),ReconciliationData[[#This Row],[Billed_Price]]&lt;&gt;ReconciliationData[[#This Row],[Contract_Price]]),1,0)</f>
        <v>0</v>
      </c>
      <c r="T3186">
        <f>IF(AND(NOT(ISBLANK(ReconciliationData[[#This Row],[End_Date]])),ReconciliationData[[#This Row],[Order_Date]]&gt;ReconciliationData[[#This Row],[End_Date]]),1,0)</f>
        <v>0</v>
      </c>
      <c r="U3186">
        <f>IF(AND(NOT(ISBLANK(ReconciliationData[[#This Row],[last_return_date]])),ReconciliationData[[#This Row],[last_return_date]]&gt;ReconciliationData[[#This Row],[Order_Date]]+60),1,0)</f>
        <v>0</v>
      </c>
      <c r="V3186">
        <f>IF(ReconciliationData[[#This Row],[total_returned_units]]&gt;ReconciliationData[[#This Row],[ordered_units]],1,0)</f>
        <v>0</v>
      </c>
      <c r="W31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86">
        <f>ReconciliationData[[#This Row],[Billed_Units]]*ReconciliationData[[#This Row],[Billed_Price]]</f>
        <v>57088.714800000002</v>
      </c>
      <c r="Y3186">
        <f>ReconciliationData[[#This Row],[ordered_units]]*ReconciliationData[[#This Row],[List_Price]]</f>
        <v>57088.714800000002</v>
      </c>
      <c r="Z3186">
        <f>ReconciliationData[[#This Row],[billed_revenue]]-ReconciliationData[[#This Row],[expected_revenue]]</f>
        <v>0</v>
      </c>
      <c r="AA31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86" t="str">
        <f>IF(ReconciliationData[[#This Row],[severity_score]]=0,"LOW",
 IF(ReconciliationData[[#This Row],[severity_score]]&lt;=5,"MEDIUM","HIGH"))</f>
        <v>LOW</v>
      </c>
      <c r="AC3186" t="str">
        <f>TEXT(ReconciliationData[[#This Row],[Order_Date]],"YYYY-MM")</f>
        <v>2023-03</v>
      </c>
    </row>
    <row r="3187" spans="1:29">
      <c r="A3187" t="s">
        <v>7590</v>
      </c>
      <c r="B3187" s="1">
        <v>45096</v>
      </c>
      <c r="C3187" t="s">
        <v>1395</v>
      </c>
      <c r="D3187" t="s">
        <v>337</v>
      </c>
      <c r="E3187">
        <v>48</v>
      </c>
      <c r="F3187" t="s">
        <v>7591</v>
      </c>
      <c r="G3187">
        <v>48</v>
      </c>
      <c r="H3187">
        <v>1040.9412</v>
      </c>
      <c r="N3187">
        <v>1040.9412</v>
      </c>
      <c r="O3187" s="1">
        <v>44983</v>
      </c>
      <c r="P3187">
        <f>IF(ISBLANK(ReconciliationData[[#This Row],[Invoice_ID]]),1,0)</f>
        <v>0</v>
      </c>
      <c r="Q3187">
        <f>IF(AND(NOT(ISBLANK(ReconciliationData[[#This Row],[Billed_Units]])),ReconciliationData[[#This Row],[ordered_units]]&lt;&gt;ReconciliationData[[#This Row],[Billed_Units]]),1,0)</f>
        <v>0</v>
      </c>
      <c r="R31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7">
        <f>IF(AND(NOT(ISBLANK(ReconciliationData[[#This Row],[Contract_Price]])),ReconciliationData[[#This Row],[Billed_Price]]&lt;&gt;ReconciliationData[[#This Row],[Contract_Price]]),1,0)</f>
        <v>0</v>
      </c>
      <c r="T3187">
        <f>IF(AND(NOT(ISBLANK(ReconciliationData[[#This Row],[End_Date]])),ReconciliationData[[#This Row],[Order_Date]]&gt;ReconciliationData[[#This Row],[End_Date]]),1,0)</f>
        <v>0</v>
      </c>
      <c r="U3187">
        <f>IF(AND(NOT(ISBLANK(ReconciliationData[[#This Row],[last_return_date]])),ReconciliationData[[#This Row],[last_return_date]]&gt;ReconciliationData[[#This Row],[Order_Date]]+60),1,0)</f>
        <v>0</v>
      </c>
      <c r="V3187">
        <f>IF(ReconciliationData[[#This Row],[total_returned_units]]&gt;ReconciliationData[[#This Row],[ordered_units]],1,0)</f>
        <v>0</v>
      </c>
      <c r="W31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87">
        <f>ReconciliationData[[#This Row],[Billed_Units]]*ReconciliationData[[#This Row],[Billed_Price]]</f>
        <v>49965.177599999995</v>
      </c>
      <c r="Y3187">
        <f>ReconciliationData[[#This Row],[ordered_units]]*ReconciliationData[[#This Row],[List_Price]]</f>
        <v>49965.177599999995</v>
      </c>
      <c r="Z3187">
        <f>ReconciliationData[[#This Row],[billed_revenue]]-ReconciliationData[[#This Row],[expected_revenue]]</f>
        <v>0</v>
      </c>
      <c r="AA31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87" t="str">
        <f>IF(ReconciliationData[[#This Row],[severity_score]]=0,"LOW",
 IF(ReconciliationData[[#This Row],[severity_score]]&lt;=5,"MEDIUM","HIGH"))</f>
        <v>LOW</v>
      </c>
      <c r="AC3187" t="str">
        <f>TEXT(ReconciliationData[[#This Row],[Order_Date]],"YYYY-MM")</f>
        <v>2023-06</v>
      </c>
    </row>
    <row r="3188" spans="1:29">
      <c r="A3188" t="s">
        <v>7592</v>
      </c>
      <c r="B3188" s="1">
        <v>45353</v>
      </c>
      <c r="C3188" t="s">
        <v>1889</v>
      </c>
      <c r="D3188" t="s">
        <v>1848</v>
      </c>
      <c r="E3188">
        <v>59</v>
      </c>
      <c r="F3188" t="s">
        <v>7593</v>
      </c>
      <c r="G3188">
        <v>59</v>
      </c>
      <c r="H3188">
        <v>92.962000000000003</v>
      </c>
      <c r="I3188">
        <v>7</v>
      </c>
      <c r="J3188" s="1">
        <v>45667</v>
      </c>
      <c r="N3188">
        <v>92.962000000000003</v>
      </c>
      <c r="O3188" s="1">
        <v>45151</v>
      </c>
      <c r="P3188">
        <f>IF(ISBLANK(ReconciliationData[[#This Row],[Invoice_ID]]),1,0)</f>
        <v>0</v>
      </c>
      <c r="Q3188">
        <f>IF(AND(NOT(ISBLANK(ReconciliationData[[#This Row],[Billed_Units]])),ReconciliationData[[#This Row],[ordered_units]]&lt;&gt;ReconciliationData[[#This Row],[Billed_Units]]),1,0)</f>
        <v>0</v>
      </c>
      <c r="R31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8">
        <f>IF(AND(NOT(ISBLANK(ReconciliationData[[#This Row],[Contract_Price]])),ReconciliationData[[#This Row],[Billed_Price]]&lt;&gt;ReconciliationData[[#This Row],[Contract_Price]]),1,0)</f>
        <v>0</v>
      </c>
      <c r="T3188">
        <f>IF(AND(NOT(ISBLANK(ReconciliationData[[#This Row],[End_Date]])),ReconciliationData[[#This Row],[Order_Date]]&gt;ReconciliationData[[#This Row],[End_Date]]),1,0)</f>
        <v>0</v>
      </c>
      <c r="U3188">
        <f>IF(AND(NOT(ISBLANK(ReconciliationData[[#This Row],[last_return_date]])),ReconciliationData[[#This Row],[last_return_date]]&gt;ReconciliationData[[#This Row],[Order_Date]]+60),1,0)</f>
        <v>1</v>
      </c>
      <c r="V3188">
        <f>IF(ReconciliationData[[#This Row],[total_returned_units]]&gt;ReconciliationData[[#This Row],[ordered_units]],1,0)</f>
        <v>0</v>
      </c>
      <c r="W31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88">
        <f>ReconciliationData[[#This Row],[Billed_Units]]*ReconciliationData[[#This Row],[Billed_Price]]</f>
        <v>5484.7579999999998</v>
      </c>
      <c r="Y3188">
        <f>ReconciliationData[[#This Row],[ordered_units]]*ReconciliationData[[#This Row],[List_Price]]</f>
        <v>5484.7579999999998</v>
      </c>
      <c r="Z3188">
        <f>ReconciliationData[[#This Row],[billed_revenue]]-ReconciliationData[[#This Row],[expected_revenue]]</f>
        <v>0</v>
      </c>
      <c r="AA31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188" t="str">
        <f>IF(ReconciliationData[[#This Row],[severity_score]]=0,"LOW",
 IF(ReconciliationData[[#This Row],[severity_score]]&lt;=5,"MEDIUM","HIGH"))</f>
        <v>MEDIUM</v>
      </c>
      <c r="AC3188" t="str">
        <f>TEXT(ReconciliationData[[#This Row],[Order_Date]],"YYYY-MM")</f>
        <v>2024-03</v>
      </c>
    </row>
    <row r="3189" spans="1:29">
      <c r="A3189" t="s">
        <v>7594</v>
      </c>
      <c r="B3189" s="1">
        <v>45030</v>
      </c>
      <c r="C3189" t="s">
        <v>1570</v>
      </c>
      <c r="D3189" t="s">
        <v>684</v>
      </c>
      <c r="E3189">
        <v>111</v>
      </c>
      <c r="F3189" t="s">
        <v>7595</v>
      </c>
      <c r="G3189">
        <v>111</v>
      </c>
      <c r="H3189">
        <v>68.418999999999997</v>
      </c>
      <c r="N3189">
        <v>68.418999999999997</v>
      </c>
      <c r="O3189" s="1">
        <v>44780</v>
      </c>
      <c r="P3189">
        <f>IF(ISBLANK(ReconciliationData[[#This Row],[Invoice_ID]]),1,0)</f>
        <v>0</v>
      </c>
      <c r="Q3189">
        <f>IF(AND(NOT(ISBLANK(ReconciliationData[[#This Row],[Billed_Units]])),ReconciliationData[[#This Row],[ordered_units]]&lt;&gt;ReconciliationData[[#This Row],[Billed_Units]]),1,0)</f>
        <v>0</v>
      </c>
      <c r="R31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89">
        <f>IF(AND(NOT(ISBLANK(ReconciliationData[[#This Row],[Contract_Price]])),ReconciliationData[[#This Row],[Billed_Price]]&lt;&gt;ReconciliationData[[#This Row],[Contract_Price]]),1,0)</f>
        <v>0</v>
      </c>
      <c r="T3189">
        <f>IF(AND(NOT(ISBLANK(ReconciliationData[[#This Row],[End_Date]])),ReconciliationData[[#This Row],[Order_Date]]&gt;ReconciliationData[[#This Row],[End_Date]]),1,0)</f>
        <v>0</v>
      </c>
      <c r="U3189">
        <f>IF(AND(NOT(ISBLANK(ReconciliationData[[#This Row],[last_return_date]])),ReconciliationData[[#This Row],[last_return_date]]&gt;ReconciliationData[[#This Row],[Order_Date]]+60),1,0)</f>
        <v>0</v>
      </c>
      <c r="V3189">
        <f>IF(ReconciliationData[[#This Row],[total_returned_units]]&gt;ReconciliationData[[#This Row],[ordered_units]],1,0)</f>
        <v>0</v>
      </c>
      <c r="W31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89">
        <f>ReconciliationData[[#This Row],[Billed_Units]]*ReconciliationData[[#This Row],[Billed_Price]]</f>
        <v>7594.509</v>
      </c>
      <c r="Y3189">
        <f>ReconciliationData[[#This Row],[ordered_units]]*ReconciliationData[[#This Row],[List_Price]]</f>
        <v>7594.509</v>
      </c>
      <c r="Z3189">
        <f>ReconciliationData[[#This Row],[billed_revenue]]-ReconciliationData[[#This Row],[expected_revenue]]</f>
        <v>0</v>
      </c>
      <c r="AA31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89" t="str">
        <f>IF(ReconciliationData[[#This Row],[severity_score]]=0,"LOW",
 IF(ReconciliationData[[#This Row],[severity_score]]&lt;=5,"MEDIUM","HIGH"))</f>
        <v>LOW</v>
      </c>
      <c r="AC3189" t="str">
        <f>TEXT(ReconciliationData[[#This Row],[Order_Date]],"YYYY-MM")</f>
        <v>2023-04</v>
      </c>
    </row>
    <row r="3190" spans="1:29">
      <c r="A3190" t="s">
        <v>7596</v>
      </c>
      <c r="B3190" s="1">
        <v>45538</v>
      </c>
      <c r="C3190" t="s">
        <v>838</v>
      </c>
      <c r="D3190" t="s">
        <v>146</v>
      </c>
      <c r="E3190">
        <v>141</v>
      </c>
      <c r="F3190" t="s">
        <v>7597</v>
      </c>
      <c r="G3190">
        <v>141</v>
      </c>
      <c r="H3190">
        <v>849.43949999999995</v>
      </c>
      <c r="N3190">
        <v>849.43949999999995</v>
      </c>
      <c r="O3190" s="1">
        <v>45114</v>
      </c>
      <c r="P3190">
        <f>IF(ISBLANK(ReconciliationData[[#This Row],[Invoice_ID]]),1,0)</f>
        <v>0</v>
      </c>
      <c r="Q3190">
        <f>IF(AND(NOT(ISBLANK(ReconciliationData[[#This Row],[Billed_Units]])),ReconciliationData[[#This Row],[ordered_units]]&lt;&gt;ReconciliationData[[#This Row],[Billed_Units]]),1,0)</f>
        <v>0</v>
      </c>
      <c r="R31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0">
        <f>IF(AND(NOT(ISBLANK(ReconciliationData[[#This Row],[Contract_Price]])),ReconciliationData[[#This Row],[Billed_Price]]&lt;&gt;ReconciliationData[[#This Row],[Contract_Price]]),1,0)</f>
        <v>0</v>
      </c>
      <c r="T3190">
        <f>IF(AND(NOT(ISBLANK(ReconciliationData[[#This Row],[End_Date]])),ReconciliationData[[#This Row],[Order_Date]]&gt;ReconciliationData[[#This Row],[End_Date]]),1,0)</f>
        <v>0</v>
      </c>
      <c r="U3190">
        <f>IF(AND(NOT(ISBLANK(ReconciliationData[[#This Row],[last_return_date]])),ReconciliationData[[#This Row],[last_return_date]]&gt;ReconciliationData[[#This Row],[Order_Date]]+60),1,0)</f>
        <v>0</v>
      </c>
      <c r="V3190">
        <f>IF(ReconciliationData[[#This Row],[total_returned_units]]&gt;ReconciliationData[[#This Row],[ordered_units]],1,0)</f>
        <v>0</v>
      </c>
      <c r="W31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90">
        <f>ReconciliationData[[#This Row],[Billed_Units]]*ReconciliationData[[#This Row],[Billed_Price]]</f>
        <v>119770.96949999999</v>
      </c>
      <c r="Y3190">
        <f>ReconciliationData[[#This Row],[ordered_units]]*ReconciliationData[[#This Row],[List_Price]]</f>
        <v>119770.96949999999</v>
      </c>
      <c r="Z3190">
        <f>ReconciliationData[[#This Row],[billed_revenue]]-ReconciliationData[[#This Row],[expected_revenue]]</f>
        <v>0</v>
      </c>
      <c r="AA31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90" t="str">
        <f>IF(ReconciliationData[[#This Row],[severity_score]]=0,"LOW",
 IF(ReconciliationData[[#This Row],[severity_score]]&lt;=5,"MEDIUM","HIGH"))</f>
        <v>LOW</v>
      </c>
      <c r="AC3190" t="str">
        <f>TEXT(ReconciliationData[[#This Row],[Order_Date]],"YYYY-MM")</f>
        <v>2024-09</v>
      </c>
    </row>
    <row r="3191" spans="1:29">
      <c r="A3191" t="s">
        <v>7598</v>
      </c>
      <c r="B3191" s="1">
        <v>45023</v>
      </c>
      <c r="C3191" t="s">
        <v>4381</v>
      </c>
      <c r="D3191" t="s">
        <v>1487</v>
      </c>
      <c r="E3191">
        <v>185</v>
      </c>
      <c r="F3191" t="s">
        <v>7599</v>
      </c>
      <c r="G3191">
        <v>185</v>
      </c>
      <c r="H3191">
        <v>275.82459999999998</v>
      </c>
      <c r="I3191">
        <v>6</v>
      </c>
      <c r="J3191" s="1">
        <v>45376</v>
      </c>
      <c r="N3191">
        <v>275.82459999999998</v>
      </c>
      <c r="O3191" s="1">
        <v>45006</v>
      </c>
      <c r="P3191">
        <f>IF(ISBLANK(ReconciliationData[[#This Row],[Invoice_ID]]),1,0)</f>
        <v>0</v>
      </c>
      <c r="Q3191">
        <f>IF(AND(NOT(ISBLANK(ReconciliationData[[#This Row],[Billed_Units]])),ReconciliationData[[#This Row],[ordered_units]]&lt;&gt;ReconciliationData[[#This Row],[Billed_Units]]),1,0)</f>
        <v>0</v>
      </c>
      <c r="R31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1">
        <f>IF(AND(NOT(ISBLANK(ReconciliationData[[#This Row],[Contract_Price]])),ReconciliationData[[#This Row],[Billed_Price]]&lt;&gt;ReconciliationData[[#This Row],[Contract_Price]]),1,0)</f>
        <v>0</v>
      </c>
      <c r="T3191">
        <f>IF(AND(NOT(ISBLANK(ReconciliationData[[#This Row],[End_Date]])),ReconciliationData[[#This Row],[Order_Date]]&gt;ReconciliationData[[#This Row],[End_Date]]),1,0)</f>
        <v>0</v>
      </c>
      <c r="U3191">
        <f>IF(AND(NOT(ISBLANK(ReconciliationData[[#This Row],[last_return_date]])),ReconciliationData[[#This Row],[last_return_date]]&gt;ReconciliationData[[#This Row],[Order_Date]]+60),1,0)</f>
        <v>1</v>
      </c>
      <c r="V3191">
        <f>IF(ReconciliationData[[#This Row],[total_returned_units]]&gt;ReconciliationData[[#This Row],[ordered_units]],1,0)</f>
        <v>0</v>
      </c>
      <c r="W31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91">
        <f>ReconciliationData[[#This Row],[Billed_Units]]*ReconciliationData[[#This Row],[Billed_Price]]</f>
        <v>51027.550999999992</v>
      </c>
      <c r="Y3191">
        <f>ReconciliationData[[#This Row],[ordered_units]]*ReconciliationData[[#This Row],[List_Price]]</f>
        <v>51027.550999999992</v>
      </c>
      <c r="Z3191">
        <f>ReconciliationData[[#This Row],[billed_revenue]]-ReconciliationData[[#This Row],[expected_revenue]]</f>
        <v>0</v>
      </c>
      <c r="AA31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191" t="str">
        <f>IF(ReconciliationData[[#This Row],[severity_score]]=0,"LOW",
 IF(ReconciliationData[[#This Row],[severity_score]]&lt;=5,"MEDIUM","HIGH"))</f>
        <v>MEDIUM</v>
      </c>
      <c r="AC3191" t="str">
        <f>TEXT(ReconciliationData[[#This Row],[Order_Date]],"YYYY-MM")</f>
        <v>2023-04</v>
      </c>
    </row>
    <row r="3192" spans="1:29">
      <c r="A3192" t="s">
        <v>7600</v>
      </c>
      <c r="B3192" s="1">
        <v>45226</v>
      </c>
      <c r="C3192" t="s">
        <v>238</v>
      </c>
      <c r="D3192" t="s">
        <v>1961</v>
      </c>
      <c r="E3192">
        <v>45</v>
      </c>
      <c r="F3192" t="s">
        <v>7601</v>
      </c>
      <c r="G3192">
        <v>45</v>
      </c>
      <c r="H3192">
        <v>717.0471</v>
      </c>
      <c r="N3192">
        <v>717.0471</v>
      </c>
      <c r="O3192" s="1">
        <v>44984</v>
      </c>
      <c r="P3192">
        <f>IF(ISBLANK(ReconciliationData[[#This Row],[Invoice_ID]]),1,0)</f>
        <v>0</v>
      </c>
      <c r="Q3192">
        <f>IF(AND(NOT(ISBLANK(ReconciliationData[[#This Row],[Billed_Units]])),ReconciliationData[[#This Row],[ordered_units]]&lt;&gt;ReconciliationData[[#This Row],[Billed_Units]]),1,0)</f>
        <v>0</v>
      </c>
      <c r="R31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2">
        <f>IF(AND(NOT(ISBLANK(ReconciliationData[[#This Row],[Contract_Price]])),ReconciliationData[[#This Row],[Billed_Price]]&lt;&gt;ReconciliationData[[#This Row],[Contract_Price]]),1,0)</f>
        <v>0</v>
      </c>
      <c r="T3192">
        <f>IF(AND(NOT(ISBLANK(ReconciliationData[[#This Row],[End_Date]])),ReconciliationData[[#This Row],[Order_Date]]&gt;ReconciliationData[[#This Row],[End_Date]]),1,0)</f>
        <v>0</v>
      </c>
      <c r="U3192">
        <f>IF(AND(NOT(ISBLANK(ReconciliationData[[#This Row],[last_return_date]])),ReconciliationData[[#This Row],[last_return_date]]&gt;ReconciliationData[[#This Row],[Order_Date]]+60),1,0)</f>
        <v>0</v>
      </c>
      <c r="V3192">
        <f>IF(ReconciliationData[[#This Row],[total_returned_units]]&gt;ReconciliationData[[#This Row],[ordered_units]],1,0)</f>
        <v>0</v>
      </c>
      <c r="W31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92">
        <f>ReconciliationData[[#This Row],[Billed_Units]]*ReconciliationData[[#This Row],[Billed_Price]]</f>
        <v>32267.119500000001</v>
      </c>
      <c r="Y3192">
        <f>ReconciliationData[[#This Row],[ordered_units]]*ReconciliationData[[#This Row],[List_Price]]</f>
        <v>32267.119500000001</v>
      </c>
      <c r="Z3192">
        <f>ReconciliationData[[#This Row],[billed_revenue]]-ReconciliationData[[#This Row],[expected_revenue]]</f>
        <v>0</v>
      </c>
      <c r="AA31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92" t="str">
        <f>IF(ReconciliationData[[#This Row],[severity_score]]=0,"LOW",
 IF(ReconciliationData[[#This Row],[severity_score]]&lt;=5,"MEDIUM","HIGH"))</f>
        <v>LOW</v>
      </c>
      <c r="AC3192" t="str">
        <f>TEXT(ReconciliationData[[#This Row],[Order_Date]],"YYYY-MM")</f>
        <v>2023-10</v>
      </c>
    </row>
    <row r="3193" spans="1:29">
      <c r="A3193" t="s">
        <v>7602</v>
      </c>
      <c r="B3193" s="1">
        <v>45300</v>
      </c>
      <c r="C3193" t="s">
        <v>2500</v>
      </c>
      <c r="D3193" t="s">
        <v>360</v>
      </c>
      <c r="E3193">
        <v>96</v>
      </c>
      <c r="F3193" t="s">
        <v>7603</v>
      </c>
      <c r="G3193">
        <v>96</v>
      </c>
      <c r="H3193">
        <v>465.21179999999998</v>
      </c>
      <c r="I3193">
        <v>15</v>
      </c>
      <c r="J3193" s="1">
        <v>45066</v>
      </c>
      <c r="N3193">
        <v>465.21179999999998</v>
      </c>
      <c r="O3193" s="1">
        <v>45137</v>
      </c>
      <c r="P3193">
        <f>IF(ISBLANK(ReconciliationData[[#This Row],[Invoice_ID]]),1,0)</f>
        <v>0</v>
      </c>
      <c r="Q3193">
        <f>IF(AND(NOT(ISBLANK(ReconciliationData[[#This Row],[Billed_Units]])),ReconciliationData[[#This Row],[ordered_units]]&lt;&gt;ReconciliationData[[#This Row],[Billed_Units]]),1,0)</f>
        <v>0</v>
      </c>
      <c r="R31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3">
        <f>IF(AND(NOT(ISBLANK(ReconciliationData[[#This Row],[Contract_Price]])),ReconciliationData[[#This Row],[Billed_Price]]&lt;&gt;ReconciliationData[[#This Row],[Contract_Price]]),1,0)</f>
        <v>0</v>
      </c>
      <c r="T3193">
        <f>IF(AND(NOT(ISBLANK(ReconciliationData[[#This Row],[End_Date]])),ReconciliationData[[#This Row],[Order_Date]]&gt;ReconciliationData[[#This Row],[End_Date]]),1,0)</f>
        <v>0</v>
      </c>
      <c r="U3193">
        <f>IF(AND(NOT(ISBLANK(ReconciliationData[[#This Row],[last_return_date]])),ReconciliationData[[#This Row],[last_return_date]]&gt;ReconciliationData[[#This Row],[Order_Date]]+60),1,0)</f>
        <v>0</v>
      </c>
      <c r="V3193">
        <f>IF(ReconciliationData[[#This Row],[total_returned_units]]&gt;ReconciliationData[[#This Row],[ordered_units]],1,0)</f>
        <v>0</v>
      </c>
      <c r="W31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93">
        <f>ReconciliationData[[#This Row],[Billed_Units]]*ReconciliationData[[#This Row],[Billed_Price]]</f>
        <v>44660.332799999996</v>
      </c>
      <c r="Y3193">
        <f>ReconciliationData[[#This Row],[ordered_units]]*ReconciliationData[[#This Row],[List_Price]]</f>
        <v>44660.332799999996</v>
      </c>
      <c r="Z3193">
        <f>ReconciliationData[[#This Row],[billed_revenue]]-ReconciliationData[[#This Row],[expected_revenue]]</f>
        <v>0</v>
      </c>
      <c r="AA31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93" t="str">
        <f>IF(ReconciliationData[[#This Row],[severity_score]]=0,"LOW",
 IF(ReconciliationData[[#This Row],[severity_score]]&lt;=5,"MEDIUM","HIGH"))</f>
        <v>LOW</v>
      </c>
      <c r="AC3193" t="str">
        <f>TEXT(ReconciliationData[[#This Row],[Order_Date]],"YYYY-MM")</f>
        <v>2024-01</v>
      </c>
    </row>
    <row r="3194" spans="1:29">
      <c r="A3194" t="s">
        <v>7604</v>
      </c>
      <c r="B3194" s="1">
        <v>45520</v>
      </c>
      <c r="C3194" t="s">
        <v>3365</v>
      </c>
      <c r="D3194" t="s">
        <v>1525</v>
      </c>
      <c r="E3194">
        <v>166</v>
      </c>
      <c r="F3194" t="s">
        <v>7605</v>
      </c>
      <c r="G3194">
        <v>172</v>
      </c>
      <c r="H3194">
        <v>1067.6925000000001</v>
      </c>
      <c r="N3194">
        <v>1067.6925000000001</v>
      </c>
      <c r="O3194" s="1">
        <v>44999</v>
      </c>
      <c r="P3194">
        <f>IF(ISBLANK(ReconciliationData[[#This Row],[Invoice_ID]]),1,0)</f>
        <v>0</v>
      </c>
      <c r="Q3194">
        <f>IF(AND(NOT(ISBLANK(ReconciliationData[[#This Row],[Billed_Units]])),ReconciliationData[[#This Row],[ordered_units]]&lt;&gt;ReconciliationData[[#This Row],[Billed_Units]]),1,0)</f>
        <v>1</v>
      </c>
      <c r="R31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4">
        <f>IF(AND(NOT(ISBLANK(ReconciliationData[[#This Row],[Contract_Price]])),ReconciliationData[[#This Row],[Billed_Price]]&lt;&gt;ReconciliationData[[#This Row],[Contract_Price]]),1,0)</f>
        <v>0</v>
      </c>
      <c r="T3194">
        <f>IF(AND(NOT(ISBLANK(ReconciliationData[[#This Row],[End_Date]])),ReconciliationData[[#This Row],[Order_Date]]&gt;ReconciliationData[[#This Row],[End_Date]]),1,0)</f>
        <v>0</v>
      </c>
      <c r="U3194">
        <f>IF(AND(NOT(ISBLANK(ReconciliationData[[#This Row],[last_return_date]])),ReconciliationData[[#This Row],[last_return_date]]&gt;ReconciliationData[[#This Row],[Order_Date]]+60),1,0)</f>
        <v>0</v>
      </c>
      <c r="V3194">
        <f>IF(ReconciliationData[[#This Row],[total_returned_units]]&gt;ReconciliationData[[#This Row],[ordered_units]],1,0)</f>
        <v>0</v>
      </c>
      <c r="W31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94">
        <f>ReconciliationData[[#This Row],[Billed_Units]]*ReconciliationData[[#This Row],[Billed_Price]]</f>
        <v>183643.11000000002</v>
      </c>
      <c r="Y3194">
        <f>ReconciliationData[[#This Row],[ordered_units]]*ReconciliationData[[#This Row],[List_Price]]</f>
        <v>177236.95500000002</v>
      </c>
      <c r="Z3194">
        <f>ReconciliationData[[#This Row],[billed_revenue]]-ReconciliationData[[#This Row],[expected_revenue]]</f>
        <v>6406.1549999999988</v>
      </c>
      <c r="AA31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194" t="str">
        <f>IF(ReconciliationData[[#This Row],[severity_score]]=0,"LOW",
 IF(ReconciliationData[[#This Row],[severity_score]]&lt;=5,"MEDIUM","HIGH"))</f>
        <v>HIGH</v>
      </c>
      <c r="AC3194" t="str">
        <f>TEXT(ReconciliationData[[#This Row],[Order_Date]],"YYYY-MM")</f>
        <v>2024-08</v>
      </c>
    </row>
    <row r="3195" spans="1:29">
      <c r="A3195" t="s">
        <v>7606</v>
      </c>
      <c r="B3195" s="1">
        <v>45110</v>
      </c>
      <c r="C3195" t="s">
        <v>2819</v>
      </c>
      <c r="D3195" t="s">
        <v>639</v>
      </c>
      <c r="E3195">
        <v>27</v>
      </c>
      <c r="F3195" t="s">
        <v>7607</v>
      </c>
      <c r="G3195">
        <v>27</v>
      </c>
      <c r="H3195">
        <v>945.38850000000002</v>
      </c>
      <c r="I3195">
        <v>13</v>
      </c>
      <c r="J3195" s="1">
        <v>45185</v>
      </c>
      <c r="N3195">
        <v>945.38850000000002</v>
      </c>
      <c r="O3195" s="1">
        <v>45047</v>
      </c>
      <c r="P3195">
        <f>IF(ISBLANK(ReconciliationData[[#This Row],[Invoice_ID]]),1,0)</f>
        <v>0</v>
      </c>
      <c r="Q3195">
        <f>IF(AND(NOT(ISBLANK(ReconciliationData[[#This Row],[Billed_Units]])),ReconciliationData[[#This Row],[ordered_units]]&lt;&gt;ReconciliationData[[#This Row],[Billed_Units]]),1,0)</f>
        <v>0</v>
      </c>
      <c r="R31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5">
        <f>IF(AND(NOT(ISBLANK(ReconciliationData[[#This Row],[Contract_Price]])),ReconciliationData[[#This Row],[Billed_Price]]&lt;&gt;ReconciliationData[[#This Row],[Contract_Price]]),1,0)</f>
        <v>0</v>
      </c>
      <c r="T3195">
        <f>IF(AND(NOT(ISBLANK(ReconciliationData[[#This Row],[End_Date]])),ReconciliationData[[#This Row],[Order_Date]]&gt;ReconciliationData[[#This Row],[End_Date]]),1,0)</f>
        <v>0</v>
      </c>
      <c r="U3195">
        <f>IF(AND(NOT(ISBLANK(ReconciliationData[[#This Row],[last_return_date]])),ReconciliationData[[#This Row],[last_return_date]]&gt;ReconciliationData[[#This Row],[Order_Date]]+60),1,0)</f>
        <v>1</v>
      </c>
      <c r="V3195">
        <f>IF(ReconciliationData[[#This Row],[total_returned_units]]&gt;ReconciliationData[[#This Row],[ordered_units]],1,0)</f>
        <v>0</v>
      </c>
      <c r="W31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95">
        <f>ReconciliationData[[#This Row],[Billed_Units]]*ReconciliationData[[#This Row],[Billed_Price]]</f>
        <v>25525.4895</v>
      </c>
      <c r="Y3195">
        <f>ReconciliationData[[#This Row],[ordered_units]]*ReconciliationData[[#This Row],[List_Price]]</f>
        <v>25525.4895</v>
      </c>
      <c r="Z3195">
        <f>ReconciliationData[[#This Row],[billed_revenue]]-ReconciliationData[[#This Row],[expected_revenue]]</f>
        <v>0</v>
      </c>
      <c r="AA31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195" t="str">
        <f>IF(ReconciliationData[[#This Row],[severity_score]]=0,"LOW",
 IF(ReconciliationData[[#This Row],[severity_score]]&lt;=5,"MEDIUM","HIGH"))</f>
        <v>MEDIUM</v>
      </c>
      <c r="AC3195" t="str">
        <f>TEXT(ReconciliationData[[#This Row],[Order_Date]],"YYYY-MM")</f>
        <v>2023-07</v>
      </c>
    </row>
    <row r="3196" spans="1:29">
      <c r="A3196" t="s">
        <v>7608</v>
      </c>
      <c r="B3196" s="1">
        <v>45184</v>
      </c>
      <c r="C3196" t="s">
        <v>794</v>
      </c>
      <c r="D3196" t="s">
        <v>479</v>
      </c>
      <c r="E3196">
        <v>26</v>
      </c>
      <c r="F3196" t="s">
        <v>7609</v>
      </c>
      <c r="G3196">
        <v>26</v>
      </c>
      <c r="H3196">
        <v>1014.5718000000001</v>
      </c>
      <c r="N3196">
        <v>1014.5718000000001</v>
      </c>
      <c r="O3196" s="1">
        <v>45035</v>
      </c>
      <c r="P3196">
        <f>IF(ISBLANK(ReconciliationData[[#This Row],[Invoice_ID]]),1,0)</f>
        <v>0</v>
      </c>
      <c r="Q3196">
        <f>IF(AND(NOT(ISBLANK(ReconciliationData[[#This Row],[Billed_Units]])),ReconciliationData[[#This Row],[ordered_units]]&lt;&gt;ReconciliationData[[#This Row],[Billed_Units]]),1,0)</f>
        <v>0</v>
      </c>
      <c r="R31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6">
        <f>IF(AND(NOT(ISBLANK(ReconciliationData[[#This Row],[Contract_Price]])),ReconciliationData[[#This Row],[Billed_Price]]&lt;&gt;ReconciliationData[[#This Row],[Contract_Price]]),1,0)</f>
        <v>0</v>
      </c>
      <c r="T3196">
        <f>IF(AND(NOT(ISBLANK(ReconciliationData[[#This Row],[End_Date]])),ReconciliationData[[#This Row],[Order_Date]]&gt;ReconciliationData[[#This Row],[End_Date]]),1,0)</f>
        <v>0</v>
      </c>
      <c r="U3196">
        <f>IF(AND(NOT(ISBLANK(ReconciliationData[[#This Row],[last_return_date]])),ReconciliationData[[#This Row],[last_return_date]]&gt;ReconciliationData[[#This Row],[Order_Date]]+60),1,0)</f>
        <v>0</v>
      </c>
      <c r="V3196">
        <f>IF(ReconciliationData[[#This Row],[total_returned_units]]&gt;ReconciliationData[[#This Row],[ordered_units]],1,0)</f>
        <v>0</v>
      </c>
      <c r="W31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96">
        <f>ReconciliationData[[#This Row],[Billed_Units]]*ReconciliationData[[#This Row],[Billed_Price]]</f>
        <v>26378.8668</v>
      </c>
      <c r="Y3196">
        <f>ReconciliationData[[#This Row],[ordered_units]]*ReconciliationData[[#This Row],[List_Price]]</f>
        <v>26378.8668</v>
      </c>
      <c r="Z3196">
        <f>ReconciliationData[[#This Row],[billed_revenue]]-ReconciliationData[[#This Row],[expected_revenue]]</f>
        <v>0</v>
      </c>
      <c r="AA31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96" t="str">
        <f>IF(ReconciliationData[[#This Row],[severity_score]]=0,"LOW",
 IF(ReconciliationData[[#This Row],[severity_score]]&lt;=5,"MEDIUM","HIGH"))</f>
        <v>LOW</v>
      </c>
      <c r="AC3196" t="str">
        <f>TEXT(ReconciliationData[[#This Row],[Order_Date]],"YYYY-MM")</f>
        <v>2023-09</v>
      </c>
    </row>
    <row r="3197" spans="1:29">
      <c r="A3197" t="s">
        <v>7610</v>
      </c>
      <c r="B3197" s="1">
        <v>45546</v>
      </c>
      <c r="C3197" t="s">
        <v>1478</v>
      </c>
      <c r="D3197" t="s">
        <v>1315</v>
      </c>
      <c r="E3197">
        <v>41</v>
      </c>
      <c r="F3197" t="s">
        <v>7611</v>
      </c>
      <c r="G3197">
        <v>41</v>
      </c>
      <c r="H3197">
        <v>334.24649999999997</v>
      </c>
      <c r="N3197">
        <v>334.24649999999997</v>
      </c>
      <c r="O3197" s="1">
        <v>45125</v>
      </c>
      <c r="P3197">
        <f>IF(ISBLANK(ReconciliationData[[#This Row],[Invoice_ID]]),1,0)</f>
        <v>0</v>
      </c>
      <c r="Q3197">
        <f>IF(AND(NOT(ISBLANK(ReconciliationData[[#This Row],[Billed_Units]])),ReconciliationData[[#This Row],[ordered_units]]&lt;&gt;ReconciliationData[[#This Row],[Billed_Units]]),1,0)</f>
        <v>0</v>
      </c>
      <c r="R31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7">
        <f>IF(AND(NOT(ISBLANK(ReconciliationData[[#This Row],[Contract_Price]])),ReconciliationData[[#This Row],[Billed_Price]]&lt;&gt;ReconciliationData[[#This Row],[Contract_Price]]),1,0)</f>
        <v>0</v>
      </c>
      <c r="T3197">
        <f>IF(AND(NOT(ISBLANK(ReconciliationData[[#This Row],[End_Date]])),ReconciliationData[[#This Row],[Order_Date]]&gt;ReconciliationData[[#This Row],[End_Date]]),1,0)</f>
        <v>0</v>
      </c>
      <c r="U3197">
        <f>IF(AND(NOT(ISBLANK(ReconciliationData[[#This Row],[last_return_date]])),ReconciliationData[[#This Row],[last_return_date]]&gt;ReconciliationData[[#This Row],[Order_Date]]+60),1,0)</f>
        <v>0</v>
      </c>
      <c r="V3197">
        <f>IF(ReconciliationData[[#This Row],[total_returned_units]]&gt;ReconciliationData[[#This Row],[ordered_units]],1,0)</f>
        <v>0</v>
      </c>
      <c r="W31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97">
        <f>ReconciliationData[[#This Row],[Billed_Units]]*ReconciliationData[[#This Row],[Billed_Price]]</f>
        <v>13704.106499999998</v>
      </c>
      <c r="Y3197">
        <f>ReconciliationData[[#This Row],[ordered_units]]*ReconciliationData[[#This Row],[List_Price]]</f>
        <v>13704.106499999998</v>
      </c>
      <c r="Z3197">
        <f>ReconciliationData[[#This Row],[billed_revenue]]-ReconciliationData[[#This Row],[expected_revenue]]</f>
        <v>0</v>
      </c>
      <c r="AA31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97" t="str">
        <f>IF(ReconciliationData[[#This Row],[severity_score]]=0,"LOW",
 IF(ReconciliationData[[#This Row],[severity_score]]&lt;=5,"MEDIUM","HIGH"))</f>
        <v>LOW</v>
      </c>
      <c r="AC3197" t="str">
        <f>TEXT(ReconciliationData[[#This Row],[Order_Date]],"YYYY-MM")</f>
        <v>2024-09</v>
      </c>
    </row>
    <row r="3198" spans="1:29">
      <c r="A3198" t="s">
        <v>7612</v>
      </c>
      <c r="B3198" s="1">
        <v>45160</v>
      </c>
      <c r="C3198" t="s">
        <v>1651</v>
      </c>
      <c r="D3198" t="s">
        <v>500</v>
      </c>
      <c r="E3198">
        <v>119</v>
      </c>
      <c r="F3198" t="s">
        <v>7613</v>
      </c>
      <c r="G3198">
        <v>119</v>
      </c>
      <c r="H3198">
        <v>1086.3648000000001</v>
      </c>
      <c r="N3198">
        <v>1086.3648000000001</v>
      </c>
      <c r="O3198" s="1">
        <v>44940</v>
      </c>
      <c r="P3198">
        <f>IF(ISBLANK(ReconciliationData[[#This Row],[Invoice_ID]]),1,0)</f>
        <v>0</v>
      </c>
      <c r="Q3198">
        <f>IF(AND(NOT(ISBLANK(ReconciliationData[[#This Row],[Billed_Units]])),ReconciliationData[[#This Row],[ordered_units]]&lt;&gt;ReconciliationData[[#This Row],[Billed_Units]]),1,0)</f>
        <v>0</v>
      </c>
      <c r="R31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8">
        <f>IF(AND(NOT(ISBLANK(ReconciliationData[[#This Row],[Contract_Price]])),ReconciliationData[[#This Row],[Billed_Price]]&lt;&gt;ReconciliationData[[#This Row],[Contract_Price]]),1,0)</f>
        <v>0</v>
      </c>
      <c r="T3198">
        <f>IF(AND(NOT(ISBLANK(ReconciliationData[[#This Row],[End_Date]])),ReconciliationData[[#This Row],[Order_Date]]&gt;ReconciliationData[[#This Row],[End_Date]]),1,0)</f>
        <v>0</v>
      </c>
      <c r="U3198">
        <f>IF(AND(NOT(ISBLANK(ReconciliationData[[#This Row],[last_return_date]])),ReconciliationData[[#This Row],[last_return_date]]&gt;ReconciliationData[[#This Row],[Order_Date]]+60),1,0)</f>
        <v>0</v>
      </c>
      <c r="V3198">
        <f>IF(ReconciliationData[[#This Row],[total_returned_units]]&gt;ReconciliationData[[#This Row],[ordered_units]],1,0)</f>
        <v>0</v>
      </c>
      <c r="W31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198">
        <f>ReconciliationData[[#This Row],[Billed_Units]]*ReconciliationData[[#This Row],[Billed_Price]]</f>
        <v>129277.4112</v>
      </c>
      <c r="Y3198">
        <f>ReconciliationData[[#This Row],[ordered_units]]*ReconciliationData[[#This Row],[List_Price]]</f>
        <v>129277.4112</v>
      </c>
      <c r="Z3198">
        <f>ReconciliationData[[#This Row],[billed_revenue]]-ReconciliationData[[#This Row],[expected_revenue]]</f>
        <v>0</v>
      </c>
      <c r="AA31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198" t="str">
        <f>IF(ReconciliationData[[#This Row],[severity_score]]=0,"LOW",
 IF(ReconciliationData[[#This Row],[severity_score]]&lt;=5,"MEDIUM","HIGH"))</f>
        <v>LOW</v>
      </c>
      <c r="AC3198" t="str">
        <f>TEXT(ReconciliationData[[#This Row],[Order_Date]],"YYYY-MM")</f>
        <v>2023-08</v>
      </c>
    </row>
    <row r="3199" spans="1:29">
      <c r="A3199" t="s">
        <v>7614</v>
      </c>
      <c r="B3199" s="1">
        <v>45435</v>
      </c>
      <c r="C3199" t="s">
        <v>316</v>
      </c>
      <c r="D3199" t="s">
        <v>1175</v>
      </c>
      <c r="E3199">
        <v>36</v>
      </c>
      <c r="F3199" t="s">
        <v>7615</v>
      </c>
      <c r="G3199">
        <v>36</v>
      </c>
      <c r="H3199">
        <v>589.66600000000005</v>
      </c>
      <c r="I3199">
        <v>4</v>
      </c>
      <c r="J3199" s="1">
        <v>45653</v>
      </c>
      <c r="N3199">
        <v>589.66600000000005</v>
      </c>
      <c r="O3199" s="1">
        <v>45218</v>
      </c>
      <c r="P3199">
        <f>IF(ISBLANK(ReconciliationData[[#This Row],[Invoice_ID]]),1,0)</f>
        <v>0</v>
      </c>
      <c r="Q3199">
        <f>IF(AND(NOT(ISBLANK(ReconciliationData[[#This Row],[Billed_Units]])),ReconciliationData[[#This Row],[ordered_units]]&lt;&gt;ReconciliationData[[#This Row],[Billed_Units]]),1,0)</f>
        <v>0</v>
      </c>
      <c r="R31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199">
        <f>IF(AND(NOT(ISBLANK(ReconciliationData[[#This Row],[Contract_Price]])),ReconciliationData[[#This Row],[Billed_Price]]&lt;&gt;ReconciliationData[[#This Row],[Contract_Price]]),1,0)</f>
        <v>0</v>
      </c>
      <c r="T3199">
        <f>IF(AND(NOT(ISBLANK(ReconciliationData[[#This Row],[End_Date]])),ReconciliationData[[#This Row],[Order_Date]]&gt;ReconciliationData[[#This Row],[End_Date]]),1,0)</f>
        <v>0</v>
      </c>
      <c r="U3199">
        <f>IF(AND(NOT(ISBLANK(ReconciliationData[[#This Row],[last_return_date]])),ReconciliationData[[#This Row],[last_return_date]]&gt;ReconciliationData[[#This Row],[Order_Date]]+60),1,0)</f>
        <v>1</v>
      </c>
      <c r="V3199">
        <f>IF(ReconciliationData[[#This Row],[total_returned_units]]&gt;ReconciliationData[[#This Row],[ordered_units]],1,0)</f>
        <v>0</v>
      </c>
      <c r="W31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199">
        <f>ReconciliationData[[#This Row],[Billed_Units]]*ReconciliationData[[#This Row],[Billed_Price]]</f>
        <v>21227.976000000002</v>
      </c>
      <c r="Y3199">
        <f>ReconciliationData[[#This Row],[ordered_units]]*ReconciliationData[[#This Row],[List_Price]]</f>
        <v>21227.976000000002</v>
      </c>
      <c r="Z3199">
        <f>ReconciliationData[[#This Row],[billed_revenue]]-ReconciliationData[[#This Row],[expected_revenue]]</f>
        <v>0</v>
      </c>
      <c r="AA31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199" t="str">
        <f>IF(ReconciliationData[[#This Row],[severity_score]]=0,"LOW",
 IF(ReconciliationData[[#This Row],[severity_score]]&lt;=5,"MEDIUM","HIGH"))</f>
        <v>MEDIUM</v>
      </c>
      <c r="AC3199" t="str">
        <f>TEXT(ReconciliationData[[#This Row],[Order_Date]],"YYYY-MM")</f>
        <v>2024-05</v>
      </c>
    </row>
    <row r="3200" spans="1:29">
      <c r="A3200" t="s">
        <v>7616</v>
      </c>
      <c r="B3200" s="1">
        <v>45594</v>
      </c>
      <c r="C3200" t="s">
        <v>1407</v>
      </c>
      <c r="D3200" t="s">
        <v>231</v>
      </c>
      <c r="E3200">
        <v>162</v>
      </c>
      <c r="F3200" t="s">
        <v>7617</v>
      </c>
      <c r="G3200">
        <v>162</v>
      </c>
      <c r="H3200">
        <v>77.398200000000003</v>
      </c>
      <c r="N3200">
        <v>77.398200000000003</v>
      </c>
      <c r="O3200" s="1">
        <v>45032</v>
      </c>
      <c r="P3200">
        <f>IF(ISBLANK(ReconciliationData[[#This Row],[Invoice_ID]]),1,0)</f>
        <v>0</v>
      </c>
      <c r="Q3200">
        <f>IF(AND(NOT(ISBLANK(ReconciliationData[[#This Row],[Billed_Units]])),ReconciliationData[[#This Row],[ordered_units]]&lt;&gt;ReconciliationData[[#This Row],[Billed_Units]]),1,0)</f>
        <v>0</v>
      </c>
      <c r="R32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0">
        <f>IF(AND(NOT(ISBLANK(ReconciliationData[[#This Row],[Contract_Price]])),ReconciliationData[[#This Row],[Billed_Price]]&lt;&gt;ReconciliationData[[#This Row],[Contract_Price]]),1,0)</f>
        <v>0</v>
      </c>
      <c r="T3200">
        <f>IF(AND(NOT(ISBLANK(ReconciliationData[[#This Row],[End_Date]])),ReconciliationData[[#This Row],[Order_Date]]&gt;ReconciliationData[[#This Row],[End_Date]]),1,0)</f>
        <v>0</v>
      </c>
      <c r="U3200">
        <f>IF(AND(NOT(ISBLANK(ReconciliationData[[#This Row],[last_return_date]])),ReconciliationData[[#This Row],[last_return_date]]&gt;ReconciliationData[[#This Row],[Order_Date]]+60),1,0)</f>
        <v>0</v>
      </c>
      <c r="V3200">
        <f>IF(ReconciliationData[[#This Row],[total_returned_units]]&gt;ReconciliationData[[#This Row],[ordered_units]],1,0)</f>
        <v>0</v>
      </c>
      <c r="W32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00">
        <f>ReconciliationData[[#This Row],[Billed_Units]]*ReconciliationData[[#This Row],[Billed_Price]]</f>
        <v>12538.508400000001</v>
      </c>
      <c r="Y3200">
        <f>ReconciliationData[[#This Row],[ordered_units]]*ReconciliationData[[#This Row],[List_Price]]</f>
        <v>12538.508400000001</v>
      </c>
      <c r="Z3200">
        <f>ReconciliationData[[#This Row],[billed_revenue]]-ReconciliationData[[#This Row],[expected_revenue]]</f>
        <v>0</v>
      </c>
      <c r="AA32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00" t="str">
        <f>IF(ReconciliationData[[#This Row],[severity_score]]=0,"LOW",
 IF(ReconciliationData[[#This Row],[severity_score]]&lt;=5,"MEDIUM","HIGH"))</f>
        <v>LOW</v>
      </c>
      <c r="AC3200" t="str">
        <f>TEXT(ReconciliationData[[#This Row],[Order_Date]],"YYYY-MM")</f>
        <v>2024-10</v>
      </c>
    </row>
    <row r="3201" spans="1:29">
      <c r="A3201" t="s">
        <v>7618</v>
      </c>
      <c r="B3201" s="1">
        <v>45627</v>
      </c>
      <c r="C3201" t="s">
        <v>1314</v>
      </c>
      <c r="D3201" t="s">
        <v>916</v>
      </c>
      <c r="E3201">
        <v>76</v>
      </c>
      <c r="F3201" t="s">
        <v>7619</v>
      </c>
      <c r="G3201">
        <v>76</v>
      </c>
      <c r="H3201">
        <v>1158.2643</v>
      </c>
      <c r="N3201">
        <v>1158.2643</v>
      </c>
      <c r="O3201" s="1">
        <v>45119</v>
      </c>
      <c r="P3201">
        <f>IF(ISBLANK(ReconciliationData[[#This Row],[Invoice_ID]]),1,0)</f>
        <v>0</v>
      </c>
      <c r="Q3201">
        <f>IF(AND(NOT(ISBLANK(ReconciliationData[[#This Row],[Billed_Units]])),ReconciliationData[[#This Row],[ordered_units]]&lt;&gt;ReconciliationData[[#This Row],[Billed_Units]]),1,0)</f>
        <v>0</v>
      </c>
      <c r="R32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1">
        <f>IF(AND(NOT(ISBLANK(ReconciliationData[[#This Row],[Contract_Price]])),ReconciliationData[[#This Row],[Billed_Price]]&lt;&gt;ReconciliationData[[#This Row],[Contract_Price]]),1,0)</f>
        <v>0</v>
      </c>
      <c r="T3201">
        <f>IF(AND(NOT(ISBLANK(ReconciliationData[[#This Row],[End_Date]])),ReconciliationData[[#This Row],[Order_Date]]&gt;ReconciliationData[[#This Row],[End_Date]]),1,0)</f>
        <v>0</v>
      </c>
      <c r="U3201">
        <f>IF(AND(NOT(ISBLANK(ReconciliationData[[#This Row],[last_return_date]])),ReconciliationData[[#This Row],[last_return_date]]&gt;ReconciliationData[[#This Row],[Order_Date]]+60),1,0)</f>
        <v>0</v>
      </c>
      <c r="V3201">
        <f>IF(ReconciliationData[[#This Row],[total_returned_units]]&gt;ReconciliationData[[#This Row],[ordered_units]],1,0)</f>
        <v>0</v>
      </c>
      <c r="W32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01">
        <f>ReconciliationData[[#This Row],[Billed_Units]]*ReconciliationData[[#This Row],[Billed_Price]]</f>
        <v>88028.086800000005</v>
      </c>
      <c r="Y3201">
        <f>ReconciliationData[[#This Row],[ordered_units]]*ReconciliationData[[#This Row],[List_Price]]</f>
        <v>88028.086800000005</v>
      </c>
      <c r="Z3201">
        <f>ReconciliationData[[#This Row],[billed_revenue]]-ReconciliationData[[#This Row],[expected_revenue]]</f>
        <v>0</v>
      </c>
      <c r="AA32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01" t="str">
        <f>IF(ReconciliationData[[#This Row],[severity_score]]=0,"LOW",
 IF(ReconciliationData[[#This Row],[severity_score]]&lt;=5,"MEDIUM","HIGH"))</f>
        <v>LOW</v>
      </c>
      <c r="AC3201" t="str">
        <f>TEXT(ReconciliationData[[#This Row],[Order_Date]],"YYYY-MM")</f>
        <v>2024-12</v>
      </c>
    </row>
    <row r="3202" spans="1:29">
      <c r="A3202" t="s">
        <v>7620</v>
      </c>
      <c r="B3202" s="1">
        <v>45018</v>
      </c>
      <c r="C3202" t="s">
        <v>2917</v>
      </c>
      <c r="D3202" t="s">
        <v>2360</v>
      </c>
      <c r="E3202">
        <v>49</v>
      </c>
      <c r="F3202" t="s">
        <v>7621</v>
      </c>
      <c r="G3202">
        <v>49</v>
      </c>
      <c r="H3202">
        <v>852.46560000000011</v>
      </c>
      <c r="N3202">
        <v>852.46560000000011</v>
      </c>
      <c r="O3202" s="1">
        <v>44996</v>
      </c>
      <c r="P3202">
        <f>IF(ISBLANK(ReconciliationData[[#This Row],[Invoice_ID]]),1,0)</f>
        <v>0</v>
      </c>
      <c r="Q3202">
        <f>IF(AND(NOT(ISBLANK(ReconciliationData[[#This Row],[Billed_Units]])),ReconciliationData[[#This Row],[ordered_units]]&lt;&gt;ReconciliationData[[#This Row],[Billed_Units]]),1,0)</f>
        <v>0</v>
      </c>
      <c r="R32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2">
        <f>IF(AND(NOT(ISBLANK(ReconciliationData[[#This Row],[Contract_Price]])),ReconciliationData[[#This Row],[Billed_Price]]&lt;&gt;ReconciliationData[[#This Row],[Contract_Price]]),1,0)</f>
        <v>0</v>
      </c>
      <c r="T3202">
        <f>IF(AND(NOT(ISBLANK(ReconciliationData[[#This Row],[End_Date]])),ReconciliationData[[#This Row],[Order_Date]]&gt;ReconciliationData[[#This Row],[End_Date]]),1,0)</f>
        <v>0</v>
      </c>
      <c r="U3202">
        <f>IF(AND(NOT(ISBLANK(ReconciliationData[[#This Row],[last_return_date]])),ReconciliationData[[#This Row],[last_return_date]]&gt;ReconciliationData[[#This Row],[Order_Date]]+60),1,0)</f>
        <v>0</v>
      </c>
      <c r="V3202">
        <f>IF(ReconciliationData[[#This Row],[total_returned_units]]&gt;ReconciliationData[[#This Row],[ordered_units]],1,0)</f>
        <v>0</v>
      </c>
      <c r="W32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02">
        <f>ReconciliationData[[#This Row],[Billed_Units]]*ReconciliationData[[#This Row],[Billed_Price]]</f>
        <v>41770.814400000003</v>
      </c>
      <c r="Y3202">
        <f>ReconciliationData[[#This Row],[ordered_units]]*ReconciliationData[[#This Row],[List_Price]]</f>
        <v>41770.814400000003</v>
      </c>
      <c r="Z3202">
        <f>ReconciliationData[[#This Row],[billed_revenue]]-ReconciliationData[[#This Row],[expected_revenue]]</f>
        <v>0</v>
      </c>
      <c r="AA32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02" t="str">
        <f>IF(ReconciliationData[[#This Row],[severity_score]]=0,"LOW",
 IF(ReconciliationData[[#This Row],[severity_score]]&lt;=5,"MEDIUM","HIGH"))</f>
        <v>LOW</v>
      </c>
      <c r="AC3202" t="str">
        <f>TEXT(ReconciliationData[[#This Row],[Order_Date]],"YYYY-MM")</f>
        <v>2023-04</v>
      </c>
    </row>
    <row r="3203" spans="1:29">
      <c r="A3203" t="s">
        <v>7622</v>
      </c>
      <c r="B3203" s="1">
        <v>45119</v>
      </c>
      <c r="C3203" t="s">
        <v>954</v>
      </c>
      <c r="D3203" t="s">
        <v>360</v>
      </c>
      <c r="E3203">
        <v>92</v>
      </c>
      <c r="F3203" t="s">
        <v>7623</v>
      </c>
      <c r="G3203">
        <v>92</v>
      </c>
      <c r="H3203">
        <v>456.09</v>
      </c>
      <c r="N3203">
        <v>456.09</v>
      </c>
      <c r="O3203" s="1">
        <v>45047</v>
      </c>
      <c r="P3203">
        <f>IF(ISBLANK(ReconciliationData[[#This Row],[Invoice_ID]]),1,0)</f>
        <v>0</v>
      </c>
      <c r="Q3203">
        <f>IF(AND(NOT(ISBLANK(ReconciliationData[[#This Row],[Billed_Units]])),ReconciliationData[[#This Row],[ordered_units]]&lt;&gt;ReconciliationData[[#This Row],[Billed_Units]]),1,0)</f>
        <v>0</v>
      </c>
      <c r="R32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3">
        <f>IF(AND(NOT(ISBLANK(ReconciliationData[[#This Row],[Contract_Price]])),ReconciliationData[[#This Row],[Billed_Price]]&lt;&gt;ReconciliationData[[#This Row],[Contract_Price]]),1,0)</f>
        <v>0</v>
      </c>
      <c r="T3203">
        <f>IF(AND(NOT(ISBLANK(ReconciliationData[[#This Row],[End_Date]])),ReconciliationData[[#This Row],[Order_Date]]&gt;ReconciliationData[[#This Row],[End_Date]]),1,0)</f>
        <v>0</v>
      </c>
      <c r="U3203">
        <f>IF(AND(NOT(ISBLANK(ReconciliationData[[#This Row],[last_return_date]])),ReconciliationData[[#This Row],[last_return_date]]&gt;ReconciliationData[[#This Row],[Order_Date]]+60),1,0)</f>
        <v>0</v>
      </c>
      <c r="V3203">
        <f>IF(ReconciliationData[[#This Row],[total_returned_units]]&gt;ReconciliationData[[#This Row],[ordered_units]],1,0)</f>
        <v>0</v>
      </c>
      <c r="W32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03">
        <f>ReconciliationData[[#This Row],[Billed_Units]]*ReconciliationData[[#This Row],[Billed_Price]]</f>
        <v>41960.28</v>
      </c>
      <c r="Y3203">
        <f>ReconciliationData[[#This Row],[ordered_units]]*ReconciliationData[[#This Row],[List_Price]]</f>
        <v>41960.28</v>
      </c>
      <c r="Z3203">
        <f>ReconciliationData[[#This Row],[billed_revenue]]-ReconciliationData[[#This Row],[expected_revenue]]</f>
        <v>0</v>
      </c>
      <c r="AA32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03" t="str">
        <f>IF(ReconciliationData[[#This Row],[severity_score]]=0,"LOW",
 IF(ReconciliationData[[#This Row],[severity_score]]&lt;=5,"MEDIUM","HIGH"))</f>
        <v>LOW</v>
      </c>
      <c r="AC3203" t="str">
        <f>TEXT(ReconciliationData[[#This Row],[Order_Date]],"YYYY-MM")</f>
        <v>2023-07</v>
      </c>
    </row>
    <row r="3204" spans="1:29">
      <c r="A3204" t="s">
        <v>7624</v>
      </c>
      <c r="B3204" s="1">
        <v>45412</v>
      </c>
      <c r="C3204" t="s">
        <v>835</v>
      </c>
      <c r="D3204" t="s">
        <v>279</v>
      </c>
      <c r="E3204">
        <v>87</v>
      </c>
      <c r="F3204" t="s">
        <v>7625</v>
      </c>
      <c r="G3204">
        <v>87</v>
      </c>
      <c r="H3204">
        <v>1120.6556</v>
      </c>
      <c r="I3204">
        <v>17</v>
      </c>
      <c r="J3204" s="1">
        <v>45306</v>
      </c>
      <c r="N3204">
        <v>1120.6556</v>
      </c>
      <c r="O3204" s="1">
        <v>45026</v>
      </c>
      <c r="P3204">
        <f>IF(ISBLANK(ReconciliationData[[#This Row],[Invoice_ID]]),1,0)</f>
        <v>0</v>
      </c>
      <c r="Q3204">
        <f>IF(AND(NOT(ISBLANK(ReconciliationData[[#This Row],[Billed_Units]])),ReconciliationData[[#This Row],[ordered_units]]&lt;&gt;ReconciliationData[[#This Row],[Billed_Units]]),1,0)</f>
        <v>0</v>
      </c>
      <c r="R32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4">
        <f>IF(AND(NOT(ISBLANK(ReconciliationData[[#This Row],[Contract_Price]])),ReconciliationData[[#This Row],[Billed_Price]]&lt;&gt;ReconciliationData[[#This Row],[Contract_Price]]),1,0)</f>
        <v>0</v>
      </c>
      <c r="T3204">
        <f>IF(AND(NOT(ISBLANK(ReconciliationData[[#This Row],[End_Date]])),ReconciliationData[[#This Row],[Order_Date]]&gt;ReconciliationData[[#This Row],[End_Date]]),1,0)</f>
        <v>0</v>
      </c>
      <c r="U3204">
        <f>IF(AND(NOT(ISBLANK(ReconciliationData[[#This Row],[last_return_date]])),ReconciliationData[[#This Row],[last_return_date]]&gt;ReconciliationData[[#This Row],[Order_Date]]+60),1,0)</f>
        <v>0</v>
      </c>
      <c r="V3204">
        <f>IF(ReconciliationData[[#This Row],[total_returned_units]]&gt;ReconciliationData[[#This Row],[ordered_units]],1,0)</f>
        <v>0</v>
      </c>
      <c r="W32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04">
        <f>ReconciliationData[[#This Row],[Billed_Units]]*ReconciliationData[[#This Row],[Billed_Price]]</f>
        <v>97497.037200000006</v>
      </c>
      <c r="Y3204">
        <f>ReconciliationData[[#This Row],[ordered_units]]*ReconciliationData[[#This Row],[List_Price]]</f>
        <v>97497.037200000006</v>
      </c>
      <c r="Z3204">
        <f>ReconciliationData[[#This Row],[billed_revenue]]-ReconciliationData[[#This Row],[expected_revenue]]</f>
        <v>0</v>
      </c>
      <c r="AA32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04" t="str">
        <f>IF(ReconciliationData[[#This Row],[severity_score]]=0,"LOW",
 IF(ReconciliationData[[#This Row],[severity_score]]&lt;=5,"MEDIUM","HIGH"))</f>
        <v>LOW</v>
      </c>
      <c r="AC3204" t="str">
        <f>TEXT(ReconciliationData[[#This Row],[Order_Date]],"YYYY-MM")</f>
        <v>2024-04</v>
      </c>
    </row>
    <row r="3205" spans="1:29">
      <c r="A3205" t="s">
        <v>7626</v>
      </c>
      <c r="B3205" s="1">
        <v>45216</v>
      </c>
      <c r="C3205" t="s">
        <v>756</v>
      </c>
      <c r="D3205" t="s">
        <v>1848</v>
      </c>
      <c r="E3205">
        <v>92</v>
      </c>
      <c r="F3205" t="s">
        <v>7627</v>
      </c>
      <c r="G3205">
        <v>92</v>
      </c>
      <c r="H3205">
        <v>92.962000000000003</v>
      </c>
      <c r="N3205">
        <v>92.962000000000003</v>
      </c>
      <c r="O3205" s="1">
        <v>45151</v>
      </c>
      <c r="P3205">
        <f>IF(ISBLANK(ReconciliationData[[#This Row],[Invoice_ID]]),1,0)</f>
        <v>0</v>
      </c>
      <c r="Q3205">
        <f>IF(AND(NOT(ISBLANK(ReconciliationData[[#This Row],[Billed_Units]])),ReconciliationData[[#This Row],[ordered_units]]&lt;&gt;ReconciliationData[[#This Row],[Billed_Units]]),1,0)</f>
        <v>0</v>
      </c>
      <c r="R32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5">
        <f>IF(AND(NOT(ISBLANK(ReconciliationData[[#This Row],[Contract_Price]])),ReconciliationData[[#This Row],[Billed_Price]]&lt;&gt;ReconciliationData[[#This Row],[Contract_Price]]),1,0)</f>
        <v>0</v>
      </c>
      <c r="T3205">
        <f>IF(AND(NOT(ISBLANK(ReconciliationData[[#This Row],[End_Date]])),ReconciliationData[[#This Row],[Order_Date]]&gt;ReconciliationData[[#This Row],[End_Date]]),1,0)</f>
        <v>0</v>
      </c>
      <c r="U3205">
        <f>IF(AND(NOT(ISBLANK(ReconciliationData[[#This Row],[last_return_date]])),ReconciliationData[[#This Row],[last_return_date]]&gt;ReconciliationData[[#This Row],[Order_Date]]+60),1,0)</f>
        <v>0</v>
      </c>
      <c r="V3205">
        <f>IF(ReconciliationData[[#This Row],[total_returned_units]]&gt;ReconciliationData[[#This Row],[ordered_units]],1,0)</f>
        <v>0</v>
      </c>
      <c r="W32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05">
        <f>ReconciliationData[[#This Row],[Billed_Units]]*ReconciliationData[[#This Row],[Billed_Price]]</f>
        <v>8552.5040000000008</v>
      </c>
      <c r="Y3205">
        <f>ReconciliationData[[#This Row],[ordered_units]]*ReconciliationData[[#This Row],[List_Price]]</f>
        <v>8552.5040000000008</v>
      </c>
      <c r="Z3205">
        <f>ReconciliationData[[#This Row],[billed_revenue]]-ReconciliationData[[#This Row],[expected_revenue]]</f>
        <v>0</v>
      </c>
      <c r="AA32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05" t="str">
        <f>IF(ReconciliationData[[#This Row],[severity_score]]=0,"LOW",
 IF(ReconciliationData[[#This Row],[severity_score]]&lt;=5,"MEDIUM","HIGH"))</f>
        <v>LOW</v>
      </c>
      <c r="AC3205" t="str">
        <f>TEXT(ReconciliationData[[#This Row],[Order_Date]],"YYYY-MM")</f>
        <v>2023-10</v>
      </c>
    </row>
    <row r="3206" spans="1:29">
      <c r="A3206" t="s">
        <v>7628</v>
      </c>
      <c r="B3206" s="1">
        <v>45575</v>
      </c>
      <c r="C3206" t="s">
        <v>3140</v>
      </c>
      <c r="D3206" t="s">
        <v>951</v>
      </c>
      <c r="E3206">
        <v>37</v>
      </c>
      <c r="F3206" t="s">
        <v>7629</v>
      </c>
      <c r="G3206">
        <v>37</v>
      </c>
      <c r="H3206">
        <v>571.32999999999993</v>
      </c>
      <c r="N3206">
        <v>571.32999999999993</v>
      </c>
      <c r="O3206" s="1">
        <v>45206</v>
      </c>
      <c r="P3206">
        <f>IF(ISBLANK(ReconciliationData[[#This Row],[Invoice_ID]]),1,0)</f>
        <v>0</v>
      </c>
      <c r="Q3206">
        <f>IF(AND(NOT(ISBLANK(ReconciliationData[[#This Row],[Billed_Units]])),ReconciliationData[[#This Row],[ordered_units]]&lt;&gt;ReconciliationData[[#This Row],[Billed_Units]]),1,0)</f>
        <v>0</v>
      </c>
      <c r="R32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6">
        <f>IF(AND(NOT(ISBLANK(ReconciliationData[[#This Row],[Contract_Price]])),ReconciliationData[[#This Row],[Billed_Price]]&lt;&gt;ReconciliationData[[#This Row],[Contract_Price]]),1,0)</f>
        <v>0</v>
      </c>
      <c r="T3206">
        <f>IF(AND(NOT(ISBLANK(ReconciliationData[[#This Row],[End_Date]])),ReconciliationData[[#This Row],[Order_Date]]&gt;ReconciliationData[[#This Row],[End_Date]]),1,0)</f>
        <v>0</v>
      </c>
      <c r="U3206">
        <f>IF(AND(NOT(ISBLANK(ReconciliationData[[#This Row],[last_return_date]])),ReconciliationData[[#This Row],[last_return_date]]&gt;ReconciliationData[[#This Row],[Order_Date]]+60),1,0)</f>
        <v>0</v>
      </c>
      <c r="V3206">
        <f>IF(ReconciliationData[[#This Row],[total_returned_units]]&gt;ReconciliationData[[#This Row],[ordered_units]],1,0)</f>
        <v>0</v>
      </c>
      <c r="W32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06">
        <f>ReconciliationData[[#This Row],[Billed_Units]]*ReconciliationData[[#This Row],[Billed_Price]]</f>
        <v>21139.21</v>
      </c>
      <c r="Y3206">
        <f>ReconciliationData[[#This Row],[ordered_units]]*ReconciliationData[[#This Row],[List_Price]]</f>
        <v>21139.21</v>
      </c>
      <c r="Z3206">
        <f>ReconciliationData[[#This Row],[billed_revenue]]-ReconciliationData[[#This Row],[expected_revenue]]</f>
        <v>0</v>
      </c>
      <c r="AA32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06" t="str">
        <f>IF(ReconciliationData[[#This Row],[severity_score]]=0,"LOW",
 IF(ReconciliationData[[#This Row],[severity_score]]&lt;=5,"MEDIUM","HIGH"))</f>
        <v>LOW</v>
      </c>
      <c r="AC3206" t="str">
        <f>TEXT(ReconciliationData[[#This Row],[Order_Date]],"YYYY-MM")</f>
        <v>2024-10</v>
      </c>
    </row>
    <row r="3207" spans="1:29">
      <c r="A3207" t="s">
        <v>7630</v>
      </c>
      <c r="B3207" s="1">
        <v>45593</v>
      </c>
      <c r="C3207" t="s">
        <v>1208</v>
      </c>
      <c r="D3207" t="s">
        <v>1142</v>
      </c>
      <c r="E3207">
        <v>104</v>
      </c>
      <c r="F3207" t="s">
        <v>7631</v>
      </c>
      <c r="G3207">
        <v>104</v>
      </c>
      <c r="H3207">
        <v>624.37260000000003</v>
      </c>
      <c r="N3207">
        <v>624.37260000000003</v>
      </c>
      <c r="O3207" s="1">
        <v>44932</v>
      </c>
      <c r="P3207">
        <f>IF(ISBLANK(ReconciliationData[[#This Row],[Invoice_ID]]),1,0)</f>
        <v>0</v>
      </c>
      <c r="Q3207">
        <f>IF(AND(NOT(ISBLANK(ReconciliationData[[#This Row],[Billed_Units]])),ReconciliationData[[#This Row],[ordered_units]]&lt;&gt;ReconciliationData[[#This Row],[Billed_Units]]),1,0)</f>
        <v>0</v>
      </c>
      <c r="R32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7">
        <f>IF(AND(NOT(ISBLANK(ReconciliationData[[#This Row],[Contract_Price]])),ReconciliationData[[#This Row],[Billed_Price]]&lt;&gt;ReconciliationData[[#This Row],[Contract_Price]]),1,0)</f>
        <v>0</v>
      </c>
      <c r="T3207">
        <f>IF(AND(NOT(ISBLANK(ReconciliationData[[#This Row],[End_Date]])),ReconciliationData[[#This Row],[Order_Date]]&gt;ReconciliationData[[#This Row],[End_Date]]),1,0)</f>
        <v>0</v>
      </c>
      <c r="U3207">
        <f>IF(AND(NOT(ISBLANK(ReconciliationData[[#This Row],[last_return_date]])),ReconciliationData[[#This Row],[last_return_date]]&gt;ReconciliationData[[#This Row],[Order_Date]]+60),1,0)</f>
        <v>0</v>
      </c>
      <c r="V3207">
        <f>IF(ReconciliationData[[#This Row],[total_returned_units]]&gt;ReconciliationData[[#This Row],[ordered_units]],1,0)</f>
        <v>0</v>
      </c>
      <c r="W32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07">
        <f>ReconciliationData[[#This Row],[Billed_Units]]*ReconciliationData[[#This Row],[Billed_Price]]</f>
        <v>64934.750400000004</v>
      </c>
      <c r="Y3207">
        <f>ReconciliationData[[#This Row],[ordered_units]]*ReconciliationData[[#This Row],[List_Price]]</f>
        <v>64934.750400000004</v>
      </c>
      <c r="Z3207">
        <f>ReconciliationData[[#This Row],[billed_revenue]]-ReconciliationData[[#This Row],[expected_revenue]]</f>
        <v>0</v>
      </c>
      <c r="AA32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07" t="str">
        <f>IF(ReconciliationData[[#This Row],[severity_score]]=0,"LOW",
 IF(ReconciliationData[[#This Row],[severity_score]]&lt;=5,"MEDIUM","HIGH"))</f>
        <v>LOW</v>
      </c>
      <c r="AC3207" t="str">
        <f>TEXT(ReconciliationData[[#This Row],[Order_Date]],"YYYY-MM")</f>
        <v>2024-10</v>
      </c>
    </row>
    <row r="3208" spans="1:29">
      <c r="A3208" t="s">
        <v>7632</v>
      </c>
      <c r="B3208" s="1">
        <v>44958</v>
      </c>
      <c r="C3208" t="s">
        <v>4848</v>
      </c>
      <c r="D3208" t="s">
        <v>1050</v>
      </c>
      <c r="E3208">
        <v>92</v>
      </c>
      <c r="F3208" t="s">
        <v>7633</v>
      </c>
      <c r="G3208">
        <v>92</v>
      </c>
      <c r="H3208">
        <v>575.53650000000005</v>
      </c>
      <c r="N3208">
        <v>575.53650000000005</v>
      </c>
      <c r="O3208" s="1">
        <v>44800</v>
      </c>
      <c r="P3208">
        <f>IF(ISBLANK(ReconciliationData[[#This Row],[Invoice_ID]]),1,0)</f>
        <v>0</v>
      </c>
      <c r="Q3208">
        <f>IF(AND(NOT(ISBLANK(ReconciliationData[[#This Row],[Billed_Units]])),ReconciliationData[[#This Row],[ordered_units]]&lt;&gt;ReconciliationData[[#This Row],[Billed_Units]]),1,0)</f>
        <v>0</v>
      </c>
      <c r="R32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8">
        <f>IF(AND(NOT(ISBLANK(ReconciliationData[[#This Row],[Contract_Price]])),ReconciliationData[[#This Row],[Billed_Price]]&lt;&gt;ReconciliationData[[#This Row],[Contract_Price]]),1,0)</f>
        <v>0</v>
      </c>
      <c r="T3208">
        <f>IF(AND(NOT(ISBLANK(ReconciliationData[[#This Row],[End_Date]])),ReconciliationData[[#This Row],[Order_Date]]&gt;ReconciliationData[[#This Row],[End_Date]]),1,0)</f>
        <v>0</v>
      </c>
      <c r="U3208">
        <f>IF(AND(NOT(ISBLANK(ReconciliationData[[#This Row],[last_return_date]])),ReconciliationData[[#This Row],[last_return_date]]&gt;ReconciliationData[[#This Row],[Order_Date]]+60),1,0)</f>
        <v>0</v>
      </c>
      <c r="V3208">
        <f>IF(ReconciliationData[[#This Row],[total_returned_units]]&gt;ReconciliationData[[#This Row],[ordered_units]],1,0)</f>
        <v>0</v>
      </c>
      <c r="W32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08">
        <f>ReconciliationData[[#This Row],[Billed_Units]]*ReconciliationData[[#This Row],[Billed_Price]]</f>
        <v>52949.358000000007</v>
      </c>
      <c r="Y3208">
        <f>ReconciliationData[[#This Row],[ordered_units]]*ReconciliationData[[#This Row],[List_Price]]</f>
        <v>52949.358000000007</v>
      </c>
      <c r="Z3208">
        <f>ReconciliationData[[#This Row],[billed_revenue]]-ReconciliationData[[#This Row],[expected_revenue]]</f>
        <v>0</v>
      </c>
      <c r="AA32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08" t="str">
        <f>IF(ReconciliationData[[#This Row],[severity_score]]=0,"LOW",
 IF(ReconciliationData[[#This Row],[severity_score]]&lt;=5,"MEDIUM","HIGH"))</f>
        <v>LOW</v>
      </c>
      <c r="AC3208" t="str">
        <f>TEXT(ReconciliationData[[#This Row],[Order_Date]],"YYYY-MM")</f>
        <v>2023-02</v>
      </c>
    </row>
    <row r="3209" spans="1:29">
      <c r="A3209" t="s">
        <v>7634</v>
      </c>
      <c r="B3209" s="1">
        <v>45047</v>
      </c>
      <c r="C3209" t="s">
        <v>5118</v>
      </c>
      <c r="D3209" t="s">
        <v>1007</v>
      </c>
      <c r="E3209">
        <v>21</v>
      </c>
      <c r="F3209" t="s">
        <v>7635</v>
      </c>
      <c r="G3209">
        <v>21</v>
      </c>
      <c r="H3209">
        <v>121.13</v>
      </c>
      <c r="N3209">
        <v>121.13</v>
      </c>
      <c r="O3209" s="1">
        <v>44957</v>
      </c>
      <c r="P3209">
        <f>IF(ISBLANK(ReconciliationData[[#This Row],[Invoice_ID]]),1,0)</f>
        <v>0</v>
      </c>
      <c r="Q3209">
        <f>IF(AND(NOT(ISBLANK(ReconciliationData[[#This Row],[Billed_Units]])),ReconciliationData[[#This Row],[ordered_units]]&lt;&gt;ReconciliationData[[#This Row],[Billed_Units]]),1,0)</f>
        <v>0</v>
      </c>
      <c r="R32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09">
        <f>IF(AND(NOT(ISBLANK(ReconciliationData[[#This Row],[Contract_Price]])),ReconciliationData[[#This Row],[Billed_Price]]&lt;&gt;ReconciliationData[[#This Row],[Contract_Price]]),1,0)</f>
        <v>0</v>
      </c>
      <c r="T3209">
        <f>IF(AND(NOT(ISBLANK(ReconciliationData[[#This Row],[End_Date]])),ReconciliationData[[#This Row],[Order_Date]]&gt;ReconciliationData[[#This Row],[End_Date]]),1,0)</f>
        <v>0</v>
      </c>
      <c r="U3209">
        <f>IF(AND(NOT(ISBLANK(ReconciliationData[[#This Row],[last_return_date]])),ReconciliationData[[#This Row],[last_return_date]]&gt;ReconciliationData[[#This Row],[Order_Date]]+60),1,0)</f>
        <v>0</v>
      </c>
      <c r="V3209">
        <f>IF(ReconciliationData[[#This Row],[total_returned_units]]&gt;ReconciliationData[[#This Row],[ordered_units]],1,0)</f>
        <v>0</v>
      </c>
      <c r="W32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09">
        <f>ReconciliationData[[#This Row],[Billed_Units]]*ReconciliationData[[#This Row],[Billed_Price]]</f>
        <v>2543.73</v>
      </c>
      <c r="Y3209">
        <f>ReconciliationData[[#This Row],[ordered_units]]*ReconciliationData[[#This Row],[List_Price]]</f>
        <v>2543.73</v>
      </c>
      <c r="Z3209">
        <f>ReconciliationData[[#This Row],[billed_revenue]]-ReconciliationData[[#This Row],[expected_revenue]]</f>
        <v>0</v>
      </c>
      <c r="AA32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09" t="str">
        <f>IF(ReconciliationData[[#This Row],[severity_score]]=0,"LOW",
 IF(ReconciliationData[[#This Row],[severity_score]]&lt;=5,"MEDIUM","HIGH"))</f>
        <v>LOW</v>
      </c>
      <c r="AC3209" t="str">
        <f>TEXT(ReconciliationData[[#This Row],[Order_Date]],"YYYY-MM")</f>
        <v>2023-05</v>
      </c>
    </row>
    <row r="3210" spans="1:29">
      <c r="A3210" t="s">
        <v>7636</v>
      </c>
      <c r="B3210" s="1">
        <v>45346</v>
      </c>
      <c r="C3210" t="s">
        <v>2549</v>
      </c>
      <c r="D3210" t="s">
        <v>522</v>
      </c>
      <c r="E3210">
        <v>81</v>
      </c>
      <c r="F3210" t="s">
        <v>7637</v>
      </c>
      <c r="G3210">
        <v>81</v>
      </c>
      <c r="H3210">
        <v>826.46400000000006</v>
      </c>
      <c r="N3210">
        <v>826.46400000000006</v>
      </c>
      <c r="O3210" s="1">
        <v>45128</v>
      </c>
      <c r="P3210">
        <f>IF(ISBLANK(ReconciliationData[[#This Row],[Invoice_ID]]),1,0)</f>
        <v>0</v>
      </c>
      <c r="Q3210">
        <f>IF(AND(NOT(ISBLANK(ReconciliationData[[#This Row],[Billed_Units]])),ReconciliationData[[#This Row],[ordered_units]]&lt;&gt;ReconciliationData[[#This Row],[Billed_Units]]),1,0)</f>
        <v>0</v>
      </c>
      <c r="R32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0">
        <f>IF(AND(NOT(ISBLANK(ReconciliationData[[#This Row],[Contract_Price]])),ReconciliationData[[#This Row],[Billed_Price]]&lt;&gt;ReconciliationData[[#This Row],[Contract_Price]]),1,0)</f>
        <v>0</v>
      </c>
      <c r="T3210">
        <f>IF(AND(NOT(ISBLANK(ReconciliationData[[#This Row],[End_Date]])),ReconciliationData[[#This Row],[Order_Date]]&gt;ReconciliationData[[#This Row],[End_Date]]),1,0)</f>
        <v>0</v>
      </c>
      <c r="U3210">
        <f>IF(AND(NOT(ISBLANK(ReconciliationData[[#This Row],[last_return_date]])),ReconciliationData[[#This Row],[last_return_date]]&gt;ReconciliationData[[#This Row],[Order_Date]]+60),1,0)</f>
        <v>0</v>
      </c>
      <c r="V3210">
        <f>IF(ReconciliationData[[#This Row],[total_returned_units]]&gt;ReconciliationData[[#This Row],[ordered_units]],1,0)</f>
        <v>0</v>
      </c>
      <c r="W32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0">
        <f>ReconciliationData[[#This Row],[Billed_Units]]*ReconciliationData[[#This Row],[Billed_Price]]</f>
        <v>66943.584000000003</v>
      </c>
      <c r="Y3210">
        <f>ReconciliationData[[#This Row],[ordered_units]]*ReconciliationData[[#This Row],[List_Price]]</f>
        <v>66943.584000000003</v>
      </c>
      <c r="Z3210">
        <f>ReconciliationData[[#This Row],[billed_revenue]]-ReconciliationData[[#This Row],[expected_revenue]]</f>
        <v>0</v>
      </c>
      <c r="AA32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0" t="str">
        <f>IF(ReconciliationData[[#This Row],[severity_score]]=0,"LOW",
 IF(ReconciliationData[[#This Row],[severity_score]]&lt;=5,"MEDIUM","HIGH"))</f>
        <v>LOW</v>
      </c>
      <c r="AC3210" t="str">
        <f>TEXT(ReconciliationData[[#This Row],[Order_Date]],"YYYY-MM")</f>
        <v>2024-02</v>
      </c>
    </row>
    <row r="3211" spans="1:29">
      <c r="A3211" t="s">
        <v>7638</v>
      </c>
      <c r="B3211" s="1">
        <v>45006</v>
      </c>
      <c r="C3211" t="s">
        <v>3401</v>
      </c>
      <c r="D3211" t="s">
        <v>2583</v>
      </c>
      <c r="E3211">
        <v>70</v>
      </c>
      <c r="F3211" t="s">
        <v>7639</v>
      </c>
      <c r="G3211">
        <v>70</v>
      </c>
      <c r="H3211">
        <v>511.96</v>
      </c>
      <c r="N3211">
        <v>511.96</v>
      </c>
      <c r="O3211" s="1">
        <v>44603</v>
      </c>
      <c r="P3211">
        <f>IF(ISBLANK(ReconciliationData[[#This Row],[Invoice_ID]]),1,0)</f>
        <v>0</v>
      </c>
      <c r="Q3211">
        <f>IF(AND(NOT(ISBLANK(ReconciliationData[[#This Row],[Billed_Units]])),ReconciliationData[[#This Row],[ordered_units]]&lt;&gt;ReconciliationData[[#This Row],[Billed_Units]]),1,0)</f>
        <v>0</v>
      </c>
      <c r="R32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1">
        <f>IF(AND(NOT(ISBLANK(ReconciliationData[[#This Row],[Contract_Price]])),ReconciliationData[[#This Row],[Billed_Price]]&lt;&gt;ReconciliationData[[#This Row],[Contract_Price]]),1,0)</f>
        <v>0</v>
      </c>
      <c r="T3211">
        <f>IF(AND(NOT(ISBLANK(ReconciliationData[[#This Row],[End_Date]])),ReconciliationData[[#This Row],[Order_Date]]&gt;ReconciliationData[[#This Row],[End_Date]]),1,0)</f>
        <v>0</v>
      </c>
      <c r="U3211">
        <f>IF(AND(NOT(ISBLANK(ReconciliationData[[#This Row],[last_return_date]])),ReconciliationData[[#This Row],[last_return_date]]&gt;ReconciliationData[[#This Row],[Order_Date]]+60),1,0)</f>
        <v>0</v>
      </c>
      <c r="V3211">
        <f>IF(ReconciliationData[[#This Row],[total_returned_units]]&gt;ReconciliationData[[#This Row],[ordered_units]],1,0)</f>
        <v>0</v>
      </c>
      <c r="W32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1">
        <f>ReconciliationData[[#This Row],[Billed_Units]]*ReconciliationData[[#This Row],[Billed_Price]]</f>
        <v>35837.199999999997</v>
      </c>
      <c r="Y3211">
        <f>ReconciliationData[[#This Row],[ordered_units]]*ReconciliationData[[#This Row],[List_Price]]</f>
        <v>35837.199999999997</v>
      </c>
      <c r="Z3211">
        <f>ReconciliationData[[#This Row],[billed_revenue]]-ReconciliationData[[#This Row],[expected_revenue]]</f>
        <v>0</v>
      </c>
      <c r="AA32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1" t="str">
        <f>IF(ReconciliationData[[#This Row],[severity_score]]=0,"LOW",
 IF(ReconciliationData[[#This Row],[severity_score]]&lt;=5,"MEDIUM","HIGH"))</f>
        <v>LOW</v>
      </c>
      <c r="AC3211" t="str">
        <f>TEXT(ReconciliationData[[#This Row],[Order_Date]],"YYYY-MM")</f>
        <v>2023-03</v>
      </c>
    </row>
    <row r="3212" spans="1:29">
      <c r="A3212" t="s">
        <v>7640</v>
      </c>
      <c r="B3212" s="1">
        <v>45105</v>
      </c>
      <c r="C3212" t="s">
        <v>862</v>
      </c>
      <c r="D3212" t="s">
        <v>1309</v>
      </c>
      <c r="E3212">
        <v>154</v>
      </c>
      <c r="F3212" t="s">
        <v>7641</v>
      </c>
      <c r="G3212">
        <v>154</v>
      </c>
      <c r="H3212">
        <v>906.88919999999996</v>
      </c>
      <c r="N3212">
        <v>906.88919999999996</v>
      </c>
      <c r="O3212" s="1">
        <v>44991</v>
      </c>
      <c r="P3212">
        <f>IF(ISBLANK(ReconciliationData[[#This Row],[Invoice_ID]]),1,0)</f>
        <v>0</v>
      </c>
      <c r="Q3212">
        <f>IF(AND(NOT(ISBLANK(ReconciliationData[[#This Row],[Billed_Units]])),ReconciliationData[[#This Row],[ordered_units]]&lt;&gt;ReconciliationData[[#This Row],[Billed_Units]]),1,0)</f>
        <v>0</v>
      </c>
      <c r="R32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2">
        <f>IF(AND(NOT(ISBLANK(ReconciliationData[[#This Row],[Contract_Price]])),ReconciliationData[[#This Row],[Billed_Price]]&lt;&gt;ReconciliationData[[#This Row],[Contract_Price]]),1,0)</f>
        <v>0</v>
      </c>
      <c r="T3212">
        <f>IF(AND(NOT(ISBLANK(ReconciliationData[[#This Row],[End_Date]])),ReconciliationData[[#This Row],[Order_Date]]&gt;ReconciliationData[[#This Row],[End_Date]]),1,0)</f>
        <v>0</v>
      </c>
      <c r="U3212">
        <f>IF(AND(NOT(ISBLANK(ReconciliationData[[#This Row],[last_return_date]])),ReconciliationData[[#This Row],[last_return_date]]&gt;ReconciliationData[[#This Row],[Order_Date]]+60),1,0)</f>
        <v>0</v>
      </c>
      <c r="V3212">
        <f>IF(ReconciliationData[[#This Row],[total_returned_units]]&gt;ReconciliationData[[#This Row],[ordered_units]],1,0)</f>
        <v>0</v>
      </c>
      <c r="W32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2">
        <f>ReconciliationData[[#This Row],[Billed_Units]]*ReconciliationData[[#This Row],[Billed_Price]]</f>
        <v>139660.9368</v>
      </c>
      <c r="Y3212">
        <f>ReconciliationData[[#This Row],[ordered_units]]*ReconciliationData[[#This Row],[List_Price]]</f>
        <v>139660.9368</v>
      </c>
      <c r="Z3212">
        <f>ReconciliationData[[#This Row],[billed_revenue]]-ReconciliationData[[#This Row],[expected_revenue]]</f>
        <v>0</v>
      </c>
      <c r="AA32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2" t="str">
        <f>IF(ReconciliationData[[#This Row],[severity_score]]=0,"LOW",
 IF(ReconciliationData[[#This Row],[severity_score]]&lt;=5,"MEDIUM","HIGH"))</f>
        <v>LOW</v>
      </c>
      <c r="AC3212" t="str">
        <f>TEXT(ReconciliationData[[#This Row],[Order_Date]],"YYYY-MM")</f>
        <v>2023-06</v>
      </c>
    </row>
    <row r="3213" spans="1:29">
      <c r="A3213" t="s">
        <v>7642</v>
      </c>
      <c r="B3213" s="1">
        <v>45412</v>
      </c>
      <c r="C3213" t="s">
        <v>3462</v>
      </c>
      <c r="D3213" t="s">
        <v>764</v>
      </c>
      <c r="E3213">
        <v>161</v>
      </c>
      <c r="F3213" t="s">
        <v>7643</v>
      </c>
      <c r="G3213">
        <v>161</v>
      </c>
      <c r="H3213">
        <v>1220.5917999999999</v>
      </c>
      <c r="N3213">
        <v>1220.5917999999999</v>
      </c>
      <c r="O3213" s="1">
        <v>45153</v>
      </c>
      <c r="P3213">
        <f>IF(ISBLANK(ReconciliationData[[#This Row],[Invoice_ID]]),1,0)</f>
        <v>0</v>
      </c>
      <c r="Q3213">
        <f>IF(AND(NOT(ISBLANK(ReconciliationData[[#This Row],[Billed_Units]])),ReconciliationData[[#This Row],[ordered_units]]&lt;&gt;ReconciliationData[[#This Row],[Billed_Units]]),1,0)</f>
        <v>0</v>
      </c>
      <c r="R32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3">
        <f>IF(AND(NOT(ISBLANK(ReconciliationData[[#This Row],[Contract_Price]])),ReconciliationData[[#This Row],[Billed_Price]]&lt;&gt;ReconciliationData[[#This Row],[Contract_Price]]),1,0)</f>
        <v>0</v>
      </c>
      <c r="T3213">
        <f>IF(AND(NOT(ISBLANK(ReconciliationData[[#This Row],[End_Date]])),ReconciliationData[[#This Row],[Order_Date]]&gt;ReconciliationData[[#This Row],[End_Date]]),1,0)</f>
        <v>0</v>
      </c>
      <c r="U3213">
        <f>IF(AND(NOT(ISBLANK(ReconciliationData[[#This Row],[last_return_date]])),ReconciliationData[[#This Row],[last_return_date]]&gt;ReconciliationData[[#This Row],[Order_Date]]+60),1,0)</f>
        <v>0</v>
      </c>
      <c r="V3213">
        <f>IF(ReconciliationData[[#This Row],[total_returned_units]]&gt;ReconciliationData[[#This Row],[ordered_units]],1,0)</f>
        <v>0</v>
      </c>
      <c r="W32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3">
        <f>ReconciliationData[[#This Row],[Billed_Units]]*ReconciliationData[[#This Row],[Billed_Price]]</f>
        <v>196515.27979999999</v>
      </c>
      <c r="Y3213">
        <f>ReconciliationData[[#This Row],[ordered_units]]*ReconciliationData[[#This Row],[List_Price]]</f>
        <v>196515.27979999999</v>
      </c>
      <c r="Z3213">
        <f>ReconciliationData[[#This Row],[billed_revenue]]-ReconciliationData[[#This Row],[expected_revenue]]</f>
        <v>0</v>
      </c>
      <c r="AA32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3" t="str">
        <f>IF(ReconciliationData[[#This Row],[severity_score]]=0,"LOW",
 IF(ReconciliationData[[#This Row],[severity_score]]&lt;=5,"MEDIUM","HIGH"))</f>
        <v>LOW</v>
      </c>
      <c r="AC3213" t="str">
        <f>TEXT(ReconciliationData[[#This Row],[Order_Date]],"YYYY-MM")</f>
        <v>2024-04</v>
      </c>
    </row>
    <row r="3214" spans="1:29">
      <c r="A3214" t="s">
        <v>7644</v>
      </c>
      <c r="B3214" s="1">
        <v>45238</v>
      </c>
      <c r="C3214" t="s">
        <v>2899</v>
      </c>
      <c r="D3214" t="s">
        <v>3256</v>
      </c>
      <c r="E3214">
        <v>156</v>
      </c>
      <c r="F3214" t="s">
        <v>7645</v>
      </c>
      <c r="G3214">
        <v>156</v>
      </c>
      <c r="H3214">
        <v>1159.732</v>
      </c>
      <c r="I3214">
        <v>18</v>
      </c>
      <c r="J3214" s="1">
        <v>45264</v>
      </c>
      <c r="N3214">
        <v>1159.732</v>
      </c>
      <c r="O3214" s="1">
        <v>45032</v>
      </c>
      <c r="P3214">
        <f>IF(ISBLANK(ReconciliationData[[#This Row],[Invoice_ID]]),1,0)</f>
        <v>0</v>
      </c>
      <c r="Q3214">
        <f>IF(AND(NOT(ISBLANK(ReconciliationData[[#This Row],[Billed_Units]])),ReconciliationData[[#This Row],[ordered_units]]&lt;&gt;ReconciliationData[[#This Row],[Billed_Units]]),1,0)</f>
        <v>0</v>
      </c>
      <c r="R32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4">
        <f>IF(AND(NOT(ISBLANK(ReconciliationData[[#This Row],[Contract_Price]])),ReconciliationData[[#This Row],[Billed_Price]]&lt;&gt;ReconciliationData[[#This Row],[Contract_Price]]),1,0)</f>
        <v>0</v>
      </c>
      <c r="T3214">
        <f>IF(AND(NOT(ISBLANK(ReconciliationData[[#This Row],[End_Date]])),ReconciliationData[[#This Row],[Order_Date]]&gt;ReconciliationData[[#This Row],[End_Date]]),1,0)</f>
        <v>0</v>
      </c>
      <c r="U3214">
        <f>IF(AND(NOT(ISBLANK(ReconciliationData[[#This Row],[last_return_date]])),ReconciliationData[[#This Row],[last_return_date]]&gt;ReconciliationData[[#This Row],[Order_Date]]+60),1,0)</f>
        <v>0</v>
      </c>
      <c r="V3214">
        <f>IF(ReconciliationData[[#This Row],[total_returned_units]]&gt;ReconciliationData[[#This Row],[ordered_units]],1,0)</f>
        <v>0</v>
      </c>
      <c r="W32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4">
        <f>ReconciliationData[[#This Row],[Billed_Units]]*ReconciliationData[[#This Row],[Billed_Price]]</f>
        <v>180918.19199999998</v>
      </c>
      <c r="Y3214">
        <f>ReconciliationData[[#This Row],[ordered_units]]*ReconciliationData[[#This Row],[List_Price]]</f>
        <v>180918.19199999998</v>
      </c>
      <c r="Z3214">
        <f>ReconciliationData[[#This Row],[billed_revenue]]-ReconciliationData[[#This Row],[expected_revenue]]</f>
        <v>0</v>
      </c>
      <c r="AA32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4" t="str">
        <f>IF(ReconciliationData[[#This Row],[severity_score]]=0,"LOW",
 IF(ReconciliationData[[#This Row],[severity_score]]&lt;=5,"MEDIUM","HIGH"))</f>
        <v>LOW</v>
      </c>
      <c r="AC3214" t="str">
        <f>TEXT(ReconciliationData[[#This Row],[Order_Date]],"YYYY-MM")</f>
        <v>2023-11</v>
      </c>
    </row>
    <row r="3215" spans="1:29">
      <c r="A3215" t="s">
        <v>7646</v>
      </c>
      <c r="B3215" s="1">
        <v>45557</v>
      </c>
      <c r="C3215" t="s">
        <v>4875</v>
      </c>
      <c r="D3215" t="s">
        <v>930</v>
      </c>
      <c r="E3215">
        <v>193</v>
      </c>
      <c r="F3215" t="s">
        <v>7647</v>
      </c>
      <c r="G3215">
        <v>193</v>
      </c>
      <c r="H3215">
        <v>159.06059999999999</v>
      </c>
      <c r="N3215">
        <v>159.06059999999999</v>
      </c>
      <c r="O3215" s="1">
        <v>44944</v>
      </c>
      <c r="P3215">
        <f>IF(ISBLANK(ReconciliationData[[#This Row],[Invoice_ID]]),1,0)</f>
        <v>0</v>
      </c>
      <c r="Q3215">
        <f>IF(AND(NOT(ISBLANK(ReconciliationData[[#This Row],[Billed_Units]])),ReconciliationData[[#This Row],[ordered_units]]&lt;&gt;ReconciliationData[[#This Row],[Billed_Units]]),1,0)</f>
        <v>0</v>
      </c>
      <c r="R32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5">
        <f>IF(AND(NOT(ISBLANK(ReconciliationData[[#This Row],[Contract_Price]])),ReconciliationData[[#This Row],[Billed_Price]]&lt;&gt;ReconciliationData[[#This Row],[Contract_Price]]),1,0)</f>
        <v>0</v>
      </c>
      <c r="T3215">
        <f>IF(AND(NOT(ISBLANK(ReconciliationData[[#This Row],[End_Date]])),ReconciliationData[[#This Row],[Order_Date]]&gt;ReconciliationData[[#This Row],[End_Date]]),1,0)</f>
        <v>0</v>
      </c>
      <c r="U3215">
        <f>IF(AND(NOT(ISBLANK(ReconciliationData[[#This Row],[last_return_date]])),ReconciliationData[[#This Row],[last_return_date]]&gt;ReconciliationData[[#This Row],[Order_Date]]+60),1,0)</f>
        <v>0</v>
      </c>
      <c r="V3215">
        <f>IF(ReconciliationData[[#This Row],[total_returned_units]]&gt;ReconciliationData[[#This Row],[ordered_units]],1,0)</f>
        <v>0</v>
      </c>
      <c r="W32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5">
        <f>ReconciliationData[[#This Row],[Billed_Units]]*ReconciliationData[[#This Row],[Billed_Price]]</f>
        <v>30698.695799999998</v>
      </c>
      <c r="Y3215">
        <f>ReconciliationData[[#This Row],[ordered_units]]*ReconciliationData[[#This Row],[List_Price]]</f>
        <v>30698.695799999998</v>
      </c>
      <c r="Z3215">
        <f>ReconciliationData[[#This Row],[billed_revenue]]-ReconciliationData[[#This Row],[expected_revenue]]</f>
        <v>0</v>
      </c>
      <c r="AA32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5" t="str">
        <f>IF(ReconciliationData[[#This Row],[severity_score]]=0,"LOW",
 IF(ReconciliationData[[#This Row],[severity_score]]&lt;=5,"MEDIUM","HIGH"))</f>
        <v>LOW</v>
      </c>
      <c r="AC3215" t="str">
        <f>TEXT(ReconciliationData[[#This Row],[Order_Date]],"YYYY-MM")</f>
        <v>2024-09</v>
      </c>
    </row>
    <row r="3216" spans="1:29">
      <c r="A3216" t="s">
        <v>7648</v>
      </c>
      <c r="B3216" s="1">
        <v>45375</v>
      </c>
      <c r="C3216" t="s">
        <v>418</v>
      </c>
      <c r="D3216" t="s">
        <v>374</v>
      </c>
      <c r="E3216">
        <v>6</v>
      </c>
      <c r="F3216" t="s">
        <v>7649</v>
      </c>
      <c r="G3216">
        <v>6</v>
      </c>
      <c r="H3216">
        <v>517.39100000000008</v>
      </c>
      <c r="N3216">
        <v>517.39100000000008</v>
      </c>
      <c r="O3216" s="1">
        <v>45045</v>
      </c>
      <c r="P3216">
        <f>IF(ISBLANK(ReconciliationData[[#This Row],[Invoice_ID]]),1,0)</f>
        <v>0</v>
      </c>
      <c r="Q3216">
        <f>IF(AND(NOT(ISBLANK(ReconciliationData[[#This Row],[Billed_Units]])),ReconciliationData[[#This Row],[ordered_units]]&lt;&gt;ReconciliationData[[#This Row],[Billed_Units]]),1,0)</f>
        <v>0</v>
      </c>
      <c r="R32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6">
        <f>IF(AND(NOT(ISBLANK(ReconciliationData[[#This Row],[Contract_Price]])),ReconciliationData[[#This Row],[Billed_Price]]&lt;&gt;ReconciliationData[[#This Row],[Contract_Price]]),1,0)</f>
        <v>0</v>
      </c>
      <c r="T3216">
        <f>IF(AND(NOT(ISBLANK(ReconciliationData[[#This Row],[End_Date]])),ReconciliationData[[#This Row],[Order_Date]]&gt;ReconciliationData[[#This Row],[End_Date]]),1,0)</f>
        <v>0</v>
      </c>
      <c r="U3216">
        <f>IF(AND(NOT(ISBLANK(ReconciliationData[[#This Row],[last_return_date]])),ReconciliationData[[#This Row],[last_return_date]]&gt;ReconciliationData[[#This Row],[Order_Date]]+60),1,0)</f>
        <v>0</v>
      </c>
      <c r="V3216">
        <f>IF(ReconciliationData[[#This Row],[total_returned_units]]&gt;ReconciliationData[[#This Row],[ordered_units]],1,0)</f>
        <v>0</v>
      </c>
      <c r="W32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6">
        <f>ReconciliationData[[#This Row],[Billed_Units]]*ReconciliationData[[#This Row],[Billed_Price]]</f>
        <v>3104.3460000000005</v>
      </c>
      <c r="Y3216">
        <f>ReconciliationData[[#This Row],[ordered_units]]*ReconciliationData[[#This Row],[List_Price]]</f>
        <v>3104.3460000000005</v>
      </c>
      <c r="Z3216">
        <f>ReconciliationData[[#This Row],[billed_revenue]]-ReconciliationData[[#This Row],[expected_revenue]]</f>
        <v>0</v>
      </c>
      <c r="AA32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6" t="str">
        <f>IF(ReconciliationData[[#This Row],[severity_score]]=0,"LOW",
 IF(ReconciliationData[[#This Row],[severity_score]]&lt;=5,"MEDIUM","HIGH"))</f>
        <v>LOW</v>
      </c>
      <c r="AC3216" t="str">
        <f>TEXT(ReconciliationData[[#This Row],[Order_Date]],"YYYY-MM")</f>
        <v>2024-03</v>
      </c>
    </row>
    <row r="3217" spans="1:29">
      <c r="A3217" t="s">
        <v>7650</v>
      </c>
      <c r="B3217" s="1">
        <v>45389</v>
      </c>
      <c r="C3217" t="s">
        <v>1043</v>
      </c>
      <c r="D3217" t="s">
        <v>930</v>
      </c>
      <c r="E3217">
        <v>74</v>
      </c>
      <c r="F3217" t="s">
        <v>7651</v>
      </c>
      <c r="G3217">
        <v>74</v>
      </c>
      <c r="H3217">
        <v>159.06059999999999</v>
      </c>
      <c r="N3217">
        <v>159.06059999999999</v>
      </c>
      <c r="O3217" s="1">
        <v>44944</v>
      </c>
      <c r="P3217">
        <f>IF(ISBLANK(ReconciliationData[[#This Row],[Invoice_ID]]),1,0)</f>
        <v>0</v>
      </c>
      <c r="Q3217">
        <f>IF(AND(NOT(ISBLANK(ReconciliationData[[#This Row],[Billed_Units]])),ReconciliationData[[#This Row],[ordered_units]]&lt;&gt;ReconciliationData[[#This Row],[Billed_Units]]),1,0)</f>
        <v>0</v>
      </c>
      <c r="R32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7">
        <f>IF(AND(NOT(ISBLANK(ReconciliationData[[#This Row],[Contract_Price]])),ReconciliationData[[#This Row],[Billed_Price]]&lt;&gt;ReconciliationData[[#This Row],[Contract_Price]]),1,0)</f>
        <v>0</v>
      </c>
      <c r="T3217">
        <f>IF(AND(NOT(ISBLANK(ReconciliationData[[#This Row],[End_Date]])),ReconciliationData[[#This Row],[Order_Date]]&gt;ReconciliationData[[#This Row],[End_Date]]),1,0)</f>
        <v>0</v>
      </c>
      <c r="U3217">
        <f>IF(AND(NOT(ISBLANK(ReconciliationData[[#This Row],[last_return_date]])),ReconciliationData[[#This Row],[last_return_date]]&gt;ReconciliationData[[#This Row],[Order_Date]]+60),1,0)</f>
        <v>0</v>
      </c>
      <c r="V3217">
        <f>IF(ReconciliationData[[#This Row],[total_returned_units]]&gt;ReconciliationData[[#This Row],[ordered_units]],1,0)</f>
        <v>0</v>
      </c>
      <c r="W32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7">
        <f>ReconciliationData[[#This Row],[Billed_Units]]*ReconciliationData[[#This Row],[Billed_Price]]</f>
        <v>11770.484399999999</v>
      </c>
      <c r="Y3217">
        <f>ReconciliationData[[#This Row],[ordered_units]]*ReconciliationData[[#This Row],[List_Price]]</f>
        <v>11770.484399999999</v>
      </c>
      <c r="Z3217">
        <f>ReconciliationData[[#This Row],[billed_revenue]]-ReconciliationData[[#This Row],[expected_revenue]]</f>
        <v>0</v>
      </c>
      <c r="AA32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7" t="str">
        <f>IF(ReconciliationData[[#This Row],[severity_score]]=0,"LOW",
 IF(ReconciliationData[[#This Row],[severity_score]]&lt;=5,"MEDIUM","HIGH"))</f>
        <v>LOW</v>
      </c>
      <c r="AC3217" t="str">
        <f>TEXT(ReconciliationData[[#This Row],[Order_Date]],"YYYY-MM")</f>
        <v>2024-04</v>
      </c>
    </row>
    <row r="3218" spans="1:29">
      <c r="A3218" t="s">
        <v>7652</v>
      </c>
      <c r="B3218" s="1">
        <v>45317</v>
      </c>
      <c r="C3218" t="s">
        <v>580</v>
      </c>
      <c r="D3218" t="s">
        <v>2489</v>
      </c>
      <c r="E3218">
        <v>131</v>
      </c>
      <c r="F3218" t="s">
        <v>7653</v>
      </c>
      <c r="G3218">
        <v>131</v>
      </c>
      <c r="H3218">
        <v>544.5</v>
      </c>
      <c r="N3218">
        <v>544.5</v>
      </c>
      <c r="O3218" s="1">
        <v>45159</v>
      </c>
      <c r="P3218">
        <f>IF(ISBLANK(ReconciliationData[[#This Row],[Invoice_ID]]),1,0)</f>
        <v>0</v>
      </c>
      <c r="Q3218">
        <f>IF(AND(NOT(ISBLANK(ReconciliationData[[#This Row],[Billed_Units]])),ReconciliationData[[#This Row],[ordered_units]]&lt;&gt;ReconciliationData[[#This Row],[Billed_Units]]),1,0)</f>
        <v>0</v>
      </c>
      <c r="R32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8">
        <f>IF(AND(NOT(ISBLANK(ReconciliationData[[#This Row],[Contract_Price]])),ReconciliationData[[#This Row],[Billed_Price]]&lt;&gt;ReconciliationData[[#This Row],[Contract_Price]]),1,0)</f>
        <v>0</v>
      </c>
      <c r="T3218">
        <f>IF(AND(NOT(ISBLANK(ReconciliationData[[#This Row],[End_Date]])),ReconciliationData[[#This Row],[Order_Date]]&gt;ReconciliationData[[#This Row],[End_Date]]),1,0)</f>
        <v>0</v>
      </c>
      <c r="U3218">
        <f>IF(AND(NOT(ISBLANK(ReconciliationData[[#This Row],[last_return_date]])),ReconciliationData[[#This Row],[last_return_date]]&gt;ReconciliationData[[#This Row],[Order_Date]]+60),1,0)</f>
        <v>0</v>
      </c>
      <c r="V3218">
        <f>IF(ReconciliationData[[#This Row],[total_returned_units]]&gt;ReconciliationData[[#This Row],[ordered_units]],1,0)</f>
        <v>0</v>
      </c>
      <c r="W32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8">
        <f>ReconciliationData[[#This Row],[Billed_Units]]*ReconciliationData[[#This Row],[Billed_Price]]</f>
        <v>71329.5</v>
      </c>
      <c r="Y3218">
        <f>ReconciliationData[[#This Row],[ordered_units]]*ReconciliationData[[#This Row],[List_Price]]</f>
        <v>71329.5</v>
      </c>
      <c r="Z3218">
        <f>ReconciliationData[[#This Row],[billed_revenue]]-ReconciliationData[[#This Row],[expected_revenue]]</f>
        <v>0</v>
      </c>
      <c r="AA32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8" t="str">
        <f>IF(ReconciliationData[[#This Row],[severity_score]]=0,"LOW",
 IF(ReconciliationData[[#This Row],[severity_score]]&lt;=5,"MEDIUM","HIGH"))</f>
        <v>LOW</v>
      </c>
      <c r="AC3218" t="str">
        <f>TEXT(ReconciliationData[[#This Row],[Order_Date]],"YYYY-MM")</f>
        <v>2024-01</v>
      </c>
    </row>
    <row r="3219" spans="1:29">
      <c r="A3219" t="s">
        <v>7654</v>
      </c>
      <c r="B3219" s="1">
        <v>45512</v>
      </c>
      <c r="C3219" t="s">
        <v>2291</v>
      </c>
      <c r="D3219" t="s">
        <v>1322</v>
      </c>
      <c r="E3219">
        <v>103</v>
      </c>
      <c r="F3219" t="s">
        <v>7655</v>
      </c>
      <c r="G3219">
        <v>103</v>
      </c>
      <c r="H3219">
        <v>69.45</v>
      </c>
      <c r="N3219">
        <v>69.45</v>
      </c>
      <c r="O3219" s="1">
        <v>45169</v>
      </c>
      <c r="P3219">
        <f>IF(ISBLANK(ReconciliationData[[#This Row],[Invoice_ID]]),1,0)</f>
        <v>0</v>
      </c>
      <c r="Q3219">
        <f>IF(AND(NOT(ISBLANK(ReconciliationData[[#This Row],[Billed_Units]])),ReconciliationData[[#This Row],[ordered_units]]&lt;&gt;ReconciliationData[[#This Row],[Billed_Units]]),1,0)</f>
        <v>0</v>
      </c>
      <c r="R32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19">
        <f>IF(AND(NOT(ISBLANK(ReconciliationData[[#This Row],[Contract_Price]])),ReconciliationData[[#This Row],[Billed_Price]]&lt;&gt;ReconciliationData[[#This Row],[Contract_Price]]),1,0)</f>
        <v>0</v>
      </c>
      <c r="T3219">
        <f>IF(AND(NOT(ISBLANK(ReconciliationData[[#This Row],[End_Date]])),ReconciliationData[[#This Row],[Order_Date]]&gt;ReconciliationData[[#This Row],[End_Date]]),1,0)</f>
        <v>0</v>
      </c>
      <c r="U3219">
        <f>IF(AND(NOT(ISBLANK(ReconciliationData[[#This Row],[last_return_date]])),ReconciliationData[[#This Row],[last_return_date]]&gt;ReconciliationData[[#This Row],[Order_Date]]+60),1,0)</f>
        <v>0</v>
      </c>
      <c r="V3219">
        <f>IF(ReconciliationData[[#This Row],[total_returned_units]]&gt;ReconciliationData[[#This Row],[ordered_units]],1,0)</f>
        <v>0</v>
      </c>
      <c r="W32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19">
        <f>ReconciliationData[[#This Row],[Billed_Units]]*ReconciliationData[[#This Row],[Billed_Price]]</f>
        <v>7153.35</v>
      </c>
      <c r="Y3219">
        <f>ReconciliationData[[#This Row],[ordered_units]]*ReconciliationData[[#This Row],[List_Price]]</f>
        <v>7153.35</v>
      </c>
      <c r="Z3219">
        <f>ReconciliationData[[#This Row],[billed_revenue]]-ReconciliationData[[#This Row],[expected_revenue]]</f>
        <v>0</v>
      </c>
      <c r="AA32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19" t="str">
        <f>IF(ReconciliationData[[#This Row],[severity_score]]=0,"LOW",
 IF(ReconciliationData[[#This Row],[severity_score]]&lt;=5,"MEDIUM","HIGH"))</f>
        <v>LOW</v>
      </c>
      <c r="AC3219" t="str">
        <f>TEXT(ReconciliationData[[#This Row],[Order_Date]],"YYYY-MM")</f>
        <v>2024-08</v>
      </c>
    </row>
    <row r="3220" spans="1:29">
      <c r="A3220" t="s">
        <v>7656</v>
      </c>
      <c r="B3220" s="1">
        <v>45409</v>
      </c>
      <c r="C3220" t="s">
        <v>278</v>
      </c>
      <c r="D3220" t="s">
        <v>1525</v>
      </c>
      <c r="E3220">
        <v>113</v>
      </c>
      <c r="F3220" t="s">
        <v>7657</v>
      </c>
      <c r="G3220">
        <v>113</v>
      </c>
      <c r="H3220">
        <v>1067.6925000000001</v>
      </c>
      <c r="N3220">
        <v>1067.6925000000001</v>
      </c>
      <c r="O3220" s="1">
        <v>44999</v>
      </c>
      <c r="P3220">
        <f>IF(ISBLANK(ReconciliationData[[#This Row],[Invoice_ID]]),1,0)</f>
        <v>0</v>
      </c>
      <c r="Q3220">
        <f>IF(AND(NOT(ISBLANK(ReconciliationData[[#This Row],[Billed_Units]])),ReconciliationData[[#This Row],[ordered_units]]&lt;&gt;ReconciliationData[[#This Row],[Billed_Units]]),1,0)</f>
        <v>0</v>
      </c>
      <c r="R32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0">
        <f>IF(AND(NOT(ISBLANK(ReconciliationData[[#This Row],[Contract_Price]])),ReconciliationData[[#This Row],[Billed_Price]]&lt;&gt;ReconciliationData[[#This Row],[Contract_Price]]),1,0)</f>
        <v>0</v>
      </c>
      <c r="T3220">
        <f>IF(AND(NOT(ISBLANK(ReconciliationData[[#This Row],[End_Date]])),ReconciliationData[[#This Row],[Order_Date]]&gt;ReconciliationData[[#This Row],[End_Date]]),1,0)</f>
        <v>0</v>
      </c>
      <c r="U3220">
        <f>IF(AND(NOT(ISBLANK(ReconciliationData[[#This Row],[last_return_date]])),ReconciliationData[[#This Row],[last_return_date]]&gt;ReconciliationData[[#This Row],[Order_Date]]+60),1,0)</f>
        <v>0</v>
      </c>
      <c r="V3220">
        <f>IF(ReconciliationData[[#This Row],[total_returned_units]]&gt;ReconciliationData[[#This Row],[ordered_units]],1,0)</f>
        <v>0</v>
      </c>
      <c r="W32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0">
        <f>ReconciliationData[[#This Row],[Billed_Units]]*ReconciliationData[[#This Row],[Billed_Price]]</f>
        <v>120649.25250000002</v>
      </c>
      <c r="Y3220">
        <f>ReconciliationData[[#This Row],[ordered_units]]*ReconciliationData[[#This Row],[List_Price]]</f>
        <v>120649.25250000002</v>
      </c>
      <c r="Z3220">
        <f>ReconciliationData[[#This Row],[billed_revenue]]-ReconciliationData[[#This Row],[expected_revenue]]</f>
        <v>0</v>
      </c>
      <c r="AA32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0" t="str">
        <f>IF(ReconciliationData[[#This Row],[severity_score]]=0,"LOW",
 IF(ReconciliationData[[#This Row],[severity_score]]&lt;=5,"MEDIUM","HIGH"))</f>
        <v>LOW</v>
      </c>
      <c r="AC3220" t="str">
        <f>TEXT(ReconciliationData[[#This Row],[Order_Date]],"YYYY-MM")</f>
        <v>2024-04</v>
      </c>
    </row>
    <row r="3221" spans="1:29">
      <c r="A3221" t="s">
        <v>7658</v>
      </c>
      <c r="B3221" s="1">
        <v>45642</v>
      </c>
      <c r="C3221" t="s">
        <v>418</v>
      </c>
      <c r="D3221" t="s">
        <v>544</v>
      </c>
      <c r="E3221">
        <v>53</v>
      </c>
      <c r="F3221" t="s">
        <v>7659</v>
      </c>
      <c r="G3221">
        <v>53</v>
      </c>
      <c r="H3221">
        <v>765.52319999999997</v>
      </c>
      <c r="N3221">
        <v>765.52319999999997</v>
      </c>
      <c r="O3221" s="1">
        <v>45174</v>
      </c>
      <c r="P3221">
        <f>IF(ISBLANK(ReconciliationData[[#This Row],[Invoice_ID]]),1,0)</f>
        <v>0</v>
      </c>
      <c r="Q3221">
        <f>IF(AND(NOT(ISBLANK(ReconciliationData[[#This Row],[Billed_Units]])),ReconciliationData[[#This Row],[ordered_units]]&lt;&gt;ReconciliationData[[#This Row],[Billed_Units]]),1,0)</f>
        <v>0</v>
      </c>
      <c r="R32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1">
        <f>IF(AND(NOT(ISBLANK(ReconciliationData[[#This Row],[Contract_Price]])),ReconciliationData[[#This Row],[Billed_Price]]&lt;&gt;ReconciliationData[[#This Row],[Contract_Price]]),1,0)</f>
        <v>0</v>
      </c>
      <c r="T3221">
        <f>IF(AND(NOT(ISBLANK(ReconciliationData[[#This Row],[End_Date]])),ReconciliationData[[#This Row],[Order_Date]]&gt;ReconciliationData[[#This Row],[End_Date]]),1,0)</f>
        <v>0</v>
      </c>
      <c r="U3221">
        <f>IF(AND(NOT(ISBLANK(ReconciliationData[[#This Row],[last_return_date]])),ReconciliationData[[#This Row],[last_return_date]]&gt;ReconciliationData[[#This Row],[Order_Date]]+60),1,0)</f>
        <v>0</v>
      </c>
      <c r="V3221">
        <f>IF(ReconciliationData[[#This Row],[total_returned_units]]&gt;ReconciliationData[[#This Row],[ordered_units]],1,0)</f>
        <v>0</v>
      </c>
      <c r="W32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1">
        <f>ReconciliationData[[#This Row],[Billed_Units]]*ReconciliationData[[#This Row],[Billed_Price]]</f>
        <v>40572.729599999999</v>
      </c>
      <c r="Y3221">
        <f>ReconciliationData[[#This Row],[ordered_units]]*ReconciliationData[[#This Row],[List_Price]]</f>
        <v>40572.729599999999</v>
      </c>
      <c r="Z3221">
        <f>ReconciliationData[[#This Row],[billed_revenue]]-ReconciliationData[[#This Row],[expected_revenue]]</f>
        <v>0</v>
      </c>
      <c r="AA32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1" t="str">
        <f>IF(ReconciliationData[[#This Row],[severity_score]]=0,"LOW",
 IF(ReconciliationData[[#This Row],[severity_score]]&lt;=5,"MEDIUM","HIGH"))</f>
        <v>LOW</v>
      </c>
      <c r="AC3221" t="str">
        <f>TEXT(ReconciliationData[[#This Row],[Order_Date]],"YYYY-MM")</f>
        <v>2024-12</v>
      </c>
    </row>
    <row r="3222" spans="1:29">
      <c r="A3222" t="s">
        <v>7660</v>
      </c>
      <c r="B3222" s="1">
        <v>45478</v>
      </c>
      <c r="C3222" t="s">
        <v>4167</v>
      </c>
      <c r="D3222" t="s">
        <v>1285</v>
      </c>
      <c r="E3222">
        <v>168</v>
      </c>
      <c r="F3222" t="s">
        <v>7661</v>
      </c>
      <c r="G3222">
        <v>168</v>
      </c>
      <c r="H3222">
        <v>415.8877</v>
      </c>
      <c r="N3222">
        <v>415.8877</v>
      </c>
      <c r="O3222" s="1">
        <v>45146</v>
      </c>
      <c r="P3222">
        <f>IF(ISBLANK(ReconciliationData[[#This Row],[Invoice_ID]]),1,0)</f>
        <v>0</v>
      </c>
      <c r="Q3222">
        <f>IF(AND(NOT(ISBLANK(ReconciliationData[[#This Row],[Billed_Units]])),ReconciliationData[[#This Row],[ordered_units]]&lt;&gt;ReconciliationData[[#This Row],[Billed_Units]]),1,0)</f>
        <v>0</v>
      </c>
      <c r="R32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2">
        <f>IF(AND(NOT(ISBLANK(ReconciliationData[[#This Row],[Contract_Price]])),ReconciliationData[[#This Row],[Billed_Price]]&lt;&gt;ReconciliationData[[#This Row],[Contract_Price]]),1,0)</f>
        <v>0</v>
      </c>
      <c r="T3222">
        <f>IF(AND(NOT(ISBLANK(ReconciliationData[[#This Row],[End_Date]])),ReconciliationData[[#This Row],[Order_Date]]&gt;ReconciliationData[[#This Row],[End_Date]]),1,0)</f>
        <v>0</v>
      </c>
      <c r="U3222">
        <f>IF(AND(NOT(ISBLANK(ReconciliationData[[#This Row],[last_return_date]])),ReconciliationData[[#This Row],[last_return_date]]&gt;ReconciliationData[[#This Row],[Order_Date]]+60),1,0)</f>
        <v>0</v>
      </c>
      <c r="V3222">
        <f>IF(ReconciliationData[[#This Row],[total_returned_units]]&gt;ReconciliationData[[#This Row],[ordered_units]],1,0)</f>
        <v>0</v>
      </c>
      <c r="W32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2">
        <f>ReconciliationData[[#This Row],[Billed_Units]]*ReconciliationData[[#This Row],[Billed_Price]]</f>
        <v>69869.133600000001</v>
      </c>
      <c r="Y3222">
        <f>ReconciliationData[[#This Row],[ordered_units]]*ReconciliationData[[#This Row],[List_Price]]</f>
        <v>69869.133600000001</v>
      </c>
      <c r="Z3222">
        <f>ReconciliationData[[#This Row],[billed_revenue]]-ReconciliationData[[#This Row],[expected_revenue]]</f>
        <v>0</v>
      </c>
      <c r="AA32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2" t="str">
        <f>IF(ReconciliationData[[#This Row],[severity_score]]=0,"LOW",
 IF(ReconciliationData[[#This Row],[severity_score]]&lt;=5,"MEDIUM","HIGH"))</f>
        <v>LOW</v>
      </c>
      <c r="AC3222" t="str">
        <f>TEXT(ReconciliationData[[#This Row],[Order_Date]],"YYYY-MM")</f>
        <v>2024-07</v>
      </c>
    </row>
    <row r="3223" spans="1:29">
      <c r="A3223" t="s">
        <v>7662</v>
      </c>
      <c r="B3223" s="1">
        <v>45478</v>
      </c>
      <c r="C3223" t="s">
        <v>4060</v>
      </c>
      <c r="D3223" t="s">
        <v>1007</v>
      </c>
      <c r="E3223">
        <v>165</v>
      </c>
      <c r="F3223" t="s">
        <v>7663</v>
      </c>
      <c r="G3223">
        <v>165</v>
      </c>
      <c r="H3223">
        <v>115.0735</v>
      </c>
      <c r="N3223">
        <v>115.0735</v>
      </c>
      <c r="O3223" s="1">
        <v>45227</v>
      </c>
      <c r="P3223">
        <f>IF(ISBLANK(ReconciliationData[[#This Row],[Invoice_ID]]),1,0)</f>
        <v>0</v>
      </c>
      <c r="Q3223">
        <f>IF(AND(NOT(ISBLANK(ReconciliationData[[#This Row],[Billed_Units]])),ReconciliationData[[#This Row],[ordered_units]]&lt;&gt;ReconciliationData[[#This Row],[Billed_Units]]),1,0)</f>
        <v>0</v>
      </c>
      <c r="R32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3">
        <f>IF(AND(NOT(ISBLANK(ReconciliationData[[#This Row],[Contract_Price]])),ReconciliationData[[#This Row],[Billed_Price]]&lt;&gt;ReconciliationData[[#This Row],[Contract_Price]]),1,0)</f>
        <v>0</v>
      </c>
      <c r="T3223">
        <f>IF(AND(NOT(ISBLANK(ReconciliationData[[#This Row],[End_Date]])),ReconciliationData[[#This Row],[Order_Date]]&gt;ReconciliationData[[#This Row],[End_Date]]),1,0)</f>
        <v>0</v>
      </c>
      <c r="U3223">
        <f>IF(AND(NOT(ISBLANK(ReconciliationData[[#This Row],[last_return_date]])),ReconciliationData[[#This Row],[last_return_date]]&gt;ReconciliationData[[#This Row],[Order_Date]]+60),1,0)</f>
        <v>0</v>
      </c>
      <c r="V3223">
        <f>IF(ReconciliationData[[#This Row],[total_returned_units]]&gt;ReconciliationData[[#This Row],[ordered_units]],1,0)</f>
        <v>0</v>
      </c>
      <c r="W32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3">
        <f>ReconciliationData[[#This Row],[Billed_Units]]*ReconciliationData[[#This Row],[Billed_Price]]</f>
        <v>18987.127499999999</v>
      </c>
      <c r="Y3223">
        <f>ReconciliationData[[#This Row],[ordered_units]]*ReconciliationData[[#This Row],[List_Price]]</f>
        <v>18987.127499999999</v>
      </c>
      <c r="Z3223">
        <f>ReconciliationData[[#This Row],[billed_revenue]]-ReconciliationData[[#This Row],[expected_revenue]]</f>
        <v>0</v>
      </c>
      <c r="AA32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3" t="str">
        <f>IF(ReconciliationData[[#This Row],[severity_score]]=0,"LOW",
 IF(ReconciliationData[[#This Row],[severity_score]]&lt;=5,"MEDIUM","HIGH"))</f>
        <v>LOW</v>
      </c>
      <c r="AC3223" t="str">
        <f>TEXT(ReconciliationData[[#This Row],[Order_Date]],"YYYY-MM")</f>
        <v>2024-07</v>
      </c>
    </row>
    <row r="3224" spans="1:29">
      <c r="A3224" t="s">
        <v>7664</v>
      </c>
      <c r="B3224" s="1">
        <v>45517</v>
      </c>
      <c r="C3224" t="s">
        <v>2420</v>
      </c>
      <c r="D3224" t="s">
        <v>1945</v>
      </c>
      <c r="E3224">
        <v>123</v>
      </c>
      <c r="F3224" t="s">
        <v>7665</v>
      </c>
      <c r="G3224">
        <v>123</v>
      </c>
      <c r="H3224">
        <v>1178.6880000000001</v>
      </c>
      <c r="N3224">
        <v>1178.6880000000001</v>
      </c>
      <c r="O3224" s="1">
        <v>44930</v>
      </c>
      <c r="P3224">
        <f>IF(ISBLANK(ReconciliationData[[#This Row],[Invoice_ID]]),1,0)</f>
        <v>0</v>
      </c>
      <c r="Q3224">
        <f>IF(AND(NOT(ISBLANK(ReconciliationData[[#This Row],[Billed_Units]])),ReconciliationData[[#This Row],[ordered_units]]&lt;&gt;ReconciliationData[[#This Row],[Billed_Units]]),1,0)</f>
        <v>0</v>
      </c>
      <c r="R32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4">
        <f>IF(AND(NOT(ISBLANK(ReconciliationData[[#This Row],[Contract_Price]])),ReconciliationData[[#This Row],[Billed_Price]]&lt;&gt;ReconciliationData[[#This Row],[Contract_Price]]),1,0)</f>
        <v>0</v>
      </c>
      <c r="T3224">
        <f>IF(AND(NOT(ISBLANK(ReconciliationData[[#This Row],[End_Date]])),ReconciliationData[[#This Row],[Order_Date]]&gt;ReconciliationData[[#This Row],[End_Date]]),1,0)</f>
        <v>0</v>
      </c>
      <c r="U3224">
        <f>IF(AND(NOT(ISBLANK(ReconciliationData[[#This Row],[last_return_date]])),ReconciliationData[[#This Row],[last_return_date]]&gt;ReconciliationData[[#This Row],[Order_Date]]+60),1,0)</f>
        <v>0</v>
      </c>
      <c r="V3224">
        <f>IF(ReconciliationData[[#This Row],[total_returned_units]]&gt;ReconciliationData[[#This Row],[ordered_units]],1,0)</f>
        <v>0</v>
      </c>
      <c r="W32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4">
        <f>ReconciliationData[[#This Row],[Billed_Units]]*ReconciliationData[[#This Row],[Billed_Price]]</f>
        <v>144978.62400000001</v>
      </c>
      <c r="Y3224">
        <f>ReconciliationData[[#This Row],[ordered_units]]*ReconciliationData[[#This Row],[List_Price]]</f>
        <v>144978.62400000001</v>
      </c>
      <c r="Z3224">
        <f>ReconciliationData[[#This Row],[billed_revenue]]-ReconciliationData[[#This Row],[expected_revenue]]</f>
        <v>0</v>
      </c>
      <c r="AA32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4" t="str">
        <f>IF(ReconciliationData[[#This Row],[severity_score]]=0,"LOW",
 IF(ReconciliationData[[#This Row],[severity_score]]&lt;=5,"MEDIUM","HIGH"))</f>
        <v>LOW</v>
      </c>
      <c r="AC3224" t="str">
        <f>TEXT(ReconciliationData[[#This Row],[Order_Date]],"YYYY-MM")</f>
        <v>2024-08</v>
      </c>
    </row>
    <row r="3225" spans="1:29">
      <c r="A3225" t="s">
        <v>7666</v>
      </c>
      <c r="B3225" s="1">
        <v>45159</v>
      </c>
      <c r="C3225" t="s">
        <v>6612</v>
      </c>
      <c r="D3225" t="s">
        <v>604</v>
      </c>
      <c r="E3225">
        <v>3</v>
      </c>
      <c r="F3225" t="s">
        <v>7667</v>
      </c>
      <c r="G3225">
        <v>3</v>
      </c>
      <c r="H3225">
        <v>1072.5387000000001</v>
      </c>
      <c r="N3225">
        <v>1072.5387000000001</v>
      </c>
      <c r="O3225" s="1">
        <v>45023</v>
      </c>
      <c r="P3225">
        <f>IF(ISBLANK(ReconciliationData[[#This Row],[Invoice_ID]]),1,0)</f>
        <v>0</v>
      </c>
      <c r="Q3225">
        <f>IF(AND(NOT(ISBLANK(ReconciliationData[[#This Row],[Billed_Units]])),ReconciliationData[[#This Row],[ordered_units]]&lt;&gt;ReconciliationData[[#This Row],[Billed_Units]]),1,0)</f>
        <v>0</v>
      </c>
      <c r="R32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5">
        <f>IF(AND(NOT(ISBLANK(ReconciliationData[[#This Row],[Contract_Price]])),ReconciliationData[[#This Row],[Billed_Price]]&lt;&gt;ReconciliationData[[#This Row],[Contract_Price]]),1,0)</f>
        <v>0</v>
      </c>
      <c r="T3225">
        <f>IF(AND(NOT(ISBLANK(ReconciliationData[[#This Row],[End_Date]])),ReconciliationData[[#This Row],[Order_Date]]&gt;ReconciliationData[[#This Row],[End_Date]]),1,0)</f>
        <v>0</v>
      </c>
      <c r="U3225">
        <f>IF(AND(NOT(ISBLANK(ReconciliationData[[#This Row],[last_return_date]])),ReconciliationData[[#This Row],[last_return_date]]&gt;ReconciliationData[[#This Row],[Order_Date]]+60),1,0)</f>
        <v>0</v>
      </c>
      <c r="V3225">
        <f>IF(ReconciliationData[[#This Row],[total_returned_units]]&gt;ReconciliationData[[#This Row],[ordered_units]],1,0)</f>
        <v>0</v>
      </c>
      <c r="W32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5">
        <f>ReconciliationData[[#This Row],[Billed_Units]]*ReconciliationData[[#This Row],[Billed_Price]]</f>
        <v>3217.6161000000002</v>
      </c>
      <c r="Y3225">
        <f>ReconciliationData[[#This Row],[ordered_units]]*ReconciliationData[[#This Row],[List_Price]]</f>
        <v>3217.6161000000002</v>
      </c>
      <c r="Z3225">
        <f>ReconciliationData[[#This Row],[billed_revenue]]-ReconciliationData[[#This Row],[expected_revenue]]</f>
        <v>0</v>
      </c>
      <c r="AA32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5" t="str">
        <f>IF(ReconciliationData[[#This Row],[severity_score]]=0,"LOW",
 IF(ReconciliationData[[#This Row],[severity_score]]&lt;=5,"MEDIUM","HIGH"))</f>
        <v>LOW</v>
      </c>
      <c r="AC3225" t="str">
        <f>TEXT(ReconciliationData[[#This Row],[Order_Date]],"YYYY-MM")</f>
        <v>2023-08</v>
      </c>
    </row>
    <row r="3226" spans="1:29">
      <c r="A3226" t="s">
        <v>7668</v>
      </c>
      <c r="B3226" s="1">
        <v>45619</v>
      </c>
      <c r="C3226" t="s">
        <v>4192</v>
      </c>
      <c r="D3226" t="s">
        <v>2045</v>
      </c>
      <c r="E3226">
        <v>123</v>
      </c>
      <c r="F3226" t="s">
        <v>7669</v>
      </c>
      <c r="G3226">
        <v>123</v>
      </c>
      <c r="H3226">
        <v>990.72749999999996</v>
      </c>
      <c r="N3226">
        <v>990.72749999999996</v>
      </c>
      <c r="O3226" s="1">
        <v>45068</v>
      </c>
      <c r="P3226">
        <f>IF(ISBLANK(ReconciliationData[[#This Row],[Invoice_ID]]),1,0)</f>
        <v>0</v>
      </c>
      <c r="Q3226">
        <f>IF(AND(NOT(ISBLANK(ReconciliationData[[#This Row],[Billed_Units]])),ReconciliationData[[#This Row],[ordered_units]]&lt;&gt;ReconciliationData[[#This Row],[Billed_Units]]),1,0)</f>
        <v>0</v>
      </c>
      <c r="R32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6">
        <f>IF(AND(NOT(ISBLANK(ReconciliationData[[#This Row],[Contract_Price]])),ReconciliationData[[#This Row],[Billed_Price]]&lt;&gt;ReconciliationData[[#This Row],[Contract_Price]]),1,0)</f>
        <v>0</v>
      </c>
      <c r="T3226">
        <f>IF(AND(NOT(ISBLANK(ReconciliationData[[#This Row],[End_Date]])),ReconciliationData[[#This Row],[Order_Date]]&gt;ReconciliationData[[#This Row],[End_Date]]),1,0)</f>
        <v>0</v>
      </c>
      <c r="U3226">
        <f>IF(AND(NOT(ISBLANK(ReconciliationData[[#This Row],[last_return_date]])),ReconciliationData[[#This Row],[last_return_date]]&gt;ReconciliationData[[#This Row],[Order_Date]]+60),1,0)</f>
        <v>0</v>
      </c>
      <c r="V3226">
        <f>IF(ReconciliationData[[#This Row],[total_returned_units]]&gt;ReconciliationData[[#This Row],[ordered_units]],1,0)</f>
        <v>0</v>
      </c>
      <c r="W32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6">
        <f>ReconciliationData[[#This Row],[Billed_Units]]*ReconciliationData[[#This Row],[Billed_Price]]</f>
        <v>121859.4825</v>
      </c>
      <c r="Y3226">
        <f>ReconciliationData[[#This Row],[ordered_units]]*ReconciliationData[[#This Row],[List_Price]]</f>
        <v>121859.4825</v>
      </c>
      <c r="Z3226">
        <f>ReconciliationData[[#This Row],[billed_revenue]]-ReconciliationData[[#This Row],[expected_revenue]]</f>
        <v>0</v>
      </c>
      <c r="AA32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6" t="str">
        <f>IF(ReconciliationData[[#This Row],[severity_score]]=0,"LOW",
 IF(ReconciliationData[[#This Row],[severity_score]]&lt;=5,"MEDIUM","HIGH"))</f>
        <v>LOW</v>
      </c>
      <c r="AC3226" t="str">
        <f>TEXT(ReconciliationData[[#This Row],[Order_Date]],"YYYY-MM")</f>
        <v>2024-11</v>
      </c>
    </row>
    <row r="3227" spans="1:29">
      <c r="A3227" t="s">
        <v>7670</v>
      </c>
      <c r="B3227" s="1">
        <v>45599</v>
      </c>
      <c r="C3227" t="s">
        <v>3986</v>
      </c>
      <c r="D3227" t="s">
        <v>1802</v>
      </c>
      <c r="E3227">
        <v>166</v>
      </c>
      <c r="F3227" t="s">
        <v>7671</v>
      </c>
      <c r="G3227">
        <v>166</v>
      </c>
      <c r="H3227">
        <v>648.86940000000004</v>
      </c>
      <c r="N3227">
        <v>648.86940000000004</v>
      </c>
      <c r="O3227" s="1">
        <v>45064</v>
      </c>
      <c r="P3227">
        <f>IF(ISBLANK(ReconciliationData[[#This Row],[Invoice_ID]]),1,0)</f>
        <v>0</v>
      </c>
      <c r="Q3227">
        <f>IF(AND(NOT(ISBLANK(ReconciliationData[[#This Row],[Billed_Units]])),ReconciliationData[[#This Row],[ordered_units]]&lt;&gt;ReconciliationData[[#This Row],[Billed_Units]]),1,0)</f>
        <v>0</v>
      </c>
      <c r="R32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7">
        <f>IF(AND(NOT(ISBLANK(ReconciliationData[[#This Row],[Contract_Price]])),ReconciliationData[[#This Row],[Billed_Price]]&lt;&gt;ReconciliationData[[#This Row],[Contract_Price]]),1,0)</f>
        <v>0</v>
      </c>
      <c r="T3227">
        <f>IF(AND(NOT(ISBLANK(ReconciliationData[[#This Row],[End_Date]])),ReconciliationData[[#This Row],[Order_Date]]&gt;ReconciliationData[[#This Row],[End_Date]]),1,0)</f>
        <v>0</v>
      </c>
      <c r="U3227">
        <f>IF(AND(NOT(ISBLANK(ReconciliationData[[#This Row],[last_return_date]])),ReconciliationData[[#This Row],[last_return_date]]&gt;ReconciliationData[[#This Row],[Order_Date]]+60),1,0)</f>
        <v>0</v>
      </c>
      <c r="V3227">
        <f>IF(ReconciliationData[[#This Row],[total_returned_units]]&gt;ReconciliationData[[#This Row],[ordered_units]],1,0)</f>
        <v>0</v>
      </c>
      <c r="W32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7">
        <f>ReconciliationData[[#This Row],[Billed_Units]]*ReconciliationData[[#This Row],[Billed_Price]]</f>
        <v>107712.32040000001</v>
      </c>
      <c r="Y3227">
        <f>ReconciliationData[[#This Row],[ordered_units]]*ReconciliationData[[#This Row],[List_Price]]</f>
        <v>107712.32040000001</v>
      </c>
      <c r="Z3227">
        <f>ReconciliationData[[#This Row],[billed_revenue]]-ReconciliationData[[#This Row],[expected_revenue]]</f>
        <v>0</v>
      </c>
      <c r="AA32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7" t="str">
        <f>IF(ReconciliationData[[#This Row],[severity_score]]=0,"LOW",
 IF(ReconciliationData[[#This Row],[severity_score]]&lt;=5,"MEDIUM","HIGH"))</f>
        <v>LOW</v>
      </c>
      <c r="AC3227" t="str">
        <f>TEXT(ReconciliationData[[#This Row],[Order_Date]],"YYYY-MM")</f>
        <v>2024-11</v>
      </c>
    </row>
    <row r="3228" spans="1:29">
      <c r="A3228" t="s">
        <v>7672</v>
      </c>
      <c r="B3228" s="1">
        <v>45045</v>
      </c>
      <c r="C3228" t="s">
        <v>6036</v>
      </c>
      <c r="D3228" t="s">
        <v>2568</v>
      </c>
      <c r="E3228">
        <v>144</v>
      </c>
      <c r="F3228" t="s">
        <v>7673</v>
      </c>
      <c r="G3228">
        <v>144</v>
      </c>
      <c r="H3228">
        <v>461.00940000000003</v>
      </c>
      <c r="N3228">
        <v>461.00940000000003</v>
      </c>
      <c r="O3228" s="1">
        <v>45036</v>
      </c>
      <c r="P3228">
        <f>IF(ISBLANK(ReconciliationData[[#This Row],[Invoice_ID]]),1,0)</f>
        <v>0</v>
      </c>
      <c r="Q3228">
        <f>IF(AND(NOT(ISBLANK(ReconciliationData[[#This Row],[Billed_Units]])),ReconciliationData[[#This Row],[ordered_units]]&lt;&gt;ReconciliationData[[#This Row],[Billed_Units]]),1,0)</f>
        <v>0</v>
      </c>
      <c r="R32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8">
        <f>IF(AND(NOT(ISBLANK(ReconciliationData[[#This Row],[Contract_Price]])),ReconciliationData[[#This Row],[Billed_Price]]&lt;&gt;ReconciliationData[[#This Row],[Contract_Price]]),1,0)</f>
        <v>0</v>
      </c>
      <c r="T3228">
        <f>IF(AND(NOT(ISBLANK(ReconciliationData[[#This Row],[End_Date]])),ReconciliationData[[#This Row],[Order_Date]]&gt;ReconciliationData[[#This Row],[End_Date]]),1,0)</f>
        <v>0</v>
      </c>
      <c r="U3228">
        <f>IF(AND(NOT(ISBLANK(ReconciliationData[[#This Row],[last_return_date]])),ReconciliationData[[#This Row],[last_return_date]]&gt;ReconciliationData[[#This Row],[Order_Date]]+60),1,0)</f>
        <v>0</v>
      </c>
      <c r="V3228">
        <f>IF(ReconciliationData[[#This Row],[total_returned_units]]&gt;ReconciliationData[[#This Row],[ordered_units]],1,0)</f>
        <v>0</v>
      </c>
      <c r="W32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8">
        <f>ReconciliationData[[#This Row],[Billed_Units]]*ReconciliationData[[#This Row],[Billed_Price]]</f>
        <v>66385.353600000002</v>
      </c>
      <c r="Y3228">
        <f>ReconciliationData[[#This Row],[ordered_units]]*ReconciliationData[[#This Row],[List_Price]]</f>
        <v>66385.353600000002</v>
      </c>
      <c r="Z3228">
        <f>ReconciliationData[[#This Row],[billed_revenue]]-ReconciliationData[[#This Row],[expected_revenue]]</f>
        <v>0</v>
      </c>
      <c r="AA32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8" t="str">
        <f>IF(ReconciliationData[[#This Row],[severity_score]]=0,"LOW",
 IF(ReconciliationData[[#This Row],[severity_score]]&lt;=5,"MEDIUM","HIGH"))</f>
        <v>LOW</v>
      </c>
      <c r="AC3228" t="str">
        <f>TEXT(ReconciliationData[[#This Row],[Order_Date]],"YYYY-MM")</f>
        <v>2023-04</v>
      </c>
    </row>
    <row r="3229" spans="1:29">
      <c r="A3229" t="s">
        <v>7674</v>
      </c>
      <c r="B3229" s="1">
        <v>45369</v>
      </c>
      <c r="C3229" t="s">
        <v>1657</v>
      </c>
      <c r="D3229" t="s">
        <v>1555</v>
      </c>
      <c r="E3229">
        <v>154</v>
      </c>
      <c r="F3229" t="s">
        <v>7675</v>
      </c>
      <c r="G3229">
        <v>154</v>
      </c>
      <c r="H3229">
        <v>850.16200000000003</v>
      </c>
      <c r="N3229">
        <v>850.16200000000003</v>
      </c>
      <c r="O3229" s="1">
        <v>45099</v>
      </c>
      <c r="P3229">
        <f>IF(ISBLANK(ReconciliationData[[#This Row],[Invoice_ID]]),1,0)</f>
        <v>0</v>
      </c>
      <c r="Q3229">
        <f>IF(AND(NOT(ISBLANK(ReconciliationData[[#This Row],[Billed_Units]])),ReconciliationData[[#This Row],[ordered_units]]&lt;&gt;ReconciliationData[[#This Row],[Billed_Units]]),1,0)</f>
        <v>0</v>
      </c>
      <c r="R32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29">
        <f>IF(AND(NOT(ISBLANK(ReconciliationData[[#This Row],[Contract_Price]])),ReconciliationData[[#This Row],[Billed_Price]]&lt;&gt;ReconciliationData[[#This Row],[Contract_Price]]),1,0)</f>
        <v>0</v>
      </c>
      <c r="T3229">
        <f>IF(AND(NOT(ISBLANK(ReconciliationData[[#This Row],[End_Date]])),ReconciliationData[[#This Row],[Order_Date]]&gt;ReconciliationData[[#This Row],[End_Date]]),1,0)</f>
        <v>0</v>
      </c>
      <c r="U3229">
        <f>IF(AND(NOT(ISBLANK(ReconciliationData[[#This Row],[last_return_date]])),ReconciliationData[[#This Row],[last_return_date]]&gt;ReconciliationData[[#This Row],[Order_Date]]+60),1,0)</f>
        <v>0</v>
      </c>
      <c r="V3229">
        <f>IF(ReconciliationData[[#This Row],[total_returned_units]]&gt;ReconciliationData[[#This Row],[ordered_units]],1,0)</f>
        <v>0</v>
      </c>
      <c r="W32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29">
        <f>ReconciliationData[[#This Row],[Billed_Units]]*ReconciliationData[[#This Row],[Billed_Price]]</f>
        <v>130924.948</v>
      </c>
      <c r="Y3229">
        <f>ReconciliationData[[#This Row],[ordered_units]]*ReconciliationData[[#This Row],[List_Price]]</f>
        <v>130924.948</v>
      </c>
      <c r="Z3229">
        <f>ReconciliationData[[#This Row],[billed_revenue]]-ReconciliationData[[#This Row],[expected_revenue]]</f>
        <v>0</v>
      </c>
      <c r="AA32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29" t="str">
        <f>IF(ReconciliationData[[#This Row],[severity_score]]=0,"LOW",
 IF(ReconciliationData[[#This Row],[severity_score]]&lt;=5,"MEDIUM","HIGH"))</f>
        <v>LOW</v>
      </c>
      <c r="AC3229" t="str">
        <f>TEXT(ReconciliationData[[#This Row],[Order_Date]],"YYYY-MM")</f>
        <v>2024-03</v>
      </c>
    </row>
    <row r="3230" spans="1:29">
      <c r="A3230" t="s">
        <v>7676</v>
      </c>
      <c r="B3230" s="1">
        <v>45580</v>
      </c>
      <c r="C3230" t="s">
        <v>137</v>
      </c>
      <c r="D3230" t="s">
        <v>1571</v>
      </c>
      <c r="E3230">
        <v>55</v>
      </c>
      <c r="F3230" t="s">
        <v>7677</v>
      </c>
      <c r="G3230">
        <v>55</v>
      </c>
      <c r="H3230">
        <v>1226.9154000000001</v>
      </c>
      <c r="N3230">
        <v>1226.9154000000001</v>
      </c>
      <c r="O3230" s="1">
        <v>45032</v>
      </c>
      <c r="P3230">
        <f>IF(ISBLANK(ReconciliationData[[#This Row],[Invoice_ID]]),1,0)</f>
        <v>0</v>
      </c>
      <c r="Q3230">
        <f>IF(AND(NOT(ISBLANK(ReconciliationData[[#This Row],[Billed_Units]])),ReconciliationData[[#This Row],[ordered_units]]&lt;&gt;ReconciliationData[[#This Row],[Billed_Units]]),1,0)</f>
        <v>0</v>
      </c>
      <c r="R32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0">
        <f>IF(AND(NOT(ISBLANK(ReconciliationData[[#This Row],[Contract_Price]])),ReconciliationData[[#This Row],[Billed_Price]]&lt;&gt;ReconciliationData[[#This Row],[Contract_Price]]),1,0)</f>
        <v>0</v>
      </c>
      <c r="T3230">
        <f>IF(AND(NOT(ISBLANK(ReconciliationData[[#This Row],[End_Date]])),ReconciliationData[[#This Row],[Order_Date]]&gt;ReconciliationData[[#This Row],[End_Date]]),1,0)</f>
        <v>0</v>
      </c>
      <c r="U3230">
        <f>IF(AND(NOT(ISBLANK(ReconciliationData[[#This Row],[last_return_date]])),ReconciliationData[[#This Row],[last_return_date]]&gt;ReconciliationData[[#This Row],[Order_Date]]+60),1,0)</f>
        <v>0</v>
      </c>
      <c r="V3230">
        <f>IF(ReconciliationData[[#This Row],[total_returned_units]]&gt;ReconciliationData[[#This Row],[ordered_units]],1,0)</f>
        <v>0</v>
      </c>
      <c r="W32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0">
        <f>ReconciliationData[[#This Row],[Billed_Units]]*ReconciliationData[[#This Row],[Billed_Price]]</f>
        <v>67480.347000000009</v>
      </c>
      <c r="Y3230">
        <f>ReconciliationData[[#This Row],[ordered_units]]*ReconciliationData[[#This Row],[List_Price]]</f>
        <v>67480.347000000009</v>
      </c>
      <c r="Z3230">
        <f>ReconciliationData[[#This Row],[billed_revenue]]-ReconciliationData[[#This Row],[expected_revenue]]</f>
        <v>0</v>
      </c>
      <c r="AA32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0" t="str">
        <f>IF(ReconciliationData[[#This Row],[severity_score]]=0,"LOW",
 IF(ReconciliationData[[#This Row],[severity_score]]&lt;=5,"MEDIUM","HIGH"))</f>
        <v>LOW</v>
      </c>
      <c r="AC3230" t="str">
        <f>TEXT(ReconciliationData[[#This Row],[Order_Date]],"YYYY-MM")</f>
        <v>2024-10</v>
      </c>
    </row>
    <row r="3231" spans="1:29">
      <c r="A3231" t="s">
        <v>7678</v>
      </c>
      <c r="B3231" s="1">
        <v>44996</v>
      </c>
      <c r="C3231" t="s">
        <v>7679</v>
      </c>
      <c r="D3231" t="s">
        <v>2101</v>
      </c>
      <c r="E3231">
        <v>129</v>
      </c>
      <c r="F3231" t="s">
        <v>7680</v>
      </c>
      <c r="G3231">
        <v>129</v>
      </c>
      <c r="H3231">
        <v>228.45</v>
      </c>
      <c r="N3231">
        <v>228.45</v>
      </c>
      <c r="O3231" s="1">
        <v>44968</v>
      </c>
      <c r="P3231">
        <f>IF(ISBLANK(ReconciliationData[[#This Row],[Invoice_ID]]),1,0)</f>
        <v>0</v>
      </c>
      <c r="Q3231">
        <f>IF(AND(NOT(ISBLANK(ReconciliationData[[#This Row],[Billed_Units]])),ReconciliationData[[#This Row],[ordered_units]]&lt;&gt;ReconciliationData[[#This Row],[Billed_Units]]),1,0)</f>
        <v>0</v>
      </c>
      <c r="R32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1">
        <f>IF(AND(NOT(ISBLANK(ReconciliationData[[#This Row],[Contract_Price]])),ReconciliationData[[#This Row],[Billed_Price]]&lt;&gt;ReconciliationData[[#This Row],[Contract_Price]]),1,0)</f>
        <v>0</v>
      </c>
      <c r="T3231">
        <f>IF(AND(NOT(ISBLANK(ReconciliationData[[#This Row],[End_Date]])),ReconciliationData[[#This Row],[Order_Date]]&gt;ReconciliationData[[#This Row],[End_Date]]),1,0)</f>
        <v>0</v>
      </c>
      <c r="U3231">
        <f>IF(AND(NOT(ISBLANK(ReconciliationData[[#This Row],[last_return_date]])),ReconciliationData[[#This Row],[last_return_date]]&gt;ReconciliationData[[#This Row],[Order_Date]]+60),1,0)</f>
        <v>0</v>
      </c>
      <c r="V3231">
        <f>IF(ReconciliationData[[#This Row],[total_returned_units]]&gt;ReconciliationData[[#This Row],[ordered_units]],1,0)</f>
        <v>0</v>
      </c>
      <c r="W32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1">
        <f>ReconciliationData[[#This Row],[Billed_Units]]*ReconciliationData[[#This Row],[Billed_Price]]</f>
        <v>29470.05</v>
      </c>
      <c r="Y3231">
        <f>ReconciliationData[[#This Row],[ordered_units]]*ReconciliationData[[#This Row],[List_Price]]</f>
        <v>29470.05</v>
      </c>
      <c r="Z3231">
        <f>ReconciliationData[[#This Row],[billed_revenue]]-ReconciliationData[[#This Row],[expected_revenue]]</f>
        <v>0</v>
      </c>
      <c r="AA32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1" t="str">
        <f>IF(ReconciliationData[[#This Row],[severity_score]]=0,"LOW",
 IF(ReconciliationData[[#This Row],[severity_score]]&lt;=5,"MEDIUM","HIGH"))</f>
        <v>LOW</v>
      </c>
      <c r="AC3231" t="str">
        <f>TEXT(ReconciliationData[[#This Row],[Order_Date]],"YYYY-MM")</f>
        <v>2023-03</v>
      </c>
    </row>
    <row r="3232" spans="1:29">
      <c r="A3232" t="s">
        <v>7681</v>
      </c>
      <c r="B3232" s="1">
        <v>45314</v>
      </c>
      <c r="C3232" t="s">
        <v>286</v>
      </c>
      <c r="D3232" t="s">
        <v>849</v>
      </c>
      <c r="E3232">
        <v>146</v>
      </c>
      <c r="F3232" t="s">
        <v>7682</v>
      </c>
      <c r="G3232">
        <v>146</v>
      </c>
      <c r="H3232">
        <v>428.46220000000005</v>
      </c>
      <c r="N3232">
        <v>428.46220000000005</v>
      </c>
      <c r="O3232" s="1">
        <v>45102</v>
      </c>
      <c r="P3232">
        <f>IF(ISBLANK(ReconciliationData[[#This Row],[Invoice_ID]]),1,0)</f>
        <v>0</v>
      </c>
      <c r="Q3232">
        <f>IF(AND(NOT(ISBLANK(ReconciliationData[[#This Row],[Billed_Units]])),ReconciliationData[[#This Row],[ordered_units]]&lt;&gt;ReconciliationData[[#This Row],[Billed_Units]]),1,0)</f>
        <v>0</v>
      </c>
      <c r="R32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2">
        <f>IF(AND(NOT(ISBLANK(ReconciliationData[[#This Row],[Contract_Price]])),ReconciliationData[[#This Row],[Billed_Price]]&lt;&gt;ReconciliationData[[#This Row],[Contract_Price]]),1,0)</f>
        <v>0</v>
      </c>
      <c r="T3232">
        <f>IF(AND(NOT(ISBLANK(ReconciliationData[[#This Row],[End_Date]])),ReconciliationData[[#This Row],[Order_Date]]&gt;ReconciliationData[[#This Row],[End_Date]]),1,0)</f>
        <v>0</v>
      </c>
      <c r="U3232">
        <f>IF(AND(NOT(ISBLANK(ReconciliationData[[#This Row],[last_return_date]])),ReconciliationData[[#This Row],[last_return_date]]&gt;ReconciliationData[[#This Row],[Order_Date]]+60),1,0)</f>
        <v>0</v>
      </c>
      <c r="V3232">
        <f>IF(ReconciliationData[[#This Row],[total_returned_units]]&gt;ReconciliationData[[#This Row],[ordered_units]],1,0)</f>
        <v>0</v>
      </c>
      <c r="W32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2">
        <f>ReconciliationData[[#This Row],[Billed_Units]]*ReconciliationData[[#This Row],[Billed_Price]]</f>
        <v>62555.481200000009</v>
      </c>
      <c r="Y3232">
        <f>ReconciliationData[[#This Row],[ordered_units]]*ReconciliationData[[#This Row],[List_Price]]</f>
        <v>62555.481200000009</v>
      </c>
      <c r="Z3232">
        <f>ReconciliationData[[#This Row],[billed_revenue]]-ReconciliationData[[#This Row],[expected_revenue]]</f>
        <v>0</v>
      </c>
      <c r="AA32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2" t="str">
        <f>IF(ReconciliationData[[#This Row],[severity_score]]=0,"LOW",
 IF(ReconciliationData[[#This Row],[severity_score]]&lt;=5,"MEDIUM","HIGH"))</f>
        <v>LOW</v>
      </c>
      <c r="AC3232" t="str">
        <f>TEXT(ReconciliationData[[#This Row],[Order_Date]],"YYYY-MM")</f>
        <v>2024-01</v>
      </c>
    </row>
    <row r="3233" spans="1:29">
      <c r="A3233" t="s">
        <v>7683</v>
      </c>
      <c r="B3233" s="1">
        <v>45277</v>
      </c>
      <c r="C3233" t="s">
        <v>907</v>
      </c>
      <c r="D3233" t="s">
        <v>655</v>
      </c>
      <c r="E3233">
        <v>38</v>
      </c>
      <c r="F3233" t="s">
        <v>7684</v>
      </c>
      <c r="G3233">
        <v>38</v>
      </c>
      <c r="H3233">
        <v>130.87360000000001</v>
      </c>
      <c r="N3233">
        <v>130.87360000000001</v>
      </c>
      <c r="O3233" s="1">
        <v>45074</v>
      </c>
      <c r="P3233">
        <f>IF(ISBLANK(ReconciliationData[[#This Row],[Invoice_ID]]),1,0)</f>
        <v>0</v>
      </c>
      <c r="Q3233">
        <f>IF(AND(NOT(ISBLANK(ReconciliationData[[#This Row],[Billed_Units]])),ReconciliationData[[#This Row],[ordered_units]]&lt;&gt;ReconciliationData[[#This Row],[Billed_Units]]),1,0)</f>
        <v>0</v>
      </c>
      <c r="R32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3">
        <f>IF(AND(NOT(ISBLANK(ReconciliationData[[#This Row],[Contract_Price]])),ReconciliationData[[#This Row],[Billed_Price]]&lt;&gt;ReconciliationData[[#This Row],[Contract_Price]]),1,0)</f>
        <v>0</v>
      </c>
      <c r="T3233">
        <f>IF(AND(NOT(ISBLANK(ReconciliationData[[#This Row],[End_Date]])),ReconciliationData[[#This Row],[Order_Date]]&gt;ReconciliationData[[#This Row],[End_Date]]),1,0)</f>
        <v>0</v>
      </c>
      <c r="U3233">
        <f>IF(AND(NOT(ISBLANK(ReconciliationData[[#This Row],[last_return_date]])),ReconciliationData[[#This Row],[last_return_date]]&gt;ReconciliationData[[#This Row],[Order_Date]]+60),1,0)</f>
        <v>0</v>
      </c>
      <c r="V3233">
        <f>IF(ReconciliationData[[#This Row],[total_returned_units]]&gt;ReconciliationData[[#This Row],[ordered_units]],1,0)</f>
        <v>0</v>
      </c>
      <c r="W32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3">
        <f>ReconciliationData[[#This Row],[Billed_Units]]*ReconciliationData[[#This Row],[Billed_Price]]</f>
        <v>4973.1968000000006</v>
      </c>
      <c r="Y3233">
        <f>ReconciliationData[[#This Row],[ordered_units]]*ReconciliationData[[#This Row],[List_Price]]</f>
        <v>4973.1968000000006</v>
      </c>
      <c r="Z3233">
        <f>ReconciliationData[[#This Row],[billed_revenue]]-ReconciliationData[[#This Row],[expected_revenue]]</f>
        <v>0</v>
      </c>
      <c r="AA32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3" t="str">
        <f>IF(ReconciliationData[[#This Row],[severity_score]]=0,"LOW",
 IF(ReconciliationData[[#This Row],[severity_score]]&lt;=5,"MEDIUM","HIGH"))</f>
        <v>LOW</v>
      </c>
      <c r="AC3233" t="str">
        <f>TEXT(ReconciliationData[[#This Row],[Order_Date]],"YYYY-MM")</f>
        <v>2023-12</v>
      </c>
    </row>
    <row r="3234" spans="1:29">
      <c r="A3234" t="s">
        <v>7685</v>
      </c>
      <c r="B3234" s="1">
        <v>45221</v>
      </c>
      <c r="C3234" t="s">
        <v>1908</v>
      </c>
      <c r="D3234" t="s">
        <v>162</v>
      </c>
      <c r="E3234">
        <v>156</v>
      </c>
      <c r="F3234" t="s">
        <v>7686</v>
      </c>
      <c r="G3234">
        <v>156</v>
      </c>
      <c r="H3234">
        <v>510.91840000000002</v>
      </c>
      <c r="N3234">
        <v>510.91840000000002</v>
      </c>
      <c r="O3234" s="1">
        <v>44981</v>
      </c>
      <c r="P3234">
        <f>IF(ISBLANK(ReconciliationData[[#This Row],[Invoice_ID]]),1,0)</f>
        <v>0</v>
      </c>
      <c r="Q3234">
        <f>IF(AND(NOT(ISBLANK(ReconciliationData[[#This Row],[Billed_Units]])),ReconciliationData[[#This Row],[ordered_units]]&lt;&gt;ReconciliationData[[#This Row],[Billed_Units]]),1,0)</f>
        <v>0</v>
      </c>
      <c r="R32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4">
        <f>IF(AND(NOT(ISBLANK(ReconciliationData[[#This Row],[Contract_Price]])),ReconciliationData[[#This Row],[Billed_Price]]&lt;&gt;ReconciliationData[[#This Row],[Contract_Price]]),1,0)</f>
        <v>0</v>
      </c>
      <c r="T3234">
        <f>IF(AND(NOT(ISBLANK(ReconciliationData[[#This Row],[End_Date]])),ReconciliationData[[#This Row],[Order_Date]]&gt;ReconciliationData[[#This Row],[End_Date]]),1,0)</f>
        <v>0</v>
      </c>
      <c r="U3234">
        <f>IF(AND(NOT(ISBLANK(ReconciliationData[[#This Row],[last_return_date]])),ReconciliationData[[#This Row],[last_return_date]]&gt;ReconciliationData[[#This Row],[Order_Date]]+60),1,0)</f>
        <v>0</v>
      </c>
      <c r="V3234">
        <f>IF(ReconciliationData[[#This Row],[total_returned_units]]&gt;ReconciliationData[[#This Row],[ordered_units]],1,0)</f>
        <v>0</v>
      </c>
      <c r="W32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4">
        <f>ReconciliationData[[#This Row],[Billed_Units]]*ReconciliationData[[#This Row],[Billed_Price]]</f>
        <v>79703.270400000009</v>
      </c>
      <c r="Y3234">
        <f>ReconciliationData[[#This Row],[ordered_units]]*ReconciliationData[[#This Row],[List_Price]]</f>
        <v>79703.270400000009</v>
      </c>
      <c r="Z3234">
        <f>ReconciliationData[[#This Row],[billed_revenue]]-ReconciliationData[[#This Row],[expected_revenue]]</f>
        <v>0</v>
      </c>
      <c r="AA32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4" t="str">
        <f>IF(ReconciliationData[[#This Row],[severity_score]]=0,"LOW",
 IF(ReconciliationData[[#This Row],[severity_score]]&lt;=5,"MEDIUM","HIGH"))</f>
        <v>LOW</v>
      </c>
      <c r="AC3234" t="str">
        <f>TEXT(ReconciliationData[[#This Row],[Order_Date]],"YYYY-MM")</f>
        <v>2023-10</v>
      </c>
    </row>
    <row r="3235" spans="1:29">
      <c r="A3235" t="s">
        <v>7687</v>
      </c>
      <c r="B3235" s="1">
        <v>45359</v>
      </c>
      <c r="C3235" t="s">
        <v>1301</v>
      </c>
      <c r="D3235" t="s">
        <v>1294</v>
      </c>
      <c r="E3235">
        <v>27</v>
      </c>
      <c r="F3235" t="s">
        <v>7688</v>
      </c>
      <c r="G3235">
        <v>27</v>
      </c>
      <c r="H3235">
        <v>825.40440000000001</v>
      </c>
      <c r="N3235">
        <v>825.40440000000001</v>
      </c>
      <c r="O3235" s="1">
        <v>45105</v>
      </c>
      <c r="P3235">
        <f>IF(ISBLANK(ReconciliationData[[#This Row],[Invoice_ID]]),1,0)</f>
        <v>0</v>
      </c>
      <c r="Q3235">
        <f>IF(AND(NOT(ISBLANK(ReconciliationData[[#This Row],[Billed_Units]])),ReconciliationData[[#This Row],[ordered_units]]&lt;&gt;ReconciliationData[[#This Row],[Billed_Units]]),1,0)</f>
        <v>0</v>
      </c>
      <c r="R32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5">
        <f>IF(AND(NOT(ISBLANK(ReconciliationData[[#This Row],[Contract_Price]])),ReconciliationData[[#This Row],[Billed_Price]]&lt;&gt;ReconciliationData[[#This Row],[Contract_Price]]),1,0)</f>
        <v>0</v>
      </c>
      <c r="T3235">
        <f>IF(AND(NOT(ISBLANK(ReconciliationData[[#This Row],[End_Date]])),ReconciliationData[[#This Row],[Order_Date]]&gt;ReconciliationData[[#This Row],[End_Date]]),1,0)</f>
        <v>0</v>
      </c>
      <c r="U3235">
        <f>IF(AND(NOT(ISBLANK(ReconciliationData[[#This Row],[last_return_date]])),ReconciliationData[[#This Row],[last_return_date]]&gt;ReconciliationData[[#This Row],[Order_Date]]+60),1,0)</f>
        <v>0</v>
      </c>
      <c r="V3235">
        <f>IF(ReconciliationData[[#This Row],[total_returned_units]]&gt;ReconciliationData[[#This Row],[ordered_units]],1,0)</f>
        <v>0</v>
      </c>
      <c r="W32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5">
        <f>ReconciliationData[[#This Row],[Billed_Units]]*ReconciliationData[[#This Row],[Billed_Price]]</f>
        <v>22285.918799999999</v>
      </c>
      <c r="Y3235">
        <f>ReconciliationData[[#This Row],[ordered_units]]*ReconciliationData[[#This Row],[List_Price]]</f>
        <v>22285.918799999999</v>
      </c>
      <c r="Z3235">
        <f>ReconciliationData[[#This Row],[billed_revenue]]-ReconciliationData[[#This Row],[expected_revenue]]</f>
        <v>0</v>
      </c>
      <c r="AA32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5" t="str">
        <f>IF(ReconciliationData[[#This Row],[severity_score]]=0,"LOW",
 IF(ReconciliationData[[#This Row],[severity_score]]&lt;=5,"MEDIUM","HIGH"))</f>
        <v>LOW</v>
      </c>
      <c r="AC3235" t="str">
        <f>TEXT(ReconciliationData[[#This Row],[Order_Date]],"YYYY-MM")</f>
        <v>2024-03</v>
      </c>
    </row>
    <row r="3236" spans="1:29">
      <c r="A3236" t="s">
        <v>7689</v>
      </c>
      <c r="B3236" s="1">
        <v>45506</v>
      </c>
      <c r="C3236" t="s">
        <v>2701</v>
      </c>
      <c r="D3236" t="s">
        <v>325</v>
      </c>
      <c r="E3236">
        <v>37</v>
      </c>
      <c r="F3236" t="s">
        <v>7690</v>
      </c>
      <c r="G3236">
        <v>37</v>
      </c>
      <c r="H3236">
        <v>509.36320000000001</v>
      </c>
      <c r="N3236">
        <v>509.36320000000001</v>
      </c>
      <c r="O3236" s="1">
        <v>45171</v>
      </c>
      <c r="P3236">
        <f>IF(ISBLANK(ReconciliationData[[#This Row],[Invoice_ID]]),1,0)</f>
        <v>0</v>
      </c>
      <c r="Q3236">
        <f>IF(AND(NOT(ISBLANK(ReconciliationData[[#This Row],[Billed_Units]])),ReconciliationData[[#This Row],[ordered_units]]&lt;&gt;ReconciliationData[[#This Row],[Billed_Units]]),1,0)</f>
        <v>0</v>
      </c>
      <c r="R32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6">
        <f>IF(AND(NOT(ISBLANK(ReconciliationData[[#This Row],[Contract_Price]])),ReconciliationData[[#This Row],[Billed_Price]]&lt;&gt;ReconciliationData[[#This Row],[Contract_Price]]),1,0)</f>
        <v>0</v>
      </c>
      <c r="T3236">
        <f>IF(AND(NOT(ISBLANK(ReconciliationData[[#This Row],[End_Date]])),ReconciliationData[[#This Row],[Order_Date]]&gt;ReconciliationData[[#This Row],[End_Date]]),1,0)</f>
        <v>0</v>
      </c>
      <c r="U3236">
        <f>IF(AND(NOT(ISBLANK(ReconciliationData[[#This Row],[last_return_date]])),ReconciliationData[[#This Row],[last_return_date]]&gt;ReconciliationData[[#This Row],[Order_Date]]+60),1,0)</f>
        <v>0</v>
      </c>
      <c r="V3236">
        <f>IF(ReconciliationData[[#This Row],[total_returned_units]]&gt;ReconciliationData[[#This Row],[ordered_units]],1,0)</f>
        <v>0</v>
      </c>
      <c r="W32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6">
        <f>ReconciliationData[[#This Row],[Billed_Units]]*ReconciliationData[[#This Row],[Billed_Price]]</f>
        <v>18846.438399999999</v>
      </c>
      <c r="Y3236">
        <f>ReconciliationData[[#This Row],[ordered_units]]*ReconciliationData[[#This Row],[List_Price]]</f>
        <v>18846.438399999999</v>
      </c>
      <c r="Z3236">
        <f>ReconciliationData[[#This Row],[billed_revenue]]-ReconciliationData[[#This Row],[expected_revenue]]</f>
        <v>0</v>
      </c>
      <c r="AA32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6" t="str">
        <f>IF(ReconciliationData[[#This Row],[severity_score]]=0,"LOW",
 IF(ReconciliationData[[#This Row],[severity_score]]&lt;=5,"MEDIUM","HIGH"))</f>
        <v>LOW</v>
      </c>
      <c r="AC3236" t="str">
        <f>TEXT(ReconciliationData[[#This Row],[Order_Date]],"YYYY-MM")</f>
        <v>2024-08</v>
      </c>
    </row>
    <row r="3237" spans="1:29">
      <c r="A3237" t="s">
        <v>7691</v>
      </c>
      <c r="B3237" s="1">
        <v>45447</v>
      </c>
      <c r="C3237" t="s">
        <v>1475</v>
      </c>
      <c r="D3237" t="s">
        <v>174</v>
      </c>
      <c r="E3237">
        <v>86</v>
      </c>
      <c r="F3237" t="s">
        <v>7692</v>
      </c>
      <c r="G3237">
        <v>86</v>
      </c>
      <c r="H3237">
        <v>461.69279999999998</v>
      </c>
      <c r="N3237">
        <v>461.69279999999998</v>
      </c>
      <c r="O3237" s="1">
        <v>45031</v>
      </c>
      <c r="P3237">
        <f>IF(ISBLANK(ReconciliationData[[#This Row],[Invoice_ID]]),1,0)</f>
        <v>0</v>
      </c>
      <c r="Q3237">
        <f>IF(AND(NOT(ISBLANK(ReconciliationData[[#This Row],[Billed_Units]])),ReconciliationData[[#This Row],[ordered_units]]&lt;&gt;ReconciliationData[[#This Row],[Billed_Units]]),1,0)</f>
        <v>0</v>
      </c>
      <c r="R32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7">
        <f>IF(AND(NOT(ISBLANK(ReconciliationData[[#This Row],[Contract_Price]])),ReconciliationData[[#This Row],[Billed_Price]]&lt;&gt;ReconciliationData[[#This Row],[Contract_Price]]),1,0)</f>
        <v>0</v>
      </c>
      <c r="T3237">
        <f>IF(AND(NOT(ISBLANK(ReconciliationData[[#This Row],[End_Date]])),ReconciliationData[[#This Row],[Order_Date]]&gt;ReconciliationData[[#This Row],[End_Date]]),1,0)</f>
        <v>0</v>
      </c>
      <c r="U3237">
        <f>IF(AND(NOT(ISBLANK(ReconciliationData[[#This Row],[last_return_date]])),ReconciliationData[[#This Row],[last_return_date]]&gt;ReconciliationData[[#This Row],[Order_Date]]+60),1,0)</f>
        <v>0</v>
      </c>
      <c r="V3237">
        <f>IF(ReconciliationData[[#This Row],[total_returned_units]]&gt;ReconciliationData[[#This Row],[ordered_units]],1,0)</f>
        <v>0</v>
      </c>
      <c r="W32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7">
        <f>ReconciliationData[[#This Row],[Billed_Units]]*ReconciliationData[[#This Row],[Billed_Price]]</f>
        <v>39705.580799999996</v>
      </c>
      <c r="Y3237">
        <f>ReconciliationData[[#This Row],[ordered_units]]*ReconciliationData[[#This Row],[List_Price]]</f>
        <v>39705.580799999996</v>
      </c>
      <c r="Z3237">
        <f>ReconciliationData[[#This Row],[billed_revenue]]-ReconciliationData[[#This Row],[expected_revenue]]</f>
        <v>0</v>
      </c>
      <c r="AA32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7" t="str">
        <f>IF(ReconciliationData[[#This Row],[severity_score]]=0,"LOW",
 IF(ReconciliationData[[#This Row],[severity_score]]&lt;=5,"MEDIUM","HIGH"))</f>
        <v>LOW</v>
      </c>
      <c r="AC3237" t="str">
        <f>TEXT(ReconciliationData[[#This Row],[Order_Date]],"YYYY-MM")</f>
        <v>2024-06</v>
      </c>
    </row>
    <row r="3238" spans="1:29">
      <c r="A3238" t="s">
        <v>7693</v>
      </c>
      <c r="B3238" s="1">
        <v>45045</v>
      </c>
      <c r="C3238" t="s">
        <v>4901</v>
      </c>
      <c r="D3238" t="s">
        <v>1404</v>
      </c>
      <c r="E3238">
        <v>122</v>
      </c>
      <c r="F3238" t="s">
        <v>7694</v>
      </c>
      <c r="G3238">
        <v>122</v>
      </c>
      <c r="H3238">
        <v>649.86450000000002</v>
      </c>
      <c r="N3238">
        <v>649.86450000000002</v>
      </c>
      <c r="O3238" s="1">
        <v>44914</v>
      </c>
      <c r="P3238">
        <f>IF(ISBLANK(ReconciliationData[[#This Row],[Invoice_ID]]),1,0)</f>
        <v>0</v>
      </c>
      <c r="Q3238">
        <f>IF(AND(NOT(ISBLANK(ReconciliationData[[#This Row],[Billed_Units]])),ReconciliationData[[#This Row],[ordered_units]]&lt;&gt;ReconciliationData[[#This Row],[Billed_Units]]),1,0)</f>
        <v>0</v>
      </c>
      <c r="R32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8">
        <f>IF(AND(NOT(ISBLANK(ReconciliationData[[#This Row],[Contract_Price]])),ReconciliationData[[#This Row],[Billed_Price]]&lt;&gt;ReconciliationData[[#This Row],[Contract_Price]]),1,0)</f>
        <v>0</v>
      </c>
      <c r="T3238">
        <f>IF(AND(NOT(ISBLANK(ReconciliationData[[#This Row],[End_Date]])),ReconciliationData[[#This Row],[Order_Date]]&gt;ReconciliationData[[#This Row],[End_Date]]),1,0)</f>
        <v>0</v>
      </c>
      <c r="U3238">
        <f>IF(AND(NOT(ISBLANK(ReconciliationData[[#This Row],[last_return_date]])),ReconciliationData[[#This Row],[last_return_date]]&gt;ReconciliationData[[#This Row],[Order_Date]]+60),1,0)</f>
        <v>0</v>
      </c>
      <c r="V3238">
        <f>IF(ReconciliationData[[#This Row],[total_returned_units]]&gt;ReconciliationData[[#This Row],[ordered_units]],1,0)</f>
        <v>0</v>
      </c>
      <c r="W32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8">
        <f>ReconciliationData[[#This Row],[Billed_Units]]*ReconciliationData[[#This Row],[Billed_Price]]</f>
        <v>79283.468999999997</v>
      </c>
      <c r="Y3238">
        <f>ReconciliationData[[#This Row],[ordered_units]]*ReconciliationData[[#This Row],[List_Price]]</f>
        <v>79283.468999999997</v>
      </c>
      <c r="Z3238">
        <f>ReconciliationData[[#This Row],[billed_revenue]]-ReconciliationData[[#This Row],[expected_revenue]]</f>
        <v>0</v>
      </c>
      <c r="AA32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8" t="str">
        <f>IF(ReconciliationData[[#This Row],[severity_score]]=0,"LOW",
 IF(ReconciliationData[[#This Row],[severity_score]]&lt;=5,"MEDIUM","HIGH"))</f>
        <v>LOW</v>
      </c>
      <c r="AC3238" t="str">
        <f>TEXT(ReconciliationData[[#This Row],[Order_Date]],"YYYY-MM")</f>
        <v>2023-04</v>
      </c>
    </row>
    <row r="3239" spans="1:29">
      <c r="A3239" t="s">
        <v>7695</v>
      </c>
      <c r="B3239" s="1">
        <v>45438</v>
      </c>
      <c r="C3239" t="s">
        <v>4901</v>
      </c>
      <c r="D3239" t="s">
        <v>1037</v>
      </c>
      <c r="E3239">
        <v>77</v>
      </c>
      <c r="F3239" t="s">
        <v>7696</v>
      </c>
      <c r="G3239">
        <v>77</v>
      </c>
      <c r="H3239">
        <v>539.57150000000001</v>
      </c>
      <c r="I3239">
        <v>16</v>
      </c>
      <c r="J3239" s="1">
        <v>45038</v>
      </c>
      <c r="N3239">
        <v>539.57150000000001</v>
      </c>
      <c r="O3239" s="1">
        <v>45191</v>
      </c>
      <c r="P3239">
        <f>IF(ISBLANK(ReconciliationData[[#This Row],[Invoice_ID]]),1,0)</f>
        <v>0</v>
      </c>
      <c r="Q3239">
        <f>IF(AND(NOT(ISBLANK(ReconciliationData[[#This Row],[Billed_Units]])),ReconciliationData[[#This Row],[ordered_units]]&lt;&gt;ReconciliationData[[#This Row],[Billed_Units]]),1,0)</f>
        <v>0</v>
      </c>
      <c r="R32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39">
        <f>IF(AND(NOT(ISBLANK(ReconciliationData[[#This Row],[Contract_Price]])),ReconciliationData[[#This Row],[Billed_Price]]&lt;&gt;ReconciliationData[[#This Row],[Contract_Price]]),1,0)</f>
        <v>0</v>
      </c>
      <c r="T3239">
        <f>IF(AND(NOT(ISBLANK(ReconciliationData[[#This Row],[End_Date]])),ReconciliationData[[#This Row],[Order_Date]]&gt;ReconciliationData[[#This Row],[End_Date]]),1,0)</f>
        <v>0</v>
      </c>
      <c r="U3239">
        <f>IF(AND(NOT(ISBLANK(ReconciliationData[[#This Row],[last_return_date]])),ReconciliationData[[#This Row],[last_return_date]]&gt;ReconciliationData[[#This Row],[Order_Date]]+60),1,0)</f>
        <v>0</v>
      </c>
      <c r="V3239">
        <f>IF(ReconciliationData[[#This Row],[total_returned_units]]&gt;ReconciliationData[[#This Row],[ordered_units]],1,0)</f>
        <v>0</v>
      </c>
      <c r="W32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39">
        <f>ReconciliationData[[#This Row],[Billed_Units]]*ReconciliationData[[#This Row],[Billed_Price]]</f>
        <v>41547.005499999999</v>
      </c>
      <c r="Y3239">
        <f>ReconciliationData[[#This Row],[ordered_units]]*ReconciliationData[[#This Row],[List_Price]]</f>
        <v>41547.005499999999</v>
      </c>
      <c r="Z3239">
        <f>ReconciliationData[[#This Row],[billed_revenue]]-ReconciliationData[[#This Row],[expected_revenue]]</f>
        <v>0</v>
      </c>
      <c r="AA32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39" t="str">
        <f>IF(ReconciliationData[[#This Row],[severity_score]]=0,"LOW",
 IF(ReconciliationData[[#This Row],[severity_score]]&lt;=5,"MEDIUM","HIGH"))</f>
        <v>LOW</v>
      </c>
      <c r="AC3239" t="str">
        <f>TEXT(ReconciliationData[[#This Row],[Order_Date]],"YYYY-MM")</f>
        <v>2024-05</v>
      </c>
    </row>
    <row r="3240" spans="1:29">
      <c r="A3240" t="s">
        <v>7697</v>
      </c>
      <c r="B3240" s="1">
        <v>44937</v>
      </c>
      <c r="C3240" t="s">
        <v>1566</v>
      </c>
      <c r="D3240" t="s">
        <v>150</v>
      </c>
      <c r="E3240">
        <v>26</v>
      </c>
      <c r="F3240" t="s">
        <v>7698</v>
      </c>
      <c r="G3240">
        <v>26</v>
      </c>
      <c r="H3240">
        <v>346.72860000000003</v>
      </c>
      <c r="I3240">
        <v>4</v>
      </c>
      <c r="J3240" s="1">
        <v>44976</v>
      </c>
      <c r="N3240">
        <v>346.72860000000003</v>
      </c>
      <c r="O3240" s="1">
        <v>44819</v>
      </c>
      <c r="P3240">
        <f>IF(ISBLANK(ReconciliationData[[#This Row],[Invoice_ID]]),1,0)</f>
        <v>0</v>
      </c>
      <c r="Q3240">
        <f>IF(AND(NOT(ISBLANK(ReconciliationData[[#This Row],[Billed_Units]])),ReconciliationData[[#This Row],[ordered_units]]&lt;&gt;ReconciliationData[[#This Row],[Billed_Units]]),1,0)</f>
        <v>0</v>
      </c>
      <c r="R32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0">
        <f>IF(AND(NOT(ISBLANK(ReconciliationData[[#This Row],[Contract_Price]])),ReconciliationData[[#This Row],[Billed_Price]]&lt;&gt;ReconciliationData[[#This Row],[Contract_Price]]),1,0)</f>
        <v>0</v>
      </c>
      <c r="T3240">
        <f>IF(AND(NOT(ISBLANK(ReconciliationData[[#This Row],[End_Date]])),ReconciliationData[[#This Row],[Order_Date]]&gt;ReconciliationData[[#This Row],[End_Date]]),1,0)</f>
        <v>0</v>
      </c>
      <c r="U3240">
        <f>IF(AND(NOT(ISBLANK(ReconciliationData[[#This Row],[last_return_date]])),ReconciliationData[[#This Row],[last_return_date]]&gt;ReconciliationData[[#This Row],[Order_Date]]+60),1,0)</f>
        <v>0</v>
      </c>
      <c r="V3240">
        <f>IF(ReconciliationData[[#This Row],[total_returned_units]]&gt;ReconciliationData[[#This Row],[ordered_units]],1,0)</f>
        <v>0</v>
      </c>
      <c r="W32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0">
        <f>ReconciliationData[[#This Row],[Billed_Units]]*ReconciliationData[[#This Row],[Billed_Price]]</f>
        <v>9014.9436000000005</v>
      </c>
      <c r="Y3240">
        <f>ReconciliationData[[#This Row],[ordered_units]]*ReconciliationData[[#This Row],[List_Price]]</f>
        <v>9014.9436000000005</v>
      </c>
      <c r="Z3240">
        <f>ReconciliationData[[#This Row],[billed_revenue]]-ReconciliationData[[#This Row],[expected_revenue]]</f>
        <v>0</v>
      </c>
      <c r="AA32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0" t="str">
        <f>IF(ReconciliationData[[#This Row],[severity_score]]=0,"LOW",
 IF(ReconciliationData[[#This Row],[severity_score]]&lt;=5,"MEDIUM","HIGH"))</f>
        <v>LOW</v>
      </c>
      <c r="AC3240" t="str">
        <f>TEXT(ReconciliationData[[#This Row],[Order_Date]],"YYYY-MM")</f>
        <v>2023-01</v>
      </c>
    </row>
    <row r="3241" spans="1:29">
      <c r="A3241" t="s">
        <v>7699</v>
      </c>
      <c r="B3241" s="1">
        <v>45342</v>
      </c>
      <c r="C3241" t="s">
        <v>1149</v>
      </c>
      <c r="D3241" t="s">
        <v>3954</v>
      </c>
      <c r="E3241">
        <v>138</v>
      </c>
      <c r="F3241" t="s">
        <v>7700</v>
      </c>
      <c r="G3241">
        <v>138</v>
      </c>
      <c r="H3241">
        <v>275.19450000000001</v>
      </c>
      <c r="N3241">
        <v>275.19450000000001</v>
      </c>
      <c r="O3241" s="1">
        <v>45218</v>
      </c>
      <c r="P3241">
        <f>IF(ISBLANK(ReconciliationData[[#This Row],[Invoice_ID]]),1,0)</f>
        <v>0</v>
      </c>
      <c r="Q3241">
        <f>IF(AND(NOT(ISBLANK(ReconciliationData[[#This Row],[Billed_Units]])),ReconciliationData[[#This Row],[ordered_units]]&lt;&gt;ReconciliationData[[#This Row],[Billed_Units]]),1,0)</f>
        <v>0</v>
      </c>
      <c r="R32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1">
        <f>IF(AND(NOT(ISBLANK(ReconciliationData[[#This Row],[Contract_Price]])),ReconciliationData[[#This Row],[Billed_Price]]&lt;&gt;ReconciliationData[[#This Row],[Contract_Price]]),1,0)</f>
        <v>0</v>
      </c>
      <c r="T3241">
        <f>IF(AND(NOT(ISBLANK(ReconciliationData[[#This Row],[End_Date]])),ReconciliationData[[#This Row],[Order_Date]]&gt;ReconciliationData[[#This Row],[End_Date]]),1,0)</f>
        <v>0</v>
      </c>
      <c r="U3241">
        <f>IF(AND(NOT(ISBLANK(ReconciliationData[[#This Row],[last_return_date]])),ReconciliationData[[#This Row],[last_return_date]]&gt;ReconciliationData[[#This Row],[Order_Date]]+60),1,0)</f>
        <v>0</v>
      </c>
      <c r="V3241">
        <f>IF(ReconciliationData[[#This Row],[total_returned_units]]&gt;ReconciliationData[[#This Row],[ordered_units]],1,0)</f>
        <v>0</v>
      </c>
      <c r="W32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1">
        <f>ReconciliationData[[#This Row],[Billed_Units]]*ReconciliationData[[#This Row],[Billed_Price]]</f>
        <v>37976.841</v>
      </c>
      <c r="Y3241">
        <f>ReconciliationData[[#This Row],[ordered_units]]*ReconciliationData[[#This Row],[List_Price]]</f>
        <v>37976.841</v>
      </c>
      <c r="Z3241">
        <f>ReconciliationData[[#This Row],[billed_revenue]]-ReconciliationData[[#This Row],[expected_revenue]]</f>
        <v>0</v>
      </c>
      <c r="AA32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1" t="str">
        <f>IF(ReconciliationData[[#This Row],[severity_score]]=0,"LOW",
 IF(ReconciliationData[[#This Row],[severity_score]]&lt;=5,"MEDIUM","HIGH"))</f>
        <v>LOW</v>
      </c>
      <c r="AC3241" t="str">
        <f>TEXT(ReconciliationData[[#This Row],[Order_Date]],"YYYY-MM")</f>
        <v>2024-02</v>
      </c>
    </row>
    <row r="3242" spans="1:29">
      <c r="A3242" t="s">
        <v>7701</v>
      </c>
      <c r="B3242" s="1">
        <v>45008</v>
      </c>
      <c r="C3242" t="s">
        <v>1591</v>
      </c>
      <c r="D3242" t="s">
        <v>259</v>
      </c>
      <c r="E3242">
        <v>119</v>
      </c>
      <c r="F3242" t="s">
        <v>7702</v>
      </c>
      <c r="G3242">
        <v>119</v>
      </c>
      <c r="H3242">
        <v>364.40320000000003</v>
      </c>
      <c r="N3242">
        <v>364.40320000000003</v>
      </c>
      <c r="O3242" s="1">
        <v>44766</v>
      </c>
      <c r="P3242">
        <f>IF(ISBLANK(ReconciliationData[[#This Row],[Invoice_ID]]),1,0)</f>
        <v>0</v>
      </c>
      <c r="Q3242">
        <f>IF(AND(NOT(ISBLANK(ReconciliationData[[#This Row],[Billed_Units]])),ReconciliationData[[#This Row],[ordered_units]]&lt;&gt;ReconciliationData[[#This Row],[Billed_Units]]),1,0)</f>
        <v>0</v>
      </c>
      <c r="R32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2">
        <f>IF(AND(NOT(ISBLANK(ReconciliationData[[#This Row],[Contract_Price]])),ReconciliationData[[#This Row],[Billed_Price]]&lt;&gt;ReconciliationData[[#This Row],[Contract_Price]]),1,0)</f>
        <v>0</v>
      </c>
      <c r="T3242">
        <f>IF(AND(NOT(ISBLANK(ReconciliationData[[#This Row],[End_Date]])),ReconciliationData[[#This Row],[Order_Date]]&gt;ReconciliationData[[#This Row],[End_Date]]),1,0)</f>
        <v>0</v>
      </c>
      <c r="U3242">
        <f>IF(AND(NOT(ISBLANK(ReconciliationData[[#This Row],[last_return_date]])),ReconciliationData[[#This Row],[last_return_date]]&gt;ReconciliationData[[#This Row],[Order_Date]]+60),1,0)</f>
        <v>0</v>
      </c>
      <c r="V3242">
        <f>IF(ReconciliationData[[#This Row],[total_returned_units]]&gt;ReconciliationData[[#This Row],[ordered_units]],1,0)</f>
        <v>0</v>
      </c>
      <c r="W32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2">
        <f>ReconciliationData[[#This Row],[Billed_Units]]*ReconciliationData[[#This Row],[Billed_Price]]</f>
        <v>43363.980800000005</v>
      </c>
      <c r="Y3242">
        <f>ReconciliationData[[#This Row],[ordered_units]]*ReconciliationData[[#This Row],[List_Price]]</f>
        <v>43363.980800000005</v>
      </c>
      <c r="Z3242">
        <f>ReconciliationData[[#This Row],[billed_revenue]]-ReconciliationData[[#This Row],[expected_revenue]]</f>
        <v>0</v>
      </c>
      <c r="AA32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2" t="str">
        <f>IF(ReconciliationData[[#This Row],[severity_score]]=0,"LOW",
 IF(ReconciliationData[[#This Row],[severity_score]]&lt;=5,"MEDIUM","HIGH"))</f>
        <v>LOW</v>
      </c>
      <c r="AC3242" t="str">
        <f>TEXT(ReconciliationData[[#This Row],[Order_Date]],"YYYY-MM")</f>
        <v>2023-03</v>
      </c>
    </row>
    <row r="3243" spans="1:29">
      <c r="A3243" t="s">
        <v>7703</v>
      </c>
      <c r="B3243" s="1">
        <v>45349</v>
      </c>
      <c r="C3243" t="s">
        <v>2443</v>
      </c>
      <c r="D3243" t="s">
        <v>212</v>
      </c>
      <c r="E3243">
        <v>134</v>
      </c>
      <c r="F3243" t="s">
        <v>7704</v>
      </c>
      <c r="G3243">
        <v>134</v>
      </c>
      <c r="H3243">
        <v>833.41650000000004</v>
      </c>
      <c r="N3243">
        <v>833.41650000000004</v>
      </c>
      <c r="O3243" s="1">
        <v>45194</v>
      </c>
      <c r="P3243">
        <f>IF(ISBLANK(ReconciliationData[[#This Row],[Invoice_ID]]),1,0)</f>
        <v>0</v>
      </c>
      <c r="Q3243">
        <f>IF(AND(NOT(ISBLANK(ReconciliationData[[#This Row],[Billed_Units]])),ReconciliationData[[#This Row],[ordered_units]]&lt;&gt;ReconciliationData[[#This Row],[Billed_Units]]),1,0)</f>
        <v>0</v>
      </c>
      <c r="R32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3">
        <f>IF(AND(NOT(ISBLANK(ReconciliationData[[#This Row],[Contract_Price]])),ReconciliationData[[#This Row],[Billed_Price]]&lt;&gt;ReconciliationData[[#This Row],[Contract_Price]]),1,0)</f>
        <v>0</v>
      </c>
      <c r="T3243">
        <f>IF(AND(NOT(ISBLANK(ReconciliationData[[#This Row],[End_Date]])),ReconciliationData[[#This Row],[Order_Date]]&gt;ReconciliationData[[#This Row],[End_Date]]),1,0)</f>
        <v>0</v>
      </c>
      <c r="U3243">
        <f>IF(AND(NOT(ISBLANK(ReconciliationData[[#This Row],[last_return_date]])),ReconciliationData[[#This Row],[last_return_date]]&gt;ReconciliationData[[#This Row],[Order_Date]]+60),1,0)</f>
        <v>0</v>
      </c>
      <c r="V3243">
        <f>IF(ReconciliationData[[#This Row],[total_returned_units]]&gt;ReconciliationData[[#This Row],[ordered_units]],1,0)</f>
        <v>0</v>
      </c>
      <c r="W32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3">
        <f>ReconciliationData[[#This Row],[Billed_Units]]*ReconciliationData[[#This Row],[Billed_Price]]</f>
        <v>111677.811</v>
      </c>
      <c r="Y3243">
        <f>ReconciliationData[[#This Row],[ordered_units]]*ReconciliationData[[#This Row],[List_Price]]</f>
        <v>111677.811</v>
      </c>
      <c r="Z3243">
        <f>ReconciliationData[[#This Row],[billed_revenue]]-ReconciliationData[[#This Row],[expected_revenue]]</f>
        <v>0</v>
      </c>
      <c r="AA32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3" t="str">
        <f>IF(ReconciliationData[[#This Row],[severity_score]]=0,"LOW",
 IF(ReconciliationData[[#This Row],[severity_score]]&lt;=5,"MEDIUM","HIGH"))</f>
        <v>LOW</v>
      </c>
      <c r="AC3243" t="str">
        <f>TEXT(ReconciliationData[[#This Row],[Order_Date]],"YYYY-MM")</f>
        <v>2024-02</v>
      </c>
    </row>
    <row r="3244" spans="1:29">
      <c r="A3244" t="s">
        <v>7705</v>
      </c>
      <c r="B3244" s="1">
        <v>45145</v>
      </c>
      <c r="C3244" t="s">
        <v>6962</v>
      </c>
      <c r="D3244" t="s">
        <v>1495</v>
      </c>
      <c r="E3244">
        <v>104</v>
      </c>
      <c r="F3244" t="s">
        <v>7706</v>
      </c>
      <c r="G3244">
        <v>104</v>
      </c>
      <c r="H3244">
        <v>377.08350000000002</v>
      </c>
      <c r="N3244">
        <v>377.08350000000002</v>
      </c>
      <c r="O3244" s="1">
        <v>45064</v>
      </c>
      <c r="P3244">
        <f>IF(ISBLANK(ReconciliationData[[#This Row],[Invoice_ID]]),1,0)</f>
        <v>0</v>
      </c>
      <c r="Q3244">
        <f>IF(AND(NOT(ISBLANK(ReconciliationData[[#This Row],[Billed_Units]])),ReconciliationData[[#This Row],[ordered_units]]&lt;&gt;ReconciliationData[[#This Row],[Billed_Units]]),1,0)</f>
        <v>0</v>
      </c>
      <c r="R32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4">
        <f>IF(AND(NOT(ISBLANK(ReconciliationData[[#This Row],[Contract_Price]])),ReconciliationData[[#This Row],[Billed_Price]]&lt;&gt;ReconciliationData[[#This Row],[Contract_Price]]),1,0)</f>
        <v>0</v>
      </c>
      <c r="T3244">
        <f>IF(AND(NOT(ISBLANK(ReconciliationData[[#This Row],[End_Date]])),ReconciliationData[[#This Row],[Order_Date]]&gt;ReconciliationData[[#This Row],[End_Date]]),1,0)</f>
        <v>0</v>
      </c>
      <c r="U3244">
        <f>IF(AND(NOT(ISBLANK(ReconciliationData[[#This Row],[last_return_date]])),ReconciliationData[[#This Row],[last_return_date]]&gt;ReconciliationData[[#This Row],[Order_Date]]+60),1,0)</f>
        <v>0</v>
      </c>
      <c r="V3244">
        <f>IF(ReconciliationData[[#This Row],[total_returned_units]]&gt;ReconciliationData[[#This Row],[ordered_units]],1,0)</f>
        <v>0</v>
      </c>
      <c r="W32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4">
        <f>ReconciliationData[[#This Row],[Billed_Units]]*ReconciliationData[[#This Row],[Billed_Price]]</f>
        <v>39216.684000000001</v>
      </c>
      <c r="Y3244">
        <f>ReconciliationData[[#This Row],[ordered_units]]*ReconciliationData[[#This Row],[List_Price]]</f>
        <v>39216.684000000001</v>
      </c>
      <c r="Z3244">
        <f>ReconciliationData[[#This Row],[billed_revenue]]-ReconciliationData[[#This Row],[expected_revenue]]</f>
        <v>0</v>
      </c>
      <c r="AA32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4" t="str">
        <f>IF(ReconciliationData[[#This Row],[severity_score]]=0,"LOW",
 IF(ReconciliationData[[#This Row],[severity_score]]&lt;=5,"MEDIUM","HIGH"))</f>
        <v>LOW</v>
      </c>
      <c r="AC3244" t="str">
        <f>TEXT(ReconciliationData[[#This Row],[Order_Date]],"YYYY-MM")</f>
        <v>2023-08</v>
      </c>
    </row>
    <row r="3245" spans="1:29">
      <c r="A3245" t="s">
        <v>7707</v>
      </c>
      <c r="B3245" s="1">
        <v>45063</v>
      </c>
      <c r="C3245" t="s">
        <v>4334</v>
      </c>
      <c r="D3245" t="s">
        <v>2853</v>
      </c>
      <c r="E3245">
        <v>117</v>
      </c>
      <c r="F3245" t="s">
        <v>7708</v>
      </c>
      <c r="G3245">
        <v>117</v>
      </c>
      <c r="H3245">
        <v>272.97059999999999</v>
      </c>
      <c r="N3245">
        <v>272.97059999999999</v>
      </c>
      <c r="O3245" s="1">
        <v>44883</v>
      </c>
      <c r="P3245">
        <f>IF(ISBLANK(ReconciliationData[[#This Row],[Invoice_ID]]),1,0)</f>
        <v>0</v>
      </c>
      <c r="Q3245">
        <f>IF(AND(NOT(ISBLANK(ReconciliationData[[#This Row],[Billed_Units]])),ReconciliationData[[#This Row],[ordered_units]]&lt;&gt;ReconciliationData[[#This Row],[Billed_Units]]),1,0)</f>
        <v>0</v>
      </c>
      <c r="R32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5">
        <f>IF(AND(NOT(ISBLANK(ReconciliationData[[#This Row],[Contract_Price]])),ReconciliationData[[#This Row],[Billed_Price]]&lt;&gt;ReconciliationData[[#This Row],[Contract_Price]]),1,0)</f>
        <v>0</v>
      </c>
      <c r="T3245">
        <f>IF(AND(NOT(ISBLANK(ReconciliationData[[#This Row],[End_Date]])),ReconciliationData[[#This Row],[Order_Date]]&gt;ReconciliationData[[#This Row],[End_Date]]),1,0)</f>
        <v>0</v>
      </c>
      <c r="U3245">
        <f>IF(AND(NOT(ISBLANK(ReconciliationData[[#This Row],[last_return_date]])),ReconciliationData[[#This Row],[last_return_date]]&gt;ReconciliationData[[#This Row],[Order_Date]]+60),1,0)</f>
        <v>0</v>
      </c>
      <c r="V3245">
        <f>IF(ReconciliationData[[#This Row],[total_returned_units]]&gt;ReconciliationData[[#This Row],[ordered_units]],1,0)</f>
        <v>0</v>
      </c>
      <c r="W32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5">
        <f>ReconciliationData[[#This Row],[Billed_Units]]*ReconciliationData[[#This Row],[Billed_Price]]</f>
        <v>31937.5602</v>
      </c>
      <c r="Y3245">
        <f>ReconciliationData[[#This Row],[ordered_units]]*ReconciliationData[[#This Row],[List_Price]]</f>
        <v>31937.5602</v>
      </c>
      <c r="Z3245">
        <f>ReconciliationData[[#This Row],[billed_revenue]]-ReconciliationData[[#This Row],[expected_revenue]]</f>
        <v>0</v>
      </c>
      <c r="AA32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5" t="str">
        <f>IF(ReconciliationData[[#This Row],[severity_score]]=0,"LOW",
 IF(ReconciliationData[[#This Row],[severity_score]]&lt;=5,"MEDIUM","HIGH"))</f>
        <v>LOW</v>
      </c>
      <c r="AC3245" t="str">
        <f>TEXT(ReconciliationData[[#This Row],[Order_Date]],"YYYY-MM")</f>
        <v>2023-05</v>
      </c>
    </row>
    <row r="3246" spans="1:29">
      <c r="A3246" t="s">
        <v>7709</v>
      </c>
      <c r="B3246" s="1">
        <v>45443</v>
      </c>
      <c r="C3246" t="s">
        <v>654</v>
      </c>
      <c r="D3246" t="s">
        <v>1392</v>
      </c>
      <c r="E3246">
        <v>135</v>
      </c>
      <c r="F3246" t="s">
        <v>7710</v>
      </c>
      <c r="G3246">
        <v>135</v>
      </c>
      <c r="H3246">
        <v>107.1605</v>
      </c>
      <c r="N3246">
        <v>107.1605</v>
      </c>
      <c r="O3246" s="1">
        <v>44970</v>
      </c>
      <c r="P3246">
        <f>IF(ISBLANK(ReconciliationData[[#This Row],[Invoice_ID]]),1,0)</f>
        <v>0</v>
      </c>
      <c r="Q3246">
        <f>IF(AND(NOT(ISBLANK(ReconciliationData[[#This Row],[Billed_Units]])),ReconciliationData[[#This Row],[ordered_units]]&lt;&gt;ReconciliationData[[#This Row],[Billed_Units]]),1,0)</f>
        <v>0</v>
      </c>
      <c r="R32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6">
        <f>IF(AND(NOT(ISBLANK(ReconciliationData[[#This Row],[Contract_Price]])),ReconciliationData[[#This Row],[Billed_Price]]&lt;&gt;ReconciliationData[[#This Row],[Contract_Price]]),1,0)</f>
        <v>0</v>
      </c>
      <c r="T3246">
        <f>IF(AND(NOT(ISBLANK(ReconciliationData[[#This Row],[End_Date]])),ReconciliationData[[#This Row],[Order_Date]]&gt;ReconciliationData[[#This Row],[End_Date]]),1,0)</f>
        <v>0</v>
      </c>
      <c r="U3246">
        <f>IF(AND(NOT(ISBLANK(ReconciliationData[[#This Row],[last_return_date]])),ReconciliationData[[#This Row],[last_return_date]]&gt;ReconciliationData[[#This Row],[Order_Date]]+60),1,0)</f>
        <v>0</v>
      </c>
      <c r="V3246">
        <f>IF(ReconciliationData[[#This Row],[total_returned_units]]&gt;ReconciliationData[[#This Row],[ordered_units]],1,0)</f>
        <v>0</v>
      </c>
      <c r="W32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6">
        <f>ReconciliationData[[#This Row],[Billed_Units]]*ReconciliationData[[#This Row],[Billed_Price]]</f>
        <v>14466.6675</v>
      </c>
      <c r="Y3246">
        <f>ReconciliationData[[#This Row],[ordered_units]]*ReconciliationData[[#This Row],[List_Price]]</f>
        <v>14466.6675</v>
      </c>
      <c r="Z3246">
        <f>ReconciliationData[[#This Row],[billed_revenue]]-ReconciliationData[[#This Row],[expected_revenue]]</f>
        <v>0</v>
      </c>
      <c r="AA32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6" t="str">
        <f>IF(ReconciliationData[[#This Row],[severity_score]]=0,"LOW",
 IF(ReconciliationData[[#This Row],[severity_score]]&lt;=5,"MEDIUM","HIGH"))</f>
        <v>LOW</v>
      </c>
      <c r="AC3246" t="str">
        <f>TEXT(ReconciliationData[[#This Row],[Order_Date]],"YYYY-MM")</f>
        <v>2024-05</v>
      </c>
    </row>
    <row r="3247" spans="1:29">
      <c r="A3247" t="s">
        <v>7711</v>
      </c>
      <c r="B3247" s="1">
        <v>45033</v>
      </c>
      <c r="C3247" t="s">
        <v>2549</v>
      </c>
      <c r="D3247" t="s">
        <v>1385</v>
      </c>
      <c r="E3247">
        <v>51</v>
      </c>
      <c r="F3247" t="s">
        <v>7712</v>
      </c>
      <c r="G3247">
        <v>51</v>
      </c>
      <c r="H3247">
        <v>296.2912</v>
      </c>
      <c r="N3247">
        <v>296.2912</v>
      </c>
      <c r="O3247" s="1">
        <v>44921</v>
      </c>
      <c r="P3247">
        <f>IF(ISBLANK(ReconciliationData[[#This Row],[Invoice_ID]]),1,0)</f>
        <v>0</v>
      </c>
      <c r="Q3247">
        <f>IF(AND(NOT(ISBLANK(ReconciliationData[[#This Row],[Billed_Units]])),ReconciliationData[[#This Row],[ordered_units]]&lt;&gt;ReconciliationData[[#This Row],[Billed_Units]]),1,0)</f>
        <v>0</v>
      </c>
      <c r="R32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7">
        <f>IF(AND(NOT(ISBLANK(ReconciliationData[[#This Row],[Contract_Price]])),ReconciliationData[[#This Row],[Billed_Price]]&lt;&gt;ReconciliationData[[#This Row],[Contract_Price]]),1,0)</f>
        <v>0</v>
      </c>
      <c r="T3247">
        <f>IF(AND(NOT(ISBLANK(ReconciliationData[[#This Row],[End_Date]])),ReconciliationData[[#This Row],[Order_Date]]&gt;ReconciliationData[[#This Row],[End_Date]]),1,0)</f>
        <v>0</v>
      </c>
      <c r="U3247">
        <f>IF(AND(NOT(ISBLANK(ReconciliationData[[#This Row],[last_return_date]])),ReconciliationData[[#This Row],[last_return_date]]&gt;ReconciliationData[[#This Row],[Order_Date]]+60),1,0)</f>
        <v>0</v>
      </c>
      <c r="V3247">
        <f>IF(ReconciliationData[[#This Row],[total_returned_units]]&gt;ReconciliationData[[#This Row],[ordered_units]],1,0)</f>
        <v>0</v>
      </c>
      <c r="W32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7">
        <f>ReconciliationData[[#This Row],[Billed_Units]]*ReconciliationData[[#This Row],[Billed_Price]]</f>
        <v>15110.851200000001</v>
      </c>
      <c r="Y3247">
        <f>ReconciliationData[[#This Row],[ordered_units]]*ReconciliationData[[#This Row],[List_Price]]</f>
        <v>15110.851200000001</v>
      </c>
      <c r="Z3247">
        <f>ReconciliationData[[#This Row],[billed_revenue]]-ReconciliationData[[#This Row],[expected_revenue]]</f>
        <v>0</v>
      </c>
      <c r="AA32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7" t="str">
        <f>IF(ReconciliationData[[#This Row],[severity_score]]=0,"LOW",
 IF(ReconciliationData[[#This Row],[severity_score]]&lt;=5,"MEDIUM","HIGH"))</f>
        <v>LOW</v>
      </c>
      <c r="AC3247" t="str">
        <f>TEXT(ReconciliationData[[#This Row],[Order_Date]],"YYYY-MM")</f>
        <v>2023-04</v>
      </c>
    </row>
    <row r="3248" spans="1:29">
      <c r="A3248" t="s">
        <v>7713</v>
      </c>
      <c r="B3248" s="1">
        <v>45479</v>
      </c>
      <c r="C3248" t="s">
        <v>1501</v>
      </c>
      <c r="D3248" t="s">
        <v>1802</v>
      </c>
      <c r="E3248">
        <v>24</v>
      </c>
      <c r="F3248" t="s">
        <v>7714</v>
      </c>
      <c r="G3248">
        <v>24</v>
      </c>
      <c r="H3248">
        <v>648.86940000000004</v>
      </c>
      <c r="N3248">
        <v>648.86940000000004</v>
      </c>
      <c r="O3248" s="1">
        <v>45064</v>
      </c>
      <c r="P3248">
        <f>IF(ISBLANK(ReconciliationData[[#This Row],[Invoice_ID]]),1,0)</f>
        <v>0</v>
      </c>
      <c r="Q3248">
        <f>IF(AND(NOT(ISBLANK(ReconciliationData[[#This Row],[Billed_Units]])),ReconciliationData[[#This Row],[ordered_units]]&lt;&gt;ReconciliationData[[#This Row],[Billed_Units]]),1,0)</f>
        <v>0</v>
      </c>
      <c r="R32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8">
        <f>IF(AND(NOT(ISBLANK(ReconciliationData[[#This Row],[Contract_Price]])),ReconciliationData[[#This Row],[Billed_Price]]&lt;&gt;ReconciliationData[[#This Row],[Contract_Price]]),1,0)</f>
        <v>0</v>
      </c>
      <c r="T3248">
        <f>IF(AND(NOT(ISBLANK(ReconciliationData[[#This Row],[End_Date]])),ReconciliationData[[#This Row],[Order_Date]]&gt;ReconciliationData[[#This Row],[End_Date]]),1,0)</f>
        <v>0</v>
      </c>
      <c r="U3248">
        <f>IF(AND(NOT(ISBLANK(ReconciliationData[[#This Row],[last_return_date]])),ReconciliationData[[#This Row],[last_return_date]]&gt;ReconciliationData[[#This Row],[Order_Date]]+60),1,0)</f>
        <v>0</v>
      </c>
      <c r="V3248">
        <f>IF(ReconciliationData[[#This Row],[total_returned_units]]&gt;ReconciliationData[[#This Row],[ordered_units]],1,0)</f>
        <v>0</v>
      </c>
      <c r="W32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8">
        <f>ReconciliationData[[#This Row],[Billed_Units]]*ReconciliationData[[#This Row],[Billed_Price]]</f>
        <v>15572.865600000001</v>
      </c>
      <c r="Y3248">
        <f>ReconciliationData[[#This Row],[ordered_units]]*ReconciliationData[[#This Row],[List_Price]]</f>
        <v>15572.865600000001</v>
      </c>
      <c r="Z3248">
        <f>ReconciliationData[[#This Row],[billed_revenue]]-ReconciliationData[[#This Row],[expected_revenue]]</f>
        <v>0</v>
      </c>
      <c r="AA32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8" t="str">
        <f>IF(ReconciliationData[[#This Row],[severity_score]]=0,"LOW",
 IF(ReconciliationData[[#This Row],[severity_score]]&lt;=5,"MEDIUM","HIGH"))</f>
        <v>LOW</v>
      </c>
      <c r="AC3248" t="str">
        <f>TEXT(ReconciliationData[[#This Row],[Order_Date]],"YYYY-MM")</f>
        <v>2024-07</v>
      </c>
    </row>
    <row r="3249" spans="1:29">
      <c r="A3249" t="s">
        <v>7715</v>
      </c>
      <c r="B3249" s="1">
        <v>45010</v>
      </c>
      <c r="C3249" t="s">
        <v>1077</v>
      </c>
      <c r="D3249" t="s">
        <v>1571</v>
      </c>
      <c r="E3249">
        <v>77</v>
      </c>
      <c r="F3249" t="s">
        <v>7716</v>
      </c>
      <c r="G3249">
        <v>77</v>
      </c>
      <c r="H3249">
        <v>1191.18</v>
      </c>
      <c r="N3249">
        <v>1191.18</v>
      </c>
      <c r="O3249" s="1">
        <v>44912</v>
      </c>
      <c r="P3249">
        <f>IF(ISBLANK(ReconciliationData[[#This Row],[Invoice_ID]]),1,0)</f>
        <v>0</v>
      </c>
      <c r="Q3249">
        <f>IF(AND(NOT(ISBLANK(ReconciliationData[[#This Row],[Billed_Units]])),ReconciliationData[[#This Row],[ordered_units]]&lt;&gt;ReconciliationData[[#This Row],[Billed_Units]]),1,0)</f>
        <v>0</v>
      </c>
      <c r="R32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49">
        <f>IF(AND(NOT(ISBLANK(ReconciliationData[[#This Row],[Contract_Price]])),ReconciliationData[[#This Row],[Billed_Price]]&lt;&gt;ReconciliationData[[#This Row],[Contract_Price]]),1,0)</f>
        <v>0</v>
      </c>
      <c r="T3249">
        <f>IF(AND(NOT(ISBLANK(ReconciliationData[[#This Row],[End_Date]])),ReconciliationData[[#This Row],[Order_Date]]&gt;ReconciliationData[[#This Row],[End_Date]]),1,0)</f>
        <v>0</v>
      </c>
      <c r="U3249">
        <f>IF(AND(NOT(ISBLANK(ReconciliationData[[#This Row],[last_return_date]])),ReconciliationData[[#This Row],[last_return_date]]&gt;ReconciliationData[[#This Row],[Order_Date]]+60),1,0)</f>
        <v>0</v>
      </c>
      <c r="V3249">
        <f>IF(ReconciliationData[[#This Row],[total_returned_units]]&gt;ReconciliationData[[#This Row],[ordered_units]],1,0)</f>
        <v>0</v>
      </c>
      <c r="W32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49">
        <f>ReconciliationData[[#This Row],[Billed_Units]]*ReconciliationData[[#This Row],[Billed_Price]]</f>
        <v>91720.86</v>
      </c>
      <c r="Y3249">
        <f>ReconciliationData[[#This Row],[ordered_units]]*ReconciliationData[[#This Row],[List_Price]]</f>
        <v>91720.86</v>
      </c>
      <c r="Z3249">
        <f>ReconciliationData[[#This Row],[billed_revenue]]-ReconciliationData[[#This Row],[expected_revenue]]</f>
        <v>0</v>
      </c>
      <c r="AA32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49" t="str">
        <f>IF(ReconciliationData[[#This Row],[severity_score]]=0,"LOW",
 IF(ReconciliationData[[#This Row],[severity_score]]&lt;=5,"MEDIUM","HIGH"))</f>
        <v>LOW</v>
      </c>
      <c r="AC3249" t="str">
        <f>TEXT(ReconciliationData[[#This Row],[Order_Date]],"YYYY-MM")</f>
        <v>2023-03</v>
      </c>
    </row>
    <row r="3250" spans="1:29">
      <c r="A3250" t="s">
        <v>7717</v>
      </c>
      <c r="B3250" s="1">
        <v>45140</v>
      </c>
      <c r="C3250" t="s">
        <v>3084</v>
      </c>
      <c r="D3250" t="s">
        <v>674</v>
      </c>
      <c r="E3250">
        <v>127</v>
      </c>
      <c r="F3250" t="s">
        <v>7718</v>
      </c>
      <c r="G3250">
        <v>127</v>
      </c>
      <c r="H3250">
        <v>1032.2340000000002</v>
      </c>
      <c r="N3250">
        <v>1032.2340000000002</v>
      </c>
      <c r="O3250" s="1">
        <v>44798</v>
      </c>
      <c r="P3250">
        <f>IF(ISBLANK(ReconciliationData[[#This Row],[Invoice_ID]]),1,0)</f>
        <v>0</v>
      </c>
      <c r="Q3250">
        <f>IF(AND(NOT(ISBLANK(ReconciliationData[[#This Row],[Billed_Units]])),ReconciliationData[[#This Row],[ordered_units]]&lt;&gt;ReconciliationData[[#This Row],[Billed_Units]]),1,0)</f>
        <v>0</v>
      </c>
      <c r="R32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50">
        <f>IF(AND(NOT(ISBLANK(ReconciliationData[[#This Row],[Contract_Price]])),ReconciliationData[[#This Row],[Billed_Price]]&lt;&gt;ReconciliationData[[#This Row],[Contract_Price]]),1,0)</f>
        <v>0</v>
      </c>
      <c r="T3250">
        <f>IF(AND(NOT(ISBLANK(ReconciliationData[[#This Row],[End_Date]])),ReconciliationData[[#This Row],[Order_Date]]&gt;ReconciliationData[[#This Row],[End_Date]]),1,0)</f>
        <v>0</v>
      </c>
      <c r="U3250">
        <f>IF(AND(NOT(ISBLANK(ReconciliationData[[#This Row],[last_return_date]])),ReconciliationData[[#This Row],[last_return_date]]&gt;ReconciliationData[[#This Row],[Order_Date]]+60),1,0)</f>
        <v>0</v>
      </c>
      <c r="V3250">
        <f>IF(ReconciliationData[[#This Row],[total_returned_units]]&gt;ReconciliationData[[#This Row],[ordered_units]],1,0)</f>
        <v>0</v>
      </c>
      <c r="W32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50">
        <f>ReconciliationData[[#This Row],[Billed_Units]]*ReconciliationData[[#This Row],[Billed_Price]]</f>
        <v>131093.71800000002</v>
      </c>
      <c r="Y3250">
        <f>ReconciliationData[[#This Row],[ordered_units]]*ReconciliationData[[#This Row],[List_Price]]</f>
        <v>131093.71800000002</v>
      </c>
      <c r="Z3250">
        <f>ReconciliationData[[#This Row],[billed_revenue]]-ReconciliationData[[#This Row],[expected_revenue]]</f>
        <v>0</v>
      </c>
      <c r="AA32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50" t="str">
        <f>IF(ReconciliationData[[#This Row],[severity_score]]=0,"LOW",
 IF(ReconciliationData[[#This Row],[severity_score]]&lt;=5,"MEDIUM","HIGH"))</f>
        <v>LOW</v>
      </c>
      <c r="AC3250" t="str">
        <f>TEXT(ReconciliationData[[#This Row],[Order_Date]],"YYYY-MM")</f>
        <v>2023-08</v>
      </c>
    </row>
    <row r="3251" spans="1:29">
      <c r="A3251" t="s">
        <v>7719</v>
      </c>
      <c r="B3251" s="1">
        <v>45231</v>
      </c>
      <c r="C3251" t="s">
        <v>1856</v>
      </c>
      <c r="D3251" t="s">
        <v>251</v>
      </c>
      <c r="E3251">
        <v>30</v>
      </c>
      <c r="F3251" t="s">
        <v>7720</v>
      </c>
      <c r="G3251">
        <v>30</v>
      </c>
      <c r="H3251">
        <v>957.65700000000015</v>
      </c>
      <c r="N3251">
        <v>957.65700000000015</v>
      </c>
      <c r="O3251" s="1">
        <v>45057</v>
      </c>
      <c r="P3251">
        <f>IF(ISBLANK(ReconciliationData[[#This Row],[Invoice_ID]]),1,0)</f>
        <v>0</v>
      </c>
      <c r="Q3251">
        <f>IF(AND(NOT(ISBLANK(ReconciliationData[[#This Row],[Billed_Units]])),ReconciliationData[[#This Row],[ordered_units]]&lt;&gt;ReconciliationData[[#This Row],[Billed_Units]]),1,0)</f>
        <v>0</v>
      </c>
      <c r="R32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51">
        <f>IF(AND(NOT(ISBLANK(ReconciliationData[[#This Row],[Contract_Price]])),ReconciliationData[[#This Row],[Billed_Price]]&lt;&gt;ReconciliationData[[#This Row],[Contract_Price]]),1,0)</f>
        <v>0</v>
      </c>
      <c r="T3251">
        <f>IF(AND(NOT(ISBLANK(ReconciliationData[[#This Row],[End_Date]])),ReconciliationData[[#This Row],[Order_Date]]&gt;ReconciliationData[[#This Row],[End_Date]]),1,0)</f>
        <v>0</v>
      </c>
      <c r="U3251">
        <f>IF(AND(NOT(ISBLANK(ReconciliationData[[#This Row],[last_return_date]])),ReconciliationData[[#This Row],[last_return_date]]&gt;ReconciliationData[[#This Row],[Order_Date]]+60),1,0)</f>
        <v>0</v>
      </c>
      <c r="V3251">
        <f>IF(ReconciliationData[[#This Row],[total_returned_units]]&gt;ReconciliationData[[#This Row],[ordered_units]],1,0)</f>
        <v>0</v>
      </c>
      <c r="W32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51">
        <f>ReconciliationData[[#This Row],[Billed_Units]]*ReconciliationData[[#This Row],[Billed_Price]]</f>
        <v>28729.710000000006</v>
      </c>
      <c r="Y3251">
        <f>ReconciliationData[[#This Row],[ordered_units]]*ReconciliationData[[#This Row],[List_Price]]</f>
        <v>28729.710000000006</v>
      </c>
      <c r="Z3251">
        <f>ReconciliationData[[#This Row],[billed_revenue]]-ReconciliationData[[#This Row],[expected_revenue]]</f>
        <v>0</v>
      </c>
      <c r="AA32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51" t="str">
        <f>IF(ReconciliationData[[#This Row],[severity_score]]=0,"LOW",
 IF(ReconciliationData[[#This Row],[severity_score]]&lt;=5,"MEDIUM","HIGH"))</f>
        <v>LOW</v>
      </c>
      <c r="AC3251" t="str">
        <f>TEXT(ReconciliationData[[#This Row],[Order_Date]],"YYYY-MM")</f>
        <v>2023-11</v>
      </c>
    </row>
    <row r="3252" spans="1:29">
      <c r="A3252" t="s">
        <v>7721</v>
      </c>
      <c r="B3252" s="1">
        <v>45282</v>
      </c>
      <c r="C3252" t="s">
        <v>1185</v>
      </c>
      <c r="D3252" t="s">
        <v>227</v>
      </c>
      <c r="E3252">
        <v>194</v>
      </c>
      <c r="F3252" t="s">
        <v>7722</v>
      </c>
      <c r="G3252">
        <v>194</v>
      </c>
      <c r="H3252">
        <v>626.68790000000001</v>
      </c>
      <c r="N3252">
        <v>626.68790000000001</v>
      </c>
      <c r="O3252" s="1">
        <v>45103</v>
      </c>
      <c r="P3252">
        <f>IF(ISBLANK(ReconciliationData[[#This Row],[Invoice_ID]]),1,0)</f>
        <v>0</v>
      </c>
      <c r="Q3252">
        <f>IF(AND(NOT(ISBLANK(ReconciliationData[[#This Row],[Billed_Units]])),ReconciliationData[[#This Row],[ordered_units]]&lt;&gt;ReconciliationData[[#This Row],[Billed_Units]]),1,0)</f>
        <v>0</v>
      </c>
      <c r="R32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52">
        <f>IF(AND(NOT(ISBLANK(ReconciliationData[[#This Row],[Contract_Price]])),ReconciliationData[[#This Row],[Billed_Price]]&lt;&gt;ReconciliationData[[#This Row],[Contract_Price]]),1,0)</f>
        <v>0</v>
      </c>
      <c r="T3252">
        <f>IF(AND(NOT(ISBLANK(ReconciliationData[[#This Row],[End_Date]])),ReconciliationData[[#This Row],[Order_Date]]&gt;ReconciliationData[[#This Row],[End_Date]]),1,0)</f>
        <v>0</v>
      </c>
      <c r="U3252">
        <f>IF(AND(NOT(ISBLANK(ReconciliationData[[#This Row],[last_return_date]])),ReconciliationData[[#This Row],[last_return_date]]&gt;ReconciliationData[[#This Row],[Order_Date]]+60),1,0)</f>
        <v>0</v>
      </c>
      <c r="V3252">
        <f>IF(ReconciliationData[[#This Row],[total_returned_units]]&gt;ReconciliationData[[#This Row],[ordered_units]],1,0)</f>
        <v>0</v>
      </c>
      <c r="W32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52">
        <f>ReconciliationData[[#This Row],[Billed_Units]]*ReconciliationData[[#This Row],[Billed_Price]]</f>
        <v>121577.4526</v>
      </c>
      <c r="Y3252">
        <f>ReconciliationData[[#This Row],[ordered_units]]*ReconciliationData[[#This Row],[List_Price]]</f>
        <v>121577.4526</v>
      </c>
      <c r="Z3252">
        <f>ReconciliationData[[#This Row],[billed_revenue]]-ReconciliationData[[#This Row],[expected_revenue]]</f>
        <v>0</v>
      </c>
      <c r="AA32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52" t="str">
        <f>IF(ReconciliationData[[#This Row],[severity_score]]=0,"LOW",
 IF(ReconciliationData[[#This Row],[severity_score]]&lt;=5,"MEDIUM","HIGH"))</f>
        <v>LOW</v>
      </c>
      <c r="AC3252" t="str">
        <f>TEXT(ReconciliationData[[#This Row],[Order_Date]],"YYYY-MM")</f>
        <v>2023-12</v>
      </c>
    </row>
    <row r="3253" spans="1:29">
      <c r="A3253" t="s">
        <v>7723</v>
      </c>
      <c r="B3253" s="1">
        <v>45411</v>
      </c>
      <c r="C3253" t="s">
        <v>426</v>
      </c>
      <c r="D3253" t="s">
        <v>1802</v>
      </c>
      <c r="E3253">
        <v>58</v>
      </c>
      <c r="F3253" t="s">
        <v>7724</v>
      </c>
      <c r="G3253">
        <v>58</v>
      </c>
      <c r="H3253">
        <v>648.86940000000004</v>
      </c>
      <c r="N3253">
        <v>648.86940000000004</v>
      </c>
      <c r="O3253" s="1">
        <v>45064</v>
      </c>
      <c r="P3253">
        <f>IF(ISBLANK(ReconciliationData[[#This Row],[Invoice_ID]]),1,0)</f>
        <v>0</v>
      </c>
      <c r="Q3253">
        <f>IF(AND(NOT(ISBLANK(ReconciliationData[[#This Row],[Billed_Units]])),ReconciliationData[[#This Row],[ordered_units]]&lt;&gt;ReconciliationData[[#This Row],[Billed_Units]]),1,0)</f>
        <v>0</v>
      </c>
      <c r="R32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53">
        <f>IF(AND(NOT(ISBLANK(ReconciliationData[[#This Row],[Contract_Price]])),ReconciliationData[[#This Row],[Billed_Price]]&lt;&gt;ReconciliationData[[#This Row],[Contract_Price]]),1,0)</f>
        <v>0</v>
      </c>
      <c r="T3253">
        <f>IF(AND(NOT(ISBLANK(ReconciliationData[[#This Row],[End_Date]])),ReconciliationData[[#This Row],[Order_Date]]&gt;ReconciliationData[[#This Row],[End_Date]]),1,0)</f>
        <v>0</v>
      </c>
      <c r="U3253">
        <f>IF(AND(NOT(ISBLANK(ReconciliationData[[#This Row],[last_return_date]])),ReconciliationData[[#This Row],[last_return_date]]&gt;ReconciliationData[[#This Row],[Order_Date]]+60),1,0)</f>
        <v>0</v>
      </c>
      <c r="V3253">
        <f>IF(ReconciliationData[[#This Row],[total_returned_units]]&gt;ReconciliationData[[#This Row],[ordered_units]],1,0)</f>
        <v>0</v>
      </c>
      <c r="W32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53">
        <f>ReconciliationData[[#This Row],[Billed_Units]]*ReconciliationData[[#This Row],[Billed_Price]]</f>
        <v>37634.425200000005</v>
      </c>
      <c r="Y3253">
        <f>ReconciliationData[[#This Row],[ordered_units]]*ReconciliationData[[#This Row],[List_Price]]</f>
        <v>37634.425200000005</v>
      </c>
      <c r="Z3253">
        <f>ReconciliationData[[#This Row],[billed_revenue]]-ReconciliationData[[#This Row],[expected_revenue]]</f>
        <v>0</v>
      </c>
      <c r="AA32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53" t="str">
        <f>IF(ReconciliationData[[#This Row],[severity_score]]=0,"LOW",
 IF(ReconciliationData[[#This Row],[severity_score]]&lt;=5,"MEDIUM","HIGH"))</f>
        <v>LOW</v>
      </c>
      <c r="AC3253" t="str">
        <f>TEXT(ReconciliationData[[#This Row],[Order_Date]],"YYYY-MM")</f>
        <v>2024-04</v>
      </c>
    </row>
    <row r="3254" spans="1:29">
      <c r="A3254" t="s">
        <v>7725</v>
      </c>
      <c r="B3254" s="1">
        <v>45385</v>
      </c>
      <c r="C3254" t="s">
        <v>1709</v>
      </c>
      <c r="D3254" t="s">
        <v>333</v>
      </c>
      <c r="E3254">
        <v>36</v>
      </c>
      <c r="F3254" t="s">
        <v>7726</v>
      </c>
      <c r="G3254">
        <v>46</v>
      </c>
      <c r="H3254">
        <v>1144.1684</v>
      </c>
      <c r="I3254">
        <v>11</v>
      </c>
      <c r="J3254" s="1">
        <v>45679</v>
      </c>
      <c r="N3254">
        <v>1144.1684</v>
      </c>
      <c r="O3254" s="1">
        <v>44955</v>
      </c>
      <c r="P3254">
        <f>IF(ISBLANK(ReconciliationData[[#This Row],[Invoice_ID]]),1,0)</f>
        <v>0</v>
      </c>
      <c r="Q3254">
        <f>IF(AND(NOT(ISBLANK(ReconciliationData[[#This Row],[Billed_Units]])),ReconciliationData[[#This Row],[ordered_units]]&lt;&gt;ReconciliationData[[#This Row],[Billed_Units]]),1,0)</f>
        <v>1</v>
      </c>
      <c r="R32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54">
        <f>IF(AND(NOT(ISBLANK(ReconciliationData[[#This Row],[Contract_Price]])),ReconciliationData[[#This Row],[Billed_Price]]&lt;&gt;ReconciliationData[[#This Row],[Contract_Price]]),1,0)</f>
        <v>0</v>
      </c>
      <c r="T3254">
        <f>IF(AND(NOT(ISBLANK(ReconciliationData[[#This Row],[End_Date]])),ReconciliationData[[#This Row],[Order_Date]]&gt;ReconciliationData[[#This Row],[End_Date]]),1,0)</f>
        <v>0</v>
      </c>
      <c r="U3254">
        <f>IF(AND(NOT(ISBLANK(ReconciliationData[[#This Row],[last_return_date]])),ReconciliationData[[#This Row],[last_return_date]]&gt;ReconciliationData[[#This Row],[Order_Date]]+60),1,0)</f>
        <v>1</v>
      </c>
      <c r="V3254">
        <f>IF(ReconciliationData[[#This Row],[total_returned_units]]&gt;ReconciliationData[[#This Row],[ordered_units]],1,0)</f>
        <v>0</v>
      </c>
      <c r="W32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254">
        <f>ReconciliationData[[#This Row],[Billed_Units]]*ReconciliationData[[#This Row],[Billed_Price]]</f>
        <v>52631.746400000004</v>
      </c>
      <c r="Y3254">
        <f>ReconciliationData[[#This Row],[ordered_units]]*ReconciliationData[[#This Row],[List_Price]]</f>
        <v>41190.062400000003</v>
      </c>
      <c r="Z3254">
        <f>ReconciliationData[[#This Row],[billed_revenue]]-ReconciliationData[[#This Row],[expected_revenue]]</f>
        <v>11441.684000000001</v>
      </c>
      <c r="AA32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10</v>
      </c>
      <c r="AB3254" t="str">
        <f>IF(ReconciliationData[[#This Row],[severity_score]]=0,"LOW",
 IF(ReconciliationData[[#This Row],[severity_score]]&lt;=5,"MEDIUM","HIGH"))</f>
        <v>HIGH</v>
      </c>
      <c r="AC3254" t="str">
        <f>TEXT(ReconciliationData[[#This Row],[Order_Date]],"YYYY-MM")</f>
        <v>2024-04</v>
      </c>
    </row>
    <row r="3255" spans="1:29">
      <c r="A3255" t="s">
        <v>7727</v>
      </c>
      <c r="B3255" s="1">
        <v>45352</v>
      </c>
      <c r="C3255" t="s">
        <v>1120</v>
      </c>
      <c r="D3255" t="s">
        <v>1555</v>
      </c>
      <c r="E3255">
        <v>102</v>
      </c>
      <c r="F3255" t="s">
        <v>7728</v>
      </c>
      <c r="G3255">
        <v>102</v>
      </c>
      <c r="H3255">
        <v>850.83783702720893</v>
      </c>
      <c r="N3255">
        <v>850.16200000000003</v>
      </c>
      <c r="O3255" s="1">
        <v>45099</v>
      </c>
      <c r="P3255">
        <f>IF(ISBLANK(ReconciliationData[[#This Row],[Invoice_ID]]),1,0)</f>
        <v>0</v>
      </c>
      <c r="Q3255">
        <f>IF(AND(NOT(ISBLANK(ReconciliationData[[#This Row],[Billed_Units]])),ReconciliationData[[#This Row],[ordered_units]]&lt;&gt;ReconciliationData[[#This Row],[Billed_Units]]),1,0)</f>
        <v>0</v>
      </c>
      <c r="R325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255">
        <f>IF(AND(NOT(ISBLANK(ReconciliationData[[#This Row],[Contract_Price]])),ReconciliationData[[#This Row],[Billed_Price]]&lt;&gt;ReconciliationData[[#This Row],[Contract_Price]]),1,0)</f>
        <v>0</v>
      </c>
      <c r="T3255">
        <f>IF(AND(NOT(ISBLANK(ReconciliationData[[#This Row],[End_Date]])),ReconciliationData[[#This Row],[Order_Date]]&gt;ReconciliationData[[#This Row],[End_Date]]),1,0)</f>
        <v>0</v>
      </c>
      <c r="U3255">
        <f>IF(AND(NOT(ISBLANK(ReconciliationData[[#This Row],[last_return_date]])),ReconciliationData[[#This Row],[last_return_date]]&gt;ReconciliationData[[#This Row],[Order_Date]]+60),1,0)</f>
        <v>0</v>
      </c>
      <c r="V3255">
        <f>IF(ReconciliationData[[#This Row],[total_returned_units]]&gt;ReconciliationData[[#This Row],[ordered_units]],1,0)</f>
        <v>0</v>
      </c>
      <c r="W32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255">
        <f>ReconciliationData[[#This Row],[Billed_Units]]*ReconciliationData[[#This Row],[Billed_Price]]</f>
        <v>86785.45937677531</v>
      </c>
      <c r="Y3255">
        <f>ReconciliationData[[#This Row],[ordered_units]]*ReconciliationData[[#This Row],[List_Price]]</f>
        <v>86716.524000000005</v>
      </c>
      <c r="Z3255">
        <f>ReconciliationData[[#This Row],[billed_revenue]]-ReconciliationData[[#This Row],[expected_revenue]]</f>
        <v>68.935376775305485</v>
      </c>
      <c r="AA32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255" t="str">
        <f>IF(ReconciliationData[[#This Row],[severity_score]]=0,"LOW",
 IF(ReconciliationData[[#This Row],[severity_score]]&lt;=5,"MEDIUM","HIGH"))</f>
        <v>MEDIUM</v>
      </c>
      <c r="AC3255" t="str">
        <f>TEXT(ReconciliationData[[#This Row],[Order_Date]],"YYYY-MM")</f>
        <v>2024-03</v>
      </c>
    </row>
    <row r="3256" spans="1:29">
      <c r="A3256" t="s">
        <v>7729</v>
      </c>
      <c r="B3256" s="1">
        <v>44933</v>
      </c>
      <c r="C3256" t="s">
        <v>1152</v>
      </c>
      <c r="D3256" t="s">
        <v>329</v>
      </c>
      <c r="E3256">
        <v>109</v>
      </c>
      <c r="F3256" t="s">
        <v>7730</v>
      </c>
      <c r="G3256">
        <v>109</v>
      </c>
      <c r="H3256">
        <v>412.95450000000005</v>
      </c>
      <c r="N3256">
        <v>412.95450000000005</v>
      </c>
      <c r="O3256" s="1">
        <v>44785</v>
      </c>
      <c r="P3256">
        <f>IF(ISBLANK(ReconciliationData[[#This Row],[Invoice_ID]]),1,0)</f>
        <v>0</v>
      </c>
      <c r="Q3256">
        <f>IF(AND(NOT(ISBLANK(ReconciliationData[[#This Row],[Billed_Units]])),ReconciliationData[[#This Row],[ordered_units]]&lt;&gt;ReconciliationData[[#This Row],[Billed_Units]]),1,0)</f>
        <v>0</v>
      </c>
      <c r="R32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56">
        <f>IF(AND(NOT(ISBLANK(ReconciliationData[[#This Row],[Contract_Price]])),ReconciliationData[[#This Row],[Billed_Price]]&lt;&gt;ReconciliationData[[#This Row],[Contract_Price]]),1,0)</f>
        <v>0</v>
      </c>
      <c r="T3256">
        <f>IF(AND(NOT(ISBLANK(ReconciliationData[[#This Row],[End_Date]])),ReconciliationData[[#This Row],[Order_Date]]&gt;ReconciliationData[[#This Row],[End_Date]]),1,0)</f>
        <v>0</v>
      </c>
      <c r="U3256">
        <f>IF(AND(NOT(ISBLANK(ReconciliationData[[#This Row],[last_return_date]])),ReconciliationData[[#This Row],[last_return_date]]&gt;ReconciliationData[[#This Row],[Order_Date]]+60),1,0)</f>
        <v>0</v>
      </c>
      <c r="V3256">
        <f>IF(ReconciliationData[[#This Row],[total_returned_units]]&gt;ReconciliationData[[#This Row],[ordered_units]],1,0)</f>
        <v>0</v>
      </c>
      <c r="W32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56">
        <f>ReconciliationData[[#This Row],[Billed_Units]]*ReconciliationData[[#This Row],[Billed_Price]]</f>
        <v>45012.040500000003</v>
      </c>
      <c r="Y3256">
        <f>ReconciliationData[[#This Row],[ordered_units]]*ReconciliationData[[#This Row],[List_Price]]</f>
        <v>45012.040500000003</v>
      </c>
      <c r="Z3256">
        <f>ReconciliationData[[#This Row],[billed_revenue]]-ReconciliationData[[#This Row],[expected_revenue]]</f>
        <v>0</v>
      </c>
      <c r="AA32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56" t="str">
        <f>IF(ReconciliationData[[#This Row],[severity_score]]=0,"LOW",
 IF(ReconciliationData[[#This Row],[severity_score]]&lt;=5,"MEDIUM","HIGH"))</f>
        <v>LOW</v>
      </c>
      <c r="AC3256" t="str">
        <f>TEXT(ReconciliationData[[#This Row],[Order_Date]],"YYYY-MM")</f>
        <v>2023-01</v>
      </c>
    </row>
    <row r="3257" spans="1:29">
      <c r="A3257" t="s">
        <v>7731</v>
      </c>
      <c r="B3257" s="1">
        <v>45595</v>
      </c>
      <c r="C3257" t="s">
        <v>1734</v>
      </c>
      <c r="D3257" t="s">
        <v>2583</v>
      </c>
      <c r="E3257">
        <v>94</v>
      </c>
      <c r="F3257" t="s">
        <v>7732</v>
      </c>
      <c r="G3257">
        <v>94</v>
      </c>
      <c r="H3257">
        <v>511.96</v>
      </c>
      <c r="N3257">
        <v>511.96</v>
      </c>
      <c r="O3257" s="1">
        <v>45058</v>
      </c>
      <c r="P3257">
        <f>IF(ISBLANK(ReconciliationData[[#This Row],[Invoice_ID]]),1,0)</f>
        <v>0</v>
      </c>
      <c r="Q3257">
        <f>IF(AND(NOT(ISBLANK(ReconciliationData[[#This Row],[Billed_Units]])),ReconciliationData[[#This Row],[ordered_units]]&lt;&gt;ReconciliationData[[#This Row],[Billed_Units]]),1,0)</f>
        <v>0</v>
      </c>
      <c r="R32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57">
        <f>IF(AND(NOT(ISBLANK(ReconciliationData[[#This Row],[Contract_Price]])),ReconciliationData[[#This Row],[Billed_Price]]&lt;&gt;ReconciliationData[[#This Row],[Contract_Price]]),1,0)</f>
        <v>0</v>
      </c>
      <c r="T3257">
        <f>IF(AND(NOT(ISBLANK(ReconciliationData[[#This Row],[End_Date]])),ReconciliationData[[#This Row],[Order_Date]]&gt;ReconciliationData[[#This Row],[End_Date]]),1,0)</f>
        <v>0</v>
      </c>
      <c r="U3257">
        <f>IF(AND(NOT(ISBLANK(ReconciliationData[[#This Row],[last_return_date]])),ReconciliationData[[#This Row],[last_return_date]]&gt;ReconciliationData[[#This Row],[Order_Date]]+60),1,0)</f>
        <v>0</v>
      </c>
      <c r="V3257">
        <f>IF(ReconciliationData[[#This Row],[total_returned_units]]&gt;ReconciliationData[[#This Row],[ordered_units]],1,0)</f>
        <v>0</v>
      </c>
      <c r="W32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57">
        <f>ReconciliationData[[#This Row],[Billed_Units]]*ReconciliationData[[#This Row],[Billed_Price]]</f>
        <v>48124.24</v>
      </c>
      <c r="Y3257">
        <f>ReconciliationData[[#This Row],[ordered_units]]*ReconciliationData[[#This Row],[List_Price]]</f>
        <v>48124.24</v>
      </c>
      <c r="Z3257">
        <f>ReconciliationData[[#This Row],[billed_revenue]]-ReconciliationData[[#This Row],[expected_revenue]]</f>
        <v>0</v>
      </c>
      <c r="AA32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57" t="str">
        <f>IF(ReconciliationData[[#This Row],[severity_score]]=0,"LOW",
 IF(ReconciliationData[[#This Row],[severity_score]]&lt;=5,"MEDIUM","HIGH"))</f>
        <v>LOW</v>
      </c>
      <c r="AC3257" t="str">
        <f>TEXT(ReconciliationData[[#This Row],[Order_Date]],"YYYY-MM")</f>
        <v>2024-10</v>
      </c>
    </row>
    <row r="3258" spans="1:29">
      <c r="A3258" t="s">
        <v>7733</v>
      </c>
      <c r="B3258" s="1">
        <v>45255</v>
      </c>
      <c r="C3258" t="s">
        <v>3575</v>
      </c>
      <c r="D3258" t="s">
        <v>1094</v>
      </c>
      <c r="E3258">
        <v>123</v>
      </c>
      <c r="F3258" t="s">
        <v>7734</v>
      </c>
      <c r="G3258">
        <v>123</v>
      </c>
      <c r="H3258">
        <v>977.22280000000001</v>
      </c>
      <c r="N3258">
        <v>977.22280000000001</v>
      </c>
      <c r="O3258" s="1">
        <v>44984</v>
      </c>
      <c r="P3258">
        <f>IF(ISBLANK(ReconciliationData[[#This Row],[Invoice_ID]]),1,0)</f>
        <v>0</v>
      </c>
      <c r="Q3258">
        <f>IF(AND(NOT(ISBLANK(ReconciliationData[[#This Row],[Billed_Units]])),ReconciliationData[[#This Row],[ordered_units]]&lt;&gt;ReconciliationData[[#This Row],[Billed_Units]]),1,0)</f>
        <v>0</v>
      </c>
      <c r="R32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58">
        <f>IF(AND(NOT(ISBLANK(ReconciliationData[[#This Row],[Contract_Price]])),ReconciliationData[[#This Row],[Billed_Price]]&lt;&gt;ReconciliationData[[#This Row],[Contract_Price]]),1,0)</f>
        <v>0</v>
      </c>
      <c r="T3258">
        <f>IF(AND(NOT(ISBLANK(ReconciliationData[[#This Row],[End_Date]])),ReconciliationData[[#This Row],[Order_Date]]&gt;ReconciliationData[[#This Row],[End_Date]]),1,0)</f>
        <v>0</v>
      </c>
      <c r="U3258">
        <f>IF(AND(NOT(ISBLANK(ReconciliationData[[#This Row],[last_return_date]])),ReconciliationData[[#This Row],[last_return_date]]&gt;ReconciliationData[[#This Row],[Order_Date]]+60),1,0)</f>
        <v>0</v>
      </c>
      <c r="V3258">
        <f>IF(ReconciliationData[[#This Row],[total_returned_units]]&gt;ReconciliationData[[#This Row],[ordered_units]],1,0)</f>
        <v>0</v>
      </c>
      <c r="W32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58">
        <f>ReconciliationData[[#This Row],[Billed_Units]]*ReconciliationData[[#This Row],[Billed_Price]]</f>
        <v>120198.4044</v>
      </c>
      <c r="Y3258">
        <f>ReconciliationData[[#This Row],[ordered_units]]*ReconciliationData[[#This Row],[List_Price]]</f>
        <v>120198.4044</v>
      </c>
      <c r="Z3258">
        <f>ReconciliationData[[#This Row],[billed_revenue]]-ReconciliationData[[#This Row],[expected_revenue]]</f>
        <v>0</v>
      </c>
      <c r="AA32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58" t="str">
        <f>IF(ReconciliationData[[#This Row],[severity_score]]=0,"LOW",
 IF(ReconciliationData[[#This Row],[severity_score]]&lt;=5,"MEDIUM","HIGH"))</f>
        <v>LOW</v>
      </c>
      <c r="AC3258" t="str">
        <f>TEXT(ReconciliationData[[#This Row],[Order_Date]],"YYYY-MM")</f>
        <v>2023-11</v>
      </c>
    </row>
    <row r="3259" spans="1:29">
      <c r="A3259" t="s">
        <v>7735</v>
      </c>
      <c r="B3259" s="1">
        <v>45269</v>
      </c>
      <c r="C3259" t="s">
        <v>1657</v>
      </c>
      <c r="D3259" t="s">
        <v>1802</v>
      </c>
      <c r="E3259">
        <v>11</v>
      </c>
      <c r="F3259" t="s">
        <v>7736</v>
      </c>
      <c r="G3259">
        <v>11</v>
      </c>
      <c r="H3259">
        <v>648.86940000000004</v>
      </c>
      <c r="N3259">
        <v>648.86940000000004</v>
      </c>
      <c r="O3259" s="1">
        <v>45064</v>
      </c>
      <c r="P3259">
        <f>IF(ISBLANK(ReconciliationData[[#This Row],[Invoice_ID]]),1,0)</f>
        <v>0</v>
      </c>
      <c r="Q3259">
        <f>IF(AND(NOT(ISBLANK(ReconciliationData[[#This Row],[Billed_Units]])),ReconciliationData[[#This Row],[ordered_units]]&lt;&gt;ReconciliationData[[#This Row],[Billed_Units]]),1,0)</f>
        <v>0</v>
      </c>
      <c r="R32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59">
        <f>IF(AND(NOT(ISBLANK(ReconciliationData[[#This Row],[Contract_Price]])),ReconciliationData[[#This Row],[Billed_Price]]&lt;&gt;ReconciliationData[[#This Row],[Contract_Price]]),1,0)</f>
        <v>0</v>
      </c>
      <c r="T3259">
        <f>IF(AND(NOT(ISBLANK(ReconciliationData[[#This Row],[End_Date]])),ReconciliationData[[#This Row],[Order_Date]]&gt;ReconciliationData[[#This Row],[End_Date]]),1,0)</f>
        <v>0</v>
      </c>
      <c r="U3259">
        <f>IF(AND(NOT(ISBLANK(ReconciliationData[[#This Row],[last_return_date]])),ReconciliationData[[#This Row],[last_return_date]]&gt;ReconciliationData[[#This Row],[Order_Date]]+60),1,0)</f>
        <v>0</v>
      </c>
      <c r="V3259">
        <f>IF(ReconciliationData[[#This Row],[total_returned_units]]&gt;ReconciliationData[[#This Row],[ordered_units]],1,0)</f>
        <v>0</v>
      </c>
      <c r="W32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59">
        <f>ReconciliationData[[#This Row],[Billed_Units]]*ReconciliationData[[#This Row],[Billed_Price]]</f>
        <v>7137.5634000000009</v>
      </c>
      <c r="Y3259">
        <f>ReconciliationData[[#This Row],[ordered_units]]*ReconciliationData[[#This Row],[List_Price]]</f>
        <v>7137.5634000000009</v>
      </c>
      <c r="Z3259">
        <f>ReconciliationData[[#This Row],[billed_revenue]]-ReconciliationData[[#This Row],[expected_revenue]]</f>
        <v>0</v>
      </c>
      <c r="AA32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59" t="str">
        <f>IF(ReconciliationData[[#This Row],[severity_score]]=0,"LOW",
 IF(ReconciliationData[[#This Row],[severity_score]]&lt;=5,"MEDIUM","HIGH"))</f>
        <v>LOW</v>
      </c>
      <c r="AC3259" t="str">
        <f>TEXT(ReconciliationData[[#This Row],[Order_Date]],"YYYY-MM")</f>
        <v>2023-12</v>
      </c>
    </row>
    <row r="3260" spans="1:29">
      <c r="A3260" t="s">
        <v>7737</v>
      </c>
      <c r="B3260" s="1">
        <v>45218</v>
      </c>
      <c r="C3260" t="s">
        <v>2687</v>
      </c>
      <c r="D3260" t="s">
        <v>170</v>
      </c>
      <c r="E3260">
        <v>14</v>
      </c>
      <c r="F3260" t="s">
        <v>7738</v>
      </c>
      <c r="G3260">
        <v>14</v>
      </c>
      <c r="H3260">
        <v>397.40159999999997</v>
      </c>
      <c r="I3260">
        <v>13</v>
      </c>
      <c r="J3260" s="1">
        <v>45489</v>
      </c>
      <c r="N3260">
        <v>397.40159999999997</v>
      </c>
      <c r="O3260" s="1">
        <v>45021</v>
      </c>
      <c r="P3260">
        <f>IF(ISBLANK(ReconciliationData[[#This Row],[Invoice_ID]]),1,0)</f>
        <v>0</v>
      </c>
      <c r="Q3260">
        <f>IF(AND(NOT(ISBLANK(ReconciliationData[[#This Row],[Billed_Units]])),ReconciliationData[[#This Row],[ordered_units]]&lt;&gt;ReconciliationData[[#This Row],[Billed_Units]]),1,0)</f>
        <v>0</v>
      </c>
      <c r="R32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0">
        <f>IF(AND(NOT(ISBLANK(ReconciliationData[[#This Row],[Contract_Price]])),ReconciliationData[[#This Row],[Billed_Price]]&lt;&gt;ReconciliationData[[#This Row],[Contract_Price]]),1,0)</f>
        <v>0</v>
      </c>
      <c r="T3260">
        <f>IF(AND(NOT(ISBLANK(ReconciliationData[[#This Row],[End_Date]])),ReconciliationData[[#This Row],[Order_Date]]&gt;ReconciliationData[[#This Row],[End_Date]]),1,0)</f>
        <v>0</v>
      </c>
      <c r="U3260">
        <f>IF(AND(NOT(ISBLANK(ReconciliationData[[#This Row],[last_return_date]])),ReconciliationData[[#This Row],[last_return_date]]&gt;ReconciliationData[[#This Row],[Order_Date]]+60),1,0)</f>
        <v>1</v>
      </c>
      <c r="V3260">
        <f>IF(ReconciliationData[[#This Row],[total_returned_units]]&gt;ReconciliationData[[#This Row],[ordered_units]],1,0)</f>
        <v>0</v>
      </c>
      <c r="W32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260">
        <f>ReconciliationData[[#This Row],[Billed_Units]]*ReconciliationData[[#This Row],[Billed_Price]]</f>
        <v>5563.6223999999993</v>
      </c>
      <c r="Y3260">
        <f>ReconciliationData[[#This Row],[ordered_units]]*ReconciliationData[[#This Row],[List_Price]]</f>
        <v>5563.6223999999993</v>
      </c>
      <c r="Z3260">
        <f>ReconciliationData[[#This Row],[billed_revenue]]-ReconciliationData[[#This Row],[expected_revenue]]</f>
        <v>0</v>
      </c>
      <c r="AA32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260" t="str">
        <f>IF(ReconciliationData[[#This Row],[severity_score]]=0,"LOW",
 IF(ReconciliationData[[#This Row],[severity_score]]&lt;=5,"MEDIUM","HIGH"))</f>
        <v>MEDIUM</v>
      </c>
      <c r="AC3260" t="str">
        <f>TEXT(ReconciliationData[[#This Row],[Order_Date]],"YYYY-MM")</f>
        <v>2023-10</v>
      </c>
    </row>
    <row r="3261" spans="1:29">
      <c r="A3261" t="s">
        <v>7739</v>
      </c>
      <c r="B3261" s="1">
        <v>45259</v>
      </c>
      <c r="C3261" t="s">
        <v>1598</v>
      </c>
      <c r="D3261" t="s">
        <v>1567</v>
      </c>
      <c r="E3261">
        <v>200</v>
      </c>
      <c r="F3261" t="s">
        <v>7740</v>
      </c>
      <c r="G3261">
        <v>200</v>
      </c>
      <c r="H3261">
        <v>799.8357000000002</v>
      </c>
      <c r="N3261">
        <v>799.8357000000002</v>
      </c>
      <c r="O3261" s="1">
        <v>45063</v>
      </c>
      <c r="P3261">
        <f>IF(ISBLANK(ReconciliationData[[#This Row],[Invoice_ID]]),1,0)</f>
        <v>0</v>
      </c>
      <c r="Q3261">
        <f>IF(AND(NOT(ISBLANK(ReconciliationData[[#This Row],[Billed_Units]])),ReconciliationData[[#This Row],[ordered_units]]&lt;&gt;ReconciliationData[[#This Row],[Billed_Units]]),1,0)</f>
        <v>0</v>
      </c>
      <c r="R32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1">
        <f>IF(AND(NOT(ISBLANK(ReconciliationData[[#This Row],[Contract_Price]])),ReconciliationData[[#This Row],[Billed_Price]]&lt;&gt;ReconciliationData[[#This Row],[Contract_Price]]),1,0)</f>
        <v>0</v>
      </c>
      <c r="T3261">
        <f>IF(AND(NOT(ISBLANK(ReconciliationData[[#This Row],[End_Date]])),ReconciliationData[[#This Row],[Order_Date]]&gt;ReconciliationData[[#This Row],[End_Date]]),1,0)</f>
        <v>0</v>
      </c>
      <c r="U3261">
        <f>IF(AND(NOT(ISBLANK(ReconciliationData[[#This Row],[last_return_date]])),ReconciliationData[[#This Row],[last_return_date]]&gt;ReconciliationData[[#This Row],[Order_Date]]+60),1,0)</f>
        <v>0</v>
      </c>
      <c r="V3261">
        <f>IF(ReconciliationData[[#This Row],[total_returned_units]]&gt;ReconciliationData[[#This Row],[ordered_units]],1,0)</f>
        <v>0</v>
      </c>
      <c r="W32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61">
        <f>ReconciliationData[[#This Row],[Billed_Units]]*ReconciliationData[[#This Row],[Billed_Price]]</f>
        <v>159967.14000000004</v>
      </c>
      <c r="Y3261">
        <f>ReconciliationData[[#This Row],[ordered_units]]*ReconciliationData[[#This Row],[List_Price]]</f>
        <v>159967.14000000004</v>
      </c>
      <c r="Z3261">
        <f>ReconciliationData[[#This Row],[billed_revenue]]-ReconciliationData[[#This Row],[expected_revenue]]</f>
        <v>0</v>
      </c>
      <c r="AA32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61" t="str">
        <f>IF(ReconciliationData[[#This Row],[severity_score]]=0,"LOW",
 IF(ReconciliationData[[#This Row],[severity_score]]&lt;=5,"MEDIUM","HIGH"))</f>
        <v>LOW</v>
      </c>
      <c r="AC3261" t="str">
        <f>TEXT(ReconciliationData[[#This Row],[Order_Date]],"YYYY-MM")</f>
        <v>2023-11</v>
      </c>
    </row>
    <row r="3262" spans="1:29">
      <c r="A3262" t="s">
        <v>7741</v>
      </c>
      <c r="B3262" s="1">
        <v>45062</v>
      </c>
      <c r="C3262" t="s">
        <v>1588</v>
      </c>
      <c r="D3262" t="s">
        <v>434</v>
      </c>
      <c r="E3262">
        <v>118</v>
      </c>
      <c r="F3262" t="s">
        <v>7742</v>
      </c>
      <c r="G3262">
        <v>118</v>
      </c>
      <c r="H3262">
        <v>72.858600000000024</v>
      </c>
      <c r="N3262">
        <v>72.858600000000024</v>
      </c>
      <c r="O3262" s="1">
        <v>44882</v>
      </c>
      <c r="P3262">
        <f>IF(ISBLANK(ReconciliationData[[#This Row],[Invoice_ID]]),1,0)</f>
        <v>0</v>
      </c>
      <c r="Q3262">
        <f>IF(AND(NOT(ISBLANK(ReconciliationData[[#This Row],[Billed_Units]])),ReconciliationData[[#This Row],[ordered_units]]&lt;&gt;ReconciliationData[[#This Row],[Billed_Units]]),1,0)</f>
        <v>0</v>
      </c>
      <c r="R32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2">
        <f>IF(AND(NOT(ISBLANK(ReconciliationData[[#This Row],[Contract_Price]])),ReconciliationData[[#This Row],[Billed_Price]]&lt;&gt;ReconciliationData[[#This Row],[Contract_Price]]),1,0)</f>
        <v>0</v>
      </c>
      <c r="T3262">
        <f>IF(AND(NOT(ISBLANK(ReconciliationData[[#This Row],[End_Date]])),ReconciliationData[[#This Row],[Order_Date]]&gt;ReconciliationData[[#This Row],[End_Date]]),1,0)</f>
        <v>0</v>
      </c>
      <c r="U3262">
        <f>IF(AND(NOT(ISBLANK(ReconciliationData[[#This Row],[last_return_date]])),ReconciliationData[[#This Row],[last_return_date]]&gt;ReconciliationData[[#This Row],[Order_Date]]+60),1,0)</f>
        <v>0</v>
      </c>
      <c r="V3262">
        <f>IF(ReconciliationData[[#This Row],[total_returned_units]]&gt;ReconciliationData[[#This Row],[ordered_units]],1,0)</f>
        <v>0</v>
      </c>
      <c r="W32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62">
        <f>ReconciliationData[[#This Row],[Billed_Units]]*ReconciliationData[[#This Row],[Billed_Price]]</f>
        <v>8597.3148000000037</v>
      </c>
      <c r="Y3262">
        <f>ReconciliationData[[#This Row],[ordered_units]]*ReconciliationData[[#This Row],[List_Price]]</f>
        <v>8597.3148000000037</v>
      </c>
      <c r="Z3262">
        <f>ReconciliationData[[#This Row],[billed_revenue]]-ReconciliationData[[#This Row],[expected_revenue]]</f>
        <v>0</v>
      </c>
      <c r="AA32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62" t="str">
        <f>IF(ReconciliationData[[#This Row],[severity_score]]=0,"LOW",
 IF(ReconciliationData[[#This Row],[severity_score]]&lt;=5,"MEDIUM","HIGH"))</f>
        <v>LOW</v>
      </c>
      <c r="AC3262" t="str">
        <f>TEXT(ReconciliationData[[#This Row],[Order_Date]],"YYYY-MM")</f>
        <v>2023-05</v>
      </c>
    </row>
    <row r="3263" spans="1:29">
      <c r="A3263" t="s">
        <v>7743</v>
      </c>
      <c r="B3263" s="1">
        <v>45562</v>
      </c>
      <c r="C3263" t="s">
        <v>422</v>
      </c>
      <c r="D3263" t="s">
        <v>643</v>
      </c>
      <c r="E3263">
        <v>29</v>
      </c>
      <c r="F3263" t="s">
        <v>7744</v>
      </c>
      <c r="G3263">
        <v>29</v>
      </c>
      <c r="H3263">
        <v>208.65799999999999</v>
      </c>
      <c r="N3263">
        <v>208.65799999999999</v>
      </c>
      <c r="O3263" s="1">
        <v>44971</v>
      </c>
      <c r="P3263">
        <f>IF(ISBLANK(ReconciliationData[[#This Row],[Invoice_ID]]),1,0)</f>
        <v>0</v>
      </c>
      <c r="Q3263">
        <f>IF(AND(NOT(ISBLANK(ReconciliationData[[#This Row],[Billed_Units]])),ReconciliationData[[#This Row],[ordered_units]]&lt;&gt;ReconciliationData[[#This Row],[Billed_Units]]),1,0)</f>
        <v>0</v>
      </c>
      <c r="R32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3">
        <f>IF(AND(NOT(ISBLANK(ReconciliationData[[#This Row],[Contract_Price]])),ReconciliationData[[#This Row],[Billed_Price]]&lt;&gt;ReconciliationData[[#This Row],[Contract_Price]]),1,0)</f>
        <v>0</v>
      </c>
      <c r="T3263">
        <f>IF(AND(NOT(ISBLANK(ReconciliationData[[#This Row],[End_Date]])),ReconciliationData[[#This Row],[Order_Date]]&gt;ReconciliationData[[#This Row],[End_Date]]),1,0)</f>
        <v>0</v>
      </c>
      <c r="U3263">
        <f>IF(AND(NOT(ISBLANK(ReconciliationData[[#This Row],[last_return_date]])),ReconciliationData[[#This Row],[last_return_date]]&gt;ReconciliationData[[#This Row],[Order_Date]]+60),1,0)</f>
        <v>0</v>
      </c>
      <c r="V3263">
        <f>IF(ReconciliationData[[#This Row],[total_returned_units]]&gt;ReconciliationData[[#This Row],[ordered_units]],1,0)</f>
        <v>0</v>
      </c>
      <c r="W32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63">
        <f>ReconciliationData[[#This Row],[Billed_Units]]*ReconciliationData[[#This Row],[Billed_Price]]</f>
        <v>6051.0819999999994</v>
      </c>
      <c r="Y3263">
        <f>ReconciliationData[[#This Row],[ordered_units]]*ReconciliationData[[#This Row],[List_Price]]</f>
        <v>6051.0819999999994</v>
      </c>
      <c r="Z3263">
        <f>ReconciliationData[[#This Row],[billed_revenue]]-ReconciliationData[[#This Row],[expected_revenue]]</f>
        <v>0</v>
      </c>
      <c r="AA32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63" t="str">
        <f>IF(ReconciliationData[[#This Row],[severity_score]]=0,"LOW",
 IF(ReconciliationData[[#This Row],[severity_score]]&lt;=5,"MEDIUM","HIGH"))</f>
        <v>LOW</v>
      </c>
      <c r="AC3263" t="str">
        <f>TEXT(ReconciliationData[[#This Row],[Order_Date]],"YYYY-MM")</f>
        <v>2024-09</v>
      </c>
    </row>
    <row r="3264" spans="1:29">
      <c r="A3264" t="s">
        <v>7745</v>
      </c>
      <c r="B3264" s="1">
        <v>45481</v>
      </c>
      <c r="C3264" t="s">
        <v>1838</v>
      </c>
      <c r="D3264" t="s">
        <v>581</v>
      </c>
      <c r="E3264">
        <v>35</v>
      </c>
      <c r="F3264" t="s">
        <v>7746</v>
      </c>
      <c r="G3264">
        <v>35</v>
      </c>
      <c r="H3264">
        <v>697.85279999999989</v>
      </c>
      <c r="N3264">
        <v>697.85279999999989</v>
      </c>
      <c r="O3264" s="1">
        <v>45169</v>
      </c>
      <c r="P3264">
        <f>IF(ISBLANK(ReconciliationData[[#This Row],[Invoice_ID]]),1,0)</f>
        <v>0</v>
      </c>
      <c r="Q3264">
        <f>IF(AND(NOT(ISBLANK(ReconciliationData[[#This Row],[Billed_Units]])),ReconciliationData[[#This Row],[ordered_units]]&lt;&gt;ReconciliationData[[#This Row],[Billed_Units]]),1,0)</f>
        <v>0</v>
      </c>
      <c r="R32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4">
        <f>IF(AND(NOT(ISBLANK(ReconciliationData[[#This Row],[Contract_Price]])),ReconciliationData[[#This Row],[Billed_Price]]&lt;&gt;ReconciliationData[[#This Row],[Contract_Price]]),1,0)</f>
        <v>0</v>
      </c>
      <c r="T3264">
        <f>IF(AND(NOT(ISBLANK(ReconciliationData[[#This Row],[End_Date]])),ReconciliationData[[#This Row],[Order_Date]]&gt;ReconciliationData[[#This Row],[End_Date]]),1,0)</f>
        <v>0</v>
      </c>
      <c r="U3264">
        <f>IF(AND(NOT(ISBLANK(ReconciliationData[[#This Row],[last_return_date]])),ReconciliationData[[#This Row],[last_return_date]]&gt;ReconciliationData[[#This Row],[Order_Date]]+60),1,0)</f>
        <v>0</v>
      </c>
      <c r="V3264">
        <f>IF(ReconciliationData[[#This Row],[total_returned_units]]&gt;ReconciliationData[[#This Row],[ordered_units]],1,0)</f>
        <v>0</v>
      </c>
      <c r="W32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64">
        <f>ReconciliationData[[#This Row],[Billed_Units]]*ReconciliationData[[#This Row],[Billed_Price]]</f>
        <v>24424.847999999994</v>
      </c>
      <c r="Y3264">
        <f>ReconciliationData[[#This Row],[ordered_units]]*ReconciliationData[[#This Row],[List_Price]]</f>
        <v>24424.847999999994</v>
      </c>
      <c r="Z3264">
        <f>ReconciliationData[[#This Row],[billed_revenue]]-ReconciliationData[[#This Row],[expected_revenue]]</f>
        <v>0</v>
      </c>
      <c r="AA32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64" t="str">
        <f>IF(ReconciliationData[[#This Row],[severity_score]]=0,"LOW",
 IF(ReconciliationData[[#This Row],[severity_score]]&lt;=5,"MEDIUM","HIGH"))</f>
        <v>LOW</v>
      </c>
      <c r="AC3264" t="str">
        <f>TEXT(ReconciliationData[[#This Row],[Order_Date]],"YYYY-MM")</f>
        <v>2024-07</v>
      </c>
    </row>
    <row r="3265" spans="1:29">
      <c r="A3265" t="s">
        <v>7747</v>
      </c>
      <c r="B3265" s="1">
        <v>45581</v>
      </c>
      <c r="C3265" t="s">
        <v>3797</v>
      </c>
      <c r="D3265" t="s">
        <v>1235</v>
      </c>
      <c r="E3265">
        <v>104</v>
      </c>
      <c r="F3265" t="s">
        <v>7748</v>
      </c>
      <c r="G3265">
        <v>104</v>
      </c>
      <c r="H3265">
        <v>892.55520000000013</v>
      </c>
      <c r="N3265">
        <v>892.55520000000013</v>
      </c>
      <c r="O3265" s="1">
        <v>44985</v>
      </c>
      <c r="P3265">
        <f>IF(ISBLANK(ReconciliationData[[#This Row],[Invoice_ID]]),1,0)</f>
        <v>0</v>
      </c>
      <c r="Q3265">
        <f>IF(AND(NOT(ISBLANK(ReconciliationData[[#This Row],[Billed_Units]])),ReconciliationData[[#This Row],[ordered_units]]&lt;&gt;ReconciliationData[[#This Row],[Billed_Units]]),1,0)</f>
        <v>0</v>
      </c>
      <c r="R32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5">
        <f>IF(AND(NOT(ISBLANK(ReconciliationData[[#This Row],[Contract_Price]])),ReconciliationData[[#This Row],[Billed_Price]]&lt;&gt;ReconciliationData[[#This Row],[Contract_Price]]),1,0)</f>
        <v>0</v>
      </c>
      <c r="T3265">
        <f>IF(AND(NOT(ISBLANK(ReconciliationData[[#This Row],[End_Date]])),ReconciliationData[[#This Row],[Order_Date]]&gt;ReconciliationData[[#This Row],[End_Date]]),1,0)</f>
        <v>0</v>
      </c>
      <c r="U3265">
        <f>IF(AND(NOT(ISBLANK(ReconciliationData[[#This Row],[last_return_date]])),ReconciliationData[[#This Row],[last_return_date]]&gt;ReconciliationData[[#This Row],[Order_Date]]+60),1,0)</f>
        <v>0</v>
      </c>
      <c r="V3265">
        <f>IF(ReconciliationData[[#This Row],[total_returned_units]]&gt;ReconciliationData[[#This Row],[ordered_units]],1,0)</f>
        <v>0</v>
      </c>
      <c r="W32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65">
        <f>ReconciliationData[[#This Row],[Billed_Units]]*ReconciliationData[[#This Row],[Billed_Price]]</f>
        <v>92825.740800000014</v>
      </c>
      <c r="Y3265">
        <f>ReconciliationData[[#This Row],[ordered_units]]*ReconciliationData[[#This Row],[List_Price]]</f>
        <v>92825.740800000014</v>
      </c>
      <c r="Z3265">
        <f>ReconciliationData[[#This Row],[billed_revenue]]-ReconciliationData[[#This Row],[expected_revenue]]</f>
        <v>0</v>
      </c>
      <c r="AA32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65" t="str">
        <f>IF(ReconciliationData[[#This Row],[severity_score]]=0,"LOW",
 IF(ReconciliationData[[#This Row],[severity_score]]&lt;=5,"MEDIUM","HIGH"))</f>
        <v>LOW</v>
      </c>
      <c r="AC3265" t="str">
        <f>TEXT(ReconciliationData[[#This Row],[Order_Date]],"YYYY-MM")</f>
        <v>2024-10</v>
      </c>
    </row>
    <row r="3266" spans="1:29">
      <c r="A3266" t="s">
        <v>7749</v>
      </c>
      <c r="B3266" s="1">
        <v>44966</v>
      </c>
      <c r="C3266" t="s">
        <v>2175</v>
      </c>
      <c r="D3266" t="s">
        <v>973</v>
      </c>
      <c r="E3266">
        <v>105</v>
      </c>
      <c r="F3266" t="s">
        <v>7750</v>
      </c>
      <c r="G3266">
        <v>105</v>
      </c>
      <c r="H3266">
        <v>151.82</v>
      </c>
      <c r="N3266">
        <v>151.82</v>
      </c>
      <c r="O3266" s="1">
        <v>44860</v>
      </c>
      <c r="P3266">
        <f>IF(ISBLANK(ReconciliationData[[#This Row],[Invoice_ID]]),1,0)</f>
        <v>0</v>
      </c>
      <c r="Q3266">
        <f>IF(AND(NOT(ISBLANK(ReconciliationData[[#This Row],[Billed_Units]])),ReconciliationData[[#This Row],[ordered_units]]&lt;&gt;ReconciliationData[[#This Row],[Billed_Units]]),1,0)</f>
        <v>0</v>
      </c>
      <c r="R32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6">
        <f>IF(AND(NOT(ISBLANK(ReconciliationData[[#This Row],[Contract_Price]])),ReconciliationData[[#This Row],[Billed_Price]]&lt;&gt;ReconciliationData[[#This Row],[Contract_Price]]),1,0)</f>
        <v>0</v>
      </c>
      <c r="T3266">
        <f>IF(AND(NOT(ISBLANK(ReconciliationData[[#This Row],[End_Date]])),ReconciliationData[[#This Row],[Order_Date]]&gt;ReconciliationData[[#This Row],[End_Date]]),1,0)</f>
        <v>0</v>
      </c>
      <c r="U3266">
        <f>IF(AND(NOT(ISBLANK(ReconciliationData[[#This Row],[last_return_date]])),ReconciliationData[[#This Row],[last_return_date]]&gt;ReconciliationData[[#This Row],[Order_Date]]+60),1,0)</f>
        <v>0</v>
      </c>
      <c r="V3266">
        <f>IF(ReconciliationData[[#This Row],[total_returned_units]]&gt;ReconciliationData[[#This Row],[ordered_units]],1,0)</f>
        <v>0</v>
      </c>
      <c r="W32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66">
        <f>ReconciliationData[[#This Row],[Billed_Units]]*ReconciliationData[[#This Row],[Billed_Price]]</f>
        <v>15941.099999999999</v>
      </c>
      <c r="Y3266">
        <f>ReconciliationData[[#This Row],[ordered_units]]*ReconciliationData[[#This Row],[List_Price]]</f>
        <v>15941.099999999999</v>
      </c>
      <c r="Z3266">
        <f>ReconciliationData[[#This Row],[billed_revenue]]-ReconciliationData[[#This Row],[expected_revenue]]</f>
        <v>0</v>
      </c>
      <c r="AA32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66" t="str">
        <f>IF(ReconciliationData[[#This Row],[severity_score]]=0,"LOW",
 IF(ReconciliationData[[#This Row],[severity_score]]&lt;=5,"MEDIUM","HIGH"))</f>
        <v>LOW</v>
      </c>
      <c r="AC3266" t="str">
        <f>TEXT(ReconciliationData[[#This Row],[Order_Date]],"YYYY-MM")</f>
        <v>2023-02</v>
      </c>
    </row>
    <row r="3267" spans="1:29">
      <c r="A3267" t="s">
        <v>7751</v>
      </c>
      <c r="B3267" s="1">
        <v>45581</v>
      </c>
      <c r="C3267" t="s">
        <v>384</v>
      </c>
      <c r="D3267" t="s">
        <v>1583</v>
      </c>
      <c r="E3267">
        <v>171</v>
      </c>
      <c r="F3267" t="s">
        <v>7752</v>
      </c>
      <c r="G3267">
        <v>171</v>
      </c>
      <c r="H3267">
        <v>1182.1740000000002</v>
      </c>
      <c r="N3267">
        <v>1182.1740000000002</v>
      </c>
      <c r="O3267" s="1">
        <v>45130</v>
      </c>
      <c r="P3267">
        <f>IF(ISBLANK(ReconciliationData[[#This Row],[Invoice_ID]]),1,0)</f>
        <v>0</v>
      </c>
      <c r="Q3267">
        <f>IF(AND(NOT(ISBLANK(ReconciliationData[[#This Row],[Billed_Units]])),ReconciliationData[[#This Row],[ordered_units]]&lt;&gt;ReconciliationData[[#This Row],[Billed_Units]]),1,0)</f>
        <v>0</v>
      </c>
      <c r="R32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7">
        <f>IF(AND(NOT(ISBLANK(ReconciliationData[[#This Row],[Contract_Price]])),ReconciliationData[[#This Row],[Billed_Price]]&lt;&gt;ReconciliationData[[#This Row],[Contract_Price]]),1,0)</f>
        <v>0</v>
      </c>
      <c r="T3267">
        <f>IF(AND(NOT(ISBLANK(ReconciliationData[[#This Row],[End_Date]])),ReconciliationData[[#This Row],[Order_Date]]&gt;ReconciliationData[[#This Row],[End_Date]]),1,0)</f>
        <v>0</v>
      </c>
      <c r="U3267">
        <f>IF(AND(NOT(ISBLANK(ReconciliationData[[#This Row],[last_return_date]])),ReconciliationData[[#This Row],[last_return_date]]&gt;ReconciliationData[[#This Row],[Order_Date]]+60),1,0)</f>
        <v>0</v>
      </c>
      <c r="V3267">
        <f>IF(ReconciliationData[[#This Row],[total_returned_units]]&gt;ReconciliationData[[#This Row],[ordered_units]],1,0)</f>
        <v>0</v>
      </c>
      <c r="W32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67">
        <f>ReconciliationData[[#This Row],[Billed_Units]]*ReconciliationData[[#This Row],[Billed_Price]]</f>
        <v>202151.75400000004</v>
      </c>
      <c r="Y3267">
        <f>ReconciliationData[[#This Row],[ordered_units]]*ReconciliationData[[#This Row],[List_Price]]</f>
        <v>202151.75400000004</v>
      </c>
      <c r="Z3267">
        <f>ReconciliationData[[#This Row],[billed_revenue]]-ReconciliationData[[#This Row],[expected_revenue]]</f>
        <v>0</v>
      </c>
      <c r="AA32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67" t="str">
        <f>IF(ReconciliationData[[#This Row],[severity_score]]=0,"LOW",
 IF(ReconciliationData[[#This Row],[severity_score]]&lt;=5,"MEDIUM","HIGH"))</f>
        <v>LOW</v>
      </c>
      <c r="AC3267" t="str">
        <f>TEXT(ReconciliationData[[#This Row],[Order_Date]],"YYYY-MM")</f>
        <v>2024-10</v>
      </c>
    </row>
    <row r="3268" spans="1:29">
      <c r="A3268" t="s">
        <v>7753</v>
      </c>
      <c r="B3268" s="1">
        <v>45101</v>
      </c>
      <c r="C3268" t="s">
        <v>3462</v>
      </c>
      <c r="D3268" t="s">
        <v>2622</v>
      </c>
      <c r="E3268">
        <v>106</v>
      </c>
      <c r="F3268" t="s">
        <v>7754</v>
      </c>
      <c r="G3268">
        <v>106</v>
      </c>
      <c r="H3268">
        <v>428.59800000000007</v>
      </c>
      <c r="N3268">
        <v>428.59800000000007</v>
      </c>
      <c r="O3268" s="1">
        <v>44798</v>
      </c>
      <c r="P3268">
        <f>IF(ISBLANK(ReconciliationData[[#This Row],[Invoice_ID]]),1,0)</f>
        <v>0</v>
      </c>
      <c r="Q3268">
        <f>IF(AND(NOT(ISBLANK(ReconciliationData[[#This Row],[Billed_Units]])),ReconciliationData[[#This Row],[ordered_units]]&lt;&gt;ReconciliationData[[#This Row],[Billed_Units]]),1,0)</f>
        <v>0</v>
      </c>
      <c r="R32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8">
        <f>IF(AND(NOT(ISBLANK(ReconciliationData[[#This Row],[Contract_Price]])),ReconciliationData[[#This Row],[Billed_Price]]&lt;&gt;ReconciliationData[[#This Row],[Contract_Price]]),1,0)</f>
        <v>0</v>
      </c>
      <c r="T3268">
        <f>IF(AND(NOT(ISBLANK(ReconciliationData[[#This Row],[End_Date]])),ReconciliationData[[#This Row],[Order_Date]]&gt;ReconciliationData[[#This Row],[End_Date]]),1,0)</f>
        <v>0</v>
      </c>
      <c r="U3268">
        <f>IF(AND(NOT(ISBLANK(ReconciliationData[[#This Row],[last_return_date]])),ReconciliationData[[#This Row],[last_return_date]]&gt;ReconciliationData[[#This Row],[Order_Date]]+60),1,0)</f>
        <v>0</v>
      </c>
      <c r="V3268">
        <f>IF(ReconciliationData[[#This Row],[total_returned_units]]&gt;ReconciliationData[[#This Row],[ordered_units]],1,0)</f>
        <v>0</v>
      </c>
      <c r="W32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68">
        <f>ReconciliationData[[#This Row],[Billed_Units]]*ReconciliationData[[#This Row],[Billed_Price]]</f>
        <v>45431.388000000006</v>
      </c>
      <c r="Y3268">
        <f>ReconciliationData[[#This Row],[ordered_units]]*ReconciliationData[[#This Row],[List_Price]]</f>
        <v>45431.388000000006</v>
      </c>
      <c r="Z3268">
        <f>ReconciliationData[[#This Row],[billed_revenue]]-ReconciliationData[[#This Row],[expected_revenue]]</f>
        <v>0</v>
      </c>
      <c r="AA32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68" t="str">
        <f>IF(ReconciliationData[[#This Row],[severity_score]]=0,"LOW",
 IF(ReconciliationData[[#This Row],[severity_score]]&lt;=5,"MEDIUM","HIGH"))</f>
        <v>LOW</v>
      </c>
      <c r="AC3268" t="str">
        <f>TEXT(ReconciliationData[[#This Row],[Order_Date]],"YYYY-MM")</f>
        <v>2023-06</v>
      </c>
    </row>
    <row r="3269" spans="1:29">
      <c r="A3269" t="s">
        <v>7755</v>
      </c>
      <c r="B3269" s="1">
        <v>45496</v>
      </c>
      <c r="C3269" t="s">
        <v>7534</v>
      </c>
      <c r="D3269" t="s">
        <v>912</v>
      </c>
      <c r="E3269">
        <v>102</v>
      </c>
      <c r="F3269" t="s">
        <v>7756</v>
      </c>
      <c r="G3269">
        <v>102</v>
      </c>
      <c r="H3269">
        <v>376.38049999999998</v>
      </c>
      <c r="N3269">
        <v>376.38049999999998</v>
      </c>
      <c r="O3269" s="1">
        <v>44984</v>
      </c>
      <c r="P3269">
        <f>IF(ISBLANK(ReconciliationData[[#This Row],[Invoice_ID]]),1,0)</f>
        <v>0</v>
      </c>
      <c r="Q3269">
        <f>IF(AND(NOT(ISBLANK(ReconciliationData[[#This Row],[Billed_Units]])),ReconciliationData[[#This Row],[ordered_units]]&lt;&gt;ReconciliationData[[#This Row],[Billed_Units]]),1,0)</f>
        <v>0</v>
      </c>
      <c r="R32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69">
        <f>IF(AND(NOT(ISBLANK(ReconciliationData[[#This Row],[Contract_Price]])),ReconciliationData[[#This Row],[Billed_Price]]&lt;&gt;ReconciliationData[[#This Row],[Contract_Price]]),1,0)</f>
        <v>0</v>
      </c>
      <c r="T3269">
        <f>IF(AND(NOT(ISBLANK(ReconciliationData[[#This Row],[End_Date]])),ReconciliationData[[#This Row],[Order_Date]]&gt;ReconciliationData[[#This Row],[End_Date]]),1,0)</f>
        <v>0</v>
      </c>
      <c r="U3269">
        <f>IF(AND(NOT(ISBLANK(ReconciliationData[[#This Row],[last_return_date]])),ReconciliationData[[#This Row],[last_return_date]]&gt;ReconciliationData[[#This Row],[Order_Date]]+60),1,0)</f>
        <v>0</v>
      </c>
      <c r="V3269">
        <f>IF(ReconciliationData[[#This Row],[total_returned_units]]&gt;ReconciliationData[[#This Row],[ordered_units]],1,0)</f>
        <v>0</v>
      </c>
      <c r="W32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69">
        <f>ReconciliationData[[#This Row],[Billed_Units]]*ReconciliationData[[#This Row],[Billed_Price]]</f>
        <v>38390.811000000002</v>
      </c>
      <c r="Y3269">
        <f>ReconciliationData[[#This Row],[ordered_units]]*ReconciliationData[[#This Row],[List_Price]]</f>
        <v>38390.811000000002</v>
      </c>
      <c r="Z3269">
        <f>ReconciliationData[[#This Row],[billed_revenue]]-ReconciliationData[[#This Row],[expected_revenue]]</f>
        <v>0</v>
      </c>
      <c r="AA32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69" t="str">
        <f>IF(ReconciliationData[[#This Row],[severity_score]]=0,"LOW",
 IF(ReconciliationData[[#This Row],[severity_score]]&lt;=5,"MEDIUM","HIGH"))</f>
        <v>LOW</v>
      </c>
      <c r="AC3269" t="str">
        <f>TEXT(ReconciliationData[[#This Row],[Order_Date]],"YYYY-MM")</f>
        <v>2024-07</v>
      </c>
    </row>
    <row r="3270" spans="1:29">
      <c r="A3270" t="s">
        <v>7757</v>
      </c>
      <c r="B3270" s="1">
        <v>45177</v>
      </c>
      <c r="C3270" t="s">
        <v>369</v>
      </c>
      <c r="D3270" t="s">
        <v>782</v>
      </c>
      <c r="E3270">
        <v>142</v>
      </c>
      <c r="F3270" t="s">
        <v>7758</v>
      </c>
      <c r="G3270">
        <v>142</v>
      </c>
      <c r="H3270">
        <v>216.2484</v>
      </c>
      <c r="N3270">
        <v>216.2484</v>
      </c>
      <c r="O3270" s="1">
        <v>44944</v>
      </c>
      <c r="P3270">
        <f>IF(ISBLANK(ReconciliationData[[#This Row],[Invoice_ID]]),1,0)</f>
        <v>0</v>
      </c>
      <c r="Q3270">
        <f>IF(AND(NOT(ISBLANK(ReconciliationData[[#This Row],[Billed_Units]])),ReconciliationData[[#This Row],[ordered_units]]&lt;&gt;ReconciliationData[[#This Row],[Billed_Units]]),1,0)</f>
        <v>0</v>
      </c>
      <c r="R32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70">
        <f>IF(AND(NOT(ISBLANK(ReconciliationData[[#This Row],[Contract_Price]])),ReconciliationData[[#This Row],[Billed_Price]]&lt;&gt;ReconciliationData[[#This Row],[Contract_Price]]),1,0)</f>
        <v>0</v>
      </c>
      <c r="T3270">
        <f>IF(AND(NOT(ISBLANK(ReconciliationData[[#This Row],[End_Date]])),ReconciliationData[[#This Row],[Order_Date]]&gt;ReconciliationData[[#This Row],[End_Date]]),1,0)</f>
        <v>0</v>
      </c>
      <c r="U3270">
        <f>IF(AND(NOT(ISBLANK(ReconciliationData[[#This Row],[last_return_date]])),ReconciliationData[[#This Row],[last_return_date]]&gt;ReconciliationData[[#This Row],[Order_Date]]+60),1,0)</f>
        <v>0</v>
      </c>
      <c r="V3270">
        <f>IF(ReconciliationData[[#This Row],[total_returned_units]]&gt;ReconciliationData[[#This Row],[ordered_units]],1,0)</f>
        <v>0</v>
      </c>
      <c r="W32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70">
        <f>ReconciliationData[[#This Row],[Billed_Units]]*ReconciliationData[[#This Row],[Billed_Price]]</f>
        <v>30707.272799999999</v>
      </c>
      <c r="Y3270">
        <f>ReconciliationData[[#This Row],[ordered_units]]*ReconciliationData[[#This Row],[List_Price]]</f>
        <v>30707.272799999999</v>
      </c>
      <c r="Z3270">
        <f>ReconciliationData[[#This Row],[billed_revenue]]-ReconciliationData[[#This Row],[expected_revenue]]</f>
        <v>0</v>
      </c>
      <c r="AA32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70" t="str">
        <f>IF(ReconciliationData[[#This Row],[severity_score]]=0,"LOW",
 IF(ReconciliationData[[#This Row],[severity_score]]&lt;=5,"MEDIUM","HIGH"))</f>
        <v>LOW</v>
      </c>
      <c r="AC3270" t="str">
        <f>TEXT(ReconciliationData[[#This Row],[Order_Date]],"YYYY-MM")</f>
        <v>2023-09</v>
      </c>
    </row>
    <row r="3271" spans="1:29">
      <c r="A3271" t="s">
        <v>7759</v>
      </c>
      <c r="B3271" s="1">
        <v>44972</v>
      </c>
      <c r="C3271" t="s">
        <v>3051</v>
      </c>
      <c r="D3271" t="s">
        <v>1298</v>
      </c>
      <c r="E3271">
        <v>98</v>
      </c>
      <c r="F3271" t="s">
        <v>7760</v>
      </c>
      <c r="G3271">
        <v>98</v>
      </c>
      <c r="H3271">
        <v>1099.82</v>
      </c>
      <c r="N3271">
        <v>1099.82</v>
      </c>
      <c r="O3271" s="1">
        <v>44962</v>
      </c>
      <c r="P3271">
        <f>IF(ISBLANK(ReconciliationData[[#This Row],[Invoice_ID]]),1,0)</f>
        <v>0</v>
      </c>
      <c r="Q3271">
        <f>IF(AND(NOT(ISBLANK(ReconciliationData[[#This Row],[Billed_Units]])),ReconciliationData[[#This Row],[ordered_units]]&lt;&gt;ReconciliationData[[#This Row],[Billed_Units]]),1,0)</f>
        <v>0</v>
      </c>
      <c r="R32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71">
        <f>IF(AND(NOT(ISBLANK(ReconciliationData[[#This Row],[Contract_Price]])),ReconciliationData[[#This Row],[Billed_Price]]&lt;&gt;ReconciliationData[[#This Row],[Contract_Price]]),1,0)</f>
        <v>0</v>
      </c>
      <c r="T3271">
        <f>IF(AND(NOT(ISBLANK(ReconciliationData[[#This Row],[End_Date]])),ReconciliationData[[#This Row],[Order_Date]]&gt;ReconciliationData[[#This Row],[End_Date]]),1,0)</f>
        <v>0</v>
      </c>
      <c r="U3271">
        <f>IF(AND(NOT(ISBLANK(ReconciliationData[[#This Row],[last_return_date]])),ReconciliationData[[#This Row],[last_return_date]]&gt;ReconciliationData[[#This Row],[Order_Date]]+60),1,0)</f>
        <v>0</v>
      </c>
      <c r="V3271">
        <f>IF(ReconciliationData[[#This Row],[total_returned_units]]&gt;ReconciliationData[[#This Row],[ordered_units]],1,0)</f>
        <v>0</v>
      </c>
      <c r="W32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71">
        <f>ReconciliationData[[#This Row],[Billed_Units]]*ReconciliationData[[#This Row],[Billed_Price]]</f>
        <v>107782.36</v>
      </c>
      <c r="Y3271">
        <f>ReconciliationData[[#This Row],[ordered_units]]*ReconciliationData[[#This Row],[List_Price]]</f>
        <v>107782.36</v>
      </c>
      <c r="Z3271">
        <f>ReconciliationData[[#This Row],[billed_revenue]]-ReconciliationData[[#This Row],[expected_revenue]]</f>
        <v>0</v>
      </c>
      <c r="AA32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71" t="str">
        <f>IF(ReconciliationData[[#This Row],[severity_score]]=0,"LOW",
 IF(ReconciliationData[[#This Row],[severity_score]]&lt;=5,"MEDIUM","HIGH"))</f>
        <v>LOW</v>
      </c>
      <c r="AC3271" t="str">
        <f>TEXT(ReconciliationData[[#This Row],[Order_Date]],"YYYY-MM")</f>
        <v>2023-02</v>
      </c>
    </row>
    <row r="3272" spans="1:29">
      <c r="A3272" t="s">
        <v>7761</v>
      </c>
      <c r="B3272" s="1">
        <v>45591</v>
      </c>
      <c r="C3272" t="s">
        <v>4878</v>
      </c>
      <c r="D3272" t="s">
        <v>404</v>
      </c>
      <c r="E3272">
        <v>161</v>
      </c>
      <c r="F3272" t="s">
        <v>7762</v>
      </c>
      <c r="G3272">
        <v>161</v>
      </c>
      <c r="H3272">
        <v>1129.6166000000001</v>
      </c>
      <c r="N3272">
        <v>1129.6166000000001</v>
      </c>
      <c r="O3272" s="1">
        <v>44960</v>
      </c>
      <c r="P3272">
        <f>IF(ISBLANK(ReconciliationData[[#This Row],[Invoice_ID]]),1,0)</f>
        <v>0</v>
      </c>
      <c r="Q3272">
        <f>IF(AND(NOT(ISBLANK(ReconciliationData[[#This Row],[Billed_Units]])),ReconciliationData[[#This Row],[ordered_units]]&lt;&gt;ReconciliationData[[#This Row],[Billed_Units]]),1,0)</f>
        <v>0</v>
      </c>
      <c r="R32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72">
        <f>IF(AND(NOT(ISBLANK(ReconciliationData[[#This Row],[Contract_Price]])),ReconciliationData[[#This Row],[Billed_Price]]&lt;&gt;ReconciliationData[[#This Row],[Contract_Price]]),1,0)</f>
        <v>0</v>
      </c>
      <c r="T3272">
        <f>IF(AND(NOT(ISBLANK(ReconciliationData[[#This Row],[End_Date]])),ReconciliationData[[#This Row],[Order_Date]]&gt;ReconciliationData[[#This Row],[End_Date]]),1,0)</f>
        <v>0</v>
      </c>
      <c r="U3272">
        <f>IF(AND(NOT(ISBLANK(ReconciliationData[[#This Row],[last_return_date]])),ReconciliationData[[#This Row],[last_return_date]]&gt;ReconciliationData[[#This Row],[Order_Date]]+60),1,0)</f>
        <v>0</v>
      </c>
      <c r="V3272">
        <f>IF(ReconciliationData[[#This Row],[total_returned_units]]&gt;ReconciliationData[[#This Row],[ordered_units]],1,0)</f>
        <v>0</v>
      </c>
      <c r="W32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72">
        <f>ReconciliationData[[#This Row],[Billed_Units]]*ReconciliationData[[#This Row],[Billed_Price]]</f>
        <v>181868.2726</v>
      </c>
      <c r="Y3272">
        <f>ReconciliationData[[#This Row],[ordered_units]]*ReconciliationData[[#This Row],[List_Price]]</f>
        <v>181868.2726</v>
      </c>
      <c r="Z3272">
        <f>ReconciliationData[[#This Row],[billed_revenue]]-ReconciliationData[[#This Row],[expected_revenue]]</f>
        <v>0</v>
      </c>
      <c r="AA32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72" t="str">
        <f>IF(ReconciliationData[[#This Row],[severity_score]]=0,"LOW",
 IF(ReconciliationData[[#This Row],[severity_score]]&lt;=5,"MEDIUM","HIGH"))</f>
        <v>LOW</v>
      </c>
      <c r="AC3272" t="str">
        <f>TEXT(ReconciliationData[[#This Row],[Order_Date]],"YYYY-MM")</f>
        <v>2024-10</v>
      </c>
    </row>
    <row r="3273" spans="1:29">
      <c r="A3273" t="s">
        <v>7763</v>
      </c>
      <c r="B3273" s="1">
        <v>45592</v>
      </c>
      <c r="C3273" t="s">
        <v>4317</v>
      </c>
      <c r="D3273" t="s">
        <v>912</v>
      </c>
      <c r="E3273">
        <v>69</v>
      </c>
      <c r="F3273" t="s">
        <v>7764</v>
      </c>
      <c r="G3273">
        <v>69</v>
      </c>
      <c r="H3273">
        <v>376.38049999999998</v>
      </c>
      <c r="N3273">
        <v>376.38049999999998</v>
      </c>
      <c r="O3273" s="1">
        <v>44984</v>
      </c>
      <c r="P3273">
        <f>IF(ISBLANK(ReconciliationData[[#This Row],[Invoice_ID]]),1,0)</f>
        <v>0</v>
      </c>
      <c r="Q3273">
        <f>IF(AND(NOT(ISBLANK(ReconciliationData[[#This Row],[Billed_Units]])),ReconciliationData[[#This Row],[ordered_units]]&lt;&gt;ReconciliationData[[#This Row],[Billed_Units]]),1,0)</f>
        <v>0</v>
      </c>
      <c r="R32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73">
        <f>IF(AND(NOT(ISBLANK(ReconciliationData[[#This Row],[Contract_Price]])),ReconciliationData[[#This Row],[Billed_Price]]&lt;&gt;ReconciliationData[[#This Row],[Contract_Price]]),1,0)</f>
        <v>0</v>
      </c>
      <c r="T3273">
        <f>IF(AND(NOT(ISBLANK(ReconciliationData[[#This Row],[End_Date]])),ReconciliationData[[#This Row],[Order_Date]]&gt;ReconciliationData[[#This Row],[End_Date]]),1,0)</f>
        <v>0</v>
      </c>
      <c r="U3273">
        <f>IF(AND(NOT(ISBLANK(ReconciliationData[[#This Row],[last_return_date]])),ReconciliationData[[#This Row],[last_return_date]]&gt;ReconciliationData[[#This Row],[Order_Date]]+60),1,0)</f>
        <v>0</v>
      </c>
      <c r="V3273">
        <f>IF(ReconciliationData[[#This Row],[total_returned_units]]&gt;ReconciliationData[[#This Row],[ordered_units]],1,0)</f>
        <v>0</v>
      </c>
      <c r="W32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73">
        <f>ReconciliationData[[#This Row],[Billed_Units]]*ReconciliationData[[#This Row],[Billed_Price]]</f>
        <v>25970.254499999999</v>
      </c>
      <c r="Y3273">
        <f>ReconciliationData[[#This Row],[ordered_units]]*ReconciliationData[[#This Row],[List_Price]]</f>
        <v>25970.254499999999</v>
      </c>
      <c r="Z3273">
        <f>ReconciliationData[[#This Row],[billed_revenue]]-ReconciliationData[[#This Row],[expected_revenue]]</f>
        <v>0</v>
      </c>
      <c r="AA32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73" t="str">
        <f>IF(ReconciliationData[[#This Row],[severity_score]]=0,"LOW",
 IF(ReconciliationData[[#This Row],[severity_score]]&lt;=5,"MEDIUM","HIGH"))</f>
        <v>LOW</v>
      </c>
      <c r="AC3273" t="str">
        <f>TEXT(ReconciliationData[[#This Row],[Order_Date]],"YYYY-MM")</f>
        <v>2024-10</v>
      </c>
    </row>
    <row r="3274" spans="1:29">
      <c r="A3274" t="s">
        <v>7765</v>
      </c>
      <c r="B3274" s="1">
        <v>45492</v>
      </c>
      <c r="C3274" t="s">
        <v>888</v>
      </c>
      <c r="D3274" t="s">
        <v>3954</v>
      </c>
      <c r="E3274">
        <v>108</v>
      </c>
      <c r="F3274" t="s">
        <v>7766</v>
      </c>
      <c r="G3274">
        <v>108</v>
      </c>
      <c r="H3274">
        <v>275.19450000000001</v>
      </c>
      <c r="N3274">
        <v>275.19450000000001</v>
      </c>
      <c r="O3274" s="1">
        <v>45218</v>
      </c>
      <c r="P3274">
        <f>IF(ISBLANK(ReconciliationData[[#This Row],[Invoice_ID]]),1,0)</f>
        <v>0</v>
      </c>
      <c r="Q3274">
        <f>IF(AND(NOT(ISBLANK(ReconciliationData[[#This Row],[Billed_Units]])),ReconciliationData[[#This Row],[ordered_units]]&lt;&gt;ReconciliationData[[#This Row],[Billed_Units]]),1,0)</f>
        <v>0</v>
      </c>
      <c r="R32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74">
        <f>IF(AND(NOT(ISBLANK(ReconciliationData[[#This Row],[Contract_Price]])),ReconciliationData[[#This Row],[Billed_Price]]&lt;&gt;ReconciliationData[[#This Row],[Contract_Price]]),1,0)</f>
        <v>0</v>
      </c>
      <c r="T3274">
        <f>IF(AND(NOT(ISBLANK(ReconciliationData[[#This Row],[End_Date]])),ReconciliationData[[#This Row],[Order_Date]]&gt;ReconciliationData[[#This Row],[End_Date]]),1,0)</f>
        <v>0</v>
      </c>
      <c r="U3274">
        <f>IF(AND(NOT(ISBLANK(ReconciliationData[[#This Row],[last_return_date]])),ReconciliationData[[#This Row],[last_return_date]]&gt;ReconciliationData[[#This Row],[Order_Date]]+60),1,0)</f>
        <v>0</v>
      </c>
      <c r="V3274">
        <f>IF(ReconciliationData[[#This Row],[total_returned_units]]&gt;ReconciliationData[[#This Row],[ordered_units]],1,0)</f>
        <v>0</v>
      </c>
      <c r="W32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74">
        <f>ReconciliationData[[#This Row],[Billed_Units]]*ReconciliationData[[#This Row],[Billed_Price]]</f>
        <v>29721.006000000001</v>
      </c>
      <c r="Y3274">
        <f>ReconciliationData[[#This Row],[ordered_units]]*ReconciliationData[[#This Row],[List_Price]]</f>
        <v>29721.006000000001</v>
      </c>
      <c r="Z3274">
        <f>ReconciliationData[[#This Row],[billed_revenue]]-ReconciliationData[[#This Row],[expected_revenue]]</f>
        <v>0</v>
      </c>
      <c r="AA32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74" t="str">
        <f>IF(ReconciliationData[[#This Row],[severity_score]]=0,"LOW",
 IF(ReconciliationData[[#This Row],[severity_score]]&lt;=5,"MEDIUM","HIGH"))</f>
        <v>LOW</v>
      </c>
      <c r="AC3274" t="str">
        <f>TEXT(ReconciliationData[[#This Row],[Order_Date]],"YYYY-MM")</f>
        <v>2024-07</v>
      </c>
    </row>
    <row r="3275" spans="1:29">
      <c r="A3275" t="s">
        <v>7767</v>
      </c>
      <c r="B3275" s="1">
        <v>44950</v>
      </c>
      <c r="C3275" t="s">
        <v>1778</v>
      </c>
      <c r="D3275" t="s">
        <v>577</v>
      </c>
      <c r="E3275">
        <v>27</v>
      </c>
      <c r="F3275" t="s">
        <v>7768</v>
      </c>
      <c r="G3275">
        <v>27</v>
      </c>
      <c r="H3275">
        <v>1158.7071999999998</v>
      </c>
      <c r="N3275">
        <v>1158.7071999999998</v>
      </c>
      <c r="O3275" s="1">
        <v>44887</v>
      </c>
      <c r="P3275">
        <f>IF(ISBLANK(ReconciliationData[[#This Row],[Invoice_ID]]),1,0)</f>
        <v>0</v>
      </c>
      <c r="Q3275">
        <f>IF(AND(NOT(ISBLANK(ReconciliationData[[#This Row],[Billed_Units]])),ReconciliationData[[#This Row],[ordered_units]]&lt;&gt;ReconciliationData[[#This Row],[Billed_Units]]),1,0)</f>
        <v>0</v>
      </c>
      <c r="R32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75">
        <f>IF(AND(NOT(ISBLANK(ReconciliationData[[#This Row],[Contract_Price]])),ReconciliationData[[#This Row],[Billed_Price]]&lt;&gt;ReconciliationData[[#This Row],[Contract_Price]]),1,0)</f>
        <v>0</v>
      </c>
      <c r="T3275">
        <f>IF(AND(NOT(ISBLANK(ReconciliationData[[#This Row],[End_Date]])),ReconciliationData[[#This Row],[Order_Date]]&gt;ReconciliationData[[#This Row],[End_Date]]),1,0)</f>
        <v>0</v>
      </c>
      <c r="U3275">
        <f>IF(AND(NOT(ISBLANK(ReconciliationData[[#This Row],[last_return_date]])),ReconciliationData[[#This Row],[last_return_date]]&gt;ReconciliationData[[#This Row],[Order_Date]]+60),1,0)</f>
        <v>0</v>
      </c>
      <c r="V3275">
        <f>IF(ReconciliationData[[#This Row],[total_returned_units]]&gt;ReconciliationData[[#This Row],[ordered_units]],1,0)</f>
        <v>0</v>
      </c>
      <c r="W32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75">
        <f>ReconciliationData[[#This Row],[Billed_Units]]*ReconciliationData[[#This Row],[Billed_Price]]</f>
        <v>31285.094399999994</v>
      </c>
      <c r="Y3275">
        <f>ReconciliationData[[#This Row],[ordered_units]]*ReconciliationData[[#This Row],[List_Price]]</f>
        <v>31285.094399999994</v>
      </c>
      <c r="Z3275">
        <f>ReconciliationData[[#This Row],[billed_revenue]]-ReconciliationData[[#This Row],[expected_revenue]]</f>
        <v>0</v>
      </c>
      <c r="AA32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75" t="str">
        <f>IF(ReconciliationData[[#This Row],[severity_score]]=0,"LOW",
 IF(ReconciliationData[[#This Row],[severity_score]]&lt;=5,"MEDIUM","HIGH"))</f>
        <v>LOW</v>
      </c>
      <c r="AC3275" t="str">
        <f>TEXT(ReconciliationData[[#This Row],[Order_Date]],"YYYY-MM")</f>
        <v>2023-01</v>
      </c>
    </row>
    <row r="3276" spans="1:29">
      <c r="A3276" t="s">
        <v>7769</v>
      </c>
      <c r="B3276" s="1">
        <v>45329</v>
      </c>
      <c r="C3276" t="s">
        <v>429</v>
      </c>
      <c r="D3276" t="s">
        <v>378</v>
      </c>
      <c r="E3276">
        <v>82</v>
      </c>
      <c r="F3276" t="s">
        <v>7770</v>
      </c>
      <c r="G3276">
        <v>82</v>
      </c>
      <c r="H3276">
        <v>601.32929999999999</v>
      </c>
      <c r="N3276">
        <v>601.32929999999999</v>
      </c>
      <c r="O3276" s="1">
        <v>44962</v>
      </c>
      <c r="P3276">
        <f>IF(ISBLANK(ReconciliationData[[#This Row],[Invoice_ID]]),1,0)</f>
        <v>0</v>
      </c>
      <c r="Q3276">
        <f>IF(AND(NOT(ISBLANK(ReconciliationData[[#This Row],[Billed_Units]])),ReconciliationData[[#This Row],[ordered_units]]&lt;&gt;ReconciliationData[[#This Row],[Billed_Units]]),1,0)</f>
        <v>0</v>
      </c>
      <c r="R32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76">
        <f>IF(AND(NOT(ISBLANK(ReconciliationData[[#This Row],[Contract_Price]])),ReconciliationData[[#This Row],[Billed_Price]]&lt;&gt;ReconciliationData[[#This Row],[Contract_Price]]),1,0)</f>
        <v>0</v>
      </c>
      <c r="T3276">
        <f>IF(AND(NOT(ISBLANK(ReconciliationData[[#This Row],[End_Date]])),ReconciliationData[[#This Row],[Order_Date]]&gt;ReconciliationData[[#This Row],[End_Date]]),1,0)</f>
        <v>0</v>
      </c>
      <c r="U3276">
        <f>IF(AND(NOT(ISBLANK(ReconciliationData[[#This Row],[last_return_date]])),ReconciliationData[[#This Row],[last_return_date]]&gt;ReconciliationData[[#This Row],[Order_Date]]+60),1,0)</f>
        <v>0</v>
      </c>
      <c r="V3276">
        <f>IF(ReconciliationData[[#This Row],[total_returned_units]]&gt;ReconciliationData[[#This Row],[ordered_units]],1,0)</f>
        <v>0</v>
      </c>
      <c r="W32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76">
        <f>ReconciliationData[[#This Row],[Billed_Units]]*ReconciliationData[[#This Row],[Billed_Price]]</f>
        <v>49309.0026</v>
      </c>
      <c r="Y3276">
        <f>ReconciliationData[[#This Row],[ordered_units]]*ReconciliationData[[#This Row],[List_Price]]</f>
        <v>49309.0026</v>
      </c>
      <c r="Z3276">
        <f>ReconciliationData[[#This Row],[billed_revenue]]-ReconciliationData[[#This Row],[expected_revenue]]</f>
        <v>0</v>
      </c>
      <c r="AA32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76" t="str">
        <f>IF(ReconciliationData[[#This Row],[severity_score]]=0,"LOW",
 IF(ReconciliationData[[#This Row],[severity_score]]&lt;=5,"MEDIUM","HIGH"))</f>
        <v>LOW</v>
      </c>
      <c r="AC3276" t="str">
        <f>TEXT(ReconciliationData[[#This Row],[Order_Date]],"YYYY-MM")</f>
        <v>2024-02</v>
      </c>
    </row>
    <row r="3277" spans="1:29">
      <c r="A3277" t="s">
        <v>7771</v>
      </c>
      <c r="B3277" s="1">
        <v>45381</v>
      </c>
      <c r="C3277" t="s">
        <v>1741</v>
      </c>
      <c r="D3277" t="s">
        <v>814</v>
      </c>
      <c r="E3277">
        <v>70</v>
      </c>
      <c r="F3277" t="s">
        <v>7772</v>
      </c>
      <c r="G3277">
        <v>70</v>
      </c>
      <c r="H3277">
        <v>521.54959999999994</v>
      </c>
      <c r="N3277">
        <v>521.54959999999994</v>
      </c>
      <c r="O3277" s="1">
        <v>44994</v>
      </c>
      <c r="P3277">
        <f>IF(ISBLANK(ReconciliationData[[#This Row],[Invoice_ID]]),1,0)</f>
        <v>0</v>
      </c>
      <c r="Q3277">
        <f>IF(AND(NOT(ISBLANK(ReconciliationData[[#This Row],[Billed_Units]])),ReconciliationData[[#This Row],[ordered_units]]&lt;&gt;ReconciliationData[[#This Row],[Billed_Units]]),1,0)</f>
        <v>0</v>
      </c>
      <c r="R32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77">
        <f>IF(AND(NOT(ISBLANK(ReconciliationData[[#This Row],[Contract_Price]])),ReconciliationData[[#This Row],[Billed_Price]]&lt;&gt;ReconciliationData[[#This Row],[Contract_Price]]),1,0)</f>
        <v>0</v>
      </c>
      <c r="T3277">
        <f>IF(AND(NOT(ISBLANK(ReconciliationData[[#This Row],[End_Date]])),ReconciliationData[[#This Row],[Order_Date]]&gt;ReconciliationData[[#This Row],[End_Date]]),1,0)</f>
        <v>0</v>
      </c>
      <c r="U3277">
        <f>IF(AND(NOT(ISBLANK(ReconciliationData[[#This Row],[last_return_date]])),ReconciliationData[[#This Row],[last_return_date]]&gt;ReconciliationData[[#This Row],[Order_Date]]+60),1,0)</f>
        <v>0</v>
      </c>
      <c r="V3277">
        <f>IF(ReconciliationData[[#This Row],[total_returned_units]]&gt;ReconciliationData[[#This Row],[ordered_units]],1,0)</f>
        <v>0</v>
      </c>
      <c r="W32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77">
        <f>ReconciliationData[[#This Row],[Billed_Units]]*ReconciliationData[[#This Row],[Billed_Price]]</f>
        <v>36508.471999999994</v>
      </c>
      <c r="Y3277">
        <f>ReconciliationData[[#This Row],[ordered_units]]*ReconciliationData[[#This Row],[List_Price]]</f>
        <v>36508.471999999994</v>
      </c>
      <c r="Z3277">
        <f>ReconciliationData[[#This Row],[billed_revenue]]-ReconciliationData[[#This Row],[expected_revenue]]</f>
        <v>0</v>
      </c>
      <c r="AA32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77" t="str">
        <f>IF(ReconciliationData[[#This Row],[severity_score]]=0,"LOW",
 IF(ReconciliationData[[#This Row],[severity_score]]&lt;=5,"MEDIUM","HIGH"))</f>
        <v>LOW</v>
      </c>
      <c r="AC3277" t="str">
        <f>TEXT(ReconciliationData[[#This Row],[Order_Date]],"YYYY-MM")</f>
        <v>2024-03</v>
      </c>
    </row>
    <row r="3278" spans="1:29">
      <c r="A3278" t="s">
        <v>7773</v>
      </c>
      <c r="B3278" s="1">
        <v>45307</v>
      </c>
      <c r="C3278" t="s">
        <v>433</v>
      </c>
      <c r="D3278" t="s">
        <v>891</v>
      </c>
      <c r="E3278">
        <v>69</v>
      </c>
      <c r="F3278" t="s">
        <v>7774</v>
      </c>
      <c r="G3278">
        <v>69</v>
      </c>
      <c r="H3278">
        <v>680.30940000000021</v>
      </c>
      <c r="N3278">
        <v>680.30940000000021</v>
      </c>
      <c r="O3278" s="1">
        <v>44934</v>
      </c>
      <c r="P3278">
        <f>IF(ISBLANK(ReconciliationData[[#This Row],[Invoice_ID]]),1,0)</f>
        <v>0</v>
      </c>
      <c r="Q3278">
        <f>IF(AND(NOT(ISBLANK(ReconciliationData[[#This Row],[Billed_Units]])),ReconciliationData[[#This Row],[ordered_units]]&lt;&gt;ReconciliationData[[#This Row],[Billed_Units]]),1,0)</f>
        <v>0</v>
      </c>
      <c r="R32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78">
        <f>IF(AND(NOT(ISBLANK(ReconciliationData[[#This Row],[Contract_Price]])),ReconciliationData[[#This Row],[Billed_Price]]&lt;&gt;ReconciliationData[[#This Row],[Contract_Price]]),1,0)</f>
        <v>0</v>
      </c>
      <c r="T3278">
        <f>IF(AND(NOT(ISBLANK(ReconciliationData[[#This Row],[End_Date]])),ReconciliationData[[#This Row],[Order_Date]]&gt;ReconciliationData[[#This Row],[End_Date]]),1,0)</f>
        <v>0</v>
      </c>
      <c r="U3278">
        <f>IF(AND(NOT(ISBLANK(ReconciliationData[[#This Row],[last_return_date]])),ReconciliationData[[#This Row],[last_return_date]]&gt;ReconciliationData[[#This Row],[Order_Date]]+60),1,0)</f>
        <v>0</v>
      </c>
      <c r="V3278">
        <f>IF(ReconciliationData[[#This Row],[total_returned_units]]&gt;ReconciliationData[[#This Row],[ordered_units]],1,0)</f>
        <v>0</v>
      </c>
      <c r="W32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78">
        <f>ReconciliationData[[#This Row],[Billed_Units]]*ReconciliationData[[#This Row],[Billed_Price]]</f>
        <v>46941.348600000012</v>
      </c>
      <c r="Y3278">
        <f>ReconciliationData[[#This Row],[ordered_units]]*ReconciliationData[[#This Row],[List_Price]]</f>
        <v>46941.348600000012</v>
      </c>
      <c r="Z3278">
        <f>ReconciliationData[[#This Row],[billed_revenue]]-ReconciliationData[[#This Row],[expected_revenue]]</f>
        <v>0</v>
      </c>
      <c r="AA32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78" t="str">
        <f>IF(ReconciliationData[[#This Row],[severity_score]]=0,"LOW",
 IF(ReconciliationData[[#This Row],[severity_score]]&lt;=5,"MEDIUM","HIGH"))</f>
        <v>LOW</v>
      </c>
      <c r="AC3278" t="str">
        <f>TEXT(ReconciliationData[[#This Row],[Order_Date]],"YYYY-MM")</f>
        <v>2024-01</v>
      </c>
    </row>
    <row r="3279" spans="1:29">
      <c r="A3279" t="s">
        <v>7775</v>
      </c>
      <c r="B3279" s="1">
        <v>44928</v>
      </c>
      <c r="C3279" t="s">
        <v>471</v>
      </c>
      <c r="D3279" t="s">
        <v>1470</v>
      </c>
      <c r="E3279">
        <v>163</v>
      </c>
      <c r="F3279" t="s">
        <v>7776</v>
      </c>
      <c r="G3279">
        <v>163</v>
      </c>
      <c r="H3279">
        <v>644.91</v>
      </c>
      <c r="N3279">
        <v>644.91</v>
      </c>
      <c r="O3279" s="1">
        <v>44590</v>
      </c>
      <c r="P3279">
        <f>IF(ISBLANK(ReconciliationData[[#This Row],[Invoice_ID]]),1,0)</f>
        <v>0</v>
      </c>
      <c r="Q3279">
        <f>IF(AND(NOT(ISBLANK(ReconciliationData[[#This Row],[Billed_Units]])),ReconciliationData[[#This Row],[ordered_units]]&lt;&gt;ReconciliationData[[#This Row],[Billed_Units]]),1,0)</f>
        <v>0</v>
      </c>
      <c r="R32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79">
        <f>IF(AND(NOT(ISBLANK(ReconciliationData[[#This Row],[Contract_Price]])),ReconciliationData[[#This Row],[Billed_Price]]&lt;&gt;ReconciliationData[[#This Row],[Contract_Price]]),1,0)</f>
        <v>0</v>
      </c>
      <c r="T3279">
        <f>IF(AND(NOT(ISBLANK(ReconciliationData[[#This Row],[End_Date]])),ReconciliationData[[#This Row],[Order_Date]]&gt;ReconciliationData[[#This Row],[End_Date]]),1,0)</f>
        <v>0</v>
      </c>
      <c r="U3279">
        <f>IF(AND(NOT(ISBLANK(ReconciliationData[[#This Row],[last_return_date]])),ReconciliationData[[#This Row],[last_return_date]]&gt;ReconciliationData[[#This Row],[Order_Date]]+60),1,0)</f>
        <v>0</v>
      </c>
      <c r="V3279">
        <f>IF(ReconciliationData[[#This Row],[total_returned_units]]&gt;ReconciliationData[[#This Row],[ordered_units]],1,0)</f>
        <v>0</v>
      </c>
      <c r="W32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79">
        <f>ReconciliationData[[#This Row],[Billed_Units]]*ReconciliationData[[#This Row],[Billed_Price]]</f>
        <v>105120.33</v>
      </c>
      <c r="Y3279">
        <f>ReconciliationData[[#This Row],[ordered_units]]*ReconciliationData[[#This Row],[List_Price]]</f>
        <v>105120.33</v>
      </c>
      <c r="Z3279">
        <f>ReconciliationData[[#This Row],[billed_revenue]]-ReconciliationData[[#This Row],[expected_revenue]]</f>
        <v>0</v>
      </c>
      <c r="AA32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79" t="str">
        <f>IF(ReconciliationData[[#This Row],[severity_score]]=0,"LOW",
 IF(ReconciliationData[[#This Row],[severity_score]]&lt;=5,"MEDIUM","HIGH"))</f>
        <v>LOW</v>
      </c>
      <c r="AC3279" t="str">
        <f>TEXT(ReconciliationData[[#This Row],[Order_Date]],"YYYY-MM")</f>
        <v>2023-01</v>
      </c>
    </row>
    <row r="3280" spans="1:29">
      <c r="A3280" t="s">
        <v>7777</v>
      </c>
      <c r="B3280" s="1">
        <v>45245</v>
      </c>
      <c r="C3280" t="s">
        <v>388</v>
      </c>
      <c r="D3280" t="s">
        <v>445</v>
      </c>
      <c r="E3280">
        <v>4</v>
      </c>
      <c r="F3280" t="s">
        <v>7778</v>
      </c>
      <c r="G3280">
        <v>4</v>
      </c>
      <c r="H3280">
        <v>791.35360000000003</v>
      </c>
      <c r="N3280">
        <v>791.35360000000003</v>
      </c>
      <c r="O3280" s="1">
        <v>45097</v>
      </c>
      <c r="P3280">
        <f>IF(ISBLANK(ReconciliationData[[#This Row],[Invoice_ID]]),1,0)</f>
        <v>0</v>
      </c>
      <c r="Q3280">
        <f>IF(AND(NOT(ISBLANK(ReconciliationData[[#This Row],[Billed_Units]])),ReconciliationData[[#This Row],[ordered_units]]&lt;&gt;ReconciliationData[[#This Row],[Billed_Units]]),1,0)</f>
        <v>0</v>
      </c>
      <c r="R32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0">
        <f>IF(AND(NOT(ISBLANK(ReconciliationData[[#This Row],[Contract_Price]])),ReconciliationData[[#This Row],[Billed_Price]]&lt;&gt;ReconciliationData[[#This Row],[Contract_Price]]),1,0)</f>
        <v>0</v>
      </c>
      <c r="T3280">
        <f>IF(AND(NOT(ISBLANK(ReconciliationData[[#This Row],[End_Date]])),ReconciliationData[[#This Row],[Order_Date]]&gt;ReconciliationData[[#This Row],[End_Date]]),1,0)</f>
        <v>0</v>
      </c>
      <c r="U3280">
        <f>IF(AND(NOT(ISBLANK(ReconciliationData[[#This Row],[last_return_date]])),ReconciliationData[[#This Row],[last_return_date]]&gt;ReconciliationData[[#This Row],[Order_Date]]+60),1,0)</f>
        <v>0</v>
      </c>
      <c r="V3280">
        <f>IF(ReconciliationData[[#This Row],[total_returned_units]]&gt;ReconciliationData[[#This Row],[ordered_units]],1,0)</f>
        <v>0</v>
      </c>
      <c r="W32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80">
        <f>ReconciliationData[[#This Row],[Billed_Units]]*ReconciliationData[[#This Row],[Billed_Price]]</f>
        <v>3165.4144000000001</v>
      </c>
      <c r="Y3280">
        <f>ReconciliationData[[#This Row],[ordered_units]]*ReconciliationData[[#This Row],[List_Price]]</f>
        <v>3165.4144000000001</v>
      </c>
      <c r="Z3280">
        <f>ReconciliationData[[#This Row],[billed_revenue]]-ReconciliationData[[#This Row],[expected_revenue]]</f>
        <v>0</v>
      </c>
      <c r="AA32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80" t="str">
        <f>IF(ReconciliationData[[#This Row],[severity_score]]=0,"LOW",
 IF(ReconciliationData[[#This Row],[severity_score]]&lt;=5,"MEDIUM","HIGH"))</f>
        <v>LOW</v>
      </c>
      <c r="AC3280" t="str">
        <f>TEXT(ReconciliationData[[#This Row],[Order_Date]],"YYYY-MM")</f>
        <v>2023-11</v>
      </c>
    </row>
    <row r="3281" spans="1:29">
      <c r="A3281" t="s">
        <v>7779</v>
      </c>
      <c r="B3281" s="1">
        <v>45376</v>
      </c>
      <c r="C3281" t="s">
        <v>6153</v>
      </c>
      <c r="D3281" t="s">
        <v>235</v>
      </c>
      <c r="E3281">
        <v>4</v>
      </c>
      <c r="F3281" t="s">
        <v>7780</v>
      </c>
      <c r="G3281">
        <v>4</v>
      </c>
      <c r="H3281">
        <v>426.10500000000002</v>
      </c>
      <c r="N3281">
        <v>426.10500000000002</v>
      </c>
      <c r="O3281" s="1">
        <v>45215</v>
      </c>
      <c r="P3281">
        <f>IF(ISBLANK(ReconciliationData[[#This Row],[Invoice_ID]]),1,0)</f>
        <v>0</v>
      </c>
      <c r="Q3281">
        <f>IF(AND(NOT(ISBLANK(ReconciliationData[[#This Row],[Billed_Units]])),ReconciliationData[[#This Row],[ordered_units]]&lt;&gt;ReconciliationData[[#This Row],[Billed_Units]]),1,0)</f>
        <v>0</v>
      </c>
      <c r="R32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1">
        <f>IF(AND(NOT(ISBLANK(ReconciliationData[[#This Row],[Contract_Price]])),ReconciliationData[[#This Row],[Billed_Price]]&lt;&gt;ReconciliationData[[#This Row],[Contract_Price]]),1,0)</f>
        <v>0</v>
      </c>
      <c r="T3281">
        <f>IF(AND(NOT(ISBLANK(ReconciliationData[[#This Row],[End_Date]])),ReconciliationData[[#This Row],[Order_Date]]&gt;ReconciliationData[[#This Row],[End_Date]]),1,0)</f>
        <v>0</v>
      </c>
      <c r="U3281">
        <f>IF(AND(NOT(ISBLANK(ReconciliationData[[#This Row],[last_return_date]])),ReconciliationData[[#This Row],[last_return_date]]&gt;ReconciliationData[[#This Row],[Order_Date]]+60),1,0)</f>
        <v>0</v>
      </c>
      <c r="V3281">
        <f>IF(ReconciliationData[[#This Row],[total_returned_units]]&gt;ReconciliationData[[#This Row],[ordered_units]],1,0)</f>
        <v>0</v>
      </c>
      <c r="W32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81">
        <f>ReconciliationData[[#This Row],[Billed_Units]]*ReconciliationData[[#This Row],[Billed_Price]]</f>
        <v>1704.42</v>
      </c>
      <c r="Y3281">
        <f>ReconciliationData[[#This Row],[ordered_units]]*ReconciliationData[[#This Row],[List_Price]]</f>
        <v>1704.42</v>
      </c>
      <c r="Z3281">
        <f>ReconciliationData[[#This Row],[billed_revenue]]-ReconciliationData[[#This Row],[expected_revenue]]</f>
        <v>0</v>
      </c>
      <c r="AA32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81" t="str">
        <f>IF(ReconciliationData[[#This Row],[severity_score]]=0,"LOW",
 IF(ReconciliationData[[#This Row],[severity_score]]&lt;=5,"MEDIUM","HIGH"))</f>
        <v>LOW</v>
      </c>
      <c r="AC3281" t="str">
        <f>TEXT(ReconciliationData[[#This Row],[Order_Date]],"YYYY-MM")</f>
        <v>2024-03</v>
      </c>
    </row>
    <row r="3282" spans="1:29">
      <c r="A3282" t="s">
        <v>7781</v>
      </c>
      <c r="B3282" s="1">
        <v>44930</v>
      </c>
      <c r="C3282" t="s">
        <v>1693</v>
      </c>
      <c r="D3282" t="s">
        <v>1083</v>
      </c>
      <c r="E3282">
        <v>29</v>
      </c>
      <c r="F3282" t="s">
        <v>7782</v>
      </c>
      <c r="G3282">
        <v>29</v>
      </c>
      <c r="H3282">
        <v>483.88319999999999</v>
      </c>
      <c r="N3282">
        <v>483.88319999999999</v>
      </c>
      <c r="O3282" s="1">
        <v>44832</v>
      </c>
      <c r="P3282">
        <f>IF(ISBLANK(ReconciliationData[[#This Row],[Invoice_ID]]),1,0)</f>
        <v>0</v>
      </c>
      <c r="Q3282">
        <f>IF(AND(NOT(ISBLANK(ReconciliationData[[#This Row],[Billed_Units]])),ReconciliationData[[#This Row],[ordered_units]]&lt;&gt;ReconciliationData[[#This Row],[Billed_Units]]),1,0)</f>
        <v>0</v>
      </c>
      <c r="R32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2">
        <f>IF(AND(NOT(ISBLANK(ReconciliationData[[#This Row],[Contract_Price]])),ReconciliationData[[#This Row],[Billed_Price]]&lt;&gt;ReconciliationData[[#This Row],[Contract_Price]]),1,0)</f>
        <v>0</v>
      </c>
      <c r="T3282">
        <f>IF(AND(NOT(ISBLANK(ReconciliationData[[#This Row],[End_Date]])),ReconciliationData[[#This Row],[Order_Date]]&gt;ReconciliationData[[#This Row],[End_Date]]),1,0)</f>
        <v>0</v>
      </c>
      <c r="U3282">
        <f>IF(AND(NOT(ISBLANK(ReconciliationData[[#This Row],[last_return_date]])),ReconciliationData[[#This Row],[last_return_date]]&gt;ReconciliationData[[#This Row],[Order_Date]]+60),1,0)</f>
        <v>0</v>
      </c>
      <c r="V3282">
        <f>IF(ReconciliationData[[#This Row],[total_returned_units]]&gt;ReconciliationData[[#This Row],[ordered_units]],1,0)</f>
        <v>0</v>
      </c>
      <c r="W32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82">
        <f>ReconciliationData[[#This Row],[Billed_Units]]*ReconciliationData[[#This Row],[Billed_Price]]</f>
        <v>14032.612799999999</v>
      </c>
      <c r="Y3282">
        <f>ReconciliationData[[#This Row],[ordered_units]]*ReconciliationData[[#This Row],[List_Price]]</f>
        <v>14032.612799999999</v>
      </c>
      <c r="Z3282">
        <f>ReconciliationData[[#This Row],[billed_revenue]]-ReconciliationData[[#This Row],[expected_revenue]]</f>
        <v>0</v>
      </c>
      <c r="AA32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82" t="str">
        <f>IF(ReconciliationData[[#This Row],[severity_score]]=0,"LOW",
 IF(ReconciliationData[[#This Row],[severity_score]]&lt;=5,"MEDIUM","HIGH"))</f>
        <v>LOW</v>
      </c>
      <c r="AC3282" t="str">
        <f>TEXT(ReconciliationData[[#This Row],[Order_Date]],"YYYY-MM")</f>
        <v>2023-01</v>
      </c>
    </row>
    <row r="3283" spans="1:29">
      <c r="A3283" t="s">
        <v>7783</v>
      </c>
      <c r="B3283" s="1">
        <v>45148</v>
      </c>
      <c r="C3283" t="s">
        <v>5631</v>
      </c>
      <c r="D3283" t="s">
        <v>393</v>
      </c>
      <c r="E3283">
        <v>106</v>
      </c>
      <c r="F3283" t="s">
        <v>7784</v>
      </c>
      <c r="G3283">
        <v>106</v>
      </c>
      <c r="H3283">
        <v>1080.0740000000001</v>
      </c>
      <c r="N3283">
        <v>1080.0740000000001</v>
      </c>
      <c r="O3283" s="1">
        <v>45058</v>
      </c>
      <c r="P3283">
        <f>IF(ISBLANK(ReconciliationData[[#This Row],[Invoice_ID]]),1,0)</f>
        <v>0</v>
      </c>
      <c r="Q3283">
        <f>IF(AND(NOT(ISBLANK(ReconciliationData[[#This Row],[Billed_Units]])),ReconciliationData[[#This Row],[ordered_units]]&lt;&gt;ReconciliationData[[#This Row],[Billed_Units]]),1,0)</f>
        <v>0</v>
      </c>
      <c r="R32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3">
        <f>IF(AND(NOT(ISBLANK(ReconciliationData[[#This Row],[Contract_Price]])),ReconciliationData[[#This Row],[Billed_Price]]&lt;&gt;ReconciliationData[[#This Row],[Contract_Price]]),1,0)</f>
        <v>0</v>
      </c>
      <c r="T3283">
        <f>IF(AND(NOT(ISBLANK(ReconciliationData[[#This Row],[End_Date]])),ReconciliationData[[#This Row],[Order_Date]]&gt;ReconciliationData[[#This Row],[End_Date]]),1,0)</f>
        <v>0</v>
      </c>
      <c r="U3283">
        <f>IF(AND(NOT(ISBLANK(ReconciliationData[[#This Row],[last_return_date]])),ReconciliationData[[#This Row],[last_return_date]]&gt;ReconciliationData[[#This Row],[Order_Date]]+60),1,0)</f>
        <v>0</v>
      </c>
      <c r="V3283">
        <f>IF(ReconciliationData[[#This Row],[total_returned_units]]&gt;ReconciliationData[[#This Row],[ordered_units]],1,0)</f>
        <v>0</v>
      </c>
      <c r="W32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83">
        <f>ReconciliationData[[#This Row],[Billed_Units]]*ReconciliationData[[#This Row],[Billed_Price]]</f>
        <v>114487.84400000001</v>
      </c>
      <c r="Y3283">
        <f>ReconciliationData[[#This Row],[ordered_units]]*ReconciliationData[[#This Row],[List_Price]]</f>
        <v>114487.84400000001</v>
      </c>
      <c r="Z3283">
        <f>ReconciliationData[[#This Row],[billed_revenue]]-ReconciliationData[[#This Row],[expected_revenue]]</f>
        <v>0</v>
      </c>
      <c r="AA32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83" t="str">
        <f>IF(ReconciliationData[[#This Row],[severity_score]]=0,"LOW",
 IF(ReconciliationData[[#This Row],[severity_score]]&lt;=5,"MEDIUM","HIGH"))</f>
        <v>LOW</v>
      </c>
      <c r="AC3283" t="str">
        <f>TEXT(ReconciliationData[[#This Row],[Order_Date]],"YYYY-MM")</f>
        <v>2023-08</v>
      </c>
    </row>
    <row r="3284" spans="1:29">
      <c r="A3284" t="s">
        <v>7785</v>
      </c>
      <c r="B3284" s="1">
        <v>45396</v>
      </c>
      <c r="C3284" t="s">
        <v>3225</v>
      </c>
      <c r="D3284" t="s">
        <v>198</v>
      </c>
      <c r="E3284">
        <v>64</v>
      </c>
      <c r="F3284" t="s">
        <v>7786</v>
      </c>
      <c r="G3284">
        <v>64</v>
      </c>
      <c r="H3284">
        <v>78.696099999999987</v>
      </c>
      <c r="N3284">
        <v>78.696099999999987</v>
      </c>
      <c r="O3284" s="1">
        <v>45083</v>
      </c>
      <c r="P3284">
        <f>IF(ISBLANK(ReconciliationData[[#This Row],[Invoice_ID]]),1,0)</f>
        <v>0</v>
      </c>
      <c r="Q3284">
        <f>IF(AND(NOT(ISBLANK(ReconciliationData[[#This Row],[Billed_Units]])),ReconciliationData[[#This Row],[ordered_units]]&lt;&gt;ReconciliationData[[#This Row],[Billed_Units]]),1,0)</f>
        <v>0</v>
      </c>
      <c r="R32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4">
        <f>IF(AND(NOT(ISBLANK(ReconciliationData[[#This Row],[Contract_Price]])),ReconciliationData[[#This Row],[Billed_Price]]&lt;&gt;ReconciliationData[[#This Row],[Contract_Price]]),1,0)</f>
        <v>0</v>
      </c>
      <c r="T3284">
        <f>IF(AND(NOT(ISBLANK(ReconciliationData[[#This Row],[End_Date]])),ReconciliationData[[#This Row],[Order_Date]]&gt;ReconciliationData[[#This Row],[End_Date]]),1,0)</f>
        <v>0</v>
      </c>
      <c r="U3284">
        <f>IF(AND(NOT(ISBLANK(ReconciliationData[[#This Row],[last_return_date]])),ReconciliationData[[#This Row],[last_return_date]]&gt;ReconciliationData[[#This Row],[Order_Date]]+60),1,0)</f>
        <v>0</v>
      </c>
      <c r="V3284">
        <f>IF(ReconciliationData[[#This Row],[total_returned_units]]&gt;ReconciliationData[[#This Row],[ordered_units]],1,0)</f>
        <v>0</v>
      </c>
      <c r="W32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84">
        <f>ReconciliationData[[#This Row],[Billed_Units]]*ReconciliationData[[#This Row],[Billed_Price]]</f>
        <v>5036.5503999999992</v>
      </c>
      <c r="Y3284">
        <f>ReconciliationData[[#This Row],[ordered_units]]*ReconciliationData[[#This Row],[List_Price]]</f>
        <v>5036.5503999999992</v>
      </c>
      <c r="Z3284">
        <f>ReconciliationData[[#This Row],[billed_revenue]]-ReconciliationData[[#This Row],[expected_revenue]]</f>
        <v>0</v>
      </c>
      <c r="AA32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84" t="str">
        <f>IF(ReconciliationData[[#This Row],[severity_score]]=0,"LOW",
 IF(ReconciliationData[[#This Row],[severity_score]]&lt;=5,"MEDIUM","HIGH"))</f>
        <v>LOW</v>
      </c>
      <c r="AC3284" t="str">
        <f>TEXT(ReconciliationData[[#This Row],[Order_Date]],"YYYY-MM")</f>
        <v>2024-04</v>
      </c>
    </row>
    <row r="3285" spans="1:29">
      <c r="A3285" t="s">
        <v>7787</v>
      </c>
      <c r="B3285" s="1">
        <v>45042</v>
      </c>
      <c r="C3285" t="s">
        <v>165</v>
      </c>
      <c r="D3285" t="s">
        <v>863</v>
      </c>
      <c r="E3285">
        <v>85</v>
      </c>
      <c r="F3285" t="s">
        <v>7788</v>
      </c>
      <c r="G3285">
        <v>85</v>
      </c>
      <c r="H3285">
        <v>724.52160000000003</v>
      </c>
      <c r="N3285">
        <v>724.52160000000003</v>
      </c>
      <c r="O3285" s="1">
        <v>44837</v>
      </c>
      <c r="P3285">
        <f>IF(ISBLANK(ReconciliationData[[#This Row],[Invoice_ID]]),1,0)</f>
        <v>0</v>
      </c>
      <c r="Q3285">
        <f>IF(AND(NOT(ISBLANK(ReconciliationData[[#This Row],[Billed_Units]])),ReconciliationData[[#This Row],[ordered_units]]&lt;&gt;ReconciliationData[[#This Row],[Billed_Units]]),1,0)</f>
        <v>0</v>
      </c>
      <c r="R32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5">
        <f>IF(AND(NOT(ISBLANK(ReconciliationData[[#This Row],[Contract_Price]])),ReconciliationData[[#This Row],[Billed_Price]]&lt;&gt;ReconciliationData[[#This Row],[Contract_Price]]),1,0)</f>
        <v>0</v>
      </c>
      <c r="T3285">
        <f>IF(AND(NOT(ISBLANK(ReconciliationData[[#This Row],[End_Date]])),ReconciliationData[[#This Row],[Order_Date]]&gt;ReconciliationData[[#This Row],[End_Date]]),1,0)</f>
        <v>0</v>
      </c>
      <c r="U3285">
        <f>IF(AND(NOT(ISBLANK(ReconciliationData[[#This Row],[last_return_date]])),ReconciliationData[[#This Row],[last_return_date]]&gt;ReconciliationData[[#This Row],[Order_Date]]+60),1,0)</f>
        <v>0</v>
      </c>
      <c r="V3285">
        <f>IF(ReconciliationData[[#This Row],[total_returned_units]]&gt;ReconciliationData[[#This Row],[ordered_units]],1,0)</f>
        <v>0</v>
      </c>
      <c r="W32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85">
        <f>ReconciliationData[[#This Row],[Billed_Units]]*ReconciliationData[[#This Row],[Billed_Price]]</f>
        <v>61584.336000000003</v>
      </c>
      <c r="Y3285">
        <f>ReconciliationData[[#This Row],[ordered_units]]*ReconciliationData[[#This Row],[List_Price]]</f>
        <v>61584.336000000003</v>
      </c>
      <c r="Z3285">
        <f>ReconciliationData[[#This Row],[billed_revenue]]-ReconciliationData[[#This Row],[expected_revenue]]</f>
        <v>0</v>
      </c>
      <c r="AA32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85" t="str">
        <f>IF(ReconciliationData[[#This Row],[severity_score]]=0,"LOW",
 IF(ReconciliationData[[#This Row],[severity_score]]&lt;=5,"MEDIUM","HIGH"))</f>
        <v>LOW</v>
      </c>
      <c r="AC3285" t="str">
        <f>TEXT(ReconciliationData[[#This Row],[Order_Date]],"YYYY-MM")</f>
        <v>2023-04</v>
      </c>
    </row>
    <row r="3286" spans="1:29">
      <c r="A3286" t="s">
        <v>7789</v>
      </c>
      <c r="B3286" s="1">
        <v>45506</v>
      </c>
      <c r="C3286" t="s">
        <v>3687</v>
      </c>
      <c r="D3286" t="s">
        <v>651</v>
      </c>
      <c r="E3286">
        <v>162</v>
      </c>
      <c r="F3286" t="s">
        <v>7790</v>
      </c>
      <c r="G3286">
        <v>162</v>
      </c>
      <c r="H3286">
        <v>214.6182</v>
      </c>
      <c r="N3286">
        <v>214.6182</v>
      </c>
      <c r="O3286" s="1">
        <v>45116</v>
      </c>
      <c r="P3286">
        <f>IF(ISBLANK(ReconciliationData[[#This Row],[Invoice_ID]]),1,0)</f>
        <v>0</v>
      </c>
      <c r="Q3286">
        <f>IF(AND(NOT(ISBLANK(ReconciliationData[[#This Row],[Billed_Units]])),ReconciliationData[[#This Row],[ordered_units]]&lt;&gt;ReconciliationData[[#This Row],[Billed_Units]]),1,0)</f>
        <v>0</v>
      </c>
      <c r="R32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6">
        <f>IF(AND(NOT(ISBLANK(ReconciliationData[[#This Row],[Contract_Price]])),ReconciliationData[[#This Row],[Billed_Price]]&lt;&gt;ReconciliationData[[#This Row],[Contract_Price]]),1,0)</f>
        <v>0</v>
      </c>
      <c r="T3286">
        <f>IF(AND(NOT(ISBLANK(ReconciliationData[[#This Row],[End_Date]])),ReconciliationData[[#This Row],[Order_Date]]&gt;ReconciliationData[[#This Row],[End_Date]]),1,0)</f>
        <v>0</v>
      </c>
      <c r="U3286">
        <f>IF(AND(NOT(ISBLANK(ReconciliationData[[#This Row],[last_return_date]])),ReconciliationData[[#This Row],[last_return_date]]&gt;ReconciliationData[[#This Row],[Order_Date]]+60),1,0)</f>
        <v>0</v>
      </c>
      <c r="V3286">
        <f>IF(ReconciliationData[[#This Row],[total_returned_units]]&gt;ReconciliationData[[#This Row],[ordered_units]],1,0)</f>
        <v>0</v>
      </c>
      <c r="W32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86">
        <f>ReconciliationData[[#This Row],[Billed_Units]]*ReconciliationData[[#This Row],[Billed_Price]]</f>
        <v>34768.148399999998</v>
      </c>
      <c r="Y3286">
        <f>ReconciliationData[[#This Row],[ordered_units]]*ReconciliationData[[#This Row],[List_Price]]</f>
        <v>34768.148399999998</v>
      </c>
      <c r="Z3286">
        <f>ReconciliationData[[#This Row],[billed_revenue]]-ReconciliationData[[#This Row],[expected_revenue]]</f>
        <v>0</v>
      </c>
      <c r="AA32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86" t="str">
        <f>IF(ReconciliationData[[#This Row],[severity_score]]=0,"LOW",
 IF(ReconciliationData[[#This Row],[severity_score]]&lt;=5,"MEDIUM","HIGH"))</f>
        <v>LOW</v>
      </c>
      <c r="AC3286" t="str">
        <f>TEXT(ReconciliationData[[#This Row],[Order_Date]],"YYYY-MM")</f>
        <v>2024-08</v>
      </c>
    </row>
    <row r="3287" spans="1:29">
      <c r="A3287" t="s">
        <v>7791</v>
      </c>
      <c r="B3287" s="1">
        <v>45348</v>
      </c>
      <c r="C3287" t="s">
        <v>603</v>
      </c>
      <c r="D3287" t="s">
        <v>1007</v>
      </c>
      <c r="E3287">
        <v>161</v>
      </c>
      <c r="F3287" t="s">
        <v>7792</v>
      </c>
      <c r="G3287">
        <v>165</v>
      </c>
      <c r="H3287">
        <v>115.0735</v>
      </c>
      <c r="N3287">
        <v>115.0735</v>
      </c>
      <c r="O3287" s="1">
        <v>45227</v>
      </c>
      <c r="P3287">
        <f>IF(ISBLANK(ReconciliationData[[#This Row],[Invoice_ID]]),1,0)</f>
        <v>0</v>
      </c>
      <c r="Q3287">
        <f>IF(AND(NOT(ISBLANK(ReconciliationData[[#This Row],[Billed_Units]])),ReconciliationData[[#This Row],[ordered_units]]&lt;&gt;ReconciliationData[[#This Row],[Billed_Units]]),1,0)</f>
        <v>1</v>
      </c>
      <c r="R32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7">
        <f>IF(AND(NOT(ISBLANK(ReconciliationData[[#This Row],[Contract_Price]])),ReconciliationData[[#This Row],[Billed_Price]]&lt;&gt;ReconciliationData[[#This Row],[Contract_Price]]),1,0)</f>
        <v>0</v>
      </c>
      <c r="T3287">
        <f>IF(AND(NOT(ISBLANK(ReconciliationData[[#This Row],[End_Date]])),ReconciliationData[[#This Row],[Order_Date]]&gt;ReconciliationData[[#This Row],[End_Date]]),1,0)</f>
        <v>0</v>
      </c>
      <c r="U3287">
        <f>IF(AND(NOT(ISBLANK(ReconciliationData[[#This Row],[last_return_date]])),ReconciliationData[[#This Row],[last_return_date]]&gt;ReconciliationData[[#This Row],[Order_Date]]+60),1,0)</f>
        <v>0</v>
      </c>
      <c r="V3287">
        <f>IF(ReconciliationData[[#This Row],[total_returned_units]]&gt;ReconciliationData[[#This Row],[ordered_units]],1,0)</f>
        <v>0</v>
      </c>
      <c r="W32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287">
        <f>ReconciliationData[[#This Row],[Billed_Units]]*ReconciliationData[[#This Row],[Billed_Price]]</f>
        <v>18987.127499999999</v>
      </c>
      <c r="Y3287">
        <f>ReconciliationData[[#This Row],[ordered_units]]*ReconciliationData[[#This Row],[List_Price]]</f>
        <v>18526.833500000001</v>
      </c>
      <c r="Z3287">
        <f>ReconciliationData[[#This Row],[billed_revenue]]-ReconciliationData[[#This Row],[expected_revenue]]</f>
        <v>460.29399999999805</v>
      </c>
      <c r="AA32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287" t="str">
        <f>IF(ReconciliationData[[#This Row],[severity_score]]=0,"LOW",
 IF(ReconciliationData[[#This Row],[severity_score]]&lt;=5,"MEDIUM","HIGH"))</f>
        <v>MEDIUM</v>
      </c>
      <c r="AC3287" t="str">
        <f>TEXT(ReconciliationData[[#This Row],[Order_Date]],"YYYY-MM")</f>
        <v>2024-02</v>
      </c>
    </row>
    <row r="3288" spans="1:29">
      <c r="A3288" t="s">
        <v>7793</v>
      </c>
      <c r="B3288" s="1">
        <v>45154</v>
      </c>
      <c r="C3288" t="s">
        <v>2809</v>
      </c>
      <c r="D3288" t="s">
        <v>1530</v>
      </c>
      <c r="E3288">
        <v>178</v>
      </c>
      <c r="F3288" t="s">
        <v>7794</v>
      </c>
      <c r="G3288">
        <v>177</v>
      </c>
      <c r="H3288">
        <v>1131.7711000000002</v>
      </c>
      <c r="N3288">
        <v>1131.7711000000002</v>
      </c>
      <c r="O3288" s="1">
        <v>45048</v>
      </c>
      <c r="P3288">
        <f>IF(ISBLANK(ReconciliationData[[#This Row],[Invoice_ID]]),1,0)</f>
        <v>0</v>
      </c>
      <c r="Q3288">
        <f>IF(AND(NOT(ISBLANK(ReconciliationData[[#This Row],[Billed_Units]])),ReconciliationData[[#This Row],[ordered_units]]&lt;&gt;ReconciliationData[[#This Row],[Billed_Units]]),1,0)</f>
        <v>1</v>
      </c>
      <c r="R32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8">
        <f>IF(AND(NOT(ISBLANK(ReconciliationData[[#This Row],[Contract_Price]])),ReconciliationData[[#This Row],[Billed_Price]]&lt;&gt;ReconciliationData[[#This Row],[Contract_Price]]),1,0)</f>
        <v>0</v>
      </c>
      <c r="T3288">
        <f>IF(AND(NOT(ISBLANK(ReconciliationData[[#This Row],[End_Date]])),ReconciliationData[[#This Row],[Order_Date]]&gt;ReconciliationData[[#This Row],[End_Date]]),1,0)</f>
        <v>0</v>
      </c>
      <c r="U3288">
        <f>IF(AND(NOT(ISBLANK(ReconciliationData[[#This Row],[last_return_date]])),ReconciliationData[[#This Row],[last_return_date]]&gt;ReconciliationData[[#This Row],[Order_Date]]+60),1,0)</f>
        <v>0</v>
      </c>
      <c r="V3288">
        <f>IF(ReconciliationData[[#This Row],[total_returned_units]]&gt;ReconciliationData[[#This Row],[ordered_units]],1,0)</f>
        <v>0</v>
      </c>
      <c r="W32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288">
        <f>ReconciliationData[[#This Row],[Billed_Units]]*ReconciliationData[[#This Row],[Billed_Price]]</f>
        <v>200323.48470000003</v>
      </c>
      <c r="Y3288">
        <f>ReconciliationData[[#This Row],[ordered_units]]*ReconciliationData[[#This Row],[List_Price]]</f>
        <v>201455.25580000004</v>
      </c>
      <c r="Z3288">
        <f>ReconciliationData[[#This Row],[billed_revenue]]-ReconciliationData[[#This Row],[expected_revenue]]</f>
        <v>-1131.7711000000127</v>
      </c>
      <c r="AA32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288" t="str">
        <f>IF(ReconciliationData[[#This Row],[severity_score]]=0,"LOW",
 IF(ReconciliationData[[#This Row],[severity_score]]&lt;=5,"MEDIUM","HIGH"))</f>
        <v>HIGH</v>
      </c>
      <c r="AC3288" t="str">
        <f>TEXT(ReconciliationData[[#This Row],[Order_Date]],"YYYY-MM")</f>
        <v>2023-08</v>
      </c>
    </row>
    <row r="3289" spans="1:29">
      <c r="A3289" t="s">
        <v>7795</v>
      </c>
      <c r="B3289" s="1">
        <v>45525</v>
      </c>
      <c r="C3289" t="s">
        <v>2280</v>
      </c>
      <c r="D3289" t="s">
        <v>916</v>
      </c>
      <c r="E3289">
        <v>66</v>
      </c>
      <c r="F3289" t="s">
        <v>7796</v>
      </c>
      <c r="G3289">
        <v>66</v>
      </c>
      <c r="H3289">
        <v>1158.2643</v>
      </c>
      <c r="N3289">
        <v>1158.2643</v>
      </c>
      <c r="O3289" s="1">
        <v>45119</v>
      </c>
      <c r="P3289">
        <f>IF(ISBLANK(ReconciliationData[[#This Row],[Invoice_ID]]),1,0)</f>
        <v>0</v>
      </c>
      <c r="Q3289">
        <f>IF(AND(NOT(ISBLANK(ReconciliationData[[#This Row],[Billed_Units]])),ReconciliationData[[#This Row],[ordered_units]]&lt;&gt;ReconciliationData[[#This Row],[Billed_Units]]),1,0)</f>
        <v>0</v>
      </c>
      <c r="R32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89">
        <f>IF(AND(NOT(ISBLANK(ReconciliationData[[#This Row],[Contract_Price]])),ReconciliationData[[#This Row],[Billed_Price]]&lt;&gt;ReconciliationData[[#This Row],[Contract_Price]]),1,0)</f>
        <v>0</v>
      </c>
      <c r="T3289">
        <f>IF(AND(NOT(ISBLANK(ReconciliationData[[#This Row],[End_Date]])),ReconciliationData[[#This Row],[Order_Date]]&gt;ReconciliationData[[#This Row],[End_Date]]),1,0)</f>
        <v>0</v>
      </c>
      <c r="U3289">
        <f>IF(AND(NOT(ISBLANK(ReconciliationData[[#This Row],[last_return_date]])),ReconciliationData[[#This Row],[last_return_date]]&gt;ReconciliationData[[#This Row],[Order_Date]]+60),1,0)</f>
        <v>0</v>
      </c>
      <c r="V3289">
        <f>IF(ReconciliationData[[#This Row],[total_returned_units]]&gt;ReconciliationData[[#This Row],[ordered_units]],1,0)</f>
        <v>0</v>
      </c>
      <c r="W32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89">
        <f>ReconciliationData[[#This Row],[Billed_Units]]*ReconciliationData[[#This Row],[Billed_Price]]</f>
        <v>76445.443800000008</v>
      </c>
      <c r="Y3289">
        <f>ReconciliationData[[#This Row],[ordered_units]]*ReconciliationData[[#This Row],[List_Price]]</f>
        <v>76445.443800000008</v>
      </c>
      <c r="Z3289">
        <f>ReconciliationData[[#This Row],[billed_revenue]]-ReconciliationData[[#This Row],[expected_revenue]]</f>
        <v>0</v>
      </c>
      <c r="AA32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89" t="str">
        <f>IF(ReconciliationData[[#This Row],[severity_score]]=0,"LOW",
 IF(ReconciliationData[[#This Row],[severity_score]]&lt;=5,"MEDIUM","HIGH"))</f>
        <v>LOW</v>
      </c>
      <c r="AC3289" t="str">
        <f>TEXT(ReconciliationData[[#This Row],[Order_Date]],"YYYY-MM")</f>
        <v>2024-08</v>
      </c>
    </row>
    <row r="3290" spans="1:29">
      <c r="A3290" t="s">
        <v>7797</v>
      </c>
      <c r="B3290" s="1">
        <v>45354</v>
      </c>
      <c r="C3290" t="s">
        <v>897</v>
      </c>
      <c r="D3290" t="s">
        <v>1502</v>
      </c>
      <c r="E3290">
        <v>26</v>
      </c>
      <c r="F3290" t="s">
        <v>7798</v>
      </c>
      <c r="G3290">
        <v>26</v>
      </c>
      <c r="H3290">
        <v>307.97520000000003</v>
      </c>
      <c r="N3290">
        <v>307.97520000000003</v>
      </c>
      <c r="O3290" s="1">
        <v>45029</v>
      </c>
      <c r="P3290">
        <f>IF(ISBLANK(ReconciliationData[[#This Row],[Invoice_ID]]),1,0)</f>
        <v>0</v>
      </c>
      <c r="Q3290">
        <f>IF(AND(NOT(ISBLANK(ReconciliationData[[#This Row],[Billed_Units]])),ReconciliationData[[#This Row],[ordered_units]]&lt;&gt;ReconciliationData[[#This Row],[Billed_Units]]),1,0)</f>
        <v>0</v>
      </c>
      <c r="R32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0">
        <f>IF(AND(NOT(ISBLANK(ReconciliationData[[#This Row],[Contract_Price]])),ReconciliationData[[#This Row],[Billed_Price]]&lt;&gt;ReconciliationData[[#This Row],[Contract_Price]]),1,0)</f>
        <v>0</v>
      </c>
      <c r="T3290">
        <f>IF(AND(NOT(ISBLANK(ReconciliationData[[#This Row],[End_Date]])),ReconciliationData[[#This Row],[Order_Date]]&gt;ReconciliationData[[#This Row],[End_Date]]),1,0)</f>
        <v>0</v>
      </c>
      <c r="U3290">
        <f>IF(AND(NOT(ISBLANK(ReconciliationData[[#This Row],[last_return_date]])),ReconciliationData[[#This Row],[last_return_date]]&gt;ReconciliationData[[#This Row],[Order_Date]]+60),1,0)</f>
        <v>0</v>
      </c>
      <c r="V3290">
        <f>IF(ReconciliationData[[#This Row],[total_returned_units]]&gt;ReconciliationData[[#This Row],[ordered_units]],1,0)</f>
        <v>0</v>
      </c>
      <c r="W32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90">
        <f>ReconciliationData[[#This Row],[Billed_Units]]*ReconciliationData[[#This Row],[Billed_Price]]</f>
        <v>8007.3552000000009</v>
      </c>
      <c r="Y3290">
        <f>ReconciliationData[[#This Row],[ordered_units]]*ReconciliationData[[#This Row],[List_Price]]</f>
        <v>8007.3552000000009</v>
      </c>
      <c r="Z3290">
        <f>ReconciliationData[[#This Row],[billed_revenue]]-ReconciliationData[[#This Row],[expected_revenue]]</f>
        <v>0</v>
      </c>
      <c r="AA32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90" t="str">
        <f>IF(ReconciliationData[[#This Row],[severity_score]]=0,"LOW",
 IF(ReconciliationData[[#This Row],[severity_score]]&lt;=5,"MEDIUM","HIGH"))</f>
        <v>LOW</v>
      </c>
      <c r="AC3290" t="str">
        <f>TEXT(ReconciliationData[[#This Row],[Order_Date]],"YYYY-MM")</f>
        <v>2024-03</v>
      </c>
    </row>
    <row r="3291" spans="1:29">
      <c r="A3291" t="s">
        <v>7799</v>
      </c>
      <c r="B3291" s="1">
        <v>45283</v>
      </c>
      <c r="C3291" t="s">
        <v>1101</v>
      </c>
      <c r="D3291" t="s">
        <v>243</v>
      </c>
      <c r="E3291">
        <v>33</v>
      </c>
      <c r="F3291" t="s">
        <v>7800</v>
      </c>
      <c r="G3291">
        <v>33</v>
      </c>
      <c r="H3291">
        <v>129.17519999999999</v>
      </c>
      <c r="N3291">
        <v>129.17519999999999</v>
      </c>
      <c r="O3291" s="1">
        <v>45184</v>
      </c>
      <c r="P3291">
        <f>IF(ISBLANK(ReconciliationData[[#This Row],[Invoice_ID]]),1,0)</f>
        <v>0</v>
      </c>
      <c r="Q3291">
        <f>IF(AND(NOT(ISBLANK(ReconciliationData[[#This Row],[Billed_Units]])),ReconciliationData[[#This Row],[ordered_units]]&lt;&gt;ReconciliationData[[#This Row],[Billed_Units]]),1,0)</f>
        <v>0</v>
      </c>
      <c r="R32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1">
        <f>IF(AND(NOT(ISBLANK(ReconciliationData[[#This Row],[Contract_Price]])),ReconciliationData[[#This Row],[Billed_Price]]&lt;&gt;ReconciliationData[[#This Row],[Contract_Price]]),1,0)</f>
        <v>0</v>
      </c>
      <c r="T3291">
        <f>IF(AND(NOT(ISBLANK(ReconciliationData[[#This Row],[End_Date]])),ReconciliationData[[#This Row],[Order_Date]]&gt;ReconciliationData[[#This Row],[End_Date]]),1,0)</f>
        <v>0</v>
      </c>
      <c r="U3291">
        <f>IF(AND(NOT(ISBLANK(ReconciliationData[[#This Row],[last_return_date]])),ReconciliationData[[#This Row],[last_return_date]]&gt;ReconciliationData[[#This Row],[Order_Date]]+60),1,0)</f>
        <v>0</v>
      </c>
      <c r="V3291">
        <f>IF(ReconciliationData[[#This Row],[total_returned_units]]&gt;ReconciliationData[[#This Row],[ordered_units]],1,0)</f>
        <v>0</v>
      </c>
      <c r="W32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91">
        <f>ReconciliationData[[#This Row],[Billed_Units]]*ReconciliationData[[#This Row],[Billed_Price]]</f>
        <v>4262.7815999999993</v>
      </c>
      <c r="Y3291">
        <f>ReconciliationData[[#This Row],[ordered_units]]*ReconciliationData[[#This Row],[List_Price]]</f>
        <v>4262.7815999999993</v>
      </c>
      <c r="Z3291">
        <f>ReconciliationData[[#This Row],[billed_revenue]]-ReconciliationData[[#This Row],[expected_revenue]]</f>
        <v>0</v>
      </c>
      <c r="AA32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91" t="str">
        <f>IF(ReconciliationData[[#This Row],[severity_score]]=0,"LOW",
 IF(ReconciliationData[[#This Row],[severity_score]]&lt;=5,"MEDIUM","HIGH"))</f>
        <v>LOW</v>
      </c>
      <c r="AC3291" t="str">
        <f>TEXT(ReconciliationData[[#This Row],[Order_Date]],"YYYY-MM")</f>
        <v>2023-12</v>
      </c>
    </row>
    <row r="3292" spans="1:29">
      <c r="A3292" t="s">
        <v>7801</v>
      </c>
      <c r="B3292" s="1">
        <v>45164</v>
      </c>
      <c r="C3292" t="s">
        <v>3296</v>
      </c>
      <c r="D3292" t="s">
        <v>2421</v>
      </c>
      <c r="E3292">
        <v>190</v>
      </c>
      <c r="F3292" t="s">
        <v>7802</v>
      </c>
      <c r="G3292">
        <v>188</v>
      </c>
      <c r="H3292">
        <v>596.07000000000005</v>
      </c>
      <c r="N3292">
        <v>596.07000000000005</v>
      </c>
      <c r="O3292" s="1">
        <v>44984</v>
      </c>
      <c r="P3292">
        <f>IF(ISBLANK(ReconciliationData[[#This Row],[Invoice_ID]]),1,0)</f>
        <v>0</v>
      </c>
      <c r="Q3292">
        <f>IF(AND(NOT(ISBLANK(ReconciliationData[[#This Row],[Billed_Units]])),ReconciliationData[[#This Row],[ordered_units]]&lt;&gt;ReconciliationData[[#This Row],[Billed_Units]]),1,0)</f>
        <v>1</v>
      </c>
      <c r="R32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2">
        <f>IF(AND(NOT(ISBLANK(ReconciliationData[[#This Row],[Contract_Price]])),ReconciliationData[[#This Row],[Billed_Price]]&lt;&gt;ReconciliationData[[#This Row],[Contract_Price]]),1,0)</f>
        <v>0</v>
      </c>
      <c r="T3292">
        <f>IF(AND(NOT(ISBLANK(ReconciliationData[[#This Row],[End_Date]])),ReconciliationData[[#This Row],[Order_Date]]&gt;ReconciliationData[[#This Row],[End_Date]]),1,0)</f>
        <v>0</v>
      </c>
      <c r="U3292">
        <f>IF(AND(NOT(ISBLANK(ReconciliationData[[#This Row],[last_return_date]])),ReconciliationData[[#This Row],[last_return_date]]&gt;ReconciliationData[[#This Row],[Order_Date]]+60),1,0)</f>
        <v>0</v>
      </c>
      <c r="V3292">
        <f>IF(ReconciliationData[[#This Row],[total_returned_units]]&gt;ReconciliationData[[#This Row],[ordered_units]],1,0)</f>
        <v>0</v>
      </c>
      <c r="W32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292">
        <f>ReconciliationData[[#This Row],[Billed_Units]]*ReconciliationData[[#This Row],[Billed_Price]]</f>
        <v>112061.16</v>
      </c>
      <c r="Y3292">
        <f>ReconciliationData[[#This Row],[ordered_units]]*ReconciliationData[[#This Row],[List_Price]]</f>
        <v>113253.3</v>
      </c>
      <c r="Z3292">
        <f>ReconciliationData[[#This Row],[billed_revenue]]-ReconciliationData[[#This Row],[expected_revenue]]</f>
        <v>-1192.1399999999994</v>
      </c>
      <c r="AA32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292" t="str">
        <f>IF(ReconciliationData[[#This Row],[severity_score]]=0,"LOW",
 IF(ReconciliationData[[#This Row],[severity_score]]&lt;=5,"MEDIUM","HIGH"))</f>
        <v>HIGH</v>
      </c>
      <c r="AC3292" t="str">
        <f>TEXT(ReconciliationData[[#This Row],[Order_Date]],"YYYY-MM")</f>
        <v>2023-08</v>
      </c>
    </row>
    <row r="3293" spans="1:29">
      <c r="A3293" t="s">
        <v>7803</v>
      </c>
      <c r="B3293" s="1">
        <v>45605</v>
      </c>
      <c r="C3293" t="s">
        <v>201</v>
      </c>
      <c r="D3293" t="s">
        <v>556</v>
      </c>
      <c r="E3293">
        <v>108</v>
      </c>
      <c r="F3293" t="s">
        <v>7804</v>
      </c>
      <c r="G3293">
        <v>108</v>
      </c>
      <c r="H3293">
        <v>664.57040000000006</v>
      </c>
      <c r="I3293">
        <v>4</v>
      </c>
      <c r="J3293" s="1">
        <v>45096</v>
      </c>
      <c r="N3293">
        <v>664.57040000000006</v>
      </c>
      <c r="O3293" s="1">
        <v>45066</v>
      </c>
      <c r="P3293">
        <f>IF(ISBLANK(ReconciliationData[[#This Row],[Invoice_ID]]),1,0)</f>
        <v>0</v>
      </c>
      <c r="Q3293">
        <f>IF(AND(NOT(ISBLANK(ReconciliationData[[#This Row],[Billed_Units]])),ReconciliationData[[#This Row],[ordered_units]]&lt;&gt;ReconciliationData[[#This Row],[Billed_Units]]),1,0)</f>
        <v>0</v>
      </c>
      <c r="R32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3">
        <f>IF(AND(NOT(ISBLANK(ReconciliationData[[#This Row],[Contract_Price]])),ReconciliationData[[#This Row],[Billed_Price]]&lt;&gt;ReconciliationData[[#This Row],[Contract_Price]]),1,0)</f>
        <v>0</v>
      </c>
      <c r="T3293">
        <f>IF(AND(NOT(ISBLANK(ReconciliationData[[#This Row],[End_Date]])),ReconciliationData[[#This Row],[Order_Date]]&gt;ReconciliationData[[#This Row],[End_Date]]),1,0)</f>
        <v>0</v>
      </c>
      <c r="U3293">
        <f>IF(AND(NOT(ISBLANK(ReconciliationData[[#This Row],[last_return_date]])),ReconciliationData[[#This Row],[last_return_date]]&gt;ReconciliationData[[#This Row],[Order_Date]]+60),1,0)</f>
        <v>0</v>
      </c>
      <c r="V3293">
        <f>IF(ReconciliationData[[#This Row],[total_returned_units]]&gt;ReconciliationData[[#This Row],[ordered_units]],1,0)</f>
        <v>0</v>
      </c>
      <c r="W32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93">
        <f>ReconciliationData[[#This Row],[Billed_Units]]*ReconciliationData[[#This Row],[Billed_Price]]</f>
        <v>71773.603200000012</v>
      </c>
      <c r="Y3293">
        <f>ReconciliationData[[#This Row],[ordered_units]]*ReconciliationData[[#This Row],[List_Price]]</f>
        <v>71773.603200000012</v>
      </c>
      <c r="Z3293">
        <f>ReconciliationData[[#This Row],[billed_revenue]]-ReconciliationData[[#This Row],[expected_revenue]]</f>
        <v>0</v>
      </c>
      <c r="AA32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93" t="str">
        <f>IF(ReconciliationData[[#This Row],[severity_score]]=0,"LOW",
 IF(ReconciliationData[[#This Row],[severity_score]]&lt;=5,"MEDIUM","HIGH"))</f>
        <v>LOW</v>
      </c>
      <c r="AC3293" t="str">
        <f>TEXT(ReconciliationData[[#This Row],[Order_Date]],"YYYY-MM")</f>
        <v>2024-11</v>
      </c>
    </row>
    <row r="3294" spans="1:29">
      <c r="A3294" t="s">
        <v>7805</v>
      </c>
      <c r="B3294" s="1">
        <v>45338</v>
      </c>
      <c r="C3294" t="s">
        <v>2228</v>
      </c>
      <c r="D3294" t="s">
        <v>1706</v>
      </c>
      <c r="E3294">
        <v>147</v>
      </c>
      <c r="F3294" t="s">
        <v>7806</v>
      </c>
      <c r="G3294">
        <v>147</v>
      </c>
      <c r="H3294">
        <v>854.74350000000004</v>
      </c>
      <c r="N3294">
        <v>854.74350000000004</v>
      </c>
      <c r="O3294" s="1">
        <v>44984</v>
      </c>
      <c r="P3294">
        <f>IF(ISBLANK(ReconciliationData[[#This Row],[Invoice_ID]]),1,0)</f>
        <v>0</v>
      </c>
      <c r="Q3294">
        <f>IF(AND(NOT(ISBLANK(ReconciliationData[[#This Row],[Billed_Units]])),ReconciliationData[[#This Row],[ordered_units]]&lt;&gt;ReconciliationData[[#This Row],[Billed_Units]]),1,0)</f>
        <v>0</v>
      </c>
      <c r="R32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4">
        <f>IF(AND(NOT(ISBLANK(ReconciliationData[[#This Row],[Contract_Price]])),ReconciliationData[[#This Row],[Billed_Price]]&lt;&gt;ReconciliationData[[#This Row],[Contract_Price]]),1,0)</f>
        <v>0</v>
      </c>
      <c r="T3294">
        <f>IF(AND(NOT(ISBLANK(ReconciliationData[[#This Row],[End_Date]])),ReconciliationData[[#This Row],[Order_Date]]&gt;ReconciliationData[[#This Row],[End_Date]]),1,0)</f>
        <v>0</v>
      </c>
      <c r="U3294">
        <f>IF(AND(NOT(ISBLANK(ReconciliationData[[#This Row],[last_return_date]])),ReconciliationData[[#This Row],[last_return_date]]&gt;ReconciliationData[[#This Row],[Order_Date]]+60),1,0)</f>
        <v>0</v>
      </c>
      <c r="V3294">
        <f>IF(ReconciliationData[[#This Row],[total_returned_units]]&gt;ReconciliationData[[#This Row],[ordered_units]],1,0)</f>
        <v>0</v>
      </c>
      <c r="W32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94">
        <f>ReconciliationData[[#This Row],[Billed_Units]]*ReconciliationData[[#This Row],[Billed_Price]]</f>
        <v>125647.2945</v>
      </c>
      <c r="Y3294">
        <f>ReconciliationData[[#This Row],[ordered_units]]*ReconciliationData[[#This Row],[List_Price]]</f>
        <v>125647.2945</v>
      </c>
      <c r="Z3294">
        <f>ReconciliationData[[#This Row],[billed_revenue]]-ReconciliationData[[#This Row],[expected_revenue]]</f>
        <v>0</v>
      </c>
      <c r="AA32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94" t="str">
        <f>IF(ReconciliationData[[#This Row],[severity_score]]=0,"LOW",
 IF(ReconciliationData[[#This Row],[severity_score]]&lt;=5,"MEDIUM","HIGH"))</f>
        <v>LOW</v>
      </c>
      <c r="AC3294" t="str">
        <f>TEXT(ReconciliationData[[#This Row],[Order_Date]],"YYYY-MM")</f>
        <v>2024-02</v>
      </c>
    </row>
    <row r="3295" spans="1:29">
      <c r="A3295" t="s">
        <v>7807</v>
      </c>
      <c r="B3295" s="1">
        <v>45545</v>
      </c>
      <c r="C3295" t="s">
        <v>169</v>
      </c>
      <c r="D3295" t="s">
        <v>958</v>
      </c>
      <c r="E3295">
        <v>45</v>
      </c>
      <c r="F3295" t="s">
        <v>7808</v>
      </c>
      <c r="G3295">
        <v>45</v>
      </c>
      <c r="H3295">
        <v>147.87150000000003</v>
      </c>
      <c r="N3295">
        <v>147.87150000000003</v>
      </c>
      <c r="O3295" s="1">
        <v>44972</v>
      </c>
      <c r="P3295">
        <f>IF(ISBLANK(ReconciliationData[[#This Row],[Invoice_ID]]),1,0)</f>
        <v>0</v>
      </c>
      <c r="Q3295">
        <f>IF(AND(NOT(ISBLANK(ReconciliationData[[#This Row],[Billed_Units]])),ReconciliationData[[#This Row],[ordered_units]]&lt;&gt;ReconciliationData[[#This Row],[Billed_Units]]),1,0)</f>
        <v>0</v>
      </c>
      <c r="R32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5">
        <f>IF(AND(NOT(ISBLANK(ReconciliationData[[#This Row],[Contract_Price]])),ReconciliationData[[#This Row],[Billed_Price]]&lt;&gt;ReconciliationData[[#This Row],[Contract_Price]]),1,0)</f>
        <v>0</v>
      </c>
      <c r="T3295">
        <f>IF(AND(NOT(ISBLANK(ReconciliationData[[#This Row],[End_Date]])),ReconciliationData[[#This Row],[Order_Date]]&gt;ReconciliationData[[#This Row],[End_Date]]),1,0)</f>
        <v>0</v>
      </c>
      <c r="U3295">
        <f>IF(AND(NOT(ISBLANK(ReconciliationData[[#This Row],[last_return_date]])),ReconciliationData[[#This Row],[last_return_date]]&gt;ReconciliationData[[#This Row],[Order_Date]]+60),1,0)</f>
        <v>0</v>
      </c>
      <c r="V3295">
        <f>IF(ReconciliationData[[#This Row],[total_returned_units]]&gt;ReconciliationData[[#This Row],[ordered_units]],1,0)</f>
        <v>0</v>
      </c>
      <c r="W32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95">
        <f>ReconciliationData[[#This Row],[Billed_Units]]*ReconciliationData[[#This Row],[Billed_Price]]</f>
        <v>6654.2175000000016</v>
      </c>
      <c r="Y3295">
        <f>ReconciliationData[[#This Row],[ordered_units]]*ReconciliationData[[#This Row],[List_Price]]</f>
        <v>6654.2175000000016</v>
      </c>
      <c r="Z3295">
        <f>ReconciliationData[[#This Row],[billed_revenue]]-ReconciliationData[[#This Row],[expected_revenue]]</f>
        <v>0</v>
      </c>
      <c r="AA32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95" t="str">
        <f>IF(ReconciliationData[[#This Row],[severity_score]]=0,"LOW",
 IF(ReconciliationData[[#This Row],[severity_score]]&lt;=5,"MEDIUM","HIGH"))</f>
        <v>LOW</v>
      </c>
      <c r="AC3295" t="str">
        <f>TEXT(ReconciliationData[[#This Row],[Order_Date]],"YYYY-MM")</f>
        <v>2024-09</v>
      </c>
    </row>
    <row r="3296" spans="1:29">
      <c r="A3296" t="s">
        <v>7809</v>
      </c>
      <c r="B3296" s="1">
        <v>45124</v>
      </c>
      <c r="C3296" t="s">
        <v>1452</v>
      </c>
      <c r="D3296" t="s">
        <v>2682</v>
      </c>
      <c r="E3296">
        <v>39</v>
      </c>
      <c r="F3296" t="s">
        <v>7810</v>
      </c>
      <c r="G3296">
        <v>39</v>
      </c>
      <c r="H3296">
        <v>1032.7408</v>
      </c>
      <c r="N3296">
        <v>1032.7408</v>
      </c>
      <c r="O3296" s="1">
        <v>45077</v>
      </c>
      <c r="P3296">
        <f>IF(ISBLANK(ReconciliationData[[#This Row],[Invoice_ID]]),1,0)</f>
        <v>0</v>
      </c>
      <c r="Q3296">
        <f>IF(AND(NOT(ISBLANK(ReconciliationData[[#This Row],[Billed_Units]])),ReconciliationData[[#This Row],[ordered_units]]&lt;&gt;ReconciliationData[[#This Row],[Billed_Units]]),1,0)</f>
        <v>0</v>
      </c>
      <c r="R32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6">
        <f>IF(AND(NOT(ISBLANK(ReconciliationData[[#This Row],[Contract_Price]])),ReconciliationData[[#This Row],[Billed_Price]]&lt;&gt;ReconciliationData[[#This Row],[Contract_Price]]),1,0)</f>
        <v>0</v>
      </c>
      <c r="T3296">
        <f>IF(AND(NOT(ISBLANK(ReconciliationData[[#This Row],[End_Date]])),ReconciliationData[[#This Row],[Order_Date]]&gt;ReconciliationData[[#This Row],[End_Date]]),1,0)</f>
        <v>0</v>
      </c>
      <c r="U3296">
        <f>IF(AND(NOT(ISBLANK(ReconciliationData[[#This Row],[last_return_date]])),ReconciliationData[[#This Row],[last_return_date]]&gt;ReconciliationData[[#This Row],[Order_Date]]+60),1,0)</f>
        <v>0</v>
      </c>
      <c r="V3296">
        <f>IF(ReconciliationData[[#This Row],[total_returned_units]]&gt;ReconciliationData[[#This Row],[ordered_units]],1,0)</f>
        <v>0</v>
      </c>
      <c r="W32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96">
        <f>ReconciliationData[[#This Row],[Billed_Units]]*ReconciliationData[[#This Row],[Billed_Price]]</f>
        <v>40276.891199999998</v>
      </c>
      <c r="Y3296">
        <f>ReconciliationData[[#This Row],[ordered_units]]*ReconciliationData[[#This Row],[List_Price]]</f>
        <v>40276.891199999998</v>
      </c>
      <c r="Z3296">
        <f>ReconciliationData[[#This Row],[billed_revenue]]-ReconciliationData[[#This Row],[expected_revenue]]</f>
        <v>0</v>
      </c>
      <c r="AA32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96" t="str">
        <f>IF(ReconciliationData[[#This Row],[severity_score]]=0,"LOW",
 IF(ReconciliationData[[#This Row],[severity_score]]&lt;=5,"MEDIUM","HIGH"))</f>
        <v>LOW</v>
      </c>
      <c r="AC3296" t="str">
        <f>TEXT(ReconciliationData[[#This Row],[Order_Date]],"YYYY-MM")</f>
        <v>2023-07</v>
      </c>
    </row>
    <row r="3297" spans="1:29">
      <c r="A3297" t="s">
        <v>7811</v>
      </c>
      <c r="B3297" s="1">
        <v>44979</v>
      </c>
      <c r="C3297" t="s">
        <v>2917</v>
      </c>
      <c r="D3297" t="s">
        <v>162</v>
      </c>
      <c r="E3297">
        <v>23</v>
      </c>
      <c r="F3297" t="s">
        <v>7812</v>
      </c>
      <c r="G3297">
        <v>23</v>
      </c>
      <c r="H3297">
        <v>563.59040000000005</v>
      </c>
      <c r="N3297">
        <v>563.59040000000005</v>
      </c>
      <c r="O3297" s="1">
        <v>44835</v>
      </c>
      <c r="P3297">
        <f>IF(ISBLANK(ReconciliationData[[#This Row],[Invoice_ID]]),1,0)</f>
        <v>0</v>
      </c>
      <c r="Q3297">
        <f>IF(AND(NOT(ISBLANK(ReconciliationData[[#This Row],[Billed_Units]])),ReconciliationData[[#This Row],[ordered_units]]&lt;&gt;ReconciliationData[[#This Row],[Billed_Units]]),1,0)</f>
        <v>0</v>
      </c>
      <c r="R32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7">
        <f>IF(AND(NOT(ISBLANK(ReconciliationData[[#This Row],[Contract_Price]])),ReconciliationData[[#This Row],[Billed_Price]]&lt;&gt;ReconciliationData[[#This Row],[Contract_Price]]),1,0)</f>
        <v>0</v>
      </c>
      <c r="T3297">
        <f>IF(AND(NOT(ISBLANK(ReconciliationData[[#This Row],[End_Date]])),ReconciliationData[[#This Row],[Order_Date]]&gt;ReconciliationData[[#This Row],[End_Date]]),1,0)</f>
        <v>0</v>
      </c>
      <c r="U3297">
        <f>IF(AND(NOT(ISBLANK(ReconciliationData[[#This Row],[last_return_date]])),ReconciliationData[[#This Row],[last_return_date]]&gt;ReconciliationData[[#This Row],[Order_Date]]+60),1,0)</f>
        <v>0</v>
      </c>
      <c r="V3297">
        <f>IF(ReconciliationData[[#This Row],[total_returned_units]]&gt;ReconciliationData[[#This Row],[ordered_units]],1,0)</f>
        <v>0</v>
      </c>
      <c r="W32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97">
        <f>ReconciliationData[[#This Row],[Billed_Units]]*ReconciliationData[[#This Row],[Billed_Price]]</f>
        <v>12962.5792</v>
      </c>
      <c r="Y3297">
        <f>ReconciliationData[[#This Row],[ordered_units]]*ReconciliationData[[#This Row],[List_Price]]</f>
        <v>12962.5792</v>
      </c>
      <c r="Z3297">
        <f>ReconciliationData[[#This Row],[billed_revenue]]-ReconciliationData[[#This Row],[expected_revenue]]</f>
        <v>0</v>
      </c>
      <c r="AA32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97" t="str">
        <f>IF(ReconciliationData[[#This Row],[severity_score]]=0,"LOW",
 IF(ReconciliationData[[#This Row],[severity_score]]&lt;=5,"MEDIUM","HIGH"))</f>
        <v>LOW</v>
      </c>
      <c r="AC3297" t="str">
        <f>TEXT(ReconciliationData[[#This Row],[Order_Date]],"YYYY-MM")</f>
        <v>2023-02</v>
      </c>
    </row>
    <row r="3298" spans="1:29">
      <c r="A3298" t="s">
        <v>7813</v>
      </c>
      <c r="B3298" s="1">
        <v>45424</v>
      </c>
      <c r="C3298" t="s">
        <v>5606</v>
      </c>
      <c r="D3298" t="s">
        <v>508</v>
      </c>
      <c r="E3298">
        <v>47</v>
      </c>
      <c r="F3298" t="s">
        <v>7814</v>
      </c>
      <c r="G3298">
        <v>47</v>
      </c>
      <c r="H3298">
        <v>443.27359999999999</v>
      </c>
      <c r="N3298">
        <v>443.27359999999999</v>
      </c>
      <c r="O3298" s="1">
        <v>44972</v>
      </c>
      <c r="P3298">
        <f>IF(ISBLANK(ReconciliationData[[#This Row],[Invoice_ID]]),1,0)</f>
        <v>0</v>
      </c>
      <c r="Q3298">
        <f>IF(AND(NOT(ISBLANK(ReconciliationData[[#This Row],[Billed_Units]])),ReconciliationData[[#This Row],[ordered_units]]&lt;&gt;ReconciliationData[[#This Row],[Billed_Units]]),1,0)</f>
        <v>0</v>
      </c>
      <c r="R32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8">
        <f>IF(AND(NOT(ISBLANK(ReconciliationData[[#This Row],[Contract_Price]])),ReconciliationData[[#This Row],[Billed_Price]]&lt;&gt;ReconciliationData[[#This Row],[Contract_Price]]),1,0)</f>
        <v>0</v>
      </c>
      <c r="T3298">
        <f>IF(AND(NOT(ISBLANK(ReconciliationData[[#This Row],[End_Date]])),ReconciliationData[[#This Row],[Order_Date]]&gt;ReconciliationData[[#This Row],[End_Date]]),1,0)</f>
        <v>0</v>
      </c>
      <c r="U3298">
        <f>IF(AND(NOT(ISBLANK(ReconciliationData[[#This Row],[last_return_date]])),ReconciliationData[[#This Row],[last_return_date]]&gt;ReconciliationData[[#This Row],[Order_Date]]+60),1,0)</f>
        <v>0</v>
      </c>
      <c r="V3298">
        <f>IF(ReconciliationData[[#This Row],[total_returned_units]]&gt;ReconciliationData[[#This Row],[ordered_units]],1,0)</f>
        <v>0</v>
      </c>
      <c r="W32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98">
        <f>ReconciliationData[[#This Row],[Billed_Units]]*ReconciliationData[[#This Row],[Billed_Price]]</f>
        <v>20833.859199999999</v>
      </c>
      <c r="Y3298">
        <f>ReconciliationData[[#This Row],[ordered_units]]*ReconciliationData[[#This Row],[List_Price]]</f>
        <v>20833.859199999999</v>
      </c>
      <c r="Z3298">
        <f>ReconciliationData[[#This Row],[billed_revenue]]-ReconciliationData[[#This Row],[expected_revenue]]</f>
        <v>0</v>
      </c>
      <c r="AA32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98" t="str">
        <f>IF(ReconciliationData[[#This Row],[severity_score]]=0,"LOW",
 IF(ReconciliationData[[#This Row],[severity_score]]&lt;=5,"MEDIUM","HIGH"))</f>
        <v>LOW</v>
      </c>
      <c r="AC3298" t="str">
        <f>TEXT(ReconciliationData[[#This Row],[Order_Date]],"YYYY-MM")</f>
        <v>2024-05</v>
      </c>
    </row>
    <row r="3299" spans="1:29">
      <c r="A3299" t="s">
        <v>7815</v>
      </c>
      <c r="B3299" s="1">
        <v>45338</v>
      </c>
      <c r="C3299" t="s">
        <v>4334</v>
      </c>
      <c r="D3299" t="s">
        <v>389</v>
      </c>
      <c r="E3299">
        <v>56</v>
      </c>
      <c r="F3299" t="s">
        <v>7816</v>
      </c>
      <c r="G3299">
        <v>56</v>
      </c>
      <c r="H3299">
        <v>759.48969999999997</v>
      </c>
      <c r="I3299">
        <v>1</v>
      </c>
      <c r="J3299" s="1">
        <v>45124</v>
      </c>
      <c r="N3299">
        <v>759.48969999999997</v>
      </c>
      <c r="O3299" s="1">
        <v>45138</v>
      </c>
      <c r="P3299">
        <f>IF(ISBLANK(ReconciliationData[[#This Row],[Invoice_ID]]),1,0)</f>
        <v>0</v>
      </c>
      <c r="Q3299">
        <f>IF(AND(NOT(ISBLANK(ReconciliationData[[#This Row],[Billed_Units]])),ReconciliationData[[#This Row],[ordered_units]]&lt;&gt;ReconciliationData[[#This Row],[Billed_Units]]),1,0)</f>
        <v>0</v>
      </c>
      <c r="R32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299">
        <f>IF(AND(NOT(ISBLANK(ReconciliationData[[#This Row],[Contract_Price]])),ReconciliationData[[#This Row],[Billed_Price]]&lt;&gt;ReconciliationData[[#This Row],[Contract_Price]]),1,0)</f>
        <v>0</v>
      </c>
      <c r="T3299">
        <f>IF(AND(NOT(ISBLANK(ReconciliationData[[#This Row],[End_Date]])),ReconciliationData[[#This Row],[Order_Date]]&gt;ReconciliationData[[#This Row],[End_Date]]),1,0)</f>
        <v>0</v>
      </c>
      <c r="U3299">
        <f>IF(AND(NOT(ISBLANK(ReconciliationData[[#This Row],[last_return_date]])),ReconciliationData[[#This Row],[last_return_date]]&gt;ReconciliationData[[#This Row],[Order_Date]]+60),1,0)</f>
        <v>0</v>
      </c>
      <c r="V3299">
        <f>IF(ReconciliationData[[#This Row],[total_returned_units]]&gt;ReconciliationData[[#This Row],[ordered_units]],1,0)</f>
        <v>0</v>
      </c>
      <c r="W32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299">
        <f>ReconciliationData[[#This Row],[Billed_Units]]*ReconciliationData[[#This Row],[Billed_Price]]</f>
        <v>42531.423199999997</v>
      </c>
      <c r="Y3299">
        <f>ReconciliationData[[#This Row],[ordered_units]]*ReconciliationData[[#This Row],[List_Price]]</f>
        <v>42531.423199999997</v>
      </c>
      <c r="Z3299">
        <f>ReconciliationData[[#This Row],[billed_revenue]]-ReconciliationData[[#This Row],[expected_revenue]]</f>
        <v>0</v>
      </c>
      <c r="AA32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299" t="str">
        <f>IF(ReconciliationData[[#This Row],[severity_score]]=0,"LOW",
 IF(ReconciliationData[[#This Row],[severity_score]]&lt;=5,"MEDIUM","HIGH"))</f>
        <v>LOW</v>
      </c>
      <c r="AC3299" t="str">
        <f>TEXT(ReconciliationData[[#This Row],[Order_Date]],"YYYY-MM")</f>
        <v>2024-02</v>
      </c>
    </row>
    <row r="3300" spans="1:29">
      <c r="A3300" t="s">
        <v>7817</v>
      </c>
      <c r="B3300" s="1">
        <v>45048</v>
      </c>
      <c r="C3300" t="s">
        <v>1515</v>
      </c>
      <c r="D3300" t="s">
        <v>585</v>
      </c>
      <c r="E3300">
        <v>91</v>
      </c>
      <c r="F3300" t="s">
        <v>7818</v>
      </c>
      <c r="G3300">
        <v>91</v>
      </c>
      <c r="H3300">
        <v>898.02300000000002</v>
      </c>
      <c r="N3300">
        <v>898.02300000000002</v>
      </c>
      <c r="O3300" s="1">
        <v>45026</v>
      </c>
      <c r="P3300">
        <f>IF(ISBLANK(ReconciliationData[[#This Row],[Invoice_ID]]),1,0)</f>
        <v>0</v>
      </c>
      <c r="Q3300">
        <f>IF(AND(NOT(ISBLANK(ReconciliationData[[#This Row],[Billed_Units]])),ReconciliationData[[#This Row],[ordered_units]]&lt;&gt;ReconciliationData[[#This Row],[Billed_Units]]),1,0)</f>
        <v>0</v>
      </c>
      <c r="R33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0">
        <f>IF(AND(NOT(ISBLANK(ReconciliationData[[#This Row],[Contract_Price]])),ReconciliationData[[#This Row],[Billed_Price]]&lt;&gt;ReconciliationData[[#This Row],[Contract_Price]]),1,0)</f>
        <v>0</v>
      </c>
      <c r="T3300">
        <f>IF(AND(NOT(ISBLANK(ReconciliationData[[#This Row],[End_Date]])),ReconciliationData[[#This Row],[Order_Date]]&gt;ReconciliationData[[#This Row],[End_Date]]),1,0)</f>
        <v>0</v>
      </c>
      <c r="U3300">
        <f>IF(AND(NOT(ISBLANK(ReconciliationData[[#This Row],[last_return_date]])),ReconciliationData[[#This Row],[last_return_date]]&gt;ReconciliationData[[#This Row],[Order_Date]]+60),1,0)</f>
        <v>0</v>
      </c>
      <c r="V3300">
        <f>IF(ReconciliationData[[#This Row],[total_returned_units]]&gt;ReconciliationData[[#This Row],[ordered_units]],1,0)</f>
        <v>0</v>
      </c>
      <c r="W33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0">
        <f>ReconciliationData[[#This Row],[Billed_Units]]*ReconciliationData[[#This Row],[Billed_Price]]</f>
        <v>81720.093000000008</v>
      </c>
      <c r="Y3300">
        <f>ReconciliationData[[#This Row],[ordered_units]]*ReconciliationData[[#This Row],[List_Price]]</f>
        <v>81720.093000000008</v>
      </c>
      <c r="Z3300">
        <f>ReconciliationData[[#This Row],[billed_revenue]]-ReconciliationData[[#This Row],[expected_revenue]]</f>
        <v>0</v>
      </c>
      <c r="AA33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0" t="str">
        <f>IF(ReconciliationData[[#This Row],[severity_score]]=0,"LOW",
 IF(ReconciliationData[[#This Row],[severity_score]]&lt;=5,"MEDIUM","HIGH"))</f>
        <v>LOW</v>
      </c>
      <c r="AC3300" t="str">
        <f>TEXT(ReconciliationData[[#This Row],[Order_Date]],"YYYY-MM")</f>
        <v>2023-05</v>
      </c>
    </row>
    <row r="3301" spans="1:29">
      <c r="A3301" t="s">
        <v>7819</v>
      </c>
      <c r="B3301" s="1">
        <v>45533</v>
      </c>
      <c r="C3301" t="s">
        <v>680</v>
      </c>
      <c r="D3301" t="s">
        <v>1209</v>
      </c>
      <c r="E3301">
        <v>59</v>
      </c>
      <c r="F3301" t="s">
        <v>7820</v>
      </c>
      <c r="G3301">
        <v>59</v>
      </c>
      <c r="H3301">
        <v>75.847200000000001</v>
      </c>
      <c r="N3301">
        <v>75.847200000000001</v>
      </c>
      <c r="O3301" s="1">
        <v>45082</v>
      </c>
      <c r="P3301">
        <f>IF(ISBLANK(ReconciliationData[[#This Row],[Invoice_ID]]),1,0)</f>
        <v>0</v>
      </c>
      <c r="Q3301">
        <f>IF(AND(NOT(ISBLANK(ReconciliationData[[#This Row],[Billed_Units]])),ReconciliationData[[#This Row],[ordered_units]]&lt;&gt;ReconciliationData[[#This Row],[Billed_Units]]),1,0)</f>
        <v>0</v>
      </c>
      <c r="R33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1">
        <f>IF(AND(NOT(ISBLANK(ReconciliationData[[#This Row],[Contract_Price]])),ReconciliationData[[#This Row],[Billed_Price]]&lt;&gt;ReconciliationData[[#This Row],[Contract_Price]]),1,0)</f>
        <v>0</v>
      </c>
      <c r="T3301">
        <f>IF(AND(NOT(ISBLANK(ReconciliationData[[#This Row],[End_Date]])),ReconciliationData[[#This Row],[Order_Date]]&gt;ReconciliationData[[#This Row],[End_Date]]),1,0)</f>
        <v>0</v>
      </c>
      <c r="U3301">
        <f>IF(AND(NOT(ISBLANK(ReconciliationData[[#This Row],[last_return_date]])),ReconciliationData[[#This Row],[last_return_date]]&gt;ReconciliationData[[#This Row],[Order_Date]]+60),1,0)</f>
        <v>0</v>
      </c>
      <c r="V3301">
        <f>IF(ReconciliationData[[#This Row],[total_returned_units]]&gt;ReconciliationData[[#This Row],[ordered_units]],1,0)</f>
        <v>0</v>
      </c>
      <c r="W33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1">
        <f>ReconciliationData[[#This Row],[Billed_Units]]*ReconciliationData[[#This Row],[Billed_Price]]</f>
        <v>4474.9848000000002</v>
      </c>
      <c r="Y3301">
        <f>ReconciliationData[[#This Row],[ordered_units]]*ReconciliationData[[#This Row],[List_Price]]</f>
        <v>4474.9848000000002</v>
      </c>
      <c r="Z3301">
        <f>ReconciliationData[[#This Row],[billed_revenue]]-ReconciliationData[[#This Row],[expected_revenue]]</f>
        <v>0</v>
      </c>
      <c r="AA33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1" t="str">
        <f>IF(ReconciliationData[[#This Row],[severity_score]]=0,"LOW",
 IF(ReconciliationData[[#This Row],[severity_score]]&lt;=5,"MEDIUM","HIGH"))</f>
        <v>LOW</v>
      </c>
      <c r="AC3301" t="str">
        <f>TEXT(ReconciliationData[[#This Row],[Order_Date]],"YYYY-MM")</f>
        <v>2024-08</v>
      </c>
    </row>
    <row r="3302" spans="1:29">
      <c r="A3302" t="s">
        <v>7821</v>
      </c>
      <c r="B3302" s="1">
        <v>45526</v>
      </c>
      <c r="C3302" t="s">
        <v>4896</v>
      </c>
      <c r="D3302" t="s">
        <v>1654</v>
      </c>
      <c r="E3302">
        <v>102</v>
      </c>
      <c r="F3302" t="s">
        <v>7822</v>
      </c>
      <c r="G3302">
        <v>102</v>
      </c>
      <c r="H3302">
        <v>1197.9306999999999</v>
      </c>
      <c r="N3302">
        <v>1197.9306999999999</v>
      </c>
      <c r="O3302" s="1">
        <v>45089</v>
      </c>
      <c r="P3302">
        <f>IF(ISBLANK(ReconciliationData[[#This Row],[Invoice_ID]]),1,0)</f>
        <v>0</v>
      </c>
      <c r="Q3302">
        <f>IF(AND(NOT(ISBLANK(ReconciliationData[[#This Row],[Billed_Units]])),ReconciliationData[[#This Row],[ordered_units]]&lt;&gt;ReconciliationData[[#This Row],[Billed_Units]]),1,0)</f>
        <v>0</v>
      </c>
      <c r="R33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2">
        <f>IF(AND(NOT(ISBLANK(ReconciliationData[[#This Row],[Contract_Price]])),ReconciliationData[[#This Row],[Billed_Price]]&lt;&gt;ReconciliationData[[#This Row],[Contract_Price]]),1,0)</f>
        <v>0</v>
      </c>
      <c r="T3302">
        <f>IF(AND(NOT(ISBLANK(ReconciliationData[[#This Row],[End_Date]])),ReconciliationData[[#This Row],[Order_Date]]&gt;ReconciliationData[[#This Row],[End_Date]]),1,0)</f>
        <v>0</v>
      </c>
      <c r="U3302">
        <f>IF(AND(NOT(ISBLANK(ReconciliationData[[#This Row],[last_return_date]])),ReconciliationData[[#This Row],[last_return_date]]&gt;ReconciliationData[[#This Row],[Order_Date]]+60),1,0)</f>
        <v>0</v>
      </c>
      <c r="V3302">
        <f>IF(ReconciliationData[[#This Row],[total_returned_units]]&gt;ReconciliationData[[#This Row],[ordered_units]],1,0)</f>
        <v>0</v>
      </c>
      <c r="W33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2">
        <f>ReconciliationData[[#This Row],[Billed_Units]]*ReconciliationData[[#This Row],[Billed_Price]]</f>
        <v>122188.93139999999</v>
      </c>
      <c r="Y3302">
        <f>ReconciliationData[[#This Row],[ordered_units]]*ReconciliationData[[#This Row],[List_Price]]</f>
        <v>122188.93139999999</v>
      </c>
      <c r="Z3302">
        <f>ReconciliationData[[#This Row],[billed_revenue]]-ReconciliationData[[#This Row],[expected_revenue]]</f>
        <v>0</v>
      </c>
      <c r="AA33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2" t="str">
        <f>IF(ReconciliationData[[#This Row],[severity_score]]=0,"LOW",
 IF(ReconciliationData[[#This Row],[severity_score]]&lt;=5,"MEDIUM","HIGH"))</f>
        <v>LOW</v>
      </c>
      <c r="AC3302" t="str">
        <f>TEXT(ReconciliationData[[#This Row],[Order_Date]],"YYYY-MM")</f>
        <v>2024-08</v>
      </c>
    </row>
    <row r="3303" spans="1:29">
      <c r="A3303" t="s">
        <v>7823</v>
      </c>
      <c r="B3303" s="1">
        <v>45113</v>
      </c>
      <c r="C3303" t="s">
        <v>1657</v>
      </c>
      <c r="D3303" t="s">
        <v>321</v>
      </c>
      <c r="E3303">
        <v>149</v>
      </c>
      <c r="F3303" t="s">
        <v>7824</v>
      </c>
      <c r="G3303">
        <v>149</v>
      </c>
      <c r="H3303">
        <v>169.22900000000001</v>
      </c>
      <c r="N3303">
        <v>169.22900000000001</v>
      </c>
      <c r="O3303" s="1">
        <v>45039</v>
      </c>
      <c r="P3303">
        <f>IF(ISBLANK(ReconciliationData[[#This Row],[Invoice_ID]]),1,0)</f>
        <v>0</v>
      </c>
      <c r="Q3303">
        <f>IF(AND(NOT(ISBLANK(ReconciliationData[[#This Row],[Billed_Units]])),ReconciliationData[[#This Row],[ordered_units]]&lt;&gt;ReconciliationData[[#This Row],[Billed_Units]]),1,0)</f>
        <v>0</v>
      </c>
      <c r="R33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3">
        <f>IF(AND(NOT(ISBLANK(ReconciliationData[[#This Row],[Contract_Price]])),ReconciliationData[[#This Row],[Billed_Price]]&lt;&gt;ReconciliationData[[#This Row],[Contract_Price]]),1,0)</f>
        <v>0</v>
      </c>
      <c r="T3303">
        <f>IF(AND(NOT(ISBLANK(ReconciliationData[[#This Row],[End_Date]])),ReconciliationData[[#This Row],[Order_Date]]&gt;ReconciliationData[[#This Row],[End_Date]]),1,0)</f>
        <v>0</v>
      </c>
      <c r="U3303">
        <f>IF(AND(NOT(ISBLANK(ReconciliationData[[#This Row],[last_return_date]])),ReconciliationData[[#This Row],[last_return_date]]&gt;ReconciliationData[[#This Row],[Order_Date]]+60),1,0)</f>
        <v>0</v>
      </c>
      <c r="V3303">
        <f>IF(ReconciliationData[[#This Row],[total_returned_units]]&gt;ReconciliationData[[#This Row],[ordered_units]],1,0)</f>
        <v>0</v>
      </c>
      <c r="W33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3">
        <f>ReconciliationData[[#This Row],[Billed_Units]]*ReconciliationData[[#This Row],[Billed_Price]]</f>
        <v>25215.121000000003</v>
      </c>
      <c r="Y3303">
        <f>ReconciliationData[[#This Row],[ordered_units]]*ReconciliationData[[#This Row],[List_Price]]</f>
        <v>25215.121000000003</v>
      </c>
      <c r="Z3303">
        <f>ReconciliationData[[#This Row],[billed_revenue]]-ReconciliationData[[#This Row],[expected_revenue]]</f>
        <v>0</v>
      </c>
      <c r="AA33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3" t="str">
        <f>IF(ReconciliationData[[#This Row],[severity_score]]=0,"LOW",
 IF(ReconciliationData[[#This Row],[severity_score]]&lt;=5,"MEDIUM","HIGH"))</f>
        <v>LOW</v>
      </c>
      <c r="AC3303" t="str">
        <f>TEXT(ReconciliationData[[#This Row],[Order_Date]],"YYYY-MM")</f>
        <v>2023-07</v>
      </c>
    </row>
    <row r="3304" spans="1:29">
      <c r="A3304" t="s">
        <v>7825</v>
      </c>
      <c r="B3304" s="1">
        <v>45323</v>
      </c>
      <c r="C3304" t="s">
        <v>1811</v>
      </c>
      <c r="D3304" t="s">
        <v>2489</v>
      </c>
      <c r="E3304">
        <v>99</v>
      </c>
      <c r="F3304" t="s">
        <v>7826</v>
      </c>
      <c r="G3304">
        <v>99</v>
      </c>
      <c r="H3304">
        <v>544.5</v>
      </c>
      <c r="N3304">
        <v>544.5</v>
      </c>
      <c r="O3304" s="1">
        <v>45159</v>
      </c>
      <c r="P3304">
        <f>IF(ISBLANK(ReconciliationData[[#This Row],[Invoice_ID]]),1,0)</f>
        <v>0</v>
      </c>
      <c r="Q3304">
        <f>IF(AND(NOT(ISBLANK(ReconciliationData[[#This Row],[Billed_Units]])),ReconciliationData[[#This Row],[ordered_units]]&lt;&gt;ReconciliationData[[#This Row],[Billed_Units]]),1,0)</f>
        <v>0</v>
      </c>
      <c r="R33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4">
        <f>IF(AND(NOT(ISBLANK(ReconciliationData[[#This Row],[Contract_Price]])),ReconciliationData[[#This Row],[Billed_Price]]&lt;&gt;ReconciliationData[[#This Row],[Contract_Price]]),1,0)</f>
        <v>0</v>
      </c>
      <c r="T3304">
        <f>IF(AND(NOT(ISBLANK(ReconciliationData[[#This Row],[End_Date]])),ReconciliationData[[#This Row],[Order_Date]]&gt;ReconciliationData[[#This Row],[End_Date]]),1,0)</f>
        <v>0</v>
      </c>
      <c r="U3304">
        <f>IF(AND(NOT(ISBLANK(ReconciliationData[[#This Row],[last_return_date]])),ReconciliationData[[#This Row],[last_return_date]]&gt;ReconciliationData[[#This Row],[Order_Date]]+60),1,0)</f>
        <v>0</v>
      </c>
      <c r="V3304">
        <f>IF(ReconciliationData[[#This Row],[total_returned_units]]&gt;ReconciliationData[[#This Row],[ordered_units]],1,0)</f>
        <v>0</v>
      </c>
      <c r="W33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4">
        <f>ReconciliationData[[#This Row],[Billed_Units]]*ReconciliationData[[#This Row],[Billed_Price]]</f>
        <v>53905.5</v>
      </c>
      <c r="Y3304">
        <f>ReconciliationData[[#This Row],[ordered_units]]*ReconciliationData[[#This Row],[List_Price]]</f>
        <v>53905.5</v>
      </c>
      <c r="Z3304">
        <f>ReconciliationData[[#This Row],[billed_revenue]]-ReconciliationData[[#This Row],[expected_revenue]]</f>
        <v>0</v>
      </c>
      <c r="AA33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4" t="str">
        <f>IF(ReconciliationData[[#This Row],[severity_score]]=0,"LOW",
 IF(ReconciliationData[[#This Row],[severity_score]]&lt;=5,"MEDIUM","HIGH"))</f>
        <v>LOW</v>
      </c>
      <c r="AC3304" t="str">
        <f>TEXT(ReconciliationData[[#This Row],[Order_Date]],"YYYY-MM")</f>
        <v>2024-02</v>
      </c>
    </row>
    <row r="3305" spans="1:29">
      <c r="A3305" t="s">
        <v>7827</v>
      </c>
      <c r="B3305" s="1">
        <v>45258</v>
      </c>
      <c r="C3305" t="s">
        <v>824</v>
      </c>
      <c r="D3305" t="s">
        <v>3297</v>
      </c>
      <c r="E3305">
        <v>127</v>
      </c>
      <c r="F3305" t="s">
        <v>7828</v>
      </c>
      <c r="G3305">
        <v>127</v>
      </c>
      <c r="H3305">
        <v>933.43190000000004</v>
      </c>
      <c r="N3305">
        <v>933.43190000000004</v>
      </c>
      <c r="O3305" s="1">
        <v>45011</v>
      </c>
      <c r="P3305">
        <f>IF(ISBLANK(ReconciliationData[[#This Row],[Invoice_ID]]),1,0)</f>
        <v>0</v>
      </c>
      <c r="Q3305">
        <f>IF(AND(NOT(ISBLANK(ReconciliationData[[#This Row],[Billed_Units]])),ReconciliationData[[#This Row],[ordered_units]]&lt;&gt;ReconciliationData[[#This Row],[Billed_Units]]),1,0)</f>
        <v>0</v>
      </c>
      <c r="R33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5">
        <f>IF(AND(NOT(ISBLANK(ReconciliationData[[#This Row],[Contract_Price]])),ReconciliationData[[#This Row],[Billed_Price]]&lt;&gt;ReconciliationData[[#This Row],[Contract_Price]]),1,0)</f>
        <v>0</v>
      </c>
      <c r="T3305">
        <f>IF(AND(NOT(ISBLANK(ReconciliationData[[#This Row],[End_Date]])),ReconciliationData[[#This Row],[Order_Date]]&gt;ReconciliationData[[#This Row],[End_Date]]),1,0)</f>
        <v>0</v>
      </c>
      <c r="U3305">
        <f>IF(AND(NOT(ISBLANK(ReconciliationData[[#This Row],[last_return_date]])),ReconciliationData[[#This Row],[last_return_date]]&gt;ReconciliationData[[#This Row],[Order_Date]]+60),1,0)</f>
        <v>0</v>
      </c>
      <c r="V3305">
        <f>IF(ReconciliationData[[#This Row],[total_returned_units]]&gt;ReconciliationData[[#This Row],[ordered_units]],1,0)</f>
        <v>0</v>
      </c>
      <c r="W33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5">
        <f>ReconciliationData[[#This Row],[Billed_Units]]*ReconciliationData[[#This Row],[Billed_Price]]</f>
        <v>118545.85130000001</v>
      </c>
      <c r="Y3305">
        <f>ReconciliationData[[#This Row],[ordered_units]]*ReconciliationData[[#This Row],[List_Price]]</f>
        <v>118545.85130000001</v>
      </c>
      <c r="Z3305">
        <f>ReconciliationData[[#This Row],[billed_revenue]]-ReconciliationData[[#This Row],[expected_revenue]]</f>
        <v>0</v>
      </c>
      <c r="AA33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5" t="str">
        <f>IF(ReconciliationData[[#This Row],[severity_score]]=0,"LOW",
 IF(ReconciliationData[[#This Row],[severity_score]]&lt;=5,"MEDIUM","HIGH"))</f>
        <v>LOW</v>
      </c>
      <c r="AC3305" t="str">
        <f>TEXT(ReconciliationData[[#This Row],[Order_Date]],"YYYY-MM")</f>
        <v>2023-11</v>
      </c>
    </row>
    <row r="3306" spans="1:29">
      <c r="A3306" t="s">
        <v>7829</v>
      </c>
      <c r="B3306" s="1">
        <v>45256</v>
      </c>
      <c r="C3306" t="s">
        <v>771</v>
      </c>
      <c r="D3306" t="s">
        <v>577</v>
      </c>
      <c r="E3306">
        <v>154</v>
      </c>
      <c r="F3306" t="s">
        <v>7830</v>
      </c>
      <c r="G3306">
        <v>154</v>
      </c>
      <c r="H3306">
        <v>1093.1199999999999</v>
      </c>
      <c r="N3306">
        <v>1093.1199999999999</v>
      </c>
      <c r="O3306" s="1">
        <v>45035</v>
      </c>
      <c r="P3306">
        <f>IF(ISBLANK(ReconciliationData[[#This Row],[Invoice_ID]]),1,0)</f>
        <v>0</v>
      </c>
      <c r="Q3306">
        <f>IF(AND(NOT(ISBLANK(ReconciliationData[[#This Row],[Billed_Units]])),ReconciliationData[[#This Row],[ordered_units]]&lt;&gt;ReconciliationData[[#This Row],[Billed_Units]]),1,0)</f>
        <v>0</v>
      </c>
      <c r="R33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6">
        <f>IF(AND(NOT(ISBLANK(ReconciliationData[[#This Row],[Contract_Price]])),ReconciliationData[[#This Row],[Billed_Price]]&lt;&gt;ReconciliationData[[#This Row],[Contract_Price]]),1,0)</f>
        <v>0</v>
      </c>
      <c r="T3306">
        <f>IF(AND(NOT(ISBLANK(ReconciliationData[[#This Row],[End_Date]])),ReconciliationData[[#This Row],[Order_Date]]&gt;ReconciliationData[[#This Row],[End_Date]]),1,0)</f>
        <v>0</v>
      </c>
      <c r="U3306">
        <f>IF(AND(NOT(ISBLANK(ReconciliationData[[#This Row],[last_return_date]])),ReconciliationData[[#This Row],[last_return_date]]&gt;ReconciliationData[[#This Row],[Order_Date]]+60),1,0)</f>
        <v>0</v>
      </c>
      <c r="V3306">
        <f>IF(ReconciliationData[[#This Row],[total_returned_units]]&gt;ReconciliationData[[#This Row],[ordered_units]],1,0)</f>
        <v>0</v>
      </c>
      <c r="W33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6">
        <f>ReconciliationData[[#This Row],[Billed_Units]]*ReconciliationData[[#This Row],[Billed_Price]]</f>
        <v>168340.47999999998</v>
      </c>
      <c r="Y3306">
        <f>ReconciliationData[[#This Row],[ordered_units]]*ReconciliationData[[#This Row],[List_Price]]</f>
        <v>168340.47999999998</v>
      </c>
      <c r="Z3306">
        <f>ReconciliationData[[#This Row],[billed_revenue]]-ReconciliationData[[#This Row],[expected_revenue]]</f>
        <v>0</v>
      </c>
      <c r="AA33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6" t="str">
        <f>IF(ReconciliationData[[#This Row],[severity_score]]=0,"LOW",
 IF(ReconciliationData[[#This Row],[severity_score]]&lt;=5,"MEDIUM","HIGH"))</f>
        <v>LOW</v>
      </c>
      <c r="AC3306" t="str">
        <f>TEXT(ReconciliationData[[#This Row],[Order_Date]],"YYYY-MM")</f>
        <v>2023-11</v>
      </c>
    </row>
    <row r="3307" spans="1:29">
      <c r="A3307" t="s">
        <v>7831</v>
      </c>
      <c r="B3307" s="1">
        <v>45003</v>
      </c>
      <c r="C3307" t="s">
        <v>580</v>
      </c>
      <c r="D3307" t="s">
        <v>2444</v>
      </c>
      <c r="E3307">
        <v>86</v>
      </c>
      <c r="F3307" t="s">
        <v>7832</v>
      </c>
      <c r="G3307">
        <v>86</v>
      </c>
      <c r="H3307">
        <v>852.48720000000014</v>
      </c>
      <c r="N3307">
        <v>852.48720000000014</v>
      </c>
      <c r="O3307" s="1">
        <v>44983</v>
      </c>
      <c r="P3307">
        <f>IF(ISBLANK(ReconciliationData[[#This Row],[Invoice_ID]]),1,0)</f>
        <v>0</v>
      </c>
      <c r="Q3307">
        <f>IF(AND(NOT(ISBLANK(ReconciliationData[[#This Row],[Billed_Units]])),ReconciliationData[[#This Row],[ordered_units]]&lt;&gt;ReconciliationData[[#This Row],[Billed_Units]]),1,0)</f>
        <v>0</v>
      </c>
      <c r="R33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7">
        <f>IF(AND(NOT(ISBLANK(ReconciliationData[[#This Row],[Contract_Price]])),ReconciliationData[[#This Row],[Billed_Price]]&lt;&gt;ReconciliationData[[#This Row],[Contract_Price]]),1,0)</f>
        <v>0</v>
      </c>
      <c r="T3307">
        <f>IF(AND(NOT(ISBLANK(ReconciliationData[[#This Row],[End_Date]])),ReconciliationData[[#This Row],[Order_Date]]&gt;ReconciliationData[[#This Row],[End_Date]]),1,0)</f>
        <v>0</v>
      </c>
      <c r="U3307">
        <f>IF(AND(NOT(ISBLANK(ReconciliationData[[#This Row],[last_return_date]])),ReconciliationData[[#This Row],[last_return_date]]&gt;ReconciliationData[[#This Row],[Order_Date]]+60),1,0)</f>
        <v>0</v>
      </c>
      <c r="V3307">
        <f>IF(ReconciliationData[[#This Row],[total_returned_units]]&gt;ReconciliationData[[#This Row],[ordered_units]],1,0)</f>
        <v>0</v>
      </c>
      <c r="W33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7">
        <f>ReconciliationData[[#This Row],[Billed_Units]]*ReconciliationData[[#This Row],[Billed_Price]]</f>
        <v>73313.899200000014</v>
      </c>
      <c r="Y3307">
        <f>ReconciliationData[[#This Row],[ordered_units]]*ReconciliationData[[#This Row],[List_Price]]</f>
        <v>73313.899200000014</v>
      </c>
      <c r="Z3307">
        <f>ReconciliationData[[#This Row],[billed_revenue]]-ReconciliationData[[#This Row],[expected_revenue]]</f>
        <v>0</v>
      </c>
      <c r="AA33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7" t="str">
        <f>IF(ReconciliationData[[#This Row],[severity_score]]=0,"LOW",
 IF(ReconciliationData[[#This Row],[severity_score]]&lt;=5,"MEDIUM","HIGH"))</f>
        <v>LOW</v>
      </c>
      <c r="AC3307" t="str">
        <f>TEXT(ReconciliationData[[#This Row],[Order_Date]],"YYYY-MM")</f>
        <v>2023-03</v>
      </c>
    </row>
    <row r="3308" spans="1:29">
      <c r="A3308" t="s">
        <v>7833</v>
      </c>
      <c r="B3308" s="1">
        <v>45177</v>
      </c>
      <c r="C3308" t="s">
        <v>3011</v>
      </c>
      <c r="D3308" t="s">
        <v>732</v>
      </c>
      <c r="E3308">
        <v>84</v>
      </c>
      <c r="F3308" t="s">
        <v>7834</v>
      </c>
      <c r="G3308">
        <v>84</v>
      </c>
      <c r="H3308">
        <v>440.38799999999998</v>
      </c>
      <c r="N3308">
        <v>440.38799999999998</v>
      </c>
      <c r="O3308" s="1">
        <v>45016</v>
      </c>
      <c r="P3308">
        <f>IF(ISBLANK(ReconciliationData[[#This Row],[Invoice_ID]]),1,0)</f>
        <v>0</v>
      </c>
      <c r="Q3308">
        <f>IF(AND(NOT(ISBLANK(ReconciliationData[[#This Row],[Billed_Units]])),ReconciliationData[[#This Row],[ordered_units]]&lt;&gt;ReconciliationData[[#This Row],[Billed_Units]]),1,0)</f>
        <v>0</v>
      </c>
      <c r="R33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8">
        <f>IF(AND(NOT(ISBLANK(ReconciliationData[[#This Row],[Contract_Price]])),ReconciliationData[[#This Row],[Billed_Price]]&lt;&gt;ReconciliationData[[#This Row],[Contract_Price]]),1,0)</f>
        <v>0</v>
      </c>
      <c r="T3308">
        <f>IF(AND(NOT(ISBLANK(ReconciliationData[[#This Row],[End_Date]])),ReconciliationData[[#This Row],[Order_Date]]&gt;ReconciliationData[[#This Row],[End_Date]]),1,0)</f>
        <v>0</v>
      </c>
      <c r="U3308">
        <f>IF(AND(NOT(ISBLANK(ReconciliationData[[#This Row],[last_return_date]])),ReconciliationData[[#This Row],[last_return_date]]&gt;ReconciliationData[[#This Row],[Order_Date]]+60),1,0)</f>
        <v>0</v>
      </c>
      <c r="V3308">
        <f>IF(ReconciliationData[[#This Row],[total_returned_units]]&gt;ReconciliationData[[#This Row],[ordered_units]],1,0)</f>
        <v>0</v>
      </c>
      <c r="W33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8">
        <f>ReconciliationData[[#This Row],[Billed_Units]]*ReconciliationData[[#This Row],[Billed_Price]]</f>
        <v>36992.591999999997</v>
      </c>
      <c r="Y3308">
        <f>ReconciliationData[[#This Row],[ordered_units]]*ReconciliationData[[#This Row],[List_Price]]</f>
        <v>36992.591999999997</v>
      </c>
      <c r="Z3308">
        <f>ReconciliationData[[#This Row],[billed_revenue]]-ReconciliationData[[#This Row],[expected_revenue]]</f>
        <v>0</v>
      </c>
      <c r="AA33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8" t="str">
        <f>IF(ReconciliationData[[#This Row],[severity_score]]=0,"LOW",
 IF(ReconciliationData[[#This Row],[severity_score]]&lt;=5,"MEDIUM","HIGH"))</f>
        <v>LOW</v>
      </c>
      <c r="AC3308" t="str">
        <f>TEXT(ReconciliationData[[#This Row],[Order_Date]],"YYYY-MM")</f>
        <v>2023-09</v>
      </c>
    </row>
    <row r="3309" spans="1:29">
      <c r="A3309" t="s">
        <v>7835</v>
      </c>
      <c r="B3309" s="1">
        <v>45634</v>
      </c>
      <c r="C3309" t="s">
        <v>961</v>
      </c>
      <c r="D3309" t="s">
        <v>2101</v>
      </c>
      <c r="E3309">
        <v>150</v>
      </c>
      <c r="F3309" t="s">
        <v>7836</v>
      </c>
      <c r="G3309">
        <v>150</v>
      </c>
      <c r="H3309">
        <v>230.7345</v>
      </c>
      <c r="N3309">
        <v>230.7345</v>
      </c>
      <c r="O3309" s="1">
        <v>45142</v>
      </c>
      <c r="P3309">
        <f>IF(ISBLANK(ReconciliationData[[#This Row],[Invoice_ID]]),1,0)</f>
        <v>0</v>
      </c>
      <c r="Q3309">
        <f>IF(AND(NOT(ISBLANK(ReconciliationData[[#This Row],[Billed_Units]])),ReconciliationData[[#This Row],[ordered_units]]&lt;&gt;ReconciliationData[[#This Row],[Billed_Units]]),1,0)</f>
        <v>0</v>
      </c>
      <c r="R33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09">
        <f>IF(AND(NOT(ISBLANK(ReconciliationData[[#This Row],[Contract_Price]])),ReconciliationData[[#This Row],[Billed_Price]]&lt;&gt;ReconciliationData[[#This Row],[Contract_Price]]),1,0)</f>
        <v>0</v>
      </c>
      <c r="T3309">
        <f>IF(AND(NOT(ISBLANK(ReconciliationData[[#This Row],[End_Date]])),ReconciliationData[[#This Row],[Order_Date]]&gt;ReconciliationData[[#This Row],[End_Date]]),1,0)</f>
        <v>0</v>
      </c>
      <c r="U3309">
        <f>IF(AND(NOT(ISBLANK(ReconciliationData[[#This Row],[last_return_date]])),ReconciliationData[[#This Row],[last_return_date]]&gt;ReconciliationData[[#This Row],[Order_Date]]+60),1,0)</f>
        <v>0</v>
      </c>
      <c r="V3309">
        <f>IF(ReconciliationData[[#This Row],[total_returned_units]]&gt;ReconciliationData[[#This Row],[ordered_units]],1,0)</f>
        <v>0</v>
      </c>
      <c r="W33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09">
        <f>ReconciliationData[[#This Row],[Billed_Units]]*ReconciliationData[[#This Row],[Billed_Price]]</f>
        <v>34610.175000000003</v>
      </c>
      <c r="Y3309">
        <f>ReconciliationData[[#This Row],[ordered_units]]*ReconciliationData[[#This Row],[List_Price]]</f>
        <v>34610.175000000003</v>
      </c>
      <c r="Z3309">
        <f>ReconciliationData[[#This Row],[billed_revenue]]-ReconciliationData[[#This Row],[expected_revenue]]</f>
        <v>0</v>
      </c>
      <c r="AA33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09" t="str">
        <f>IF(ReconciliationData[[#This Row],[severity_score]]=0,"LOW",
 IF(ReconciliationData[[#This Row],[severity_score]]&lt;=5,"MEDIUM","HIGH"))</f>
        <v>LOW</v>
      </c>
      <c r="AC3309" t="str">
        <f>TEXT(ReconciliationData[[#This Row],[Order_Date]],"YYYY-MM")</f>
        <v>2024-12</v>
      </c>
    </row>
    <row r="3310" spans="1:29">
      <c r="A3310" t="s">
        <v>7837</v>
      </c>
      <c r="B3310" s="1">
        <v>45543</v>
      </c>
      <c r="C3310" t="s">
        <v>467</v>
      </c>
      <c r="D3310" t="s">
        <v>1869</v>
      </c>
      <c r="E3310">
        <v>64</v>
      </c>
      <c r="F3310" t="s">
        <v>7838</v>
      </c>
      <c r="G3310">
        <v>64</v>
      </c>
      <c r="H3310">
        <v>75.504800000000003</v>
      </c>
      <c r="N3310">
        <v>75.504800000000003</v>
      </c>
      <c r="O3310" s="1">
        <v>45080</v>
      </c>
      <c r="P3310">
        <f>IF(ISBLANK(ReconciliationData[[#This Row],[Invoice_ID]]),1,0)</f>
        <v>0</v>
      </c>
      <c r="Q3310">
        <f>IF(AND(NOT(ISBLANK(ReconciliationData[[#This Row],[Billed_Units]])),ReconciliationData[[#This Row],[ordered_units]]&lt;&gt;ReconciliationData[[#This Row],[Billed_Units]]),1,0)</f>
        <v>0</v>
      </c>
      <c r="R33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10">
        <f>IF(AND(NOT(ISBLANK(ReconciliationData[[#This Row],[Contract_Price]])),ReconciliationData[[#This Row],[Billed_Price]]&lt;&gt;ReconciliationData[[#This Row],[Contract_Price]]),1,0)</f>
        <v>0</v>
      </c>
      <c r="T3310">
        <f>IF(AND(NOT(ISBLANK(ReconciliationData[[#This Row],[End_Date]])),ReconciliationData[[#This Row],[Order_Date]]&gt;ReconciliationData[[#This Row],[End_Date]]),1,0)</f>
        <v>0</v>
      </c>
      <c r="U3310">
        <f>IF(AND(NOT(ISBLANK(ReconciliationData[[#This Row],[last_return_date]])),ReconciliationData[[#This Row],[last_return_date]]&gt;ReconciliationData[[#This Row],[Order_Date]]+60),1,0)</f>
        <v>0</v>
      </c>
      <c r="V3310">
        <f>IF(ReconciliationData[[#This Row],[total_returned_units]]&gt;ReconciliationData[[#This Row],[ordered_units]],1,0)</f>
        <v>0</v>
      </c>
      <c r="W33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10">
        <f>ReconciliationData[[#This Row],[Billed_Units]]*ReconciliationData[[#This Row],[Billed_Price]]</f>
        <v>4832.3072000000002</v>
      </c>
      <c r="Y3310">
        <f>ReconciliationData[[#This Row],[ordered_units]]*ReconciliationData[[#This Row],[List_Price]]</f>
        <v>4832.3072000000002</v>
      </c>
      <c r="Z3310">
        <f>ReconciliationData[[#This Row],[billed_revenue]]-ReconciliationData[[#This Row],[expected_revenue]]</f>
        <v>0</v>
      </c>
      <c r="AA33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10" t="str">
        <f>IF(ReconciliationData[[#This Row],[severity_score]]=0,"LOW",
 IF(ReconciliationData[[#This Row],[severity_score]]&lt;=5,"MEDIUM","HIGH"))</f>
        <v>LOW</v>
      </c>
      <c r="AC3310" t="str">
        <f>TEXT(ReconciliationData[[#This Row],[Order_Date]],"YYYY-MM")</f>
        <v>2024-09</v>
      </c>
    </row>
    <row r="3311" spans="1:29">
      <c r="A3311" t="s">
        <v>7839</v>
      </c>
      <c r="B3311" s="1">
        <v>45152</v>
      </c>
      <c r="C3311" t="s">
        <v>824</v>
      </c>
      <c r="D3311" t="s">
        <v>291</v>
      </c>
      <c r="E3311">
        <v>97</v>
      </c>
      <c r="F3311" t="s">
        <v>7840</v>
      </c>
      <c r="G3311">
        <v>97</v>
      </c>
      <c r="H3311">
        <v>454.98379999999997</v>
      </c>
      <c r="N3311">
        <v>454.98379999999997</v>
      </c>
      <c r="O3311" s="1">
        <v>45011</v>
      </c>
      <c r="P3311">
        <f>IF(ISBLANK(ReconciliationData[[#This Row],[Invoice_ID]]),1,0)</f>
        <v>0</v>
      </c>
      <c r="Q3311">
        <f>IF(AND(NOT(ISBLANK(ReconciliationData[[#This Row],[Billed_Units]])),ReconciliationData[[#This Row],[ordered_units]]&lt;&gt;ReconciliationData[[#This Row],[Billed_Units]]),1,0)</f>
        <v>0</v>
      </c>
      <c r="R33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11">
        <f>IF(AND(NOT(ISBLANK(ReconciliationData[[#This Row],[Contract_Price]])),ReconciliationData[[#This Row],[Billed_Price]]&lt;&gt;ReconciliationData[[#This Row],[Contract_Price]]),1,0)</f>
        <v>0</v>
      </c>
      <c r="T3311">
        <f>IF(AND(NOT(ISBLANK(ReconciliationData[[#This Row],[End_Date]])),ReconciliationData[[#This Row],[Order_Date]]&gt;ReconciliationData[[#This Row],[End_Date]]),1,0)</f>
        <v>0</v>
      </c>
      <c r="U3311">
        <f>IF(AND(NOT(ISBLANK(ReconciliationData[[#This Row],[last_return_date]])),ReconciliationData[[#This Row],[last_return_date]]&gt;ReconciliationData[[#This Row],[Order_Date]]+60),1,0)</f>
        <v>0</v>
      </c>
      <c r="V3311">
        <f>IF(ReconciliationData[[#This Row],[total_returned_units]]&gt;ReconciliationData[[#This Row],[ordered_units]],1,0)</f>
        <v>0</v>
      </c>
      <c r="W33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11">
        <f>ReconciliationData[[#This Row],[Billed_Units]]*ReconciliationData[[#This Row],[Billed_Price]]</f>
        <v>44133.428599999999</v>
      </c>
      <c r="Y3311">
        <f>ReconciliationData[[#This Row],[ordered_units]]*ReconciliationData[[#This Row],[List_Price]]</f>
        <v>44133.428599999999</v>
      </c>
      <c r="Z3311">
        <f>ReconciliationData[[#This Row],[billed_revenue]]-ReconciliationData[[#This Row],[expected_revenue]]</f>
        <v>0</v>
      </c>
      <c r="AA33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11" t="str">
        <f>IF(ReconciliationData[[#This Row],[severity_score]]=0,"LOW",
 IF(ReconciliationData[[#This Row],[severity_score]]&lt;=5,"MEDIUM","HIGH"))</f>
        <v>LOW</v>
      </c>
      <c r="AC3311" t="str">
        <f>TEXT(ReconciliationData[[#This Row],[Order_Date]],"YYYY-MM")</f>
        <v>2023-08</v>
      </c>
    </row>
    <row r="3312" spans="1:29">
      <c r="A3312" t="s">
        <v>7841</v>
      </c>
      <c r="B3312" s="1">
        <v>45436</v>
      </c>
      <c r="C3312" t="s">
        <v>844</v>
      </c>
      <c r="D3312" t="s">
        <v>2853</v>
      </c>
      <c r="E3312">
        <v>8</v>
      </c>
      <c r="F3312" t="s">
        <v>7842</v>
      </c>
      <c r="G3312">
        <v>8</v>
      </c>
      <c r="H3312">
        <v>278.27100000000002</v>
      </c>
      <c r="N3312">
        <v>278.27100000000002</v>
      </c>
      <c r="O3312" s="1">
        <v>45119</v>
      </c>
      <c r="P3312">
        <f>IF(ISBLANK(ReconciliationData[[#This Row],[Invoice_ID]]),1,0)</f>
        <v>0</v>
      </c>
      <c r="Q3312">
        <f>IF(AND(NOT(ISBLANK(ReconciliationData[[#This Row],[Billed_Units]])),ReconciliationData[[#This Row],[ordered_units]]&lt;&gt;ReconciliationData[[#This Row],[Billed_Units]]),1,0)</f>
        <v>0</v>
      </c>
      <c r="R33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12">
        <f>IF(AND(NOT(ISBLANK(ReconciliationData[[#This Row],[Contract_Price]])),ReconciliationData[[#This Row],[Billed_Price]]&lt;&gt;ReconciliationData[[#This Row],[Contract_Price]]),1,0)</f>
        <v>0</v>
      </c>
      <c r="T3312">
        <f>IF(AND(NOT(ISBLANK(ReconciliationData[[#This Row],[End_Date]])),ReconciliationData[[#This Row],[Order_Date]]&gt;ReconciliationData[[#This Row],[End_Date]]),1,0)</f>
        <v>0</v>
      </c>
      <c r="U3312">
        <f>IF(AND(NOT(ISBLANK(ReconciliationData[[#This Row],[last_return_date]])),ReconciliationData[[#This Row],[last_return_date]]&gt;ReconciliationData[[#This Row],[Order_Date]]+60),1,0)</f>
        <v>0</v>
      </c>
      <c r="V3312">
        <f>IF(ReconciliationData[[#This Row],[total_returned_units]]&gt;ReconciliationData[[#This Row],[ordered_units]],1,0)</f>
        <v>0</v>
      </c>
      <c r="W33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12">
        <f>ReconciliationData[[#This Row],[Billed_Units]]*ReconciliationData[[#This Row],[Billed_Price]]</f>
        <v>2226.1680000000001</v>
      </c>
      <c r="Y3312">
        <f>ReconciliationData[[#This Row],[ordered_units]]*ReconciliationData[[#This Row],[List_Price]]</f>
        <v>2226.1680000000001</v>
      </c>
      <c r="Z3312">
        <f>ReconciliationData[[#This Row],[billed_revenue]]-ReconciliationData[[#This Row],[expected_revenue]]</f>
        <v>0</v>
      </c>
      <c r="AA33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12" t="str">
        <f>IF(ReconciliationData[[#This Row],[severity_score]]=0,"LOW",
 IF(ReconciliationData[[#This Row],[severity_score]]&lt;=5,"MEDIUM","HIGH"))</f>
        <v>LOW</v>
      </c>
      <c r="AC3312" t="str">
        <f>TEXT(ReconciliationData[[#This Row],[Order_Date]],"YYYY-MM")</f>
        <v>2024-05</v>
      </c>
    </row>
    <row r="3313" spans="1:29">
      <c r="A3313" t="s">
        <v>7843</v>
      </c>
      <c r="B3313" s="1">
        <v>45143</v>
      </c>
      <c r="C3313" t="s">
        <v>258</v>
      </c>
      <c r="D3313" t="s">
        <v>828</v>
      </c>
      <c r="E3313">
        <v>121</v>
      </c>
      <c r="F3313" t="s">
        <v>7844</v>
      </c>
      <c r="G3313">
        <v>121</v>
      </c>
      <c r="H3313">
        <v>893.8972</v>
      </c>
      <c r="N3313">
        <v>893.8972</v>
      </c>
      <c r="O3313" s="1">
        <v>45049</v>
      </c>
      <c r="P3313">
        <f>IF(ISBLANK(ReconciliationData[[#This Row],[Invoice_ID]]),1,0)</f>
        <v>0</v>
      </c>
      <c r="Q3313">
        <f>IF(AND(NOT(ISBLANK(ReconciliationData[[#This Row],[Billed_Units]])),ReconciliationData[[#This Row],[ordered_units]]&lt;&gt;ReconciliationData[[#This Row],[Billed_Units]]),1,0)</f>
        <v>0</v>
      </c>
      <c r="R33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13">
        <f>IF(AND(NOT(ISBLANK(ReconciliationData[[#This Row],[Contract_Price]])),ReconciliationData[[#This Row],[Billed_Price]]&lt;&gt;ReconciliationData[[#This Row],[Contract_Price]]),1,0)</f>
        <v>0</v>
      </c>
      <c r="T3313">
        <f>IF(AND(NOT(ISBLANK(ReconciliationData[[#This Row],[End_Date]])),ReconciliationData[[#This Row],[Order_Date]]&gt;ReconciliationData[[#This Row],[End_Date]]),1,0)</f>
        <v>0</v>
      </c>
      <c r="U3313">
        <f>IF(AND(NOT(ISBLANK(ReconciliationData[[#This Row],[last_return_date]])),ReconciliationData[[#This Row],[last_return_date]]&gt;ReconciliationData[[#This Row],[Order_Date]]+60),1,0)</f>
        <v>0</v>
      </c>
      <c r="V3313">
        <f>IF(ReconciliationData[[#This Row],[total_returned_units]]&gt;ReconciliationData[[#This Row],[ordered_units]],1,0)</f>
        <v>0</v>
      </c>
      <c r="W33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13">
        <f>ReconciliationData[[#This Row],[Billed_Units]]*ReconciliationData[[#This Row],[Billed_Price]]</f>
        <v>108161.5612</v>
      </c>
      <c r="Y3313">
        <f>ReconciliationData[[#This Row],[ordered_units]]*ReconciliationData[[#This Row],[List_Price]]</f>
        <v>108161.5612</v>
      </c>
      <c r="Z3313">
        <f>ReconciliationData[[#This Row],[billed_revenue]]-ReconciliationData[[#This Row],[expected_revenue]]</f>
        <v>0</v>
      </c>
      <c r="AA33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13" t="str">
        <f>IF(ReconciliationData[[#This Row],[severity_score]]=0,"LOW",
 IF(ReconciliationData[[#This Row],[severity_score]]&lt;=5,"MEDIUM","HIGH"))</f>
        <v>LOW</v>
      </c>
      <c r="AC3313" t="str">
        <f>TEXT(ReconciliationData[[#This Row],[Order_Date]],"YYYY-MM")</f>
        <v>2023-08</v>
      </c>
    </row>
    <row r="3314" spans="1:29">
      <c r="A3314" t="s">
        <v>7845</v>
      </c>
      <c r="B3314" s="1">
        <v>45181</v>
      </c>
      <c r="C3314" t="s">
        <v>1006</v>
      </c>
      <c r="D3314" t="s">
        <v>577</v>
      </c>
      <c r="E3314">
        <v>103</v>
      </c>
      <c r="F3314" t="s">
        <v>7846</v>
      </c>
      <c r="G3314">
        <v>103</v>
      </c>
      <c r="H3314">
        <v>1093.1199999999999</v>
      </c>
      <c r="N3314">
        <v>1093.1199999999999</v>
      </c>
      <c r="O3314" s="1">
        <v>45035</v>
      </c>
      <c r="P3314">
        <f>IF(ISBLANK(ReconciliationData[[#This Row],[Invoice_ID]]),1,0)</f>
        <v>0</v>
      </c>
      <c r="Q3314">
        <f>IF(AND(NOT(ISBLANK(ReconciliationData[[#This Row],[Billed_Units]])),ReconciliationData[[#This Row],[ordered_units]]&lt;&gt;ReconciliationData[[#This Row],[Billed_Units]]),1,0)</f>
        <v>0</v>
      </c>
      <c r="R33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14">
        <f>IF(AND(NOT(ISBLANK(ReconciliationData[[#This Row],[Contract_Price]])),ReconciliationData[[#This Row],[Billed_Price]]&lt;&gt;ReconciliationData[[#This Row],[Contract_Price]]),1,0)</f>
        <v>0</v>
      </c>
      <c r="T3314">
        <f>IF(AND(NOT(ISBLANK(ReconciliationData[[#This Row],[End_Date]])),ReconciliationData[[#This Row],[Order_Date]]&gt;ReconciliationData[[#This Row],[End_Date]]),1,0)</f>
        <v>0</v>
      </c>
      <c r="U3314">
        <f>IF(AND(NOT(ISBLANK(ReconciliationData[[#This Row],[last_return_date]])),ReconciliationData[[#This Row],[last_return_date]]&gt;ReconciliationData[[#This Row],[Order_Date]]+60),1,0)</f>
        <v>0</v>
      </c>
      <c r="V3314">
        <f>IF(ReconciliationData[[#This Row],[total_returned_units]]&gt;ReconciliationData[[#This Row],[ordered_units]],1,0)</f>
        <v>0</v>
      </c>
      <c r="W33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14">
        <f>ReconciliationData[[#This Row],[Billed_Units]]*ReconciliationData[[#This Row],[Billed_Price]]</f>
        <v>112591.35999999999</v>
      </c>
      <c r="Y3314">
        <f>ReconciliationData[[#This Row],[ordered_units]]*ReconciliationData[[#This Row],[List_Price]]</f>
        <v>112591.35999999999</v>
      </c>
      <c r="Z3314">
        <f>ReconciliationData[[#This Row],[billed_revenue]]-ReconciliationData[[#This Row],[expected_revenue]]</f>
        <v>0</v>
      </c>
      <c r="AA33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14" t="str">
        <f>IF(ReconciliationData[[#This Row],[severity_score]]=0,"LOW",
 IF(ReconciliationData[[#This Row],[severity_score]]&lt;=5,"MEDIUM","HIGH"))</f>
        <v>LOW</v>
      </c>
      <c r="AC3314" t="str">
        <f>TEXT(ReconciliationData[[#This Row],[Order_Date]],"YYYY-MM")</f>
        <v>2023-09</v>
      </c>
    </row>
    <row r="3315" spans="1:29">
      <c r="A3315" t="s">
        <v>7847</v>
      </c>
      <c r="B3315" s="1">
        <v>45401</v>
      </c>
      <c r="C3315" t="s">
        <v>1308</v>
      </c>
      <c r="D3315" t="s">
        <v>2331</v>
      </c>
      <c r="E3315">
        <v>85</v>
      </c>
      <c r="F3315" t="s">
        <v>7848</v>
      </c>
      <c r="G3315">
        <v>85</v>
      </c>
      <c r="H3315">
        <v>983.19460000000004</v>
      </c>
      <c r="N3315">
        <v>983.19460000000004</v>
      </c>
      <c r="O3315" s="1">
        <v>45142</v>
      </c>
      <c r="P3315">
        <f>IF(ISBLANK(ReconciliationData[[#This Row],[Invoice_ID]]),1,0)</f>
        <v>0</v>
      </c>
      <c r="Q3315">
        <f>IF(AND(NOT(ISBLANK(ReconciliationData[[#This Row],[Billed_Units]])),ReconciliationData[[#This Row],[ordered_units]]&lt;&gt;ReconciliationData[[#This Row],[Billed_Units]]),1,0)</f>
        <v>0</v>
      </c>
      <c r="R33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15">
        <f>IF(AND(NOT(ISBLANK(ReconciliationData[[#This Row],[Contract_Price]])),ReconciliationData[[#This Row],[Billed_Price]]&lt;&gt;ReconciliationData[[#This Row],[Contract_Price]]),1,0)</f>
        <v>0</v>
      </c>
      <c r="T3315">
        <f>IF(AND(NOT(ISBLANK(ReconciliationData[[#This Row],[End_Date]])),ReconciliationData[[#This Row],[Order_Date]]&gt;ReconciliationData[[#This Row],[End_Date]]),1,0)</f>
        <v>0</v>
      </c>
      <c r="U3315">
        <f>IF(AND(NOT(ISBLANK(ReconciliationData[[#This Row],[last_return_date]])),ReconciliationData[[#This Row],[last_return_date]]&gt;ReconciliationData[[#This Row],[Order_Date]]+60),1,0)</f>
        <v>0</v>
      </c>
      <c r="V3315">
        <f>IF(ReconciliationData[[#This Row],[total_returned_units]]&gt;ReconciliationData[[#This Row],[ordered_units]],1,0)</f>
        <v>0</v>
      </c>
      <c r="W33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15">
        <f>ReconciliationData[[#This Row],[Billed_Units]]*ReconciliationData[[#This Row],[Billed_Price]]</f>
        <v>83571.540999999997</v>
      </c>
      <c r="Y3315">
        <f>ReconciliationData[[#This Row],[ordered_units]]*ReconciliationData[[#This Row],[List_Price]]</f>
        <v>83571.540999999997</v>
      </c>
      <c r="Z3315">
        <f>ReconciliationData[[#This Row],[billed_revenue]]-ReconciliationData[[#This Row],[expected_revenue]]</f>
        <v>0</v>
      </c>
      <c r="AA33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15" t="str">
        <f>IF(ReconciliationData[[#This Row],[severity_score]]=0,"LOW",
 IF(ReconciliationData[[#This Row],[severity_score]]&lt;=5,"MEDIUM","HIGH"))</f>
        <v>LOW</v>
      </c>
      <c r="AC3315" t="str">
        <f>TEXT(ReconciliationData[[#This Row],[Order_Date]],"YYYY-MM")</f>
        <v>2024-04</v>
      </c>
    </row>
    <row r="3316" spans="1:29">
      <c r="A3316" t="s">
        <v>7849</v>
      </c>
      <c r="B3316" s="1">
        <v>45386</v>
      </c>
      <c r="C3316" t="s">
        <v>3401</v>
      </c>
      <c r="D3316" t="s">
        <v>3954</v>
      </c>
      <c r="E3316">
        <v>133</v>
      </c>
      <c r="F3316" t="s">
        <v>7850</v>
      </c>
      <c r="G3316">
        <v>133</v>
      </c>
      <c r="H3316">
        <v>275.31330172294065</v>
      </c>
      <c r="N3316">
        <v>275.19450000000001</v>
      </c>
      <c r="O3316" s="1">
        <v>45218</v>
      </c>
      <c r="P3316">
        <f>IF(ISBLANK(ReconciliationData[[#This Row],[Invoice_ID]]),1,0)</f>
        <v>0</v>
      </c>
      <c r="Q3316">
        <f>IF(AND(NOT(ISBLANK(ReconciliationData[[#This Row],[Billed_Units]])),ReconciliationData[[#This Row],[ordered_units]]&lt;&gt;ReconciliationData[[#This Row],[Billed_Units]]),1,0)</f>
        <v>0</v>
      </c>
      <c r="R331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316">
        <f>IF(AND(NOT(ISBLANK(ReconciliationData[[#This Row],[Contract_Price]])),ReconciliationData[[#This Row],[Billed_Price]]&lt;&gt;ReconciliationData[[#This Row],[Contract_Price]]),1,0)</f>
        <v>0</v>
      </c>
      <c r="T3316">
        <f>IF(AND(NOT(ISBLANK(ReconciliationData[[#This Row],[End_Date]])),ReconciliationData[[#This Row],[Order_Date]]&gt;ReconciliationData[[#This Row],[End_Date]]),1,0)</f>
        <v>0</v>
      </c>
      <c r="U3316">
        <f>IF(AND(NOT(ISBLANK(ReconciliationData[[#This Row],[last_return_date]])),ReconciliationData[[#This Row],[last_return_date]]&gt;ReconciliationData[[#This Row],[Order_Date]]+60),1,0)</f>
        <v>0</v>
      </c>
      <c r="V3316">
        <f>IF(ReconciliationData[[#This Row],[total_returned_units]]&gt;ReconciliationData[[#This Row],[ordered_units]],1,0)</f>
        <v>0</v>
      </c>
      <c r="W33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16">
        <f>ReconciliationData[[#This Row],[Billed_Units]]*ReconciliationData[[#This Row],[Billed_Price]]</f>
        <v>36616.669129151109</v>
      </c>
      <c r="Y3316">
        <f>ReconciliationData[[#This Row],[ordered_units]]*ReconciliationData[[#This Row],[List_Price]]</f>
        <v>36600.868500000004</v>
      </c>
      <c r="Z3316">
        <f>ReconciliationData[[#This Row],[billed_revenue]]-ReconciliationData[[#This Row],[expected_revenue]]</f>
        <v>15.800629151104658</v>
      </c>
      <c r="AA33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316" t="str">
        <f>IF(ReconciliationData[[#This Row],[severity_score]]=0,"LOW",
 IF(ReconciliationData[[#This Row],[severity_score]]&lt;=5,"MEDIUM","HIGH"))</f>
        <v>MEDIUM</v>
      </c>
      <c r="AC3316" t="str">
        <f>TEXT(ReconciliationData[[#This Row],[Order_Date]],"YYYY-MM")</f>
        <v>2024-04</v>
      </c>
    </row>
    <row r="3317" spans="1:29">
      <c r="A3317" t="s">
        <v>7851</v>
      </c>
      <c r="B3317" s="1">
        <v>45415</v>
      </c>
      <c r="C3317" t="s">
        <v>1191</v>
      </c>
      <c r="D3317" t="s">
        <v>393</v>
      </c>
      <c r="E3317">
        <v>17</v>
      </c>
      <c r="F3317" t="s">
        <v>7852</v>
      </c>
      <c r="G3317">
        <v>17</v>
      </c>
      <c r="H3317">
        <v>1080.0740000000001</v>
      </c>
      <c r="N3317">
        <v>1080.0740000000001</v>
      </c>
      <c r="O3317" s="1">
        <v>45058</v>
      </c>
      <c r="P3317">
        <f>IF(ISBLANK(ReconciliationData[[#This Row],[Invoice_ID]]),1,0)</f>
        <v>0</v>
      </c>
      <c r="Q3317">
        <f>IF(AND(NOT(ISBLANK(ReconciliationData[[#This Row],[Billed_Units]])),ReconciliationData[[#This Row],[ordered_units]]&lt;&gt;ReconciliationData[[#This Row],[Billed_Units]]),1,0)</f>
        <v>0</v>
      </c>
      <c r="R33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17">
        <f>IF(AND(NOT(ISBLANK(ReconciliationData[[#This Row],[Contract_Price]])),ReconciliationData[[#This Row],[Billed_Price]]&lt;&gt;ReconciliationData[[#This Row],[Contract_Price]]),1,0)</f>
        <v>0</v>
      </c>
      <c r="T3317">
        <f>IF(AND(NOT(ISBLANK(ReconciliationData[[#This Row],[End_Date]])),ReconciliationData[[#This Row],[Order_Date]]&gt;ReconciliationData[[#This Row],[End_Date]]),1,0)</f>
        <v>0</v>
      </c>
      <c r="U3317">
        <f>IF(AND(NOT(ISBLANK(ReconciliationData[[#This Row],[last_return_date]])),ReconciliationData[[#This Row],[last_return_date]]&gt;ReconciliationData[[#This Row],[Order_Date]]+60),1,0)</f>
        <v>0</v>
      </c>
      <c r="V3317">
        <f>IF(ReconciliationData[[#This Row],[total_returned_units]]&gt;ReconciliationData[[#This Row],[ordered_units]],1,0)</f>
        <v>0</v>
      </c>
      <c r="W33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17">
        <f>ReconciliationData[[#This Row],[Billed_Units]]*ReconciliationData[[#This Row],[Billed_Price]]</f>
        <v>18361.258000000002</v>
      </c>
      <c r="Y3317">
        <f>ReconciliationData[[#This Row],[ordered_units]]*ReconciliationData[[#This Row],[List_Price]]</f>
        <v>18361.258000000002</v>
      </c>
      <c r="Z3317">
        <f>ReconciliationData[[#This Row],[billed_revenue]]-ReconciliationData[[#This Row],[expected_revenue]]</f>
        <v>0</v>
      </c>
      <c r="AA33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17" t="str">
        <f>IF(ReconciliationData[[#This Row],[severity_score]]=0,"LOW",
 IF(ReconciliationData[[#This Row],[severity_score]]&lt;=5,"MEDIUM","HIGH"))</f>
        <v>LOW</v>
      </c>
      <c r="AC3317" t="str">
        <f>TEXT(ReconciliationData[[#This Row],[Order_Date]],"YYYY-MM")</f>
        <v>2024-05</v>
      </c>
    </row>
    <row r="3318" spans="1:29">
      <c r="A3318" t="s">
        <v>7853</v>
      </c>
      <c r="B3318" s="1">
        <v>45217</v>
      </c>
      <c r="C3318" t="s">
        <v>1941</v>
      </c>
      <c r="D3318" t="s">
        <v>694</v>
      </c>
      <c r="E3318">
        <v>118</v>
      </c>
      <c r="F3318" t="s">
        <v>7854</v>
      </c>
      <c r="G3318">
        <v>118</v>
      </c>
      <c r="H3318">
        <v>618.375</v>
      </c>
      <c r="N3318">
        <v>618.375</v>
      </c>
      <c r="O3318" s="1">
        <v>45124</v>
      </c>
      <c r="P3318">
        <f>IF(ISBLANK(ReconciliationData[[#This Row],[Invoice_ID]]),1,0)</f>
        <v>0</v>
      </c>
      <c r="Q3318">
        <f>IF(AND(NOT(ISBLANK(ReconciliationData[[#This Row],[Billed_Units]])),ReconciliationData[[#This Row],[ordered_units]]&lt;&gt;ReconciliationData[[#This Row],[Billed_Units]]),1,0)</f>
        <v>0</v>
      </c>
      <c r="R33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18">
        <f>IF(AND(NOT(ISBLANK(ReconciliationData[[#This Row],[Contract_Price]])),ReconciliationData[[#This Row],[Billed_Price]]&lt;&gt;ReconciliationData[[#This Row],[Contract_Price]]),1,0)</f>
        <v>0</v>
      </c>
      <c r="T3318">
        <f>IF(AND(NOT(ISBLANK(ReconciliationData[[#This Row],[End_Date]])),ReconciliationData[[#This Row],[Order_Date]]&gt;ReconciliationData[[#This Row],[End_Date]]),1,0)</f>
        <v>0</v>
      </c>
      <c r="U3318">
        <f>IF(AND(NOT(ISBLANK(ReconciliationData[[#This Row],[last_return_date]])),ReconciliationData[[#This Row],[last_return_date]]&gt;ReconciliationData[[#This Row],[Order_Date]]+60),1,0)</f>
        <v>0</v>
      </c>
      <c r="V3318">
        <f>IF(ReconciliationData[[#This Row],[total_returned_units]]&gt;ReconciliationData[[#This Row],[ordered_units]],1,0)</f>
        <v>0</v>
      </c>
      <c r="W33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18">
        <f>ReconciliationData[[#This Row],[Billed_Units]]*ReconciliationData[[#This Row],[Billed_Price]]</f>
        <v>72968.25</v>
      </c>
      <c r="Y3318">
        <f>ReconciliationData[[#This Row],[ordered_units]]*ReconciliationData[[#This Row],[List_Price]]</f>
        <v>72968.25</v>
      </c>
      <c r="Z3318">
        <f>ReconciliationData[[#This Row],[billed_revenue]]-ReconciliationData[[#This Row],[expected_revenue]]</f>
        <v>0</v>
      </c>
      <c r="AA33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18" t="str">
        <f>IF(ReconciliationData[[#This Row],[severity_score]]=0,"LOW",
 IF(ReconciliationData[[#This Row],[severity_score]]&lt;=5,"MEDIUM","HIGH"))</f>
        <v>LOW</v>
      </c>
      <c r="AC3318" t="str">
        <f>TEXT(ReconciliationData[[#This Row],[Order_Date]],"YYYY-MM")</f>
        <v>2023-10</v>
      </c>
    </row>
    <row r="3319" spans="1:29">
      <c r="A3319" t="s">
        <v>7855</v>
      </c>
      <c r="B3319" s="1">
        <v>45489</v>
      </c>
      <c r="C3319" t="s">
        <v>2608</v>
      </c>
      <c r="D3319" t="s">
        <v>1470</v>
      </c>
      <c r="E3319">
        <v>138</v>
      </c>
      <c r="F3319" t="s">
        <v>7856</v>
      </c>
      <c r="G3319">
        <v>138</v>
      </c>
      <c r="H3319">
        <v>690.05370000000005</v>
      </c>
      <c r="N3319">
        <v>690.05370000000005</v>
      </c>
      <c r="O3319" s="1">
        <v>44976</v>
      </c>
      <c r="P3319">
        <f>IF(ISBLANK(ReconciliationData[[#This Row],[Invoice_ID]]),1,0)</f>
        <v>0</v>
      </c>
      <c r="Q3319">
        <f>IF(AND(NOT(ISBLANK(ReconciliationData[[#This Row],[Billed_Units]])),ReconciliationData[[#This Row],[ordered_units]]&lt;&gt;ReconciliationData[[#This Row],[Billed_Units]]),1,0)</f>
        <v>0</v>
      </c>
      <c r="R33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19">
        <f>IF(AND(NOT(ISBLANK(ReconciliationData[[#This Row],[Contract_Price]])),ReconciliationData[[#This Row],[Billed_Price]]&lt;&gt;ReconciliationData[[#This Row],[Contract_Price]]),1,0)</f>
        <v>0</v>
      </c>
      <c r="T3319">
        <f>IF(AND(NOT(ISBLANK(ReconciliationData[[#This Row],[End_Date]])),ReconciliationData[[#This Row],[Order_Date]]&gt;ReconciliationData[[#This Row],[End_Date]]),1,0)</f>
        <v>0</v>
      </c>
      <c r="U3319">
        <f>IF(AND(NOT(ISBLANK(ReconciliationData[[#This Row],[last_return_date]])),ReconciliationData[[#This Row],[last_return_date]]&gt;ReconciliationData[[#This Row],[Order_Date]]+60),1,0)</f>
        <v>0</v>
      </c>
      <c r="V3319">
        <f>IF(ReconciliationData[[#This Row],[total_returned_units]]&gt;ReconciliationData[[#This Row],[ordered_units]],1,0)</f>
        <v>0</v>
      </c>
      <c r="W33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19">
        <f>ReconciliationData[[#This Row],[Billed_Units]]*ReconciliationData[[#This Row],[Billed_Price]]</f>
        <v>95227.410600000003</v>
      </c>
      <c r="Y3319">
        <f>ReconciliationData[[#This Row],[ordered_units]]*ReconciliationData[[#This Row],[List_Price]]</f>
        <v>95227.410600000003</v>
      </c>
      <c r="Z3319">
        <f>ReconciliationData[[#This Row],[billed_revenue]]-ReconciliationData[[#This Row],[expected_revenue]]</f>
        <v>0</v>
      </c>
      <c r="AA33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19" t="str">
        <f>IF(ReconciliationData[[#This Row],[severity_score]]=0,"LOW",
 IF(ReconciliationData[[#This Row],[severity_score]]&lt;=5,"MEDIUM","HIGH"))</f>
        <v>LOW</v>
      </c>
      <c r="AC3319" t="str">
        <f>TEXT(ReconciliationData[[#This Row],[Order_Date]],"YYYY-MM")</f>
        <v>2024-07</v>
      </c>
    </row>
    <row r="3320" spans="1:29">
      <c r="A3320" t="s">
        <v>7857</v>
      </c>
      <c r="B3320" s="1">
        <v>44968</v>
      </c>
      <c r="C3320" t="s">
        <v>642</v>
      </c>
      <c r="D3320" t="s">
        <v>464</v>
      </c>
      <c r="E3320">
        <v>181</v>
      </c>
      <c r="F3320" t="s">
        <v>7858</v>
      </c>
      <c r="G3320">
        <v>181</v>
      </c>
      <c r="H3320">
        <v>709.45920000000001</v>
      </c>
      <c r="N3320">
        <v>709.45920000000001</v>
      </c>
      <c r="O3320" s="1">
        <v>44830</v>
      </c>
      <c r="P3320">
        <f>IF(ISBLANK(ReconciliationData[[#This Row],[Invoice_ID]]),1,0)</f>
        <v>0</v>
      </c>
      <c r="Q3320">
        <f>IF(AND(NOT(ISBLANK(ReconciliationData[[#This Row],[Billed_Units]])),ReconciliationData[[#This Row],[ordered_units]]&lt;&gt;ReconciliationData[[#This Row],[Billed_Units]]),1,0)</f>
        <v>0</v>
      </c>
      <c r="R33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0">
        <f>IF(AND(NOT(ISBLANK(ReconciliationData[[#This Row],[Contract_Price]])),ReconciliationData[[#This Row],[Billed_Price]]&lt;&gt;ReconciliationData[[#This Row],[Contract_Price]]),1,0)</f>
        <v>0</v>
      </c>
      <c r="T3320">
        <f>IF(AND(NOT(ISBLANK(ReconciliationData[[#This Row],[End_Date]])),ReconciliationData[[#This Row],[Order_Date]]&gt;ReconciliationData[[#This Row],[End_Date]]),1,0)</f>
        <v>0</v>
      </c>
      <c r="U3320">
        <f>IF(AND(NOT(ISBLANK(ReconciliationData[[#This Row],[last_return_date]])),ReconciliationData[[#This Row],[last_return_date]]&gt;ReconciliationData[[#This Row],[Order_Date]]+60),1,0)</f>
        <v>0</v>
      </c>
      <c r="V3320">
        <f>IF(ReconciliationData[[#This Row],[total_returned_units]]&gt;ReconciliationData[[#This Row],[ordered_units]],1,0)</f>
        <v>0</v>
      </c>
      <c r="W33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20">
        <f>ReconciliationData[[#This Row],[Billed_Units]]*ReconciliationData[[#This Row],[Billed_Price]]</f>
        <v>128412.1152</v>
      </c>
      <c r="Y3320">
        <f>ReconciliationData[[#This Row],[ordered_units]]*ReconciliationData[[#This Row],[List_Price]]</f>
        <v>128412.1152</v>
      </c>
      <c r="Z3320">
        <f>ReconciliationData[[#This Row],[billed_revenue]]-ReconciliationData[[#This Row],[expected_revenue]]</f>
        <v>0</v>
      </c>
      <c r="AA33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20" t="str">
        <f>IF(ReconciliationData[[#This Row],[severity_score]]=0,"LOW",
 IF(ReconciliationData[[#This Row],[severity_score]]&lt;=5,"MEDIUM","HIGH"))</f>
        <v>LOW</v>
      </c>
      <c r="AC3320" t="str">
        <f>TEXT(ReconciliationData[[#This Row],[Order_Date]],"YYYY-MM")</f>
        <v>2023-02</v>
      </c>
    </row>
    <row r="3321" spans="1:29">
      <c r="A3321" t="s">
        <v>7859</v>
      </c>
      <c r="B3321" s="1">
        <v>45619</v>
      </c>
      <c r="C3321" t="s">
        <v>2542</v>
      </c>
      <c r="D3321" t="s">
        <v>194</v>
      </c>
      <c r="E3321">
        <v>139</v>
      </c>
      <c r="F3321" t="s">
        <v>7860</v>
      </c>
      <c r="G3321">
        <v>139</v>
      </c>
      <c r="H3321">
        <v>1039.0536</v>
      </c>
      <c r="N3321">
        <v>1039.0536</v>
      </c>
      <c r="O3321" s="1">
        <v>45054</v>
      </c>
      <c r="P3321">
        <f>IF(ISBLANK(ReconciliationData[[#This Row],[Invoice_ID]]),1,0)</f>
        <v>0</v>
      </c>
      <c r="Q3321">
        <f>IF(AND(NOT(ISBLANK(ReconciliationData[[#This Row],[Billed_Units]])),ReconciliationData[[#This Row],[ordered_units]]&lt;&gt;ReconciliationData[[#This Row],[Billed_Units]]),1,0)</f>
        <v>0</v>
      </c>
      <c r="R33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1">
        <f>IF(AND(NOT(ISBLANK(ReconciliationData[[#This Row],[Contract_Price]])),ReconciliationData[[#This Row],[Billed_Price]]&lt;&gt;ReconciliationData[[#This Row],[Contract_Price]]),1,0)</f>
        <v>0</v>
      </c>
      <c r="T3321">
        <f>IF(AND(NOT(ISBLANK(ReconciliationData[[#This Row],[End_Date]])),ReconciliationData[[#This Row],[Order_Date]]&gt;ReconciliationData[[#This Row],[End_Date]]),1,0)</f>
        <v>0</v>
      </c>
      <c r="U3321">
        <f>IF(AND(NOT(ISBLANK(ReconciliationData[[#This Row],[last_return_date]])),ReconciliationData[[#This Row],[last_return_date]]&gt;ReconciliationData[[#This Row],[Order_Date]]+60),1,0)</f>
        <v>0</v>
      </c>
      <c r="V3321">
        <f>IF(ReconciliationData[[#This Row],[total_returned_units]]&gt;ReconciliationData[[#This Row],[ordered_units]],1,0)</f>
        <v>0</v>
      </c>
      <c r="W33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21">
        <f>ReconciliationData[[#This Row],[Billed_Units]]*ReconciliationData[[#This Row],[Billed_Price]]</f>
        <v>144428.4504</v>
      </c>
      <c r="Y3321">
        <f>ReconciliationData[[#This Row],[ordered_units]]*ReconciliationData[[#This Row],[List_Price]]</f>
        <v>144428.4504</v>
      </c>
      <c r="Z3321">
        <f>ReconciliationData[[#This Row],[billed_revenue]]-ReconciliationData[[#This Row],[expected_revenue]]</f>
        <v>0</v>
      </c>
      <c r="AA33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21" t="str">
        <f>IF(ReconciliationData[[#This Row],[severity_score]]=0,"LOW",
 IF(ReconciliationData[[#This Row],[severity_score]]&lt;=5,"MEDIUM","HIGH"))</f>
        <v>LOW</v>
      </c>
      <c r="AC3321" t="str">
        <f>TEXT(ReconciliationData[[#This Row],[Order_Date]],"YYYY-MM")</f>
        <v>2024-11</v>
      </c>
    </row>
    <row r="3322" spans="1:29">
      <c r="A3322" t="s">
        <v>7861</v>
      </c>
      <c r="B3322" s="1">
        <v>45231</v>
      </c>
      <c r="C3322" t="s">
        <v>2352</v>
      </c>
      <c r="D3322" t="s">
        <v>1333</v>
      </c>
      <c r="E3322">
        <v>132</v>
      </c>
      <c r="F3322" t="s">
        <v>7862</v>
      </c>
      <c r="G3322">
        <v>132</v>
      </c>
      <c r="H3322">
        <v>418.93040000000002</v>
      </c>
      <c r="I3322">
        <v>13</v>
      </c>
      <c r="J3322" s="1">
        <v>45507</v>
      </c>
      <c r="N3322">
        <v>418.93040000000002</v>
      </c>
      <c r="O3322" s="1">
        <v>45214</v>
      </c>
      <c r="P3322">
        <f>IF(ISBLANK(ReconciliationData[[#This Row],[Invoice_ID]]),1,0)</f>
        <v>0</v>
      </c>
      <c r="Q3322">
        <f>IF(AND(NOT(ISBLANK(ReconciliationData[[#This Row],[Billed_Units]])),ReconciliationData[[#This Row],[ordered_units]]&lt;&gt;ReconciliationData[[#This Row],[Billed_Units]]),1,0)</f>
        <v>0</v>
      </c>
      <c r="R33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2">
        <f>IF(AND(NOT(ISBLANK(ReconciliationData[[#This Row],[Contract_Price]])),ReconciliationData[[#This Row],[Billed_Price]]&lt;&gt;ReconciliationData[[#This Row],[Contract_Price]]),1,0)</f>
        <v>0</v>
      </c>
      <c r="T3322">
        <f>IF(AND(NOT(ISBLANK(ReconciliationData[[#This Row],[End_Date]])),ReconciliationData[[#This Row],[Order_Date]]&gt;ReconciliationData[[#This Row],[End_Date]]),1,0)</f>
        <v>0</v>
      </c>
      <c r="U3322">
        <f>IF(AND(NOT(ISBLANK(ReconciliationData[[#This Row],[last_return_date]])),ReconciliationData[[#This Row],[last_return_date]]&gt;ReconciliationData[[#This Row],[Order_Date]]+60),1,0)</f>
        <v>1</v>
      </c>
      <c r="V3322">
        <f>IF(ReconciliationData[[#This Row],[total_returned_units]]&gt;ReconciliationData[[#This Row],[ordered_units]],1,0)</f>
        <v>0</v>
      </c>
      <c r="W33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22">
        <f>ReconciliationData[[#This Row],[Billed_Units]]*ReconciliationData[[#This Row],[Billed_Price]]</f>
        <v>55298.8128</v>
      </c>
      <c r="Y3322">
        <f>ReconciliationData[[#This Row],[ordered_units]]*ReconciliationData[[#This Row],[List_Price]]</f>
        <v>55298.8128</v>
      </c>
      <c r="Z3322">
        <f>ReconciliationData[[#This Row],[billed_revenue]]-ReconciliationData[[#This Row],[expected_revenue]]</f>
        <v>0</v>
      </c>
      <c r="AA33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322" t="str">
        <f>IF(ReconciliationData[[#This Row],[severity_score]]=0,"LOW",
 IF(ReconciliationData[[#This Row],[severity_score]]&lt;=5,"MEDIUM","HIGH"))</f>
        <v>MEDIUM</v>
      </c>
      <c r="AC3322" t="str">
        <f>TEXT(ReconciliationData[[#This Row],[Order_Date]],"YYYY-MM")</f>
        <v>2023-11</v>
      </c>
    </row>
    <row r="3323" spans="1:29">
      <c r="A3323" t="s">
        <v>7863</v>
      </c>
      <c r="B3323" s="1">
        <v>45296</v>
      </c>
      <c r="C3323" t="s">
        <v>623</v>
      </c>
      <c r="D3323" t="s">
        <v>674</v>
      </c>
      <c r="E3323">
        <v>112</v>
      </c>
      <c r="F3323" t="s">
        <v>7864</v>
      </c>
      <c r="G3323">
        <v>112</v>
      </c>
      <c r="H3323">
        <v>1061.7264</v>
      </c>
      <c r="N3323">
        <v>1061.7264</v>
      </c>
      <c r="O3323" s="1">
        <v>45180</v>
      </c>
      <c r="P3323">
        <f>IF(ISBLANK(ReconciliationData[[#This Row],[Invoice_ID]]),1,0)</f>
        <v>0</v>
      </c>
      <c r="Q3323">
        <f>IF(AND(NOT(ISBLANK(ReconciliationData[[#This Row],[Billed_Units]])),ReconciliationData[[#This Row],[ordered_units]]&lt;&gt;ReconciliationData[[#This Row],[Billed_Units]]),1,0)</f>
        <v>0</v>
      </c>
      <c r="R33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3">
        <f>IF(AND(NOT(ISBLANK(ReconciliationData[[#This Row],[Contract_Price]])),ReconciliationData[[#This Row],[Billed_Price]]&lt;&gt;ReconciliationData[[#This Row],[Contract_Price]]),1,0)</f>
        <v>0</v>
      </c>
      <c r="T3323">
        <f>IF(AND(NOT(ISBLANK(ReconciliationData[[#This Row],[End_Date]])),ReconciliationData[[#This Row],[Order_Date]]&gt;ReconciliationData[[#This Row],[End_Date]]),1,0)</f>
        <v>0</v>
      </c>
      <c r="U3323">
        <f>IF(AND(NOT(ISBLANK(ReconciliationData[[#This Row],[last_return_date]])),ReconciliationData[[#This Row],[last_return_date]]&gt;ReconciliationData[[#This Row],[Order_Date]]+60),1,0)</f>
        <v>0</v>
      </c>
      <c r="V3323">
        <f>IF(ReconciliationData[[#This Row],[total_returned_units]]&gt;ReconciliationData[[#This Row],[ordered_units]],1,0)</f>
        <v>0</v>
      </c>
      <c r="W33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23">
        <f>ReconciliationData[[#This Row],[Billed_Units]]*ReconciliationData[[#This Row],[Billed_Price]]</f>
        <v>118913.35680000001</v>
      </c>
      <c r="Y3323">
        <f>ReconciliationData[[#This Row],[ordered_units]]*ReconciliationData[[#This Row],[List_Price]]</f>
        <v>118913.35680000001</v>
      </c>
      <c r="Z3323">
        <f>ReconciliationData[[#This Row],[billed_revenue]]-ReconciliationData[[#This Row],[expected_revenue]]</f>
        <v>0</v>
      </c>
      <c r="AA33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23" t="str">
        <f>IF(ReconciliationData[[#This Row],[severity_score]]=0,"LOW",
 IF(ReconciliationData[[#This Row],[severity_score]]&lt;=5,"MEDIUM","HIGH"))</f>
        <v>LOW</v>
      </c>
      <c r="AC3323" t="str">
        <f>TEXT(ReconciliationData[[#This Row],[Order_Date]],"YYYY-MM")</f>
        <v>2024-01</v>
      </c>
    </row>
    <row r="3324" spans="1:29">
      <c r="A3324" t="s">
        <v>7865</v>
      </c>
      <c r="B3324" s="1">
        <v>45036</v>
      </c>
      <c r="C3324" t="s">
        <v>6953</v>
      </c>
      <c r="D3324" t="s">
        <v>445</v>
      </c>
      <c r="E3324">
        <v>189</v>
      </c>
      <c r="F3324" t="s">
        <v>7866</v>
      </c>
      <c r="G3324">
        <v>189</v>
      </c>
      <c r="H3324">
        <v>754.02560000000005</v>
      </c>
      <c r="N3324">
        <v>754.02560000000005</v>
      </c>
      <c r="O3324" s="1">
        <v>44949</v>
      </c>
      <c r="P3324">
        <f>IF(ISBLANK(ReconciliationData[[#This Row],[Invoice_ID]]),1,0)</f>
        <v>0</v>
      </c>
      <c r="Q3324">
        <f>IF(AND(NOT(ISBLANK(ReconciliationData[[#This Row],[Billed_Units]])),ReconciliationData[[#This Row],[ordered_units]]&lt;&gt;ReconciliationData[[#This Row],[Billed_Units]]),1,0)</f>
        <v>0</v>
      </c>
      <c r="R33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4">
        <f>IF(AND(NOT(ISBLANK(ReconciliationData[[#This Row],[Contract_Price]])),ReconciliationData[[#This Row],[Billed_Price]]&lt;&gt;ReconciliationData[[#This Row],[Contract_Price]]),1,0)</f>
        <v>0</v>
      </c>
      <c r="T3324">
        <f>IF(AND(NOT(ISBLANK(ReconciliationData[[#This Row],[End_Date]])),ReconciliationData[[#This Row],[Order_Date]]&gt;ReconciliationData[[#This Row],[End_Date]]),1,0)</f>
        <v>0</v>
      </c>
      <c r="U3324">
        <f>IF(AND(NOT(ISBLANK(ReconciliationData[[#This Row],[last_return_date]])),ReconciliationData[[#This Row],[last_return_date]]&gt;ReconciliationData[[#This Row],[Order_Date]]+60),1,0)</f>
        <v>0</v>
      </c>
      <c r="V3324">
        <f>IF(ReconciliationData[[#This Row],[total_returned_units]]&gt;ReconciliationData[[#This Row],[ordered_units]],1,0)</f>
        <v>0</v>
      </c>
      <c r="W33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24">
        <f>ReconciliationData[[#This Row],[Billed_Units]]*ReconciliationData[[#This Row],[Billed_Price]]</f>
        <v>142510.83840000001</v>
      </c>
      <c r="Y3324">
        <f>ReconciliationData[[#This Row],[ordered_units]]*ReconciliationData[[#This Row],[List_Price]]</f>
        <v>142510.83840000001</v>
      </c>
      <c r="Z3324">
        <f>ReconciliationData[[#This Row],[billed_revenue]]-ReconciliationData[[#This Row],[expected_revenue]]</f>
        <v>0</v>
      </c>
      <c r="AA33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24" t="str">
        <f>IF(ReconciliationData[[#This Row],[severity_score]]=0,"LOW",
 IF(ReconciliationData[[#This Row],[severity_score]]&lt;=5,"MEDIUM","HIGH"))</f>
        <v>LOW</v>
      </c>
      <c r="AC3324" t="str">
        <f>TEXT(ReconciliationData[[#This Row],[Order_Date]],"YYYY-MM")</f>
        <v>2023-04</v>
      </c>
    </row>
    <row r="3325" spans="1:29">
      <c r="A3325" t="s">
        <v>7867</v>
      </c>
      <c r="B3325" s="1">
        <v>45027</v>
      </c>
      <c r="C3325" t="s">
        <v>149</v>
      </c>
      <c r="D3325" t="s">
        <v>1495</v>
      </c>
      <c r="E3325">
        <v>163</v>
      </c>
      <c r="F3325" t="s">
        <v>7868</v>
      </c>
      <c r="G3325">
        <v>163</v>
      </c>
      <c r="H3325">
        <v>358.416</v>
      </c>
      <c r="N3325">
        <v>358.416</v>
      </c>
      <c r="O3325" s="1">
        <v>44824</v>
      </c>
      <c r="P3325">
        <f>IF(ISBLANK(ReconciliationData[[#This Row],[Invoice_ID]]),1,0)</f>
        <v>0</v>
      </c>
      <c r="Q3325">
        <f>IF(AND(NOT(ISBLANK(ReconciliationData[[#This Row],[Billed_Units]])),ReconciliationData[[#This Row],[ordered_units]]&lt;&gt;ReconciliationData[[#This Row],[Billed_Units]]),1,0)</f>
        <v>0</v>
      </c>
      <c r="R33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5">
        <f>IF(AND(NOT(ISBLANK(ReconciliationData[[#This Row],[Contract_Price]])),ReconciliationData[[#This Row],[Billed_Price]]&lt;&gt;ReconciliationData[[#This Row],[Contract_Price]]),1,0)</f>
        <v>0</v>
      </c>
      <c r="T3325">
        <f>IF(AND(NOT(ISBLANK(ReconciliationData[[#This Row],[End_Date]])),ReconciliationData[[#This Row],[Order_Date]]&gt;ReconciliationData[[#This Row],[End_Date]]),1,0)</f>
        <v>0</v>
      </c>
      <c r="U3325">
        <f>IF(AND(NOT(ISBLANK(ReconciliationData[[#This Row],[last_return_date]])),ReconciliationData[[#This Row],[last_return_date]]&gt;ReconciliationData[[#This Row],[Order_Date]]+60),1,0)</f>
        <v>0</v>
      </c>
      <c r="V3325">
        <f>IF(ReconciliationData[[#This Row],[total_returned_units]]&gt;ReconciliationData[[#This Row],[ordered_units]],1,0)</f>
        <v>0</v>
      </c>
      <c r="W33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25">
        <f>ReconciliationData[[#This Row],[Billed_Units]]*ReconciliationData[[#This Row],[Billed_Price]]</f>
        <v>58421.807999999997</v>
      </c>
      <c r="Y3325">
        <f>ReconciliationData[[#This Row],[ordered_units]]*ReconciliationData[[#This Row],[List_Price]]</f>
        <v>58421.807999999997</v>
      </c>
      <c r="Z3325">
        <f>ReconciliationData[[#This Row],[billed_revenue]]-ReconciliationData[[#This Row],[expected_revenue]]</f>
        <v>0</v>
      </c>
      <c r="AA33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25" t="str">
        <f>IF(ReconciliationData[[#This Row],[severity_score]]=0,"LOW",
 IF(ReconciliationData[[#This Row],[severity_score]]&lt;=5,"MEDIUM","HIGH"))</f>
        <v>LOW</v>
      </c>
      <c r="AC3325" t="str">
        <f>TEXT(ReconciliationData[[#This Row],[Order_Date]],"YYYY-MM")</f>
        <v>2023-04</v>
      </c>
    </row>
    <row r="3326" spans="1:29">
      <c r="A3326" t="s">
        <v>7869</v>
      </c>
      <c r="B3326" s="1">
        <v>44934</v>
      </c>
      <c r="C3326" t="s">
        <v>2412</v>
      </c>
      <c r="D3326" t="s">
        <v>674</v>
      </c>
      <c r="E3326">
        <v>165</v>
      </c>
      <c r="F3326" t="s">
        <v>7870</v>
      </c>
      <c r="G3326">
        <v>165</v>
      </c>
      <c r="H3326">
        <v>1032.2340000000002</v>
      </c>
      <c r="N3326">
        <v>1032.2340000000002</v>
      </c>
      <c r="O3326" s="1">
        <v>44798</v>
      </c>
      <c r="P3326">
        <f>IF(ISBLANK(ReconciliationData[[#This Row],[Invoice_ID]]),1,0)</f>
        <v>0</v>
      </c>
      <c r="Q3326">
        <f>IF(AND(NOT(ISBLANK(ReconciliationData[[#This Row],[Billed_Units]])),ReconciliationData[[#This Row],[ordered_units]]&lt;&gt;ReconciliationData[[#This Row],[Billed_Units]]),1,0)</f>
        <v>0</v>
      </c>
      <c r="R33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6">
        <f>IF(AND(NOT(ISBLANK(ReconciliationData[[#This Row],[Contract_Price]])),ReconciliationData[[#This Row],[Billed_Price]]&lt;&gt;ReconciliationData[[#This Row],[Contract_Price]]),1,0)</f>
        <v>0</v>
      </c>
      <c r="T3326">
        <f>IF(AND(NOT(ISBLANK(ReconciliationData[[#This Row],[End_Date]])),ReconciliationData[[#This Row],[Order_Date]]&gt;ReconciliationData[[#This Row],[End_Date]]),1,0)</f>
        <v>0</v>
      </c>
      <c r="U3326">
        <f>IF(AND(NOT(ISBLANK(ReconciliationData[[#This Row],[last_return_date]])),ReconciliationData[[#This Row],[last_return_date]]&gt;ReconciliationData[[#This Row],[Order_Date]]+60),1,0)</f>
        <v>0</v>
      </c>
      <c r="V3326">
        <f>IF(ReconciliationData[[#This Row],[total_returned_units]]&gt;ReconciliationData[[#This Row],[ordered_units]],1,0)</f>
        <v>0</v>
      </c>
      <c r="W33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26">
        <f>ReconciliationData[[#This Row],[Billed_Units]]*ReconciliationData[[#This Row],[Billed_Price]]</f>
        <v>170318.61000000002</v>
      </c>
      <c r="Y3326">
        <f>ReconciliationData[[#This Row],[ordered_units]]*ReconciliationData[[#This Row],[List_Price]]</f>
        <v>170318.61000000002</v>
      </c>
      <c r="Z3326">
        <f>ReconciliationData[[#This Row],[billed_revenue]]-ReconciliationData[[#This Row],[expected_revenue]]</f>
        <v>0</v>
      </c>
      <c r="AA33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26" t="str">
        <f>IF(ReconciliationData[[#This Row],[severity_score]]=0,"LOW",
 IF(ReconciliationData[[#This Row],[severity_score]]&lt;=5,"MEDIUM","HIGH"))</f>
        <v>LOW</v>
      </c>
      <c r="AC3326" t="str">
        <f>TEXT(ReconciliationData[[#This Row],[Order_Date]],"YYYY-MM")</f>
        <v>2023-01</v>
      </c>
    </row>
    <row r="3327" spans="1:29">
      <c r="A3327" t="s">
        <v>7871</v>
      </c>
      <c r="B3327" s="1">
        <v>45323</v>
      </c>
      <c r="C3327" t="s">
        <v>4710</v>
      </c>
      <c r="D3327" t="s">
        <v>1003</v>
      </c>
      <c r="E3327">
        <v>106</v>
      </c>
      <c r="F3327" t="s">
        <v>7872</v>
      </c>
      <c r="G3327">
        <v>106</v>
      </c>
      <c r="H3327">
        <v>825.13580000000002</v>
      </c>
      <c r="N3327">
        <v>825.13580000000002</v>
      </c>
      <c r="O3327" s="1">
        <v>44998</v>
      </c>
      <c r="P3327">
        <f>IF(ISBLANK(ReconciliationData[[#This Row],[Invoice_ID]]),1,0)</f>
        <v>0</v>
      </c>
      <c r="Q3327">
        <f>IF(AND(NOT(ISBLANK(ReconciliationData[[#This Row],[Billed_Units]])),ReconciliationData[[#This Row],[ordered_units]]&lt;&gt;ReconciliationData[[#This Row],[Billed_Units]]),1,0)</f>
        <v>0</v>
      </c>
      <c r="R33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7">
        <f>IF(AND(NOT(ISBLANK(ReconciliationData[[#This Row],[Contract_Price]])),ReconciliationData[[#This Row],[Billed_Price]]&lt;&gt;ReconciliationData[[#This Row],[Contract_Price]]),1,0)</f>
        <v>0</v>
      </c>
      <c r="T3327">
        <f>IF(AND(NOT(ISBLANK(ReconciliationData[[#This Row],[End_Date]])),ReconciliationData[[#This Row],[Order_Date]]&gt;ReconciliationData[[#This Row],[End_Date]]),1,0)</f>
        <v>0</v>
      </c>
      <c r="U3327">
        <f>IF(AND(NOT(ISBLANK(ReconciliationData[[#This Row],[last_return_date]])),ReconciliationData[[#This Row],[last_return_date]]&gt;ReconciliationData[[#This Row],[Order_Date]]+60),1,0)</f>
        <v>0</v>
      </c>
      <c r="V3327">
        <f>IF(ReconciliationData[[#This Row],[total_returned_units]]&gt;ReconciliationData[[#This Row],[ordered_units]],1,0)</f>
        <v>0</v>
      </c>
      <c r="W33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27">
        <f>ReconciliationData[[#This Row],[Billed_Units]]*ReconciliationData[[#This Row],[Billed_Price]]</f>
        <v>87464.394800000009</v>
      </c>
      <c r="Y3327">
        <f>ReconciliationData[[#This Row],[ordered_units]]*ReconciliationData[[#This Row],[List_Price]]</f>
        <v>87464.394800000009</v>
      </c>
      <c r="Z3327">
        <f>ReconciliationData[[#This Row],[billed_revenue]]-ReconciliationData[[#This Row],[expected_revenue]]</f>
        <v>0</v>
      </c>
      <c r="AA33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27" t="str">
        <f>IF(ReconciliationData[[#This Row],[severity_score]]=0,"LOW",
 IF(ReconciliationData[[#This Row],[severity_score]]&lt;=5,"MEDIUM","HIGH"))</f>
        <v>LOW</v>
      </c>
      <c r="AC3327" t="str">
        <f>TEXT(ReconciliationData[[#This Row],[Order_Date]],"YYYY-MM")</f>
        <v>2024-02</v>
      </c>
    </row>
    <row r="3328" spans="1:29">
      <c r="A3328" t="s">
        <v>7873</v>
      </c>
      <c r="B3328" s="1">
        <v>45175</v>
      </c>
      <c r="C3328" t="s">
        <v>4192</v>
      </c>
      <c r="D3328" t="s">
        <v>1037</v>
      </c>
      <c r="E3328">
        <v>93</v>
      </c>
      <c r="F3328" t="s">
        <v>7874</v>
      </c>
      <c r="G3328">
        <v>93</v>
      </c>
      <c r="H3328">
        <v>579.32940000000008</v>
      </c>
      <c r="N3328">
        <v>579.32940000000008</v>
      </c>
      <c r="O3328" s="1">
        <v>44909</v>
      </c>
      <c r="P3328">
        <f>IF(ISBLANK(ReconciliationData[[#This Row],[Invoice_ID]]),1,0)</f>
        <v>0</v>
      </c>
      <c r="Q3328">
        <f>IF(AND(NOT(ISBLANK(ReconciliationData[[#This Row],[Billed_Units]])),ReconciliationData[[#This Row],[ordered_units]]&lt;&gt;ReconciliationData[[#This Row],[Billed_Units]]),1,0)</f>
        <v>0</v>
      </c>
      <c r="R33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8">
        <f>IF(AND(NOT(ISBLANK(ReconciliationData[[#This Row],[Contract_Price]])),ReconciliationData[[#This Row],[Billed_Price]]&lt;&gt;ReconciliationData[[#This Row],[Contract_Price]]),1,0)</f>
        <v>0</v>
      </c>
      <c r="T3328">
        <f>IF(AND(NOT(ISBLANK(ReconciliationData[[#This Row],[End_Date]])),ReconciliationData[[#This Row],[Order_Date]]&gt;ReconciliationData[[#This Row],[End_Date]]),1,0)</f>
        <v>0</v>
      </c>
      <c r="U3328">
        <f>IF(AND(NOT(ISBLANK(ReconciliationData[[#This Row],[last_return_date]])),ReconciliationData[[#This Row],[last_return_date]]&gt;ReconciliationData[[#This Row],[Order_Date]]+60),1,0)</f>
        <v>0</v>
      </c>
      <c r="V3328">
        <f>IF(ReconciliationData[[#This Row],[total_returned_units]]&gt;ReconciliationData[[#This Row],[ordered_units]],1,0)</f>
        <v>0</v>
      </c>
      <c r="W33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28">
        <f>ReconciliationData[[#This Row],[Billed_Units]]*ReconciliationData[[#This Row],[Billed_Price]]</f>
        <v>53877.634200000008</v>
      </c>
      <c r="Y3328">
        <f>ReconciliationData[[#This Row],[ordered_units]]*ReconciliationData[[#This Row],[List_Price]]</f>
        <v>53877.634200000008</v>
      </c>
      <c r="Z3328">
        <f>ReconciliationData[[#This Row],[billed_revenue]]-ReconciliationData[[#This Row],[expected_revenue]]</f>
        <v>0</v>
      </c>
      <c r="AA33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28" t="str">
        <f>IF(ReconciliationData[[#This Row],[severity_score]]=0,"LOW",
 IF(ReconciliationData[[#This Row],[severity_score]]&lt;=5,"MEDIUM","HIGH"))</f>
        <v>LOW</v>
      </c>
      <c r="AC3328" t="str">
        <f>TEXT(ReconciliationData[[#This Row],[Order_Date]],"YYYY-MM")</f>
        <v>2023-09</v>
      </c>
    </row>
    <row r="3329" spans="1:29">
      <c r="A3329" t="s">
        <v>7875</v>
      </c>
      <c r="B3329" s="1">
        <v>45027</v>
      </c>
      <c r="C3329" t="s">
        <v>157</v>
      </c>
      <c r="D3329" t="s">
        <v>832</v>
      </c>
      <c r="E3329">
        <v>34</v>
      </c>
      <c r="F3329" t="s">
        <v>7876</v>
      </c>
      <c r="G3329">
        <v>34</v>
      </c>
      <c r="H3329">
        <v>327.61419999999998</v>
      </c>
      <c r="N3329">
        <v>327.61419999999998</v>
      </c>
      <c r="O3329" s="1">
        <v>45023</v>
      </c>
      <c r="P3329">
        <f>IF(ISBLANK(ReconciliationData[[#This Row],[Invoice_ID]]),1,0)</f>
        <v>0</v>
      </c>
      <c r="Q3329">
        <f>IF(AND(NOT(ISBLANK(ReconciliationData[[#This Row],[Billed_Units]])),ReconciliationData[[#This Row],[ordered_units]]&lt;&gt;ReconciliationData[[#This Row],[Billed_Units]]),1,0)</f>
        <v>0</v>
      </c>
      <c r="R33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29">
        <f>IF(AND(NOT(ISBLANK(ReconciliationData[[#This Row],[Contract_Price]])),ReconciliationData[[#This Row],[Billed_Price]]&lt;&gt;ReconciliationData[[#This Row],[Contract_Price]]),1,0)</f>
        <v>0</v>
      </c>
      <c r="T3329">
        <f>IF(AND(NOT(ISBLANK(ReconciliationData[[#This Row],[End_Date]])),ReconciliationData[[#This Row],[Order_Date]]&gt;ReconciliationData[[#This Row],[End_Date]]),1,0)</f>
        <v>0</v>
      </c>
      <c r="U3329">
        <f>IF(AND(NOT(ISBLANK(ReconciliationData[[#This Row],[last_return_date]])),ReconciliationData[[#This Row],[last_return_date]]&gt;ReconciliationData[[#This Row],[Order_Date]]+60),1,0)</f>
        <v>0</v>
      </c>
      <c r="V3329">
        <f>IF(ReconciliationData[[#This Row],[total_returned_units]]&gt;ReconciliationData[[#This Row],[ordered_units]],1,0)</f>
        <v>0</v>
      </c>
      <c r="W33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29">
        <f>ReconciliationData[[#This Row],[Billed_Units]]*ReconciliationData[[#This Row],[Billed_Price]]</f>
        <v>11138.882799999999</v>
      </c>
      <c r="Y3329">
        <f>ReconciliationData[[#This Row],[ordered_units]]*ReconciliationData[[#This Row],[List_Price]]</f>
        <v>11138.882799999999</v>
      </c>
      <c r="Z3329">
        <f>ReconciliationData[[#This Row],[billed_revenue]]-ReconciliationData[[#This Row],[expected_revenue]]</f>
        <v>0</v>
      </c>
      <c r="AA33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29" t="str">
        <f>IF(ReconciliationData[[#This Row],[severity_score]]=0,"LOW",
 IF(ReconciliationData[[#This Row],[severity_score]]&lt;=5,"MEDIUM","HIGH"))</f>
        <v>LOW</v>
      </c>
      <c r="AC3329" t="str">
        <f>TEXT(ReconciliationData[[#This Row],[Order_Date]],"YYYY-MM")</f>
        <v>2023-04</v>
      </c>
    </row>
    <row r="3330" spans="1:29">
      <c r="A3330" t="s">
        <v>7877</v>
      </c>
      <c r="B3330" s="1">
        <v>44973</v>
      </c>
      <c r="C3330" t="s">
        <v>803</v>
      </c>
      <c r="D3330" t="s">
        <v>235</v>
      </c>
      <c r="E3330">
        <v>104</v>
      </c>
      <c r="F3330" t="s">
        <v>7878</v>
      </c>
      <c r="G3330">
        <v>104</v>
      </c>
      <c r="H3330">
        <v>421.92750000000001</v>
      </c>
      <c r="N3330">
        <v>421.92750000000001</v>
      </c>
      <c r="O3330" s="1">
        <v>44969</v>
      </c>
      <c r="P3330">
        <f>IF(ISBLANK(ReconciliationData[[#This Row],[Invoice_ID]]),1,0)</f>
        <v>0</v>
      </c>
      <c r="Q3330">
        <f>IF(AND(NOT(ISBLANK(ReconciliationData[[#This Row],[Billed_Units]])),ReconciliationData[[#This Row],[ordered_units]]&lt;&gt;ReconciliationData[[#This Row],[Billed_Units]]),1,0)</f>
        <v>0</v>
      </c>
      <c r="R33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0">
        <f>IF(AND(NOT(ISBLANK(ReconciliationData[[#This Row],[Contract_Price]])),ReconciliationData[[#This Row],[Billed_Price]]&lt;&gt;ReconciliationData[[#This Row],[Contract_Price]]),1,0)</f>
        <v>0</v>
      </c>
      <c r="T3330">
        <f>IF(AND(NOT(ISBLANK(ReconciliationData[[#This Row],[End_Date]])),ReconciliationData[[#This Row],[Order_Date]]&gt;ReconciliationData[[#This Row],[End_Date]]),1,0)</f>
        <v>0</v>
      </c>
      <c r="U3330">
        <f>IF(AND(NOT(ISBLANK(ReconciliationData[[#This Row],[last_return_date]])),ReconciliationData[[#This Row],[last_return_date]]&gt;ReconciliationData[[#This Row],[Order_Date]]+60),1,0)</f>
        <v>0</v>
      </c>
      <c r="V3330">
        <f>IF(ReconciliationData[[#This Row],[total_returned_units]]&gt;ReconciliationData[[#This Row],[ordered_units]],1,0)</f>
        <v>0</v>
      </c>
      <c r="W33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30">
        <f>ReconciliationData[[#This Row],[Billed_Units]]*ReconciliationData[[#This Row],[Billed_Price]]</f>
        <v>43880.46</v>
      </c>
      <c r="Y3330">
        <f>ReconciliationData[[#This Row],[ordered_units]]*ReconciliationData[[#This Row],[List_Price]]</f>
        <v>43880.46</v>
      </c>
      <c r="Z3330">
        <f>ReconciliationData[[#This Row],[billed_revenue]]-ReconciliationData[[#This Row],[expected_revenue]]</f>
        <v>0</v>
      </c>
      <c r="AA33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30" t="str">
        <f>IF(ReconciliationData[[#This Row],[severity_score]]=0,"LOW",
 IF(ReconciliationData[[#This Row],[severity_score]]&lt;=5,"MEDIUM","HIGH"))</f>
        <v>LOW</v>
      </c>
      <c r="AC3330" t="str">
        <f>TEXT(ReconciliationData[[#This Row],[Order_Date]],"YYYY-MM")</f>
        <v>2023-02</v>
      </c>
    </row>
    <row r="3331" spans="1:29">
      <c r="A3331" t="s">
        <v>7879</v>
      </c>
      <c r="B3331" s="1">
        <v>45623</v>
      </c>
      <c r="C3331" t="s">
        <v>352</v>
      </c>
      <c r="D3331" t="s">
        <v>2444</v>
      </c>
      <c r="E3331">
        <v>79</v>
      </c>
      <c r="F3331" t="s">
        <v>7880</v>
      </c>
      <c r="G3331">
        <v>79</v>
      </c>
      <c r="H3331">
        <v>797.23339999999996</v>
      </c>
      <c r="N3331">
        <v>797.23339999999996</v>
      </c>
      <c r="O3331" s="1">
        <v>45085</v>
      </c>
      <c r="P3331">
        <f>IF(ISBLANK(ReconciliationData[[#This Row],[Invoice_ID]]),1,0)</f>
        <v>0</v>
      </c>
      <c r="Q3331">
        <f>IF(AND(NOT(ISBLANK(ReconciliationData[[#This Row],[Billed_Units]])),ReconciliationData[[#This Row],[ordered_units]]&lt;&gt;ReconciliationData[[#This Row],[Billed_Units]]),1,0)</f>
        <v>0</v>
      </c>
      <c r="R33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1">
        <f>IF(AND(NOT(ISBLANK(ReconciliationData[[#This Row],[Contract_Price]])),ReconciliationData[[#This Row],[Billed_Price]]&lt;&gt;ReconciliationData[[#This Row],[Contract_Price]]),1,0)</f>
        <v>0</v>
      </c>
      <c r="T3331">
        <f>IF(AND(NOT(ISBLANK(ReconciliationData[[#This Row],[End_Date]])),ReconciliationData[[#This Row],[Order_Date]]&gt;ReconciliationData[[#This Row],[End_Date]]),1,0)</f>
        <v>0</v>
      </c>
      <c r="U3331">
        <f>IF(AND(NOT(ISBLANK(ReconciliationData[[#This Row],[last_return_date]])),ReconciliationData[[#This Row],[last_return_date]]&gt;ReconciliationData[[#This Row],[Order_Date]]+60),1,0)</f>
        <v>0</v>
      </c>
      <c r="V3331">
        <f>IF(ReconciliationData[[#This Row],[total_returned_units]]&gt;ReconciliationData[[#This Row],[ordered_units]],1,0)</f>
        <v>0</v>
      </c>
      <c r="W33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31">
        <f>ReconciliationData[[#This Row],[Billed_Units]]*ReconciliationData[[#This Row],[Billed_Price]]</f>
        <v>62981.438599999994</v>
      </c>
      <c r="Y3331">
        <f>ReconciliationData[[#This Row],[ordered_units]]*ReconciliationData[[#This Row],[List_Price]]</f>
        <v>62981.438599999994</v>
      </c>
      <c r="Z3331">
        <f>ReconciliationData[[#This Row],[billed_revenue]]-ReconciliationData[[#This Row],[expected_revenue]]</f>
        <v>0</v>
      </c>
      <c r="AA33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31" t="str">
        <f>IF(ReconciliationData[[#This Row],[severity_score]]=0,"LOW",
 IF(ReconciliationData[[#This Row],[severity_score]]&lt;=5,"MEDIUM","HIGH"))</f>
        <v>LOW</v>
      </c>
      <c r="AC3331" t="str">
        <f>TEXT(ReconciliationData[[#This Row],[Order_Date]],"YYYY-MM")</f>
        <v>2024-11</v>
      </c>
    </row>
    <row r="3332" spans="1:29">
      <c r="A3332" t="s">
        <v>7881</v>
      </c>
      <c r="B3332" s="1">
        <v>45272</v>
      </c>
      <c r="C3332" t="s">
        <v>3443</v>
      </c>
      <c r="D3332" t="s">
        <v>1455</v>
      </c>
      <c r="E3332">
        <v>57</v>
      </c>
      <c r="F3332" t="s">
        <v>7882</v>
      </c>
      <c r="G3332">
        <v>57</v>
      </c>
      <c r="H3332">
        <v>556.99</v>
      </c>
      <c r="N3332">
        <v>556.99</v>
      </c>
      <c r="O3332" s="1">
        <v>45147</v>
      </c>
      <c r="P3332">
        <f>IF(ISBLANK(ReconciliationData[[#This Row],[Invoice_ID]]),1,0)</f>
        <v>0</v>
      </c>
      <c r="Q3332">
        <f>IF(AND(NOT(ISBLANK(ReconciliationData[[#This Row],[Billed_Units]])),ReconciliationData[[#This Row],[ordered_units]]&lt;&gt;ReconciliationData[[#This Row],[Billed_Units]]),1,0)</f>
        <v>0</v>
      </c>
      <c r="R33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2">
        <f>IF(AND(NOT(ISBLANK(ReconciliationData[[#This Row],[Contract_Price]])),ReconciliationData[[#This Row],[Billed_Price]]&lt;&gt;ReconciliationData[[#This Row],[Contract_Price]]),1,0)</f>
        <v>0</v>
      </c>
      <c r="T3332">
        <f>IF(AND(NOT(ISBLANK(ReconciliationData[[#This Row],[End_Date]])),ReconciliationData[[#This Row],[Order_Date]]&gt;ReconciliationData[[#This Row],[End_Date]]),1,0)</f>
        <v>0</v>
      </c>
      <c r="U3332">
        <f>IF(AND(NOT(ISBLANK(ReconciliationData[[#This Row],[last_return_date]])),ReconciliationData[[#This Row],[last_return_date]]&gt;ReconciliationData[[#This Row],[Order_Date]]+60),1,0)</f>
        <v>0</v>
      </c>
      <c r="V3332">
        <f>IF(ReconciliationData[[#This Row],[total_returned_units]]&gt;ReconciliationData[[#This Row],[ordered_units]],1,0)</f>
        <v>0</v>
      </c>
      <c r="W33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32">
        <f>ReconciliationData[[#This Row],[Billed_Units]]*ReconciliationData[[#This Row],[Billed_Price]]</f>
        <v>31748.43</v>
      </c>
      <c r="Y3332">
        <f>ReconciliationData[[#This Row],[ordered_units]]*ReconciliationData[[#This Row],[List_Price]]</f>
        <v>31748.43</v>
      </c>
      <c r="Z3332">
        <f>ReconciliationData[[#This Row],[billed_revenue]]-ReconciliationData[[#This Row],[expected_revenue]]</f>
        <v>0</v>
      </c>
      <c r="AA33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32" t="str">
        <f>IF(ReconciliationData[[#This Row],[severity_score]]=0,"LOW",
 IF(ReconciliationData[[#This Row],[severity_score]]&lt;=5,"MEDIUM","HIGH"))</f>
        <v>LOW</v>
      </c>
      <c r="AC3332" t="str">
        <f>TEXT(ReconciliationData[[#This Row],[Order_Date]],"YYYY-MM")</f>
        <v>2023-12</v>
      </c>
    </row>
    <row r="3333" spans="1:29">
      <c r="A3333" t="s">
        <v>7883</v>
      </c>
      <c r="B3333" s="1">
        <v>45085</v>
      </c>
      <c r="C3333" t="s">
        <v>2197</v>
      </c>
      <c r="D3333" t="s">
        <v>983</v>
      </c>
      <c r="E3333">
        <v>103</v>
      </c>
      <c r="F3333" t="s">
        <v>7884</v>
      </c>
      <c r="G3333">
        <v>103</v>
      </c>
      <c r="H3333">
        <v>249.2424</v>
      </c>
      <c r="N3333">
        <v>249.2424</v>
      </c>
      <c r="O3333" s="1">
        <v>45006</v>
      </c>
      <c r="P3333">
        <f>IF(ISBLANK(ReconciliationData[[#This Row],[Invoice_ID]]),1,0)</f>
        <v>0</v>
      </c>
      <c r="Q3333">
        <f>IF(AND(NOT(ISBLANK(ReconciliationData[[#This Row],[Billed_Units]])),ReconciliationData[[#This Row],[ordered_units]]&lt;&gt;ReconciliationData[[#This Row],[Billed_Units]]),1,0)</f>
        <v>0</v>
      </c>
      <c r="R33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3">
        <f>IF(AND(NOT(ISBLANK(ReconciliationData[[#This Row],[Contract_Price]])),ReconciliationData[[#This Row],[Billed_Price]]&lt;&gt;ReconciliationData[[#This Row],[Contract_Price]]),1,0)</f>
        <v>0</v>
      </c>
      <c r="T3333">
        <f>IF(AND(NOT(ISBLANK(ReconciliationData[[#This Row],[End_Date]])),ReconciliationData[[#This Row],[Order_Date]]&gt;ReconciliationData[[#This Row],[End_Date]]),1,0)</f>
        <v>0</v>
      </c>
      <c r="U3333">
        <f>IF(AND(NOT(ISBLANK(ReconciliationData[[#This Row],[last_return_date]])),ReconciliationData[[#This Row],[last_return_date]]&gt;ReconciliationData[[#This Row],[Order_Date]]+60),1,0)</f>
        <v>0</v>
      </c>
      <c r="V3333">
        <f>IF(ReconciliationData[[#This Row],[total_returned_units]]&gt;ReconciliationData[[#This Row],[ordered_units]],1,0)</f>
        <v>0</v>
      </c>
      <c r="W33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33">
        <f>ReconciliationData[[#This Row],[Billed_Units]]*ReconciliationData[[#This Row],[Billed_Price]]</f>
        <v>25671.967199999999</v>
      </c>
      <c r="Y3333">
        <f>ReconciliationData[[#This Row],[ordered_units]]*ReconciliationData[[#This Row],[List_Price]]</f>
        <v>25671.967199999999</v>
      </c>
      <c r="Z3333">
        <f>ReconciliationData[[#This Row],[billed_revenue]]-ReconciliationData[[#This Row],[expected_revenue]]</f>
        <v>0</v>
      </c>
      <c r="AA33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33" t="str">
        <f>IF(ReconciliationData[[#This Row],[severity_score]]=0,"LOW",
 IF(ReconciliationData[[#This Row],[severity_score]]&lt;=5,"MEDIUM","HIGH"))</f>
        <v>LOW</v>
      </c>
      <c r="AC3333" t="str">
        <f>TEXT(ReconciliationData[[#This Row],[Order_Date]],"YYYY-MM")</f>
        <v>2023-06</v>
      </c>
    </row>
    <row r="3334" spans="1:29">
      <c r="A3334" t="s">
        <v>7885</v>
      </c>
      <c r="B3334" s="1">
        <v>45532</v>
      </c>
      <c r="C3334" t="s">
        <v>205</v>
      </c>
      <c r="D3334" t="s">
        <v>828</v>
      </c>
      <c r="E3334">
        <v>154</v>
      </c>
      <c r="F3334" t="s">
        <v>7886</v>
      </c>
      <c r="G3334">
        <v>154</v>
      </c>
      <c r="H3334">
        <v>893.8972</v>
      </c>
      <c r="N3334">
        <v>893.8972</v>
      </c>
      <c r="O3334" s="1">
        <v>45049</v>
      </c>
      <c r="P3334">
        <f>IF(ISBLANK(ReconciliationData[[#This Row],[Invoice_ID]]),1,0)</f>
        <v>0</v>
      </c>
      <c r="Q3334">
        <f>IF(AND(NOT(ISBLANK(ReconciliationData[[#This Row],[Billed_Units]])),ReconciliationData[[#This Row],[ordered_units]]&lt;&gt;ReconciliationData[[#This Row],[Billed_Units]]),1,0)</f>
        <v>0</v>
      </c>
      <c r="R33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4">
        <f>IF(AND(NOT(ISBLANK(ReconciliationData[[#This Row],[Contract_Price]])),ReconciliationData[[#This Row],[Billed_Price]]&lt;&gt;ReconciliationData[[#This Row],[Contract_Price]]),1,0)</f>
        <v>0</v>
      </c>
      <c r="T3334">
        <f>IF(AND(NOT(ISBLANK(ReconciliationData[[#This Row],[End_Date]])),ReconciliationData[[#This Row],[Order_Date]]&gt;ReconciliationData[[#This Row],[End_Date]]),1,0)</f>
        <v>0</v>
      </c>
      <c r="U3334">
        <f>IF(AND(NOT(ISBLANK(ReconciliationData[[#This Row],[last_return_date]])),ReconciliationData[[#This Row],[last_return_date]]&gt;ReconciliationData[[#This Row],[Order_Date]]+60),1,0)</f>
        <v>0</v>
      </c>
      <c r="V3334">
        <f>IF(ReconciliationData[[#This Row],[total_returned_units]]&gt;ReconciliationData[[#This Row],[ordered_units]],1,0)</f>
        <v>0</v>
      </c>
      <c r="W33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34">
        <f>ReconciliationData[[#This Row],[Billed_Units]]*ReconciliationData[[#This Row],[Billed_Price]]</f>
        <v>137660.16880000001</v>
      </c>
      <c r="Y3334">
        <f>ReconciliationData[[#This Row],[ordered_units]]*ReconciliationData[[#This Row],[List_Price]]</f>
        <v>137660.16880000001</v>
      </c>
      <c r="Z3334">
        <f>ReconciliationData[[#This Row],[billed_revenue]]-ReconciliationData[[#This Row],[expected_revenue]]</f>
        <v>0</v>
      </c>
      <c r="AA33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34" t="str">
        <f>IF(ReconciliationData[[#This Row],[severity_score]]=0,"LOW",
 IF(ReconciliationData[[#This Row],[severity_score]]&lt;=5,"MEDIUM","HIGH"))</f>
        <v>LOW</v>
      </c>
      <c r="AC3334" t="str">
        <f>TEXT(ReconciliationData[[#This Row],[Order_Date]],"YYYY-MM")</f>
        <v>2024-08</v>
      </c>
    </row>
    <row r="3335" spans="1:29">
      <c r="A3335" t="s">
        <v>7887</v>
      </c>
      <c r="B3335" s="1">
        <v>44961</v>
      </c>
      <c r="C3335" t="s">
        <v>763</v>
      </c>
      <c r="D3335" t="s">
        <v>370</v>
      </c>
      <c r="E3335">
        <v>96</v>
      </c>
      <c r="F3335" t="s">
        <v>7888</v>
      </c>
      <c r="G3335">
        <v>96</v>
      </c>
      <c r="H3335">
        <v>639.91840000000002</v>
      </c>
      <c r="N3335">
        <v>639.91840000000002</v>
      </c>
      <c r="O3335" s="1">
        <v>44930</v>
      </c>
      <c r="P3335">
        <f>IF(ISBLANK(ReconciliationData[[#This Row],[Invoice_ID]]),1,0)</f>
        <v>0</v>
      </c>
      <c r="Q3335">
        <f>IF(AND(NOT(ISBLANK(ReconciliationData[[#This Row],[Billed_Units]])),ReconciliationData[[#This Row],[ordered_units]]&lt;&gt;ReconciliationData[[#This Row],[Billed_Units]]),1,0)</f>
        <v>0</v>
      </c>
      <c r="R33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5">
        <f>IF(AND(NOT(ISBLANK(ReconciliationData[[#This Row],[Contract_Price]])),ReconciliationData[[#This Row],[Billed_Price]]&lt;&gt;ReconciliationData[[#This Row],[Contract_Price]]),1,0)</f>
        <v>0</v>
      </c>
      <c r="T3335">
        <f>IF(AND(NOT(ISBLANK(ReconciliationData[[#This Row],[End_Date]])),ReconciliationData[[#This Row],[Order_Date]]&gt;ReconciliationData[[#This Row],[End_Date]]),1,0)</f>
        <v>0</v>
      </c>
      <c r="U3335">
        <f>IF(AND(NOT(ISBLANK(ReconciliationData[[#This Row],[last_return_date]])),ReconciliationData[[#This Row],[last_return_date]]&gt;ReconciliationData[[#This Row],[Order_Date]]+60),1,0)</f>
        <v>0</v>
      </c>
      <c r="V3335">
        <f>IF(ReconciliationData[[#This Row],[total_returned_units]]&gt;ReconciliationData[[#This Row],[ordered_units]],1,0)</f>
        <v>0</v>
      </c>
      <c r="W33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35">
        <f>ReconciliationData[[#This Row],[Billed_Units]]*ReconciliationData[[#This Row],[Billed_Price]]</f>
        <v>61432.166400000002</v>
      </c>
      <c r="Y3335">
        <f>ReconciliationData[[#This Row],[ordered_units]]*ReconciliationData[[#This Row],[List_Price]]</f>
        <v>61432.166400000002</v>
      </c>
      <c r="Z3335">
        <f>ReconciliationData[[#This Row],[billed_revenue]]-ReconciliationData[[#This Row],[expected_revenue]]</f>
        <v>0</v>
      </c>
      <c r="AA33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35" t="str">
        <f>IF(ReconciliationData[[#This Row],[severity_score]]=0,"LOW",
 IF(ReconciliationData[[#This Row],[severity_score]]&lt;=5,"MEDIUM","HIGH"))</f>
        <v>LOW</v>
      </c>
      <c r="AC3335" t="str">
        <f>TEXT(ReconciliationData[[#This Row],[Order_Date]],"YYYY-MM")</f>
        <v>2023-02</v>
      </c>
    </row>
    <row r="3336" spans="1:29">
      <c r="A3336" t="s">
        <v>7889</v>
      </c>
      <c r="B3336" s="1">
        <v>45048</v>
      </c>
      <c r="C3336" t="s">
        <v>5300</v>
      </c>
      <c r="D3336" t="s">
        <v>423</v>
      </c>
      <c r="E3336">
        <v>53</v>
      </c>
      <c r="F3336" t="s">
        <v>7890</v>
      </c>
      <c r="G3336">
        <v>53</v>
      </c>
      <c r="H3336">
        <v>168.12909999999999</v>
      </c>
      <c r="N3336">
        <v>168.12909999999999</v>
      </c>
      <c r="O3336" s="1">
        <v>45013</v>
      </c>
      <c r="P3336">
        <f>IF(ISBLANK(ReconciliationData[[#This Row],[Invoice_ID]]),1,0)</f>
        <v>0</v>
      </c>
      <c r="Q3336">
        <f>IF(AND(NOT(ISBLANK(ReconciliationData[[#This Row],[Billed_Units]])),ReconciliationData[[#This Row],[ordered_units]]&lt;&gt;ReconciliationData[[#This Row],[Billed_Units]]),1,0)</f>
        <v>0</v>
      </c>
      <c r="R33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6">
        <f>IF(AND(NOT(ISBLANK(ReconciliationData[[#This Row],[Contract_Price]])),ReconciliationData[[#This Row],[Billed_Price]]&lt;&gt;ReconciliationData[[#This Row],[Contract_Price]]),1,0)</f>
        <v>0</v>
      </c>
      <c r="T3336">
        <f>IF(AND(NOT(ISBLANK(ReconciliationData[[#This Row],[End_Date]])),ReconciliationData[[#This Row],[Order_Date]]&gt;ReconciliationData[[#This Row],[End_Date]]),1,0)</f>
        <v>0</v>
      </c>
      <c r="U3336">
        <f>IF(AND(NOT(ISBLANK(ReconciliationData[[#This Row],[last_return_date]])),ReconciliationData[[#This Row],[last_return_date]]&gt;ReconciliationData[[#This Row],[Order_Date]]+60),1,0)</f>
        <v>0</v>
      </c>
      <c r="V3336">
        <f>IF(ReconciliationData[[#This Row],[total_returned_units]]&gt;ReconciliationData[[#This Row],[ordered_units]],1,0)</f>
        <v>0</v>
      </c>
      <c r="W33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36">
        <f>ReconciliationData[[#This Row],[Billed_Units]]*ReconciliationData[[#This Row],[Billed_Price]]</f>
        <v>8910.8423000000003</v>
      </c>
      <c r="Y3336">
        <f>ReconciliationData[[#This Row],[ordered_units]]*ReconciliationData[[#This Row],[List_Price]]</f>
        <v>8910.8423000000003</v>
      </c>
      <c r="Z3336">
        <f>ReconciliationData[[#This Row],[billed_revenue]]-ReconciliationData[[#This Row],[expected_revenue]]</f>
        <v>0</v>
      </c>
      <c r="AA33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36" t="str">
        <f>IF(ReconciliationData[[#This Row],[severity_score]]=0,"LOW",
 IF(ReconciliationData[[#This Row],[severity_score]]&lt;=5,"MEDIUM","HIGH"))</f>
        <v>LOW</v>
      </c>
      <c r="AC3336" t="str">
        <f>TEXT(ReconciliationData[[#This Row],[Order_Date]],"YYYY-MM")</f>
        <v>2023-05</v>
      </c>
    </row>
    <row r="3337" spans="1:29">
      <c r="A3337" t="s">
        <v>7891</v>
      </c>
      <c r="B3337" s="1">
        <v>45255</v>
      </c>
      <c r="C3337" t="s">
        <v>1444</v>
      </c>
      <c r="D3337" t="s">
        <v>251</v>
      </c>
      <c r="E3337">
        <v>119</v>
      </c>
      <c r="F3337" t="s">
        <v>7892</v>
      </c>
      <c r="G3337">
        <v>119</v>
      </c>
      <c r="H3337">
        <v>957.65700000000015</v>
      </c>
      <c r="N3337">
        <v>957.65700000000015</v>
      </c>
      <c r="O3337" s="1">
        <v>45057</v>
      </c>
      <c r="P3337">
        <f>IF(ISBLANK(ReconciliationData[[#This Row],[Invoice_ID]]),1,0)</f>
        <v>0</v>
      </c>
      <c r="Q3337">
        <f>IF(AND(NOT(ISBLANK(ReconciliationData[[#This Row],[Billed_Units]])),ReconciliationData[[#This Row],[ordered_units]]&lt;&gt;ReconciliationData[[#This Row],[Billed_Units]]),1,0)</f>
        <v>0</v>
      </c>
      <c r="R33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7">
        <f>IF(AND(NOT(ISBLANK(ReconciliationData[[#This Row],[Contract_Price]])),ReconciliationData[[#This Row],[Billed_Price]]&lt;&gt;ReconciliationData[[#This Row],[Contract_Price]]),1,0)</f>
        <v>0</v>
      </c>
      <c r="T3337">
        <f>IF(AND(NOT(ISBLANK(ReconciliationData[[#This Row],[End_Date]])),ReconciliationData[[#This Row],[Order_Date]]&gt;ReconciliationData[[#This Row],[End_Date]]),1,0)</f>
        <v>0</v>
      </c>
      <c r="U3337">
        <f>IF(AND(NOT(ISBLANK(ReconciliationData[[#This Row],[last_return_date]])),ReconciliationData[[#This Row],[last_return_date]]&gt;ReconciliationData[[#This Row],[Order_Date]]+60),1,0)</f>
        <v>0</v>
      </c>
      <c r="V3337">
        <f>IF(ReconciliationData[[#This Row],[total_returned_units]]&gt;ReconciliationData[[#This Row],[ordered_units]],1,0)</f>
        <v>0</v>
      </c>
      <c r="W33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37">
        <f>ReconciliationData[[#This Row],[Billed_Units]]*ReconciliationData[[#This Row],[Billed_Price]]</f>
        <v>113961.18300000002</v>
      </c>
      <c r="Y3337">
        <f>ReconciliationData[[#This Row],[ordered_units]]*ReconciliationData[[#This Row],[List_Price]]</f>
        <v>113961.18300000002</v>
      </c>
      <c r="Z3337">
        <f>ReconciliationData[[#This Row],[billed_revenue]]-ReconciliationData[[#This Row],[expected_revenue]]</f>
        <v>0</v>
      </c>
      <c r="AA33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37" t="str">
        <f>IF(ReconciliationData[[#This Row],[severity_score]]=0,"LOW",
 IF(ReconciliationData[[#This Row],[severity_score]]&lt;=5,"MEDIUM","HIGH"))</f>
        <v>LOW</v>
      </c>
      <c r="AC3337" t="str">
        <f>TEXT(ReconciliationData[[#This Row],[Order_Date]],"YYYY-MM")</f>
        <v>2023-11</v>
      </c>
    </row>
    <row r="3338" spans="1:29">
      <c r="A3338" t="s">
        <v>7893</v>
      </c>
      <c r="B3338" s="1">
        <v>45610</v>
      </c>
      <c r="C3338" t="s">
        <v>6545</v>
      </c>
      <c r="D3338" t="s">
        <v>134</v>
      </c>
      <c r="E3338">
        <v>183</v>
      </c>
      <c r="F3338" t="s">
        <v>7894</v>
      </c>
      <c r="G3338">
        <v>183</v>
      </c>
      <c r="H3338">
        <v>446.4905</v>
      </c>
      <c r="N3338">
        <v>446.4905</v>
      </c>
      <c r="O3338" s="1">
        <v>45161</v>
      </c>
      <c r="P3338">
        <f>IF(ISBLANK(ReconciliationData[[#This Row],[Invoice_ID]]),1,0)</f>
        <v>0</v>
      </c>
      <c r="Q3338">
        <f>IF(AND(NOT(ISBLANK(ReconciliationData[[#This Row],[Billed_Units]])),ReconciliationData[[#This Row],[ordered_units]]&lt;&gt;ReconciliationData[[#This Row],[Billed_Units]]),1,0)</f>
        <v>0</v>
      </c>
      <c r="R33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8">
        <f>IF(AND(NOT(ISBLANK(ReconciliationData[[#This Row],[Contract_Price]])),ReconciliationData[[#This Row],[Billed_Price]]&lt;&gt;ReconciliationData[[#This Row],[Contract_Price]]),1,0)</f>
        <v>0</v>
      </c>
      <c r="T3338">
        <f>IF(AND(NOT(ISBLANK(ReconciliationData[[#This Row],[End_Date]])),ReconciliationData[[#This Row],[Order_Date]]&gt;ReconciliationData[[#This Row],[End_Date]]),1,0)</f>
        <v>0</v>
      </c>
      <c r="U3338">
        <f>IF(AND(NOT(ISBLANK(ReconciliationData[[#This Row],[last_return_date]])),ReconciliationData[[#This Row],[last_return_date]]&gt;ReconciliationData[[#This Row],[Order_Date]]+60),1,0)</f>
        <v>0</v>
      </c>
      <c r="V3338">
        <f>IF(ReconciliationData[[#This Row],[total_returned_units]]&gt;ReconciliationData[[#This Row],[ordered_units]],1,0)</f>
        <v>0</v>
      </c>
      <c r="W33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38">
        <f>ReconciliationData[[#This Row],[Billed_Units]]*ReconciliationData[[#This Row],[Billed_Price]]</f>
        <v>81707.761499999993</v>
      </c>
      <c r="Y3338">
        <f>ReconciliationData[[#This Row],[ordered_units]]*ReconciliationData[[#This Row],[List_Price]]</f>
        <v>81707.761499999993</v>
      </c>
      <c r="Z3338">
        <f>ReconciliationData[[#This Row],[billed_revenue]]-ReconciliationData[[#This Row],[expected_revenue]]</f>
        <v>0</v>
      </c>
      <c r="AA33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38" t="str">
        <f>IF(ReconciliationData[[#This Row],[severity_score]]=0,"LOW",
 IF(ReconciliationData[[#This Row],[severity_score]]&lt;=5,"MEDIUM","HIGH"))</f>
        <v>LOW</v>
      </c>
      <c r="AC3338" t="str">
        <f>TEXT(ReconciliationData[[#This Row],[Order_Date]],"YYYY-MM")</f>
        <v>2024-11</v>
      </c>
    </row>
    <row r="3339" spans="1:29">
      <c r="A3339" t="s">
        <v>7895</v>
      </c>
      <c r="B3339" s="1">
        <v>45040</v>
      </c>
      <c r="C3339" t="s">
        <v>3073</v>
      </c>
      <c r="D3339" t="s">
        <v>718</v>
      </c>
      <c r="E3339">
        <v>120</v>
      </c>
      <c r="F3339" t="s">
        <v>7896</v>
      </c>
      <c r="G3339">
        <v>120</v>
      </c>
      <c r="H3339">
        <v>287.14</v>
      </c>
      <c r="I3339">
        <v>15</v>
      </c>
      <c r="J3339" s="1">
        <v>45289</v>
      </c>
      <c r="N3339">
        <v>287.14</v>
      </c>
      <c r="O3339" s="1">
        <v>44977</v>
      </c>
      <c r="P3339">
        <f>IF(ISBLANK(ReconciliationData[[#This Row],[Invoice_ID]]),1,0)</f>
        <v>0</v>
      </c>
      <c r="Q3339">
        <f>IF(AND(NOT(ISBLANK(ReconciliationData[[#This Row],[Billed_Units]])),ReconciliationData[[#This Row],[ordered_units]]&lt;&gt;ReconciliationData[[#This Row],[Billed_Units]]),1,0)</f>
        <v>0</v>
      </c>
      <c r="R33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39">
        <f>IF(AND(NOT(ISBLANK(ReconciliationData[[#This Row],[Contract_Price]])),ReconciliationData[[#This Row],[Billed_Price]]&lt;&gt;ReconciliationData[[#This Row],[Contract_Price]]),1,0)</f>
        <v>0</v>
      </c>
      <c r="T3339">
        <f>IF(AND(NOT(ISBLANK(ReconciliationData[[#This Row],[End_Date]])),ReconciliationData[[#This Row],[Order_Date]]&gt;ReconciliationData[[#This Row],[End_Date]]),1,0)</f>
        <v>0</v>
      </c>
      <c r="U3339">
        <f>IF(AND(NOT(ISBLANK(ReconciliationData[[#This Row],[last_return_date]])),ReconciliationData[[#This Row],[last_return_date]]&gt;ReconciliationData[[#This Row],[Order_Date]]+60),1,0)</f>
        <v>1</v>
      </c>
      <c r="V3339">
        <f>IF(ReconciliationData[[#This Row],[total_returned_units]]&gt;ReconciliationData[[#This Row],[ordered_units]],1,0)</f>
        <v>0</v>
      </c>
      <c r="W33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39">
        <f>ReconciliationData[[#This Row],[Billed_Units]]*ReconciliationData[[#This Row],[Billed_Price]]</f>
        <v>34456.799999999996</v>
      </c>
      <c r="Y3339">
        <f>ReconciliationData[[#This Row],[ordered_units]]*ReconciliationData[[#This Row],[List_Price]]</f>
        <v>34456.799999999996</v>
      </c>
      <c r="Z3339">
        <f>ReconciliationData[[#This Row],[billed_revenue]]-ReconciliationData[[#This Row],[expected_revenue]]</f>
        <v>0</v>
      </c>
      <c r="AA33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339" t="str">
        <f>IF(ReconciliationData[[#This Row],[severity_score]]=0,"LOW",
 IF(ReconciliationData[[#This Row],[severity_score]]&lt;=5,"MEDIUM","HIGH"))</f>
        <v>MEDIUM</v>
      </c>
      <c r="AC3339" t="str">
        <f>TEXT(ReconciliationData[[#This Row],[Order_Date]],"YYYY-MM")</f>
        <v>2023-04</v>
      </c>
    </row>
    <row r="3340" spans="1:29">
      <c r="A3340" t="s">
        <v>7897</v>
      </c>
      <c r="B3340" s="1">
        <v>45416</v>
      </c>
      <c r="C3340" t="s">
        <v>324</v>
      </c>
      <c r="D3340" t="s">
        <v>2568</v>
      </c>
      <c r="E3340">
        <v>78</v>
      </c>
      <c r="F3340" t="s">
        <v>7898</v>
      </c>
      <c r="G3340">
        <v>78</v>
      </c>
      <c r="H3340">
        <v>461.00940000000003</v>
      </c>
      <c r="N3340">
        <v>461.00940000000003</v>
      </c>
      <c r="O3340" s="1">
        <v>45036</v>
      </c>
      <c r="P3340">
        <f>IF(ISBLANK(ReconciliationData[[#This Row],[Invoice_ID]]),1,0)</f>
        <v>0</v>
      </c>
      <c r="Q3340">
        <f>IF(AND(NOT(ISBLANK(ReconciliationData[[#This Row],[Billed_Units]])),ReconciliationData[[#This Row],[ordered_units]]&lt;&gt;ReconciliationData[[#This Row],[Billed_Units]]),1,0)</f>
        <v>0</v>
      </c>
      <c r="R33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40">
        <f>IF(AND(NOT(ISBLANK(ReconciliationData[[#This Row],[Contract_Price]])),ReconciliationData[[#This Row],[Billed_Price]]&lt;&gt;ReconciliationData[[#This Row],[Contract_Price]]),1,0)</f>
        <v>0</v>
      </c>
      <c r="T3340">
        <f>IF(AND(NOT(ISBLANK(ReconciliationData[[#This Row],[End_Date]])),ReconciliationData[[#This Row],[Order_Date]]&gt;ReconciliationData[[#This Row],[End_Date]]),1,0)</f>
        <v>0</v>
      </c>
      <c r="U3340">
        <f>IF(AND(NOT(ISBLANK(ReconciliationData[[#This Row],[last_return_date]])),ReconciliationData[[#This Row],[last_return_date]]&gt;ReconciliationData[[#This Row],[Order_Date]]+60),1,0)</f>
        <v>0</v>
      </c>
      <c r="V3340">
        <f>IF(ReconciliationData[[#This Row],[total_returned_units]]&gt;ReconciliationData[[#This Row],[ordered_units]],1,0)</f>
        <v>0</v>
      </c>
      <c r="W33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40">
        <f>ReconciliationData[[#This Row],[Billed_Units]]*ReconciliationData[[#This Row],[Billed_Price]]</f>
        <v>35958.733200000002</v>
      </c>
      <c r="Y3340">
        <f>ReconciliationData[[#This Row],[ordered_units]]*ReconciliationData[[#This Row],[List_Price]]</f>
        <v>35958.733200000002</v>
      </c>
      <c r="Z3340">
        <f>ReconciliationData[[#This Row],[billed_revenue]]-ReconciliationData[[#This Row],[expected_revenue]]</f>
        <v>0</v>
      </c>
      <c r="AA33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40" t="str">
        <f>IF(ReconciliationData[[#This Row],[severity_score]]=0,"LOW",
 IF(ReconciliationData[[#This Row],[severity_score]]&lt;=5,"MEDIUM","HIGH"))</f>
        <v>LOW</v>
      </c>
      <c r="AC3340" t="str">
        <f>TEXT(ReconciliationData[[#This Row],[Order_Date]],"YYYY-MM")</f>
        <v>2024-05</v>
      </c>
    </row>
    <row r="3341" spans="1:29">
      <c r="A3341" t="s">
        <v>7899</v>
      </c>
      <c r="B3341" s="1">
        <v>45624</v>
      </c>
      <c r="C3341" t="s">
        <v>215</v>
      </c>
      <c r="D3341" t="s">
        <v>1794</v>
      </c>
      <c r="E3341">
        <v>172</v>
      </c>
      <c r="F3341" t="s">
        <v>7900</v>
      </c>
      <c r="G3341">
        <v>172</v>
      </c>
      <c r="H3341">
        <v>491.71135873745158</v>
      </c>
      <c r="I3341">
        <v>1</v>
      </c>
      <c r="J3341" s="1">
        <v>45626</v>
      </c>
      <c r="N3341">
        <v>491.10239999999999</v>
      </c>
      <c r="O3341" s="1">
        <v>45187</v>
      </c>
      <c r="P3341">
        <f>IF(ISBLANK(ReconciliationData[[#This Row],[Invoice_ID]]),1,0)</f>
        <v>0</v>
      </c>
      <c r="Q3341">
        <f>IF(AND(NOT(ISBLANK(ReconciliationData[[#This Row],[Billed_Units]])),ReconciliationData[[#This Row],[ordered_units]]&lt;&gt;ReconciliationData[[#This Row],[Billed_Units]]),1,0)</f>
        <v>0</v>
      </c>
      <c r="R3341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341">
        <f>IF(AND(NOT(ISBLANK(ReconciliationData[[#This Row],[Contract_Price]])),ReconciliationData[[#This Row],[Billed_Price]]&lt;&gt;ReconciliationData[[#This Row],[Contract_Price]]),1,0)</f>
        <v>0</v>
      </c>
      <c r="T3341">
        <f>IF(AND(NOT(ISBLANK(ReconciliationData[[#This Row],[End_Date]])),ReconciliationData[[#This Row],[Order_Date]]&gt;ReconciliationData[[#This Row],[End_Date]]),1,0)</f>
        <v>0</v>
      </c>
      <c r="U3341">
        <f>IF(AND(NOT(ISBLANK(ReconciliationData[[#This Row],[last_return_date]])),ReconciliationData[[#This Row],[last_return_date]]&gt;ReconciliationData[[#This Row],[Order_Date]]+60),1,0)</f>
        <v>0</v>
      </c>
      <c r="V3341">
        <f>IF(ReconciliationData[[#This Row],[total_returned_units]]&gt;ReconciliationData[[#This Row],[ordered_units]],1,0)</f>
        <v>0</v>
      </c>
      <c r="W33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41">
        <f>ReconciliationData[[#This Row],[Billed_Units]]*ReconciliationData[[#This Row],[Billed_Price]]</f>
        <v>84574.353702841676</v>
      </c>
      <c r="Y3341">
        <f>ReconciliationData[[#This Row],[ordered_units]]*ReconciliationData[[#This Row],[List_Price]]</f>
        <v>84469.612800000003</v>
      </c>
      <c r="Z3341">
        <f>ReconciliationData[[#This Row],[billed_revenue]]-ReconciliationData[[#This Row],[expected_revenue]]</f>
        <v>104.74090284167323</v>
      </c>
      <c r="AA33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341" t="str">
        <f>IF(ReconciliationData[[#This Row],[severity_score]]=0,"LOW",
 IF(ReconciliationData[[#This Row],[severity_score]]&lt;=5,"MEDIUM","HIGH"))</f>
        <v>MEDIUM</v>
      </c>
      <c r="AC3341" t="str">
        <f>TEXT(ReconciliationData[[#This Row],[Order_Date]],"YYYY-MM")</f>
        <v>2024-11</v>
      </c>
    </row>
    <row r="3342" spans="1:29">
      <c r="A3342" t="s">
        <v>7901</v>
      </c>
      <c r="B3342" s="1">
        <v>44975</v>
      </c>
      <c r="C3342" t="s">
        <v>1634</v>
      </c>
      <c r="D3342" t="s">
        <v>577</v>
      </c>
      <c r="E3342">
        <v>170</v>
      </c>
      <c r="F3342" t="s">
        <v>7902</v>
      </c>
      <c r="G3342">
        <v>170</v>
      </c>
      <c r="H3342">
        <v>1158.7071999999998</v>
      </c>
      <c r="N3342">
        <v>1158.7071999999998</v>
      </c>
      <c r="O3342" s="1">
        <v>44887</v>
      </c>
      <c r="P3342">
        <f>IF(ISBLANK(ReconciliationData[[#This Row],[Invoice_ID]]),1,0)</f>
        <v>0</v>
      </c>
      <c r="Q3342">
        <f>IF(AND(NOT(ISBLANK(ReconciliationData[[#This Row],[Billed_Units]])),ReconciliationData[[#This Row],[ordered_units]]&lt;&gt;ReconciliationData[[#This Row],[Billed_Units]]),1,0)</f>
        <v>0</v>
      </c>
      <c r="R33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42">
        <f>IF(AND(NOT(ISBLANK(ReconciliationData[[#This Row],[Contract_Price]])),ReconciliationData[[#This Row],[Billed_Price]]&lt;&gt;ReconciliationData[[#This Row],[Contract_Price]]),1,0)</f>
        <v>0</v>
      </c>
      <c r="T3342">
        <f>IF(AND(NOT(ISBLANK(ReconciliationData[[#This Row],[End_Date]])),ReconciliationData[[#This Row],[Order_Date]]&gt;ReconciliationData[[#This Row],[End_Date]]),1,0)</f>
        <v>0</v>
      </c>
      <c r="U3342">
        <f>IF(AND(NOT(ISBLANK(ReconciliationData[[#This Row],[last_return_date]])),ReconciliationData[[#This Row],[last_return_date]]&gt;ReconciliationData[[#This Row],[Order_Date]]+60),1,0)</f>
        <v>0</v>
      </c>
      <c r="V3342">
        <f>IF(ReconciliationData[[#This Row],[total_returned_units]]&gt;ReconciliationData[[#This Row],[ordered_units]],1,0)</f>
        <v>0</v>
      </c>
      <c r="W33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42">
        <f>ReconciliationData[[#This Row],[Billed_Units]]*ReconciliationData[[#This Row],[Billed_Price]]</f>
        <v>196980.22399999996</v>
      </c>
      <c r="Y3342">
        <f>ReconciliationData[[#This Row],[ordered_units]]*ReconciliationData[[#This Row],[List_Price]]</f>
        <v>196980.22399999996</v>
      </c>
      <c r="Z3342">
        <f>ReconciliationData[[#This Row],[billed_revenue]]-ReconciliationData[[#This Row],[expected_revenue]]</f>
        <v>0</v>
      </c>
      <c r="AA33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42" t="str">
        <f>IF(ReconciliationData[[#This Row],[severity_score]]=0,"LOW",
 IF(ReconciliationData[[#This Row],[severity_score]]&lt;=5,"MEDIUM","HIGH"))</f>
        <v>LOW</v>
      </c>
      <c r="AC3342" t="str">
        <f>TEXT(ReconciliationData[[#This Row],[Order_Date]],"YYYY-MM")</f>
        <v>2023-02</v>
      </c>
    </row>
    <row r="3343" spans="1:29">
      <c r="A3343" t="s">
        <v>7903</v>
      </c>
      <c r="B3343" s="1">
        <v>45104</v>
      </c>
      <c r="C3343" t="s">
        <v>2678</v>
      </c>
      <c r="D3343" t="s">
        <v>1411</v>
      </c>
      <c r="E3343">
        <v>66</v>
      </c>
      <c r="F3343" t="s">
        <v>7904</v>
      </c>
      <c r="G3343">
        <v>66</v>
      </c>
      <c r="H3343">
        <v>1167.9120000000005</v>
      </c>
      <c r="I3343">
        <v>6</v>
      </c>
      <c r="J3343" s="1">
        <v>45086</v>
      </c>
      <c r="N3343">
        <v>1167.9120000000005</v>
      </c>
      <c r="O3343" s="1">
        <v>45019</v>
      </c>
      <c r="P3343">
        <f>IF(ISBLANK(ReconciliationData[[#This Row],[Invoice_ID]]),1,0)</f>
        <v>0</v>
      </c>
      <c r="Q3343">
        <f>IF(AND(NOT(ISBLANK(ReconciliationData[[#This Row],[Billed_Units]])),ReconciliationData[[#This Row],[ordered_units]]&lt;&gt;ReconciliationData[[#This Row],[Billed_Units]]),1,0)</f>
        <v>0</v>
      </c>
      <c r="R33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43">
        <f>IF(AND(NOT(ISBLANK(ReconciliationData[[#This Row],[Contract_Price]])),ReconciliationData[[#This Row],[Billed_Price]]&lt;&gt;ReconciliationData[[#This Row],[Contract_Price]]),1,0)</f>
        <v>0</v>
      </c>
      <c r="T3343">
        <f>IF(AND(NOT(ISBLANK(ReconciliationData[[#This Row],[End_Date]])),ReconciliationData[[#This Row],[Order_Date]]&gt;ReconciliationData[[#This Row],[End_Date]]),1,0)</f>
        <v>0</v>
      </c>
      <c r="U3343">
        <f>IF(AND(NOT(ISBLANK(ReconciliationData[[#This Row],[last_return_date]])),ReconciliationData[[#This Row],[last_return_date]]&gt;ReconciliationData[[#This Row],[Order_Date]]+60),1,0)</f>
        <v>0</v>
      </c>
      <c r="V3343">
        <f>IF(ReconciliationData[[#This Row],[total_returned_units]]&gt;ReconciliationData[[#This Row],[ordered_units]],1,0)</f>
        <v>0</v>
      </c>
      <c r="W33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43">
        <f>ReconciliationData[[#This Row],[Billed_Units]]*ReconciliationData[[#This Row],[Billed_Price]]</f>
        <v>77082.192000000039</v>
      </c>
      <c r="Y3343">
        <f>ReconciliationData[[#This Row],[ordered_units]]*ReconciliationData[[#This Row],[List_Price]]</f>
        <v>77082.192000000039</v>
      </c>
      <c r="Z3343">
        <f>ReconciliationData[[#This Row],[billed_revenue]]-ReconciliationData[[#This Row],[expected_revenue]]</f>
        <v>0</v>
      </c>
      <c r="AA33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43" t="str">
        <f>IF(ReconciliationData[[#This Row],[severity_score]]=0,"LOW",
 IF(ReconciliationData[[#This Row],[severity_score]]&lt;=5,"MEDIUM","HIGH"))</f>
        <v>LOW</v>
      </c>
      <c r="AC3343" t="str">
        <f>TEXT(ReconciliationData[[#This Row],[Order_Date]],"YYYY-MM")</f>
        <v>2023-06</v>
      </c>
    </row>
    <row r="3344" spans="1:29">
      <c r="A3344" t="s">
        <v>7905</v>
      </c>
      <c r="B3344" s="1">
        <v>45372</v>
      </c>
      <c r="C3344" t="s">
        <v>683</v>
      </c>
      <c r="D3344" t="s">
        <v>667</v>
      </c>
      <c r="E3344">
        <v>43</v>
      </c>
      <c r="F3344" t="s">
        <v>7906</v>
      </c>
      <c r="G3344">
        <v>43</v>
      </c>
      <c r="H3344">
        <v>989.96579999999994</v>
      </c>
      <c r="N3344">
        <v>989.96579999999994</v>
      </c>
      <c r="O3344" s="1">
        <v>44975</v>
      </c>
      <c r="P3344">
        <f>IF(ISBLANK(ReconciliationData[[#This Row],[Invoice_ID]]),1,0)</f>
        <v>0</v>
      </c>
      <c r="Q3344">
        <f>IF(AND(NOT(ISBLANK(ReconciliationData[[#This Row],[Billed_Units]])),ReconciliationData[[#This Row],[ordered_units]]&lt;&gt;ReconciliationData[[#This Row],[Billed_Units]]),1,0)</f>
        <v>0</v>
      </c>
      <c r="R33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44">
        <f>IF(AND(NOT(ISBLANK(ReconciliationData[[#This Row],[Contract_Price]])),ReconciliationData[[#This Row],[Billed_Price]]&lt;&gt;ReconciliationData[[#This Row],[Contract_Price]]),1,0)</f>
        <v>0</v>
      </c>
      <c r="T3344">
        <f>IF(AND(NOT(ISBLANK(ReconciliationData[[#This Row],[End_Date]])),ReconciliationData[[#This Row],[Order_Date]]&gt;ReconciliationData[[#This Row],[End_Date]]),1,0)</f>
        <v>0</v>
      </c>
      <c r="U3344">
        <f>IF(AND(NOT(ISBLANK(ReconciliationData[[#This Row],[last_return_date]])),ReconciliationData[[#This Row],[last_return_date]]&gt;ReconciliationData[[#This Row],[Order_Date]]+60),1,0)</f>
        <v>0</v>
      </c>
      <c r="V3344">
        <f>IF(ReconciliationData[[#This Row],[total_returned_units]]&gt;ReconciliationData[[#This Row],[ordered_units]],1,0)</f>
        <v>0</v>
      </c>
      <c r="W33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44">
        <f>ReconciliationData[[#This Row],[Billed_Units]]*ReconciliationData[[#This Row],[Billed_Price]]</f>
        <v>42568.529399999999</v>
      </c>
      <c r="Y3344">
        <f>ReconciliationData[[#This Row],[ordered_units]]*ReconciliationData[[#This Row],[List_Price]]</f>
        <v>42568.529399999999</v>
      </c>
      <c r="Z3344">
        <f>ReconciliationData[[#This Row],[billed_revenue]]-ReconciliationData[[#This Row],[expected_revenue]]</f>
        <v>0</v>
      </c>
      <c r="AA33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44" t="str">
        <f>IF(ReconciliationData[[#This Row],[severity_score]]=0,"LOW",
 IF(ReconciliationData[[#This Row],[severity_score]]&lt;=5,"MEDIUM","HIGH"))</f>
        <v>LOW</v>
      </c>
      <c r="AC3344" t="str">
        <f>TEXT(ReconciliationData[[#This Row],[Order_Date]],"YYYY-MM")</f>
        <v>2024-03</v>
      </c>
    </row>
    <row r="3345" spans="1:29">
      <c r="A3345" t="s">
        <v>7907</v>
      </c>
      <c r="B3345" s="1">
        <v>45200</v>
      </c>
      <c r="C3345" t="s">
        <v>7908</v>
      </c>
      <c r="D3345" t="s">
        <v>628</v>
      </c>
      <c r="E3345">
        <v>72</v>
      </c>
      <c r="F3345" t="s">
        <v>7909</v>
      </c>
      <c r="G3345">
        <v>72</v>
      </c>
      <c r="H3345">
        <v>322.71780000000001</v>
      </c>
      <c r="N3345">
        <v>322.71780000000001</v>
      </c>
      <c r="O3345" s="1">
        <v>45169</v>
      </c>
      <c r="P3345">
        <f>IF(ISBLANK(ReconciliationData[[#This Row],[Invoice_ID]]),1,0)</f>
        <v>0</v>
      </c>
      <c r="Q3345">
        <f>IF(AND(NOT(ISBLANK(ReconciliationData[[#This Row],[Billed_Units]])),ReconciliationData[[#This Row],[ordered_units]]&lt;&gt;ReconciliationData[[#This Row],[Billed_Units]]),1,0)</f>
        <v>0</v>
      </c>
      <c r="R33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45">
        <f>IF(AND(NOT(ISBLANK(ReconciliationData[[#This Row],[Contract_Price]])),ReconciliationData[[#This Row],[Billed_Price]]&lt;&gt;ReconciliationData[[#This Row],[Contract_Price]]),1,0)</f>
        <v>0</v>
      </c>
      <c r="T3345">
        <f>IF(AND(NOT(ISBLANK(ReconciliationData[[#This Row],[End_Date]])),ReconciliationData[[#This Row],[Order_Date]]&gt;ReconciliationData[[#This Row],[End_Date]]),1,0)</f>
        <v>0</v>
      </c>
      <c r="U3345">
        <f>IF(AND(NOT(ISBLANK(ReconciliationData[[#This Row],[last_return_date]])),ReconciliationData[[#This Row],[last_return_date]]&gt;ReconciliationData[[#This Row],[Order_Date]]+60),1,0)</f>
        <v>0</v>
      </c>
      <c r="V3345">
        <f>IF(ReconciliationData[[#This Row],[total_returned_units]]&gt;ReconciliationData[[#This Row],[ordered_units]],1,0)</f>
        <v>0</v>
      </c>
      <c r="W33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45">
        <f>ReconciliationData[[#This Row],[Billed_Units]]*ReconciliationData[[#This Row],[Billed_Price]]</f>
        <v>23235.6816</v>
      </c>
      <c r="Y3345">
        <f>ReconciliationData[[#This Row],[ordered_units]]*ReconciliationData[[#This Row],[List_Price]]</f>
        <v>23235.6816</v>
      </c>
      <c r="Z3345">
        <f>ReconciliationData[[#This Row],[billed_revenue]]-ReconciliationData[[#This Row],[expected_revenue]]</f>
        <v>0</v>
      </c>
      <c r="AA33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45" t="str">
        <f>IF(ReconciliationData[[#This Row],[severity_score]]=0,"LOW",
 IF(ReconciliationData[[#This Row],[severity_score]]&lt;=5,"MEDIUM","HIGH"))</f>
        <v>LOW</v>
      </c>
      <c r="AC3345" t="str">
        <f>TEXT(ReconciliationData[[#This Row],[Order_Date]],"YYYY-MM")</f>
        <v>2023-10</v>
      </c>
    </row>
    <row r="3346" spans="1:29">
      <c r="A3346" t="s">
        <v>7910</v>
      </c>
      <c r="B3346" s="1">
        <v>45003</v>
      </c>
      <c r="C3346" t="s">
        <v>717</v>
      </c>
      <c r="D3346" t="s">
        <v>500</v>
      </c>
      <c r="E3346">
        <v>96</v>
      </c>
      <c r="F3346" t="s">
        <v>7911</v>
      </c>
      <c r="G3346">
        <v>96</v>
      </c>
      <c r="H3346">
        <v>1086.3648000000001</v>
      </c>
      <c r="N3346">
        <v>1086.3648000000001</v>
      </c>
      <c r="O3346" s="1">
        <v>44940</v>
      </c>
      <c r="P3346">
        <f>IF(ISBLANK(ReconciliationData[[#This Row],[Invoice_ID]]),1,0)</f>
        <v>0</v>
      </c>
      <c r="Q3346">
        <f>IF(AND(NOT(ISBLANK(ReconciliationData[[#This Row],[Billed_Units]])),ReconciliationData[[#This Row],[ordered_units]]&lt;&gt;ReconciliationData[[#This Row],[Billed_Units]]),1,0)</f>
        <v>0</v>
      </c>
      <c r="R33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46">
        <f>IF(AND(NOT(ISBLANK(ReconciliationData[[#This Row],[Contract_Price]])),ReconciliationData[[#This Row],[Billed_Price]]&lt;&gt;ReconciliationData[[#This Row],[Contract_Price]]),1,0)</f>
        <v>0</v>
      </c>
      <c r="T3346">
        <f>IF(AND(NOT(ISBLANK(ReconciliationData[[#This Row],[End_Date]])),ReconciliationData[[#This Row],[Order_Date]]&gt;ReconciliationData[[#This Row],[End_Date]]),1,0)</f>
        <v>0</v>
      </c>
      <c r="U3346">
        <f>IF(AND(NOT(ISBLANK(ReconciliationData[[#This Row],[last_return_date]])),ReconciliationData[[#This Row],[last_return_date]]&gt;ReconciliationData[[#This Row],[Order_Date]]+60),1,0)</f>
        <v>0</v>
      </c>
      <c r="V3346">
        <f>IF(ReconciliationData[[#This Row],[total_returned_units]]&gt;ReconciliationData[[#This Row],[ordered_units]],1,0)</f>
        <v>0</v>
      </c>
      <c r="W33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46">
        <f>ReconciliationData[[#This Row],[Billed_Units]]*ReconciliationData[[#This Row],[Billed_Price]]</f>
        <v>104291.0208</v>
      </c>
      <c r="Y3346">
        <f>ReconciliationData[[#This Row],[ordered_units]]*ReconciliationData[[#This Row],[List_Price]]</f>
        <v>104291.0208</v>
      </c>
      <c r="Z3346">
        <f>ReconciliationData[[#This Row],[billed_revenue]]-ReconciliationData[[#This Row],[expected_revenue]]</f>
        <v>0</v>
      </c>
      <c r="AA33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46" t="str">
        <f>IF(ReconciliationData[[#This Row],[severity_score]]=0,"LOW",
 IF(ReconciliationData[[#This Row],[severity_score]]&lt;=5,"MEDIUM","HIGH"))</f>
        <v>LOW</v>
      </c>
      <c r="AC3346" t="str">
        <f>TEXT(ReconciliationData[[#This Row],[Order_Date]],"YYYY-MM")</f>
        <v>2023-03</v>
      </c>
    </row>
    <row r="3347" spans="1:29">
      <c r="A3347" t="s">
        <v>7912</v>
      </c>
      <c r="B3347" s="1">
        <v>45575</v>
      </c>
      <c r="C3347" t="s">
        <v>666</v>
      </c>
      <c r="D3347" t="s">
        <v>560</v>
      </c>
      <c r="E3347">
        <v>86</v>
      </c>
      <c r="F3347" t="s">
        <v>7913</v>
      </c>
      <c r="G3347">
        <v>86</v>
      </c>
      <c r="H3347">
        <v>1119.6587000000002</v>
      </c>
      <c r="N3347">
        <v>1119.6587000000002</v>
      </c>
      <c r="O3347" s="1">
        <v>45147</v>
      </c>
      <c r="P3347">
        <f>IF(ISBLANK(ReconciliationData[[#This Row],[Invoice_ID]]),1,0)</f>
        <v>0</v>
      </c>
      <c r="Q3347">
        <f>IF(AND(NOT(ISBLANK(ReconciliationData[[#This Row],[Billed_Units]])),ReconciliationData[[#This Row],[ordered_units]]&lt;&gt;ReconciliationData[[#This Row],[Billed_Units]]),1,0)</f>
        <v>0</v>
      </c>
      <c r="R33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47">
        <f>IF(AND(NOT(ISBLANK(ReconciliationData[[#This Row],[Contract_Price]])),ReconciliationData[[#This Row],[Billed_Price]]&lt;&gt;ReconciliationData[[#This Row],[Contract_Price]]),1,0)</f>
        <v>0</v>
      </c>
      <c r="T3347">
        <f>IF(AND(NOT(ISBLANK(ReconciliationData[[#This Row],[End_Date]])),ReconciliationData[[#This Row],[Order_Date]]&gt;ReconciliationData[[#This Row],[End_Date]]),1,0)</f>
        <v>0</v>
      </c>
      <c r="U3347">
        <f>IF(AND(NOT(ISBLANK(ReconciliationData[[#This Row],[last_return_date]])),ReconciliationData[[#This Row],[last_return_date]]&gt;ReconciliationData[[#This Row],[Order_Date]]+60),1,0)</f>
        <v>0</v>
      </c>
      <c r="V3347">
        <f>IF(ReconciliationData[[#This Row],[total_returned_units]]&gt;ReconciliationData[[#This Row],[ordered_units]],1,0)</f>
        <v>0</v>
      </c>
      <c r="W33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47">
        <f>ReconciliationData[[#This Row],[Billed_Units]]*ReconciliationData[[#This Row],[Billed_Price]]</f>
        <v>96290.648200000011</v>
      </c>
      <c r="Y3347">
        <f>ReconciliationData[[#This Row],[ordered_units]]*ReconciliationData[[#This Row],[List_Price]]</f>
        <v>96290.648200000011</v>
      </c>
      <c r="Z3347">
        <f>ReconciliationData[[#This Row],[billed_revenue]]-ReconciliationData[[#This Row],[expected_revenue]]</f>
        <v>0</v>
      </c>
      <c r="AA33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47" t="str">
        <f>IF(ReconciliationData[[#This Row],[severity_score]]=0,"LOW",
 IF(ReconciliationData[[#This Row],[severity_score]]&lt;=5,"MEDIUM","HIGH"))</f>
        <v>LOW</v>
      </c>
      <c r="AC3347" t="str">
        <f>TEXT(ReconciliationData[[#This Row],[Order_Date]],"YYYY-MM")</f>
        <v>2024-10</v>
      </c>
    </row>
    <row r="3348" spans="1:29">
      <c r="A3348" t="s">
        <v>7914</v>
      </c>
      <c r="B3348" s="1">
        <v>45278</v>
      </c>
      <c r="C3348" t="s">
        <v>2608</v>
      </c>
      <c r="D3348" t="s">
        <v>445</v>
      </c>
      <c r="E3348">
        <v>14</v>
      </c>
      <c r="F3348" t="s">
        <v>7915</v>
      </c>
      <c r="G3348">
        <v>14</v>
      </c>
      <c r="H3348">
        <v>791.35360000000003</v>
      </c>
      <c r="N3348">
        <v>791.35360000000003</v>
      </c>
      <c r="O3348" s="1">
        <v>45097</v>
      </c>
      <c r="P3348">
        <f>IF(ISBLANK(ReconciliationData[[#This Row],[Invoice_ID]]),1,0)</f>
        <v>0</v>
      </c>
      <c r="Q3348">
        <f>IF(AND(NOT(ISBLANK(ReconciliationData[[#This Row],[Billed_Units]])),ReconciliationData[[#This Row],[ordered_units]]&lt;&gt;ReconciliationData[[#This Row],[Billed_Units]]),1,0)</f>
        <v>0</v>
      </c>
      <c r="R33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48">
        <f>IF(AND(NOT(ISBLANK(ReconciliationData[[#This Row],[Contract_Price]])),ReconciliationData[[#This Row],[Billed_Price]]&lt;&gt;ReconciliationData[[#This Row],[Contract_Price]]),1,0)</f>
        <v>0</v>
      </c>
      <c r="T3348">
        <f>IF(AND(NOT(ISBLANK(ReconciliationData[[#This Row],[End_Date]])),ReconciliationData[[#This Row],[Order_Date]]&gt;ReconciliationData[[#This Row],[End_Date]]),1,0)</f>
        <v>0</v>
      </c>
      <c r="U3348">
        <f>IF(AND(NOT(ISBLANK(ReconciliationData[[#This Row],[last_return_date]])),ReconciliationData[[#This Row],[last_return_date]]&gt;ReconciliationData[[#This Row],[Order_Date]]+60),1,0)</f>
        <v>0</v>
      </c>
      <c r="V3348">
        <f>IF(ReconciliationData[[#This Row],[total_returned_units]]&gt;ReconciliationData[[#This Row],[ordered_units]],1,0)</f>
        <v>0</v>
      </c>
      <c r="W33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48">
        <f>ReconciliationData[[#This Row],[Billed_Units]]*ReconciliationData[[#This Row],[Billed_Price]]</f>
        <v>11078.9504</v>
      </c>
      <c r="Y3348">
        <f>ReconciliationData[[#This Row],[ordered_units]]*ReconciliationData[[#This Row],[List_Price]]</f>
        <v>11078.9504</v>
      </c>
      <c r="Z3348">
        <f>ReconciliationData[[#This Row],[billed_revenue]]-ReconciliationData[[#This Row],[expected_revenue]]</f>
        <v>0</v>
      </c>
      <c r="AA33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48" t="str">
        <f>IF(ReconciliationData[[#This Row],[severity_score]]=0,"LOW",
 IF(ReconciliationData[[#This Row],[severity_score]]&lt;=5,"MEDIUM","HIGH"))</f>
        <v>LOW</v>
      </c>
      <c r="AC3348" t="str">
        <f>TEXT(ReconciliationData[[#This Row],[Order_Date]],"YYYY-MM")</f>
        <v>2023-12</v>
      </c>
    </row>
    <row r="3349" spans="1:29">
      <c r="A3349" t="s">
        <v>7916</v>
      </c>
      <c r="B3349" s="1">
        <v>44975</v>
      </c>
      <c r="C3349" t="s">
        <v>1168</v>
      </c>
      <c r="D3349" t="s">
        <v>944</v>
      </c>
      <c r="E3349">
        <v>199</v>
      </c>
      <c r="F3349" t="s">
        <v>7917</v>
      </c>
      <c r="G3349">
        <v>199</v>
      </c>
      <c r="H3349">
        <v>1016.7027</v>
      </c>
      <c r="N3349">
        <v>1016.7027</v>
      </c>
      <c r="O3349" s="1">
        <v>44955</v>
      </c>
      <c r="P3349">
        <f>IF(ISBLANK(ReconciliationData[[#This Row],[Invoice_ID]]),1,0)</f>
        <v>0</v>
      </c>
      <c r="Q3349">
        <f>IF(AND(NOT(ISBLANK(ReconciliationData[[#This Row],[Billed_Units]])),ReconciliationData[[#This Row],[ordered_units]]&lt;&gt;ReconciliationData[[#This Row],[Billed_Units]]),1,0)</f>
        <v>0</v>
      </c>
      <c r="R33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49">
        <f>IF(AND(NOT(ISBLANK(ReconciliationData[[#This Row],[Contract_Price]])),ReconciliationData[[#This Row],[Billed_Price]]&lt;&gt;ReconciliationData[[#This Row],[Contract_Price]]),1,0)</f>
        <v>0</v>
      </c>
      <c r="T3349">
        <f>IF(AND(NOT(ISBLANK(ReconciliationData[[#This Row],[End_Date]])),ReconciliationData[[#This Row],[Order_Date]]&gt;ReconciliationData[[#This Row],[End_Date]]),1,0)</f>
        <v>0</v>
      </c>
      <c r="U3349">
        <f>IF(AND(NOT(ISBLANK(ReconciliationData[[#This Row],[last_return_date]])),ReconciliationData[[#This Row],[last_return_date]]&gt;ReconciliationData[[#This Row],[Order_Date]]+60),1,0)</f>
        <v>0</v>
      </c>
      <c r="V3349">
        <f>IF(ReconciliationData[[#This Row],[total_returned_units]]&gt;ReconciliationData[[#This Row],[ordered_units]],1,0)</f>
        <v>0</v>
      </c>
      <c r="W33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49">
        <f>ReconciliationData[[#This Row],[Billed_Units]]*ReconciliationData[[#This Row],[Billed_Price]]</f>
        <v>202323.83730000001</v>
      </c>
      <c r="Y3349">
        <f>ReconciliationData[[#This Row],[ordered_units]]*ReconciliationData[[#This Row],[List_Price]]</f>
        <v>202323.83730000001</v>
      </c>
      <c r="Z3349">
        <f>ReconciliationData[[#This Row],[billed_revenue]]-ReconciliationData[[#This Row],[expected_revenue]]</f>
        <v>0</v>
      </c>
      <c r="AA33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49" t="str">
        <f>IF(ReconciliationData[[#This Row],[severity_score]]=0,"LOW",
 IF(ReconciliationData[[#This Row],[severity_score]]&lt;=5,"MEDIUM","HIGH"))</f>
        <v>LOW</v>
      </c>
      <c r="AC3349" t="str">
        <f>TEXT(ReconciliationData[[#This Row],[Order_Date]],"YYYY-MM")</f>
        <v>2023-02</v>
      </c>
    </row>
    <row r="3350" spans="1:29">
      <c r="A3350" t="s">
        <v>7918</v>
      </c>
      <c r="B3350" s="1">
        <v>45381</v>
      </c>
      <c r="C3350" t="s">
        <v>1505</v>
      </c>
      <c r="D3350" t="s">
        <v>738</v>
      </c>
      <c r="E3350">
        <v>110</v>
      </c>
      <c r="F3350" t="s">
        <v>7919</v>
      </c>
      <c r="G3350">
        <v>110</v>
      </c>
      <c r="H3350">
        <v>664.8768</v>
      </c>
      <c r="N3350">
        <v>664.8768</v>
      </c>
      <c r="O3350" s="1">
        <v>45116</v>
      </c>
      <c r="P3350">
        <f>IF(ISBLANK(ReconciliationData[[#This Row],[Invoice_ID]]),1,0)</f>
        <v>0</v>
      </c>
      <c r="Q3350">
        <f>IF(AND(NOT(ISBLANK(ReconciliationData[[#This Row],[Billed_Units]])),ReconciliationData[[#This Row],[ordered_units]]&lt;&gt;ReconciliationData[[#This Row],[Billed_Units]]),1,0)</f>
        <v>0</v>
      </c>
      <c r="R33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0">
        <f>IF(AND(NOT(ISBLANK(ReconciliationData[[#This Row],[Contract_Price]])),ReconciliationData[[#This Row],[Billed_Price]]&lt;&gt;ReconciliationData[[#This Row],[Contract_Price]]),1,0)</f>
        <v>0</v>
      </c>
      <c r="T3350">
        <f>IF(AND(NOT(ISBLANK(ReconciliationData[[#This Row],[End_Date]])),ReconciliationData[[#This Row],[Order_Date]]&gt;ReconciliationData[[#This Row],[End_Date]]),1,0)</f>
        <v>0</v>
      </c>
      <c r="U3350">
        <f>IF(AND(NOT(ISBLANK(ReconciliationData[[#This Row],[last_return_date]])),ReconciliationData[[#This Row],[last_return_date]]&gt;ReconciliationData[[#This Row],[Order_Date]]+60),1,0)</f>
        <v>0</v>
      </c>
      <c r="V3350">
        <f>IF(ReconciliationData[[#This Row],[total_returned_units]]&gt;ReconciliationData[[#This Row],[ordered_units]],1,0)</f>
        <v>0</v>
      </c>
      <c r="W33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50">
        <f>ReconciliationData[[#This Row],[Billed_Units]]*ReconciliationData[[#This Row],[Billed_Price]]</f>
        <v>73136.448000000004</v>
      </c>
      <c r="Y3350">
        <f>ReconciliationData[[#This Row],[ordered_units]]*ReconciliationData[[#This Row],[List_Price]]</f>
        <v>73136.448000000004</v>
      </c>
      <c r="Z3350">
        <f>ReconciliationData[[#This Row],[billed_revenue]]-ReconciliationData[[#This Row],[expected_revenue]]</f>
        <v>0</v>
      </c>
      <c r="AA33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50" t="str">
        <f>IF(ReconciliationData[[#This Row],[severity_score]]=0,"LOW",
 IF(ReconciliationData[[#This Row],[severity_score]]&lt;=5,"MEDIUM","HIGH"))</f>
        <v>LOW</v>
      </c>
      <c r="AC3350" t="str">
        <f>TEXT(ReconciliationData[[#This Row],[Order_Date]],"YYYY-MM")</f>
        <v>2024-03</v>
      </c>
    </row>
    <row r="3351" spans="1:29">
      <c r="A3351" t="s">
        <v>7920</v>
      </c>
      <c r="B3351" s="1">
        <v>45034</v>
      </c>
      <c r="C3351" t="s">
        <v>1391</v>
      </c>
      <c r="D3351" t="s">
        <v>1105</v>
      </c>
      <c r="E3351">
        <v>45</v>
      </c>
      <c r="F3351" t="s">
        <v>7921</v>
      </c>
      <c r="G3351">
        <v>45</v>
      </c>
      <c r="H3351">
        <v>860.25239999999997</v>
      </c>
      <c r="I3351">
        <v>12</v>
      </c>
      <c r="J3351" s="1">
        <v>45205</v>
      </c>
      <c r="N3351">
        <v>860.25239999999997</v>
      </c>
      <c r="O3351" s="1">
        <v>44774</v>
      </c>
      <c r="P3351">
        <f>IF(ISBLANK(ReconciliationData[[#This Row],[Invoice_ID]]),1,0)</f>
        <v>0</v>
      </c>
      <c r="Q3351">
        <f>IF(AND(NOT(ISBLANK(ReconciliationData[[#This Row],[Billed_Units]])),ReconciliationData[[#This Row],[ordered_units]]&lt;&gt;ReconciliationData[[#This Row],[Billed_Units]]),1,0)</f>
        <v>0</v>
      </c>
      <c r="R33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1">
        <f>IF(AND(NOT(ISBLANK(ReconciliationData[[#This Row],[Contract_Price]])),ReconciliationData[[#This Row],[Billed_Price]]&lt;&gt;ReconciliationData[[#This Row],[Contract_Price]]),1,0)</f>
        <v>0</v>
      </c>
      <c r="T3351">
        <f>IF(AND(NOT(ISBLANK(ReconciliationData[[#This Row],[End_Date]])),ReconciliationData[[#This Row],[Order_Date]]&gt;ReconciliationData[[#This Row],[End_Date]]),1,0)</f>
        <v>0</v>
      </c>
      <c r="U3351">
        <f>IF(AND(NOT(ISBLANK(ReconciliationData[[#This Row],[last_return_date]])),ReconciliationData[[#This Row],[last_return_date]]&gt;ReconciliationData[[#This Row],[Order_Date]]+60),1,0)</f>
        <v>1</v>
      </c>
      <c r="V3351">
        <f>IF(ReconciliationData[[#This Row],[total_returned_units]]&gt;ReconciliationData[[#This Row],[ordered_units]],1,0)</f>
        <v>0</v>
      </c>
      <c r="W33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51">
        <f>ReconciliationData[[#This Row],[Billed_Units]]*ReconciliationData[[#This Row],[Billed_Price]]</f>
        <v>38711.358</v>
      </c>
      <c r="Y3351">
        <f>ReconciliationData[[#This Row],[ordered_units]]*ReconciliationData[[#This Row],[List_Price]]</f>
        <v>38711.358</v>
      </c>
      <c r="Z3351">
        <f>ReconciliationData[[#This Row],[billed_revenue]]-ReconciliationData[[#This Row],[expected_revenue]]</f>
        <v>0</v>
      </c>
      <c r="AA33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351" t="str">
        <f>IF(ReconciliationData[[#This Row],[severity_score]]=0,"LOW",
 IF(ReconciliationData[[#This Row],[severity_score]]&lt;=5,"MEDIUM","HIGH"))</f>
        <v>MEDIUM</v>
      </c>
      <c r="AC3351" t="str">
        <f>TEXT(ReconciliationData[[#This Row],[Order_Date]],"YYYY-MM")</f>
        <v>2023-04</v>
      </c>
    </row>
    <row r="3352" spans="1:29">
      <c r="A3352" t="s">
        <v>7922</v>
      </c>
      <c r="B3352" s="1">
        <v>45193</v>
      </c>
      <c r="C3352" t="s">
        <v>222</v>
      </c>
      <c r="D3352" t="s">
        <v>577</v>
      </c>
      <c r="E3352">
        <v>15</v>
      </c>
      <c r="F3352" t="s">
        <v>7923</v>
      </c>
      <c r="G3352">
        <v>15</v>
      </c>
      <c r="H3352">
        <v>1093.1199999999999</v>
      </c>
      <c r="N3352">
        <v>1093.1199999999999</v>
      </c>
      <c r="O3352" s="1">
        <v>45035</v>
      </c>
      <c r="P3352">
        <f>IF(ISBLANK(ReconciliationData[[#This Row],[Invoice_ID]]),1,0)</f>
        <v>0</v>
      </c>
      <c r="Q3352">
        <f>IF(AND(NOT(ISBLANK(ReconciliationData[[#This Row],[Billed_Units]])),ReconciliationData[[#This Row],[ordered_units]]&lt;&gt;ReconciliationData[[#This Row],[Billed_Units]]),1,0)</f>
        <v>0</v>
      </c>
      <c r="R33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2">
        <f>IF(AND(NOT(ISBLANK(ReconciliationData[[#This Row],[Contract_Price]])),ReconciliationData[[#This Row],[Billed_Price]]&lt;&gt;ReconciliationData[[#This Row],[Contract_Price]]),1,0)</f>
        <v>0</v>
      </c>
      <c r="T3352">
        <f>IF(AND(NOT(ISBLANK(ReconciliationData[[#This Row],[End_Date]])),ReconciliationData[[#This Row],[Order_Date]]&gt;ReconciliationData[[#This Row],[End_Date]]),1,0)</f>
        <v>0</v>
      </c>
      <c r="U3352">
        <f>IF(AND(NOT(ISBLANK(ReconciliationData[[#This Row],[last_return_date]])),ReconciliationData[[#This Row],[last_return_date]]&gt;ReconciliationData[[#This Row],[Order_Date]]+60),1,0)</f>
        <v>0</v>
      </c>
      <c r="V3352">
        <f>IF(ReconciliationData[[#This Row],[total_returned_units]]&gt;ReconciliationData[[#This Row],[ordered_units]],1,0)</f>
        <v>0</v>
      </c>
      <c r="W33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52">
        <f>ReconciliationData[[#This Row],[Billed_Units]]*ReconciliationData[[#This Row],[Billed_Price]]</f>
        <v>16396.8</v>
      </c>
      <c r="Y3352">
        <f>ReconciliationData[[#This Row],[ordered_units]]*ReconciliationData[[#This Row],[List_Price]]</f>
        <v>16396.8</v>
      </c>
      <c r="Z3352">
        <f>ReconciliationData[[#This Row],[billed_revenue]]-ReconciliationData[[#This Row],[expected_revenue]]</f>
        <v>0</v>
      </c>
      <c r="AA33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52" t="str">
        <f>IF(ReconciliationData[[#This Row],[severity_score]]=0,"LOW",
 IF(ReconciliationData[[#This Row],[severity_score]]&lt;=5,"MEDIUM","HIGH"))</f>
        <v>LOW</v>
      </c>
      <c r="AC3352" t="str">
        <f>TEXT(ReconciliationData[[#This Row],[Order_Date]],"YYYY-MM")</f>
        <v>2023-09</v>
      </c>
    </row>
    <row r="3353" spans="1:29">
      <c r="A3353" t="s">
        <v>7924</v>
      </c>
      <c r="B3353" s="1">
        <v>45473</v>
      </c>
      <c r="C3353" t="s">
        <v>5032</v>
      </c>
      <c r="D3353" t="s">
        <v>2471</v>
      </c>
      <c r="E3353">
        <v>196</v>
      </c>
      <c r="F3353" t="s">
        <v>7925</v>
      </c>
      <c r="G3353">
        <v>196</v>
      </c>
      <c r="H3353">
        <v>1066.4874</v>
      </c>
      <c r="N3353">
        <v>1066.4874</v>
      </c>
      <c r="O3353" s="1">
        <v>45077</v>
      </c>
      <c r="P3353">
        <f>IF(ISBLANK(ReconciliationData[[#This Row],[Invoice_ID]]),1,0)</f>
        <v>0</v>
      </c>
      <c r="Q3353">
        <f>IF(AND(NOT(ISBLANK(ReconciliationData[[#This Row],[Billed_Units]])),ReconciliationData[[#This Row],[ordered_units]]&lt;&gt;ReconciliationData[[#This Row],[Billed_Units]]),1,0)</f>
        <v>0</v>
      </c>
      <c r="R33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3">
        <f>IF(AND(NOT(ISBLANK(ReconciliationData[[#This Row],[Contract_Price]])),ReconciliationData[[#This Row],[Billed_Price]]&lt;&gt;ReconciliationData[[#This Row],[Contract_Price]]),1,0)</f>
        <v>0</v>
      </c>
      <c r="T3353">
        <f>IF(AND(NOT(ISBLANK(ReconciliationData[[#This Row],[End_Date]])),ReconciliationData[[#This Row],[Order_Date]]&gt;ReconciliationData[[#This Row],[End_Date]]),1,0)</f>
        <v>0</v>
      </c>
      <c r="U3353">
        <f>IF(AND(NOT(ISBLANK(ReconciliationData[[#This Row],[last_return_date]])),ReconciliationData[[#This Row],[last_return_date]]&gt;ReconciliationData[[#This Row],[Order_Date]]+60),1,0)</f>
        <v>0</v>
      </c>
      <c r="V3353">
        <f>IF(ReconciliationData[[#This Row],[total_returned_units]]&gt;ReconciliationData[[#This Row],[ordered_units]],1,0)</f>
        <v>0</v>
      </c>
      <c r="W33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53">
        <f>ReconciliationData[[#This Row],[Billed_Units]]*ReconciliationData[[#This Row],[Billed_Price]]</f>
        <v>209031.53039999999</v>
      </c>
      <c r="Y3353">
        <f>ReconciliationData[[#This Row],[ordered_units]]*ReconciliationData[[#This Row],[List_Price]]</f>
        <v>209031.53039999999</v>
      </c>
      <c r="Z3353">
        <f>ReconciliationData[[#This Row],[billed_revenue]]-ReconciliationData[[#This Row],[expected_revenue]]</f>
        <v>0</v>
      </c>
      <c r="AA33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53" t="str">
        <f>IF(ReconciliationData[[#This Row],[severity_score]]=0,"LOW",
 IF(ReconciliationData[[#This Row],[severity_score]]&lt;=5,"MEDIUM","HIGH"))</f>
        <v>LOW</v>
      </c>
      <c r="AC3353" t="str">
        <f>TEXT(ReconciliationData[[#This Row],[Order_Date]],"YYYY-MM")</f>
        <v>2024-06</v>
      </c>
    </row>
    <row r="3354" spans="1:29">
      <c r="A3354" t="s">
        <v>7926</v>
      </c>
      <c r="B3354" s="1">
        <v>45315</v>
      </c>
      <c r="C3354" t="s">
        <v>4300</v>
      </c>
      <c r="D3354" t="s">
        <v>247</v>
      </c>
      <c r="E3354">
        <v>126</v>
      </c>
      <c r="F3354" t="s">
        <v>7927</v>
      </c>
      <c r="G3354">
        <v>126</v>
      </c>
      <c r="H3354">
        <v>715.86900000000003</v>
      </c>
      <c r="N3354">
        <v>715.86900000000003</v>
      </c>
      <c r="O3354" s="1">
        <v>45140</v>
      </c>
      <c r="P3354">
        <f>IF(ISBLANK(ReconciliationData[[#This Row],[Invoice_ID]]),1,0)</f>
        <v>0</v>
      </c>
      <c r="Q3354">
        <f>IF(AND(NOT(ISBLANK(ReconciliationData[[#This Row],[Billed_Units]])),ReconciliationData[[#This Row],[ordered_units]]&lt;&gt;ReconciliationData[[#This Row],[Billed_Units]]),1,0)</f>
        <v>0</v>
      </c>
      <c r="R33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4">
        <f>IF(AND(NOT(ISBLANK(ReconciliationData[[#This Row],[Contract_Price]])),ReconciliationData[[#This Row],[Billed_Price]]&lt;&gt;ReconciliationData[[#This Row],[Contract_Price]]),1,0)</f>
        <v>0</v>
      </c>
      <c r="T3354">
        <f>IF(AND(NOT(ISBLANK(ReconciliationData[[#This Row],[End_Date]])),ReconciliationData[[#This Row],[Order_Date]]&gt;ReconciliationData[[#This Row],[End_Date]]),1,0)</f>
        <v>0</v>
      </c>
      <c r="U3354">
        <f>IF(AND(NOT(ISBLANK(ReconciliationData[[#This Row],[last_return_date]])),ReconciliationData[[#This Row],[last_return_date]]&gt;ReconciliationData[[#This Row],[Order_Date]]+60),1,0)</f>
        <v>0</v>
      </c>
      <c r="V3354">
        <f>IF(ReconciliationData[[#This Row],[total_returned_units]]&gt;ReconciliationData[[#This Row],[ordered_units]],1,0)</f>
        <v>0</v>
      </c>
      <c r="W33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54">
        <f>ReconciliationData[[#This Row],[Billed_Units]]*ReconciliationData[[#This Row],[Billed_Price]]</f>
        <v>90199.494000000006</v>
      </c>
      <c r="Y3354">
        <f>ReconciliationData[[#This Row],[ordered_units]]*ReconciliationData[[#This Row],[List_Price]]</f>
        <v>90199.494000000006</v>
      </c>
      <c r="Z3354">
        <f>ReconciliationData[[#This Row],[billed_revenue]]-ReconciliationData[[#This Row],[expected_revenue]]</f>
        <v>0</v>
      </c>
      <c r="AA33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54" t="str">
        <f>IF(ReconciliationData[[#This Row],[severity_score]]=0,"LOW",
 IF(ReconciliationData[[#This Row],[severity_score]]&lt;=5,"MEDIUM","HIGH"))</f>
        <v>LOW</v>
      </c>
      <c r="AC3354" t="str">
        <f>TEXT(ReconciliationData[[#This Row],[Order_Date]],"YYYY-MM")</f>
        <v>2024-01</v>
      </c>
    </row>
    <row r="3355" spans="1:29">
      <c r="A3355" t="s">
        <v>7928</v>
      </c>
      <c r="B3355" s="1">
        <v>45254</v>
      </c>
      <c r="C3355" t="s">
        <v>3011</v>
      </c>
      <c r="D3355" t="s">
        <v>291</v>
      </c>
      <c r="E3355">
        <v>86</v>
      </c>
      <c r="F3355" t="s">
        <v>7929</v>
      </c>
      <c r="G3355">
        <v>86</v>
      </c>
      <c r="H3355">
        <v>454.98379999999997</v>
      </c>
      <c r="N3355">
        <v>454.98379999999997</v>
      </c>
      <c r="O3355" s="1">
        <v>45011</v>
      </c>
      <c r="P3355">
        <f>IF(ISBLANK(ReconciliationData[[#This Row],[Invoice_ID]]),1,0)</f>
        <v>0</v>
      </c>
      <c r="Q3355">
        <f>IF(AND(NOT(ISBLANK(ReconciliationData[[#This Row],[Billed_Units]])),ReconciliationData[[#This Row],[ordered_units]]&lt;&gt;ReconciliationData[[#This Row],[Billed_Units]]),1,0)</f>
        <v>0</v>
      </c>
      <c r="R33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5">
        <f>IF(AND(NOT(ISBLANK(ReconciliationData[[#This Row],[Contract_Price]])),ReconciliationData[[#This Row],[Billed_Price]]&lt;&gt;ReconciliationData[[#This Row],[Contract_Price]]),1,0)</f>
        <v>0</v>
      </c>
      <c r="T3355">
        <f>IF(AND(NOT(ISBLANK(ReconciliationData[[#This Row],[End_Date]])),ReconciliationData[[#This Row],[Order_Date]]&gt;ReconciliationData[[#This Row],[End_Date]]),1,0)</f>
        <v>0</v>
      </c>
      <c r="U3355">
        <f>IF(AND(NOT(ISBLANK(ReconciliationData[[#This Row],[last_return_date]])),ReconciliationData[[#This Row],[last_return_date]]&gt;ReconciliationData[[#This Row],[Order_Date]]+60),1,0)</f>
        <v>0</v>
      </c>
      <c r="V3355">
        <f>IF(ReconciliationData[[#This Row],[total_returned_units]]&gt;ReconciliationData[[#This Row],[ordered_units]],1,0)</f>
        <v>0</v>
      </c>
      <c r="W33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55">
        <f>ReconciliationData[[#This Row],[Billed_Units]]*ReconciliationData[[#This Row],[Billed_Price]]</f>
        <v>39128.606799999994</v>
      </c>
      <c r="Y3355">
        <f>ReconciliationData[[#This Row],[ordered_units]]*ReconciliationData[[#This Row],[List_Price]]</f>
        <v>39128.606799999994</v>
      </c>
      <c r="Z3355">
        <f>ReconciliationData[[#This Row],[billed_revenue]]-ReconciliationData[[#This Row],[expected_revenue]]</f>
        <v>0</v>
      </c>
      <c r="AA33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55" t="str">
        <f>IF(ReconciliationData[[#This Row],[severity_score]]=0,"LOW",
 IF(ReconciliationData[[#This Row],[severity_score]]&lt;=5,"MEDIUM","HIGH"))</f>
        <v>LOW</v>
      </c>
      <c r="AC3355" t="str">
        <f>TEXT(ReconciliationData[[#This Row],[Order_Date]],"YYYY-MM")</f>
        <v>2023-11</v>
      </c>
    </row>
    <row r="3356" spans="1:29">
      <c r="A3356" t="s">
        <v>7930</v>
      </c>
      <c r="B3356" s="1">
        <v>45168</v>
      </c>
      <c r="C3356" t="s">
        <v>810</v>
      </c>
      <c r="D3356" t="s">
        <v>434</v>
      </c>
      <c r="E3356">
        <v>67</v>
      </c>
      <c r="F3356" t="s">
        <v>7931</v>
      </c>
      <c r="G3356">
        <v>67</v>
      </c>
      <c r="H3356">
        <v>68.572800000000001</v>
      </c>
      <c r="N3356">
        <v>68.572800000000001</v>
      </c>
      <c r="O3356" s="1">
        <v>45098</v>
      </c>
      <c r="P3356">
        <f>IF(ISBLANK(ReconciliationData[[#This Row],[Invoice_ID]]),1,0)</f>
        <v>0</v>
      </c>
      <c r="Q3356">
        <f>IF(AND(NOT(ISBLANK(ReconciliationData[[#This Row],[Billed_Units]])),ReconciliationData[[#This Row],[ordered_units]]&lt;&gt;ReconciliationData[[#This Row],[Billed_Units]]),1,0)</f>
        <v>0</v>
      </c>
      <c r="R33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6">
        <f>IF(AND(NOT(ISBLANK(ReconciliationData[[#This Row],[Contract_Price]])),ReconciliationData[[#This Row],[Billed_Price]]&lt;&gt;ReconciliationData[[#This Row],[Contract_Price]]),1,0)</f>
        <v>0</v>
      </c>
      <c r="T3356">
        <f>IF(AND(NOT(ISBLANK(ReconciliationData[[#This Row],[End_Date]])),ReconciliationData[[#This Row],[Order_Date]]&gt;ReconciliationData[[#This Row],[End_Date]]),1,0)</f>
        <v>0</v>
      </c>
      <c r="U3356">
        <f>IF(AND(NOT(ISBLANK(ReconciliationData[[#This Row],[last_return_date]])),ReconciliationData[[#This Row],[last_return_date]]&gt;ReconciliationData[[#This Row],[Order_Date]]+60),1,0)</f>
        <v>0</v>
      </c>
      <c r="V3356">
        <f>IF(ReconciliationData[[#This Row],[total_returned_units]]&gt;ReconciliationData[[#This Row],[ordered_units]],1,0)</f>
        <v>0</v>
      </c>
      <c r="W33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56">
        <f>ReconciliationData[[#This Row],[Billed_Units]]*ReconciliationData[[#This Row],[Billed_Price]]</f>
        <v>4594.3775999999998</v>
      </c>
      <c r="Y3356">
        <f>ReconciliationData[[#This Row],[ordered_units]]*ReconciliationData[[#This Row],[List_Price]]</f>
        <v>4594.3775999999998</v>
      </c>
      <c r="Z3356">
        <f>ReconciliationData[[#This Row],[billed_revenue]]-ReconciliationData[[#This Row],[expected_revenue]]</f>
        <v>0</v>
      </c>
      <c r="AA33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56" t="str">
        <f>IF(ReconciliationData[[#This Row],[severity_score]]=0,"LOW",
 IF(ReconciliationData[[#This Row],[severity_score]]&lt;=5,"MEDIUM","HIGH"))</f>
        <v>LOW</v>
      </c>
      <c r="AC3356" t="str">
        <f>TEXT(ReconciliationData[[#This Row],[Order_Date]],"YYYY-MM")</f>
        <v>2023-08</v>
      </c>
    </row>
    <row r="3357" spans="1:29">
      <c r="A3357" t="s">
        <v>7932</v>
      </c>
      <c r="B3357" s="1">
        <v>44954</v>
      </c>
      <c r="C3357" t="s">
        <v>1196</v>
      </c>
      <c r="D3357" t="s">
        <v>434</v>
      </c>
      <c r="E3357">
        <v>85</v>
      </c>
      <c r="F3357" t="s">
        <v>7933</v>
      </c>
      <c r="G3357">
        <v>94</v>
      </c>
      <c r="H3357">
        <v>72.858600000000024</v>
      </c>
      <c r="N3357">
        <v>72.858600000000024</v>
      </c>
      <c r="O3357" s="1">
        <v>44882</v>
      </c>
      <c r="P3357">
        <f>IF(ISBLANK(ReconciliationData[[#This Row],[Invoice_ID]]),1,0)</f>
        <v>0</v>
      </c>
      <c r="Q3357">
        <f>IF(AND(NOT(ISBLANK(ReconciliationData[[#This Row],[Billed_Units]])),ReconciliationData[[#This Row],[ordered_units]]&lt;&gt;ReconciliationData[[#This Row],[Billed_Units]]),1,0)</f>
        <v>1</v>
      </c>
      <c r="R33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7">
        <f>IF(AND(NOT(ISBLANK(ReconciliationData[[#This Row],[Contract_Price]])),ReconciliationData[[#This Row],[Billed_Price]]&lt;&gt;ReconciliationData[[#This Row],[Contract_Price]]),1,0)</f>
        <v>0</v>
      </c>
      <c r="T3357">
        <f>IF(AND(NOT(ISBLANK(ReconciliationData[[#This Row],[End_Date]])),ReconciliationData[[#This Row],[Order_Date]]&gt;ReconciliationData[[#This Row],[End_Date]]),1,0)</f>
        <v>0</v>
      </c>
      <c r="U3357">
        <f>IF(AND(NOT(ISBLANK(ReconciliationData[[#This Row],[last_return_date]])),ReconciliationData[[#This Row],[last_return_date]]&gt;ReconciliationData[[#This Row],[Order_Date]]+60),1,0)</f>
        <v>0</v>
      </c>
      <c r="V3357">
        <f>IF(ReconciliationData[[#This Row],[total_returned_units]]&gt;ReconciliationData[[#This Row],[ordered_units]],1,0)</f>
        <v>0</v>
      </c>
      <c r="W33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57">
        <f>ReconciliationData[[#This Row],[Billed_Units]]*ReconciliationData[[#This Row],[Billed_Price]]</f>
        <v>6848.7084000000023</v>
      </c>
      <c r="Y3357">
        <f>ReconciliationData[[#This Row],[ordered_units]]*ReconciliationData[[#This Row],[List_Price]]</f>
        <v>6192.9810000000016</v>
      </c>
      <c r="Z3357">
        <f>ReconciliationData[[#This Row],[billed_revenue]]-ReconciliationData[[#This Row],[expected_revenue]]</f>
        <v>655.72740000000067</v>
      </c>
      <c r="AA33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357" t="str">
        <f>IF(ReconciliationData[[#This Row],[severity_score]]=0,"LOW",
 IF(ReconciliationData[[#This Row],[severity_score]]&lt;=5,"MEDIUM","HIGH"))</f>
        <v>HIGH</v>
      </c>
      <c r="AC3357" t="str">
        <f>TEXT(ReconciliationData[[#This Row],[Order_Date]],"YYYY-MM")</f>
        <v>2023-01</v>
      </c>
    </row>
    <row r="3358" spans="1:29">
      <c r="A3358" t="s">
        <v>7934</v>
      </c>
      <c r="B3358" s="1">
        <v>45474</v>
      </c>
      <c r="C3358" t="s">
        <v>756</v>
      </c>
      <c r="D3358" t="s">
        <v>393</v>
      </c>
      <c r="E3358">
        <v>90</v>
      </c>
      <c r="F3358" t="s">
        <v>7935</v>
      </c>
      <c r="G3358">
        <v>90</v>
      </c>
      <c r="H3358">
        <v>1080.0740000000001</v>
      </c>
      <c r="N3358">
        <v>1080.0740000000001</v>
      </c>
      <c r="O3358" s="1">
        <v>45058</v>
      </c>
      <c r="P3358">
        <f>IF(ISBLANK(ReconciliationData[[#This Row],[Invoice_ID]]),1,0)</f>
        <v>0</v>
      </c>
      <c r="Q3358">
        <f>IF(AND(NOT(ISBLANK(ReconciliationData[[#This Row],[Billed_Units]])),ReconciliationData[[#This Row],[ordered_units]]&lt;&gt;ReconciliationData[[#This Row],[Billed_Units]]),1,0)</f>
        <v>0</v>
      </c>
      <c r="R33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8">
        <f>IF(AND(NOT(ISBLANK(ReconciliationData[[#This Row],[Contract_Price]])),ReconciliationData[[#This Row],[Billed_Price]]&lt;&gt;ReconciliationData[[#This Row],[Contract_Price]]),1,0)</f>
        <v>0</v>
      </c>
      <c r="T3358">
        <f>IF(AND(NOT(ISBLANK(ReconciliationData[[#This Row],[End_Date]])),ReconciliationData[[#This Row],[Order_Date]]&gt;ReconciliationData[[#This Row],[End_Date]]),1,0)</f>
        <v>0</v>
      </c>
      <c r="U3358">
        <f>IF(AND(NOT(ISBLANK(ReconciliationData[[#This Row],[last_return_date]])),ReconciliationData[[#This Row],[last_return_date]]&gt;ReconciliationData[[#This Row],[Order_Date]]+60),1,0)</f>
        <v>0</v>
      </c>
      <c r="V3358">
        <f>IF(ReconciliationData[[#This Row],[total_returned_units]]&gt;ReconciliationData[[#This Row],[ordered_units]],1,0)</f>
        <v>0</v>
      </c>
      <c r="W33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58">
        <f>ReconciliationData[[#This Row],[Billed_Units]]*ReconciliationData[[#This Row],[Billed_Price]]</f>
        <v>97206.66</v>
      </c>
      <c r="Y3358">
        <f>ReconciliationData[[#This Row],[ordered_units]]*ReconciliationData[[#This Row],[List_Price]]</f>
        <v>97206.66</v>
      </c>
      <c r="Z3358">
        <f>ReconciliationData[[#This Row],[billed_revenue]]-ReconciliationData[[#This Row],[expected_revenue]]</f>
        <v>0</v>
      </c>
      <c r="AA33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58" t="str">
        <f>IF(ReconciliationData[[#This Row],[severity_score]]=0,"LOW",
 IF(ReconciliationData[[#This Row],[severity_score]]&lt;=5,"MEDIUM","HIGH"))</f>
        <v>LOW</v>
      </c>
      <c r="AC3358" t="str">
        <f>TEXT(ReconciliationData[[#This Row],[Order_Date]],"YYYY-MM")</f>
        <v>2024-07</v>
      </c>
    </row>
    <row r="3359" spans="1:29">
      <c r="A3359" t="s">
        <v>7936</v>
      </c>
      <c r="B3359" s="1">
        <v>45088</v>
      </c>
      <c r="C3359" t="s">
        <v>1515</v>
      </c>
      <c r="D3359" t="s">
        <v>1294</v>
      </c>
      <c r="E3359">
        <v>140</v>
      </c>
      <c r="F3359" t="s">
        <v>7937</v>
      </c>
      <c r="G3359">
        <v>140</v>
      </c>
      <c r="H3359">
        <v>793.03560000000004</v>
      </c>
      <c r="N3359">
        <v>793.03560000000004</v>
      </c>
      <c r="O3359" s="1">
        <v>44892</v>
      </c>
      <c r="P3359">
        <f>IF(ISBLANK(ReconciliationData[[#This Row],[Invoice_ID]]),1,0)</f>
        <v>0</v>
      </c>
      <c r="Q3359">
        <f>IF(AND(NOT(ISBLANK(ReconciliationData[[#This Row],[Billed_Units]])),ReconciliationData[[#This Row],[ordered_units]]&lt;&gt;ReconciliationData[[#This Row],[Billed_Units]]),1,0)</f>
        <v>0</v>
      </c>
      <c r="R33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59">
        <f>IF(AND(NOT(ISBLANK(ReconciliationData[[#This Row],[Contract_Price]])),ReconciliationData[[#This Row],[Billed_Price]]&lt;&gt;ReconciliationData[[#This Row],[Contract_Price]]),1,0)</f>
        <v>0</v>
      </c>
      <c r="T3359">
        <f>IF(AND(NOT(ISBLANK(ReconciliationData[[#This Row],[End_Date]])),ReconciliationData[[#This Row],[Order_Date]]&gt;ReconciliationData[[#This Row],[End_Date]]),1,0)</f>
        <v>0</v>
      </c>
      <c r="U3359">
        <f>IF(AND(NOT(ISBLANK(ReconciliationData[[#This Row],[last_return_date]])),ReconciliationData[[#This Row],[last_return_date]]&gt;ReconciliationData[[#This Row],[Order_Date]]+60),1,0)</f>
        <v>0</v>
      </c>
      <c r="V3359">
        <f>IF(ReconciliationData[[#This Row],[total_returned_units]]&gt;ReconciliationData[[#This Row],[ordered_units]],1,0)</f>
        <v>0</v>
      </c>
      <c r="W33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59">
        <f>ReconciliationData[[#This Row],[Billed_Units]]*ReconciliationData[[#This Row],[Billed_Price]]</f>
        <v>111024.98400000001</v>
      </c>
      <c r="Y3359">
        <f>ReconciliationData[[#This Row],[ordered_units]]*ReconciliationData[[#This Row],[List_Price]]</f>
        <v>111024.98400000001</v>
      </c>
      <c r="Z3359">
        <f>ReconciliationData[[#This Row],[billed_revenue]]-ReconciliationData[[#This Row],[expected_revenue]]</f>
        <v>0</v>
      </c>
      <c r="AA33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59" t="str">
        <f>IF(ReconciliationData[[#This Row],[severity_score]]=0,"LOW",
 IF(ReconciliationData[[#This Row],[severity_score]]&lt;=5,"MEDIUM","HIGH"))</f>
        <v>LOW</v>
      </c>
      <c r="AC3359" t="str">
        <f>TEXT(ReconciliationData[[#This Row],[Order_Date]],"YYYY-MM")</f>
        <v>2023-06</v>
      </c>
    </row>
    <row r="3360" spans="1:29">
      <c r="A3360" t="s">
        <v>7938</v>
      </c>
      <c r="B3360" s="1">
        <v>44986</v>
      </c>
      <c r="C3360" t="s">
        <v>400</v>
      </c>
      <c r="D3360" t="s">
        <v>370</v>
      </c>
      <c r="E3360">
        <v>2</v>
      </c>
      <c r="F3360" t="s">
        <v>7939</v>
      </c>
      <c r="G3360">
        <v>2</v>
      </c>
      <c r="H3360">
        <v>639.91840000000002</v>
      </c>
      <c r="N3360">
        <v>639.91840000000002</v>
      </c>
      <c r="O3360" s="1">
        <v>44930</v>
      </c>
      <c r="P3360">
        <f>IF(ISBLANK(ReconciliationData[[#This Row],[Invoice_ID]]),1,0)</f>
        <v>0</v>
      </c>
      <c r="Q3360">
        <f>IF(AND(NOT(ISBLANK(ReconciliationData[[#This Row],[Billed_Units]])),ReconciliationData[[#This Row],[ordered_units]]&lt;&gt;ReconciliationData[[#This Row],[Billed_Units]]),1,0)</f>
        <v>0</v>
      </c>
      <c r="R33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0">
        <f>IF(AND(NOT(ISBLANK(ReconciliationData[[#This Row],[Contract_Price]])),ReconciliationData[[#This Row],[Billed_Price]]&lt;&gt;ReconciliationData[[#This Row],[Contract_Price]]),1,0)</f>
        <v>0</v>
      </c>
      <c r="T3360">
        <f>IF(AND(NOT(ISBLANK(ReconciliationData[[#This Row],[End_Date]])),ReconciliationData[[#This Row],[Order_Date]]&gt;ReconciliationData[[#This Row],[End_Date]]),1,0)</f>
        <v>0</v>
      </c>
      <c r="U3360">
        <f>IF(AND(NOT(ISBLANK(ReconciliationData[[#This Row],[last_return_date]])),ReconciliationData[[#This Row],[last_return_date]]&gt;ReconciliationData[[#This Row],[Order_Date]]+60),1,0)</f>
        <v>0</v>
      </c>
      <c r="V3360">
        <f>IF(ReconciliationData[[#This Row],[total_returned_units]]&gt;ReconciliationData[[#This Row],[ordered_units]],1,0)</f>
        <v>0</v>
      </c>
      <c r="W33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0">
        <f>ReconciliationData[[#This Row],[Billed_Units]]*ReconciliationData[[#This Row],[Billed_Price]]</f>
        <v>1279.8368</v>
      </c>
      <c r="Y3360">
        <f>ReconciliationData[[#This Row],[ordered_units]]*ReconciliationData[[#This Row],[List_Price]]</f>
        <v>1279.8368</v>
      </c>
      <c r="Z3360">
        <f>ReconciliationData[[#This Row],[billed_revenue]]-ReconciliationData[[#This Row],[expected_revenue]]</f>
        <v>0</v>
      </c>
      <c r="AA33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0" t="str">
        <f>IF(ReconciliationData[[#This Row],[severity_score]]=0,"LOW",
 IF(ReconciliationData[[#This Row],[severity_score]]&lt;=5,"MEDIUM","HIGH"))</f>
        <v>LOW</v>
      </c>
      <c r="AC3360" t="str">
        <f>TEXT(ReconciliationData[[#This Row],[Order_Date]],"YYYY-MM")</f>
        <v>2023-03</v>
      </c>
    </row>
    <row r="3361" spans="1:29">
      <c r="A3361" t="s">
        <v>7940</v>
      </c>
      <c r="B3361" s="1">
        <v>45025</v>
      </c>
      <c r="C3361" t="s">
        <v>475</v>
      </c>
      <c r="D3361" t="s">
        <v>1706</v>
      </c>
      <c r="E3361">
        <v>115</v>
      </c>
      <c r="F3361" t="s">
        <v>7941</v>
      </c>
      <c r="G3361">
        <v>115</v>
      </c>
      <c r="H3361">
        <v>854.74350000000004</v>
      </c>
      <c r="N3361">
        <v>854.74350000000004</v>
      </c>
      <c r="O3361" s="1">
        <v>44984</v>
      </c>
      <c r="P3361">
        <f>IF(ISBLANK(ReconciliationData[[#This Row],[Invoice_ID]]),1,0)</f>
        <v>0</v>
      </c>
      <c r="Q3361">
        <f>IF(AND(NOT(ISBLANK(ReconciliationData[[#This Row],[Billed_Units]])),ReconciliationData[[#This Row],[ordered_units]]&lt;&gt;ReconciliationData[[#This Row],[Billed_Units]]),1,0)</f>
        <v>0</v>
      </c>
      <c r="R33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1">
        <f>IF(AND(NOT(ISBLANK(ReconciliationData[[#This Row],[Contract_Price]])),ReconciliationData[[#This Row],[Billed_Price]]&lt;&gt;ReconciliationData[[#This Row],[Contract_Price]]),1,0)</f>
        <v>0</v>
      </c>
      <c r="T3361">
        <f>IF(AND(NOT(ISBLANK(ReconciliationData[[#This Row],[End_Date]])),ReconciliationData[[#This Row],[Order_Date]]&gt;ReconciliationData[[#This Row],[End_Date]]),1,0)</f>
        <v>0</v>
      </c>
      <c r="U3361">
        <f>IF(AND(NOT(ISBLANK(ReconciliationData[[#This Row],[last_return_date]])),ReconciliationData[[#This Row],[last_return_date]]&gt;ReconciliationData[[#This Row],[Order_Date]]+60),1,0)</f>
        <v>0</v>
      </c>
      <c r="V3361">
        <f>IF(ReconciliationData[[#This Row],[total_returned_units]]&gt;ReconciliationData[[#This Row],[ordered_units]],1,0)</f>
        <v>0</v>
      </c>
      <c r="W33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1">
        <f>ReconciliationData[[#This Row],[Billed_Units]]*ReconciliationData[[#This Row],[Billed_Price]]</f>
        <v>98295.502500000002</v>
      </c>
      <c r="Y3361">
        <f>ReconciliationData[[#This Row],[ordered_units]]*ReconciliationData[[#This Row],[List_Price]]</f>
        <v>98295.502500000002</v>
      </c>
      <c r="Z3361">
        <f>ReconciliationData[[#This Row],[billed_revenue]]-ReconciliationData[[#This Row],[expected_revenue]]</f>
        <v>0</v>
      </c>
      <c r="AA33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1" t="str">
        <f>IF(ReconciliationData[[#This Row],[severity_score]]=0,"LOW",
 IF(ReconciliationData[[#This Row],[severity_score]]&lt;=5,"MEDIUM","HIGH"))</f>
        <v>LOW</v>
      </c>
      <c r="AC3361" t="str">
        <f>TEXT(ReconciliationData[[#This Row],[Order_Date]],"YYYY-MM")</f>
        <v>2023-04</v>
      </c>
    </row>
    <row r="3362" spans="1:29">
      <c r="A3362" t="s">
        <v>7942</v>
      </c>
      <c r="B3362" s="1">
        <v>45130</v>
      </c>
      <c r="C3362" t="s">
        <v>3731</v>
      </c>
      <c r="D3362" t="s">
        <v>3409</v>
      </c>
      <c r="E3362">
        <v>79</v>
      </c>
      <c r="F3362" t="s">
        <v>7943</v>
      </c>
      <c r="G3362">
        <v>79</v>
      </c>
      <c r="H3362">
        <v>104.9652</v>
      </c>
      <c r="N3362">
        <v>104.9652</v>
      </c>
      <c r="O3362" s="1">
        <v>45066</v>
      </c>
      <c r="P3362">
        <f>IF(ISBLANK(ReconciliationData[[#This Row],[Invoice_ID]]),1,0)</f>
        <v>0</v>
      </c>
      <c r="Q3362">
        <f>IF(AND(NOT(ISBLANK(ReconciliationData[[#This Row],[Billed_Units]])),ReconciliationData[[#This Row],[ordered_units]]&lt;&gt;ReconciliationData[[#This Row],[Billed_Units]]),1,0)</f>
        <v>0</v>
      </c>
      <c r="R33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2">
        <f>IF(AND(NOT(ISBLANK(ReconciliationData[[#This Row],[Contract_Price]])),ReconciliationData[[#This Row],[Billed_Price]]&lt;&gt;ReconciliationData[[#This Row],[Contract_Price]]),1,0)</f>
        <v>0</v>
      </c>
      <c r="T3362">
        <f>IF(AND(NOT(ISBLANK(ReconciliationData[[#This Row],[End_Date]])),ReconciliationData[[#This Row],[Order_Date]]&gt;ReconciliationData[[#This Row],[End_Date]]),1,0)</f>
        <v>0</v>
      </c>
      <c r="U3362">
        <f>IF(AND(NOT(ISBLANK(ReconciliationData[[#This Row],[last_return_date]])),ReconciliationData[[#This Row],[last_return_date]]&gt;ReconciliationData[[#This Row],[Order_Date]]+60),1,0)</f>
        <v>0</v>
      </c>
      <c r="V3362">
        <f>IF(ReconciliationData[[#This Row],[total_returned_units]]&gt;ReconciliationData[[#This Row],[ordered_units]],1,0)</f>
        <v>0</v>
      </c>
      <c r="W33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2">
        <f>ReconciliationData[[#This Row],[Billed_Units]]*ReconciliationData[[#This Row],[Billed_Price]]</f>
        <v>8292.2507999999998</v>
      </c>
      <c r="Y3362">
        <f>ReconciliationData[[#This Row],[ordered_units]]*ReconciliationData[[#This Row],[List_Price]]</f>
        <v>8292.2507999999998</v>
      </c>
      <c r="Z3362">
        <f>ReconciliationData[[#This Row],[billed_revenue]]-ReconciliationData[[#This Row],[expected_revenue]]</f>
        <v>0</v>
      </c>
      <c r="AA33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2" t="str">
        <f>IF(ReconciliationData[[#This Row],[severity_score]]=0,"LOW",
 IF(ReconciliationData[[#This Row],[severity_score]]&lt;=5,"MEDIUM","HIGH"))</f>
        <v>LOW</v>
      </c>
      <c r="AC3362" t="str">
        <f>TEXT(ReconciliationData[[#This Row],[Order_Date]],"YYYY-MM")</f>
        <v>2023-07</v>
      </c>
    </row>
    <row r="3363" spans="1:29">
      <c r="A3363" t="s">
        <v>7944</v>
      </c>
      <c r="B3363" s="1">
        <v>45042</v>
      </c>
      <c r="C3363" t="s">
        <v>650</v>
      </c>
      <c r="D3363" t="s">
        <v>174</v>
      </c>
      <c r="E3363">
        <v>199</v>
      </c>
      <c r="F3363" t="s">
        <v>7945</v>
      </c>
      <c r="G3363">
        <v>199</v>
      </c>
      <c r="H3363">
        <v>461.69279999999998</v>
      </c>
      <c r="N3363">
        <v>461.69279999999998</v>
      </c>
      <c r="O3363" s="1">
        <v>45031</v>
      </c>
      <c r="P3363">
        <f>IF(ISBLANK(ReconciliationData[[#This Row],[Invoice_ID]]),1,0)</f>
        <v>0</v>
      </c>
      <c r="Q3363">
        <f>IF(AND(NOT(ISBLANK(ReconciliationData[[#This Row],[Billed_Units]])),ReconciliationData[[#This Row],[ordered_units]]&lt;&gt;ReconciliationData[[#This Row],[Billed_Units]]),1,0)</f>
        <v>0</v>
      </c>
      <c r="R33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3">
        <f>IF(AND(NOT(ISBLANK(ReconciliationData[[#This Row],[Contract_Price]])),ReconciliationData[[#This Row],[Billed_Price]]&lt;&gt;ReconciliationData[[#This Row],[Contract_Price]]),1,0)</f>
        <v>0</v>
      </c>
      <c r="T3363">
        <f>IF(AND(NOT(ISBLANK(ReconciliationData[[#This Row],[End_Date]])),ReconciliationData[[#This Row],[Order_Date]]&gt;ReconciliationData[[#This Row],[End_Date]]),1,0)</f>
        <v>0</v>
      </c>
      <c r="U3363">
        <f>IF(AND(NOT(ISBLANK(ReconciliationData[[#This Row],[last_return_date]])),ReconciliationData[[#This Row],[last_return_date]]&gt;ReconciliationData[[#This Row],[Order_Date]]+60),1,0)</f>
        <v>0</v>
      </c>
      <c r="V3363">
        <f>IF(ReconciliationData[[#This Row],[total_returned_units]]&gt;ReconciliationData[[#This Row],[ordered_units]],1,0)</f>
        <v>0</v>
      </c>
      <c r="W33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3">
        <f>ReconciliationData[[#This Row],[Billed_Units]]*ReconciliationData[[#This Row],[Billed_Price]]</f>
        <v>91876.867199999993</v>
      </c>
      <c r="Y3363">
        <f>ReconciliationData[[#This Row],[ordered_units]]*ReconciliationData[[#This Row],[List_Price]]</f>
        <v>91876.867199999993</v>
      </c>
      <c r="Z3363">
        <f>ReconciliationData[[#This Row],[billed_revenue]]-ReconciliationData[[#This Row],[expected_revenue]]</f>
        <v>0</v>
      </c>
      <c r="AA33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3" t="str">
        <f>IF(ReconciliationData[[#This Row],[severity_score]]=0,"LOW",
 IF(ReconciliationData[[#This Row],[severity_score]]&lt;=5,"MEDIUM","HIGH"))</f>
        <v>LOW</v>
      </c>
      <c r="AC3363" t="str">
        <f>TEXT(ReconciliationData[[#This Row],[Order_Date]],"YYYY-MM")</f>
        <v>2023-04</v>
      </c>
    </row>
    <row r="3364" spans="1:29">
      <c r="A3364" t="s">
        <v>7946</v>
      </c>
      <c r="B3364" s="1">
        <v>45009</v>
      </c>
      <c r="C3364" t="s">
        <v>6401</v>
      </c>
      <c r="D3364" t="s">
        <v>182</v>
      </c>
      <c r="E3364">
        <v>100</v>
      </c>
      <c r="F3364" t="s">
        <v>7947</v>
      </c>
      <c r="G3364">
        <v>100</v>
      </c>
      <c r="H3364">
        <v>725.50320000000011</v>
      </c>
      <c r="N3364">
        <v>725.50320000000011</v>
      </c>
      <c r="O3364" s="1">
        <v>44858</v>
      </c>
      <c r="P3364">
        <f>IF(ISBLANK(ReconciliationData[[#This Row],[Invoice_ID]]),1,0)</f>
        <v>0</v>
      </c>
      <c r="Q3364">
        <f>IF(AND(NOT(ISBLANK(ReconciliationData[[#This Row],[Billed_Units]])),ReconciliationData[[#This Row],[ordered_units]]&lt;&gt;ReconciliationData[[#This Row],[Billed_Units]]),1,0)</f>
        <v>0</v>
      </c>
      <c r="R33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4">
        <f>IF(AND(NOT(ISBLANK(ReconciliationData[[#This Row],[Contract_Price]])),ReconciliationData[[#This Row],[Billed_Price]]&lt;&gt;ReconciliationData[[#This Row],[Contract_Price]]),1,0)</f>
        <v>0</v>
      </c>
      <c r="T3364">
        <f>IF(AND(NOT(ISBLANK(ReconciliationData[[#This Row],[End_Date]])),ReconciliationData[[#This Row],[Order_Date]]&gt;ReconciliationData[[#This Row],[End_Date]]),1,0)</f>
        <v>0</v>
      </c>
      <c r="U3364">
        <f>IF(AND(NOT(ISBLANK(ReconciliationData[[#This Row],[last_return_date]])),ReconciliationData[[#This Row],[last_return_date]]&gt;ReconciliationData[[#This Row],[Order_Date]]+60),1,0)</f>
        <v>0</v>
      </c>
      <c r="V3364">
        <f>IF(ReconciliationData[[#This Row],[total_returned_units]]&gt;ReconciliationData[[#This Row],[ordered_units]],1,0)</f>
        <v>0</v>
      </c>
      <c r="W33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4">
        <f>ReconciliationData[[#This Row],[Billed_Units]]*ReconciliationData[[#This Row],[Billed_Price]]</f>
        <v>72550.320000000007</v>
      </c>
      <c r="Y3364">
        <f>ReconciliationData[[#This Row],[ordered_units]]*ReconciliationData[[#This Row],[List_Price]]</f>
        <v>72550.320000000007</v>
      </c>
      <c r="Z3364">
        <f>ReconciliationData[[#This Row],[billed_revenue]]-ReconciliationData[[#This Row],[expected_revenue]]</f>
        <v>0</v>
      </c>
      <c r="AA33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4" t="str">
        <f>IF(ReconciliationData[[#This Row],[severity_score]]=0,"LOW",
 IF(ReconciliationData[[#This Row],[severity_score]]&lt;=5,"MEDIUM","HIGH"))</f>
        <v>LOW</v>
      </c>
      <c r="AC3364" t="str">
        <f>TEXT(ReconciliationData[[#This Row],[Order_Date]],"YYYY-MM")</f>
        <v>2023-03</v>
      </c>
    </row>
    <row r="3365" spans="1:29">
      <c r="A3365" t="s">
        <v>7948</v>
      </c>
      <c r="B3365" s="1">
        <v>44969</v>
      </c>
      <c r="C3365" t="s">
        <v>2034</v>
      </c>
      <c r="D3365" t="s">
        <v>544</v>
      </c>
      <c r="E3365">
        <v>158</v>
      </c>
      <c r="F3365" t="s">
        <v>7949</v>
      </c>
      <c r="G3365">
        <v>158</v>
      </c>
      <c r="H3365">
        <v>813.36839999999995</v>
      </c>
      <c r="N3365">
        <v>813.36839999999995</v>
      </c>
      <c r="O3365" s="1">
        <v>44929</v>
      </c>
      <c r="P3365">
        <f>IF(ISBLANK(ReconciliationData[[#This Row],[Invoice_ID]]),1,0)</f>
        <v>0</v>
      </c>
      <c r="Q3365">
        <f>IF(AND(NOT(ISBLANK(ReconciliationData[[#This Row],[Billed_Units]])),ReconciliationData[[#This Row],[ordered_units]]&lt;&gt;ReconciliationData[[#This Row],[Billed_Units]]),1,0)</f>
        <v>0</v>
      </c>
      <c r="R33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5">
        <f>IF(AND(NOT(ISBLANK(ReconciliationData[[#This Row],[Contract_Price]])),ReconciliationData[[#This Row],[Billed_Price]]&lt;&gt;ReconciliationData[[#This Row],[Contract_Price]]),1,0)</f>
        <v>0</v>
      </c>
      <c r="T3365">
        <f>IF(AND(NOT(ISBLANK(ReconciliationData[[#This Row],[End_Date]])),ReconciliationData[[#This Row],[Order_Date]]&gt;ReconciliationData[[#This Row],[End_Date]]),1,0)</f>
        <v>0</v>
      </c>
      <c r="U3365">
        <f>IF(AND(NOT(ISBLANK(ReconciliationData[[#This Row],[last_return_date]])),ReconciliationData[[#This Row],[last_return_date]]&gt;ReconciliationData[[#This Row],[Order_Date]]+60),1,0)</f>
        <v>0</v>
      </c>
      <c r="V3365">
        <f>IF(ReconciliationData[[#This Row],[total_returned_units]]&gt;ReconciliationData[[#This Row],[ordered_units]],1,0)</f>
        <v>0</v>
      </c>
      <c r="W33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5">
        <f>ReconciliationData[[#This Row],[Billed_Units]]*ReconciliationData[[#This Row],[Billed_Price]]</f>
        <v>128512.20719999999</v>
      </c>
      <c r="Y3365">
        <f>ReconciliationData[[#This Row],[ordered_units]]*ReconciliationData[[#This Row],[List_Price]]</f>
        <v>128512.20719999999</v>
      </c>
      <c r="Z3365">
        <f>ReconciliationData[[#This Row],[billed_revenue]]-ReconciliationData[[#This Row],[expected_revenue]]</f>
        <v>0</v>
      </c>
      <c r="AA33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5" t="str">
        <f>IF(ReconciliationData[[#This Row],[severity_score]]=0,"LOW",
 IF(ReconciliationData[[#This Row],[severity_score]]&lt;=5,"MEDIUM","HIGH"))</f>
        <v>LOW</v>
      </c>
      <c r="AC3365" t="str">
        <f>TEXT(ReconciliationData[[#This Row],[Order_Date]],"YYYY-MM")</f>
        <v>2023-02</v>
      </c>
    </row>
    <row r="3366" spans="1:29">
      <c r="A3366" t="s">
        <v>7950</v>
      </c>
      <c r="B3366" s="1">
        <v>44997</v>
      </c>
      <c r="C3366" t="s">
        <v>3687</v>
      </c>
      <c r="D3366" t="s">
        <v>194</v>
      </c>
      <c r="E3366">
        <v>198</v>
      </c>
      <c r="F3366" t="s">
        <v>7951</v>
      </c>
      <c r="G3366">
        <v>198</v>
      </c>
      <c r="H3366">
        <v>1039.0536</v>
      </c>
      <c r="N3366">
        <v>1039.0536</v>
      </c>
      <c r="O3366" s="1">
        <v>44961</v>
      </c>
      <c r="P3366">
        <f>IF(ISBLANK(ReconciliationData[[#This Row],[Invoice_ID]]),1,0)</f>
        <v>0</v>
      </c>
      <c r="Q3366">
        <f>IF(AND(NOT(ISBLANK(ReconciliationData[[#This Row],[Billed_Units]])),ReconciliationData[[#This Row],[ordered_units]]&lt;&gt;ReconciliationData[[#This Row],[Billed_Units]]),1,0)</f>
        <v>0</v>
      </c>
      <c r="R33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6">
        <f>IF(AND(NOT(ISBLANK(ReconciliationData[[#This Row],[Contract_Price]])),ReconciliationData[[#This Row],[Billed_Price]]&lt;&gt;ReconciliationData[[#This Row],[Contract_Price]]),1,0)</f>
        <v>0</v>
      </c>
      <c r="T3366">
        <f>IF(AND(NOT(ISBLANK(ReconciliationData[[#This Row],[End_Date]])),ReconciliationData[[#This Row],[Order_Date]]&gt;ReconciliationData[[#This Row],[End_Date]]),1,0)</f>
        <v>0</v>
      </c>
      <c r="U3366">
        <f>IF(AND(NOT(ISBLANK(ReconciliationData[[#This Row],[last_return_date]])),ReconciliationData[[#This Row],[last_return_date]]&gt;ReconciliationData[[#This Row],[Order_Date]]+60),1,0)</f>
        <v>0</v>
      </c>
      <c r="V3366">
        <f>IF(ReconciliationData[[#This Row],[total_returned_units]]&gt;ReconciliationData[[#This Row],[ordered_units]],1,0)</f>
        <v>0</v>
      </c>
      <c r="W33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6">
        <f>ReconciliationData[[#This Row],[Billed_Units]]*ReconciliationData[[#This Row],[Billed_Price]]</f>
        <v>205732.6128</v>
      </c>
      <c r="Y3366">
        <f>ReconciliationData[[#This Row],[ordered_units]]*ReconciliationData[[#This Row],[List_Price]]</f>
        <v>205732.6128</v>
      </c>
      <c r="Z3366">
        <f>ReconciliationData[[#This Row],[billed_revenue]]-ReconciliationData[[#This Row],[expected_revenue]]</f>
        <v>0</v>
      </c>
      <c r="AA33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6" t="str">
        <f>IF(ReconciliationData[[#This Row],[severity_score]]=0,"LOW",
 IF(ReconciliationData[[#This Row],[severity_score]]&lt;=5,"MEDIUM","HIGH"))</f>
        <v>LOW</v>
      </c>
      <c r="AC3366" t="str">
        <f>TEXT(ReconciliationData[[#This Row],[Order_Date]],"YYYY-MM")</f>
        <v>2023-03</v>
      </c>
    </row>
    <row r="3367" spans="1:29">
      <c r="A3367" t="s">
        <v>7952</v>
      </c>
      <c r="B3367" s="1">
        <v>45603</v>
      </c>
      <c r="C3367" t="s">
        <v>1174</v>
      </c>
      <c r="D3367" t="s">
        <v>356</v>
      </c>
      <c r="E3367">
        <v>97</v>
      </c>
      <c r="F3367" t="s">
        <v>7953</v>
      </c>
      <c r="G3367">
        <v>97</v>
      </c>
      <c r="H3367">
        <v>393.40140000000002</v>
      </c>
      <c r="N3367">
        <v>393.40140000000002</v>
      </c>
      <c r="O3367" s="1">
        <v>45146</v>
      </c>
      <c r="P3367">
        <f>IF(ISBLANK(ReconciliationData[[#This Row],[Invoice_ID]]),1,0)</f>
        <v>0</v>
      </c>
      <c r="Q3367">
        <f>IF(AND(NOT(ISBLANK(ReconciliationData[[#This Row],[Billed_Units]])),ReconciliationData[[#This Row],[ordered_units]]&lt;&gt;ReconciliationData[[#This Row],[Billed_Units]]),1,0)</f>
        <v>0</v>
      </c>
      <c r="R33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7">
        <f>IF(AND(NOT(ISBLANK(ReconciliationData[[#This Row],[Contract_Price]])),ReconciliationData[[#This Row],[Billed_Price]]&lt;&gt;ReconciliationData[[#This Row],[Contract_Price]]),1,0)</f>
        <v>0</v>
      </c>
      <c r="T3367">
        <f>IF(AND(NOT(ISBLANK(ReconciliationData[[#This Row],[End_Date]])),ReconciliationData[[#This Row],[Order_Date]]&gt;ReconciliationData[[#This Row],[End_Date]]),1,0)</f>
        <v>0</v>
      </c>
      <c r="U3367">
        <f>IF(AND(NOT(ISBLANK(ReconciliationData[[#This Row],[last_return_date]])),ReconciliationData[[#This Row],[last_return_date]]&gt;ReconciliationData[[#This Row],[Order_Date]]+60),1,0)</f>
        <v>0</v>
      </c>
      <c r="V3367">
        <f>IF(ReconciliationData[[#This Row],[total_returned_units]]&gt;ReconciliationData[[#This Row],[ordered_units]],1,0)</f>
        <v>0</v>
      </c>
      <c r="W33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7">
        <f>ReconciliationData[[#This Row],[Billed_Units]]*ReconciliationData[[#This Row],[Billed_Price]]</f>
        <v>38159.935799999999</v>
      </c>
      <c r="Y3367">
        <f>ReconciliationData[[#This Row],[ordered_units]]*ReconciliationData[[#This Row],[List_Price]]</f>
        <v>38159.935799999999</v>
      </c>
      <c r="Z3367">
        <f>ReconciliationData[[#This Row],[billed_revenue]]-ReconciliationData[[#This Row],[expected_revenue]]</f>
        <v>0</v>
      </c>
      <c r="AA33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7" t="str">
        <f>IF(ReconciliationData[[#This Row],[severity_score]]=0,"LOW",
 IF(ReconciliationData[[#This Row],[severity_score]]&lt;=5,"MEDIUM","HIGH"))</f>
        <v>LOW</v>
      </c>
      <c r="AC3367" t="str">
        <f>TEXT(ReconciliationData[[#This Row],[Order_Date]],"YYYY-MM")</f>
        <v>2024-11</v>
      </c>
    </row>
    <row r="3368" spans="1:29">
      <c r="A3368" t="s">
        <v>7954</v>
      </c>
      <c r="B3368" s="1">
        <v>44968</v>
      </c>
      <c r="C3368" t="s">
        <v>2632</v>
      </c>
      <c r="D3368" t="s">
        <v>643</v>
      </c>
      <c r="E3368">
        <v>116</v>
      </c>
      <c r="F3368" t="s">
        <v>7955</v>
      </c>
      <c r="G3368">
        <v>116</v>
      </c>
      <c r="H3368">
        <v>219.64</v>
      </c>
      <c r="N3368">
        <v>219.64</v>
      </c>
      <c r="O3368" s="1">
        <v>44692</v>
      </c>
      <c r="P3368">
        <f>IF(ISBLANK(ReconciliationData[[#This Row],[Invoice_ID]]),1,0)</f>
        <v>0</v>
      </c>
      <c r="Q3368">
        <f>IF(AND(NOT(ISBLANK(ReconciliationData[[#This Row],[Billed_Units]])),ReconciliationData[[#This Row],[ordered_units]]&lt;&gt;ReconciliationData[[#This Row],[Billed_Units]]),1,0)</f>
        <v>0</v>
      </c>
      <c r="R33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8">
        <f>IF(AND(NOT(ISBLANK(ReconciliationData[[#This Row],[Contract_Price]])),ReconciliationData[[#This Row],[Billed_Price]]&lt;&gt;ReconciliationData[[#This Row],[Contract_Price]]),1,0)</f>
        <v>0</v>
      </c>
      <c r="T3368">
        <f>IF(AND(NOT(ISBLANK(ReconciliationData[[#This Row],[End_Date]])),ReconciliationData[[#This Row],[Order_Date]]&gt;ReconciliationData[[#This Row],[End_Date]]),1,0)</f>
        <v>0</v>
      </c>
      <c r="U3368">
        <f>IF(AND(NOT(ISBLANK(ReconciliationData[[#This Row],[last_return_date]])),ReconciliationData[[#This Row],[last_return_date]]&gt;ReconciliationData[[#This Row],[Order_Date]]+60),1,0)</f>
        <v>0</v>
      </c>
      <c r="V3368">
        <f>IF(ReconciliationData[[#This Row],[total_returned_units]]&gt;ReconciliationData[[#This Row],[ordered_units]],1,0)</f>
        <v>0</v>
      </c>
      <c r="W33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8">
        <f>ReconciliationData[[#This Row],[Billed_Units]]*ReconciliationData[[#This Row],[Billed_Price]]</f>
        <v>25478.239999999998</v>
      </c>
      <c r="Y3368">
        <f>ReconciliationData[[#This Row],[ordered_units]]*ReconciliationData[[#This Row],[List_Price]]</f>
        <v>25478.239999999998</v>
      </c>
      <c r="Z3368">
        <f>ReconciliationData[[#This Row],[billed_revenue]]-ReconciliationData[[#This Row],[expected_revenue]]</f>
        <v>0</v>
      </c>
      <c r="AA33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8" t="str">
        <f>IF(ReconciliationData[[#This Row],[severity_score]]=0,"LOW",
 IF(ReconciliationData[[#This Row],[severity_score]]&lt;=5,"MEDIUM","HIGH"))</f>
        <v>LOW</v>
      </c>
      <c r="AC3368" t="str">
        <f>TEXT(ReconciliationData[[#This Row],[Order_Date]],"YYYY-MM")</f>
        <v>2023-02</v>
      </c>
    </row>
    <row r="3369" spans="1:29">
      <c r="A3369" t="s">
        <v>7956</v>
      </c>
      <c r="B3369" s="1">
        <v>45529</v>
      </c>
      <c r="C3369" t="s">
        <v>5425</v>
      </c>
      <c r="D3369" t="s">
        <v>1812</v>
      </c>
      <c r="E3369">
        <v>172</v>
      </c>
      <c r="F3369" t="s">
        <v>7957</v>
      </c>
      <c r="G3369">
        <v>172</v>
      </c>
      <c r="H3369">
        <v>226.88399999999999</v>
      </c>
      <c r="N3369">
        <v>226.88399999999999</v>
      </c>
      <c r="O3369" s="1">
        <v>45086</v>
      </c>
      <c r="P3369">
        <f>IF(ISBLANK(ReconciliationData[[#This Row],[Invoice_ID]]),1,0)</f>
        <v>0</v>
      </c>
      <c r="Q3369">
        <f>IF(AND(NOT(ISBLANK(ReconciliationData[[#This Row],[Billed_Units]])),ReconciliationData[[#This Row],[ordered_units]]&lt;&gt;ReconciliationData[[#This Row],[Billed_Units]]),1,0)</f>
        <v>0</v>
      </c>
      <c r="R33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69">
        <f>IF(AND(NOT(ISBLANK(ReconciliationData[[#This Row],[Contract_Price]])),ReconciliationData[[#This Row],[Billed_Price]]&lt;&gt;ReconciliationData[[#This Row],[Contract_Price]]),1,0)</f>
        <v>0</v>
      </c>
      <c r="T3369">
        <f>IF(AND(NOT(ISBLANK(ReconciliationData[[#This Row],[End_Date]])),ReconciliationData[[#This Row],[Order_Date]]&gt;ReconciliationData[[#This Row],[End_Date]]),1,0)</f>
        <v>0</v>
      </c>
      <c r="U3369">
        <f>IF(AND(NOT(ISBLANK(ReconciliationData[[#This Row],[last_return_date]])),ReconciliationData[[#This Row],[last_return_date]]&gt;ReconciliationData[[#This Row],[Order_Date]]+60),1,0)</f>
        <v>0</v>
      </c>
      <c r="V3369">
        <f>IF(ReconciliationData[[#This Row],[total_returned_units]]&gt;ReconciliationData[[#This Row],[ordered_units]],1,0)</f>
        <v>0</v>
      </c>
      <c r="W33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69">
        <f>ReconciliationData[[#This Row],[Billed_Units]]*ReconciliationData[[#This Row],[Billed_Price]]</f>
        <v>39024.047999999995</v>
      </c>
      <c r="Y3369">
        <f>ReconciliationData[[#This Row],[ordered_units]]*ReconciliationData[[#This Row],[List_Price]]</f>
        <v>39024.047999999995</v>
      </c>
      <c r="Z3369">
        <f>ReconciliationData[[#This Row],[billed_revenue]]-ReconciliationData[[#This Row],[expected_revenue]]</f>
        <v>0</v>
      </c>
      <c r="AA33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69" t="str">
        <f>IF(ReconciliationData[[#This Row],[severity_score]]=0,"LOW",
 IF(ReconciliationData[[#This Row],[severity_score]]&lt;=5,"MEDIUM","HIGH"))</f>
        <v>LOW</v>
      </c>
      <c r="AC3369" t="str">
        <f>TEXT(ReconciliationData[[#This Row],[Order_Date]],"YYYY-MM")</f>
        <v>2024-08</v>
      </c>
    </row>
    <row r="3370" spans="1:29">
      <c r="A3370" t="s">
        <v>7958</v>
      </c>
      <c r="B3370" s="1">
        <v>45275</v>
      </c>
      <c r="C3370" t="s">
        <v>3174</v>
      </c>
      <c r="D3370" t="s">
        <v>389</v>
      </c>
      <c r="E3370">
        <v>191</v>
      </c>
      <c r="F3370" t="s">
        <v>7959</v>
      </c>
      <c r="G3370">
        <v>191</v>
      </c>
      <c r="H3370">
        <v>759.48969999999997</v>
      </c>
      <c r="N3370">
        <v>759.48969999999997</v>
      </c>
      <c r="O3370" s="1">
        <v>45138</v>
      </c>
      <c r="P3370">
        <f>IF(ISBLANK(ReconciliationData[[#This Row],[Invoice_ID]]),1,0)</f>
        <v>0</v>
      </c>
      <c r="Q3370">
        <f>IF(AND(NOT(ISBLANK(ReconciliationData[[#This Row],[Billed_Units]])),ReconciliationData[[#This Row],[ordered_units]]&lt;&gt;ReconciliationData[[#This Row],[Billed_Units]]),1,0)</f>
        <v>0</v>
      </c>
      <c r="R33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0">
        <f>IF(AND(NOT(ISBLANK(ReconciliationData[[#This Row],[Contract_Price]])),ReconciliationData[[#This Row],[Billed_Price]]&lt;&gt;ReconciliationData[[#This Row],[Contract_Price]]),1,0)</f>
        <v>0</v>
      </c>
      <c r="T3370">
        <f>IF(AND(NOT(ISBLANK(ReconciliationData[[#This Row],[End_Date]])),ReconciliationData[[#This Row],[Order_Date]]&gt;ReconciliationData[[#This Row],[End_Date]]),1,0)</f>
        <v>0</v>
      </c>
      <c r="U3370">
        <f>IF(AND(NOT(ISBLANK(ReconciliationData[[#This Row],[last_return_date]])),ReconciliationData[[#This Row],[last_return_date]]&gt;ReconciliationData[[#This Row],[Order_Date]]+60),1,0)</f>
        <v>0</v>
      </c>
      <c r="V3370">
        <f>IF(ReconciliationData[[#This Row],[total_returned_units]]&gt;ReconciliationData[[#This Row],[ordered_units]],1,0)</f>
        <v>0</v>
      </c>
      <c r="W33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0">
        <f>ReconciliationData[[#This Row],[Billed_Units]]*ReconciliationData[[#This Row],[Billed_Price]]</f>
        <v>145062.53269999998</v>
      </c>
      <c r="Y3370">
        <f>ReconciliationData[[#This Row],[ordered_units]]*ReconciliationData[[#This Row],[List_Price]]</f>
        <v>145062.53269999998</v>
      </c>
      <c r="Z3370">
        <f>ReconciliationData[[#This Row],[billed_revenue]]-ReconciliationData[[#This Row],[expected_revenue]]</f>
        <v>0</v>
      </c>
      <c r="AA33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0" t="str">
        <f>IF(ReconciliationData[[#This Row],[severity_score]]=0,"LOW",
 IF(ReconciliationData[[#This Row],[severity_score]]&lt;=5,"MEDIUM","HIGH"))</f>
        <v>LOW</v>
      </c>
      <c r="AC3370" t="str">
        <f>TEXT(ReconciliationData[[#This Row],[Order_Date]],"YYYY-MM")</f>
        <v>2023-12</v>
      </c>
    </row>
    <row r="3371" spans="1:29">
      <c r="A3371" t="s">
        <v>7960</v>
      </c>
      <c r="B3371" s="1">
        <v>45424</v>
      </c>
      <c r="C3371" t="s">
        <v>2451</v>
      </c>
      <c r="D3371" t="s">
        <v>573</v>
      </c>
      <c r="E3371">
        <v>51</v>
      </c>
      <c r="F3371" t="s">
        <v>7961</v>
      </c>
      <c r="G3371">
        <v>51</v>
      </c>
      <c r="H3371">
        <v>1223.9694</v>
      </c>
      <c r="N3371">
        <v>1223.9694</v>
      </c>
      <c r="O3371" s="1">
        <v>45154</v>
      </c>
      <c r="P3371">
        <f>IF(ISBLANK(ReconciliationData[[#This Row],[Invoice_ID]]),1,0)</f>
        <v>0</v>
      </c>
      <c r="Q3371">
        <f>IF(AND(NOT(ISBLANK(ReconciliationData[[#This Row],[Billed_Units]])),ReconciliationData[[#This Row],[ordered_units]]&lt;&gt;ReconciliationData[[#This Row],[Billed_Units]]),1,0)</f>
        <v>0</v>
      </c>
      <c r="R33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1">
        <f>IF(AND(NOT(ISBLANK(ReconciliationData[[#This Row],[Contract_Price]])),ReconciliationData[[#This Row],[Billed_Price]]&lt;&gt;ReconciliationData[[#This Row],[Contract_Price]]),1,0)</f>
        <v>0</v>
      </c>
      <c r="T3371">
        <f>IF(AND(NOT(ISBLANK(ReconciliationData[[#This Row],[End_Date]])),ReconciliationData[[#This Row],[Order_Date]]&gt;ReconciliationData[[#This Row],[End_Date]]),1,0)</f>
        <v>0</v>
      </c>
      <c r="U3371">
        <f>IF(AND(NOT(ISBLANK(ReconciliationData[[#This Row],[last_return_date]])),ReconciliationData[[#This Row],[last_return_date]]&gt;ReconciliationData[[#This Row],[Order_Date]]+60),1,0)</f>
        <v>0</v>
      </c>
      <c r="V3371">
        <f>IF(ReconciliationData[[#This Row],[total_returned_units]]&gt;ReconciliationData[[#This Row],[ordered_units]],1,0)</f>
        <v>0</v>
      </c>
      <c r="W33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1">
        <f>ReconciliationData[[#This Row],[Billed_Units]]*ReconciliationData[[#This Row],[Billed_Price]]</f>
        <v>62422.439399999996</v>
      </c>
      <c r="Y3371">
        <f>ReconciliationData[[#This Row],[ordered_units]]*ReconciliationData[[#This Row],[List_Price]]</f>
        <v>62422.439399999996</v>
      </c>
      <c r="Z3371">
        <f>ReconciliationData[[#This Row],[billed_revenue]]-ReconciliationData[[#This Row],[expected_revenue]]</f>
        <v>0</v>
      </c>
      <c r="AA33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1" t="str">
        <f>IF(ReconciliationData[[#This Row],[severity_score]]=0,"LOW",
 IF(ReconciliationData[[#This Row],[severity_score]]&lt;=5,"MEDIUM","HIGH"))</f>
        <v>LOW</v>
      </c>
      <c r="AC3371" t="str">
        <f>TEXT(ReconciliationData[[#This Row],[Order_Date]],"YYYY-MM")</f>
        <v>2024-05</v>
      </c>
    </row>
    <row r="3372" spans="1:29">
      <c r="A3372" t="s">
        <v>7962</v>
      </c>
      <c r="B3372" s="1">
        <v>45612</v>
      </c>
      <c r="C3372" t="s">
        <v>703</v>
      </c>
      <c r="D3372" t="s">
        <v>789</v>
      </c>
      <c r="E3372">
        <v>191</v>
      </c>
      <c r="F3372" t="s">
        <v>7963</v>
      </c>
      <c r="G3372">
        <v>191</v>
      </c>
      <c r="H3372">
        <v>1026.4637</v>
      </c>
      <c r="N3372">
        <v>1026.4637</v>
      </c>
      <c r="O3372" s="1">
        <v>44967</v>
      </c>
      <c r="P3372">
        <f>IF(ISBLANK(ReconciliationData[[#This Row],[Invoice_ID]]),1,0)</f>
        <v>0</v>
      </c>
      <c r="Q3372">
        <f>IF(AND(NOT(ISBLANK(ReconciliationData[[#This Row],[Billed_Units]])),ReconciliationData[[#This Row],[ordered_units]]&lt;&gt;ReconciliationData[[#This Row],[Billed_Units]]),1,0)</f>
        <v>0</v>
      </c>
      <c r="R33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2">
        <f>IF(AND(NOT(ISBLANK(ReconciliationData[[#This Row],[Contract_Price]])),ReconciliationData[[#This Row],[Billed_Price]]&lt;&gt;ReconciliationData[[#This Row],[Contract_Price]]),1,0)</f>
        <v>0</v>
      </c>
      <c r="T3372">
        <f>IF(AND(NOT(ISBLANK(ReconciliationData[[#This Row],[End_Date]])),ReconciliationData[[#This Row],[Order_Date]]&gt;ReconciliationData[[#This Row],[End_Date]]),1,0)</f>
        <v>0</v>
      </c>
      <c r="U3372">
        <f>IF(AND(NOT(ISBLANK(ReconciliationData[[#This Row],[last_return_date]])),ReconciliationData[[#This Row],[last_return_date]]&gt;ReconciliationData[[#This Row],[Order_Date]]+60),1,0)</f>
        <v>0</v>
      </c>
      <c r="V3372">
        <f>IF(ReconciliationData[[#This Row],[total_returned_units]]&gt;ReconciliationData[[#This Row],[ordered_units]],1,0)</f>
        <v>0</v>
      </c>
      <c r="W33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2">
        <f>ReconciliationData[[#This Row],[Billed_Units]]*ReconciliationData[[#This Row],[Billed_Price]]</f>
        <v>196054.5667</v>
      </c>
      <c r="Y3372">
        <f>ReconciliationData[[#This Row],[ordered_units]]*ReconciliationData[[#This Row],[List_Price]]</f>
        <v>196054.5667</v>
      </c>
      <c r="Z3372">
        <f>ReconciliationData[[#This Row],[billed_revenue]]-ReconciliationData[[#This Row],[expected_revenue]]</f>
        <v>0</v>
      </c>
      <c r="AA33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2" t="str">
        <f>IF(ReconciliationData[[#This Row],[severity_score]]=0,"LOW",
 IF(ReconciliationData[[#This Row],[severity_score]]&lt;=5,"MEDIUM","HIGH"))</f>
        <v>LOW</v>
      </c>
      <c r="AC3372" t="str">
        <f>TEXT(ReconciliationData[[#This Row],[Order_Date]],"YYYY-MM")</f>
        <v>2024-11</v>
      </c>
    </row>
    <row r="3373" spans="1:29">
      <c r="A3373" t="s">
        <v>7964</v>
      </c>
      <c r="B3373" s="1">
        <v>45260</v>
      </c>
      <c r="C3373" t="s">
        <v>1270</v>
      </c>
      <c r="D3373" t="s">
        <v>1449</v>
      </c>
      <c r="E3373">
        <v>178</v>
      </c>
      <c r="F3373" t="s">
        <v>7965</v>
      </c>
      <c r="G3373">
        <v>178</v>
      </c>
      <c r="H3373">
        <v>960.85850000000005</v>
      </c>
      <c r="N3373">
        <v>960.85850000000005</v>
      </c>
      <c r="O3373" s="1">
        <v>45049</v>
      </c>
      <c r="P3373">
        <f>IF(ISBLANK(ReconciliationData[[#This Row],[Invoice_ID]]),1,0)</f>
        <v>0</v>
      </c>
      <c r="Q3373">
        <f>IF(AND(NOT(ISBLANK(ReconciliationData[[#This Row],[Billed_Units]])),ReconciliationData[[#This Row],[ordered_units]]&lt;&gt;ReconciliationData[[#This Row],[Billed_Units]]),1,0)</f>
        <v>0</v>
      </c>
      <c r="R33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3">
        <f>IF(AND(NOT(ISBLANK(ReconciliationData[[#This Row],[Contract_Price]])),ReconciliationData[[#This Row],[Billed_Price]]&lt;&gt;ReconciliationData[[#This Row],[Contract_Price]]),1,0)</f>
        <v>0</v>
      </c>
      <c r="T3373">
        <f>IF(AND(NOT(ISBLANK(ReconciliationData[[#This Row],[End_Date]])),ReconciliationData[[#This Row],[Order_Date]]&gt;ReconciliationData[[#This Row],[End_Date]]),1,0)</f>
        <v>0</v>
      </c>
      <c r="U3373">
        <f>IF(AND(NOT(ISBLANK(ReconciliationData[[#This Row],[last_return_date]])),ReconciliationData[[#This Row],[last_return_date]]&gt;ReconciliationData[[#This Row],[Order_Date]]+60),1,0)</f>
        <v>0</v>
      </c>
      <c r="V3373">
        <f>IF(ReconciliationData[[#This Row],[total_returned_units]]&gt;ReconciliationData[[#This Row],[ordered_units]],1,0)</f>
        <v>0</v>
      </c>
      <c r="W33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3">
        <f>ReconciliationData[[#This Row],[Billed_Units]]*ReconciliationData[[#This Row],[Billed_Price]]</f>
        <v>171032.81299999999</v>
      </c>
      <c r="Y3373">
        <f>ReconciliationData[[#This Row],[ordered_units]]*ReconciliationData[[#This Row],[List_Price]]</f>
        <v>171032.81299999999</v>
      </c>
      <c r="Z3373">
        <f>ReconciliationData[[#This Row],[billed_revenue]]-ReconciliationData[[#This Row],[expected_revenue]]</f>
        <v>0</v>
      </c>
      <c r="AA33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3" t="str">
        <f>IF(ReconciliationData[[#This Row],[severity_score]]=0,"LOW",
 IF(ReconciliationData[[#This Row],[severity_score]]&lt;=5,"MEDIUM","HIGH"))</f>
        <v>LOW</v>
      </c>
      <c r="AC3373" t="str">
        <f>TEXT(ReconciliationData[[#This Row],[Order_Date]],"YYYY-MM")</f>
        <v>2023-11</v>
      </c>
    </row>
    <row r="3374" spans="1:29">
      <c r="A3374" t="s">
        <v>7966</v>
      </c>
      <c r="B3374" s="1">
        <v>45397</v>
      </c>
      <c r="C3374" t="s">
        <v>2168</v>
      </c>
      <c r="D3374" t="s">
        <v>349</v>
      </c>
      <c r="E3374">
        <v>117</v>
      </c>
      <c r="F3374" t="s">
        <v>7967</v>
      </c>
      <c r="G3374">
        <v>117</v>
      </c>
      <c r="H3374">
        <v>61.845300000000002</v>
      </c>
      <c r="N3374">
        <v>61.845300000000002</v>
      </c>
      <c r="O3374" s="1">
        <v>45226</v>
      </c>
      <c r="P3374">
        <f>IF(ISBLANK(ReconciliationData[[#This Row],[Invoice_ID]]),1,0)</f>
        <v>0</v>
      </c>
      <c r="Q3374">
        <f>IF(AND(NOT(ISBLANK(ReconciliationData[[#This Row],[Billed_Units]])),ReconciliationData[[#This Row],[ordered_units]]&lt;&gt;ReconciliationData[[#This Row],[Billed_Units]]),1,0)</f>
        <v>0</v>
      </c>
      <c r="R33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4">
        <f>IF(AND(NOT(ISBLANK(ReconciliationData[[#This Row],[Contract_Price]])),ReconciliationData[[#This Row],[Billed_Price]]&lt;&gt;ReconciliationData[[#This Row],[Contract_Price]]),1,0)</f>
        <v>0</v>
      </c>
      <c r="T3374">
        <f>IF(AND(NOT(ISBLANK(ReconciliationData[[#This Row],[End_Date]])),ReconciliationData[[#This Row],[Order_Date]]&gt;ReconciliationData[[#This Row],[End_Date]]),1,0)</f>
        <v>0</v>
      </c>
      <c r="U3374">
        <f>IF(AND(NOT(ISBLANK(ReconciliationData[[#This Row],[last_return_date]])),ReconciliationData[[#This Row],[last_return_date]]&gt;ReconciliationData[[#This Row],[Order_Date]]+60),1,0)</f>
        <v>0</v>
      </c>
      <c r="V3374">
        <f>IF(ReconciliationData[[#This Row],[total_returned_units]]&gt;ReconciliationData[[#This Row],[ordered_units]],1,0)</f>
        <v>0</v>
      </c>
      <c r="W33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4">
        <f>ReconciliationData[[#This Row],[Billed_Units]]*ReconciliationData[[#This Row],[Billed_Price]]</f>
        <v>7235.9000999999998</v>
      </c>
      <c r="Y3374">
        <f>ReconciliationData[[#This Row],[ordered_units]]*ReconciliationData[[#This Row],[List_Price]]</f>
        <v>7235.9000999999998</v>
      </c>
      <c r="Z3374">
        <f>ReconciliationData[[#This Row],[billed_revenue]]-ReconciliationData[[#This Row],[expected_revenue]]</f>
        <v>0</v>
      </c>
      <c r="AA33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4" t="str">
        <f>IF(ReconciliationData[[#This Row],[severity_score]]=0,"LOW",
 IF(ReconciliationData[[#This Row],[severity_score]]&lt;=5,"MEDIUM","HIGH"))</f>
        <v>LOW</v>
      </c>
      <c r="AC3374" t="str">
        <f>TEXT(ReconciliationData[[#This Row],[Order_Date]],"YYYY-MM")</f>
        <v>2024-04</v>
      </c>
    </row>
    <row r="3375" spans="1:29">
      <c r="A3375" t="s">
        <v>7968</v>
      </c>
      <c r="B3375" s="1">
        <v>45137</v>
      </c>
      <c r="C3375" t="s">
        <v>5032</v>
      </c>
      <c r="D3375" t="s">
        <v>170</v>
      </c>
      <c r="E3375">
        <v>71</v>
      </c>
      <c r="F3375" t="s">
        <v>7969</v>
      </c>
      <c r="G3375">
        <v>71</v>
      </c>
      <c r="H3375">
        <v>397.40159999999997</v>
      </c>
      <c r="N3375">
        <v>397.40159999999997</v>
      </c>
      <c r="O3375" s="1">
        <v>45021</v>
      </c>
      <c r="P3375">
        <f>IF(ISBLANK(ReconciliationData[[#This Row],[Invoice_ID]]),1,0)</f>
        <v>0</v>
      </c>
      <c r="Q3375">
        <f>IF(AND(NOT(ISBLANK(ReconciliationData[[#This Row],[Billed_Units]])),ReconciliationData[[#This Row],[ordered_units]]&lt;&gt;ReconciliationData[[#This Row],[Billed_Units]]),1,0)</f>
        <v>0</v>
      </c>
      <c r="R33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5">
        <f>IF(AND(NOT(ISBLANK(ReconciliationData[[#This Row],[Contract_Price]])),ReconciliationData[[#This Row],[Billed_Price]]&lt;&gt;ReconciliationData[[#This Row],[Contract_Price]]),1,0)</f>
        <v>0</v>
      </c>
      <c r="T3375">
        <f>IF(AND(NOT(ISBLANK(ReconciliationData[[#This Row],[End_Date]])),ReconciliationData[[#This Row],[Order_Date]]&gt;ReconciliationData[[#This Row],[End_Date]]),1,0)</f>
        <v>0</v>
      </c>
      <c r="U3375">
        <f>IF(AND(NOT(ISBLANK(ReconciliationData[[#This Row],[last_return_date]])),ReconciliationData[[#This Row],[last_return_date]]&gt;ReconciliationData[[#This Row],[Order_Date]]+60),1,0)</f>
        <v>0</v>
      </c>
      <c r="V3375">
        <f>IF(ReconciliationData[[#This Row],[total_returned_units]]&gt;ReconciliationData[[#This Row],[ordered_units]],1,0)</f>
        <v>0</v>
      </c>
      <c r="W33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5">
        <f>ReconciliationData[[#This Row],[Billed_Units]]*ReconciliationData[[#This Row],[Billed_Price]]</f>
        <v>28215.513599999998</v>
      </c>
      <c r="Y3375">
        <f>ReconciliationData[[#This Row],[ordered_units]]*ReconciliationData[[#This Row],[List_Price]]</f>
        <v>28215.513599999998</v>
      </c>
      <c r="Z3375">
        <f>ReconciliationData[[#This Row],[billed_revenue]]-ReconciliationData[[#This Row],[expected_revenue]]</f>
        <v>0</v>
      </c>
      <c r="AA33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5" t="str">
        <f>IF(ReconciliationData[[#This Row],[severity_score]]=0,"LOW",
 IF(ReconciliationData[[#This Row],[severity_score]]&lt;=5,"MEDIUM","HIGH"))</f>
        <v>LOW</v>
      </c>
      <c r="AC3375" t="str">
        <f>TEXT(ReconciliationData[[#This Row],[Order_Date]],"YYYY-MM")</f>
        <v>2023-07</v>
      </c>
    </row>
    <row r="3376" spans="1:29">
      <c r="A3376" t="s">
        <v>7970</v>
      </c>
      <c r="B3376" s="1">
        <v>45066</v>
      </c>
      <c r="C3376" t="s">
        <v>670</v>
      </c>
      <c r="D3376" t="s">
        <v>231</v>
      </c>
      <c r="E3376">
        <v>65</v>
      </c>
      <c r="F3376" t="s">
        <v>7971</v>
      </c>
      <c r="G3376">
        <v>65</v>
      </c>
      <c r="H3376">
        <v>77.398200000000003</v>
      </c>
      <c r="N3376">
        <v>77.398200000000003</v>
      </c>
      <c r="O3376" s="1">
        <v>45032</v>
      </c>
      <c r="P3376">
        <f>IF(ISBLANK(ReconciliationData[[#This Row],[Invoice_ID]]),1,0)</f>
        <v>0</v>
      </c>
      <c r="Q3376">
        <f>IF(AND(NOT(ISBLANK(ReconciliationData[[#This Row],[Billed_Units]])),ReconciliationData[[#This Row],[ordered_units]]&lt;&gt;ReconciliationData[[#This Row],[Billed_Units]]),1,0)</f>
        <v>0</v>
      </c>
      <c r="R33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6">
        <f>IF(AND(NOT(ISBLANK(ReconciliationData[[#This Row],[Contract_Price]])),ReconciliationData[[#This Row],[Billed_Price]]&lt;&gt;ReconciliationData[[#This Row],[Contract_Price]]),1,0)</f>
        <v>0</v>
      </c>
      <c r="T3376">
        <f>IF(AND(NOT(ISBLANK(ReconciliationData[[#This Row],[End_Date]])),ReconciliationData[[#This Row],[Order_Date]]&gt;ReconciliationData[[#This Row],[End_Date]]),1,0)</f>
        <v>0</v>
      </c>
      <c r="U3376">
        <f>IF(AND(NOT(ISBLANK(ReconciliationData[[#This Row],[last_return_date]])),ReconciliationData[[#This Row],[last_return_date]]&gt;ReconciliationData[[#This Row],[Order_Date]]+60),1,0)</f>
        <v>0</v>
      </c>
      <c r="V3376">
        <f>IF(ReconciliationData[[#This Row],[total_returned_units]]&gt;ReconciliationData[[#This Row],[ordered_units]],1,0)</f>
        <v>0</v>
      </c>
      <c r="W33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6">
        <f>ReconciliationData[[#This Row],[Billed_Units]]*ReconciliationData[[#This Row],[Billed_Price]]</f>
        <v>5030.8829999999998</v>
      </c>
      <c r="Y3376">
        <f>ReconciliationData[[#This Row],[ordered_units]]*ReconciliationData[[#This Row],[List_Price]]</f>
        <v>5030.8829999999998</v>
      </c>
      <c r="Z3376">
        <f>ReconciliationData[[#This Row],[billed_revenue]]-ReconciliationData[[#This Row],[expected_revenue]]</f>
        <v>0</v>
      </c>
      <c r="AA33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6" t="str">
        <f>IF(ReconciliationData[[#This Row],[severity_score]]=0,"LOW",
 IF(ReconciliationData[[#This Row],[severity_score]]&lt;=5,"MEDIUM","HIGH"))</f>
        <v>LOW</v>
      </c>
      <c r="AC3376" t="str">
        <f>TEXT(ReconciliationData[[#This Row],[Order_Date]],"YYYY-MM")</f>
        <v>2023-05</v>
      </c>
    </row>
    <row r="3377" spans="1:29">
      <c r="A3377" t="s">
        <v>7972</v>
      </c>
      <c r="B3377" s="1">
        <v>45274</v>
      </c>
      <c r="C3377" t="s">
        <v>1093</v>
      </c>
      <c r="D3377" t="s">
        <v>789</v>
      </c>
      <c r="E3377">
        <v>184</v>
      </c>
      <c r="F3377" t="s">
        <v>7973</v>
      </c>
      <c r="G3377">
        <v>184</v>
      </c>
      <c r="H3377">
        <v>1026.4637</v>
      </c>
      <c r="N3377">
        <v>1026.4637</v>
      </c>
      <c r="O3377" s="1">
        <v>44967</v>
      </c>
      <c r="P3377">
        <f>IF(ISBLANK(ReconciliationData[[#This Row],[Invoice_ID]]),1,0)</f>
        <v>0</v>
      </c>
      <c r="Q3377">
        <f>IF(AND(NOT(ISBLANK(ReconciliationData[[#This Row],[Billed_Units]])),ReconciliationData[[#This Row],[ordered_units]]&lt;&gt;ReconciliationData[[#This Row],[Billed_Units]]),1,0)</f>
        <v>0</v>
      </c>
      <c r="R33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7">
        <f>IF(AND(NOT(ISBLANK(ReconciliationData[[#This Row],[Contract_Price]])),ReconciliationData[[#This Row],[Billed_Price]]&lt;&gt;ReconciliationData[[#This Row],[Contract_Price]]),1,0)</f>
        <v>0</v>
      </c>
      <c r="T3377">
        <f>IF(AND(NOT(ISBLANK(ReconciliationData[[#This Row],[End_Date]])),ReconciliationData[[#This Row],[Order_Date]]&gt;ReconciliationData[[#This Row],[End_Date]]),1,0)</f>
        <v>0</v>
      </c>
      <c r="U3377">
        <f>IF(AND(NOT(ISBLANK(ReconciliationData[[#This Row],[last_return_date]])),ReconciliationData[[#This Row],[last_return_date]]&gt;ReconciliationData[[#This Row],[Order_Date]]+60),1,0)</f>
        <v>0</v>
      </c>
      <c r="V3377">
        <f>IF(ReconciliationData[[#This Row],[total_returned_units]]&gt;ReconciliationData[[#This Row],[ordered_units]],1,0)</f>
        <v>0</v>
      </c>
      <c r="W33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7">
        <f>ReconciliationData[[#This Row],[Billed_Units]]*ReconciliationData[[#This Row],[Billed_Price]]</f>
        <v>188869.32080000002</v>
      </c>
      <c r="Y3377">
        <f>ReconciliationData[[#This Row],[ordered_units]]*ReconciliationData[[#This Row],[List_Price]]</f>
        <v>188869.32080000002</v>
      </c>
      <c r="Z3377">
        <f>ReconciliationData[[#This Row],[billed_revenue]]-ReconciliationData[[#This Row],[expected_revenue]]</f>
        <v>0</v>
      </c>
      <c r="AA33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7" t="str">
        <f>IF(ReconciliationData[[#This Row],[severity_score]]=0,"LOW",
 IF(ReconciliationData[[#This Row],[severity_score]]&lt;=5,"MEDIUM","HIGH"))</f>
        <v>LOW</v>
      </c>
      <c r="AC3377" t="str">
        <f>TEXT(ReconciliationData[[#This Row],[Order_Date]],"YYYY-MM")</f>
        <v>2023-12</v>
      </c>
    </row>
    <row r="3378" spans="1:29">
      <c r="A3378" t="s">
        <v>7974</v>
      </c>
      <c r="B3378" s="1">
        <v>45286</v>
      </c>
      <c r="C3378" t="s">
        <v>1760</v>
      </c>
      <c r="D3378" t="s">
        <v>1294</v>
      </c>
      <c r="E3378">
        <v>32</v>
      </c>
      <c r="F3378" t="s">
        <v>7975</v>
      </c>
      <c r="G3378">
        <v>32</v>
      </c>
      <c r="H3378">
        <v>825.40440000000001</v>
      </c>
      <c r="N3378">
        <v>825.40440000000001</v>
      </c>
      <c r="O3378" s="1">
        <v>45105</v>
      </c>
      <c r="P3378">
        <f>IF(ISBLANK(ReconciliationData[[#This Row],[Invoice_ID]]),1,0)</f>
        <v>0</v>
      </c>
      <c r="Q3378">
        <f>IF(AND(NOT(ISBLANK(ReconciliationData[[#This Row],[Billed_Units]])),ReconciliationData[[#This Row],[ordered_units]]&lt;&gt;ReconciliationData[[#This Row],[Billed_Units]]),1,0)</f>
        <v>0</v>
      </c>
      <c r="R33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8">
        <f>IF(AND(NOT(ISBLANK(ReconciliationData[[#This Row],[Contract_Price]])),ReconciliationData[[#This Row],[Billed_Price]]&lt;&gt;ReconciliationData[[#This Row],[Contract_Price]]),1,0)</f>
        <v>0</v>
      </c>
      <c r="T3378">
        <f>IF(AND(NOT(ISBLANK(ReconciliationData[[#This Row],[End_Date]])),ReconciliationData[[#This Row],[Order_Date]]&gt;ReconciliationData[[#This Row],[End_Date]]),1,0)</f>
        <v>0</v>
      </c>
      <c r="U3378">
        <f>IF(AND(NOT(ISBLANK(ReconciliationData[[#This Row],[last_return_date]])),ReconciliationData[[#This Row],[last_return_date]]&gt;ReconciliationData[[#This Row],[Order_Date]]+60),1,0)</f>
        <v>0</v>
      </c>
      <c r="V3378">
        <f>IF(ReconciliationData[[#This Row],[total_returned_units]]&gt;ReconciliationData[[#This Row],[ordered_units]],1,0)</f>
        <v>0</v>
      </c>
      <c r="W33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8">
        <f>ReconciliationData[[#This Row],[Billed_Units]]*ReconciliationData[[#This Row],[Billed_Price]]</f>
        <v>26412.9408</v>
      </c>
      <c r="Y3378">
        <f>ReconciliationData[[#This Row],[ordered_units]]*ReconciliationData[[#This Row],[List_Price]]</f>
        <v>26412.9408</v>
      </c>
      <c r="Z3378">
        <f>ReconciliationData[[#This Row],[billed_revenue]]-ReconciliationData[[#This Row],[expected_revenue]]</f>
        <v>0</v>
      </c>
      <c r="AA33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8" t="str">
        <f>IF(ReconciliationData[[#This Row],[severity_score]]=0,"LOW",
 IF(ReconciliationData[[#This Row],[severity_score]]&lt;=5,"MEDIUM","HIGH"))</f>
        <v>LOW</v>
      </c>
      <c r="AC3378" t="str">
        <f>TEXT(ReconciliationData[[#This Row],[Order_Date]],"YYYY-MM")</f>
        <v>2023-12</v>
      </c>
    </row>
    <row r="3379" spans="1:29">
      <c r="A3379" t="s">
        <v>7976</v>
      </c>
      <c r="B3379" s="1">
        <v>45397</v>
      </c>
      <c r="C3379" t="s">
        <v>1178</v>
      </c>
      <c r="D3379" t="s">
        <v>1057</v>
      </c>
      <c r="E3379">
        <v>87</v>
      </c>
      <c r="F3379" t="s">
        <v>7977</v>
      </c>
      <c r="G3379">
        <v>87</v>
      </c>
      <c r="H3379">
        <v>212.07900000000001</v>
      </c>
      <c r="N3379">
        <v>212.07900000000001</v>
      </c>
      <c r="O3379" s="1">
        <v>45057</v>
      </c>
      <c r="P3379">
        <f>IF(ISBLANK(ReconciliationData[[#This Row],[Invoice_ID]]),1,0)</f>
        <v>0</v>
      </c>
      <c r="Q3379">
        <f>IF(AND(NOT(ISBLANK(ReconciliationData[[#This Row],[Billed_Units]])),ReconciliationData[[#This Row],[ordered_units]]&lt;&gt;ReconciliationData[[#This Row],[Billed_Units]]),1,0)</f>
        <v>0</v>
      </c>
      <c r="R33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79">
        <f>IF(AND(NOT(ISBLANK(ReconciliationData[[#This Row],[Contract_Price]])),ReconciliationData[[#This Row],[Billed_Price]]&lt;&gt;ReconciliationData[[#This Row],[Contract_Price]]),1,0)</f>
        <v>0</v>
      </c>
      <c r="T3379">
        <f>IF(AND(NOT(ISBLANK(ReconciliationData[[#This Row],[End_Date]])),ReconciliationData[[#This Row],[Order_Date]]&gt;ReconciliationData[[#This Row],[End_Date]]),1,0)</f>
        <v>0</v>
      </c>
      <c r="U3379">
        <f>IF(AND(NOT(ISBLANK(ReconciliationData[[#This Row],[last_return_date]])),ReconciliationData[[#This Row],[last_return_date]]&gt;ReconciliationData[[#This Row],[Order_Date]]+60),1,0)</f>
        <v>0</v>
      </c>
      <c r="V3379">
        <f>IF(ReconciliationData[[#This Row],[total_returned_units]]&gt;ReconciliationData[[#This Row],[ordered_units]],1,0)</f>
        <v>0</v>
      </c>
      <c r="W33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79">
        <f>ReconciliationData[[#This Row],[Billed_Units]]*ReconciliationData[[#This Row],[Billed_Price]]</f>
        <v>18450.873</v>
      </c>
      <c r="Y3379">
        <f>ReconciliationData[[#This Row],[ordered_units]]*ReconciliationData[[#This Row],[List_Price]]</f>
        <v>18450.873</v>
      </c>
      <c r="Z3379">
        <f>ReconciliationData[[#This Row],[billed_revenue]]-ReconciliationData[[#This Row],[expected_revenue]]</f>
        <v>0</v>
      </c>
      <c r="AA33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79" t="str">
        <f>IF(ReconciliationData[[#This Row],[severity_score]]=0,"LOW",
 IF(ReconciliationData[[#This Row],[severity_score]]&lt;=5,"MEDIUM","HIGH"))</f>
        <v>LOW</v>
      </c>
      <c r="AC3379" t="str">
        <f>TEXT(ReconciliationData[[#This Row],[Order_Date]],"YYYY-MM")</f>
        <v>2024-04</v>
      </c>
    </row>
    <row r="3380" spans="1:29">
      <c r="A3380" t="s">
        <v>7978</v>
      </c>
      <c r="B3380" s="1">
        <v>45632</v>
      </c>
      <c r="C3380" t="s">
        <v>654</v>
      </c>
      <c r="D3380" t="s">
        <v>1083</v>
      </c>
      <c r="E3380">
        <v>155</v>
      </c>
      <c r="F3380" t="s">
        <v>7979</v>
      </c>
      <c r="G3380">
        <v>155</v>
      </c>
      <c r="H3380">
        <v>479.40280000000007</v>
      </c>
      <c r="N3380">
        <v>479.40280000000007</v>
      </c>
      <c r="O3380" s="1">
        <v>44941</v>
      </c>
      <c r="P3380">
        <f>IF(ISBLANK(ReconciliationData[[#This Row],[Invoice_ID]]),1,0)</f>
        <v>0</v>
      </c>
      <c r="Q3380">
        <f>IF(AND(NOT(ISBLANK(ReconciliationData[[#This Row],[Billed_Units]])),ReconciliationData[[#This Row],[ordered_units]]&lt;&gt;ReconciliationData[[#This Row],[Billed_Units]]),1,0)</f>
        <v>0</v>
      </c>
      <c r="R33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80">
        <f>IF(AND(NOT(ISBLANK(ReconciliationData[[#This Row],[Contract_Price]])),ReconciliationData[[#This Row],[Billed_Price]]&lt;&gt;ReconciliationData[[#This Row],[Contract_Price]]),1,0)</f>
        <v>0</v>
      </c>
      <c r="T3380">
        <f>IF(AND(NOT(ISBLANK(ReconciliationData[[#This Row],[End_Date]])),ReconciliationData[[#This Row],[Order_Date]]&gt;ReconciliationData[[#This Row],[End_Date]]),1,0)</f>
        <v>0</v>
      </c>
      <c r="U3380">
        <f>IF(AND(NOT(ISBLANK(ReconciliationData[[#This Row],[last_return_date]])),ReconciliationData[[#This Row],[last_return_date]]&gt;ReconciliationData[[#This Row],[Order_Date]]+60),1,0)</f>
        <v>0</v>
      </c>
      <c r="V3380">
        <f>IF(ReconciliationData[[#This Row],[total_returned_units]]&gt;ReconciliationData[[#This Row],[ordered_units]],1,0)</f>
        <v>0</v>
      </c>
      <c r="W33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80">
        <f>ReconciliationData[[#This Row],[Billed_Units]]*ReconciliationData[[#This Row],[Billed_Price]]</f>
        <v>74307.434000000008</v>
      </c>
      <c r="Y3380">
        <f>ReconciliationData[[#This Row],[ordered_units]]*ReconciliationData[[#This Row],[List_Price]]</f>
        <v>74307.434000000008</v>
      </c>
      <c r="Z3380">
        <f>ReconciliationData[[#This Row],[billed_revenue]]-ReconciliationData[[#This Row],[expected_revenue]]</f>
        <v>0</v>
      </c>
      <c r="AA33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80" t="str">
        <f>IF(ReconciliationData[[#This Row],[severity_score]]=0,"LOW",
 IF(ReconciliationData[[#This Row],[severity_score]]&lt;=5,"MEDIUM","HIGH"))</f>
        <v>LOW</v>
      </c>
      <c r="AC3380" t="str">
        <f>TEXT(ReconciliationData[[#This Row],[Order_Date]],"YYYY-MM")</f>
        <v>2024-12</v>
      </c>
    </row>
    <row r="3381" spans="1:29">
      <c r="A3381" t="s">
        <v>7980</v>
      </c>
      <c r="B3381" s="1">
        <v>45548</v>
      </c>
      <c r="C3381" t="s">
        <v>5791</v>
      </c>
      <c r="D3381" t="s">
        <v>2489</v>
      </c>
      <c r="E3381">
        <v>165</v>
      </c>
      <c r="F3381" t="s">
        <v>7981</v>
      </c>
      <c r="G3381">
        <v>165</v>
      </c>
      <c r="H3381">
        <v>544.5</v>
      </c>
      <c r="N3381">
        <v>544.5</v>
      </c>
      <c r="O3381" s="1">
        <v>45159</v>
      </c>
      <c r="P3381">
        <f>IF(ISBLANK(ReconciliationData[[#This Row],[Invoice_ID]]),1,0)</f>
        <v>0</v>
      </c>
      <c r="Q3381">
        <f>IF(AND(NOT(ISBLANK(ReconciliationData[[#This Row],[Billed_Units]])),ReconciliationData[[#This Row],[ordered_units]]&lt;&gt;ReconciliationData[[#This Row],[Billed_Units]]),1,0)</f>
        <v>0</v>
      </c>
      <c r="R33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81">
        <f>IF(AND(NOT(ISBLANK(ReconciliationData[[#This Row],[Contract_Price]])),ReconciliationData[[#This Row],[Billed_Price]]&lt;&gt;ReconciliationData[[#This Row],[Contract_Price]]),1,0)</f>
        <v>0</v>
      </c>
      <c r="T3381">
        <f>IF(AND(NOT(ISBLANK(ReconciliationData[[#This Row],[End_Date]])),ReconciliationData[[#This Row],[Order_Date]]&gt;ReconciliationData[[#This Row],[End_Date]]),1,0)</f>
        <v>0</v>
      </c>
      <c r="U3381">
        <f>IF(AND(NOT(ISBLANK(ReconciliationData[[#This Row],[last_return_date]])),ReconciliationData[[#This Row],[last_return_date]]&gt;ReconciliationData[[#This Row],[Order_Date]]+60),1,0)</f>
        <v>0</v>
      </c>
      <c r="V3381">
        <f>IF(ReconciliationData[[#This Row],[total_returned_units]]&gt;ReconciliationData[[#This Row],[ordered_units]],1,0)</f>
        <v>0</v>
      </c>
      <c r="W33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81">
        <f>ReconciliationData[[#This Row],[Billed_Units]]*ReconciliationData[[#This Row],[Billed_Price]]</f>
        <v>89842.5</v>
      </c>
      <c r="Y3381">
        <f>ReconciliationData[[#This Row],[ordered_units]]*ReconciliationData[[#This Row],[List_Price]]</f>
        <v>89842.5</v>
      </c>
      <c r="Z3381">
        <f>ReconciliationData[[#This Row],[billed_revenue]]-ReconciliationData[[#This Row],[expected_revenue]]</f>
        <v>0</v>
      </c>
      <c r="AA33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81" t="str">
        <f>IF(ReconciliationData[[#This Row],[severity_score]]=0,"LOW",
 IF(ReconciliationData[[#This Row],[severity_score]]&lt;=5,"MEDIUM","HIGH"))</f>
        <v>LOW</v>
      </c>
      <c r="AC3381" t="str">
        <f>TEXT(ReconciliationData[[#This Row],[Order_Date]],"YYYY-MM")</f>
        <v>2024-09</v>
      </c>
    </row>
    <row r="3382" spans="1:29">
      <c r="A3382" t="s">
        <v>7982</v>
      </c>
      <c r="B3382" s="1">
        <v>45413</v>
      </c>
      <c r="C3382" t="s">
        <v>475</v>
      </c>
      <c r="D3382" t="s">
        <v>1414</v>
      </c>
      <c r="E3382">
        <v>119</v>
      </c>
      <c r="F3382" t="s">
        <v>7983</v>
      </c>
      <c r="G3382">
        <v>119</v>
      </c>
      <c r="H3382">
        <v>872.7808</v>
      </c>
      <c r="N3382">
        <v>872.7808</v>
      </c>
      <c r="O3382" s="1">
        <v>45225</v>
      </c>
      <c r="P3382">
        <f>IF(ISBLANK(ReconciliationData[[#This Row],[Invoice_ID]]),1,0)</f>
        <v>0</v>
      </c>
      <c r="Q3382">
        <f>IF(AND(NOT(ISBLANK(ReconciliationData[[#This Row],[Billed_Units]])),ReconciliationData[[#This Row],[ordered_units]]&lt;&gt;ReconciliationData[[#This Row],[Billed_Units]]),1,0)</f>
        <v>0</v>
      </c>
      <c r="R33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82">
        <f>IF(AND(NOT(ISBLANK(ReconciliationData[[#This Row],[Contract_Price]])),ReconciliationData[[#This Row],[Billed_Price]]&lt;&gt;ReconciliationData[[#This Row],[Contract_Price]]),1,0)</f>
        <v>0</v>
      </c>
      <c r="T3382">
        <f>IF(AND(NOT(ISBLANK(ReconciliationData[[#This Row],[End_Date]])),ReconciliationData[[#This Row],[Order_Date]]&gt;ReconciliationData[[#This Row],[End_Date]]),1,0)</f>
        <v>0</v>
      </c>
      <c r="U3382">
        <f>IF(AND(NOT(ISBLANK(ReconciliationData[[#This Row],[last_return_date]])),ReconciliationData[[#This Row],[last_return_date]]&gt;ReconciliationData[[#This Row],[Order_Date]]+60),1,0)</f>
        <v>0</v>
      </c>
      <c r="V3382">
        <f>IF(ReconciliationData[[#This Row],[total_returned_units]]&gt;ReconciliationData[[#This Row],[ordered_units]],1,0)</f>
        <v>0</v>
      </c>
      <c r="W33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82">
        <f>ReconciliationData[[#This Row],[Billed_Units]]*ReconciliationData[[#This Row],[Billed_Price]]</f>
        <v>103860.9152</v>
      </c>
      <c r="Y3382">
        <f>ReconciliationData[[#This Row],[ordered_units]]*ReconciliationData[[#This Row],[List_Price]]</f>
        <v>103860.9152</v>
      </c>
      <c r="Z3382">
        <f>ReconciliationData[[#This Row],[billed_revenue]]-ReconciliationData[[#This Row],[expected_revenue]]</f>
        <v>0</v>
      </c>
      <c r="AA33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82" t="str">
        <f>IF(ReconciliationData[[#This Row],[severity_score]]=0,"LOW",
 IF(ReconciliationData[[#This Row],[severity_score]]&lt;=5,"MEDIUM","HIGH"))</f>
        <v>LOW</v>
      </c>
      <c r="AC3382" t="str">
        <f>TEXT(ReconciliationData[[#This Row],[Order_Date]],"YYYY-MM")</f>
        <v>2024-05</v>
      </c>
    </row>
    <row r="3383" spans="1:29">
      <c r="A3383" t="s">
        <v>7984</v>
      </c>
      <c r="B3383" s="1">
        <v>45564</v>
      </c>
      <c r="C3383" t="s">
        <v>3878</v>
      </c>
      <c r="D3383" t="s">
        <v>1735</v>
      </c>
      <c r="E3383">
        <v>52</v>
      </c>
      <c r="F3383" t="s">
        <v>7985</v>
      </c>
      <c r="G3383">
        <v>52</v>
      </c>
      <c r="H3383">
        <v>191.1936</v>
      </c>
      <c r="N3383">
        <v>191.1936</v>
      </c>
      <c r="O3383" s="1">
        <v>45026</v>
      </c>
      <c r="P3383">
        <f>IF(ISBLANK(ReconciliationData[[#This Row],[Invoice_ID]]),1,0)</f>
        <v>0</v>
      </c>
      <c r="Q3383">
        <f>IF(AND(NOT(ISBLANK(ReconciliationData[[#This Row],[Billed_Units]])),ReconciliationData[[#This Row],[ordered_units]]&lt;&gt;ReconciliationData[[#This Row],[Billed_Units]]),1,0)</f>
        <v>0</v>
      </c>
      <c r="R33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83">
        <f>IF(AND(NOT(ISBLANK(ReconciliationData[[#This Row],[Contract_Price]])),ReconciliationData[[#This Row],[Billed_Price]]&lt;&gt;ReconciliationData[[#This Row],[Contract_Price]]),1,0)</f>
        <v>0</v>
      </c>
      <c r="T3383">
        <f>IF(AND(NOT(ISBLANK(ReconciliationData[[#This Row],[End_Date]])),ReconciliationData[[#This Row],[Order_Date]]&gt;ReconciliationData[[#This Row],[End_Date]]),1,0)</f>
        <v>0</v>
      </c>
      <c r="U3383">
        <f>IF(AND(NOT(ISBLANK(ReconciliationData[[#This Row],[last_return_date]])),ReconciliationData[[#This Row],[last_return_date]]&gt;ReconciliationData[[#This Row],[Order_Date]]+60),1,0)</f>
        <v>0</v>
      </c>
      <c r="V3383">
        <f>IF(ReconciliationData[[#This Row],[total_returned_units]]&gt;ReconciliationData[[#This Row],[ordered_units]],1,0)</f>
        <v>0</v>
      </c>
      <c r="W33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83">
        <f>ReconciliationData[[#This Row],[Billed_Units]]*ReconciliationData[[#This Row],[Billed_Price]]</f>
        <v>9942.0671999999995</v>
      </c>
      <c r="Y3383">
        <f>ReconciliationData[[#This Row],[ordered_units]]*ReconciliationData[[#This Row],[List_Price]]</f>
        <v>9942.0671999999995</v>
      </c>
      <c r="Z3383">
        <f>ReconciliationData[[#This Row],[billed_revenue]]-ReconciliationData[[#This Row],[expected_revenue]]</f>
        <v>0</v>
      </c>
      <c r="AA33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83" t="str">
        <f>IF(ReconciliationData[[#This Row],[severity_score]]=0,"LOW",
 IF(ReconciliationData[[#This Row],[severity_score]]&lt;=5,"MEDIUM","HIGH"))</f>
        <v>LOW</v>
      </c>
      <c r="AC3383" t="str">
        <f>TEXT(ReconciliationData[[#This Row],[Order_Date]],"YYYY-MM")</f>
        <v>2024-09</v>
      </c>
    </row>
    <row r="3384" spans="1:29">
      <c r="A3384" t="s">
        <v>7986</v>
      </c>
      <c r="B3384" s="1">
        <v>45117</v>
      </c>
      <c r="C3384" t="s">
        <v>2415</v>
      </c>
      <c r="D3384" t="s">
        <v>370</v>
      </c>
      <c r="E3384">
        <v>31</v>
      </c>
      <c r="F3384" t="s">
        <v>7987</v>
      </c>
      <c r="G3384">
        <v>31</v>
      </c>
      <c r="H3384">
        <v>639.91840000000002</v>
      </c>
      <c r="N3384">
        <v>639.91840000000002</v>
      </c>
      <c r="O3384" s="1">
        <v>44930</v>
      </c>
      <c r="P3384">
        <f>IF(ISBLANK(ReconciliationData[[#This Row],[Invoice_ID]]),1,0)</f>
        <v>0</v>
      </c>
      <c r="Q3384">
        <f>IF(AND(NOT(ISBLANK(ReconciliationData[[#This Row],[Billed_Units]])),ReconciliationData[[#This Row],[ordered_units]]&lt;&gt;ReconciliationData[[#This Row],[Billed_Units]]),1,0)</f>
        <v>0</v>
      </c>
      <c r="R33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84">
        <f>IF(AND(NOT(ISBLANK(ReconciliationData[[#This Row],[Contract_Price]])),ReconciliationData[[#This Row],[Billed_Price]]&lt;&gt;ReconciliationData[[#This Row],[Contract_Price]]),1,0)</f>
        <v>0</v>
      </c>
      <c r="T3384">
        <f>IF(AND(NOT(ISBLANK(ReconciliationData[[#This Row],[End_Date]])),ReconciliationData[[#This Row],[Order_Date]]&gt;ReconciliationData[[#This Row],[End_Date]]),1,0)</f>
        <v>0</v>
      </c>
      <c r="U3384">
        <f>IF(AND(NOT(ISBLANK(ReconciliationData[[#This Row],[last_return_date]])),ReconciliationData[[#This Row],[last_return_date]]&gt;ReconciliationData[[#This Row],[Order_Date]]+60),1,0)</f>
        <v>0</v>
      </c>
      <c r="V3384">
        <f>IF(ReconciliationData[[#This Row],[total_returned_units]]&gt;ReconciliationData[[#This Row],[ordered_units]],1,0)</f>
        <v>0</v>
      </c>
      <c r="W33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84">
        <f>ReconciliationData[[#This Row],[Billed_Units]]*ReconciliationData[[#This Row],[Billed_Price]]</f>
        <v>19837.470400000002</v>
      </c>
      <c r="Y3384">
        <f>ReconciliationData[[#This Row],[ordered_units]]*ReconciliationData[[#This Row],[List_Price]]</f>
        <v>19837.470400000002</v>
      </c>
      <c r="Z3384">
        <f>ReconciliationData[[#This Row],[billed_revenue]]-ReconciliationData[[#This Row],[expected_revenue]]</f>
        <v>0</v>
      </c>
      <c r="AA33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84" t="str">
        <f>IF(ReconciliationData[[#This Row],[severity_score]]=0,"LOW",
 IF(ReconciliationData[[#This Row],[severity_score]]&lt;=5,"MEDIUM","HIGH"))</f>
        <v>LOW</v>
      </c>
      <c r="AC3384" t="str">
        <f>TEXT(ReconciliationData[[#This Row],[Order_Date]],"YYYY-MM")</f>
        <v>2023-07</v>
      </c>
    </row>
    <row r="3385" spans="1:29">
      <c r="A3385" t="s">
        <v>7988</v>
      </c>
      <c r="B3385" s="1">
        <v>44976</v>
      </c>
      <c r="C3385" t="s">
        <v>3833</v>
      </c>
      <c r="D3385" t="s">
        <v>912</v>
      </c>
      <c r="E3385">
        <v>31</v>
      </c>
      <c r="F3385" t="s">
        <v>7989</v>
      </c>
      <c r="G3385">
        <v>31</v>
      </c>
      <c r="H3385">
        <v>408.07569999999998</v>
      </c>
      <c r="N3385">
        <v>408.07569999999998</v>
      </c>
      <c r="O3385" s="1">
        <v>44820</v>
      </c>
      <c r="P3385">
        <f>IF(ISBLANK(ReconciliationData[[#This Row],[Invoice_ID]]),1,0)</f>
        <v>0</v>
      </c>
      <c r="Q3385">
        <f>IF(AND(NOT(ISBLANK(ReconciliationData[[#This Row],[Billed_Units]])),ReconciliationData[[#This Row],[ordered_units]]&lt;&gt;ReconciliationData[[#This Row],[Billed_Units]]),1,0)</f>
        <v>0</v>
      </c>
      <c r="R33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85">
        <f>IF(AND(NOT(ISBLANK(ReconciliationData[[#This Row],[Contract_Price]])),ReconciliationData[[#This Row],[Billed_Price]]&lt;&gt;ReconciliationData[[#This Row],[Contract_Price]]),1,0)</f>
        <v>0</v>
      </c>
      <c r="T3385">
        <f>IF(AND(NOT(ISBLANK(ReconciliationData[[#This Row],[End_Date]])),ReconciliationData[[#This Row],[Order_Date]]&gt;ReconciliationData[[#This Row],[End_Date]]),1,0)</f>
        <v>0</v>
      </c>
      <c r="U3385">
        <f>IF(AND(NOT(ISBLANK(ReconciliationData[[#This Row],[last_return_date]])),ReconciliationData[[#This Row],[last_return_date]]&gt;ReconciliationData[[#This Row],[Order_Date]]+60),1,0)</f>
        <v>0</v>
      </c>
      <c r="V3385">
        <f>IF(ReconciliationData[[#This Row],[total_returned_units]]&gt;ReconciliationData[[#This Row],[ordered_units]],1,0)</f>
        <v>0</v>
      </c>
      <c r="W33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85">
        <f>ReconciliationData[[#This Row],[Billed_Units]]*ReconciliationData[[#This Row],[Billed_Price]]</f>
        <v>12650.3467</v>
      </c>
      <c r="Y3385">
        <f>ReconciliationData[[#This Row],[ordered_units]]*ReconciliationData[[#This Row],[List_Price]]</f>
        <v>12650.3467</v>
      </c>
      <c r="Z3385">
        <f>ReconciliationData[[#This Row],[billed_revenue]]-ReconciliationData[[#This Row],[expected_revenue]]</f>
        <v>0</v>
      </c>
      <c r="AA33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85" t="str">
        <f>IF(ReconciliationData[[#This Row],[severity_score]]=0,"LOW",
 IF(ReconciliationData[[#This Row],[severity_score]]&lt;=5,"MEDIUM","HIGH"))</f>
        <v>LOW</v>
      </c>
      <c r="AC3385" t="str">
        <f>TEXT(ReconciliationData[[#This Row],[Order_Date]],"YYYY-MM")</f>
        <v>2023-02</v>
      </c>
    </row>
    <row r="3386" spans="1:29">
      <c r="A3386" t="s">
        <v>7990</v>
      </c>
      <c r="B3386" s="1">
        <v>45483</v>
      </c>
      <c r="C3386" t="s">
        <v>1558</v>
      </c>
      <c r="D3386" t="s">
        <v>1285</v>
      </c>
      <c r="E3386">
        <v>126</v>
      </c>
      <c r="F3386" t="s">
        <v>7991</v>
      </c>
      <c r="G3386">
        <v>126</v>
      </c>
      <c r="H3386">
        <v>416.04223977942024</v>
      </c>
      <c r="N3386">
        <v>415.8877</v>
      </c>
      <c r="O3386" s="1">
        <v>45146</v>
      </c>
      <c r="P3386">
        <f>IF(ISBLANK(ReconciliationData[[#This Row],[Invoice_ID]]),1,0)</f>
        <v>0</v>
      </c>
      <c r="Q3386">
        <f>IF(AND(NOT(ISBLANK(ReconciliationData[[#This Row],[Billed_Units]])),ReconciliationData[[#This Row],[ordered_units]]&lt;&gt;ReconciliationData[[#This Row],[Billed_Units]]),1,0)</f>
        <v>0</v>
      </c>
      <c r="R3386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386">
        <f>IF(AND(NOT(ISBLANK(ReconciliationData[[#This Row],[Contract_Price]])),ReconciliationData[[#This Row],[Billed_Price]]&lt;&gt;ReconciliationData[[#This Row],[Contract_Price]]),1,0)</f>
        <v>0</v>
      </c>
      <c r="T3386">
        <f>IF(AND(NOT(ISBLANK(ReconciliationData[[#This Row],[End_Date]])),ReconciliationData[[#This Row],[Order_Date]]&gt;ReconciliationData[[#This Row],[End_Date]]),1,0)</f>
        <v>0</v>
      </c>
      <c r="U3386">
        <f>IF(AND(NOT(ISBLANK(ReconciliationData[[#This Row],[last_return_date]])),ReconciliationData[[#This Row],[last_return_date]]&gt;ReconciliationData[[#This Row],[Order_Date]]+60),1,0)</f>
        <v>0</v>
      </c>
      <c r="V3386">
        <f>IF(ReconciliationData[[#This Row],[total_returned_units]]&gt;ReconciliationData[[#This Row],[ordered_units]],1,0)</f>
        <v>0</v>
      </c>
      <c r="W33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86">
        <f>ReconciliationData[[#This Row],[Billed_Units]]*ReconciliationData[[#This Row],[Billed_Price]]</f>
        <v>52421.322212206949</v>
      </c>
      <c r="Y3386">
        <f>ReconciliationData[[#This Row],[ordered_units]]*ReconciliationData[[#This Row],[List_Price]]</f>
        <v>52401.850200000001</v>
      </c>
      <c r="Z3386">
        <f>ReconciliationData[[#This Row],[billed_revenue]]-ReconciliationData[[#This Row],[expected_revenue]]</f>
        <v>19.47201220694842</v>
      </c>
      <c r="AA33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386" t="str">
        <f>IF(ReconciliationData[[#This Row],[severity_score]]=0,"LOW",
 IF(ReconciliationData[[#This Row],[severity_score]]&lt;=5,"MEDIUM","HIGH"))</f>
        <v>MEDIUM</v>
      </c>
      <c r="AC3386" t="str">
        <f>TEXT(ReconciliationData[[#This Row],[Order_Date]],"YYYY-MM")</f>
        <v>2024-07</v>
      </c>
    </row>
    <row r="3387" spans="1:29">
      <c r="A3387" t="s">
        <v>7992</v>
      </c>
      <c r="B3387" s="1">
        <v>44940</v>
      </c>
      <c r="C3387" t="s">
        <v>1944</v>
      </c>
      <c r="D3387" t="s">
        <v>2045</v>
      </c>
      <c r="E3387">
        <v>63</v>
      </c>
      <c r="F3387" t="s">
        <v>7993</v>
      </c>
      <c r="G3387">
        <v>63</v>
      </c>
      <c r="H3387">
        <v>952.9855</v>
      </c>
      <c r="I3387">
        <v>12</v>
      </c>
      <c r="J3387" s="1">
        <v>45645</v>
      </c>
      <c r="N3387">
        <v>952.9855</v>
      </c>
      <c r="O3387" s="1">
        <v>44820</v>
      </c>
      <c r="P3387">
        <f>IF(ISBLANK(ReconciliationData[[#This Row],[Invoice_ID]]),1,0)</f>
        <v>0</v>
      </c>
      <c r="Q3387">
        <f>IF(AND(NOT(ISBLANK(ReconciliationData[[#This Row],[Billed_Units]])),ReconciliationData[[#This Row],[ordered_units]]&lt;&gt;ReconciliationData[[#This Row],[Billed_Units]]),1,0)</f>
        <v>0</v>
      </c>
      <c r="R33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87">
        <f>IF(AND(NOT(ISBLANK(ReconciliationData[[#This Row],[Contract_Price]])),ReconciliationData[[#This Row],[Billed_Price]]&lt;&gt;ReconciliationData[[#This Row],[Contract_Price]]),1,0)</f>
        <v>0</v>
      </c>
      <c r="T3387">
        <f>IF(AND(NOT(ISBLANK(ReconciliationData[[#This Row],[End_Date]])),ReconciliationData[[#This Row],[Order_Date]]&gt;ReconciliationData[[#This Row],[End_Date]]),1,0)</f>
        <v>0</v>
      </c>
      <c r="U3387">
        <f>IF(AND(NOT(ISBLANK(ReconciliationData[[#This Row],[last_return_date]])),ReconciliationData[[#This Row],[last_return_date]]&gt;ReconciliationData[[#This Row],[Order_Date]]+60),1,0)</f>
        <v>1</v>
      </c>
      <c r="V3387">
        <f>IF(ReconciliationData[[#This Row],[total_returned_units]]&gt;ReconciliationData[[#This Row],[ordered_units]],1,0)</f>
        <v>0</v>
      </c>
      <c r="W33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87">
        <f>ReconciliationData[[#This Row],[Billed_Units]]*ReconciliationData[[#This Row],[Billed_Price]]</f>
        <v>60038.086499999998</v>
      </c>
      <c r="Y3387">
        <f>ReconciliationData[[#This Row],[ordered_units]]*ReconciliationData[[#This Row],[List_Price]]</f>
        <v>60038.086499999998</v>
      </c>
      <c r="Z3387">
        <f>ReconciliationData[[#This Row],[billed_revenue]]-ReconciliationData[[#This Row],[expected_revenue]]</f>
        <v>0</v>
      </c>
      <c r="AA33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387" t="str">
        <f>IF(ReconciliationData[[#This Row],[severity_score]]=0,"LOW",
 IF(ReconciliationData[[#This Row],[severity_score]]&lt;=5,"MEDIUM","HIGH"))</f>
        <v>MEDIUM</v>
      </c>
      <c r="AC3387" t="str">
        <f>TEXT(ReconciliationData[[#This Row],[Order_Date]],"YYYY-MM")</f>
        <v>2023-01</v>
      </c>
    </row>
    <row r="3388" spans="1:29">
      <c r="A3388" t="s">
        <v>7994</v>
      </c>
      <c r="B3388" s="1">
        <v>45571</v>
      </c>
      <c r="C3388" t="s">
        <v>507</v>
      </c>
      <c r="D3388" t="s">
        <v>2064</v>
      </c>
      <c r="E3388">
        <v>104</v>
      </c>
      <c r="F3388" t="s">
        <v>7995</v>
      </c>
      <c r="G3388">
        <v>104</v>
      </c>
      <c r="H3388">
        <v>251.7122</v>
      </c>
      <c r="N3388">
        <v>251.7122</v>
      </c>
      <c r="O3388" s="1">
        <v>45088</v>
      </c>
      <c r="P3388">
        <f>IF(ISBLANK(ReconciliationData[[#This Row],[Invoice_ID]]),1,0)</f>
        <v>0</v>
      </c>
      <c r="Q3388">
        <f>IF(AND(NOT(ISBLANK(ReconciliationData[[#This Row],[Billed_Units]])),ReconciliationData[[#This Row],[ordered_units]]&lt;&gt;ReconciliationData[[#This Row],[Billed_Units]]),1,0)</f>
        <v>0</v>
      </c>
      <c r="R33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88">
        <f>IF(AND(NOT(ISBLANK(ReconciliationData[[#This Row],[Contract_Price]])),ReconciliationData[[#This Row],[Billed_Price]]&lt;&gt;ReconciliationData[[#This Row],[Contract_Price]]),1,0)</f>
        <v>0</v>
      </c>
      <c r="T3388">
        <f>IF(AND(NOT(ISBLANK(ReconciliationData[[#This Row],[End_Date]])),ReconciliationData[[#This Row],[Order_Date]]&gt;ReconciliationData[[#This Row],[End_Date]]),1,0)</f>
        <v>0</v>
      </c>
      <c r="U3388">
        <f>IF(AND(NOT(ISBLANK(ReconciliationData[[#This Row],[last_return_date]])),ReconciliationData[[#This Row],[last_return_date]]&gt;ReconciliationData[[#This Row],[Order_Date]]+60),1,0)</f>
        <v>0</v>
      </c>
      <c r="V3388">
        <f>IF(ReconciliationData[[#This Row],[total_returned_units]]&gt;ReconciliationData[[#This Row],[ordered_units]],1,0)</f>
        <v>0</v>
      </c>
      <c r="W33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88">
        <f>ReconciliationData[[#This Row],[Billed_Units]]*ReconciliationData[[#This Row],[Billed_Price]]</f>
        <v>26178.068800000001</v>
      </c>
      <c r="Y3388">
        <f>ReconciliationData[[#This Row],[ordered_units]]*ReconciliationData[[#This Row],[List_Price]]</f>
        <v>26178.068800000001</v>
      </c>
      <c r="Z3388">
        <f>ReconciliationData[[#This Row],[billed_revenue]]-ReconciliationData[[#This Row],[expected_revenue]]</f>
        <v>0</v>
      </c>
      <c r="AA33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88" t="str">
        <f>IF(ReconciliationData[[#This Row],[severity_score]]=0,"LOW",
 IF(ReconciliationData[[#This Row],[severity_score]]&lt;=5,"MEDIUM","HIGH"))</f>
        <v>LOW</v>
      </c>
      <c r="AC3388" t="str">
        <f>TEXT(ReconciliationData[[#This Row],[Order_Date]],"YYYY-MM")</f>
        <v>2024-10</v>
      </c>
    </row>
    <row r="3389" spans="1:29">
      <c r="A3389" t="s">
        <v>7996</v>
      </c>
      <c r="B3389" s="1">
        <v>45186</v>
      </c>
      <c r="C3389" t="s">
        <v>3450</v>
      </c>
      <c r="D3389" t="s">
        <v>325</v>
      </c>
      <c r="E3389">
        <v>158</v>
      </c>
      <c r="F3389" t="s">
        <v>7997</v>
      </c>
      <c r="G3389">
        <v>158</v>
      </c>
      <c r="H3389">
        <v>509.36320000000001</v>
      </c>
      <c r="N3389">
        <v>509.36320000000001</v>
      </c>
      <c r="O3389" s="1">
        <v>45171</v>
      </c>
      <c r="P3389">
        <f>IF(ISBLANK(ReconciliationData[[#This Row],[Invoice_ID]]),1,0)</f>
        <v>0</v>
      </c>
      <c r="Q3389">
        <f>IF(AND(NOT(ISBLANK(ReconciliationData[[#This Row],[Billed_Units]])),ReconciliationData[[#This Row],[ordered_units]]&lt;&gt;ReconciliationData[[#This Row],[Billed_Units]]),1,0)</f>
        <v>0</v>
      </c>
      <c r="R33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89">
        <f>IF(AND(NOT(ISBLANK(ReconciliationData[[#This Row],[Contract_Price]])),ReconciliationData[[#This Row],[Billed_Price]]&lt;&gt;ReconciliationData[[#This Row],[Contract_Price]]),1,0)</f>
        <v>0</v>
      </c>
      <c r="T3389">
        <f>IF(AND(NOT(ISBLANK(ReconciliationData[[#This Row],[End_Date]])),ReconciliationData[[#This Row],[Order_Date]]&gt;ReconciliationData[[#This Row],[End_Date]]),1,0)</f>
        <v>0</v>
      </c>
      <c r="U3389">
        <f>IF(AND(NOT(ISBLANK(ReconciliationData[[#This Row],[last_return_date]])),ReconciliationData[[#This Row],[last_return_date]]&gt;ReconciliationData[[#This Row],[Order_Date]]+60),1,0)</f>
        <v>0</v>
      </c>
      <c r="V3389">
        <f>IF(ReconciliationData[[#This Row],[total_returned_units]]&gt;ReconciliationData[[#This Row],[ordered_units]],1,0)</f>
        <v>0</v>
      </c>
      <c r="W33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89">
        <f>ReconciliationData[[#This Row],[Billed_Units]]*ReconciliationData[[#This Row],[Billed_Price]]</f>
        <v>80479.385599999994</v>
      </c>
      <c r="Y3389">
        <f>ReconciliationData[[#This Row],[ordered_units]]*ReconciliationData[[#This Row],[List_Price]]</f>
        <v>80479.385599999994</v>
      </c>
      <c r="Z3389">
        <f>ReconciliationData[[#This Row],[billed_revenue]]-ReconciliationData[[#This Row],[expected_revenue]]</f>
        <v>0</v>
      </c>
      <c r="AA33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89" t="str">
        <f>IF(ReconciliationData[[#This Row],[severity_score]]=0,"LOW",
 IF(ReconciliationData[[#This Row],[severity_score]]&lt;=5,"MEDIUM","HIGH"))</f>
        <v>LOW</v>
      </c>
      <c r="AC3389" t="str">
        <f>TEXT(ReconciliationData[[#This Row],[Order_Date]],"YYYY-MM")</f>
        <v>2023-09</v>
      </c>
    </row>
    <row r="3390" spans="1:29">
      <c r="A3390" t="s">
        <v>7998</v>
      </c>
      <c r="B3390" s="1">
        <v>45006</v>
      </c>
      <c r="C3390" t="s">
        <v>3276</v>
      </c>
      <c r="D3390" t="s">
        <v>389</v>
      </c>
      <c r="E3390">
        <v>69</v>
      </c>
      <c r="F3390" t="s">
        <v>7999</v>
      </c>
      <c r="G3390">
        <v>69</v>
      </c>
      <c r="H3390">
        <v>782.04880000000003</v>
      </c>
      <c r="N3390">
        <v>782.04880000000003</v>
      </c>
      <c r="O3390" s="1">
        <v>44996</v>
      </c>
      <c r="P3390">
        <f>IF(ISBLANK(ReconciliationData[[#This Row],[Invoice_ID]]),1,0)</f>
        <v>0</v>
      </c>
      <c r="Q3390">
        <f>IF(AND(NOT(ISBLANK(ReconciliationData[[#This Row],[Billed_Units]])),ReconciliationData[[#This Row],[ordered_units]]&lt;&gt;ReconciliationData[[#This Row],[Billed_Units]]),1,0)</f>
        <v>0</v>
      </c>
      <c r="R33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90">
        <f>IF(AND(NOT(ISBLANK(ReconciliationData[[#This Row],[Contract_Price]])),ReconciliationData[[#This Row],[Billed_Price]]&lt;&gt;ReconciliationData[[#This Row],[Contract_Price]]),1,0)</f>
        <v>0</v>
      </c>
      <c r="T3390">
        <f>IF(AND(NOT(ISBLANK(ReconciliationData[[#This Row],[End_Date]])),ReconciliationData[[#This Row],[Order_Date]]&gt;ReconciliationData[[#This Row],[End_Date]]),1,0)</f>
        <v>0</v>
      </c>
      <c r="U3390">
        <f>IF(AND(NOT(ISBLANK(ReconciliationData[[#This Row],[last_return_date]])),ReconciliationData[[#This Row],[last_return_date]]&gt;ReconciliationData[[#This Row],[Order_Date]]+60),1,0)</f>
        <v>0</v>
      </c>
      <c r="V3390">
        <f>IF(ReconciliationData[[#This Row],[total_returned_units]]&gt;ReconciliationData[[#This Row],[ordered_units]],1,0)</f>
        <v>0</v>
      </c>
      <c r="W33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90">
        <f>ReconciliationData[[#This Row],[Billed_Units]]*ReconciliationData[[#This Row],[Billed_Price]]</f>
        <v>53961.367200000001</v>
      </c>
      <c r="Y3390">
        <f>ReconciliationData[[#This Row],[ordered_units]]*ReconciliationData[[#This Row],[List_Price]]</f>
        <v>53961.367200000001</v>
      </c>
      <c r="Z3390">
        <f>ReconciliationData[[#This Row],[billed_revenue]]-ReconciliationData[[#This Row],[expected_revenue]]</f>
        <v>0</v>
      </c>
      <c r="AA33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90" t="str">
        <f>IF(ReconciliationData[[#This Row],[severity_score]]=0,"LOW",
 IF(ReconciliationData[[#This Row],[severity_score]]&lt;=5,"MEDIUM","HIGH"))</f>
        <v>LOW</v>
      </c>
      <c r="AC3390" t="str">
        <f>TEXT(ReconciliationData[[#This Row],[Order_Date]],"YYYY-MM")</f>
        <v>2023-03</v>
      </c>
    </row>
    <row r="3391" spans="1:29">
      <c r="A3391" t="s">
        <v>8000</v>
      </c>
      <c r="B3391" s="1">
        <v>45013</v>
      </c>
      <c r="C3391" t="s">
        <v>4771</v>
      </c>
      <c r="D3391" t="s">
        <v>1495</v>
      </c>
      <c r="E3391">
        <v>10</v>
      </c>
      <c r="F3391" t="s">
        <v>8001</v>
      </c>
      <c r="G3391">
        <v>10</v>
      </c>
      <c r="H3391">
        <v>358.416</v>
      </c>
      <c r="N3391">
        <v>358.416</v>
      </c>
      <c r="O3391" s="1">
        <v>44824</v>
      </c>
      <c r="P3391">
        <f>IF(ISBLANK(ReconciliationData[[#This Row],[Invoice_ID]]),1,0)</f>
        <v>0</v>
      </c>
      <c r="Q3391">
        <f>IF(AND(NOT(ISBLANK(ReconciliationData[[#This Row],[Billed_Units]])),ReconciliationData[[#This Row],[ordered_units]]&lt;&gt;ReconciliationData[[#This Row],[Billed_Units]]),1,0)</f>
        <v>0</v>
      </c>
      <c r="R33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91">
        <f>IF(AND(NOT(ISBLANK(ReconciliationData[[#This Row],[Contract_Price]])),ReconciliationData[[#This Row],[Billed_Price]]&lt;&gt;ReconciliationData[[#This Row],[Contract_Price]]),1,0)</f>
        <v>0</v>
      </c>
      <c r="T3391">
        <f>IF(AND(NOT(ISBLANK(ReconciliationData[[#This Row],[End_Date]])),ReconciliationData[[#This Row],[Order_Date]]&gt;ReconciliationData[[#This Row],[End_Date]]),1,0)</f>
        <v>0</v>
      </c>
      <c r="U3391">
        <f>IF(AND(NOT(ISBLANK(ReconciliationData[[#This Row],[last_return_date]])),ReconciliationData[[#This Row],[last_return_date]]&gt;ReconciliationData[[#This Row],[Order_Date]]+60),1,0)</f>
        <v>0</v>
      </c>
      <c r="V3391">
        <f>IF(ReconciliationData[[#This Row],[total_returned_units]]&gt;ReconciliationData[[#This Row],[ordered_units]],1,0)</f>
        <v>0</v>
      </c>
      <c r="W33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91">
        <f>ReconciliationData[[#This Row],[Billed_Units]]*ReconciliationData[[#This Row],[Billed_Price]]</f>
        <v>3584.16</v>
      </c>
      <c r="Y3391">
        <f>ReconciliationData[[#This Row],[ordered_units]]*ReconciliationData[[#This Row],[List_Price]]</f>
        <v>3584.16</v>
      </c>
      <c r="Z3391">
        <f>ReconciliationData[[#This Row],[billed_revenue]]-ReconciliationData[[#This Row],[expected_revenue]]</f>
        <v>0</v>
      </c>
      <c r="AA33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91" t="str">
        <f>IF(ReconciliationData[[#This Row],[severity_score]]=0,"LOW",
 IF(ReconciliationData[[#This Row],[severity_score]]&lt;=5,"MEDIUM","HIGH"))</f>
        <v>LOW</v>
      </c>
      <c r="AC3391" t="str">
        <f>TEXT(ReconciliationData[[#This Row],[Order_Date]],"YYYY-MM")</f>
        <v>2023-03</v>
      </c>
    </row>
    <row r="3392" spans="1:29">
      <c r="A3392" t="s">
        <v>8002</v>
      </c>
      <c r="B3392" s="1">
        <v>45312</v>
      </c>
      <c r="C3392" t="s">
        <v>774</v>
      </c>
      <c r="D3392" t="s">
        <v>464</v>
      </c>
      <c r="E3392">
        <v>154</v>
      </c>
      <c r="F3392" t="s">
        <v>8003</v>
      </c>
      <c r="G3392">
        <v>154</v>
      </c>
      <c r="H3392">
        <v>798.30030528349539</v>
      </c>
      <c r="I3392">
        <v>19</v>
      </c>
      <c r="J3392" s="1">
        <v>45434</v>
      </c>
      <c r="N3392">
        <v>798.14160000000004</v>
      </c>
      <c r="O3392" s="1">
        <v>45149</v>
      </c>
      <c r="P3392">
        <f>IF(ISBLANK(ReconciliationData[[#This Row],[Invoice_ID]]),1,0)</f>
        <v>0</v>
      </c>
      <c r="Q3392">
        <f>IF(AND(NOT(ISBLANK(ReconciliationData[[#This Row],[Billed_Units]])),ReconciliationData[[#This Row],[ordered_units]]&lt;&gt;ReconciliationData[[#This Row],[Billed_Units]]),1,0)</f>
        <v>0</v>
      </c>
      <c r="R339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392">
        <f>IF(AND(NOT(ISBLANK(ReconciliationData[[#This Row],[Contract_Price]])),ReconciliationData[[#This Row],[Billed_Price]]&lt;&gt;ReconciliationData[[#This Row],[Contract_Price]]),1,0)</f>
        <v>0</v>
      </c>
      <c r="T3392">
        <f>IF(AND(NOT(ISBLANK(ReconciliationData[[#This Row],[End_Date]])),ReconciliationData[[#This Row],[Order_Date]]&gt;ReconciliationData[[#This Row],[End_Date]]),1,0)</f>
        <v>0</v>
      </c>
      <c r="U3392">
        <f>IF(AND(NOT(ISBLANK(ReconciliationData[[#This Row],[last_return_date]])),ReconciliationData[[#This Row],[last_return_date]]&gt;ReconciliationData[[#This Row],[Order_Date]]+60),1,0)</f>
        <v>1</v>
      </c>
      <c r="V3392">
        <f>IF(ReconciliationData[[#This Row],[total_returned_units]]&gt;ReconciliationData[[#This Row],[ordered_units]],1,0)</f>
        <v>0</v>
      </c>
      <c r="W33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92">
        <f>ReconciliationData[[#This Row],[Billed_Units]]*ReconciliationData[[#This Row],[Billed_Price]]</f>
        <v>122938.24701365829</v>
      </c>
      <c r="Y3392">
        <f>ReconciliationData[[#This Row],[ordered_units]]*ReconciliationData[[#This Row],[List_Price]]</f>
        <v>122913.8064</v>
      </c>
      <c r="Z3392">
        <f>ReconciliationData[[#This Row],[billed_revenue]]-ReconciliationData[[#This Row],[expected_revenue]]</f>
        <v>24.440613658283837</v>
      </c>
      <c r="AA33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6</v>
      </c>
      <c r="AB3392" t="str">
        <f>IF(ReconciliationData[[#This Row],[severity_score]]=0,"LOW",
 IF(ReconciliationData[[#This Row],[severity_score]]&lt;=5,"MEDIUM","HIGH"))</f>
        <v>HIGH</v>
      </c>
      <c r="AC3392" t="str">
        <f>TEXT(ReconciliationData[[#This Row],[Order_Date]],"YYYY-MM")</f>
        <v>2024-01</v>
      </c>
    </row>
    <row r="3393" spans="1:29">
      <c r="A3393" t="s">
        <v>8004</v>
      </c>
      <c r="B3393" s="1">
        <v>45575</v>
      </c>
      <c r="C3393" t="s">
        <v>340</v>
      </c>
      <c r="D3393" t="s">
        <v>569</v>
      </c>
      <c r="E3393">
        <v>7</v>
      </c>
      <c r="F3393" t="s">
        <v>8005</v>
      </c>
      <c r="G3393">
        <v>16</v>
      </c>
      <c r="H3393">
        <v>1231.9933000000001</v>
      </c>
      <c r="N3393">
        <v>1231.9933000000001</v>
      </c>
      <c r="O3393" s="1">
        <v>44934</v>
      </c>
      <c r="P3393">
        <f>IF(ISBLANK(ReconciliationData[[#This Row],[Invoice_ID]]),1,0)</f>
        <v>0</v>
      </c>
      <c r="Q3393">
        <f>IF(AND(NOT(ISBLANK(ReconciliationData[[#This Row],[Billed_Units]])),ReconciliationData[[#This Row],[ordered_units]]&lt;&gt;ReconciliationData[[#This Row],[Billed_Units]]),1,0)</f>
        <v>1</v>
      </c>
      <c r="R33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93">
        <f>IF(AND(NOT(ISBLANK(ReconciliationData[[#This Row],[Contract_Price]])),ReconciliationData[[#This Row],[Billed_Price]]&lt;&gt;ReconciliationData[[#This Row],[Contract_Price]]),1,0)</f>
        <v>0</v>
      </c>
      <c r="T3393">
        <f>IF(AND(NOT(ISBLANK(ReconciliationData[[#This Row],[End_Date]])),ReconciliationData[[#This Row],[Order_Date]]&gt;ReconciliationData[[#This Row],[End_Date]]),1,0)</f>
        <v>0</v>
      </c>
      <c r="U3393">
        <f>IF(AND(NOT(ISBLANK(ReconciliationData[[#This Row],[last_return_date]])),ReconciliationData[[#This Row],[last_return_date]]&gt;ReconciliationData[[#This Row],[Order_Date]]+60),1,0)</f>
        <v>0</v>
      </c>
      <c r="V3393">
        <f>IF(ReconciliationData[[#This Row],[total_returned_units]]&gt;ReconciliationData[[#This Row],[ordered_units]],1,0)</f>
        <v>0</v>
      </c>
      <c r="W33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393">
        <f>ReconciliationData[[#This Row],[Billed_Units]]*ReconciliationData[[#This Row],[Billed_Price]]</f>
        <v>19711.892800000001</v>
      </c>
      <c r="Y3393">
        <f>ReconciliationData[[#This Row],[ordered_units]]*ReconciliationData[[#This Row],[List_Price]]</f>
        <v>8623.9531000000006</v>
      </c>
      <c r="Z3393">
        <f>ReconciliationData[[#This Row],[billed_revenue]]-ReconciliationData[[#This Row],[expected_revenue]]</f>
        <v>11087.939700000001</v>
      </c>
      <c r="AA33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393" t="str">
        <f>IF(ReconciliationData[[#This Row],[severity_score]]=0,"LOW",
 IF(ReconciliationData[[#This Row],[severity_score]]&lt;=5,"MEDIUM","HIGH"))</f>
        <v>HIGH</v>
      </c>
      <c r="AC3393" t="str">
        <f>TEXT(ReconciliationData[[#This Row],[Order_Date]],"YYYY-MM")</f>
        <v>2024-10</v>
      </c>
    </row>
    <row r="3394" spans="1:29">
      <c r="A3394" t="s">
        <v>8006</v>
      </c>
      <c r="B3394" s="1">
        <v>45567</v>
      </c>
      <c r="C3394" t="s">
        <v>5591</v>
      </c>
      <c r="D3394" t="s">
        <v>1358</v>
      </c>
      <c r="E3394">
        <v>20</v>
      </c>
      <c r="F3394" t="s">
        <v>8007</v>
      </c>
      <c r="G3394">
        <v>20</v>
      </c>
      <c r="H3394">
        <v>940.1952</v>
      </c>
      <c r="N3394">
        <v>940.1952</v>
      </c>
      <c r="O3394" s="1">
        <v>45058</v>
      </c>
      <c r="P3394">
        <f>IF(ISBLANK(ReconciliationData[[#This Row],[Invoice_ID]]),1,0)</f>
        <v>0</v>
      </c>
      <c r="Q3394">
        <f>IF(AND(NOT(ISBLANK(ReconciliationData[[#This Row],[Billed_Units]])),ReconciliationData[[#This Row],[ordered_units]]&lt;&gt;ReconciliationData[[#This Row],[Billed_Units]]),1,0)</f>
        <v>0</v>
      </c>
      <c r="R33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94">
        <f>IF(AND(NOT(ISBLANK(ReconciliationData[[#This Row],[Contract_Price]])),ReconciliationData[[#This Row],[Billed_Price]]&lt;&gt;ReconciliationData[[#This Row],[Contract_Price]]),1,0)</f>
        <v>0</v>
      </c>
      <c r="T3394">
        <f>IF(AND(NOT(ISBLANK(ReconciliationData[[#This Row],[End_Date]])),ReconciliationData[[#This Row],[Order_Date]]&gt;ReconciliationData[[#This Row],[End_Date]]),1,0)</f>
        <v>0</v>
      </c>
      <c r="U3394">
        <f>IF(AND(NOT(ISBLANK(ReconciliationData[[#This Row],[last_return_date]])),ReconciliationData[[#This Row],[last_return_date]]&gt;ReconciliationData[[#This Row],[Order_Date]]+60),1,0)</f>
        <v>0</v>
      </c>
      <c r="V3394">
        <f>IF(ReconciliationData[[#This Row],[total_returned_units]]&gt;ReconciliationData[[#This Row],[ordered_units]],1,0)</f>
        <v>0</v>
      </c>
      <c r="W33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94">
        <f>ReconciliationData[[#This Row],[Billed_Units]]*ReconciliationData[[#This Row],[Billed_Price]]</f>
        <v>18803.903999999999</v>
      </c>
      <c r="Y3394">
        <f>ReconciliationData[[#This Row],[ordered_units]]*ReconciliationData[[#This Row],[List_Price]]</f>
        <v>18803.903999999999</v>
      </c>
      <c r="Z3394">
        <f>ReconciliationData[[#This Row],[billed_revenue]]-ReconciliationData[[#This Row],[expected_revenue]]</f>
        <v>0</v>
      </c>
      <c r="AA33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94" t="str">
        <f>IF(ReconciliationData[[#This Row],[severity_score]]=0,"LOW",
 IF(ReconciliationData[[#This Row],[severity_score]]&lt;=5,"MEDIUM","HIGH"))</f>
        <v>LOW</v>
      </c>
      <c r="AC3394" t="str">
        <f>TEXT(ReconciliationData[[#This Row],[Order_Date]],"YYYY-MM")</f>
        <v>2024-10</v>
      </c>
    </row>
    <row r="3395" spans="1:29">
      <c r="A3395" t="s">
        <v>8008</v>
      </c>
      <c r="B3395" s="1">
        <v>45388</v>
      </c>
      <c r="C3395" t="s">
        <v>1149</v>
      </c>
      <c r="D3395" t="s">
        <v>1654</v>
      </c>
      <c r="E3395">
        <v>138</v>
      </c>
      <c r="F3395" t="s">
        <v>8009</v>
      </c>
      <c r="G3395">
        <v>138</v>
      </c>
      <c r="H3395">
        <v>1197.9306999999999</v>
      </c>
      <c r="N3395">
        <v>1197.9306999999999</v>
      </c>
      <c r="O3395" s="1">
        <v>45089</v>
      </c>
      <c r="P3395">
        <f>IF(ISBLANK(ReconciliationData[[#This Row],[Invoice_ID]]),1,0)</f>
        <v>0</v>
      </c>
      <c r="Q3395">
        <f>IF(AND(NOT(ISBLANK(ReconciliationData[[#This Row],[Billed_Units]])),ReconciliationData[[#This Row],[ordered_units]]&lt;&gt;ReconciliationData[[#This Row],[Billed_Units]]),1,0)</f>
        <v>0</v>
      </c>
      <c r="R33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95">
        <f>IF(AND(NOT(ISBLANK(ReconciliationData[[#This Row],[Contract_Price]])),ReconciliationData[[#This Row],[Billed_Price]]&lt;&gt;ReconciliationData[[#This Row],[Contract_Price]]),1,0)</f>
        <v>0</v>
      </c>
      <c r="T3395">
        <f>IF(AND(NOT(ISBLANK(ReconciliationData[[#This Row],[End_Date]])),ReconciliationData[[#This Row],[Order_Date]]&gt;ReconciliationData[[#This Row],[End_Date]]),1,0)</f>
        <v>0</v>
      </c>
      <c r="U3395">
        <f>IF(AND(NOT(ISBLANK(ReconciliationData[[#This Row],[last_return_date]])),ReconciliationData[[#This Row],[last_return_date]]&gt;ReconciliationData[[#This Row],[Order_Date]]+60),1,0)</f>
        <v>0</v>
      </c>
      <c r="V3395">
        <f>IF(ReconciliationData[[#This Row],[total_returned_units]]&gt;ReconciliationData[[#This Row],[ordered_units]],1,0)</f>
        <v>0</v>
      </c>
      <c r="W33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95">
        <f>ReconciliationData[[#This Row],[Billed_Units]]*ReconciliationData[[#This Row],[Billed_Price]]</f>
        <v>165314.43659999999</v>
      </c>
      <c r="Y3395">
        <f>ReconciliationData[[#This Row],[ordered_units]]*ReconciliationData[[#This Row],[List_Price]]</f>
        <v>165314.43659999999</v>
      </c>
      <c r="Z3395">
        <f>ReconciliationData[[#This Row],[billed_revenue]]-ReconciliationData[[#This Row],[expected_revenue]]</f>
        <v>0</v>
      </c>
      <c r="AA33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95" t="str">
        <f>IF(ReconciliationData[[#This Row],[severity_score]]=0,"LOW",
 IF(ReconciliationData[[#This Row],[severity_score]]&lt;=5,"MEDIUM","HIGH"))</f>
        <v>LOW</v>
      </c>
      <c r="AC3395" t="str">
        <f>TEXT(ReconciliationData[[#This Row],[Order_Date]],"YYYY-MM")</f>
        <v>2024-04</v>
      </c>
    </row>
    <row r="3396" spans="1:29">
      <c r="A3396" t="s">
        <v>8010</v>
      </c>
      <c r="B3396" s="1">
        <v>45042</v>
      </c>
      <c r="C3396" t="s">
        <v>1357</v>
      </c>
      <c r="D3396" t="s">
        <v>655</v>
      </c>
      <c r="E3396">
        <v>174</v>
      </c>
      <c r="F3396" t="s">
        <v>8011</v>
      </c>
      <c r="G3396">
        <v>174</v>
      </c>
      <c r="H3396">
        <v>134.64880000000002</v>
      </c>
      <c r="N3396">
        <v>134.64880000000002</v>
      </c>
      <c r="O3396" s="1">
        <v>44991</v>
      </c>
      <c r="P3396">
        <f>IF(ISBLANK(ReconciliationData[[#This Row],[Invoice_ID]]),1,0)</f>
        <v>0</v>
      </c>
      <c r="Q3396">
        <f>IF(AND(NOT(ISBLANK(ReconciliationData[[#This Row],[Billed_Units]])),ReconciliationData[[#This Row],[ordered_units]]&lt;&gt;ReconciliationData[[#This Row],[Billed_Units]]),1,0)</f>
        <v>0</v>
      </c>
      <c r="R33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96">
        <f>IF(AND(NOT(ISBLANK(ReconciliationData[[#This Row],[Contract_Price]])),ReconciliationData[[#This Row],[Billed_Price]]&lt;&gt;ReconciliationData[[#This Row],[Contract_Price]]),1,0)</f>
        <v>0</v>
      </c>
      <c r="T3396">
        <f>IF(AND(NOT(ISBLANK(ReconciliationData[[#This Row],[End_Date]])),ReconciliationData[[#This Row],[Order_Date]]&gt;ReconciliationData[[#This Row],[End_Date]]),1,0)</f>
        <v>0</v>
      </c>
      <c r="U3396">
        <f>IF(AND(NOT(ISBLANK(ReconciliationData[[#This Row],[last_return_date]])),ReconciliationData[[#This Row],[last_return_date]]&gt;ReconciliationData[[#This Row],[Order_Date]]+60),1,0)</f>
        <v>0</v>
      </c>
      <c r="V3396">
        <f>IF(ReconciliationData[[#This Row],[total_returned_units]]&gt;ReconciliationData[[#This Row],[ordered_units]],1,0)</f>
        <v>0</v>
      </c>
      <c r="W33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96">
        <f>ReconciliationData[[#This Row],[Billed_Units]]*ReconciliationData[[#This Row],[Billed_Price]]</f>
        <v>23428.891200000005</v>
      </c>
      <c r="Y3396">
        <f>ReconciliationData[[#This Row],[ordered_units]]*ReconciliationData[[#This Row],[List_Price]]</f>
        <v>23428.891200000005</v>
      </c>
      <c r="Z3396">
        <f>ReconciliationData[[#This Row],[billed_revenue]]-ReconciliationData[[#This Row],[expected_revenue]]</f>
        <v>0</v>
      </c>
      <c r="AA33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96" t="str">
        <f>IF(ReconciliationData[[#This Row],[severity_score]]=0,"LOW",
 IF(ReconciliationData[[#This Row],[severity_score]]&lt;=5,"MEDIUM","HIGH"))</f>
        <v>LOW</v>
      </c>
      <c r="AC3396" t="str">
        <f>TEXT(ReconciliationData[[#This Row],[Order_Date]],"YYYY-MM")</f>
        <v>2023-04</v>
      </c>
    </row>
    <row r="3397" spans="1:29">
      <c r="A3397" t="s">
        <v>8012</v>
      </c>
      <c r="B3397" s="1">
        <v>45370</v>
      </c>
      <c r="C3397" t="s">
        <v>1648</v>
      </c>
      <c r="D3397" t="s">
        <v>325</v>
      </c>
      <c r="E3397">
        <v>67</v>
      </c>
      <c r="F3397" t="s">
        <v>8013</v>
      </c>
      <c r="G3397">
        <v>67</v>
      </c>
      <c r="H3397">
        <v>509.36320000000001</v>
      </c>
      <c r="N3397">
        <v>509.36320000000001</v>
      </c>
      <c r="O3397" s="1">
        <v>45171</v>
      </c>
      <c r="P3397">
        <f>IF(ISBLANK(ReconciliationData[[#This Row],[Invoice_ID]]),1,0)</f>
        <v>0</v>
      </c>
      <c r="Q3397">
        <f>IF(AND(NOT(ISBLANK(ReconciliationData[[#This Row],[Billed_Units]])),ReconciliationData[[#This Row],[ordered_units]]&lt;&gt;ReconciliationData[[#This Row],[Billed_Units]]),1,0)</f>
        <v>0</v>
      </c>
      <c r="R33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97">
        <f>IF(AND(NOT(ISBLANK(ReconciliationData[[#This Row],[Contract_Price]])),ReconciliationData[[#This Row],[Billed_Price]]&lt;&gt;ReconciliationData[[#This Row],[Contract_Price]]),1,0)</f>
        <v>0</v>
      </c>
      <c r="T3397">
        <f>IF(AND(NOT(ISBLANK(ReconciliationData[[#This Row],[End_Date]])),ReconciliationData[[#This Row],[Order_Date]]&gt;ReconciliationData[[#This Row],[End_Date]]),1,0)</f>
        <v>0</v>
      </c>
      <c r="U3397">
        <f>IF(AND(NOT(ISBLANK(ReconciliationData[[#This Row],[last_return_date]])),ReconciliationData[[#This Row],[last_return_date]]&gt;ReconciliationData[[#This Row],[Order_Date]]+60),1,0)</f>
        <v>0</v>
      </c>
      <c r="V3397">
        <f>IF(ReconciliationData[[#This Row],[total_returned_units]]&gt;ReconciliationData[[#This Row],[ordered_units]],1,0)</f>
        <v>0</v>
      </c>
      <c r="W33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97">
        <f>ReconciliationData[[#This Row],[Billed_Units]]*ReconciliationData[[#This Row],[Billed_Price]]</f>
        <v>34127.3344</v>
      </c>
      <c r="Y3397">
        <f>ReconciliationData[[#This Row],[ordered_units]]*ReconciliationData[[#This Row],[List_Price]]</f>
        <v>34127.3344</v>
      </c>
      <c r="Z3397">
        <f>ReconciliationData[[#This Row],[billed_revenue]]-ReconciliationData[[#This Row],[expected_revenue]]</f>
        <v>0</v>
      </c>
      <c r="AA33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97" t="str">
        <f>IF(ReconciliationData[[#This Row],[severity_score]]=0,"LOW",
 IF(ReconciliationData[[#This Row],[severity_score]]&lt;=5,"MEDIUM","HIGH"))</f>
        <v>LOW</v>
      </c>
      <c r="AC3397" t="str">
        <f>TEXT(ReconciliationData[[#This Row],[Order_Date]],"YYYY-MM")</f>
        <v>2024-03</v>
      </c>
    </row>
    <row r="3398" spans="1:29">
      <c r="A3398" t="s">
        <v>8014</v>
      </c>
      <c r="B3398" s="1">
        <v>45377</v>
      </c>
      <c r="C3398" t="s">
        <v>785</v>
      </c>
      <c r="D3398" t="s">
        <v>923</v>
      </c>
      <c r="E3398">
        <v>181</v>
      </c>
      <c r="F3398" t="s">
        <v>8015</v>
      </c>
      <c r="G3398">
        <v>181</v>
      </c>
      <c r="H3398">
        <v>754.20799999999997</v>
      </c>
      <c r="N3398">
        <v>754.20799999999997</v>
      </c>
      <c r="O3398" s="1">
        <v>45069</v>
      </c>
      <c r="P3398">
        <f>IF(ISBLANK(ReconciliationData[[#This Row],[Invoice_ID]]),1,0)</f>
        <v>0</v>
      </c>
      <c r="Q3398">
        <f>IF(AND(NOT(ISBLANK(ReconciliationData[[#This Row],[Billed_Units]])),ReconciliationData[[#This Row],[ordered_units]]&lt;&gt;ReconciliationData[[#This Row],[Billed_Units]]),1,0)</f>
        <v>0</v>
      </c>
      <c r="R33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98">
        <f>IF(AND(NOT(ISBLANK(ReconciliationData[[#This Row],[Contract_Price]])),ReconciliationData[[#This Row],[Billed_Price]]&lt;&gt;ReconciliationData[[#This Row],[Contract_Price]]),1,0)</f>
        <v>0</v>
      </c>
      <c r="T3398">
        <f>IF(AND(NOT(ISBLANK(ReconciliationData[[#This Row],[End_Date]])),ReconciliationData[[#This Row],[Order_Date]]&gt;ReconciliationData[[#This Row],[End_Date]]),1,0)</f>
        <v>0</v>
      </c>
      <c r="U3398">
        <f>IF(AND(NOT(ISBLANK(ReconciliationData[[#This Row],[last_return_date]])),ReconciliationData[[#This Row],[last_return_date]]&gt;ReconciliationData[[#This Row],[Order_Date]]+60),1,0)</f>
        <v>0</v>
      </c>
      <c r="V3398">
        <f>IF(ReconciliationData[[#This Row],[total_returned_units]]&gt;ReconciliationData[[#This Row],[ordered_units]],1,0)</f>
        <v>0</v>
      </c>
      <c r="W33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98">
        <f>ReconciliationData[[#This Row],[Billed_Units]]*ReconciliationData[[#This Row],[Billed_Price]]</f>
        <v>136511.64799999999</v>
      </c>
      <c r="Y3398">
        <f>ReconciliationData[[#This Row],[ordered_units]]*ReconciliationData[[#This Row],[List_Price]]</f>
        <v>136511.64799999999</v>
      </c>
      <c r="Z3398">
        <f>ReconciliationData[[#This Row],[billed_revenue]]-ReconciliationData[[#This Row],[expected_revenue]]</f>
        <v>0</v>
      </c>
      <c r="AA33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98" t="str">
        <f>IF(ReconciliationData[[#This Row],[severity_score]]=0,"LOW",
 IF(ReconciliationData[[#This Row],[severity_score]]&lt;=5,"MEDIUM","HIGH"))</f>
        <v>LOW</v>
      </c>
      <c r="AC3398" t="str">
        <f>TEXT(ReconciliationData[[#This Row],[Order_Date]],"YYYY-MM")</f>
        <v>2024-03</v>
      </c>
    </row>
    <row r="3399" spans="1:29">
      <c r="A3399" t="s">
        <v>8016</v>
      </c>
      <c r="B3399" s="1">
        <v>45256</v>
      </c>
      <c r="C3399" t="s">
        <v>3589</v>
      </c>
      <c r="D3399" t="s">
        <v>832</v>
      </c>
      <c r="E3399">
        <v>138</v>
      </c>
      <c r="F3399" t="s">
        <v>8017</v>
      </c>
      <c r="G3399">
        <v>138</v>
      </c>
      <c r="H3399">
        <v>324.52350000000001</v>
      </c>
      <c r="N3399">
        <v>324.52350000000001</v>
      </c>
      <c r="O3399" s="1">
        <v>45100</v>
      </c>
      <c r="P3399">
        <f>IF(ISBLANK(ReconciliationData[[#This Row],[Invoice_ID]]),1,0)</f>
        <v>0</v>
      </c>
      <c r="Q3399">
        <f>IF(AND(NOT(ISBLANK(ReconciliationData[[#This Row],[Billed_Units]])),ReconciliationData[[#This Row],[ordered_units]]&lt;&gt;ReconciliationData[[#This Row],[Billed_Units]]),1,0)</f>
        <v>0</v>
      </c>
      <c r="R33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399">
        <f>IF(AND(NOT(ISBLANK(ReconciliationData[[#This Row],[Contract_Price]])),ReconciliationData[[#This Row],[Billed_Price]]&lt;&gt;ReconciliationData[[#This Row],[Contract_Price]]),1,0)</f>
        <v>0</v>
      </c>
      <c r="T3399">
        <f>IF(AND(NOT(ISBLANK(ReconciliationData[[#This Row],[End_Date]])),ReconciliationData[[#This Row],[Order_Date]]&gt;ReconciliationData[[#This Row],[End_Date]]),1,0)</f>
        <v>0</v>
      </c>
      <c r="U3399">
        <f>IF(AND(NOT(ISBLANK(ReconciliationData[[#This Row],[last_return_date]])),ReconciliationData[[#This Row],[last_return_date]]&gt;ReconciliationData[[#This Row],[Order_Date]]+60),1,0)</f>
        <v>0</v>
      </c>
      <c r="V3399">
        <f>IF(ReconciliationData[[#This Row],[total_returned_units]]&gt;ReconciliationData[[#This Row],[ordered_units]],1,0)</f>
        <v>0</v>
      </c>
      <c r="W33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399">
        <f>ReconciliationData[[#This Row],[Billed_Units]]*ReconciliationData[[#This Row],[Billed_Price]]</f>
        <v>44784.243000000002</v>
      </c>
      <c r="Y3399">
        <f>ReconciliationData[[#This Row],[ordered_units]]*ReconciliationData[[#This Row],[List_Price]]</f>
        <v>44784.243000000002</v>
      </c>
      <c r="Z3399">
        <f>ReconciliationData[[#This Row],[billed_revenue]]-ReconciliationData[[#This Row],[expected_revenue]]</f>
        <v>0</v>
      </c>
      <c r="AA33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399" t="str">
        <f>IF(ReconciliationData[[#This Row],[severity_score]]=0,"LOW",
 IF(ReconciliationData[[#This Row],[severity_score]]&lt;=5,"MEDIUM","HIGH"))</f>
        <v>LOW</v>
      </c>
      <c r="AC3399" t="str">
        <f>TEXT(ReconciliationData[[#This Row],[Order_Date]],"YYYY-MM")</f>
        <v>2023-11</v>
      </c>
    </row>
    <row r="3400" spans="1:29">
      <c r="A3400" t="s">
        <v>8018</v>
      </c>
      <c r="B3400" s="1">
        <v>45654</v>
      </c>
      <c r="C3400" t="s">
        <v>270</v>
      </c>
      <c r="D3400" t="s">
        <v>174</v>
      </c>
      <c r="E3400">
        <v>36</v>
      </c>
      <c r="F3400" t="s">
        <v>8019</v>
      </c>
      <c r="G3400">
        <v>36</v>
      </c>
      <c r="H3400">
        <v>461.69279999999998</v>
      </c>
      <c r="N3400">
        <v>461.69279999999998</v>
      </c>
      <c r="O3400" s="1">
        <v>45031</v>
      </c>
      <c r="P3400">
        <f>IF(ISBLANK(ReconciliationData[[#This Row],[Invoice_ID]]),1,0)</f>
        <v>0</v>
      </c>
      <c r="Q3400">
        <f>IF(AND(NOT(ISBLANK(ReconciliationData[[#This Row],[Billed_Units]])),ReconciliationData[[#This Row],[ordered_units]]&lt;&gt;ReconciliationData[[#This Row],[Billed_Units]]),1,0)</f>
        <v>0</v>
      </c>
      <c r="R34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00">
        <f>IF(AND(NOT(ISBLANK(ReconciliationData[[#This Row],[Contract_Price]])),ReconciliationData[[#This Row],[Billed_Price]]&lt;&gt;ReconciliationData[[#This Row],[Contract_Price]]),1,0)</f>
        <v>0</v>
      </c>
      <c r="T3400">
        <f>IF(AND(NOT(ISBLANK(ReconciliationData[[#This Row],[End_Date]])),ReconciliationData[[#This Row],[Order_Date]]&gt;ReconciliationData[[#This Row],[End_Date]]),1,0)</f>
        <v>0</v>
      </c>
      <c r="U3400">
        <f>IF(AND(NOT(ISBLANK(ReconciliationData[[#This Row],[last_return_date]])),ReconciliationData[[#This Row],[last_return_date]]&gt;ReconciliationData[[#This Row],[Order_Date]]+60),1,0)</f>
        <v>0</v>
      </c>
      <c r="V3400">
        <f>IF(ReconciliationData[[#This Row],[total_returned_units]]&gt;ReconciliationData[[#This Row],[ordered_units]],1,0)</f>
        <v>0</v>
      </c>
      <c r="W34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00">
        <f>ReconciliationData[[#This Row],[Billed_Units]]*ReconciliationData[[#This Row],[Billed_Price]]</f>
        <v>16620.9408</v>
      </c>
      <c r="Y3400">
        <f>ReconciliationData[[#This Row],[ordered_units]]*ReconciliationData[[#This Row],[List_Price]]</f>
        <v>16620.9408</v>
      </c>
      <c r="Z3400">
        <f>ReconciliationData[[#This Row],[billed_revenue]]-ReconciliationData[[#This Row],[expected_revenue]]</f>
        <v>0</v>
      </c>
      <c r="AA34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00" t="str">
        <f>IF(ReconciliationData[[#This Row],[severity_score]]=0,"LOW",
 IF(ReconciliationData[[#This Row],[severity_score]]&lt;=5,"MEDIUM","HIGH"))</f>
        <v>LOW</v>
      </c>
      <c r="AC3400" t="str">
        <f>TEXT(ReconciliationData[[#This Row],[Order_Date]],"YYYY-MM")</f>
        <v>2024-12</v>
      </c>
    </row>
    <row r="3401" spans="1:29">
      <c r="A3401" t="s">
        <v>8020</v>
      </c>
      <c r="B3401" s="1">
        <v>45358</v>
      </c>
      <c r="C3401" t="s">
        <v>996</v>
      </c>
      <c r="D3401" t="s">
        <v>2563</v>
      </c>
      <c r="E3401">
        <v>63</v>
      </c>
      <c r="F3401" t="s">
        <v>8021</v>
      </c>
      <c r="G3401">
        <v>63</v>
      </c>
      <c r="H3401">
        <v>312.56310000000002</v>
      </c>
      <c r="N3401">
        <v>312.56310000000002</v>
      </c>
      <c r="O3401" s="1">
        <v>45028</v>
      </c>
      <c r="P3401">
        <f>IF(ISBLANK(ReconciliationData[[#This Row],[Invoice_ID]]),1,0)</f>
        <v>0</v>
      </c>
      <c r="Q3401">
        <f>IF(AND(NOT(ISBLANK(ReconciliationData[[#This Row],[Billed_Units]])),ReconciliationData[[#This Row],[ordered_units]]&lt;&gt;ReconciliationData[[#This Row],[Billed_Units]]),1,0)</f>
        <v>0</v>
      </c>
      <c r="R34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01">
        <f>IF(AND(NOT(ISBLANK(ReconciliationData[[#This Row],[Contract_Price]])),ReconciliationData[[#This Row],[Billed_Price]]&lt;&gt;ReconciliationData[[#This Row],[Contract_Price]]),1,0)</f>
        <v>0</v>
      </c>
      <c r="T3401">
        <f>IF(AND(NOT(ISBLANK(ReconciliationData[[#This Row],[End_Date]])),ReconciliationData[[#This Row],[Order_Date]]&gt;ReconciliationData[[#This Row],[End_Date]]),1,0)</f>
        <v>0</v>
      </c>
      <c r="U3401">
        <f>IF(AND(NOT(ISBLANK(ReconciliationData[[#This Row],[last_return_date]])),ReconciliationData[[#This Row],[last_return_date]]&gt;ReconciliationData[[#This Row],[Order_Date]]+60),1,0)</f>
        <v>0</v>
      </c>
      <c r="V3401">
        <f>IF(ReconciliationData[[#This Row],[total_returned_units]]&gt;ReconciliationData[[#This Row],[ordered_units]],1,0)</f>
        <v>0</v>
      </c>
      <c r="W34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01">
        <f>ReconciliationData[[#This Row],[Billed_Units]]*ReconciliationData[[#This Row],[Billed_Price]]</f>
        <v>19691.475300000002</v>
      </c>
      <c r="Y3401">
        <f>ReconciliationData[[#This Row],[ordered_units]]*ReconciliationData[[#This Row],[List_Price]]</f>
        <v>19691.475300000002</v>
      </c>
      <c r="Z3401">
        <f>ReconciliationData[[#This Row],[billed_revenue]]-ReconciliationData[[#This Row],[expected_revenue]]</f>
        <v>0</v>
      </c>
      <c r="AA34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01" t="str">
        <f>IF(ReconciliationData[[#This Row],[severity_score]]=0,"LOW",
 IF(ReconciliationData[[#This Row],[severity_score]]&lt;=5,"MEDIUM","HIGH"))</f>
        <v>LOW</v>
      </c>
      <c r="AC3401" t="str">
        <f>TEXT(ReconciliationData[[#This Row],[Order_Date]],"YYYY-MM")</f>
        <v>2024-03</v>
      </c>
    </row>
    <row r="3402" spans="1:29">
      <c r="A3402" t="s">
        <v>8022</v>
      </c>
      <c r="B3402" s="1">
        <v>45294</v>
      </c>
      <c r="C3402" t="s">
        <v>3039</v>
      </c>
      <c r="D3402" t="s">
        <v>479</v>
      </c>
      <c r="E3402">
        <v>178</v>
      </c>
      <c r="F3402" t="s">
        <v>8023</v>
      </c>
      <c r="G3402">
        <v>178</v>
      </c>
      <c r="H3402">
        <v>1014.5718000000001</v>
      </c>
      <c r="N3402">
        <v>1014.5718000000001</v>
      </c>
      <c r="O3402" s="1">
        <v>45035</v>
      </c>
      <c r="P3402">
        <f>IF(ISBLANK(ReconciliationData[[#This Row],[Invoice_ID]]),1,0)</f>
        <v>0</v>
      </c>
      <c r="Q3402">
        <f>IF(AND(NOT(ISBLANK(ReconciliationData[[#This Row],[Billed_Units]])),ReconciliationData[[#This Row],[ordered_units]]&lt;&gt;ReconciliationData[[#This Row],[Billed_Units]]),1,0)</f>
        <v>0</v>
      </c>
      <c r="R34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02">
        <f>IF(AND(NOT(ISBLANK(ReconciliationData[[#This Row],[Contract_Price]])),ReconciliationData[[#This Row],[Billed_Price]]&lt;&gt;ReconciliationData[[#This Row],[Contract_Price]]),1,0)</f>
        <v>0</v>
      </c>
      <c r="T3402">
        <f>IF(AND(NOT(ISBLANK(ReconciliationData[[#This Row],[End_Date]])),ReconciliationData[[#This Row],[Order_Date]]&gt;ReconciliationData[[#This Row],[End_Date]]),1,0)</f>
        <v>0</v>
      </c>
      <c r="U3402">
        <f>IF(AND(NOT(ISBLANK(ReconciliationData[[#This Row],[last_return_date]])),ReconciliationData[[#This Row],[last_return_date]]&gt;ReconciliationData[[#This Row],[Order_Date]]+60),1,0)</f>
        <v>0</v>
      </c>
      <c r="V3402">
        <f>IF(ReconciliationData[[#This Row],[total_returned_units]]&gt;ReconciliationData[[#This Row],[ordered_units]],1,0)</f>
        <v>0</v>
      </c>
      <c r="W34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02">
        <f>ReconciliationData[[#This Row],[Billed_Units]]*ReconciliationData[[#This Row],[Billed_Price]]</f>
        <v>180593.78040000002</v>
      </c>
      <c r="Y3402">
        <f>ReconciliationData[[#This Row],[ordered_units]]*ReconciliationData[[#This Row],[List_Price]]</f>
        <v>180593.78040000002</v>
      </c>
      <c r="Z3402">
        <f>ReconciliationData[[#This Row],[billed_revenue]]-ReconciliationData[[#This Row],[expected_revenue]]</f>
        <v>0</v>
      </c>
      <c r="AA34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02" t="str">
        <f>IF(ReconciliationData[[#This Row],[severity_score]]=0,"LOW",
 IF(ReconciliationData[[#This Row],[severity_score]]&lt;=5,"MEDIUM","HIGH"))</f>
        <v>LOW</v>
      </c>
      <c r="AC3402" t="str">
        <f>TEXT(ReconciliationData[[#This Row],[Order_Date]],"YYYY-MM")</f>
        <v>2024-01</v>
      </c>
    </row>
    <row r="3403" spans="1:29">
      <c r="A3403" t="s">
        <v>8024</v>
      </c>
      <c r="B3403" s="1">
        <v>45381</v>
      </c>
      <c r="C3403" t="s">
        <v>3087</v>
      </c>
      <c r="D3403" t="s">
        <v>1994</v>
      </c>
      <c r="E3403">
        <v>129</v>
      </c>
      <c r="F3403" t="s">
        <v>8025</v>
      </c>
      <c r="G3403">
        <v>129</v>
      </c>
      <c r="H3403">
        <v>296.17460000000005</v>
      </c>
      <c r="N3403">
        <v>296.17460000000005</v>
      </c>
      <c r="O3403" s="1">
        <v>45194</v>
      </c>
      <c r="P3403">
        <f>IF(ISBLANK(ReconciliationData[[#This Row],[Invoice_ID]]),1,0)</f>
        <v>0</v>
      </c>
      <c r="Q3403">
        <f>IF(AND(NOT(ISBLANK(ReconciliationData[[#This Row],[Billed_Units]])),ReconciliationData[[#This Row],[ordered_units]]&lt;&gt;ReconciliationData[[#This Row],[Billed_Units]]),1,0)</f>
        <v>0</v>
      </c>
      <c r="R34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03">
        <f>IF(AND(NOT(ISBLANK(ReconciliationData[[#This Row],[Contract_Price]])),ReconciliationData[[#This Row],[Billed_Price]]&lt;&gt;ReconciliationData[[#This Row],[Contract_Price]]),1,0)</f>
        <v>0</v>
      </c>
      <c r="T3403">
        <f>IF(AND(NOT(ISBLANK(ReconciliationData[[#This Row],[End_Date]])),ReconciliationData[[#This Row],[Order_Date]]&gt;ReconciliationData[[#This Row],[End_Date]]),1,0)</f>
        <v>0</v>
      </c>
      <c r="U3403">
        <f>IF(AND(NOT(ISBLANK(ReconciliationData[[#This Row],[last_return_date]])),ReconciliationData[[#This Row],[last_return_date]]&gt;ReconciliationData[[#This Row],[Order_Date]]+60),1,0)</f>
        <v>0</v>
      </c>
      <c r="V3403">
        <f>IF(ReconciliationData[[#This Row],[total_returned_units]]&gt;ReconciliationData[[#This Row],[ordered_units]],1,0)</f>
        <v>0</v>
      </c>
      <c r="W34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03">
        <f>ReconciliationData[[#This Row],[Billed_Units]]*ReconciliationData[[#This Row],[Billed_Price]]</f>
        <v>38206.523400000005</v>
      </c>
      <c r="Y3403">
        <f>ReconciliationData[[#This Row],[ordered_units]]*ReconciliationData[[#This Row],[List_Price]]</f>
        <v>38206.523400000005</v>
      </c>
      <c r="Z3403">
        <f>ReconciliationData[[#This Row],[billed_revenue]]-ReconciliationData[[#This Row],[expected_revenue]]</f>
        <v>0</v>
      </c>
      <c r="AA34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03" t="str">
        <f>IF(ReconciliationData[[#This Row],[severity_score]]=0,"LOW",
 IF(ReconciliationData[[#This Row],[severity_score]]&lt;=5,"MEDIUM","HIGH"))</f>
        <v>LOW</v>
      </c>
      <c r="AC3403" t="str">
        <f>TEXT(ReconciliationData[[#This Row],[Order_Date]],"YYYY-MM")</f>
        <v>2024-03</v>
      </c>
    </row>
    <row r="3404" spans="1:29">
      <c r="A3404" t="s">
        <v>8026</v>
      </c>
      <c r="B3404" s="1">
        <v>45351</v>
      </c>
      <c r="C3404" t="s">
        <v>1304</v>
      </c>
      <c r="D3404" t="s">
        <v>707</v>
      </c>
      <c r="E3404">
        <v>75</v>
      </c>
      <c r="F3404" t="s">
        <v>8027</v>
      </c>
      <c r="G3404">
        <v>75</v>
      </c>
      <c r="H3404">
        <v>381.97550000000001</v>
      </c>
      <c r="N3404">
        <v>381.97550000000001</v>
      </c>
      <c r="O3404" s="1">
        <v>45065</v>
      </c>
      <c r="P3404">
        <f>IF(ISBLANK(ReconciliationData[[#This Row],[Invoice_ID]]),1,0)</f>
        <v>0</v>
      </c>
      <c r="Q3404">
        <f>IF(AND(NOT(ISBLANK(ReconciliationData[[#This Row],[Billed_Units]])),ReconciliationData[[#This Row],[ordered_units]]&lt;&gt;ReconciliationData[[#This Row],[Billed_Units]]),1,0)</f>
        <v>0</v>
      </c>
      <c r="R34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04">
        <f>IF(AND(NOT(ISBLANK(ReconciliationData[[#This Row],[Contract_Price]])),ReconciliationData[[#This Row],[Billed_Price]]&lt;&gt;ReconciliationData[[#This Row],[Contract_Price]]),1,0)</f>
        <v>0</v>
      </c>
      <c r="T3404">
        <f>IF(AND(NOT(ISBLANK(ReconciliationData[[#This Row],[End_Date]])),ReconciliationData[[#This Row],[Order_Date]]&gt;ReconciliationData[[#This Row],[End_Date]]),1,0)</f>
        <v>0</v>
      </c>
      <c r="U3404">
        <f>IF(AND(NOT(ISBLANK(ReconciliationData[[#This Row],[last_return_date]])),ReconciliationData[[#This Row],[last_return_date]]&gt;ReconciliationData[[#This Row],[Order_Date]]+60),1,0)</f>
        <v>0</v>
      </c>
      <c r="V3404">
        <f>IF(ReconciliationData[[#This Row],[total_returned_units]]&gt;ReconciliationData[[#This Row],[ordered_units]],1,0)</f>
        <v>0</v>
      </c>
      <c r="W34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04">
        <f>ReconciliationData[[#This Row],[Billed_Units]]*ReconciliationData[[#This Row],[Billed_Price]]</f>
        <v>28648.162500000002</v>
      </c>
      <c r="Y3404">
        <f>ReconciliationData[[#This Row],[ordered_units]]*ReconciliationData[[#This Row],[List_Price]]</f>
        <v>28648.162500000002</v>
      </c>
      <c r="Z3404">
        <f>ReconciliationData[[#This Row],[billed_revenue]]-ReconciliationData[[#This Row],[expected_revenue]]</f>
        <v>0</v>
      </c>
      <c r="AA34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04" t="str">
        <f>IF(ReconciliationData[[#This Row],[severity_score]]=0,"LOW",
 IF(ReconciliationData[[#This Row],[severity_score]]&lt;=5,"MEDIUM","HIGH"))</f>
        <v>LOW</v>
      </c>
      <c r="AC3404" t="str">
        <f>TEXT(ReconciliationData[[#This Row],[Order_Date]],"YYYY-MM")</f>
        <v>2024-02</v>
      </c>
    </row>
    <row r="3405" spans="1:29">
      <c r="A3405" t="s">
        <v>8028</v>
      </c>
      <c r="B3405" s="1">
        <v>45569</v>
      </c>
      <c r="C3405" t="s">
        <v>2833</v>
      </c>
      <c r="D3405" t="s">
        <v>381</v>
      </c>
      <c r="E3405">
        <v>153</v>
      </c>
      <c r="F3405" t="s">
        <v>8029</v>
      </c>
      <c r="G3405">
        <v>153</v>
      </c>
      <c r="H3405">
        <v>942.54840000000013</v>
      </c>
      <c r="I3405">
        <v>17</v>
      </c>
      <c r="J3405" s="1">
        <v>45024</v>
      </c>
      <c r="N3405">
        <v>942.54840000000013</v>
      </c>
      <c r="O3405" s="1">
        <v>45086</v>
      </c>
      <c r="P3405">
        <f>IF(ISBLANK(ReconciliationData[[#This Row],[Invoice_ID]]),1,0)</f>
        <v>0</v>
      </c>
      <c r="Q3405">
        <f>IF(AND(NOT(ISBLANK(ReconciliationData[[#This Row],[Billed_Units]])),ReconciliationData[[#This Row],[ordered_units]]&lt;&gt;ReconciliationData[[#This Row],[Billed_Units]]),1,0)</f>
        <v>0</v>
      </c>
      <c r="R34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05">
        <f>IF(AND(NOT(ISBLANK(ReconciliationData[[#This Row],[Contract_Price]])),ReconciliationData[[#This Row],[Billed_Price]]&lt;&gt;ReconciliationData[[#This Row],[Contract_Price]]),1,0)</f>
        <v>0</v>
      </c>
      <c r="T3405">
        <f>IF(AND(NOT(ISBLANK(ReconciliationData[[#This Row],[End_Date]])),ReconciliationData[[#This Row],[Order_Date]]&gt;ReconciliationData[[#This Row],[End_Date]]),1,0)</f>
        <v>0</v>
      </c>
      <c r="U3405">
        <f>IF(AND(NOT(ISBLANK(ReconciliationData[[#This Row],[last_return_date]])),ReconciliationData[[#This Row],[last_return_date]]&gt;ReconciliationData[[#This Row],[Order_Date]]+60),1,0)</f>
        <v>0</v>
      </c>
      <c r="V3405">
        <f>IF(ReconciliationData[[#This Row],[total_returned_units]]&gt;ReconciliationData[[#This Row],[ordered_units]],1,0)</f>
        <v>0</v>
      </c>
      <c r="W34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05">
        <f>ReconciliationData[[#This Row],[Billed_Units]]*ReconciliationData[[#This Row],[Billed_Price]]</f>
        <v>144209.90520000001</v>
      </c>
      <c r="Y3405">
        <f>ReconciliationData[[#This Row],[ordered_units]]*ReconciliationData[[#This Row],[List_Price]]</f>
        <v>144209.90520000001</v>
      </c>
      <c r="Z3405">
        <f>ReconciliationData[[#This Row],[billed_revenue]]-ReconciliationData[[#This Row],[expected_revenue]]</f>
        <v>0</v>
      </c>
      <c r="AA34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05" t="str">
        <f>IF(ReconciliationData[[#This Row],[severity_score]]=0,"LOW",
 IF(ReconciliationData[[#This Row],[severity_score]]&lt;=5,"MEDIUM","HIGH"))</f>
        <v>LOW</v>
      </c>
      <c r="AC3405" t="str">
        <f>TEXT(ReconciliationData[[#This Row],[Order_Date]],"YYYY-MM")</f>
        <v>2024-10</v>
      </c>
    </row>
    <row r="3406" spans="1:29">
      <c r="A3406" t="s">
        <v>8030</v>
      </c>
      <c r="B3406" s="1">
        <v>45591</v>
      </c>
      <c r="C3406" t="s">
        <v>2288</v>
      </c>
      <c r="D3406" t="s">
        <v>832</v>
      </c>
      <c r="E3406">
        <v>40</v>
      </c>
      <c r="F3406" t="s">
        <v>8031</v>
      </c>
      <c r="G3406">
        <v>40</v>
      </c>
      <c r="H3406">
        <v>324.52350000000001</v>
      </c>
      <c r="I3406">
        <v>9</v>
      </c>
      <c r="J3406" s="1">
        <v>45073</v>
      </c>
      <c r="N3406">
        <v>324.52350000000001</v>
      </c>
      <c r="O3406" s="1">
        <v>45100</v>
      </c>
      <c r="P3406">
        <f>IF(ISBLANK(ReconciliationData[[#This Row],[Invoice_ID]]),1,0)</f>
        <v>0</v>
      </c>
      <c r="Q3406">
        <f>IF(AND(NOT(ISBLANK(ReconciliationData[[#This Row],[Billed_Units]])),ReconciliationData[[#This Row],[ordered_units]]&lt;&gt;ReconciliationData[[#This Row],[Billed_Units]]),1,0)</f>
        <v>0</v>
      </c>
      <c r="R34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06">
        <f>IF(AND(NOT(ISBLANK(ReconciliationData[[#This Row],[Contract_Price]])),ReconciliationData[[#This Row],[Billed_Price]]&lt;&gt;ReconciliationData[[#This Row],[Contract_Price]]),1,0)</f>
        <v>0</v>
      </c>
      <c r="T3406">
        <f>IF(AND(NOT(ISBLANK(ReconciliationData[[#This Row],[End_Date]])),ReconciliationData[[#This Row],[Order_Date]]&gt;ReconciliationData[[#This Row],[End_Date]]),1,0)</f>
        <v>0</v>
      </c>
      <c r="U3406">
        <f>IF(AND(NOT(ISBLANK(ReconciliationData[[#This Row],[last_return_date]])),ReconciliationData[[#This Row],[last_return_date]]&gt;ReconciliationData[[#This Row],[Order_Date]]+60),1,0)</f>
        <v>0</v>
      </c>
      <c r="V3406">
        <f>IF(ReconciliationData[[#This Row],[total_returned_units]]&gt;ReconciliationData[[#This Row],[ordered_units]],1,0)</f>
        <v>0</v>
      </c>
      <c r="W34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06">
        <f>ReconciliationData[[#This Row],[Billed_Units]]*ReconciliationData[[#This Row],[Billed_Price]]</f>
        <v>12980.94</v>
      </c>
      <c r="Y3406">
        <f>ReconciliationData[[#This Row],[ordered_units]]*ReconciliationData[[#This Row],[List_Price]]</f>
        <v>12980.94</v>
      </c>
      <c r="Z3406">
        <f>ReconciliationData[[#This Row],[billed_revenue]]-ReconciliationData[[#This Row],[expected_revenue]]</f>
        <v>0</v>
      </c>
      <c r="AA34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06" t="str">
        <f>IF(ReconciliationData[[#This Row],[severity_score]]=0,"LOW",
 IF(ReconciliationData[[#This Row],[severity_score]]&lt;=5,"MEDIUM","HIGH"))</f>
        <v>LOW</v>
      </c>
      <c r="AC3406" t="str">
        <f>TEXT(ReconciliationData[[#This Row],[Order_Date]],"YYYY-MM")</f>
        <v>2024-10</v>
      </c>
    </row>
    <row r="3407" spans="1:29">
      <c r="A3407" t="s">
        <v>8032</v>
      </c>
      <c r="B3407" s="1">
        <v>45131</v>
      </c>
      <c r="C3407" t="s">
        <v>844</v>
      </c>
      <c r="D3407" t="s">
        <v>1309</v>
      </c>
      <c r="E3407">
        <v>138</v>
      </c>
      <c r="F3407" t="s">
        <v>8033</v>
      </c>
      <c r="G3407">
        <v>138</v>
      </c>
      <c r="H3407">
        <v>906.88919999999996</v>
      </c>
      <c r="N3407">
        <v>906.88919999999996</v>
      </c>
      <c r="O3407" s="1">
        <v>44991</v>
      </c>
      <c r="P3407">
        <f>IF(ISBLANK(ReconciliationData[[#This Row],[Invoice_ID]]),1,0)</f>
        <v>0</v>
      </c>
      <c r="Q3407">
        <f>IF(AND(NOT(ISBLANK(ReconciliationData[[#This Row],[Billed_Units]])),ReconciliationData[[#This Row],[ordered_units]]&lt;&gt;ReconciliationData[[#This Row],[Billed_Units]]),1,0)</f>
        <v>0</v>
      </c>
      <c r="R34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07">
        <f>IF(AND(NOT(ISBLANK(ReconciliationData[[#This Row],[Contract_Price]])),ReconciliationData[[#This Row],[Billed_Price]]&lt;&gt;ReconciliationData[[#This Row],[Contract_Price]]),1,0)</f>
        <v>0</v>
      </c>
      <c r="T3407">
        <f>IF(AND(NOT(ISBLANK(ReconciliationData[[#This Row],[End_Date]])),ReconciliationData[[#This Row],[Order_Date]]&gt;ReconciliationData[[#This Row],[End_Date]]),1,0)</f>
        <v>0</v>
      </c>
      <c r="U3407">
        <f>IF(AND(NOT(ISBLANK(ReconciliationData[[#This Row],[last_return_date]])),ReconciliationData[[#This Row],[last_return_date]]&gt;ReconciliationData[[#This Row],[Order_Date]]+60),1,0)</f>
        <v>0</v>
      </c>
      <c r="V3407">
        <f>IF(ReconciliationData[[#This Row],[total_returned_units]]&gt;ReconciliationData[[#This Row],[ordered_units]],1,0)</f>
        <v>0</v>
      </c>
      <c r="W34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07">
        <f>ReconciliationData[[#This Row],[Billed_Units]]*ReconciliationData[[#This Row],[Billed_Price]]</f>
        <v>125150.70959999999</v>
      </c>
      <c r="Y3407">
        <f>ReconciliationData[[#This Row],[ordered_units]]*ReconciliationData[[#This Row],[List_Price]]</f>
        <v>125150.70959999999</v>
      </c>
      <c r="Z3407">
        <f>ReconciliationData[[#This Row],[billed_revenue]]-ReconciliationData[[#This Row],[expected_revenue]]</f>
        <v>0</v>
      </c>
      <c r="AA34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07" t="str">
        <f>IF(ReconciliationData[[#This Row],[severity_score]]=0,"LOW",
 IF(ReconciliationData[[#This Row],[severity_score]]&lt;=5,"MEDIUM","HIGH"))</f>
        <v>LOW</v>
      </c>
      <c r="AC3407" t="str">
        <f>TEXT(ReconciliationData[[#This Row],[Order_Date]],"YYYY-MM")</f>
        <v>2023-07</v>
      </c>
    </row>
    <row r="3408" spans="1:29">
      <c r="A3408" t="s">
        <v>8034</v>
      </c>
      <c r="B3408" s="1">
        <v>45113</v>
      </c>
      <c r="C3408" t="s">
        <v>286</v>
      </c>
      <c r="D3408" t="s">
        <v>198</v>
      </c>
      <c r="E3408">
        <v>84</v>
      </c>
      <c r="F3408" t="s">
        <v>8035</v>
      </c>
      <c r="G3408">
        <v>84</v>
      </c>
      <c r="H3408">
        <v>78.696099999999987</v>
      </c>
      <c r="N3408">
        <v>78.696099999999987</v>
      </c>
      <c r="O3408" s="1">
        <v>45083</v>
      </c>
      <c r="P3408">
        <f>IF(ISBLANK(ReconciliationData[[#This Row],[Invoice_ID]]),1,0)</f>
        <v>0</v>
      </c>
      <c r="Q3408">
        <f>IF(AND(NOT(ISBLANK(ReconciliationData[[#This Row],[Billed_Units]])),ReconciliationData[[#This Row],[ordered_units]]&lt;&gt;ReconciliationData[[#This Row],[Billed_Units]]),1,0)</f>
        <v>0</v>
      </c>
      <c r="R34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08">
        <f>IF(AND(NOT(ISBLANK(ReconciliationData[[#This Row],[Contract_Price]])),ReconciliationData[[#This Row],[Billed_Price]]&lt;&gt;ReconciliationData[[#This Row],[Contract_Price]]),1,0)</f>
        <v>0</v>
      </c>
      <c r="T3408">
        <f>IF(AND(NOT(ISBLANK(ReconciliationData[[#This Row],[End_Date]])),ReconciliationData[[#This Row],[Order_Date]]&gt;ReconciliationData[[#This Row],[End_Date]]),1,0)</f>
        <v>0</v>
      </c>
      <c r="U3408">
        <f>IF(AND(NOT(ISBLANK(ReconciliationData[[#This Row],[last_return_date]])),ReconciliationData[[#This Row],[last_return_date]]&gt;ReconciliationData[[#This Row],[Order_Date]]+60),1,0)</f>
        <v>0</v>
      </c>
      <c r="V3408">
        <f>IF(ReconciliationData[[#This Row],[total_returned_units]]&gt;ReconciliationData[[#This Row],[ordered_units]],1,0)</f>
        <v>0</v>
      </c>
      <c r="W34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08">
        <f>ReconciliationData[[#This Row],[Billed_Units]]*ReconciliationData[[#This Row],[Billed_Price]]</f>
        <v>6610.4723999999987</v>
      </c>
      <c r="Y3408">
        <f>ReconciliationData[[#This Row],[ordered_units]]*ReconciliationData[[#This Row],[List_Price]]</f>
        <v>6610.4723999999987</v>
      </c>
      <c r="Z3408">
        <f>ReconciliationData[[#This Row],[billed_revenue]]-ReconciliationData[[#This Row],[expected_revenue]]</f>
        <v>0</v>
      </c>
      <c r="AA34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08" t="str">
        <f>IF(ReconciliationData[[#This Row],[severity_score]]=0,"LOW",
 IF(ReconciliationData[[#This Row],[severity_score]]&lt;=5,"MEDIUM","HIGH"))</f>
        <v>LOW</v>
      </c>
      <c r="AC3408" t="str">
        <f>TEXT(ReconciliationData[[#This Row],[Order_Date]],"YYYY-MM")</f>
        <v>2023-07</v>
      </c>
    </row>
    <row r="3409" spans="1:29">
      <c r="A3409" t="s">
        <v>8036</v>
      </c>
      <c r="B3409" s="1">
        <v>45167</v>
      </c>
      <c r="C3409" t="s">
        <v>2378</v>
      </c>
      <c r="D3409" t="s">
        <v>983</v>
      </c>
      <c r="E3409">
        <v>112</v>
      </c>
      <c r="F3409" t="s">
        <v>8037</v>
      </c>
      <c r="G3409">
        <v>112</v>
      </c>
      <c r="H3409">
        <v>226.55009366787507</v>
      </c>
      <c r="N3409">
        <v>226.1644</v>
      </c>
      <c r="O3409" s="1">
        <v>45139</v>
      </c>
      <c r="P3409">
        <f>IF(ISBLANK(ReconciliationData[[#This Row],[Invoice_ID]]),1,0)</f>
        <v>0</v>
      </c>
      <c r="Q3409">
        <f>IF(AND(NOT(ISBLANK(ReconciliationData[[#This Row],[Billed_Units]])),ReconciliationData[[#This Row],[ordered_units]]&lt;&gt;ReconciliationData[[#This Row],[Billed_Units]]),1,0)</f>
        <v>0</v>
      </c>
      <c r="R340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409">
        <f>IF(AND(NOT(ISBLANK(ReconciliationData[[#This Row],[Contract_Price]])),ReconciliationData[[#This Row],[Billed_Price]]&lt;&gt;ReconciliationData[[#This Row],[Contract_Price]]),1,0)</f>
        <v>0</v>
      </c>
      <c r="T3409">
        <f>IF(AND(NOT(ISBLANK(ReconciliationData[[#This Row],[End_Date]])),ReconciliationData[[#This Row],[Order_Date]]&gt;ReconciliationData[[#This Row],[End_Date]]),1,0)</f>
        <v>0</v>
      </c>
      <c r="U3409">
        <f>IF(AND(NOT(ISBLANK(ReconciliationData[[#This Row],[last_return_date]])),ReconciliationData[[#This Row],[last_return_date]]&gt;ReconciliationData[[#This Row],[Order_Date]]+60),1,0)</f>
        <v>0</v>
      </c>
      <c r="V3409">
        <f>IF(ReconciliationData[[#This Row],[total_returned_units]]&gt;ReconciliationData[[#This Row],[ordered_units]],1,0)</f>
        <v>0</v>
      </c>
      <c r="W34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409">
        <f>ReconciliationData[[#This Row],[Billed_Units]]*ReconciliationData[[#This Row],[Billed_Price]]</f>
        <v>25373.61049080201</v>
      </c>
      <c r="Y3409">
        <f>ReconciliationData[[#This Row],[ordered_units]]*ReconciliationData[[#This Row],[List_Price]]</f>
        <v>25330.412799999998</v>
      </c>
      <c r="Z3409">
        <f>ReconciliationData[[#This Row],[billed_revenue]]-ReconciliationData[[#This Row],[expected_revenue]]</f>
        <v>43.197690802011493</v>
      </c>
      <c r="AA34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409" t="str">
        <f>IF(ReconciliationData[[#This Row],[severity_score]]=0,"LOW",
 IF(ReconciliationData[[#This Row],[severity_score]]&lt;=5,"MEDIUM","HIGH"))</f>
        <v>MEDIUM</v>
      </c>
      <c r="AC3409" t="str">
        <f>TEXT(ReconciliationData[[#This Row],[Order_Date]],"YYYY-MM")</f>
        <v>2023-08</v>
      </c>
    </row>
    <row r="3410" spans="1:29">
      <c r="A3410" t="s">
        <v>8038</v>
      </c>
      <c r="B3410" s="1">
        <v>44952</v>
      </c>
      <c r="C3410" t="s">
        <v>3073</v>
      </c>
      <c r="D3410" t="s">
        <v>1007</v>
      </c>
      <c r="E3410">
        <v>134</v>
      </c>
      <c r="F3410" t="s">
        <v>8039</v>
      </c>
      <c r="G3410">
        <v>134</v>
      </c>
      <c r="H3410">
        <v>121.13</v>
      </c>
      <c r="N3410">
        <v>121.13</v>
      </c>
      <c r="O3410" s="1">
        <v>44608</v>
      </c>
      <c r="P3410">
        <f>IF(ISBLANK(ReconciliationData[[#This Row],[Invoice_ID]]),1,0)</f>
        <v>0</v>
      </c>
      <c r="Q3410">
        <f>IF(AND(NOT(ISBLANK(ReconciliationData[[#This Row],[Billed_Units]])),ReconciliationData[[#This Row],[ordered_units]]&lt;&gt;ReconciliationData[[#This Row],[Billed_Units]]),1,0)</f>
        <v>0</v>
      </c>
      <c r="R34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0">
        <f>IF(AND(NOT(ISBLANK(ReconciliationData[[#This Row],[Contract_Price]])),ReconciliationData[[#This Row],[Billed_Price]]&lt;&gt;ReconciliationData[[#This Row],[Contract_Price]]),1,0)</f>
        <v>0</v>
      </c>
      <c r="T3410">
        <f>IF(AND(NOT(ISBLANK(ReconciliationData[[#This Row],[End_Date]])),ReconciliationData[[#This Row],[Order_Date]]&gt;ReconciliationData[[#This Row],[End_Date]]),1,0)</f>
        <v>0</v>
      </c>
      <c r="U3410">
        <f>IF(AND(NOT(ISBLANK(ReconciliationData[[#This Row],[last_return_date]])),ReconciliationData[[#This Row],[last_return_date]]&gt;ReconciliationData[[#This Row],[Order_Date]]+60),1,0)</f>
        <v>0</v>
      </c>
      <c r="V3410">
        <f>IF(ReconciliationData[[#This Row],[total_returned_units]]&gt;ReconciliationData[[#This Row],[ordered_units]],1,0)</f>
        <v>0</v>
      </c>
      <c r="W34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10">
        <f>ReconciliationData[[#This Row],[Billed_Units]]*ReconciliationData[[#This Row],[Billed_Price]]</f>
        <v>16231.42</v>
      </c>
      <c r="Y3410">
        <f>ReconciliationData[[#This Row],[ordered_units]]*ReconciliationData[[#This Row],[List_Price]]</f>
        <v>16231.42</v>
      </c>
      <c r="Z3410">
        <f>ReconciliationData[[#This Row],[billed_revenue]]-ReconciliationData[[#This Row],[expected_revenue]]</f>
        <v>0</v>
      </c>
      <c r="AA34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10" t="str">
        <f>IF(ReconciliationData[[#This Row],[severity_score]]=0,"LOW",
 IF(ReconciliationData[[#This Row],[severity_score]]&lt;=5,"MEDIUM","HIGH"))</f>
        <v>LOW</v>
      </c>
      <c r="AC3410" t="str">
        <f>TEXT(ReconciliationData[[#This Row],[Order_Date]],"YYYY-MM")</f>
        <v>2023-01</v>
      </c>
    </row>
    <row r="3411" spans="1:29">
      <c r="A3411" t="s">
        <v>8040</v>
      </c>
      <c r="B3411" s="1">
        <v>45625</v>
      </c>
      <c r="C3411" t="s">
        <v>298</v>
      </c>
      <c r="D3411" t="s">
        <v>658</v>
      </c>
      <c r="E3411">
        <v>157</v>
      </c>
      <c r="F3411" t="s">
        <v>8041</v>
      </c>
      <c r="G3411">
        <v>157</v>
      </c>
      <c r="H3411">
        <v>88.578000000000003</v>
      </c>
      <c r="N3411">
        <v>88.578000000000003</v>
      </c>
      <c r="O3411" s="1">
        <v>45107</v>
      </c>
      <c r="P3411">
        <f>IF(ISBLANK(ReconciliationData[[#This Row],[Invoice_ID]]),1,0)</f>
        <v>0</v>
      </c>
      <c r="Q3411">
        <f>IF(AND(NOT(ISBLANK(ReconciliationData[[#This Row],[Billed_Units]])),ReconciliationData[[#This Row],[ordered_units]]&lt;&gt;ReconciliationData[[#This Row],[Billed_Units]]),1,0)</f>
        <v>0</v>
      </c>
      <c r="R34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1">
        <f>IF(AND(NOT(ISBLANK(ReconciliationData[[#This Row],[Contract_Price]])),ReconciliationData[[#This Row],[Billed_Price]]&lt;&gt;ReconciliationData[[#This Row],[Contract_Price]]),1,0)</f>
        <v>0</v>
      </c>
      <c r="T3411">
        <f>IF(AND(NOT(ISBLANK(ReconciliationData[[#This Row],[End_Date]])),ReconciliationData[[#This Row],[Order_Date]]&gt;ReconciliationData[[#This Row],[End_Date]]),1,0)</f>
        <v>0</v>
      </c>
      <c r="U3411">
        <f>IF(AND(NOT(ISBLANK(ReconciliationData[[#This Row],[last_return_date]])),ReconciliationData[[#This Row],[last_return_date]]&gt;ReconciliationData[[#This Row],[Order_Date]]+60),1,0)</f>
        <v>0</v>
      </c>
      <c r="V3411">
        <f>IF(ReconciliationData[[#This Row],[total_returned_units]]&gt;ReconciliationData[[#This Row],[ordered_units]],1,0)</f>
        <v>0</v>
      </c>
      <c r="W34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11">
        <f>ReconciliationData[[#This Row],[Billed_Units]]*ReconciliationData[[#This Row],[Billed_Price]]</f>
        <v>13906.746000000001</v>
      </c>
      <c r="Y3411">
        <f>ReconciliationData[[#This Row],[ordered_units]]*ReconciliationData[[#This Row],[List_Price]]</f>
        <v>13906.746000000001</v>
      </c>
      <c r="Z3411">
        <f>ReconciliationData[[#This Row],[billed_revenue]]-ReconciliationData[[#This Row],[expected_revenue]]</f>
        <v>0</v>
      </c>
      <c r="AA34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11" t="str">
        <f>IF(ReconciliationData[[#This Row],[severity_score]]=0,"LOW",
 IF(ReconciliationData[[#This Row],[severity_score]]&lt;=5,"MEDIUM","HIGH"))</f>
        <v>LOW</v>
      </c>
      <c r="AC3411" t="str">
        <f>TEXT(ReconciliationData[[#This Row],[Order_Date]],"YYYY-MM")</f>
        <v>2024-11</v>
      </c>
    </row>
    <row r="3412" spans="1:29">
      <c r="A3412" t="s">
        <v>8042</v>
      </c>
      <c r="B3412" s="1">
        <v>45154</v>
      </c>
      <c r="C3412" t="s">
        <v>1505</v>
      </c>
      <c r="D3412" t="s">
        <v>1754</v>
      </c>
      <c r="E3412">
        <v>12</v>
      </c>
      <c r="F3412" t="s">
        <v>8043</v>
      </c>
      <c r="G3412">
        <v>12</v>
      </c>
      <c r="H3412">
        <v>1072.2954</v>
      </c>
      <c r="N3412">
        <v>1072.2954</v>
      </c>
      <c r="O3412" s="1">
        <v>45120</v>
      </c>
      <c r="P3412">
        <f>IF(ISBLANK(ReconciliationData[[#This Row],[Invoice_ID]]),1,0)</f>
        <v>0</v>
      </c>
      <c r="Q3412">
        <f>IF(AND(NOT(ISBLANK(ReconciliationData[[#This Row],[Billed_Units]])),ReconciliationData[[#This Row],[ordered_units]]&lt;&gt;ReconciliationData[[#This Row],[Billed_Units]]),1,0)</f>
        <v>0</v>
      </c>
      <c r="R34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2">
        <f>IF(AND(NOT(ISBLANK(ReconciliationData[[#This Row],[Contract_Price]])),ReconciliationData[[#This Row],[Billed_Price]]&lt;&gt;ReconciliationData[[#This Row],[Contract_Price]]),1,0)</f>
        <v>0</v>
      </c>
      <c r="T3412">
        <f>IF(AND(NOT(ISBLANK(ReconciliationData[[#This Row],[End_Date]])),ReconciliationData[[#This Row],[Order_Date]]&gt;ReconciliationData[[#This Row],[End_Date]]),1,0)</f>
        <v>0</v>
      </c>
      <c r="U3412">
        <f>IF(AND(NOT(ISBLANK(ReconciliationData[[#This Row],[last_return_date]])),ReconciliationData[[#This Row],[last_return_date]]&gt;ReconciliationData[[#This Row],[Order_Date]]+60),1,0)</f>
        <v>0</v>
      </c>
      <c r="V3412">
        <f>IF(ReconciliationData[[#This Row],[total_returned_units]]&gt;ReconciliationData[[#This Row],[ordered_units]],1,0)</f>
        <v>0</v>
      </c>
      <c r="W34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12">
        <f>ReconciliationData[[#This Row],[Billed_Units]]*ReconciliationData[[#This Row],[Billed_Price]]</f>
        <v>12867.5448</v>
      </c>
      <c r="Y3412">
        <f>ReconciliationData[[#This Row],[ordered_units]]*ReconciliationData[[#This Row],[List_Price]]</f>
        <v>12867.5448</v>
      </c>
      <c r="Z3412">
        <f>ReconciliationData[[#This Row],[billed_revenue]]-ReconciliationData[[#This Row],[expected_revenue]]</f>
        <v>0</v>
      </c>
      <c r="AA34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12" t="str">
        <f>IF(ReconciliationData[[#This Row],[severity_score]]=0,"LOW",
 IF(ReconciliationData[[#This Row],[severity_score]]&lt;=5,"MEDIUM","HIGH"))</f>
        <v>LOW</v>
      </c>
      <c r="AC3412" t="str">
        <f>TEXT(ReconciliationData[[#This Row],[Order_Date]],"YYYY-MM")</f>
        <v>2023-08</v>
      </c>
    </row>
    <row r="3413" spans="1:29">
      <c r="A3413" t="s">
        <v>8044</v>
      </c>
      <c r="B3413" s="1">
        <v>45375</v>
      </c>
      <c r="C3413" t="s">
        <v>3912</v>
      </c>
      <c r="D3413" t="s">
        <v>3404</v>
      </c>
      <c r="E3413">
        <v>191</v>
      </c>
      <c r="F3413" t="s">
        <v>8045</v>
      </c>
      <c r="G3413">
        <v>191</v>
      </c>
      <c r="H3413">
        <v>850.88400000000001</v>
      </c>
      <c r="N3413">
        <v>850.88400000000001</v>
      </c>
      <c r="O3413" s="1">
        <v>45100</v>
      </c>
      <c r="P3413">
        <f>IF(ISBLANK(ReconciliationData[[#This Row],[Invoice_ID]]),1,0)</f>
        <v>0</v>
      </c>
      <c r="Q3413">
        <f>IF(AND(NOT(ISBLANK(ReconciliationData[[#This Row],[Billed_Units]])),ReconciliationData[[#This Row],[ordered_units]]&lt;&gt;ReconciliationData[[#This Row],[Billed_Units]]),1,0)</f>
        <v>0</v>
      </c>
      <c r="R34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3">
        <f>IF(AND(NOT(ISBLANK(ReconciliationData[[#This Row],[Contract_Price]])),ReconciliationData[[#This Row],[Billed_Price]]&lt;&gt;ReconciliationData[[#This Row],[Contract_Price]]),1,0)</f>
        <v>0</v>
      </c>
      <c r="T3413">
        <f>IF(AND(NOT(ISBLANK(ReconciliationData[[#This Row],[End_Date]])),ReconciliationData[[#This Row],[Order_Date]]&gt;ReconciliationData[[#This Row],[End_Date]]),1,0)</f>
        <v>0</v>
      </c>
      <c r="U3413">
        <f>IF(AND(NOT(ISBLANK(ReconciliationData[[#This Row],[last_return_date]])),ReconciliationData[[#This Row],[last_return_date]]&gt;ReconciliationData[[#This Row],[Order_Date]]+60),1,0)</f>
        <v>0</v>
      </c>
      <c r="V3413">
        <f>IF(ReconciliationData[[#This Row],[total_returned_units]]&gt;ReconciliationData[[#This Row],[ordered_units]],1,0)</f>
        <v>0</v>
      </c>
      <c r="W34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13">
        <f>ReconciliationData[[#This Row],[Billed_Units]]*ReconciliationData[[#This Row],[Billed_Price]]</f>
        <v>162518.84400000001</v>
      </c>
      <c r="Y3413">
        <f>ReconciliationData[[#This Row],[ordered_units]]*ReconciliationData[[#This Row],[List_Price]]</f>
        <v>162518.84400000001</v>
      </c>
      <c r="Z3413">
        <f>ReconciliationData[[#This Row],[billed_revenue]]-ReconciliationData[[#This Row],[expected_revenue]]</f>
        <v>0</v>
      </c>
      <c r="AA34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13" t="str">
        <f>IF(ReconciliationData[[#This Row],[severity_score]]=0,"LOW",
 IF(ReconciliationData[[#This Row],[severity_score]]&lt;=5,"MEDIUM","HIGH"))</f>
        <v>LOW</v>
      </c>
      <c r="AC3413" t="str">
        <f>TEXT(ReconciliationData[[#This Row],[Order_Date]],"YYYY-MM")</f>
        <v>2024-03</v>
      </c>
    </row>
    <row r="3414" spans="1:29">
      <c r="A3414" t="s">
        <v>8046</v>
      </c>
      <c r="B3414" s="1">
        <v>45379</v>
      </c>
      <c r="C3414" t="s">
        <v>599</v>
      </c>
      <c r="D3414" t="s">
        <v>651</v>
      </c>
      <c r="E3414">
        <v>179</v>
      </c>
      <c r="F3414" t="s">
        <v>8047</v>
      </c>
      <c r="G3414">
        <v>188</v>
      </c>
      <c r="H3414">
        <v>214.6182</v>
      </c>
      <c r="N3414">
        <v>214.6182</v>
      </c>
      <c r="O3414" s="1">
        <v>45116</v>
      </c>
      <c r="P3414">
        <f>IF(ISBLANK(ReconciliationData[[#This Row],[Invoice_ID]]),1,0)</f>
        <v>0</v>
      </c>
      <c r="Q3414">
        <f>IF(AND(NOT(ISBLANK(ReconciliationData[[#This Row],[Billed_Units]])),ReconciliationData[[#This Row],[ordered_units]]&lt;&gt;ReconciliationData[[#This Row],[Billed_Units]]),1,0)</f>
        <v>1</v>
      </c>
      <c r="R34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4">
        <f>IF(AND(NOT(ISBLANK(ReconciliationData[[#This Row],[Contract_Price]])),ReconciliationData[[#This Row],[Billed_Price]]&lt;&gt;ReconciliationData[[#This Row],[Contract_Price]]),1,0)</f>
        <v>0</v>
      </c>
      <c r="T3414">
        <f>IF(AND(NOT(ISBLANK(ReconciliationData[[#This Row],[End_Date]])),ReconciliationData[[#This Row],[Order_Date]]&gt;ReconciliationData[[#This Row],[End_Date]]),1,0)</f>
        <v>0</v>
      </c>
      <c r="U3414">
        <f>IF(AND(NOT(ISBLANK(ReconciliationData[[#This Row],[last_return_date]])),ReconciliationData[[#This Row],[last_return_date]]&gt;ReconciliationData[[#This Row],[Order_Date]]+60),1,0)</f>
        <v>0</v>
      </c>
      <c r="V3414">
        <f>IF(ReconciliationData[[#This Row],[total_returned_units]]&gt;ReconciliationData[[#This Row],[ordered_units]],1,0)</f>
        <v>0</v>
      </c>
      <c r="W34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414">
        <f>ReconciliationData[[#This Row],[Billed_Units]]*ReconciliationData[[#This Row],[Billed_Price]]</f>
        <v>40348.221599999997</v>
      </c>
      <c r="Y3414">
        <f>ReconciliationData[[#This Row],[ordered_units]]*ReconciliationData[[#This Row],[List_Price]]</f>
        <v>38416.657800000001</v>
      </c>
      <c r="Z3414">
        <f>ReconciliationData[[#This Row],[billed_revenue]]-ReconciliationData[[#This Row],[expected_revenue]]</f>
        <v>1931.5637999999963</v>
      </c>
      <c r="AA34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414" t="str">
        <f>IF(ReconciliationData[[#This Row],[severity_score]]=0,"LOW",
 IF(ReconciliationData[[#This Row],[severity_score]]&lt;=5,"MEDIUM","HIGH"))</f>
        <v>HIGH</v>
      </c>
      <c r="AC3414" t="str">
        <f>TEXT(ReconciliationData[[#This Row],[Order_Date]],"YYYY-MM")</f>
        <v>2024-03</v>
      </c>
    </row>
    <row r="3415" spans="1:29">
      <c r="A3415" t="s">
        <v>8048</v>
      </c>
      <c r="B3415" s="1">
        <v>45468</v>
      </c>
      <c r="C3415" t="s">
        <v>3193</v>
      </c>
      <c r="D3415" t="s">
        <v>150</v>
      </c>
      <c r="E3415">
        <v>80</v>
      </c>
      <c r="F3415" t="s">
        <v>8049</v>
      </c>
      <c r="G3415">
        <v>80</v>
      </c>
      <c r="H3415">
        <v>353.52719999999999</v>
      </c>
      <c r="N3415">
        <v>353.52719999999999</v>
      </c>
      <c r="O3415" s="1">
        <v>45182</v>
      </c>
      <c r="P3415">
        <f>IF(ISBLANK(ReconciliationData[[#This Row],[Invoice_ID]]),1,0)</f>
        <v>0</v>
      </c>
      <c r="Q3415">
        <f>IF(AND(NOT(ISBLANK(ReconciliationData[[#This Row],[Billed_Units]])),ReconciliationData[[#This Row],[ordered_units]]&lt;&gt;ReconciliationData[[#This Row],[Billed_Units]]),1,0)</f>
        <v>0</v>
      </c>
      <c r="R34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5">
        <f>IF(AND(NOT(ISBLANK(ReconciliationData[[#This Row],[Contract_Price]])),ReconciliationData[[#This Row],[Billed_Price]]&lt;&gt;ReconciliationData[[#This Row],[Contract_Price]]),1,0)</f>
        <v>0</v>
      </c>
      <c r="T3415">
        <f>IF(AND(NOT(ISBLANK(ReconciliationData[[#This Row],[End_Date]])),ReconciliationData[[#This Row],[Order_Date]]&gt;ReconciliationData[[#This Row],[End_Date]]),1,0)</f>
        <v>0</v>
      </c>
      <c r="U3415">
        <f>IF(AND(NOT(ISBLANK(ReconciliationData[[#This Row],[last_return_date]])),ReconciliationData[[#This Row],[last_return_date]]&gt;ReconciliationData[[#This Row],[Order_Date]]+60),1,0)</f>
        <v>0</v>
      </c>
      <c r="V3415">
        <f>IF(ReconciliationData[[#This Row],[total_returned_units]]&gt;ReconciliationData[[#This Row],[ordered_units]],1,0)</f>
        <v>0</v>
      </c>
      <c r="W34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15">
        <f>ReconciliationData[[#This Row],[Billed_Units]]*ReconciliationData[[#This Row],[Billed_Price]]</f>
        <v>28282.175999999999</v>
      </c>
      <c r="Y3415">
        <f>ReconciliationData[[#This Row],[ordered_units]]*ReconciliationData[[#This Row],[List_Price]]</f>
        <v>28282.175999999999</v>
      </c>
      <c r="Z3415">
        <f>ReconciliationData[[#This Row],[billed_revenue]]-ReconciliationData[[#This Row],[expected_revenue]]</f>
        <v>0</v>
      </c>
      <c r="AA34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15" t="str">
        <f>IF(ReconciliationData[[#This Row],[severity_score]]=0,"LOW",
 IF(ReconciliationData[[#This Row],[severity_score]]&lt;=5,"MEDIUM","HIGH"))</f>
        <v>LOW</v>
      </c>
      <c r="AC3415" t="str">
        <f>TEXT(ReconciliationData[[#This Row],[Order_Date]],"YYYY-MM")</f>
        <v>2024-06</v>
      </c>
    </row>
    <row r="3416" spans="1:29">
      <c r="A3416" t="s">
        <v>8050</v>
      </c>
      <c r="B3416" s="1">
        <v>45048</v>
      </c>
      <c r="C3416" t="s">
        <v>3436</v>
      </c>
      <c r="D3416" t="s">
        <v>487</v>
      </c>
      <c r="E3416">
        <v>140</v>
      </c>
      <c r="F3416" t="s">
        <v>8051</v>
      </c>
      <c r="G3416">
        <v>140</v>
      </c>
      <c r="H3416">
        <v>285.36900000000003</v>
      </c>
      <c r="N3416">
        <v>285.36900000000003</v>
      </c>
      <c r="O3416" s="1">
        <v>44932</v>
      </c>
      <c r="P3416">
        <f>IF(ISBLANK(ReconciliationData[[#This Row],[Invoice_ID]]),1,0)</f>
        <v>0</v>
      </c>
      <c r="Q3416">
        <f>IF(AND(NOT(ISBLANK(ReconciliationData[[#This Row],[Billed_Units]])),ReconciliationData[[#This Row],[ordered_units]]&lt;&gt;ReconciliationData[[#This Row],[Billed_Units]]),1,0)</f>
        <v>0</v>
      </c>
      <c r="R34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6">
        <f>IF(AND(NOT(ISBLANK(ReconciliationData[[#This Row],[Contract_Price]])),ReconciliationData[[#This Row],[Billed_Price]]&lt;&gt;ReconciliationData[[#This Row],[Contract_Price]]),1,0)</f>
        <v>0</v>
      </c>
      <c r="T3416">
        <f>IF(AND(NOT(ISBLANK(ReconciliationData[[#This Row],[End_Date]])),ReconciliationData[[#This Row],[Order_Date]]&gt;ReconciliationData[[#This Row],[End_Date]]),1,0)</f>
        <v>0</v>
      </c>
      <c r="U3416">
        <f>IF(AND(NOT(ISBLANK(ReconciliationData[[#This Row],[last_return_date]])),ReconciliationData[[#This Row],[last_return_date]]&gt;ReconciliationData[[#This Row],[Order_Date]]+60),1,0)</f>
        <v>0</v>
      </c>
      <c r="V3416">
        <f>IF(ReconciliationData[[#This Row],[total_returned_units]]&gt;ReconciliationData[[#This Row],[ordered_units]],1,0)</f>
        <v>0</v>
      </c>
      <c r="W34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16">
        <f>ReconciliationData[[#This Row],[Billed_Units]]*ReconciliationData[[#This Row],[Billed_Price]]</f>
        <v>39951.660000000003</v>
      </c>
      <c r="Y3416">
        <f>ReconciliationData[[#This Row],[ordered_units]]*ReconciliationData[[#This Row],[List_Price]]</f>
        <v>39951.660000000003</v>
      </c>
      <c r="Z3416">
        <f>ReconciliationData[[#This Row],[billed_revenue]]-ReconciliationData[[#This Row],[expected_revenue]]</f>
        <v>0</v>
      </c>
      <c r="AA34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16" t="str">
        <f>IF(ReconciliationData[[#This Row],[severity_score]]=0,"LOW",
 IF(ReconciliationData[[#This Row],[severity_score]]&lt;=5,"MEDIUM","HIGH"))</f>
        <v>LOW</v>
      </c>
      <c r="AC3416" t="str">
        <f>TEXT(ReconciliationData[[#This Row],[Order_Date]],"YYYY-MM")</f>
        <v>2023-05</v>
      </c>
    </row>
    <row r="3417" spans="1:29">
      <c r="A3417" t="s">
        <v>8052</v>
      </c>
      <c r="B3417" s="1">
        <v>45601</v>
      </c>
      <c r="C3417" t="s">
        <v>1825</v>
      </c>
      <c r="D3417" t="s">
        <v>828</v>
      </c>
      <c r="E3417">
        <v>149</v>
      </c>
      <c r="F3417" t="s">
        <v>8053</v>
      </c>
      <c r="G3417">
        <v>149</v>
      </c>
      <c r="H3417">
        <v>893.8972</v>
      </c>
      <c r="I3417">
        <v>10</v>
      </c>
      <c r="J3417" s="1">
        <v>45175</v>
      </c>
      <c r="N3417">
        <v>893.8972</v>
      </c>
      <c r="O3417" s="1">
        <v>45049</v>
      </c>
      <c r="P3417">
        <f>IF(ISBLANK(ReconciliationData[[#This Row],[Invoice_ID]]),1,0)</f>
        <v>0</v>
      </c>
      <c r="Q3417">
        <f>IF(AND(NOT(ISBLANK(ReconciliationData[[#This Row],[Billed_Units]])),ReconciliationData[[#This Row],[ordered_units]]&lt;&gt;ReconciliationData[[#This Row],[Billed_Units]]),1,0)</f>
        <v>0</v>
      </c>
      <c r="R34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7">
        <f>IF(AND(NOT(ISBLANK(ReconciliationData[[#This Row],[Contract_Price]])),ReconciliationData[[#This Row],[Billed_Price]]&lt;&gt;ReconciliationData[[#This Row],[Contract_Price]]),1,0)</f>
        <v>0</v>
      </c>
      <c r="T3417">
        <f>IF(AND(NOT(ISBLANK(ReconciliationData[[#This Row],[End_Date]])),ReconciliationData[[#This Row],[Order_Date]]&gt;ReconciliationData[[#This Row],[End_Date]]),1,0)</f>
        <v>0</v>
      </c>
      <c r="U3417">
        <f>IF(AND(NOT(ISBLANK(ReconciliationData[[#This Row],[last_return_date]])),ReconciliationData[[#This Row],[last_return_date]]&gt;ReconciliationData[[#This Row],[Order_Date]]+60),1,0)</f>
        <v>0</v>
      </c>
      <c r="V3417">
        <f>IF(ReconciliationData[[#This Row],[total_returned_units]]&gt;ReconciliationData[[#This Row],[ordered_units]],1,0)</f>
        <v>0</v>
      </c>
      <c r="W34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17">
        <f>ReconciliationData[[#This Row],[Billed_Units]]*ReconciliationData[[#This Row],[Billed_Price]]</f>
        <v>133190.68280000001</v>
      </c>
      <c r="Y3417">
        <f>ReconciliationData[[#This Row],[ordered_units]]*ReconciliationData[[#This Row],[List_Price]]</f>
        <v>133190.68280000001</v>
      </c>
      <c r="Z3417">
        <f>ReconciliationData[[#This Row],[billed_revenue]]-ReconciliationData[[#This Row],[expected_revenue]]</f>
        <v>0</v>
      </c>
      <c r="AA34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17" t="str">
        <f>IF(ReconciliationData[[#This Row],[severity_score]]=0,"LOW",
 IF(ReconciliationData[[#This Row],[severity_score]]&lt;=5,"MEDIUM","HIGH"))</f>
        <v>LOW</v>
      </c>
      <c r="AC3417" t="str">
        <f>TEXT(ReconciliationData[[#This Row],[Order_Date]],"YYYY-MM")</f>
        <v>2024-11</v>
      </c>
    </row>
    <row r="3418" spans="1:29">
      <c r="A3418" t="s">
        <v>8054</v>
      </c>
      <c r="B3418" s="1">
        <v>45657</v>
      </c>
      <c r="C3418" t="s">
        <v>5791</v>
      </c>
      <c r="D3418" t="s">
        <v>589</v>
      </c>
      <c r="E3418">
        <v>12</v>
      </c>
      <c r="F3418" t="s">
        <v>8055</v>
      </c>
      <c r="G3418">
        <v>12</v>
      </c>
      <c r="H3418">
        <v>1085.8974999999998</v>
      </c>
      <c r="N3418">
        <v>1085.8974999999998</v>
      </c>
      <c r="O3418" s="1">
        <v>45147</v>
      </c>
      <c r="P3418">
        <f>IF(ISBLANK(ReconciliationData[[#This Row],[Invoice_ID]]),1,0)</f>
        <v>0</v>
      </c>
      <c r="Q3418">
        <f>IF(AND(NOT(ISBLANK(ReconciliationData[[#This Row],[Billed_Units]])),ReconciliationData[[#This Row],[ordered_units]]&lt;&gt;ReconciliationData[[#This Row],[Billed_Units]]),1,0)</f>
        <v>0</v>
      </c>
      <c r="R34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8">
        <f>IF(AND(NOT(ISBLANK(ReconciliationData[[#This Row],[Contract_Price]])),ReconciliationData[[#This Row],[Billed_Price]]&lt;&gt;ReconciliationData[[#This Row],[Contract_Price]]),1,0)</f>
        <v>0</v>
      </c>
      <c r="T3418">
        <f>IF(AND(NOT(ISBLANK(ReconciliationData[[#This Row],[End_Date]])),ReconciliationData[[#This Row],[Order_Date]]&gt;ReconciliationData[[#This Row],[End_Date]]),1,0)</f>
        <v>0</v>
      </c>
      <c r="U3418">
        <f>IF(AND(NOT(ISBLANK(ReconciliationData[[#This Row],[last_return_date]])),ReconciliationData[[#This Row],[last_return_date]]&gt;ReconciliationData[[#This Row],[Order_Date]]+60),1,0)</f>
        <v>0</v>
      </c>
      <c r="V3418">
        <f>IF(ReconciliationData[[#This Row],[total_returned_units]]&gt;ReconciliationData[[#This Row],[ordered_units]],1,0)</f>
        <v>0</v>
      </c>
      <c r="W34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18">
        <f>ReconciliationData[[#This Row],[Billed_Units]]*ReconciliationData[[#This Row],[Billed_Price]]</f>
        <v>13030.769999999997</v>
      </c>
      <c r="Y3418">
        <f>ReconciliationData[[#This Row],[ordered_units]]*ReconciliationData[[#This Row],[List_Price]]</f>
        <v>13030.769999999997</v>
      </c>
      <c r="Z3418">
        <f>ReconciliationData[[#This Row],[billed_revenue]]-ReconciliationData[[#This Row],[expected_revenue]]</f>
        <v>0</v>
      </c>
      <c r="AA34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18" t="str">
        <f>IF(ReconciliationData[[#This Row],[severity_score]]=0,"LOW",
 IF(ReconciliationData[[#This Row],[severity_score]]&lt;=5,"MEDIUM","HIGH"))</f>
        <v>LOW</v>
      </c>
      <c r="AC3418" t="str">
        <f>TEXT(ReconciliationData[[#This Row],[Order_Date]],"YYYY-MM")</f>
        <v>2024-12</v>
      </c>
    </row>
    <row r="3419" spans="1:29">
      <c r="A3419" t="s">
        <v>8056</v>
      </c>
      <c r="B3419" s="1">
        <v>45260</v>
      </c>
      <c r="C3419" t="s">
        <v>2415</v>
      </c>
      <c r="D3419" t="s">
        <v>3220</v>
      </c>
      <c r="E3419">
        <v>28</v>
      </c>
      <c r="F3419" t="s">
        <v>8057</v>
      </c>
      <c r="G3419">
        <v>28</v>
      </c>
      <c r="H3419">
        <v>380.30540000000002</v>
      </c>
      <c r="N3419">
        <v>380.30540000000002</v>
      </c>
      <c r="O3419" s="1">
        <v>45212</v>
      </c>
      <c r="P3419">
        <f>IF(ISBLANK(ReconciliationData[[#This Row],[Invoice_ID]]),1,0)</f>
        <v>0</v>
      </c>
      <c r="Q3419">
        <f>IF(AND(NOT(ISBLANK(ReconciliationData[[#This Row],[Billed_Units]])),ReconciliationData[[#This Row],[ordered_units]]&lt;&gt;ReconciliationData[[#This Row],[Billed_Units]]),1,0)</f>
        <v>0</v>
      </c>
      <c r="R34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19">
        <f>IF(AND(NOT(ISBLANK(ReconciliationData[[#This Row],[Contract_Price]])),ReconciliationData[[#This Row],[Billed_Price]]&lt;&gt;ReconciliationData[[#This Row],[Contract_Price]]),1,0)</f>
        <v>0</v>
      </c>
      <c r="T3419">
        <f>IF(AND(NOT(ISBLANK(ReconciliationData[[#This Row],[End_Date]])),ReconciliationData[[#This Row],[Order_Date]]&gt;ReconciliationData[[#This Row],[End_Date]]),1,0)</f>
        <v>0</v>
      </c>
      <c r="U3419">
        <f>IF(AND(NOT(ISBLANK(ReconciliationData[[#This Row],[last_return_date]])),ReconciliationData[[#This Row],[last_return_date]]&gt;ReconciliationData[[#This Row],[Order_Date]]+60),1,0)</f>
        <v>0</v>
      </c>
      <c r="V3419">
        <f>IF(ReconciliationData[[#This Row],[total_returned_units]]&gt;ReconciliationData[[#This Row],[ordered_units]],1,0)</f>
        <v>0</v>
      </c>
      <c r="W34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19">
        <f>ReconciliationData[[#This Row],[Billed_Units]]*ReconciliationData[[#This Row],[Billed_Price]]</f>
        <v>10648.5512</v>
      </c>
      <c r="Y3419">
        <f>ReconciliationData[[#This Row],[ordered_units]]*ReconciliationData[[#This Row],[List_Price]]</f>
        <v>10648.5512</v>
      </c>
      <c r="Z3419">
        <f>ReconciliationData[[#This Row],[billed_revenue]]-ReconciliationData[[#This Row],[expected_revenue]]</f>
        <v>0</v>
      </c>
      <c r="AA34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19" t="str">
        <f>IF(ReconciliationData[[#This Row],[severity_score]]=0,"LOW",
 IF(ReconciliationData[[#This Row],[severity_score]]&lt;=5,"MEDIUM","HIGH"))</f>
        <v>LOW</v>
      </c>
      <c r="AC3419" t="str">
        <f>TEXT(ReconciliationData[[#This Row],[Order_Date]],"YYYY-MM")</f>
        <v>2023-11</v>
      </c>
    </row>
    <row r="3420" spans="1:29">
      <c r="A3420" t="s">
        <v>8058</v>
      </c>
      <c r="B3420" s="1">
        <v>45471</v>
      </c>
      <c r="C3420" t="s">
        <v>1987</v>
      </c>
      <c r="D3420" t="s">
        <v>461</v>
      </c>
      <c r="E3420">
        <v>179</v>
      </c>
      <c r="F3420" t="s">
        <v>8059</v>
      </c>
      <c r="G3420">
        <v>179</v>
      </c>
      <c r="H3420">
        <v>1114.2336</v>
      </c>
      <c r="I3420">
        <v>8</v>
      </c>
      <c r="J3420" s="1">
        <v>45218</v>
      </c>
      <c r="N3420">
        <v>1114.2336</v>
      </c>
      <c r="O3420" s="1">
        <v>45141</v>
      </c>
      <c r="P3420">
        <f>IF(ISBLANK(ReconciliationData[[#This Row],[Invoice_ID]]),1,0)</f>
        <v>0</v>
      </c>
      <c r="Q3420">
        <f>IF(AND(NOT(ISBLANK(ReconciliationData[[#This Row],[Billed_Units]])),ReconciliationData[[#This Row],[ordered_units]]&lt;&gt;ReconciliationData[[#This Row],[Billed_Units]]),1,0)</f>
        <v>0</v>
      </c>
      <c r="R34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0">
        <f>IF(AND(NOT(ISBLANK(ReconciliationData[[#This Row],[Contract_Price]])),ReconciliationData[[#This Row],[Billed_Price]]&lt;&gt;ReconciliationData[[#This Row],[Contract_Price]]),1,0)</f>
        <v>0</v>
      </c>
      <c r="T3420">
        <f>IF(AND(NOT(ISBLANK(ReconciliationData[[#This Row],[End_Date]])),ReconciliationData[[#This Row],[Order_Date]]&gt;ReconciliationData[[#This Row],[End_Date]]),1,0)</f>
        <v>0</v>
      </c>
      <c r="U3420">
        <f>IF(AND(NOT(ISBLANK(ReconciliationData[[#This Row],[last_return_date]])),ReconciliationData[[#This Row],[last_return_date]]&gt;ReconciliationData[[#This Row],[Order_Date]]+60),1,0)</f>
        <v>0</v>
      </c>
      <c r="V3420">
        <f>IF(ReconciliationData[[#This Row],[total_returned_units]]&gt;ReconciliationData[[#This Row],[ordered_units]],1,0)</f>
        <v>0</v>
      </c>
      <c r="W34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20">
        <f>ReconciliationData[[#This Row],[Billed_Units]]*ReconciliationData[[#This Row],[Billed_Price]]</f>
        <v>199447.8144</v>
      </c>
      <c r="Y3420">
        <f>ReconciliationData[[#This Row],[ordered_units]]*ReconciliationData[[#This Row],[List_Price]]</f>
        <v>199447.8144</v>
      </c>
      <c r="Z3420">
        <f>ReconciliationData[[#This Row],[billed_revenue]]-ReconciliationData[[#This Row],[expected_revenue]]</f>
        <v>0</v>
      </c>
      <c r="AA34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20" t="str">
        <f>IF(ReconciliationData[[#This Row],[severity_score]]=0,"LOW",
 IF(ReconciliationData[[#This Row],[severity_score]]&lt;=5,"MEDIUM","HIGH"))</f>
        <v>LOW</v>
      </c>
      <c r="AC3420" t="str">
        <f>TEXT(ReconciliationData[[#This Row],[Order_Date]],"YYYY-MM")</f>
        <v>2024-06</v>
      </c>
    </row>
    <row r="3421" spans="1:29">
      <c r="A3421" t="s">
        <v>8060</v>
      </c>
      <c r="B3421" s="1">
        <v>45492</v>
      </c>
      <c r="C3421" t="s">
        <v>540</v>
      </c>
      <c r="D3421" t="s">
        <v>483</v>
      </c>
      <c r="E3421">
        <v>93</v>
      </c>
      <c r="F3421" t="s">
        <v>8061</v>
      </c>
      <c r="G3421">
        <v>93</v>
      </c>
      <c r="H3421">
        <v>269.178</v>
      </c>
      <c r="N3421">
        <v>269.178</v>
      </c>
      <c r="O3421" s="1">
        <v>45158</v>
      </c>
      <c r="P3421">
        <f>IF(ISBLANK(ReconciliationData[[#This Row],[Invoice_ID]]),1,0)</f>
        <v>0</v>
      </c>
      <c r="Q3421">
        <f>IF(AND(NOT(ISBLANK(ReconciliationData[[#This Row],[Billed_Units]])),ReconciliationData[[#This Row],[ordered_units]]&lt;&gt;ReconciliationData[[#This Row],[Billed_Units]]),1,0)</f>
        <v>0</v>
      </c>
      <c r="R34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1">
        <f>IF(AND(NOT(ISBLANK(ReconciliationData[[#This Row],[Contract_Price]])),ReconciliationData[[#This Row],[Billed_Price]]&lt;&gt;ReconciliationData[[#This Row],[Contract_Price]]),1,0)</f>
        <v>0</v>
      </c>
      <c r="T3421">
        <f>IF(AND(NOT(ISBLANK(ReconciliationData[[#This Row],[End_Date]])),ReconciliationData[[#This Row],[Order_Date]]&gt;ReconciliationData[[#This Row],[End_Date]]),1,0)</f>
        <v>0</v>
      </c>
      <c r="U3421">
        <f>IF(AND(NOT(ISBLANK(ReconciliationData[[#This Row],[last_return_date]])),ReconciliationData[[#This Row],[last_return_date]]&gt;ReconciliationData[[#This Row],[Order_Date]]+60),1,0)</f>
        <v>0</v>
      </c>
      <c r="V3421">
        <f>IF(ReconciliationData[[#This Row],[total_returned_units]]&gt;ReconciliationData[[#This Row],[ordered_units]],1,0)</f>
        <v>0</v>
      </c>
      <c r="W34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21">
        <f>ReconciliationData[[#This Row],[Billed_Units]]*ReconciliationData[[#This Row],[Billed_Price]]</f>
        <v>25033.554</v>
      </c>
      <c r="Y3421">
        <f>ReconciliationData[[#This Row],[ordered_units]]*ReconciliationData[[#This Row],[List_Price]]</f>
        <v>25033.554</v>
      </c>
      <c r="Z3421">
        <f>ReconciliationData[[#This Row],[billed_revenue]]-ReconciliationData[[#This Row],[expected_revenue]]</f>
        <v>0</v>
      </c>
      <c r="AA34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21" t="str">
        <f>IF(ReconciliationData[[#This Row],[severity_score]]=0,"LOW",
 IF(ReconciliationData[[#This Row],[severity_score]]&lt;=5,"MEDIUM","HIGH"))</f>
        <v>LOW</v>
      </c>
      <c r="AC3421" t="str">
        <f>TEXT(ReconciliationData[[#This Row],[Order_Date]],"YYYY-MM")</f>
        <v>2024-07</v>
      </c>
    </row>
    <row r="3422" spans="1:29">
      <c r="A3422" t="s">
        <v>8062</v>
      </c>
      <c r="B3422" s="1">
        <v>45340</v>
      </c>
      <c r="C3422" t="s">
        <v>6002</v>
      </c>
      <c r="D3422" t="s">
        <v>2187</v>
      </c>
      <c r="E3422">
        <v>183</v>
      </c>
      <c r="F3422" t="s">
        <v>8063</v>
      </c>
      <c r="G3422">
        <v>183</v>
      </c>
      <c r="H3422">
        <v>223.6044</v>
      </c>
      <c r="N3422">
        <v>223.6044</v>
      </c>
      <c r="O3422" s="1">
        <v>45091</v>
      </c>
      <c r="P3422">
        <f>IF(ISBLANK(ReconciliationData[[#This Row],[Invoice_ID]]),1,0)</f>
        <v>0</v>
      </c>
      <c r="Q3422">
        <f>IF(AND(NOT(ISBLANK(ReconciliationData[[#This Row],[Billed_Units]])),ReconciliationData[[#This Row],[ordered_units]]&lt;&gt;ReconciliationData[[#This Row],[Billed_Units]]),1,0)</f>
        <v>0</v>
      </c>
      <c r="R34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2">
        <f>IF(AND(NOT(ISBLANK(ReconciliationData[[#This Row],[Contract_Price]])),ReconciliationData[[#This Row],[Billed_Price]]&lt;&gt;ReconciliationData[[#This Row],[Contract_Price]]),1,0)</f>
        <v>0</v>
      </c>
      <c r="T3422">
        <f>IF(AND(NOT(ISBLANK(ReconciliationData[[#This Row],[End_Date]])),ReconciliationData[[#This Row],[Order_Date]]&gt;ReconciliationData[[#This Row],[End_Date]]),1,0)</f>
        <v>0</v>
      </c>
      <c r="U3422">
        <f>IF(AND(NOT(ISBLANK(ReconciliationData[[#This Row],[last_return_date]])),ReconciliationData[[#This Row],[last_return_date]]&gt;ReconciliationData[[#This Row],[Order_Date]]+60),1,0)</f>
        <v>0</v>
      </c>
      <c r="V3422">
        <f>IF(ReconciliationData[[#This Row],[total_returned_units]]&gt;ReconciliationData[[#This Row],[ordered_units]],1,0)</f>
        <v>0</v>
      </c>
      <c r="W34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22">
        <f>ReconciliationData[[#This Row],[Billed_Units]]*ReconciliationData[[#This Row],[Billed_Price]]</f>
        <v>40919.605199999998</v>
      </c>
      <c r="Y3422">
        <f>ReconciliationData[[#This Row],[ordered_units]]*ReconciliationData[[#This Row],[List_Price]]</f>
        <v>40919.605199999998</v>
      </c>
      <c r="Z3422">
        <f>ReconciliationData[[#This Row],[billed_revenue]]-ReconciliationData[[#This Row],[expected_revenue]]</f>
        <v>0</v>
      </c>
      <c r="AA34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22" t="str">
        <f>IF(ReconciliationData[[#This Row],[severity_score]]=0,"LOW",
 IF(ReconciliationData[[#This Row],[severity_score]]&lt;=5,"MEDIUM","HIGH"))</f>
        <v>LOW</v>
      </c>
      <c r="AC3422" t="str">
        <f>TEXT(ReconciliationData[[#This Row],[Order_Date]],"YYYY-MM")</f>
        <v>2024-02</v>
      </c>
    </row>
    <row r="3423" spans="1:29">
      <c r="A3423" t="s">
        <v>8064</v>
      </c>
      <c r="B3423" s="1">
        <v>45271</v>
      </c>
      <c r="C3423" t="s">
        <v>2320</v>
      </c>
      <c r="D3423" t="s">
        <v>3006</v>
      </c>
      <c r="E3423">
        <v>191</v>
      </c>
      <c r="F3423" t="s">
        <v>8065</v>
      </c>
      <c r="G3423">
        <v>191</v>
      </c>
      <c r="H3423">
        <v>720.47380000000021</v>
      </c>
      <c r="N3423">
        <v>720.47380000000021</v>
      </c>
      <c r="O3423" s="1">
        <v>45026</v>
      </c>
      <c r="P3423">
        <f>IF(ISBLANK(ReconciliationData[[#This Row],[Invoice_ID]]),1,0)</f>
        <v>0</v>
      </c>
      <c r="Q3423">
        <f>IF(AND(NOT(ISBLANK(ReconciliationData[[#This Row],[Billed_Units]])),ReconciliationData[[#This Row],[ordered_units]]&lt;&gt;ReconciliationData[[#This Row],[Billed_Units]]),1,0)</f>
        <v>0</v>
      </c>
      <c r="R34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3">
        <f>IF(AND(NOT(ISBLANK(ReconciliationData[[#This Row],[Contract_Price]])),ReconciliationData[[#This Row],[Billed_Price]]&lt;&gt;ReconciliationData[[#This Row],[Contract_Price]]),1,0)</f>
        <v>0</v>
      </c>
      <c r="T3423">
        <f>IF(AND(NOT(ISBLANK(ReconciliationData[[#This Row],[End_Date]])),ReconciliationData[[#This Row],[Order_Date]]&gt;ReconciliationData[[#This Row],[End_Date]]),1,0)</f>
        <v>0</v>
      </c>
      <c r="U3423">
        <f>IF(AND(NOT(ISBLANK(ReconciliationData[[#This Row],[last_return_date]])),ReconciliationData[[#This Row],[last_return_date]]&gt;ReconciliationData[[#This Row],[Order_Date]]+60),1,0)</f>
        <v>0</v>
      </c>
      <c r="V3423">
        <f>IF(ReconciliationData[[#This Row],[total_returned_units]]&gt;ReconciliationData[[#This Row],[ordered_units]],1,0)</f>
        <v>0</v>
      </c>
      <c r="W34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23">
        <f>ReconciliationData[[#This Row],[Billed_Units]]*ReconciliationData[[#This Row],[Billed_Price]]</f>
        <v>137610.49580000003</v>
      </c>
      <c r="Y3423">
        <f>ReconciliationData[[#This Row],[ordered_units]]*ReconciliationData[[#This Row],[List_Price]]</f>
        <v>137610.49580000003</v>
      </c>
      <c r="Z3423">
        <f>ReconciliationData[[#This Row],[billed_revenue]]-ReconciliationData[[#This Row],[expected_revenue]]</f>
        <v>0</v>
      </c>
      <c r="AA34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23" t="str">
        <f>IF(ReconciliationData[[#This Row],[severity_score]]=0,"LOW",
 IF(ReconciliationData[[#This Row],[severity_score]]&lt;=5,"MEDIUM","HIGH"))</f>
        <v>LOW</v>
      </c>
      <c r="AC3423" t="str">
        <f>TEXT(ReconciliationData[[#This Row],[Order_Date]],"YYYY-MM")</f>
        <v>2023-12</v>
      </c>
    </row>
    <row r="3424" spans="1:29">
      <c r="A3424" t="s">
        <v>8066</v>
      </c>
      <c r="B3424" s="1">
        <v>45035</v>
      </c>
      <c r="C3424" t="s">
        <v>2228</v>
      </c>
      <c r="D3424" t="s">
        <v>434</v>
      </c>
      <c r="E3424">
        <v>111</v>
      </c>
      <c r="F3424" t="s">
        <v>8067</v>
      </c>
      <c r="G3424">
        <v>111</v>
      </c>
      <c r="H3424">
        <v>72.858600000000024</v>
      </c>
      <c r="N3424">
        <v>72.858600000000024</v>
      </c>
      <c r="O3424" s="1">
        <v>44882</v>
      </c>
      <c r="P3424">
        <f>IF(ISBLANK(ReconciliationData[[#This Row],[Invoice_ID]]),1,0)</f>
        <v>0</v>
      </c>
      <c r="Q3424">
        <f>IF(AND(NOT(ISBLANK(ReconciliationData[[#This Row],[Billed_Units]])),ReconciliationData[[#This Row],[ordered_units]]&lt;&gt;ReconciliationData[[#This Row],[Billed_Units]]),1,0)</f>
        <v>0</v>
      </c>
      <c r="R34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4">
        <f>IF(AND(NOT(ISBLANK(ReconciliationData[[#This Row],[Contract_Price]])),ReconciliationData[[#This Row],[Billed_Price]]&lt;&gt;ReconciliationData[[#This Row],[Contract_Price]]),1,0)</f>
        <v>0</v>
      </c>
      <c r="T3424">
        <f>IF(AND(NOT(ISBLANK(ReconciliationData[[#This Row],[End_Date]])),ReconciliationData[[#This Row],[Order_Date]]&gt;ReconciliationData[[#This Row],[End_Date]]),1,0)</f>
        <v>0</v>
      </c>
      <c r="U3424">
        <f>IF(AND(NOT(ISBLANK(ReconciliationData[[#This Row],[last_return_date]])),ReconciliationData[[#This Row],[last_return_date]]&gt;ReconciliationData[[#This Row],[Order_Date]]+60),1,0)</f>
        <v>0</v>
      </c>
      <c r="V3424">
        <f>IF(ReconciliationData[[#This Row],[total_returned_units]]&gt;ReconciliationData[[#This Row],[ordered_units]],1,0)</f>
        <v>0</v>
      </c>
      <c r="W34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24">
        <f>ReconciliationData[[#This Row],[Billed_Units]]*ReconciliationData[[#This Row],[Billed_Price]]</f>
        <v>8087.3046000000031</v>
      </c>
      <c r="Y3424">
        <f>ReconciliationData[[#This Row],[ordered_units]]*ReconciliationData[[#This Row],[List_Price]]</f>
        <v>8087.3046000000031</v>
      </c>
      <c r="Z3424">
        <f>ReconciliationData[[#This Row],[billed_revenue]]-ReconciliationData[[#This Row],[expected_revenue]]</f>
        <v>0</v>
      </c>
      <c r="AA34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24" t="str">
        <f>IF(ReconciliationData[[#This Row],[severity_score]]=0,"LOW",
 IF(ReconciliationData[[#This Row],[severity_score]]&lt;=5,"MEDIUM","HIGH"))</f>
        <v>LOW</v>
      </c>
      <c r="AC3424" t="str">
        <f>TEXT(ReconciliationData[[#This Row],[Order_Date]],"YYYY-MM")</f>
        <v>2023-04</v>
      </c>
    </row>
    <row r="3425" spans="1:29">
      <c r="A3425" t="s">
        <v>8068</v>
      </c>
      <c r="B3425" s="1">
        <v>45194</v>
      </c>
      <c r="C3425" t="s">
        <v>2518</v>
      </c>
      <c r="D3425" t="s">
        <v>798</v>
      </c>
      <c r="E3425">
        <v>184</v>
      </c>
      <c r="F3425" t="s">
        <v>8069</v>
      </c>
      <c r="G3425">
        <v>184</v>
      </c>
      <c r="H3425">
        <v>153.01650000000001</v>
      </c>
      <c r="N3425">
        <v>153.01650000000001</v>
      </c>
      <c r="O3425" s="1">
        <v>45064</v>
      </c>
      <c r="P3425">
        <f>IF(ISBLANK(ReconciliationData[[#This Row],[Invoice_ID]]),1,0)</f>
        <v>0</v>
      </c>
      <c r="Q3425">
        <f>IF(AND(NOT(ISBLANK(ReconciliationData[[#This Row],[Billed_Units]])),ReconciliationData[[#This Row],[ordered_units]]&lt;&gt;ReconciliationData[[#This Row],[Billed_Units]]),1,0)</f>
        <v>0</v>
      </c>
      <c r="R34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5">
        <f>IF(AND(NOT(ISBLANK(ReconciliationData[[#This Row],[Contract_Price]])),ReconciliationData[[#This Row],[Billed_Price]]&lt;&gt;ReconciliationData[[#This Row],[Contract_Price]]),1,0)</f>
        <v>0</v>
      </c>
      <c r="T3425">
        <f>IF(AND(NOT(ISBLANK(ReconciliationData[[#This Row],[End_Date]])),ReconciliationData[[#This Row],[Order_Date]]&gt;ReconciliationData[[#This Row],[End_Date]]),1,0)</f>
        <v>0</v>
      </c>
      <c r="U3425">
        <f>IF(AND(NOT(ISBLANK(ReconciliationData[[#This Row],[last_return_date]])),ReconciliationData[[#This Row],[last_return_date]]&gt;ReconciliationData[[#This Row],[Order_Date]]+60),1,0)</f>
        <v>0</v>
      </c>
      <c r="V3425">
        <f>IF(ReconciliationData[[#This Row],[total_returned_units]]&gt;ReconciliationData[[#This Row],[ordered_units]],1,0)</f>
        <v>0</v>
      </c>
      <c r="W34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25">
        <f>ReconciliationData[[#This Row],[Billed_Units]]*ReconciliationData[[#This Row],[Billed_Price]]</f>
        <v>28155.036</v>
      </c>
      <c r="Y3425">
        <f>ReconciliationData[[#This Row],[ordered_units]]*ReconciliationData[[#This Row],[List_Price]]</f>
        <v>28155.036</v>
      </c>
      <c r="Z3425">
        <f>ReconciliationData[[#This Row],[billed_revenue]]-ReconciliationData[[#This Row],[expected_revenue]]</f>
        <v>0</v>
      </c>
      <c r="AA34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25" t="str">
        <f>IF(ReconciliationData[[#This Row],[severity_score]]=0,"LOW",
 IF(ReconciliationData[[#This Row],[severity_score]]&lt;=5,"MEDIUM","HIGH"))</f>
        <v>LOW</v>
      </c>
      <c r="AC3425" t="str">
        <f>TEXT(ReconciliationData[[#This Row],[Order_Date]],"YYYY-MM")</f>
        <v>2023-09</v>
      </c>
    </row>
    <row r="3426" spans="1:29">
      <c r="A3426" t="s">
        <v>8070</v>
      </c>
      <c r="B3426" s="1">
        <v>45399</v>
      </c>
      <c r="C3426" t="s">
        <v>1552</v>
      </c>
      <c r="D3426" t="s">
        <v>1945</v>
      </c>
      <c r="E3426">
        <v>181</v>
      </c>
      <c r="F3426" t="s">
        <v>8071</v>
      </c>
      <c r="G3426">
        <v>181</v>
      </c>
      <c r="H3426">
        <v>1178.6880000000001</v>
      </c>
      <c r="N3426">
        <v>1178.6880000000001</v>
      </c>
      <c r="O3426" s="1">
        <v>44930</v>
      </c>
      <c r="P3426">
        <f>IF(ISBLANK(ReconciliationData[[#This Row],[Invoice_ID]]),1,0)</f>
        <v>0</v>
      </c>
      <c r="Q3426">
        <f>IF(AND(NOT(ISBLANK(ReconciliationData[[#This Row],[Billed_Units]])),ReconciliationData[[#This Row],[ordered_units]]&lt;&gt;ReconciliationData[[#This Row],[Billed_Units]]),1,0)</f>
        <v>0</v>
      </c>
      <c r="R34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6">
        <f>IF(AND(NOT(ISBLANK(ReconciliationData[[#This Row],[Contract_Price]])),ReconciliationData[[#This Row],[Billed_Price]]&lt;&gt;ReconciliationData[[#This Row],[Contract_Price]]),1,0)</f>
        <v>0</v>
      </c>
      <c r="T3426">
        <f>IF(AND(NOT(ISBLANK(ReconciliationData[[#This Row],[End_Date]])),ReconciliationData[[#This Row],[Order_Date]]&gt;ReconciliationData[[#This Row],[End_Date]]),1,0)</f>
        <v>0</v>
      </c>
      <c r="U3426">
        <f>IF(AND(NOT(ISBLANK(ReconciliationData[[#This Row],[last_return_date]])),ReconciliationData[[#This Row],[last_return_date]]&gt;ReconciliationData[[#This Row],[Order_Date]]+60),1,0)</f>
        <v>0</v>
      </c>
      <c r="V3426">
        <f>IF(ReconciliationData[[#This Row],[total_returned_units]]&gt;ReconciliationData[[#This Row],[ordered_units]],1,0)</f>
        <v>0</v>
      </c>
      <c r="W34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26">
        <f>ReconciliationData[[#This Row],[Billed_Units]]*ReconciliationData[[#This Row],[Billed_Price]]</f>
        <v>213342.52800000002</v>
      </c>
      <c r="Y3426">
        <f>ReconciliationData[[#This Row],[ordered_units]]*ReconciliationData[[#This Row],[List_Price]]</f>
        <v>213342.52800000002</v>
      </c>
      <c r="Z3426">
        <f>ReconciliationData[[#This Row],[billed_revenue]]-ReconciliationData[[#This Row],[expected_revenue]]</f>
        <v>0</v>
      </c>
      <c r="AA34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26" t="str">
        <f>IF(ReconciliationData[[#This Row],[severity_score]]=0,"LOW",
 IF(ReconciliationData[[#This Row],[severity_score]]&lt;=5,"MEDIUM","HIGH"))</f>
        <v>LOW</v>
      </c>
      <c r="AC3426" t="str">
        <f>TEXT(ReconciliationData[[#This Row],[Order_Date]],"YYYY-MM")</f>
        <v>2024-04</v>
      </c>
    </row>
    <row r="3427" spans="1:29">
      <c r="A3427" t="s">
        <v>8072</v>
      </c>
      <c r="B3427" s="1">
        <v>45481</v>
      </c>
      <c r="C3427" t="s">
        <v>4117</v>
      </c>
      <c r="D3427" t="s">
        <v>825</v>
      </c>
      <c r="E3427">
        <v>3</v>
      </c>
      <c r="F3427" t="s">
        <v>8073</v>
      </c>
      <c r="G3427">
        <v>3</v>
      </c>
      <c r="H3427">
        <v>752.48910000000001</v>
      </c>
      <c r="N3427">
        <v>752.48910000000001</v>
      </c>
      <c r="O3427" s="1">
        <v>44953</v>
      </c>
      <c r="P3427">
        <f>IF(ISBLANK(ReconciliationData[[#This Row],[Invoice_ID]]),1,0)</f>
        <v>0</v>
      </c>
      <c r="Q3427">
        <f>IF(AND(NOT(ISBLANK(ReconciliationData[[#This Row],[Billed_Units]])),ReconciliationData[[#This Row],[ordered_units]]&lt;&gt;ReconciliationData[[#This Row],[Billed_Units]]),1,0)</f>
        <v>0</v>
      </c>
      <c r="R34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7">
        <f>IF(AND(NOT(ISBLANK(ReconciliationData[[#This Row],[Contract_Price]])),ReconciliationData[[#This Row],[Billed_Price]]&lt;&gt;ReconciliationData[[#This Row],[Contract_Price]]),1,0)</f>
        <v>0</v>
      </c>
      <c r="T3427">
        <f>IF(AND(NOT(ISBLANK(ReconciliationData[[#This Row],[End_Date]])),ReconciliationData[[#This Row],[Order_Date]]&gt;ReconciliationData[[#This Row],[End_Date]]),1,0)</f>
        <v>0</v>
      </c>
      <c r="U3427">
        <f>IF(AND(NOT(ISBLANK(ReconciliationData[[#This Row],[last_return_date]])),ReconciliationData[[#This Row],[last_return_date]]&gt;ReconciliationData[[#This Row],[Order_Date]]+60),1,0)</f>
        <v>0</v>
      </c>
      <c r="V3427">
        <f>IF(ReconciliationData[[#This Row],[total_returned_units]]&gt;ReconciliationData[[#This Row],[ordered_units]],1,0)</f>
        <v>0</v>
      </c>
      <c r="W34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27">
        <f>ReconciliationData[[#This Row],[Billed_Units]]*ReconciliationData[[#This Row],[Billed_Price]]</f>
        <v>2257.4673000000003</v>
      </c>
      <c r="Y3427">
        <f>ReconciliationData[[#This Row],[ordered_units]]*ReconciliationData[[#This Row],[List_Price]]</f>
        <v>2257.4673000000003</v>
      </c>
      <c r="Z3427">
        <f>ReconciliationData[[#This Row],[billed_revenue]]-ReconciliationData[[#This Row],[expected_revenue]]</f>
        <v>0</v>
      </c>
      <c r="AA34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27" t="str">
        <f>IF(ReconciliationData[[#This Row],[severity_score]]=0,"LOW",
 IF(ReconciliationData[[#This Row],[severity_score]]&lt;=5,"MEDIUM","HIGH"))</f>
        <v>LOW</v>
      </c>
      <c r="AC3427" t="str">
        <f>TEXT(ReconciliationData[[#This Row],[Order_Date]],"YYYY-MM")</f>
        <v>2024-07</v>
      </c>
    </row>
    <row r="3428" spans="1:29">
      <c r="A3428" t="s">
        <v>8074</v>
      </c>
      <c r="B3428" s="1">
        <v>45527</v>
      </c>
      <c r="C3428" t="s">
        <v>872</v>
      </c>
      <c r="D3428" t="s">
        <v>374</v>
      </c>
      <c r="E3428">
        <v>17</v>
      </c>
      <c r="F3428" t="s">
        <v>8075</v>
      </c>
      <c r="G3428">
        <v>24</v>
      </c>
      <c r="H3428">
        <v>517.39100000000008</v>
      </c>
      <c r="N3428">
        <v>517.39100000000008</v>
      </c>
      <c r="O3428" s="1">
        <v>45045</v>
      </c>
      <c r="P3428">
        <f>IF(ISBLANK(ReconciliationData[[#This Row],[Invoice_ID]]),1,0)</f>
        <v>0</v>
      </c>
      <c r="Q3428">
        <f>IF(AND(NOT(ISBLANK(ReconciliationData[[#This Row],[Billed_Units]])),ReconciliationData[[#This Row],[ordered_units]]&lt;&gt;ReconciliationData[[#This Row],[Billed_Units]]),1,0)</f>
        <v>1</v>
      </c>
      <c r="R34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8">
        <f>IF(AND(NOT(ISBLANK(ReconciliationData[[#This Row],[Contract_Price]])),ReconciliationData[[#This Row],[Billed_Price]]&lt;&gt;ReconciliationData[[#This Row],[Contract_Price]]),1,0)</f>
        <v>0</v>
      </c>
      <c r="T3428">
        <f>IF(AND(NOT(ISBLANK(ReconciliationData[[#This Row],[End_Date]])),ReconciliationData[[#This Row],[Order_Date]]&gt;ReconciliationData[[#This Row],[End_Date]]),1,0)</f>
        <v>0</v>
      </c>
      <c r="U3428">
        <f>IF(AND(NOT(ISBLANK(ReconciliationData[[#This Row],[last_return_date]])),ReconciliationData[[#This Row],[last_return_date]]&gt;ReconciliationData[[#This Row],[Order_Date]]+60),1,0)</f>
        <v>0</v>
      </c>
      <c r="V3428">
        <f>IF(ReconciliationData[[#This Row],[total_returned_units]]&gt;ReconciliationData[[#This Row],[ordered_units]],1,0)</f>
        <v>0</v>
      </c>
      <c r="W34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428">
        <f>ReconciliationData[[#This Row],[Billed_Units]]*ReconciliationData[[#This Row],[Billed_Price]]</f>
        <v>12417.384000000002</v>
      </c>
      <c r="Y3428">
        <f>ReconciliationData[[#This Row],[ordered_units]]*ReconciliationData[[#This Row],[List_Price]]</f>
        <v>8795.6470000000008</v>
      </c>
      <c r="Z3428">
        <f>ReconciliationData[[#This Row],[billed_revenue]]-ReconciliationData[[#This Row],[expected_revenue]]</f>
        <v>3621.737000000001</v>
      </c>
      <c r="AA34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428" t="str">
        <f>IF(ReconciliationData[[#This Row],[severity_score]]=0,"LOW",
 IF(ReconciliationData[[#This Row],[severity_score]]&lt;=5,"MEDIUM","HIGH"))</f>
        <v>HIGH</v>
      </c>
      <c r="AC3428" t="str">
        <f>TEXT(ReconciliationData[[#This Row],[Order_Date]],"YYYY-MM")</f>
        <v>2024-08</v>
      </c>
    </row>
    <row r="3429" spans="1:29">
      <c r="A3429" t="s">
        <v>8076</v>
      </c>
      <c r="B3429" s="1">
        <v>45445</v>
      </c>
      <c r="C3429" t="s">
        <v>4096</v>
      </c>
      <c r="D3429" t="s">
        <v>1455</v>
      </c>
      <c r="E3429">
        <v>132</v>
      </c>
      <c r="F3429" t="s">
        <v>8077</v>
      </c>
      <c r="G3429">
        <v>132</v>
      </c>
      <c r="H3429">
        <v>556.99</v>
      </c>
      <c r="N3429">
        <v>556.99</v>
      </c>
      <c r="O3429" s="1">
        <v>45147</v>
      </c>
      <c r="P3429">
        <f>IF(ISBLANK(ReconciliationData[[#This Row],[Invoice_ID]]),1,0)</f>
        <v>0</v>
      </c>
      <c r="Q3429">
        <f>IF(AND(NOT(ISBLANK(ReconciliationData[[#This Row],[Billed_Units]])),ReconciliationData[[#This Row],[ordered_units]]&lt;&gt;ReconciliationData[[#This Row],[Billed_Units]]),1,0)</f>
        <v>0</v>
      </c>
      <c r="R34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29">
        <f>IF(AND(NOT(ISBLANK(ReconciliationData[[#This Row],[Contract_Price]])),ReconciliationData[[#This Row],[Billed_Price]]&lt;&gt;ReconciliationData[[#This Row],[Contract_Price]]),1,0)</f>
        <v>0</v>
      </c>
      <c r="T3429">
        <f>IF(AND(NOT(ISBLANK(ReconciliationData[[#This Row],[End_Date]])),ReconciliationData[[#This Row],[Order_Date]]&gt;ReconciliationData[[#This Row],[End_Date]]),1,0)</f>
        <v>0</v>
      </c>
      <c r="U3429">
        <f>IF(AND(NOT(ISBLANK(ReconciliationData[[#This Row],[last_return_date]])),ReconciliationData[[#This Row],[last_return_date]]&gt;ReconciliationData[[#This Row],[Order_Date]]+60),1,0)</f>
        <v>0</v>
      </c>
      <c r="V3429">
        <f>IF(ReconciliationData[[#This Row],[total_returned_units]]&gt;ReconciliationData[[#This Row],[ordered_units]],1,0)</f>
        <v>0</v>
      </c>
      <c r="W34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29">
        <f>ReconciliationData[[#This Row],[Billed_Units]]*ReconciliationData[[#This Row],[Billed_Price]]</f>
        <v>73522.680000000008</v>
      </c>
      <c r="Y3429">
        <f>ReconciliationData[[#This Row],[ordered_units]]*ReconciliationData[[#This Row],[List_Price]]</f>
        <v>73522.680000000008</v>
      </c>
      <c r="Z3429">
        <f>ReconciliationData[[#This Row],[billed_revenue]]-ReconciliationData[[#This Row],[expected_revenue]]</f>
        <v>0</v>
      </c>
      <c r="AA34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29" t="str">
        <f>IF(ReconciliationData[[#This Row],[severity_score]]=0,"LOW",
 IF(ReconciliationData[[#This Row],[severity_score]]&lt;=5,"MEDIUM","HIGH"))</f>
        <v>LOW</v>
      </c>
      <c r="AC3429" t="str">
        <f>TEXT(ReconciliationData[[#This Row],[Order_Date]],"YYYY-MM")</f>
        <v>2024-06</v>
      </c>
    </row>
    <row r="3430" spans="1:29">
      <c r="A3430" t="s">
        <v>8078</v>
      </c>
      <c r="B3430" s="1">
        <v>45584</v>
      </c>
      <c r="C3430" t="s">
        <v>4297</v>
      </c>
      <c r="D3430" t="s">
        <v>1432</v>
      </c>
      <c r="E3430">
        <v>173</v>
      </c>
      <c r="F3430" t="s">
        <v>8079</v>
      </c>
      <c r="G3430">
        <v>173</v>
      </c>
      <c r="H3430">
        <v>828.36189999999999</v>
      </c>
      <c r="N3430">
        <v>828.36189999999999</v>
      </c>
      <c r="O3430" s="1">
        <v>45137</v>
      </c>
      <c r="P3430">
        <f>IF(ISBLANK(ReconciliationData[[#This Row],[Invoice_ID]]),1,0)</f>
        <v>0</v>
      </c>
      <c r="Q3430">
        <f>IF(AND(NOT(ISBLANK(ReconciliationData[[#This Row],[Billed_Units]])),ReconciliationData[[#This Row],[ordered_units]]&lt;&gt;ReconciliationData[[#This Row],[Billed_Units]]),1,0)</f>
        <v>0</v>
      </c>
      <c r="R34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0">
        <f>IF(AND(NOT(ISBLANK(ReconciliationData[[#This Row],[Contract_Price]])),ReconciliationData[[#This Row],[Billed_Price]]&lt;&gt;ReconciliationData[[#This Row],[Contract_Price]]),1,0)</f>
        <v>0</v>
      </c>
      <c r="T3430">
        <f>IF(AND(NOT(ISBLANK(ReconciliationData[[#This Row],[End_Date]])),ReconciliationData[[#This Row],[Order_Date]]&gt;ReconciliationData[[#This Row],[End_Date]]),1,0)</f>
        <v>0</v>
      </c>
      <c r="U3430">
        <f>IF(AND(NOT(ISBLANK(ReconciliationData[[#This Row],[last_return_date]])),ReconciliationData[[#This Row],[last_return_date]]&gt;ReconciliationData[[#This Row],[Order_Date]]+60),1,0)</f>
        <v>0</v>
      </c>
      <c r="V3430">
        <f>IF(ReconciliationData[[#This Row],[total_returned_units]]&gt;ReconciliationData[[#This Row],[ordered_units]],1,0)</f>
        <v>0</v>
      </c>
      <c r="W34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0">
        <f>ReconciliationData[[#This Row],[Billed_Units]]*ReconciliationData[[#This Row],[Billed_Price]]</f>
        <v>143306.60870000001</v>
      </c>
      <c r="Y3430">
        <f>ReconciliationData[[#This Row],[ordered_units]]*ReconciliationData[[#This Row],[List_Price]]</f>
        <v>143306.60870000001</v>
      </c>
      <c r="Z3430">
        <f>ReconciliationData[[#This Row],[billed_revenue]]-ReconciliationData[[#This Row],[expected_revenue]]</f>
        <v>0</v>
      </c>
      <c r="AA34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0" t="str">
        <f>IF(ReconciliationData[[#This Row],[severity_score]]=0,"LOW",
 IF(ReconciliationData[[#This Row],[severity_score]]&lt;=5,"MEDIUM","HIGH"))</f>
        <v>LOW</v>
      </c>
      <c r="AC3430" t="str">
        <f>TEXT(ReconciliationData[[#This Row],[Order_Date]],"YYYY-MM")</f>
        <v>2024-10</v>
      </c>
    </row>
    <row r="3431" spans="1:29">
      <c r="A3431" t="s">
        <v>8080</v>
      </c>
      <c r="B3431" s="1">
        <v>45187</v>
      </c>
      <c r="C3431" t="s">
        <v>3516</v>
      </c>
      <c r="D3431" t="s">
        <v>635</v>
      </c>
      <c r="E3431">
        <v>70</v>
      </c>
      <c r="F3431" t="s">
        <v>8081</v>
      </c>
      <c r="G3431">
        <v>70</v>
      </c>
      <c r="H3431">
        <v>951.54780000000005</v>
      </c>
      <c r="N3431">
        <v>951.54780000000005</v>
      </c>
      <c r="O3431" s="1">
        <v>44964</v>
      </c>
      <c r="P3431">
        <f>IF(ISBLANK(ReconciliationData[[#This Row],[Invoice_ID]]),1,0)</f>
        <v>0</v>
      </c>
      <c r="Q3431">
        <f>IF(AND(NOT(ISBLANK(ReconciliationData[[#This Row],[Billed_Units]])),ReconciliationData[[#This Row],[ordered_units]]&lt;&gt;ReconciliationData[[#This Row],[Billed_Units]]),1,0)</f>
        <v>0</v>
      </c>
      <c r="R34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1">
        <f>IF(AND(NOT(ISBLANK(ReconciliationData[[#This Row],[Contract_Price]])),ReconciliationData[[#This Row],[Billed_Price]]&lt;&gt;ReconciliationData[[#This Row],[Contract_Price]]),1,0)</f>
        <v>0</v>
      </c>
      <c r="T3431">
        <f>IF(AND(NOT(ISBLANK(ReconciliationData[[#This Row],[End_Date]])),ReconciliationData[[#This Row],[Order_Date]]&gt;ReconciliationData[[#This Row],[End_Date]]),1,0)</f>
        <v>0</v>
      </c>
      <c r="U3431">
        <f>IF(AND(NOT(ISBLANK(ReconciliationData[[#This Row],[last_return_date]])),ReconciliationData[[#This Row],[last_return_date]]&gt;ReconciliationData[[#This Row],[Order_Date]]+60),1,0)</f>
        <v>0</v>
      </c>
      <c r="V3431">
        <f>IF(ReconciliationData[[#This Row],[total_returned_units]]&gt;ReconciliationData[[#This Row],[ordered_units]],1,0)</f>
        <v>0</v>
      </c>
      <c r="W34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1">
        <f>ReconciliationData[[#This Row],[Billed_Units]]*ReconciliationData[[#This Row],[Billed_Price]]</f>
        <v>66608.346000000005</v>
      </c>
      <c r="Y3431">
        <f>ReconciliationData[[#This Row],[ordered_units]]*ReconciliationData[[#This Row],[List_Price]]</f>
        <v>66608.346000000005</v>
      </c>
      <c r="Z3431">
        <f>ReconciliationData[[#This Row],[billed_revenue]]-ReconciliationData[[#This Row],[expected_revenue]]</f>
        <v>0</v>
      </c>
      <c r="AA34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1" t="str">
        <f>IF(ReconciliationData[[#This Row],[severity_score]]=0,"LOW",
 IF(ReconciliationData[[#This Row],[severity_score]]&lt;=5,"MEDIUM","HIGH"))</f>
        <v>LOW</v>
      </c>
      <c r="AC3431" t="str">
        <f>TEXT(ReconciliationData[[#This Row],[Order_Date]],"YYYY-MM")</f>
        <v>2023-09</v>
      </c>
    </row>
    <row r="3432" spans="1:29">
      <c r="A3432" t="s">
        <v>8082</v>
      </c>
      <c r="B3432" s="1">
        <v>45548</v>
      </c>
      <c r="C3432" t="s">
        <v>3986</v>
      </c>
      <c r="D3432" t="s">
        <v>295</v>
      </c>
      <c r="E3432">
        <v>128</v>
      </c>
      <c r="F3432" t="s">
        <v>8083</v>
      </c>
      <c r="G3432">
        <v>128</v>
      </c>
      <c r="H3432">
        <v>862.73640000000012</v>
      </c>
      <c r="N3432">
        <v>862.73640000000012</v>
      </c>
      <c r="O3432" s="1">
        <v>45223</v>
      </c>
      <c r="P3432">
        <f>IF(ISBLANK(ReconciliationData[[#This Row],[Invoice_ID]]),1,0)</f>
        <v>0</v>
      </c>
      <c r="Q3432">
        <f>IF(AND(NOT(ISBLANK(ReconciliationData[[#This Row],[Billed_Units]])),ReconciliationData[[#This Row],[ordered_units]]&lt;&gt;ReconciliationData[[#This Row],[Billed_Units]]),1,0)</f>
        <v>0</v>
      </c>
      <c r="R34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2">
        <f>IF(AND(NOT(ISBLANK(ReconciliationData[[#This Row],[Contract_Price]])),ReconciliationData[[#This Row],[Billed_Price]]&lt;&gt;ReconciliationData[[#This Row],[Contract_Price]]),1,0)</f>
        <v>0</v>
      </c>
      <c r="T3432">
        <f>IF(AND(NOT(ISBLANK(ReconciliationData[[#This Row],[End_Date]])),ReconciliationData[[#This Row],[Order_Date]]&gt;ReconciliationData[[#This Row],[End_Date]]),1,0)</f>
        <v>0</v>
      </c>
      <c r="U3432">
        <f>IF(AND(NOT(ISBLANK(ReconciliationData[[#This Row],[last_return_date]])),ReconciliationData[[#This Row],[last_return_date]]&gt;ReconciliationData[[#This Row],[Order_Date]]+60),1,0)</f>
        <v>0</v>
      </c>
      <c r="V3432">
        <f>IF(ReconciliationData[[#This Row],[total_returned_units]]&gt;ReconciliationData[[#This Row],[ordered_units]],1,0)</f>
        <v>0</v>
      </c>
      <c r="W34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2">
        <f>ReconciliationData[[#This Row],[Billed_Units]]*ReconciliationData[[#This Row],[Billed_Price]]</f>
        <v>110430.25920000001</v>
      </c>
      <c r="Y3432">
        <f>ReconciliationData[[#This Row],[ordered_units]]*ReconciliationData[[#This Row],[List_Price]]</f>
        <v>110430.25920000001</v>
      </c>
      <c r="Z3432">
        <f>ReconciliationData[[#This Row],[billed_revenue]]-ReconciliationData[[#This Row],[expected_revenue]]</f>
        <v>0</v>
      </c>
      <c r="AA34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2" t="str">
        <f>IF(ReconciliationData[[#This Row],[severity_score]]=0,"LOW",
 IF(ReconciliationData[[#This Row],[severity_score]]&lt;=5,"MEDIUM","HIGH"))</f>
        <v>LOW</v>
      </c>
      <c r="AC3432" t="str">
        <f>TEXT(ReconciliationData[[#This Row],[Order_Date]],"YYYY-MM")</f>
        <v>2024-09</v>
      </c>
    </row>
    <row r="3433" spans="1:29">
      <c r="A3433" t="s">
        <v>8084</v>
      </c>
      <c r="B3433" s="1">
        <v>45599</v>
      </c>
      <c r="C3433" t="s">
        <v>3276</v>
      </c>
      <c r="D3433" t="s">
        <v>341</v>
      </c>
      <c r="E3433">
        <v>118</v>
      </c>
      <c r="F3433" t="s">
        <v>8085</v>
      </c>
      <c r="G3433">
        <v>118</v>
      </c>
      <c r="H3433">
        <v>49.450800000000001</v>
      </c>
      <c r="N3433">
        <v>49.450800000000001</v>
      </c>
      <c r="O3433" s="1">
        <v>45168</v>
      </c>
      <c r="P3433">
        <f>IF(ISBLANK(ReconciliationData[[#This Row],[Invoice_ID]]),1,0)</f>
        <v>0</v>
      </c>
      <c r="Q3433">
        <f>IF(AND(NOT(ISBLANK(ReconciliationData[[#This Row],[Billed_Units]])),ReconciliationData[[#This Row],[ordered_units]]&lt;&gt;ReconciliationData[[#This Row],[Billed_Units]]),1,0)</f>
        <v>0</v>
      </c>
      <c r="R34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3">
        <f>IF(AND(NOT(ISBLANK(ReconciliationData[[#This Row],[Contract_Price]])),ReconciliationData[[#This Row],[Billed_Price]]&lt;&gt;ReconciliationData[[#This Row],[Contract_Price]]),1,0)</f>
        <v>0</v>
      </c>
      <c r="T3433">
        <f>IF(AND(NOT(ISBLANK(ReconciliationData[[#This Row],[End_Date]])),ReconciliationData[[#This Row],[Order_Date]]&gt;ReconciliationData[[#This Row],[End_Date]]),1,0)</f>
        <v>0</v>
      </c>
      <c r="U3433">
        <f>IF(AND(NOT(ISBLANK(ReconciliationData[[#This Row],[last_return_date]])),ReconciliationData[[#This Row],[last_return_date]]&gt;ReconciliationData[[#This Row],[Order_Date]]+60),1,0)</f>
        <v>0</v>
      </c>
      <c r="V3433">
        <f>IF(ReconciliationData[[#This Row],[total_returned_units]]&gt;ReconciliationData[[#This Row],[ordered_units]],1,0)</f>
        <v>0</v>
      </c>
      <c r="W34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3">
        <f>ReconciliationData[[#This Row],[Billed_Units]]*ReconciliationData[[#This Row],[Billed_Price]]</f>
        <v>5835.1944000000003</v>
      </c>
      <c r="Y3433">
        <f>ReconciliationData[[#This Row],[ordered_units]]*ReconciliationData[[#This Row],[List_Price]]</f>
        <v>5835.1944000000003</v>
      </c>
      <c r="Z3433">
        <f>ReconciliationData[[#This Row],[billed_revenue]]-ReconciliationData[[#This Row],[expected_revenue]]</f>
        <v>0</v>
      </c>
      <c r="AA34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3" t="str">
        <f>IF(ReconciliationData[[#This Row],[severity_score]]=0,"LOW",
 IF(ReconciliationData[[#This Row],[severity_score]]&lt;=5,"MEDIUM","HIGH"))</f>
        <v>LOW</v>
      </c>
      <c r="AC3433" t="str">
        <f>TEXT(ReconciliationData[[#This Row],[Order_Date]],"YYYY-MM")</f>
        <v>2024-11</v>
      </c>
    </row>
    <row r="3434" spans="1:29">
      <c r="A3434" t="s">
        <v>8086</v>
      </c>
      <c r="B3434" s="1">
        <v>45031</v>
      </c>
      <c r="C3434" t="s">
        <v>5109</v>
      </c>
      <c r="D3434" t="s">
        <v>3256</v>
      </c>
      <c r="E3434">
        <v>39</v>
      </c>
      <c r="F3434" t="s">
        <v>8087</v>
      </c>
      <c r="G3434">
        <v>39</v>
      </c>
      <c r="H3434">
        <v>1267.336</v>
      </c>
      <c r="N3434">
        <v>1267.336</v>
      </c>
      <c r="O3434" s="1">
        <v>45021</v>
      </c>
      <c r="P3434">
        <f>IF(ISBLANK(ReconciliationData[[#This Row],[Invoice_ID]]),1,0)</f>
        <v>0</v>
      </c>
      <c r="Q3434">
        <f>IF(AND(NOT(ISBLANK(ReconciliationData[[#This Row],[Billed_Units]])),ReconciliationData[[#This Row],[ordered_units]]&lt;&gt;ReconciliationData[[#This Row],[Billed_Units]]),1,0)</f>
        <v>0</v>
      </c>
      <c r="R34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4">
        <f>IF(AND(NOT(ISBLANK(ReconciliationData[[#This Row],[Contract_Price]])),ReconciliationData[[#This Row],[Billed_Price]]&lt;&gt;ReconciliationData[[#This Row],[Contract_Price]]),1,0)</f>
        <v>0</v>
      </c>
      <c r="T3434">
        <f>IF(AND(NOT(ISBLANK(ReconciliationData[[#This Row],[End_Date]])),ReconciliationData[[#This Row],[Order_Date]]&gt;ReconciliationData[[#This Row],[End_Date]]),1,0)</f>
        <v>0</v>
      </c>
      <c r="U3434">
        <f>IF(AND(NOT(ISBLANK(ReconciliationData[[#This Row],[last_return_date]])),ReconciliationData[[#This Row],[last_return_date]]&gt;ReconciliationData[[#This Row],[Order_Date]]+60),1,0)</f>
        <v>0</v>
      </c>
      <c r="V3434">
        <f>IF(ReconciliationData[[#This Row],[total_returned_units]]&gt;ReconciliationData[[#This Row],[ordered_units]],1,0)</f>
        <v>0</v>
      </c>
      <c r="W34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4">
        <f>ReconciliationData[[#This Row],[Billed_Units]]*ReconciliationData[[#This Row],[Billed_Price]]</f>
        <v>49426.103999999999</v>
      </c>
      <c r="Y3434">
        <f>ReconciliationData[[#This Row],[ordered_units]]*ReconciliationData[[#This Row],[List_Price]]</f>
        <v>49426.103999999999</v>
      </c>
      <c r="Z3434">
        <f>ReconciliationData[[#This Row],[billed_revenue]]-ReconciliationData[[#This Row],[expected_revenue]]</f>
        <v>0</v>
      </c>
      <c r="AA34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4" t="str">
        <f>IF(ReconciliationData[[#This Row],[severity_score]]=0,"LOW",
 IF(ReconciliationData[[#This Row],[severity_score]]&lt;=5,"MEDIUM","HIGH"))</f>
        <v>LOW</v>
      </c>
      <c r="AC3434" t="str">
        <f>TEXT(ReconciliationData[[#This Row],[Order_Date]],"YYYY-MM")</f>
        <v>2023-04</v>
      </c>
    </row>
    <row r="3435" spans="1:29">
      <c r="A3435" t="s">
        <v>8088</v>
      </c>
      <c r="B3435" s="1">
        <v>45107</v>
      </c>
      <c r="C3435" t="s">
        <v>230</v>
      </c>
      <c r="D3435" t="s">
        <v>1396</v>
      </c>
      <c r="E3435">
        <v>26</v>
      </c>
      <c r="F3435" t="s">
        <v>8089</v>
      </c>
      <c r="G3435">
        <v>26</v>
      </c>
      <c r="H3435">
        <v>880.66300000000001</v>
      </c>
      <c r="N3435">
        <v>880.66300000000001</v>
      </c>
      <c r="O3435" s="1">
        <v>44966</v>
      </c>
      <c r="P3435">
        <f>IF(ISBLANK(ReconciliationData[[#This Row],[Invoice_ID]]),1,0)</f>
        <v>0</v>
      </c>
      <c r="Q3435">
        <f>IF(AND(NOT(ISBLANK(ReconciliationData[[#This Row],[Billed_Units]])),ReconciliationData[[#This Row],[ordered_units]]&lt;&gt;ReconciliationData[[#This Row],[Billed_Units]]),1,0)</f>
        <v>0</v>
      </c>
      <c r="R34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5">
        <f>IF(AND(NOT(ISBLANK(ReconciliationData[[#This Row],[Contract_Price]])),ReconciliationData[[#This Row],[Billed_Price]]&lt;&gt;ReconciliationData[[#This Row],[Contract_Price]]),1,0)</f>
        <v>0</v>
      </c>
      <c r="T3435">
        <f>IF(AND(NOT(ISBLANK(ReconciliationData[[#This Row],[End_Date]])),ReconciliationData[[#This Row],[Order_Date]]&gt;ReconciliationData[[#This Row],[End_Date]]),1,0)</f>
        <v>0</v>
      </c>
      <c r="U3435">
        <f>IF(AND(NOT(ISBLANK(ReconciliationData[[#This Row],[last_return_date]])),ReconciliationData[[#This Row],[last_return_date]]&gt;ReconciliationData[[#This Row],[Order_Date]]+60),1,0)</f>
        <v>0</v>
      </c>
      <c r="V3435">
        <f>IF(ReconciliationData[[#This Row],[total_returned_units]]&gt;ReconciliationData[[#This Row],[ordered_units]],1,0)</f>
        <v>0</v>
      </c>
      <c r="W34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5">
        <f>ReconciliationData[[#This Row],[Billed_Units]]*ReconciliationData[[#This Row],[Billed_Price]]</f>
        <v>22897.238000000001</v>
      </c>
      <c r="Y3435">
        <f>ReconciliationData[[#This Row],[ordered_units]]*ReconciliationData[[#This Row],[List_Price]]</f>
        <v>22897.238000000001</v>
      </c>
      <c r="Z3435">
        <f>ReconciliationData[[#This Row],[billed_revenue]]-ReconciliationData[[#This Row],[expected_revenue]]</f>
        <v>0</v>
      </c>
      <c r="AA34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5" t="str">
        <f>IF(ReconciliationData[[#This Row],[severity_score]]=0,"LOW",
 IF(ReconciliationData[[#This Row],[severity_score]]&lt;=5,"MEDIUM","HIGH"))</f>
        <v>LOW</v>
      </c>
      <c r="AC3435" t="str">
        <f>TEXT(ReconciliationData[[#This Row],[Order_Date]],"YYYY-MM")</f>
        <v>2023-06</v>
      </c>
    </row>
    <row r="3436" spans="1:29">
      <c r="A3436" t="s">
        <v>8090</v>
      </c>
      <c r="B3436" s="1">
        <v>45163</v>
      </c>
      <c r="C3436" t="s">
        <v>302</v>
      </c>
      <c r="D3436" t="s">
        <v>1071</v>
      </c>
      <c r="E3436">
        <v>78</v>
      </c>
      <c r="F3436" t="s">
        <v>8091</v>
      </c>
      <c r="G3436">
        <v>78</v>
      </c>
      <c r="H3436">
        <v>335.39150000000001</v>
      </c>
      <c r="N3436">
        <v>335.39150000000001</v>
      </c>
      <c r="O3436" s="1">
        <v>45151</v>
      </c>
      <c r="P3436">
        <f>IF(ISBLANK(ReconciliationData[[#This Row],[Invoice_ID]]),1,0)</f>
        <v>0</v>
      </c>
      <c r="Q3436">
        <f>IF(AND(NOT(ISBLANK(ReconciliationData[[#This Row],[Billed_Units]])),ReconciliationData[[#This Row],[ordered_units]]&lt;&gt;ReconciliationData[[#This Row],[Billed_Units]]),1,0)</f>
        <v>0</v>
      </c>
      <c r="R34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6">
        <f>IF(AND(NOT(ISBLANK(ReconciliationData[[#This Row],[Contract_Price]])),ReconciliationData[[#This Row],[Billed_Price]]&lt;&gt;ReconciliationData[[#This Row],[Contract_Price]]),1,0)</f>
        <v>0</v>
      </c>
      <c r="T3436">
        <f>IF(AND(NOT(ISBLANK(ReconciliationData[[#This Row],[End_Date]])),ReconciliationData[[#This Row],[Order_Date]]&gt;ReconciliationData[[#This Row],[End_Date]]),1,0)</f>
        <v>0</v>
      </c>
      <c r="U3436">
        <f>IF(AND(NOT(ISBLANK(ReconciliationData[[#This Row],[last_return_date]])),ReconciliationData[[#This Row],[last_return_date]]&gt;ReconciliationData[[#This Row],[Order_Date]]+60),1,0)</f>
        <v>0</v>
      </c>
      <c r="V3436">
        <f>IF(ReconciliationData[[#This Row],[total_returned_units]]&gt;ReconciliationData[[#This Row],[ordered_units]],1,0)</f>
        <v>0</v>
      </c>
      <c r="W34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6">
        <f>ReconciliationData[[#This Row],[Billed_Units]]*ReconciliationData[[#This Row],[Billed_Price]]</f>
        <v>26160.537</v>
      </c>
      <c r="Y3436">
        <f>ReconciliationData[[#This Row],[ordered_units]]*ReconciliationData[[#This Row],[List_Price]]</f>
        <v>26160.537</v>
      </c>
      <c r="Z3436">
        <f>ReconciliationData[[#This Row],[billed_revenue]]-ReconciliationData[[#This Row],[expected_revenue]]</f>
        <v>0</v>
      </c>
      <c r="AA34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6" t="str">
        <f>IF(ReconciliationData[[#This Row],[severity_score]]=0,"LOW",
 IF(ReconciliationData[[#This Row],[severity_score]]&lt;=5,"MEDIUM","HIGH"))</f>
        <v>LOW</v>
      </c>
      <c r="AC3436" t="str">
        <f>TEXT(ReconciliationData[[#This Row],[Order_Date]],"YYYY-MM")</f>
        <v>2023-08</v>
      </c>
    </row>
    <row r="3437" spans="1:29">
      <c r="A3437" t="s">
        <v>8092</v>
      </c>
      <c r="B3437" s="1">
        <v>45150</v>
      </c>
      <c r="C3437" t="s">
        <v>2165</v>
      </c>
      <c r="D3437" t="s">
        <v>2853</v>
      </c>
      <c r="E3437">
        <v>4</v>
      </c>
      <c r="F3437" t="s">
        <v>8093</v>
      </c>
      <c r="G3437">
        <v>4</v>
      </c>
      <c r="H3437">
        <v>278.27100000000002</v>
      </c>
      <c r="N3437">
        <v>278.27100000000002</v>
      </c>
      <c r="O3437" s="1">
        <v>45119</v>
      </c>
      <c r="P3437">
        <f>IF(ISBLANK(ReconciliationData[[#This Row],[Invoice_ID]]),1,0)</f>
        <v>0</v>
      </c>
      <c r="Q3437">
        <f>IF(AND(NOT(ISBLANK(ReconciliationData[[#This Row],[Billed_Units]])),ReconciliationData[[#This Row],[ordered_units]]&lt;&gt;ReconciliationData[[#This Row],[Billed_Units]]),1,0)</f>
        <v>0</v>
      </c>
      <c r="R34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7">
        <f>IF(AND(NOT(ISBLANK(ReconciliationData[[#This Row],[Contract_Price]])),ReconciliationData[[#This Row],[Billed_Price]]&lt;&gt;ReconciliationData[[#This Row],[Contract_Price]]),1,0)</f>
        <v>0</v>
      </c>
      <c r="T3437">
        <f>IF(AND(NOT(ISBLANK(ReconciliationData[[#This Row],[End_Date]])),ReconciliationData[[#This Row],[Order_Date]]&gt;ReconciliationData[[#This Row],[End_Date]]),1,0)</f>
        <v>0</v>
      </c>
      <c r="U3437">
        <f>IF(AND(NOT(ISBLANK(ReconciliationData[[#This Row],[last_return_date]])),ReconciliationData[[#This Row],[last_return_date]]&gt;ReconciliationData[[#This Row],[Order_Date]]+60),1,0)</f>
        <v>0</v>
      </c>
      <c r="V3437">
        <f>IF(ReconciliationData[[#This Row],[total_returned_units]]&gt;ReconciliationData[[#This Row],[ordered_units]],1,0)</f>
        <v>0</v>
      </c>
      <c r="W34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7">
        <f>ReconciliationData[[#This Row],[Billed_Units]]*ReconciliationData[[#This Row],[Billed_Price]]</f>
        <v>1113.0840000000001</v>
      </c>
      <c r="Y3437">
        <f>ReconciliationData[[#This Row],[ordered_units]]*ReconciliationData[[#This Row],[List_Price]]</f>
        <v>1113.0840000000001</v>
      </c>
      <c r="Z3437">
        <f>ReconciliationData[[#This Row],[billed_revenue]]-ReconciliationData[[#This Row],[expected_revenue]]</f>
        <v>0</v>
      </c>
      <c r="AA34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7" t="str">
        <f>IF(ReconciliationData[[#This Row],[severity_score]]=0,"LOW",
 IF(ReconciliationData[[#This Row],[severity_score]]&lt;=5,"MEDIUM","HIGH"))</f>
        <v>LOW</v>
      </c>
      <c r="AC3437" t="str">
        <f>TEXT(ReconciliationData[[#This Row],[Order_Date]],"YYYY-MM")</f>
        <v>2023-08</v>
      </c>
    </row>
    <row r="3438" spans="1:29">
      <c r="A3438" t="s">
        <v>8094</v>
      </c>
      <c r="B3438" s="1">
        <v>45172</v>
      </c>
      <c r="C3438" t="s">
        <v>2503</v>
      </c>
      <c r="D3438" t="s">
        <v>1459</v>
      </c>
      <c r="E3438">
        <v>2</v>
      </c>
      <c r="F3438" t="s">
        <v>8095</v>
      </c>
      <c r="G3438">
        <v>2</v>
      </c>
      <c r="H3438">
        <v>1149.8634</v>
      </c>
      <c r="N3438">
        <v>1149.8634</v>
      </c>
      <c r="O3438" s="1">
        <v>45135</v>
      </c>
      <c r="P3438">
        <f>IF(ISBLANK(ReconciliationData[[#This Row],[Invoice_ID]]),1,0)</f>
        <v>0</v>
      </c>
      <c r="Q3438">
        <f>IF(AND(NOT(ISBLANK(ReconciliationData[[#This Row],[Billed_Units]])),ReconciliationData[[#This Row],[ordered_units]]&lt;&gt;ReconciliationData[[#This Row],[Billed_Units]]),1,0)</f>
        <v>0</v>
      </c>
      <c r="R34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8">
        <f>IF(AND(NOT(ISBLANK(ReconciliationData[[#This Row],[Contract_Price]])),ReconciliationData[[#This Row],[Billed_Price]]&lt;&gt;ReconciliationData[[#This Row],[Contract_Price]]),1,0)</f>
        <v>0</v>
      </c>
      <c r="T3438">
        <f>IF(AND(NOT(ISBLANK(ReconciliationData[[#This Row],[End_Date]])),ReconciliationData[[#This Row],[Order_Date]]&gt;ReconciliationData[[#This Row],[End_Date]]),1,0)</f>
        <v>0</v>
      </c>
      <c r="U3438">
        <f>IF(AND(NOT(ISBLANK(ReconciliationData[[#This Row],[last_return_date]])),ReconciliationData[[#This Row],[last_return_date]]&gt;ReconciliationData[[#This Row],[Order_Date]]+60),1,0)</f>
        <v>0</v>
      </c>
      <c r="V3438">
        <f>IF(ReconciliationData[[#This Row],[total_returned_units]]&gt;ReconciliationData[[#This Row],[ordered_units]],1,0)</f>
        <v>0</v>
      </c>
      <c r="W34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8">
        <f>ReconciliationData[[#This Row],[Billed_Units]]*ReconciliationData[[#This Row],[Billed_Price]]</f>
        <v>2299.7267999999999</v>
      </c>
      <c r="Y3438">
        <f>ReconciliationData[[#This Row],[ordered_units]]*ReconciliationData[[#This Row],[List_Price]]</f>
        <v>2299.7267999999999</v>
      </c>
      <c r="Z3438">
        <f>ReconciliationData[[#This Row],[billed_revenue]]-ReconciliationData[[#This Row],[expected_revenue]]</f>
        <v>0</v>
      </c>
      <c r="AA34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8" t="str">
        <f>IF(ReconciliationData[[#This Row],[severity_score]]=0,"LOW",
 IF(ReconciliationData[[#This Row],[severity_score]]&lt;=5,"MEDIUM","HIGH"))</f>
        <v>LOW</v>
      </c>
      <c r="AC3438" t="str">
        <f>TEXT(ReconciliationData[[#This Row],[Order_Date]],"YYYY-MM")</f>
        <v>2023-09</v>
      </c>
    </row>
    <row r="3439" spans="1:29">
      <c r="A3439" t="s">
        <v>8096</v>
      </c>
      <c r="B3439" s="1">
        <v>45402</v>
      </c>
      <c r="C3439" t="s">
        <v>797</v>
      </c>
      <c r="D3439" t="s">
        <v>468</v>
      </c>
      <c r="E3439">
        <v>165</v>
      </c>
      <c r="F3439" t="s">
        <v>8097</v>
      </c>
      <c r="G3439">
        <v>165</v>
      </c>
      <c r="H3439">
        <v>372.85379999999998</v>
      </c>
      <c r="N3439">
        <v>372.85379999999998</v>
      </c>
      <c r="O3439" s="1">
        <v>45175</v>
      </c>
      <c r="P3439">
        <f>IF(ISBLANK(ReconciliationData[[#This Row],[Invoice_ID]]),1,0)</f>
        <v>0</v>
      </c>
      <c r="Q3439">
        <f>IF(AND(NOT(ISBLANK(ReconciliationData[[#This Row],[Billed_Units]])),ReconciliationData[[#This Row],[ordered_units]]&lt;&gt;ReconciliationData[[#This Row],[Billed_Units]]),1,0)</f>
        <v>0</v>
      </c>
      <c r="R34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39">
        <f>IF(AND(NOT(ISBLANK(ReconciliationData[[#This Row],[Contract_Price]])),ReconciliationData[[#This Row],[Billed_Price]]&lt;&gt;ReconciliationData[[#This Row],[Contract_Price]]),1,0)</f>
        <v>0</v>
      </c>
      <c r="T3439">
        <f>IF(AND(NOT(ISBLANK(ReconciliationData[[#This Row],[End_Date]])),ReconciliationData[[#This Row],[Order_Date]]&gt;ReconciliationData[[#This Row],[End_Date]]),1,0)</f>
        <v>0</v>
      </c>
      <c r="U3439">
        <f>IF(AND(NOT(ISBLANK(ReconciliationData[[#This Row],[last_return_date]])),ReconciliationData[[#This Row],[last_return_date]]&gt;ReconciliationData[[#This Row],[Order_Date]]+60),1,0)</f>
        <v>0</v>
      </c>
      <c r="V3439">
        <f>IF(ReconciliationData[[#This Row],[total_returned_units]]&gt;ReconciliationData[[#This Row],[ordered_units]],1,0)</f>
        <v>0</v>
      </c>
      <c r="W34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39">
        <f>ReconciliationData[[#This Row],[Billed_Units]]*ReconciliationData[[#This Row],[Billed_Price]]</f>
        <v>61520.876999999993</v>
      </c>
      <c r="Y3439">
        <f>ReconciliationData[[#This Row],[ordered_units]]*ReconciliationData[[#This Row],[List_Price]]</f>
        <v>61520.876999999993</v>
      </c>
      <c r="Z3439">
        <f>ReconciliationData[[#This Row],[billed_revenue]]-ReconciliationData[[#This Row],[expected_revenue]]</f>
        <v>0</v>
      </c>
      <c r="AA34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39" t="str">
        <f>IF(ReconciliationData[[#This Row],[severity_score]]=0,"LOW",
 IF(ReconciliationData[[#This Row],[severity_score]]&lt;=5,"MEDIUM","HIGH"))</f>
        <v>LOW</v>
      </c>
      <c r="AC3439" t="str">
        <f>TEXT(ReconciliationData[[#This Row],[Order_Date]],"YYYY-MM")</f>
        <v>2024-04</v>
      </c>
    </row>
    <row r="3440" spans="1:29">
      <c r="A3440" t="s">
        <v>8098</v>
      </c>
      <c r="B3440" s="1">
        <v>45083</v>
      </c>
      <c r="C3440" t="s">
        <v>1006</v>
      </c>
      <c r="D3440" t="s">
        <v>569</v>
      </c>
      <c r="E3440">
        <v>95</v>
      </c>
      <c r="F3440" t="s">
        <v>8099</v>
      </c>
      <c r="G3440">
        <v>95</v>
      </c>
      <c r="H3440">
        <v>1231.9933000000001</v>
      </c>
      <c r="N3440">
        <v>1231.9933000000001</v>
      </c>
      <c r="O3440" s="1">
        <v>44934</v>
      </c>
      <c r="P3440">
        <f>IF(ISBLANK(ReconciliationData[[#This Row],[Invoice_ID]]),1,0)</f>
        <v>0</v>
      </c>
      <c r="Q3440">
        <f>IF(AND(NOT(ISBLANK(ReconciliationData[[#This Row],[Billed_Units]])),ReconciliationData[[#This Row],[ordered_units]]&lt;&gt;ReconciliationData[[#This Row],[Billed_Units]]),1,0)</f>
        <v>0</v>
      </c>
      <c r="R34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0">
        <f>IF(AND(NOT(ISBLANK(ReconciliationData[[#This Row],[Contract_Price]])),ReconciliationData[[#This Row],[Billed_Price]]&lt;&gt;ReconciliationData[[#This Row],[Contract_Price]]),1,0)</f>
        <v>0</v>
      </c>
      <c r="T3440">
        <f>IF(AND(NOT(ISBLANK(ReconciliationData[[#This Row],[End_Date]])),ReconciliationData[[#This Row],[Order_Date]]&gt;ReconciliationData[[#This Row],[End_Date]]),1,0)</f>
        <v>0</v>
      </c>
      <c r="U3440">
        <f>IF(AND(NOT(ISBLANK(ReconciliationData[[#This Row],[last_return_date]])),ReconciliationData[[#This Row],[last_return_date]]&gt;ReconciliationData[[#This Row],[Order_Date]]+60),1,0)</f>
        <v>0</v>
      </c>
      <c r="V3440">
        <f>IF(ReconciliationData[[#This Row],[total_returned_units]]&gt;ReconciliationData[[#This Row],[ordered_units]],1,0)</f>
        <v>0</v>
      </c>
      <c r="W34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40">
        <f>ReconciliationData[[#This Row],[Billed_Units]]*ReconciliationData[[#This Row],[Billed_Price]]</f>
        <v>117039.36350000001</v>
      </c>
      <c r="Y3440">
        <f>ReconciliationData[[#This Row],[ordered_units]]*ReconciliationData[[#This Row],[List_Price]]</f>
        <v>117039.36350000001</v>
      </c>
      <c r="Z3440">
        <f>ReconciliationData[[#This Row],[billed_revenue]]-ReconciliationData[[#This Row],[expected_revenue]]</f>
        <v>0</v>
      </c>
      <c r="AA34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40" t="str">
        <f>IF(ReconciliationData[[#This Row],[severity_score]]=0,"LOW",
 IF(ReconciliationData[[#This Row],[severity_score]]&lt;=5,"MEDIUM","HIGH"))</f>
        <v>LOW</v>
      </c>
      <c r="AC3440" t="str">
        <f>TEXT(ReconciliationData[[#This Row],[Order_Date]],"YYYY-MM")</f>
        <v>2023-06</v>
      </c>
    </row>
    <row r="3441" spans="1:29">
      <c r="A3441" t="s">
        <v>8100</v>
      </c>
      <c r="B3441" s="1">
        <v>44932</v>
      </c>
      <c r="C3441" t="s">
        <v>6674</v>
      </c>
      <c r="D3441" t="s">
        <v>2563</v>
      </c>
      <c r="E3441">
        <v>156</v>
      </c>
      <c r="F3441" t="s">
        <v>8101</v>
      </c>
      <c r="G3441">
        <v>156</v>
      </c>
      <c r="H3441">
        <v>322.23</v>
      </c>
      <c r="N3441">
        <v>322.23</v>
      </c>
      <c r="O3441" s="1">
        <v>44681</v>
      </c>
      <c r="P3441">
        <f>IF(ISBLANK(ReconciliationData[[#This Row],[Invoice_ID]]),1,0)</f>
        <v>0</v>
      </c>
      <c r="Q3441">
        <f>IF(AND(NOT(ISBLANK(ReconciliationData[[#This Row],[Billed_Units]])),ReconciliationData[[#This Row],[ordered_units]]&lt;&gt;ReconciliationData[[#This Row],[Billed_Units]]),1,0)</f>
        <v>0</v>
      </c>
      <c r="R34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1">
        <f>IF(AND(NOT(ISBLANK(ReconciliationData[[#This Row],[Contract_Price]])),ReconciliationData[[#This Row],[Billed_Price]]&lt;&gt;ReconciliationData[[#This Row],[Contract_Price]]),1,0)</f>
        <v>0</v>
      </c>
      <c r="T3441">
        <f>IF(AND(NOT(ISBLANK(ReconciliationData[[#This Row],[End_Date]])),ReconciliationData[[#This Row],[Order_Date]]&gt;ReconciliationData[[#This Row],[End_Date]]),1,0)</f>
        <v>0</v>
      </c>
      <c r="U3441">
        <f>IF(AND(NOT(ISBLANK(ReconciliationData[[#This Row],[last_return_date]])),ReconciliationData[[#This Row],[last_return_date]]&gt;ReconciliationData[[#This Row],[Order_Date]]+60),1,0)</f>
        <v>0</v>
      </c>
      <c r="V3441">
        <f>IF(ReconciliationData[[#This Row],[total_returned_units]]&gt;ReconciliationData[[#This Row],[ordered_units]],1,0)</f>
        <v>0</v>
      </c>
      <c r="W34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41">
        <f>ReconciliationData[[#This Row],[Billed_Units]]*ReconciliationData[[#This Row],[Billed_Price]]</f>
        <v>50267.880000000005</v>
      </c>
      <c r="Y3441">
        <f>ReconciliationData[[#This Row],[ordered_units]]*ReconciliationData[[#This Row],[List_Price]]</f>
        <v>50267.880000000005</v>
      </c>
      <c r="Z3441">
        <f>ReconciliationData[[#This Row],[billed_revenue]]-ReconciliationData[[#This Row],[expected_revenue]]</f>
        <v>0</v>
      </c>
      <c r="AA34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41" t="str">
        <f>IF(ReconciliationData[[#This Row],[severity_score]]=0,"LOW",
 IF(ReconciliationData[[#This Row],[severity_score]]&lt;=5,"MEDIUM","HIGH"))</f>
        <v>LOW</v>
      </c>
      <c r="AC3441" t="str">
        <f>TEXT(ReconciliationData[[#This Row],[Order_Date]],"YYYY-MM")</f>
        <v>2023-01</v>
      </c>
    </row>
    <row r="3442" spans="1:29">
      <c r="A3442" t="s">
        <v>8102</v>
      </c>
      <c r="B3442" s="1">
        <v>45337</v>
      </c>
      <c r="C3442" t="s">
        <v>1765</v>
      </c>
      <c r="D3442" t="s">
        <v>283</v>
      </c>
      <c r="E3442">
        <v>128</v>
      </c>
      <c r="F3442" t="s">
        <v>8103</v>
      </c>
      <c r="G3442">
        <v>128</v>
      </c>
      <c r="H3442">
        <v>415.70589999999999</v>
      </c>
      <c r="N3442">
        <v>415.70589999999999</v>
      </c>
      <c r="O3442" s="1">
        <v>44989</v>
      </c>
      <c r="P3442">
        <f>IF(ISBLANK(ReconciliationData[[#This Row],[Invoice_ID]]),1,0)</f>
        <v>0</v>
      </c>
      <c r="Q3442">
        <f>IF(AND(NOT(ISBLANK(ReconciliationData[[#This Row],[Billed_Units]])),ReconciliationData[[#This Row],[ordered_units]]&lt;&gt;ReconciliationData[[#This Row],[Billed_Units]]),1,0)</f>
        <v>0</v>
      </c>
      <c r="R34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2">
        <f>IF(AND(NOT(ISBLANK(ReconciliationData[[#This Row],[Contract_Price]])),ReconciliationData[[#This Row],[Billed_Price]]&lt;&gt;ReconciliationData[[#This Row],[Contract_Price]]),1,0)</f>
        <v>0</v>
      </c>
      <c r="T3442">
        <f>IF(AND(NOT(ISBLANK(ReconciliationData[[#This Row],[End_Date]])),ReconciliationData[[#This Row],[Order_Date]]&gt;ReconciliationData[[#This Row],[End_Date]]),1,0)</f>
        <v>0</v>
      </c>
      <c r="U3442">
        <f>IF(AND(NOT(ISBLANK(ReconciliationData[[#This Row],[last_return_date]])),ReconciliationData[[#This Row],[last_return_date]]&gt;ReconciliationData[[#This Row],[Order_Date]]+60),1,0)</f>
        <v>0</v>
      </c>
      <c r="V3442">
        <f>IF(ReconciliationData[[#This Row],[total_returned_units]]&gt;ReconciliationData[[#This Row],[ordered_units]],1,0)</f>
        <v>0</v>
      </c>
      <c r="W34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42">
        <f>ReconciliationData[[#This Row],[Billed_Units]]*ReconciliationData[[#This Row],[Billed_Price]]</f>
        <v>53210.355199999998</v>
      </c>
      <c r="Y3442">
        <f>ReconciliationData[[#This Row],[ordered_units]]*ReconciliationData[[#This Row],[List_Price]]</f>
        <v>53210.355199999998</v>
      </c>
      <c r="Z3442">
        <f>ReconciliationData[[#This Row],[billed_revenue]]-ReconciliationData[[#This Row],[expected_revenue]]</f>
        <v>0</v>
      </c>
      <c r="AA34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42" t="str">
        <f>IF(ReconciliationData[[#This Row],[severity_score]]=0,"LOW",
 IF(ReconciliationData[[#This Row],[severity_score]]&lt;=5,"MEDIUM","HIGH"))</f>
        <v>LOW</v>
      </c>
      <c r="AC3442" t="str">
        <f>TEXT(ReconciliationData[[#This Row],[Order_Date]],"YYYY-MM")</f>
        <v>2024-02</v>
      </c>
    </row>
    <row r="3443" spans="1:29">
      <c r="A3443" t="s">
        <v>8104</v>
      </c>
      <c r="B3443" s="1">
        <v>45339</v>
      </c>
      <c r="C3443" t="s">
        <v>369</v>
      </c>
      <c r="D3443" t="s">
        <v>461</v>
      </c>
      <c r="E3443">
        <v>86</v>
      </c>
      <c r="F3443" t="s">
        <v>8105</v>
      </c>
      <c r="G3443">
        <v>86</v>
      </c>
      <c r="H3443">
        <v>1114.2336</v>
      </c>
      <c r="N3443">
        <v>1114.2336</v>
      </c>
      <c r="O3443" s="1">
        <v>45141</v>
      </c>
      <c r="P3443">
        <f>IF(ISBLANK(ReconciliationData[[#This Row],[Invoice_ID]]),1,0)</f>
        <v>0</v>
      </c>
      <c r="Q3443">
        <f>IF(AND(NOT(ISBLANK(ReconciliationData[[#This Row],[Billed_Units]])),ReconciliationData[[#This Row],[ordered_units]]&lt;&gt;ReconciliationData[[#This Row],[Billed_Units]]),1,0)</f>
        <v>0</v>
      </c>
      <c r="R34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3">
        <f>IF(AND(NOT(ISBLANK(ReconciliationData[[#This Row],[Contract_Price]])),ReconciliationData[[#This Row],[Billed_Price]]&lt;&gt;ReconciliationData[[#This Row],[Contract_Price]]),1,0)</f>
        <v>0</v>
      </c>
      <c r="T3443">
        <f>IF(AND(NOT(ISBLANK(ReconciliationData[[#This Row],[End_Date]])),ReconciliationData[[#This Row],[Order_Date]]&gt;ReconciliationData[[#This Row],[End_Date]]),1,0)</f>
        <v>0</v>
      </c>
      <c r="U3443">
        <f>IF(AND(NOT(ISBLANK(ReconciliationData[[#This Row],[last_return_date]])),ReconciliationData[[#This Row],[last_return_date]]&gt;ReconciliationData[[#This Row],[Order_Date]]+60),1,0)</f>
        <v>0</v>
      </c>
      <c r="V3443">
        <f>IF(ReconciliationData[[#This Row],[total_returned_units]]&gt;ReconciliationData[[#This Row],[ordered_units]],1,0)</f>
        <v>0</v>
      </c>
      <c r="W34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43">
        <f>ReconciliationData[[#This Row],[Billed_Units]]*ReconciliationData[[#This Row],[Billed_Price]]</f>
        <v>95824.089600000007</v>
      </c>
      <c r="Y3443">
        <f>ReconciliationData[[#This Row],[ordered_units]]*ReconciliationData[[#This Row],[List_Price]]</f>
        <v>95824.089600000007</v>
      </c>
      <c r="Z3443">
        <f>ReconciliationData[[#This Row],[billed_revenue]]-ReconciliationData[[#This Row],[expected_revenue]]</f>
        <v>0</v>
      </c>
      <c r="AA34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43" t="str">
        <f>IF(ReconciliationData[[#This Row],[severity_score]]=0,"LOW",
 IF(ReconciliationData[[#This Row],[severity_score]]&lt;=5,"MEDIUM","HIGH"))</f>
        <v>LOW</v>
      </c>
      <c r="AC3443" t="str">
        <f>TEXT(ReconciliationData[[#This Row],[Order_Date]],"YYYY-MM")</f>
        <v>2024-02</v>
      </c>
    </row>
    <row r="3444" spans="1:29">
      <c r="A3444" t="s">
        <v>8106</v>
      </c>
      <c r="B3444" s="1">
        <v>45081</v>
      </c>
      <c r="C3444" t="s">
        <v>3525</v>
      </c>
      <c r="D3444" t="s">
        <v>983</v>
      </c>
      <c r="E3444">
        <v>75</v>
      </c>
      <c r="F3444" t="s">
        <v>8107</v>
      </c>
      <c r="G3444">
        <v>75</v>
      </c>
      <c r="H3444">
        <v>249.2424</v>
      </c>
      <c r="N3444">
        <v>249.2424</v>
      </c>
      <c r="O3444" s="1">
        <v>45006</v>
      </c>
      <c r="P3444">
        <f>IF(ISBLANK(ReconciliationData[[#This Row],[Invoice_ID]]),1,0)</f>
        <v>0</v>
      </c>
      <c r="Q3444">
        <f>IF(AND(NOT(ISBLANK(ReconciliationData[[#This Row],[Billed_Units]])),ReconciliationData[[#This Row],[ordered_units]]&lt;&gt;ReconciliationData[[#This Row],[Billed_Units]]),1,0)</f>
        <v>0</v>
      </c>
      <c r="R34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4">
        <f>IF(AND(NOT(ISBLANK(ReconciliationData[[#This Row],[Contract_Price]])),ReconciliationData[[#This Row],[Billed_Price]]&lt;&gt;ReconciliationData[[#This Row],[Contract_Price]]),1,0)</f>
        <v>0</v>
      </c>
      <c r="T3444">
        <f>IF(AND(NOT(ISBLANK(ReconciliationData[[#This Row],[End_Date]])),ReconciliationData[[#This Row],[Order_Date]]&gt;ReconciliationData[[#This Row],[End_Date]]),1,0)</f>
        <v>0</v>
      </c>
      <c r="U3444">
        <f>IF(AND(NOT(ISBLANK(ReconciliationData[[#This Row],[last_return_date]])),ReconciliationData[[#This Row],[last_return_date]]&gt;ReconciliationData[[#This Row],[Order_Date]]+60),1,0)</f>
        <v>0</v>
      </c>
      <c r="V3444">
        <f>IF(ReconciliationData[[#This Row],[total_returned_units]]&gt;ReconciliationData[[#This Row],[ordered_units]],1,0)</f>
        <v>0</v>
      </c>
      <c r="W34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44">
        <f>ReconciliationData[[#This Row],[Billed_Units]]*ReconciliationData[[#This Row],[Billed_Price]]</f>
        <v>18693.18</v>
      </c>
      <c r="Y3444">
        <f>ReconciliationData[[#This Row],[ordered_units]]*ReconciliationData[[#This Row],[List_Price]]</f>
        <v>18693.18</v>
      </c>
      <c r="Z3444">
        <f>ReconciliationData[[#This Row],[billed_revenue]]-ReconciliationData[[#This Row],[expected_revenue]]</f>
        <v>0</v>
      </c>
      <c r="AA34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44" t="str">
        <f>IF(ReconciliationData[[#This Row],[severity_score]]=0,"LOW",
 IF(ReconciliationData[[#This Row],[severity_score]]&lt;=5,"MEDIUM","HIGH"))</f>
        <v>LOW</v>
      </c>
      <c r="AC3444" t="str">
        <f>TEXT(ReconciliationData[[#This Row],[Order_Date]],"YYYY-MM")</f>
        <v>2023-06</v>
      </c>
    </row>
    <row r="3445" spans="1:29">
      <c r="A3445" t="s">
        <v>8108</v>
      </c>
      <c r="B3445" s="1">
        <v>44953</v>
      </c>
      <c r="C3445" t="s">
        <v>862</v>
      </c>
      <c r="D3445" t="s">
        <v>279</v>
      </c>
      <c r="E3445">
        <v>100</v>
      </c>
      <c r="F3445" t="s">
        <v>8109</v>
      </c>
      <c r="G3445">
        <v>100</v>
      </c>
      <c r="H3445">
        <v>1131.7511999999999</v>
      </c>
      <c r="N3445">
        <v>1131.7511999999999</v>
      </c>
      <c r="O3445" s="1">
        <v>44806</v>
      </c>
      <c r="P3445">
        <f>IF(ISBLANK(ReconciliationData[[#This Row],[Invoice_ID]]),1,0)</f>
        <v>0</v>
      </c>
      <c r="Q3445">
        <f>IF(AND(NOT(ISBLANK(ReconciliationData[[#This Row],[Billed_Units]])),ReconciliationData[[#This Row],[ordered_units]]&lt;&gt;ReconciliationData[[#This Row],[Billed_Units]]),1,0)</f>
        <v>0</v>
      </c>
      <c r="R34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5">
        <f>IF(AND(NOT(ISBLANK(ReconciliationData[[#This Row],[Contract_Price]])),ReconciliationData[[#This Row],[Billed_Price]]&lt;&gt;ReconciliationData[[#This Row],[Contract_Price]]),1,0)</f>
        <v>0</v>
      </c>
      <c r="T3445">
        <f>IF(AND(NOT(ISBLANK(ReconciliationData[[#This Row],[End_Date]])),ReconciliationData[[#This Row],[Order_Date]]&gt;ReconciliationData[[#This Row],[End_Date]]),1,0)</f>
        <v>0</v>
      </c>
      <c r="U3445">
        <f>IF(AND(NOT(ISBLANK(ReconciliationData[[#This Row],[last_return_date]])),ReconciliationData[[#This Row],[last_return_date]]&gt;ReconciliationData[[#This Row],[Order_Date]]+60),1,0)</f>
        <v>0</v>
      </c>
      <c r="V3445">
        <f>IF(ReconciliationData[[#This Row],[total_returned_units]]&gt;ReconciliationData[[#This Row],[ordered_units]],1,0)</f>
        <v>0</v>
      </c>
      <c r="W34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45">
        <f>ReconciliationData[[#This Row],[Billed_Units]]*ReconciliationData[[#This Row],[Billed_Price]]</f>
        <v>113175.12</v>
      </c>
      <c r="Y3445">
        <f>ReconciliationData[[#This Row],[ordered_units]]*ReconciliationData[[#This Row],[List_Price]]</f>
        <v>113175.12</v>
      </c>
      <c r="Z3445">
        <f>ReconciliationData[[#This Row],[billed_revenue]]-ReconciliationData[[#This Row],[expected_revenue]]</f>
        <v>0</v>
      </c>
      <c r="AA34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45" t="str">
        <f>IF(ReconciliationData[[#This Row],[severity_score]]=0,"LOW",
 IF(ReconciliationData[[#This Row],[severity_score]]&lt;=5,"MEDIUM","HIGH"))</f>
        <v>LOW</v>
      </c>
      <c r="AC3445" t="str">
        <f>TEXT(ReconciliationData[[#This Row],[Order_Date]],"YYYY-MM")</f>
        <v>2023-01</v>
      </c>
    </row>
    <row r="3446" spans="1:29">
      <c r="A3446" t="s">
        <v>8110</v>
      </c>
      <c r="B3446" s="1">
        <v>45234</v>
      </c>
      <c r="C3446" t="s">
        <v>418</v>
      </c>
      <c r="D3446" t="s">
        <v>1533</v>
      </c>
      <c r="E3446">
        <v>105</v>
      </c>
      <c r="F3446" t="s">
        <v>8111</v>
      </c>
      <c r="G3446">
        <v>105</v>
      </c>
      <c r="H3446">
        <v>952.36940000000004</v>
      </c>
      <c r="N3446">
        <v>952.36940000000004</v>
      </c>
      <c r="O3446" s="1">
        <v>45169</v>
      </c>
      <c r="P3446">
        <f>IF(ISBLANK(ReconciliationData[[#This Row],[Invoice_ID]]),1,0)</f>
        <v>0</v>
      </c>
      <c r="Q3446">
        <f>IF(AND(NOT(ISBLANK(ReconciliationData[[#This Row],[Billed_Units]])),ReconciliationData[[#This Row],[ordered_units]]&lt;&gt;ReconciliationData[[#This Row],[Billed_Units]]),1,0)</f>
        <v>0</v>
      </c>
      <c r="R34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6">
        <f>IF(AND(NOT(ISBLANK(ReconciliationData[[#This Row],[Contract_Price]])),ReconciliationData[[#This Row],[Billed_Price]]&lt;&gt;ReconciliationData[[#This Row],[Contract_Price]]),1,0)</f>
        <v>0</v>
      </c>
      <c r="T3446">
        <f>IF(AND(NOT(ISBLANK(ReconciliationData[[#This Row],[End_Date]])),ReconciliationData[[#This Row],[Order_Date]]&gt;ReconciliationData[[#This Row],[End_Date]]),1,0)</f>
        <v>0</v>
      </c>
      <c r="U3446">
        <f>IF(AND(NOT(ISBLANK(ReconciliationData[[#This Row],[last_return_date]])),ReconciliationData[[#This Row],[last_return_date]]&gt;ReconciliationData[[#This Row],[Order_Date]]+60),1,0)</f>
        <v>0</v>
      </c>
      <c r="V3446">
        <f>IF(ReconciliationData[[#This Row],[total_returned_units]]&gt;ReconciliationData[[#This Row],[ordered_units]],1,0)</f>
        <v>0</v>
      </c>
      <c r="W34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46">
        <f>ReconciliationData[[#This Row],[Billed_Units]]*ReconciliationData[[#This Row],[Billed_Price]]</f>
        <v>99998.787000000011</v>
      </c>
      <c r="Y3446">
        <f>ReconciliationData[[#This Row],[ordered_units]]*ReconciliationData[[#This Row],[List_Price]]</f>
        <v>99998.787000000011</v>
      </c>
      <c r="Z3446">
        <f>ReconciliationData[[#This Row],[billed_revenue]]-ReconciliationData[[#This Row],[expected_revenue]]</f>
        <v>0</v>
      </c>
      <c r="AA34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46" t="str">
        <f>IF(ReconciliationData[[#This Row],[severity_score]]=0,"LOW",
 IF(ReconciliationData[[#This Row],[severity_score]]&lt;=5,"MEDIUM","HIGH"))</f>
        <v>LOW</v>
      </c>
      <c r="AC3446" t="str">
        <f>TEXT(ReconciliationData[[#This Row],[Order_Date]],"YYYY-MM")</f>
        <v>2023-11</v>
      </c>
    </row>
    <row r="3447" spans="1:29">
      <c r="A3447" t="s">
        <v>8112</v>
      </c>
      <c r="B3447" s="1">
        <v>45365</v>
      </c>
      <c r="C3447" t="s">
        <v>3653</v>
      </c>
      <c r="D3447" t="s">
        <v>1396</v>
      </c>
      <c r="E3447">
        <v>115</v>
      </c>
      <c r="F3447" t="s">
        <v>8113</v>
      </c>
      <c r="G3447">
        <v>115</v>
      </c>
      <c r="H3447">
        <v>880.66300000000001</v>
      </c>
      <c r="N3447">
        <v>880.66300000000001</v>
      </c>
      <c r="O3447" s="1">
        <v>44966</v>
      </c>
      <c r="P3447">
        <f>IF(ISBLANK(ReconciliationData[[#This Row],[Invoice_ID]]),1,0)</f>
        <v>0</v>
      </c>
      <c r="Q3447">
        <f>IF(AND(NOT(ISBLANK(ReconciliationData[[#This Row],[Billed_Units]])),ReconciliationData[[#This Row],[ordered_units]]&lt;&gt;ReconciliationData[[#This Row],[Billed_Units]]),1,0)</f>
        <v>0</v>
      </c>
      <c r="R34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7">
        <f>IF(AND(NOT(ISBLANK(ReconciliationData[[#This Row],[Contract_Price]])),ReconciliationData[[#This Row],[Billed_Price]]&lt;&gt;ReconciliationData[[#This Row],[Contract_Price]]),1,0)</f>
        <v>0</v>
      </c>
      <c r="T3447">
        <f>IF(AND(NOT(ISBLANK(ReconciliationData[[#This Row],[End_Date]])),ReconciliationData[[#This Row],[Order_Date]]&gt;ReconciliationData[[#This Row],[End_Date]]),1,0)</f>
        <v>0</v>
      </c>
      <c r="U3447">
        <f>IF(AND(NOT(ISBLANK(ReconciliationData[[#This Row],[last_return_date]])),ReconciliationData[[#This Row],[last_return_date]]&gt;ReconciliationData[[#This Row],[Order_Date]]+60),1,0)</f>
        <v>0</v>
      </c>
      <c r="V3447">
        <f>IF(ReconciliationData[[#This Row],[total_returned_units]]&gt;ReconciliationData[[#This Row],[ordered_units]],1,0)</f>
        <v>0</v>
      </c>
      <c r="W34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47">
        <f>ReconciliationData[[#This Row],[Billed_Units]]*ReconciliationData[[#This Row],[Billed_Price]]</f>
        <v>101276.245</v>
      </c>
      <c r="Y3447">
        <f>ReconciliationData[[#This Row],[ordered_units]]*ReconciliationData[[#This Row],[List_Price]]</f>
        <v>101276.245</v>
      </c>
      <c r="Z3447">
        <f>ReconciliationData[[#This Row],[billed_revenue]]-ReconciliationData[[#This Row],[expected_revenue]]</f>
        <v>0</v>
      </c>
      <c r="AA34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47" t="str">
        <f>IF(ReconciliationData[[#This Row],[severity_score]]=0,"LOW",
 IF(ReconciliationData[[#This Row],[severity_score]]&lt;=5,"MEDIUM","HIGH"))</f>
        <v>LOW</v>
      </c>
      <c r="AC3447" t="str">
        <f>TEXT(ReconciliationData[[#This Row],[Order_Date]],"YYYY-MM")</f>
        <v>2024-03</v>
      </c>
    </row>
    <row r="3448" spans="1:29">
      <c r="A3448" t="s">
        <v>8114</v>
      </c>
      <c r="B3448" s="1">
        <v>45315</v>
      </c>
      <c r="C3448" t="s">
        <v>2639</v>
      </c>
      <c r="D3448" t="s">
        <v>1305</v>
      </c>
      <c r="E3448">
        <v>192</v>
      </c>
      <c r="F3448" t="s">
        <v>8115</v>
      </c>
      <c r="G3448">
        <v>202</v>
      </c>
      <c r="H3448">
        <v>250.3184</v>
      </c>
      <c r="N3448">
        <v>250.3184</v>
      </c>
      <c r="O3448" s="1">
        <v>45212</v>
      </c>
      <c r="P3448">
        <f>IF(ISBLANK(ReconciliationData[[#This Row],[Invoice_ID]]),1,0)</f>
        <v>0</v>
      </c>
      <c r="Q3448">
        <f>IF(AND(NOT(ISBLANK(ReconciliationData[[#This Row],[Billed_Units]])),ReconciliationData[[#This Row],[ordered_units]]&lt;&gt;ReconciliationData[[#This Row],[Billed_Units]]),1,0)</f>
        <v>1</v>
      </c>
      <c r="R34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8">
        <f>IF(AND(NOT(ISBLANK(ReconciliationData[[#This Row],[Contract_Price]])),ReconciliationData[[#This Row],[Billed_Price]]&lt;&gt;ReconciliationData[[#This Row],[Contract_Price]]),1,0)</f>
        <v>0</v>
      </c>
      <c r="T3448">
        <f>IF(AND(NOT(ISBLANK(ReconciliationData[[#This Row],[End_Date]])),ReconciliationData[[#This Row],[Order_Date]]&gt;ReconciliationData[[#This Row],[End_Date]]),1,0)</f>
        <v>0</v>
      </c>
      <c r="U3448">
        <f>IF(AND(NOT(ISBLANK(ReconciliationData[[#This Row],[last_return_date]])),ReconciliationData[[#This Row],[last_return_date]]&gt;ReconciliationData[[#This Row],[Order_Date]]+60),1,0)</f>
        <v>0</v>
      </c>
      <c r="V3448">
        <f>IF(ReconciliationData[[#This Row],[total_returned_units]]&gt;ReconciliationData[[#This Row],[ordered_units]],1,0)</f>
        <v>0</v>
      </c>
      <c r="W34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448">
        <f>ReconciliationData[[#This Row],[Billed_Units]]*ReconciliationData[[#This Row],[Billed_Price]]</f>
        <v>50564.316800000001</v>
      </c>
      <c r="Y3448">
        <f>ReconciliationData[[#This Row],[ordered_units]]*ReconciliationData[[#This Row],[List_Price]]</f>
        <v>48061.132799999999</v>
      </c>
      <c r="Z3448">
        <f>ReconciliationData[[#This Row],[billed_revenue]]-ReconciliationData[[#This Row],[expected_revenue]]</f>
        <v>2503.1840000000011</v>
      </c>
      <c r="AA34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448" t="str">
        <f>IF(ReconciliationData[[#This Row],[severity_score]]=0,"LOW",
 IF(ReconciliationData[[#This Row],[severity_score]]&lt;=5,"MEDIUM","HIGH"))</f>
        <v>HIGH</v>
      </c>
      <c r="AC3448" t="str">
        <f>TEXT(ReconciliationData[[#This Row],[Order_Date]],"YYYY-MM")</f>
        <v>2024-01</v>
      </c>
    </row>
    <row r="3449" spans="1:29">
      <c r="A3449" t="s">
        <v>8116</v>
      </c>
      <c r="B3449" s="1">
        <v>45110</v>
      </c>
      <c r="C3449" t="s">
        <v>4124</v>
      </c>
      <c r="D3449" t="s">
        <v>1754</v>
      </c>
      <c r="E3449">
        <v>188</v>
      </c>
      <c r="F3449" t="s">
        <v>8117</v>
      </c>
      <c r="G3449">
        <v>188</v>
      </c>
      <c r="H3449">
        <v>1114.3462</v>
      </c>
      <c r="N3449">
        <v>1114.3462</v>
      </c>
      <c r="O3449" s="1">
        <v>45015</v>
      </c>
      <c r="P3449">
        <f>IF(ISBLANK(ReconciliationData[[#This Row],[Invoice_ID]]),1,0)</f>
        <v>0</v>
      </c>
      <c r="Q3449">
        <f>IF(AND(NOT(ISBLANK(ReconciliationData[[#This Row],[Billed_Units]])),ReconciliationData[[#This Row],[ordered_units]]&lt;&gt;ReconciliationData[[#This Row],[Billed_Units]]),1,0)</f>
        <v>0</v>
      </c>
      <c r="R34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49">
        <f>IF(AND(NOT(ISBLANK(ReconciliationData[[#This Row],[Contract_Price]])),ReconciliationData[[#This Row],[Billed_Price]]&lt;&gt;ReconciliationData[[#This Row],[Contract_Price]]),1,0)</f>
        <v>0</v>
      </c>
      <c r="T3449">
        <f>IF(AND(NOT(ISBLANK(ReconciliationData[[#This Row],[End_Date]])),ReconciliationData[[#This Row],[Order_Date]]&gt;ReconciliationData[[#This Row],[End_Date]]),1,0)</f>
        <v>0</v>
      </c>
      <c r="U3449">
        <f>IF(AND(NOT(ISBLANK(ReconciliationData[[#This Row],[last_return_date]])),ReconciliationData[[#This Row],[last_return_date]]&gt;ReconciliationData[[#This Row],[Order_Date]]+60),1,0)</f>
        <v>0</v>
      </c>
      <c r="V3449">
        <f>IF(ReconciliationData[[#This Row],[total_returned_units]]&gt;ReconciliationData[[#This Row],[ordered_units]],1,0)</f>
        <v>0</v>
      </c>
      <c r="W34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49">
        <f>ReconciliationData[[#This Row],[Billed_Units]]*ReconciliationData[[#This Row],[Billed_Price]]</f>
        <v>209497.08559999999</v>
      </c>
      <c r="Y3449">
        <f>ReconciliationData[[#This Row],[ordered_units]]*ReconciliationData[[#This Row],[List_Price]]</f>
        <v>209497.08559999999</v>
      </c>
      <c r="Z3449">
        <f>ReconciliationData[[#This Row],[billed_revenue]]-ReconciliationData[[#This Row],[expected_revenue]]</f>
        <v>0</v>
      </c>
      <c r="AA34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49" t="str">
        <f>IF(ReconciliationData[[#This Row],[severity_score]]=0,"LOW",
 IF(ReconciliationData[[#This Row],[severity_score]]&lt;=5,"MEDIUM","HIGH"))</f>
        <v>LOW</v>
      </c>
      <c r="AC3449" t="str">
        <f>TEXT(ReconciliationData[[#This Row],[Order_Date]],"YYYY-MM")</f>
        <v>2023-07</v>
      </c>
    </row>
    <row r="3450" spans="1:29">
      <c r="A3450" t="s">
        <v>8118</v>
      </c>
      <c r="B3450" s="1">
        <v>45405</v>
      </c>
      <c r="C3450" t="s">
        <v>3003</v>
      </c>
      <c r="D3450" t="s">
        <v>962</v>
      </c>
      <c r="E3450">
        <v>147</v>
      </c>
      <c r="F3450" t="s">
        <v>8119</v>
      </c>
      <c r="G3450">
        <v>147</v>
      </c>
      <c r="H3450">
        <v>709.52</v>
      </c>
      <c r="N3450">
        <v>709.52</v>
      </c>
      <c r="O3450" s="1">
        <v>44952</v>
      </c>
      <c r="P3450">
        <f>IF(ISBLANK(ReconciliationData[[#This Row],[Invoice_ID]]),1,0)</f>
        <v>0</v>
      </c>
      <c r="Q3450">
        <f>IF(AND(NOT(ISBLANK(ReconciliationData[[#This Row],[Billed_Units]])),ReconciliationData[[#This Row],[ordered_units]]&lt;&gt;ReconciliationData[[#This Row],[Billed_Units]]),1,0)</f>
        <v>0</v>
      </c>
      <c r="R34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0">
        <f>IF(AND(NOT(ISBLANK(ReconciliationData[[#This Row],[Contract_Price]])),ReconciliationData[[#This Row],[Billed_Price]]&lt;&gt;ReconciliationData[[#This Row],[Contract_Price]]),1,0)</f>
        <v>0</v>
      </c>
      <c r="T3450">
        <f>IF(AND(NOT(ISBLANK(ReconciliationData[[#This Row],[End_Date]])),ReconciliationData[[#This Row],[Order_Date]]&gt;ReconciliationData[[#This Row],[End_Date]]),1,0)</f>
        <v>0</v>
      </c>
      <c r="U3450">
        <f>IF(AND(NOT(ISBLANK(ReconciliationData[[#This Row],[last_return_date]])),ReconciliationData[[#This Row],[last_return_date]]&gt;ReconciliationData[[#This Row],[Order_Date]]+60),1,0)</f>
        <v>0</v>
      </c>
      <c r="V3450">
        <f>IF(ReconciliationData[[#This Row],[total_returned_units]]&gt;ReconciliationData[[#This Row],[ordered_units]],1,0)</f>
        <v>0</v>
      </c>
      <c r="W34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0">
        <f>ReconciliationData[[#This Row],[Billed_Units]]*ReconciliationData[[#This Row],[Billed_Price]]</f>
        <v>104299.44</v>
      </c>
      <c r="Y3450">
        <f>ReconciliationData[[#This Row],[ordered_units]]*ReconciliationData[[#This Row],[List_Price]]</f>
        <v>104299.44</v>
      </c>
      <c r="Z3450">
        <f>ReconciliationData[[#This Row],[billed_revenue]]-ReconciliationData[[#This Row],[expected_revenue]]</f>
        <v>0</v>
      </c>
      <c r="AA34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0" t="str">
        <f>IF(ReconciliationData[[#This Row],[severity_score]]=0,"LOW",
 IF(ReconciliationData[[#This Row],[severity_score]]&lt;=5,"MEDIUM","HIGH"))</f>
        <v>LOW</v>
      </c>
      <c r="AC3450" t="str">
        <f>TEXT(ReconciliationData[[#This Row],[Order_Date]],"YYYY-MM")</f>
        <v>2024-04</v>
      </c>
    </row>
    <row r="3451" spans="1:29">
      <c r="A3451" t="s">
        <v>8120</v>
      </c>
      <c r="B3451" s="1">
        <v>44945</v>
      </c>
      <c r="C3451" t="s">
        <v>1757</v>
      </c>
      <c r="D3451" t="s">
        <v>1354</v>
      </c>
      <c r="E3451">
        <v>183</v>
      </c>
      <c r="F3451" t="s">
        <v>8121</v>
      </c>
      <c r="G3451">
        <v>183</v>
      </c>
      <c r="H3451">
        <v>53.988499999999995</v>
      </c>
      <c r="N3451">
        <v>53.988499999999995</v>
      </c>
      <c r="O3451" s="1">
        <v>44884</v>
      </c>
      <c r="P3451">
        <f>IF(ISBLANK(ReconciliationData[[#This Row],[Invoice_ID]]),1,0)</f>
        <v>0</v>
      </c>
      <c r="Q3451">
        <f>IF(AND(NOT(ISBLANK(ReconciliationData[[#This Row],[Billed_Units]])),ReconciliationData[[#This Row],[ordered_units]]&lt;&gt;ReconciliationData[[#This Row],[Billed_Units]]),1,0)</f>
        <v>0</v>
      </c>
      <c r="R34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1">
        <f>IF(AND(NOT(ISBLANK(ReconciliationData[[#This Row],[Contract_Price]])),ReconciliationData[[#This Row],[Billed_Price]]&lt;&gt;ReconciliationData[[#This Row],[Contract_Price]]),1,0)</f>
        <v>0</v>
      </c>
      <c r="T3451">
        <f>IF(AND(NOT(ISBLANK(ReconciliationData[[#This Row],[End_Date]])),ReconciliationData[[#This Row],[Order_Date]]&gt;ReconciliationData[[#This Row],[End_Date]]),1,0)</f>
        <v>0</v>
      </c>
      <c r="U3451">
        <f>IF(AND(NOT(ISBLANK(ReconciliationData[[#This Row],[last_return_date]])),ReconciliationData[[#This Row],[last_return_date]]&gt;ReconciliationData[[#This Row],[Order_Date]]+60),1,0)</f>
        <v>0</v>
      </c>
      <c r="V3451">
        <f>IF(ReconciliationData[[#This Row],[total_returned_units]]&gt;ReconciliationData[[#This Row],[ordered_units]],1,0)</f>
        <v>0</v>
      </c>
      <c r="W34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1">
        <f>ReconciliationData[[#This Row],[Billed_Units]]*ReconciliationData[[#This Row],[Billed_Price]]</f>
        <v>9879.8954999999987</v>
      </c>
      <c r="Y3451">
        <f>ReconciliationData[[#This Row],[ordered_units]]*ReconciliationData[[#This Row],[List_Price]]</f>
        <v>9879.8954999999987</v>
      </c>
      <c r="Z3451">
        <f>ReconciliationData[[#This Row],[billed_revenue]]-ReconciliationData[[#This Row],[expected_revenue]]</f>
        <v>0</v>
      </c>
      <c r="AA34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1" t="str">
        <f>IF(ReconciliationData[[#This Row],[severity_score]]=0,"LOW",
 IF(ReconciliationData[[#This Row],[severity_score]]&lt;=5,"MEDIUM","HIGH"))</f>
        <v>LOW</v>
      </c>
      <c r="AC3451" t="str">
        <f>TEXT(ReconciliationData[[#This Row],[Order_Date]],"YYYY-MM")</f>
        <v>2023-01</v>
      </c>
    </row>
    <row r="3452" spans="1:29">
      <c r="A3452" t="s">
        <v>8122</v>
      </c>
      <c r="B3452" s="1">
        <v>45639</v>
      </c>
      <c r="C3452" t="s">
        <v>957</v>
      </c>
      <c r="D3452" t="s">
        <v>2605</v>
      </c>
      <c r="E3452">
        <v>164</v>
      </c>
      <c r="F3452" t="s">
        <v>8123</v>
      </c>
      <c r="G3452">
        <v>164</v>
      </c>
      <c r="H3452">
        <v>696.93029999999999</v>
      </c>
      <c r="N3452">
        <v>696.93029999999999</v>
      </c>
      <c r="O3452" s="1">
        <v>45150</v>
      </c>
      <c r="P3452">
        <f>IF(ISBLANK(ReconciliationData[[#This Row],[Invoice_ID]]),1,0)</f>
        <v>0</v>
      </c>
      <c r="Q3452">
        <f>IF(AND(NOT(ISBLANK(ReconciliationData[[#This Row],[Billed_Units]])),ReconciliationData[[#This Row],[ordered_units]]&lt;&gt;ReconciliationData[[#This Row],[Billed_Units]]),1,0)</f>
        <v>0</v>
      </c>
      <c r="R34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2">
        <f>IF(AND(NOT(ISBLANK(ReconciliationData[[#This Row],[Contract_Price]])),ReconciliationData[[#This Row],[Billed_Price]]&lt;&gt;ReconciliationData[[#This Row],[Contract_Price]]),1,0)</f>
        <v>0</v>
      </c>
      <c r="T3452">
        <f>IF(AND(NOT(ISBLANK(ReconciliationData[[#This Row],[End_Date]])),ReconciliationData[[#This Row],[Order_Date]]&gt;ReconciliationData[[#This Row],[End_Date]]),1,0)</f>
        <v>0</v>
      </c>
      <c r="U3452">
        <f>IF(AND(NOT(ISBLANK(ReconciliationData[[#This Row],[last_return_date]])),ReconciliationData[[#This Row],[last_return_date]]&gt;ReconciliationData[[#This Row],[Order_Date]]+60),1,0)</f>
        <v>0</v>
      </c>
      <c r="V3452">
        <f>IF(ReconciliationData[[#This Row],[total_returned_units]]&gt;ReconciliationData[[#This Row],[ordered_units]],1,0)</f>
        <v>0</v>
      </c>
      <c r="W34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2">
        <f>ReconciliationData[[#This Row],[Billed_Units]]*ReconciliationData[[#This Row],[Billed_Price]]</f>
        <v>114296.5692</v>
      </c>
      <c r="Y3452">
        <f>ReconciliationData[[#This Row],[ordered_units]]*ReconciliationData[[#This Row],[List_Price]]</f>
        <v>114296.5692</v>
      </c>
      <c r="Z3452">
        <f>ReconciliationData[[#This Row],[billed_revenue]]-ReconciliationData[[#This Row],[expected_revenue]]</f>
        <v>0</v>
      </c>
      <c r="AA34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2" t="str">
        <f>IF(ReconciliationData[[#This Row],[severity_score]]=0,"LOW",
 IF(ReconciliationData[[#This Row],[severity_score]]&lt;=5,"MEDIUM","HIGH"))</f>
        <v>LOW</v>
      </c>
      <c r="AC3452" t="str">
        <f>TEXT(ReconciliationData[[#This Row],[Order_Date]],"YYYY-MM")</f>
        <v>2024-12</v>
      </c>
    </row>
    <row r="3453" spans="1:29">
      <c r="A3453" t="s">
        <v>8124</v>
      </c>
      <c r="B3453" s="1">
        <v>45323</v>
      </c>
      <c r="C3453" t="s">
        <v>1993</v>
      </c>
      <c r="D3453" t="s">
        <v>628</v>
      </c>
      <c r="E3453">
        <v>191</v>
      </c>
      <c r="F3453" t="s">
        <v>8125</v>
      </c>
      <c r="G3453">
        <v>191</v>
      </c>
      <c r="H3453">
        <v>322.71780000000001</v>
      </c>
      <c r="N3453">
        <v>322.71780000000001</v>
      </c>
      <c r="O3453" s="1">
        <v>45169</v>
      </c>
      <c r="P3453">
        <f>IF(ISBLANK(ReconciliationData[[#This Row],[Invoice_ID]]),1,0)</f>
        <v>0</v>
      </c>
      <c r="Q3453">
        <f>IF(AND(NOT(ISBLANK(ReconciliationData[[#This Row],[Billed_Units]])),ReconciliationData[[#This Row],[ordered_units]]&lt;&gt;ReconciliationData[[#This Row],[Billed_Units]]),1,0)</f>
        <v>0</v>
      </c>
      <c r="R34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3">
        <f>IF(AND(NOT(ISBLANK(ReconciliationData[[#This Row],[Contract_Price]])),ReconciliationData[[#This Row],[Billed_Price]]&lt;&gt;ReconciliationData[[#This Row],[Contract_Price]]),1,0)</f>
        <v>0</v>
      </c>
      <c r="T3453">
        <f>IF(AND(NOT(ISBLANK(ReconciliationData[[#This Row],[End_Date]])),ReconciliationData[[#This Row],[Order_Date]]&gt;ReconciliationData[[#This Row],[End_Date]]),1,0)</f>
        <v>0</v>
      </c>
      <c r="U3453">
        <f>IF(AND(NOT(ISBLANK(ReconciliationData[[#This Row],[last_return_date]])),ReconciliationData[[#This Row],[last_return_date]]&gt;ReconciliationData[[#This Row],[Order_Date]]+60),1,0)</f>
        <v>0</v>
      </c>
      <c r="V3453">
        <f>IF(ReconciliationData[[#This Row],[total_returned_units]]&gt;ReconciliationData[[#This Row],[ordered_units]],1,0)</f>
        <v>0</v>
      </c>
      <c r="W34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3">
        <f>ReconciliationData[[#This Row],[Billed_Units]]*ReconciliationData[[#This Row],[Billed_Price]]</f>
        <v>61639.099800000004</v>
      </c>
      <c r="Y3453">
        <f>ReconciliationData[[#This Row],[ordered_units]]*ReconciliationData[[#This Row],[List_Price]]</f>
        <v>61639.099800000004</v>
      </c>
      <c r="Z3453">
        <f>ReconciliationData[[#This Row],[billed_revenue]]-ReconciliationData[[#This Row],[expected_revenue]]</f>
        <v>0</v>
      </c>
      <c r="AA34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3" t="str">
        <f>IF(ReconciliationData[[#This Row],[severity_score]]=0,"LOW",
 IF(ReconciliationData[[#This Row],[severity_score]]&lt;=5,"MEDIUM","HIGH"))</f>
        <v>LOW</v>
      </c>
      <c r="AC3453" t="str">
        <f>TEXT(ReconciliationData[[#This Row],[Order_Date]],"YYYY-MM")</f>
        <v>2024-02</v>
      </c>
    </row>
    <row r="3454" spans="1:29">
      <c r="A3454" t="s">
        <v>8126</v>
      </c>
      <c r="B3454" s="1">
        <v>45040</v>
      </c>
      <c r="C3454" t="s">
        <v>1178</v>
      </c>
      <c r="D3454" t="s">
        <v>2353</v>
      </c>
      <c r="E3454">
        <v>38</v>
      </c>
      <c r="F3454" t="s">
        <v>8127</v>
      </c>
      <c r="G3454">
        <v>38</v>
      </c>
      <c r="H3454">
        <v>365.80459999999999</v>
      </c>
      <c r="N3454">
        <v>365.80459999999999</v>
      </c>
      <c r="O3454" s="1">
        <v>44892</v>
      </c>
      <c r="P3454">
        <f>IF(ISBLANK(ReconciliationData[[#This Row],[Invoice_ID]]),1,0)</f>
        <v>0</v>
      </c>
      <c r="Q3454">
        <f>IF(AND(NOT(ISBLANK(ReconciliationData[[#This Row],[Billed_Units]])),ReconciliationData[[#This Row],[ordered_units]]&lt;&gt;ReconciliationData[[#This Row],[Billed_Units]]),1,0)</f>
        <v>0</v>
      </c>
      <c r="R34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4">
        <f>IF(AND(NOT(ISBLANK(ReconciliationData[[#This Row],[Contract_Price]])),ReconciliationData[[#This Row],[Billed_Price]]&lt;&gt;ReconciliationData[[#This Row],[Contract_Price]]),1,0)</f>
        <v>0</v>
      </c>
      <c r="T3454">
        <f>IF(AND(NOT(ISBLANK(ReconciliationData[[#This Row],[End_Date]])),ReconciliationData[[#This Row],[Order_Date]]&gt;ReconciliationData[[#This Row],[End_Date]]),1,0)</f>
        <v>0</v>
      </c>
      <c r="U3454">
        <f>IF(AND(NOT(ISBLANK(ReconciliationData[[#This Row],[last_return_date]])),ReconciliationData[[#This Row],[last_return_date]]&gt;ReconciliationData[[#This Row],[Order_Date]]+60),1,0)</f>
        <v>0</v>
      </c>
      <c r="V3454">
        <f>IF(ReconciliationData[[#This Row],[total_returned_units]]&gt;ReconciliationData[[#This Row],[ordered_units]],1,0)</f>
        <v>0</v>
      </c>
      <c r="W34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4">
        <f>ReconciliationData[[#This Row],[Billed_Units]]*ReconciliationData[[#This Row],[Billed_Price]]</f>
        <v>13900.5748</v>
      </c>
      <c r="Y3454">
        <f>ReconciliationData[[#This Row],[ordered_units]]*ReconciliationData[[#This Row],[List_Price]]</f>
        <v>13900.5748</v>
      </c>
      <c r="Z3454">
        <f>ReconciliationData[[#This Row],[billed_revenue]]-ReconciliationData[[#This Row],[expected_revenue]]</f>
        <v>0</v>
      </c>
      <c r="AA34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4" t="str">
        <f>IF(ReconciliationData[[#This Row],[severity_score]]=0,"LOW",
 IF(ReconciliationData[[#This Row],[severity_score]]&lt;=5,"MEDIUM","HIGH"))</f>
        <v>LOW</v>
      </c>
      <c r="AC3454" t="str">
        <f>TEXT(ReconciliationData[[#This Row],[Order_Date]],"YYYY-MM")</f>
        <v>2023-04</v>
      </c>
    </row>
    <row r="3455" spans="1:29">
      <c r="A3455" t="s">
        <v>8128</v>
      </c>
      <c r="B3455" s="1">
        <v>45158</v>
      </c>
      <c r="C3455" t="s">
        <v>926</v>
      </c>
      <c r="D3455" t="s">
        <v>1309</v>
      </c>
      <c r="E3455">
        <v>83</v>
      </c>
      <c r="F3455" t="s">
        <v>8129</v>
      </c>
      <c r="G3455">
        <v>83</v>
      </c>
      <c r="H3455">
        <v>906.88919999999996</v>
      </c>
      <c r="I3455">
        <v>2</v>
      </c>
      <c r="J3455" s="1">
        <v>45024</v>
      </c>
      <c r="N3455">
        <v>906.88919999999996</v>
      </c>
      <c r="O3455" s="1">
        <v>44991</v>
      </c>
      <c r="P3455">
        <f>IF(ISBLANK(ReconciliationData[[#This Row],[Invoice_ID]]),1,0)</f>
        <v>0</v>
      </c>
      <c r="Q3455">
        <f>IF(AND(NOT(ISBLANK(ReconciliationData[[#This Row],[Billed_Units]])),ReconciliationData[[#This Row],[ordered_units]]&lt;&gt;ReconciliationData[[#This Row],[Billed_Units]]),1,0)</f>
        <v>0</v>
      </c>
      <c r="R34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5">
        <f>IF(AND(NOT(ISBLANK(ReconciliationData[[#This Row],[Contract_Price]])),ReconciliationData[[#This Row],[Billed_Price]]&lt;&gt;ReconciliationData[[#This Row],[Contract_Price]]),1,0)</f>
        <v>0</v>
      </c>
      <c r="T3455">
        <f>IF(AND(NOT(ISBLANK(ReconciliationData[[#This Row],[End_Date]])),ReconciliationData[[#This Row],[Order_Date]]&gt;ReconciliationData[[#This Row],[End_Date]]),1,0)</f>
        <v>0</v>
      </c>
      <c r="U3455">
        <f>IF(AND(NOT(ISBLANK(ReconciliationData[[#This Row],[last_return_date]])),ReconciliationData[[#This Row],[last_return_date]]&gt;ReconciliationData[[#This Row],[Order_Date]]+60),1,0)</f>
        <v>0</v>
      </c>
      <c r="V3455">
        <f>IF(ReconciliationData[[#This Row],[total_returned_units]]&gt;ReconciliationData[[#This Row],[ordered_units]],1,0)</f>
        <v>0</v>
      </c>
      <c r="W34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5">
        <f>ReconciliationData[[#This Row],[Billed_Units]]*ReconciliationData[[#This Row],[Billed_Price]]</f>
        <v>75271.803599999999</v>
      </c>
      <c r="Y3455">
        <f>ReconciliationData[[#This Row],[ordered_units]]*ReconciliationData[[#This Row],[List_Price]]</f>
        <v>75271.803599999999</v>
      </c>
      <c r="Z3455">
        <f>ReconciliationData[[#This Row],[billed_revenue]]-ReconciliationData[[#This Row],[expected_revenue]]</f>
        <v>0</v>
      </c>
      <c r="AA34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5" t="str">
        <f>IF(ReconciliationData[[#This Row],[severity_score]]=0,"LOW",
 IF(ReconciliationData[[#This Row],[severity_score]]&lt;=5,"MEDIUM","HIGH"))</f>
        <v>LOW</v>
      </c>
      <c r="AC3455" t="str">
        <f>TEXT(ReconciliationData[[#This Row],[Order_Date]],"YYYY-MM")</f>
        <v>2023-08</v>
      </c>
    </row>
    <row r="3456" spans="1:29">
      <c r="A3456" t="s">
        <v>8130</v>
      </c>
      <c r="B3456" s="1">
        <v>45306</v>
      </c>
      <c r="C3456" t="s">
        <v>1304</v>
      </c>
      <c r="D3456" t="s">
        <v>162</v>
      </c>
      <c r="E3456">
        <v>41</v>
      </c>
      <c r="F3456" t="s">
        <v>8131</v>
      </c>
      <c r="G3456">
        <v>41</v>
      </c>
      <c r="H3456">
        <v>510.91840000000002</v>
      </c>
      <c r="N3456">
        <v>510.91840000000002</v>
      </c>
      <c r="O3456" s="1">
        <v>44981</v>
      </c>
      <c r="P3456">
        <f>IF(ISBLANK(ReconciliationData[[#This Row],[Invoice_ID]]),1,0)</f>
        <v>0</v>
      </c>
      <c r="Q3456">
        <f>IF(AND(NOT(ISBLANK(ReconciliationData[[#This Row],[Billed_Units]])),ReconciliationData[[#This Row],[ordered_units]]&lt;&gt;ReconciliationData[[#This Row],[Billed_Units]]),1,0)</f>
        <v>0</v>
      </c>
      <c r="R34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6">
        <f>IF(AND(NOT(ISBLANK(ReconciliationData[[#This Row],[Contract_Price]])),ReconciliationData[[#This Row],[Billed_Price]]&lt;&gt;ReconciliationData[[#This Row],[Contract_Price]]),1,0)</f>
        <v>0</v>
      </c>
      <c r="T3456">
        <f>IF(AND(NOT(ISBLANK(ReconciliationData[[#This Row],[End_Date]])),ReconciliationData[[#This Row],[Order_Date]]&gt;ReconciliationData[[#This Row],[End_Date]]),1,0)</f>
        <v>0</v>
      </c>
      <c r="U3456">
        <f>IF(AND(NOT(ISBLANK(ReconciliationData[[#This Row],[last_return_date]])),ReconciliationData[[#This Row],[last_return_date]]&gt;ReconciliationData[[#This Row],[Order_Date]]+60),1,0)</f>
        <v>0</v>
      </c>
      <c r="V3456">
        <f>IF(ReconciliationData[[#This Row],[total_returned_units]]&gt;ReconciliationData[[#This Row],[ordered_units]],1,0)</f>
        <v>0</v>
      </c>
      <c r="W34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6">
        <f>ReconciliationData[[#This Row],[Billed_Units]]*ReconciliationData[[#This Row],[Billed_Price]]</f>
        <v>20947.654399999999</v>
      </c>
      <c r="Y3456">
        <f>ReconciliationData[[#This Row],[ordered_units]]*ReconciliationData[[#This Row],[List_Price]]</f>
        <v>20947.654399999999</v>
      </c>
      <c r="Z3456">
        <f>ReconciliationData[[#This Row],[billed_revenue]]-ReconciliationData[[#This Row],[expected_revenue]]</f>
        <v>0</v>
      </c>
      <c r="AA34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6" t="str">
        <f>IF(ReconciliationData[[#This Row],[severity_score]]=0,"LOW",
 IF(ReconciliationData[[#This Row],[severity_score]]&lt;=5,"MEDIUM","HIGH"))</f>
        <v>LOW</v>
      </c>
      <c r="AC3456" t="str">
        <f>TEXT(ReconciliationData[[#This Row],[Order_Date]],"YYYY-MM")</f>
        <v>2024-01</v>
      </c>
    </row>
    <row r="3457" spans="1:29">
      <c r="A3457" t="s">
        <v>8132</v>
      </c>
      <c r="B3457" s="1">
        <v>45489</v>
      </c>
      <c r="C3457" t="s">
        <v>1548</v>
      </c>
      <c r="D3457" t="s">
        <v>138</v>
      </c>
      <c r="E3457">
        <v>147</v>
      </c>
      <c r="F3457" t="s">
        <v>8133</v>
      </c>
      <c r="G3457">
        <v>147</v>
      </c>
      <c r="H3457">
        <v>444.22</v>
      </c>
      <c r="N3457">
        <v>444.22</v>
      </c>
      <c r="O3457" s="1">
        <v>45074</v>
      </c>
      <c r="P3457">
        <f>IF(ISBLANK(ReconciliationData[[#This Row],[Invoice_ID]]),1,0)</f>
        <v>0</v>
      </c>
      <c r="Q3457">
        <f>IF(AND(NOT(ISBLANK(ReconciliationData[[#This Row],[Billed_Units]])),ReconciliationData[[#This Row],[ordered_units]]&lt;&gt;ReconciliationData[[#This Row],[Billed_Units]]),1,0)</f>
        <v>0</v>
      </c>
      <c r="R34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7">
        <f>IF(AND(NOT(ISBLANK(ReconciliationData[[#This Row],[Contract_Price]])),ReconciliationData[[#This Row],[Billed_Price]]&lt;&gt;ReconciliationData[[#This Row],[Contract_Price]]),1,0)</f>
        <v>0</v>
      </c>
      <c r="T3457">
        <f>IF(AND(NOT(ISBLANK(ReconciliationData[[#This Row],[End_Date]])),ReconciliationData[[#This Row],[Order_Date]]&gt;ReconciliationData[[#This Row],[End_Date]]),1,0)</f>
        <v>0</v>
      </c>
      <c r="U3457">
        <f>IF(AND(NOT(ISBLANK(ReconciliationData[[#This Row],[last_return_date]])),ReconciliationData[[#This Row],[last_return_date]]&gt;ReconciliationData[[#This Row],[Order_Date]]+60),1,0)</f>
        <v>0</v>
      </c>
      <c r="V3457">
        <f>IF(ReconciliationData[[#This Row],[total_returned_units]]&gt;ReconciliationData[[#This Row],[ordered_units]],1,0)</f>
        <v>0</v>
      </c>
      <c r="W34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7">
        <f>ReconciliationData[[#This Row],[Billed_Units]]*ReconciliationData[[#This Row],[Billed_Price]]</f>
        <v>65300.340000000004</v>
      </c>
      <c r="Y3457">
        <f>ReconciliationData[[#This Row],[ordered_units]]*ReconciliationData[[#This Row],[List_Price]]</f>
        <v>65300.340000000004</v>
      </c>
      <c r="Z3457">
        <f>ReconciliationData[[#This Row],[billed_revenue]]-ReconciliationData[[#This Row],[expected_revenue]]</f>
        <v>0</v>
      </c>
      <c r="AA34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7" t="str">
        <f>IF(ReconciliationData[[#This Row],[severity_score]]=0,"LOW",
 IF(ReconciliationData[[#This Row],[severity_score]]&lt;=5,"MEDIUM","HIGH"))</f>
        <v>LOW</v>
      </c>
      <c r="AC3457" t="str">
        <f>TEXT(ReconciliationData[[#This Row],[Order_Date]],"YYYY-MM")</f>
        <v>2024-07</v>
      </c>
    </row>
    <row r="3458" spans="1:29">
      <c r="A3458" t="s">
        <v>8134</v>
      </c>
      <c r="B3458" s="1">
        <v>45368</v>
      </c>
      <c r="C3458" t="s">
        <v>3296</v>
      </c>
      <c r="D3458" t="s">
        <v>891</v>
      </c>
      <c r="E3458">
        <v>41</v>
      </c>
      <c r="F3458" t="s">
        <v>8135</v>
      </c>
      <c r="G3458">
        <v>41</v>
      </c>
      <c r="H3458">
        <v>680.30940000000021</v>
      </c>
      <c r="N3458">
        <v>680.30940000000021</v>
      </c>
      <c r="O3458" s="1">
        <v>44934</v>
      </c>
      <c r="P3458">
        <f>IF(ISBLANK(ReconciliationData[[#This Row],[Invoice_ID]]),1,0)</f>
        <v>0</v>
      </c>
      <c r="Q3458">
        <f>IF(AND(NOT(ISBLANK(ReconciliationData[[#This Row],[Billed_Units]])),ReconciliationData[[#This Row],[ordered_units]]&lt;&gt;ReconciliationData[[#This Row],[Billed_Units]]),1,0)</f>
        <v>0</v>
      </c>
      <c r="R34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8">
        <f>IF(AND(NOT(ISBLANK(ReconciliationData[[#This Row],[Contract_Price]])),ReconciliationData[[#This Row],[Billed_Price]]&lt;&gt;ReconciliationData[[#This Row],[Contract_Price]]),1,0)</f>
        <v>0</v>
      </c>
      <c r="T3458">
        <f>IF(AND(NOT(ISBLANK(ReconciliationData[[#This Row],[End_Date]])),ReconciliationData[[#This Row],[Order_Date]]&gt;ReconciliationData[[#This Row],[End_Date]]),1,0)</f>
        <v>0</v>
      </c>
      <c r="U3458">
        <f>IF(AND(NOT(ISBLANK(ReconciliationData[[#This Row],[last_return_date]])),ReconciliationData[[#This Row],[last_return_date]]&gt;ReconciliationData[[#This Row],[Order_Date]]+60),1,0)</f>
        <v>0</v>
      </c>
      <c r="V3458">
        <f>IF(ReconciliationData[[#This Row],[total_returned_units]]&gt;ReconciliationData[[#This Row],[ordered_units]],1,0)</f>
        <v>0</v>
      </c>
      <c r="W34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8">
        <f>ReconciliationData[[#This Row],[Billed_Units]]*ReconciliationData[[#This Row],[Billed_Price]]</f>
        <v>27892.685400000009</v>
      </c>
      <c r="Y3458">
        <f>ReconciliationData[[#This Row],[ordered_units]]*ReconciliationData[[#This Row],[List_Price]]</f>
        <v>27892.685400000009</v>
      </c>
      <c r="Z3458">
        <f>ReconciliationData[[#This Row],[billed_revenue]]-ReconciliationData[[#This Row],[expected_revenue]]</f>
        <v>0</v>
      </c>
      <c r="AA34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8" t="str">
        <f>IF(ReconciliationData[[#This Row],[severity_score]]=0,"LOW",
 IF(ReconciliationData[[#This Row],[severity_score]]&lt;=5,"MEDIUM","HIGH"))</f>
        <v>LOW</v>
      </c>
      <c r="AC3458" t="str">
        <f>TEXT(ReconciliationData[[#This Row],[Order_Date]],"YYYY-MM")</f>
        <v>2024-03</v>
      </c>
    </row>
    <row r="3459" spans="1:29">
      <c r="A3459" t="s">
        <v>8136</v>
      </c>
      <c r="B3459" s="1">
        <v>45481</v>
      </c>
      <c r="C3459" t="s">
        <v>290</v>
      </c>
      <c r="D3459" t="s">
        <v>628</v>
      </c>
      <c r="E3459">
        <v>29</v>
      </c>
      <c r="F3459" t="s">
        <v>8137</v>
      </c>
      <c r="G3459">
        <v>29</v>
      </c>
      <c r="H3459">
        <v>322.71780000000001</v>
      </c>
      <c r="N3459">
        <v>322.71780000000001</v>
      </c>
      <c r="O3459" s="1">
        <v>45169</v>
      </c>
      <c r="P3459">
        <f>IF(ISBLANK(ReconciliationData[[#This Row],[Invoice_ID]]),1,0)</f>
        <v>0</v>
      </c>
      <c r="Q3459">
        <f>IF(AND(NOT(ISBLANK(ReconciliationData[[#This Row],[Billed_Units]])),ReconciliationData[[#This Row],[ordered_units]]&lt;&gt;ReconciliationData[[#This Row],[Billed_Units]]),1,0)</f>
        <v>0</v>
      </c>
      <c r="R34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59">
        <f>IF(AND(NOT(ISBLANK(ReconciliationData[[#This Row],[Contract_Price]])),ReconciliationData[[#This Row],[Billed_Price]]&lt;&gt;ReconciliationData[[#This Row],[Contract_Price]]),1,0)</f>
        <v>0</v>
      </c>
      <c r="T3459">
        <f>IF(AND(NOT(ISBLANK(ReconciliationData[[#This Row],[End_Date]])),ReconciliationData[[#This Row],[Order_Date]]&gt;ReconciliationData[[#This Row],[End_Date]]),1,0)</f>
        <v>0</v>
      </c>
      <c r="U3459">
        <f>IF(AND(NOT(ISBLANK(ReconciliationData[[#This Row],[last_return_date]])),ReconciliationData[[#This Row],[last_return_date]]&gt;ReconciliationData[[#This Row],[Order_Date]]+60),1,0)</f>
        <v>0</v>
      </c>
      <c r="V3459">
        <f>IF(ReconciliationData[[#This Row],[total_returned_units]]&gt;ReconciliationData[[#This Row],[ordered_units]],1,0)</f>
        <v>0</v>
      </c>
      <c r="W34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59">
        <f>ReconciliationData[[#This Row],[Billed_Units]]*ReconciliationData[[#This Row],[Billed_Price]]</f>
        <v>9358.8162000000011</v>
      </c>
      <c r="Y3459">
        <f>ReconciliationData[[#This Row],[ordered_units]]*ReconciliationData[[#This Row],[List_Price]]</f>
        <v>9358.8162000000011</v>
      </c>
      <c r="Z3459">
        <f>ReconciliationData[[#This Row],[billed_revenue]]-ReconciliationData[[#This Row],[expected_revenue]]</f>
        <v>0</v>
      </c>
      <c r="AA34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59" t="str">
        <f>IF(ReconciliationData[[#This Row],[severity_score]]=0,"LOW",
 IF(ReconciliationData[[#This Row],[severity_score]]&lt;=5,"MEDIUM","HIGH"))</f>
        <v>LOW</v>
      </c>
      <c r="AC3459" t="str">
        <f>TEXT(ReconciliationData[[#This Row],[Order_Date]],"YYYY-MM")</f>
        <v>2024-07</v>
      </c>
    </row>
    <row r="3460" spans="1:29">
      <c r="A3460" t="s">
        <v>8138</v>
      </c>
      <c r="B3460" s="1">
        <v>45065</v>
      </c>
      <c r="C3460" t="s">
        <v>2701</v>
      </c>
      <c r="D3460" t="s">
        <v>2489</v>
      </c>
      <c r="E3460">
        <v>8</v>
      </c>
      <c r="F3460" t="s">
        <v>8139</v>
      </c>
      <c r="G3460">
        <v>8</v>
      </c>
      <c r="H3460">
        <v>517.27499999999998</v>
      </c>
      <c r="N3460">
        <v>517.27499999999998</v>
      </c>
      <c r="O3460" s="1">
        <v>44769</v>
      </c>
      <c r="P3460">
        <f>IF(ISBLANK(ReconciliationData[[#This Row],[Invoice_ID]]),1,0)</f>
        <v>0</v>
      </c>
      <c r="Q3460">
        <f>IF(AND(NOT(ISBLANK(ReconciliationData[[#This Row],[Billed_Units]])),ReconciliationData[[#This Row],[ordered_units]]&lt;&gt;ReconciliationData[[#This Row],[Billed_Units]]),1,0)</f>
        <v>0</v>
      </c>
      <c r="R34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0">
        <f>IF(AND(NOT(ISBLANK(ReconciliationData[[#This Row],[Contract_Price]])),ReconciliationData[[#This Row],[Billed_Price]]&lt;&gt;ReconciliationData[[#This Row],[Contract_Price]]),1,0)</f>
        <v>0</v>
      </c>
      <c r="T3460">
        <f>IF(AND(NOT(ISBLANK(ReconciliationData[[#This Row],[End_Date]])),ReconciliationData[[#This Row],[Order_Date]]&gt;ReconciliationData[[#This Row],[End_Date]]),1,0)</f>
        <v>0</v>
      </c>
      <c r="U3460">
        <f>IF(AND(NOT(ISBLANK(ReconciliationData[[#This Row],[last_return_date]])),ReconciliationData[[#This Row],[last_return_date]]&gt;ReconciliationData[[#This Row],[Order_Date]]+60),1,0)</f>
        <v>0</v>
      </c>
      <c r="V3460">
        <f>IF(ReconciliationData[[#This Row],[total_returned_units]]&gt;ReconciliationData[[#This Row],[ordered_units]],1,0)</f>
        <v>0</v>
      </c>
      <c r="W34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0">
        <f>ReconciliationData[[#This Row],[Billed_Units]]*ReconciliationData[[#This Row],[Billed_Price]]</f>
        <v>4138.2</v>
      </c>
      <c r="Y3460">
        <f>ReconciliationData[[#This Row],[ordered_units]]*ReconciliationData[[#This Row],[List_Price]]</f>
        <v>4138.2</v>
      </c>
      <c r="Z3460">
        <f>ReconciliationData[[#This Row],[billed_revenue]]-ReconciliationData[[#This Row],[expected_revenue]]</f>
        <v>0</v>
      </c>
      <c r="AA34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0" t="str">
        <f>IF(ReconciliationData[[#This Row],[severity_score]]=0,"LOW",
 IF(ReconciliationData[[#This Row],[severity_score]]&lt;=5,"MEDIUM","HIGH"))</f>
        <v>LOW</v>
      </c>
      <c r="AC3460" t="str">
        <f>TEXT(ReconciliationData[[#This Row],[Order_Date]],"YYYY-MM")</f>
        <v>2023-05</v>
      </c>
    </row>
    <row r="3461" spans="1:29">
      <c r="A3461" t="s">
        <v>8140</v>
      </c>
      <c r="B3461" s="1">
        <v>45260</v>
      </c>
      <c r="C3461" t="s">
        <v>5075</v>
      </c>
      <c r="D3461" t="s">
        <v>479</v>
      </c>
      <c r="E3461">
        <v>19</v>
      </c>
      <c r="F3461" t="s">
        <v>8141</v>
      </c>
      <c r="G3461">
        <v>19</v>
      </c>
      <c r="H3461">
        <v>1014.5718000000001</v>
      </c>
      <c r="N3461">
        <v>1014.5718000000001</v>
      </c>
      <c r="O3461" s="1">
        <v>45035</v>
      </c>
      <c r="P3461">
        <f>IF(ISBLANK(ReconciliationData[[#This Row],[Invoice_ID]]),1,0)</f>
        <v>0</v>
      </c>
      <c r="Q3461">
        <f>IF(AND(NOT(ISBLANK(ReconciliationData[[#This Row],[Billed_Units]])),ReconciliationData[[#This Row],[ordered_units]]&lt;&gt;ReconciliationData[[#This Row],[Billed_Units]]),1,0)</f>
        <v>0</v>
      </c>
      <c r="R34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1">
        <f>IF(AND(NOT(ISBLANK(ReconciliationData[[#This Row],[Contract_Price]])),ReconciliationData[[#This Row],[Billed_Price]]&lt;&gt;ReconciliationData[[#This Row],[Contract_Price]]),1,0)</f>
        <v>0</v>
      </c>
      <c r="T3461">
        <f>IF(AND(NOT(ISBLANK(ReconciliationData[[#This Row],[End_Date]])),ReconciliationData[[#This Row],[Order_Date]]&gt;ReconciliationData[[#This Row],[End_Date]]),1,0)</f>
        <v>0</v>
      </c>
      <c r="U3461">
        <f>IF(AND(NOT(ISBLANK(ReconciliationData[[#This Row],[last_return_date]])),ReconciliationData[[#This Row],[last_return_date]]&gt;ReconciliationData[[#This Row],[Order_Date]]+60),1,0)</f>
        <v>0</v>
      </c>
      <c r="V3461">
        <f>IF(ReconciliationData[[#This Row],[total_returned_units]]&gt;ReconciliationData[[#This Row],[ordered_units]],1,0)</f>
        <v>0</v>
      </c>
      <c r="W34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1">
        <f>ReconciliationData[[#This Row],[Billed_Units]]*ReconciliationData[[#This Row],[Billed_Price]]</f>
        <v>19276.8642</v>
      </c>
      <c r="Y3461">
        <f>ReconciliationData[[#This Row],[ordered_units]]*ReconciliationData[[#This Row],[List_Price]]</f>
        <v>19276.8642</v>
      </c>
      <c r="Z3461">
        <f>ReconciliationData[[#This Row],[billed_revenue]]-ReconciliationData[[#This Row],[expected_revenue]]</f>
        <v>0</v>
      </c>
      <c r="AA34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1" t="str">
        <f>IF(ReconciliationData[[#This Row],[severity_score]]=0,"LOW",
 IF(ReconciliationData[[#This Row],[severity_score]]&lt;=5,"MEDIUM","HIGH"))</f>
        <v>LOW</v>
      </c>
      <c r="AC3461" t="str">
        <f>TEXT(ReconciliationData[[#This Row],[Order_Date]],"YYYY-MM")</f>
        <v>2023-11</v>
      </c>
    </row>
    <row r="3462" spans="1:29">
      <c r="A3462" t="s">
        <v>8142</v>
      </c>
      <c r="B3462" s="1">
        <v>45022</v>
      </c>
      <c r="C3462" t="s">
        <v>2940</v>
      </c>
      <c r="D3462" t="s">
        <v>604</v>
      </c>
      <c r="E3462">
        <v>159</v>
      </c>
      <c r="F3462" t="s">
        <v>8143</v>
      </c>
      <c r="G3462">
        <v>159</v>
      </c>
      <c r="H3462">
        <v>1083.5958000000001</v>
      </c>
      <c r="N3462">
        <v>1083.5958000000001</v>
      </c>
      <c r="O3462" s="1">
        <v>44773</v>
      </c>
      <c r="P3462">
        <f>IF(ISBLANK(ReconciliationData[[#This Row],[Invoice_ID]]),1,0)</f>
        <v>0</v>
      </c>
      <c r="Q3462">
        <f>IF(AND(NOT(ISBLANK(ReconciliationData[[#This Row],[Billed_Units]])),ReconciliationData[[#This Row],[ordered_units]]&lt;&gt;ReconciliationData[[#This Row],[Billed_Units]]),1,0)</f>
        <v>0</v>
      </c>
      <c r="R34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2">
        <f>IF(AND(NOT(ISBLANK(ReconciliationData[[#This Row],[Contract_Price]])),ReconciliationData[[#This Row],[Billed_Price]]&lt;&gt;ReconciliationData[[#This Row],[Contract_Price]]),1,0)</f>
        <v>0</v>
      </c>
      <c r="T3462">
        <f>IF(AND(NOT(ISBLANK(ReconciliationData[[#This Row],[End_Date]])),ReconciliationData[[#This Row],[Order_Date]]&gt;ReconciliationData[[#This Row],[End_Date]]),1,0)</f>
        <v>0</v>
      </c>
      <c r="U3462">
        <f>IF(AND(NOT(ISBLANK(ReconciliationData[[#This Row],[last_return_date]])),ReconciliationData[[#This Row],[last_return_date]]&gt;ReconciliationData[[#This Row],[Order_Date]]+60),1,0)</f>
        <v>0</v>
      </c>
      <c r="V3462">
        <f>IF(ReconciliationData[[#This Row],[total_returned_units]]&gt;ReconciliationData[[#This Row],[ordered_units]],1,0)</f>
        <v>0</v>
      </c>
      <c r="W34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2">
        <f>ReconciliationData[[#This Row],[Billed_Units]]*ReconciliationData[[#This Row],[Billed_Price]]</f>
        <v>172291.7322</v>
      </c>
      <c r="Y3462">
        <f>ReconciliationData[[#This Row],[ordered_units]]*ReconciliationData[[#This Row],[List_Price]]</f>
        <v>172291.7322</v>
      </c>
      <c r="Z3462">
        <f>ReconciliationData[[#This Row],[billed_revenue]]-ReconciliationData[[#This Row],[expected_revenue]]</f>
        <v>0</v>
      </c>
      <c r="AA34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2" t="str">
        <f>IF(ReconciliationData[[#This Row],[severity_score]]=0,"LOW",
 IF(ReconciliationData[[#This Row],[severity_score]]&lt;=5,"MEDIUM","HIGH"))</f>
        <v>LOW</v>
      </c>
      <c r="AC3462" t="str">
        <f>TEXT(ReconciliationData[[#This Row],[Order_Date]],"YYYY-MM")</f>
        <v>2023-04</v>
      </c>
    </row>
    <row r="3463" spans="1:29">
      <c r="A3463" t="s">
        <v>8144</v>
      </c>
      <c r="B3463" s="1">
        <v>45144</v>
      </c>
      <c r="C3463" t="s">
        <v>555</v>
      </c>
      <c r="D3463" t="s">
        <v>1050</v>
      </c>
      <c r="E3463">
        <v>113</v>
      </c>
      <c r="F3463" t="s">
        <v>8145</v>
      </c>
      <c r="G3463">
        <v>113</v>
      </c>
      <c r="H3463">
        <v>575.53650000000005</v>
      </c>
      <c r="N3463">
        <v>575.53650000000005</v>
      </c>
      <c r="O3463" s="1">
        <v>44800</v>
      </c>
      <c r="P3463">
        <f>IF(ISBLANK(ReconciliationData[[#This Row],[Invoice_ID]]),1,0)</f>
        <v>0</v>
      </c>
      <c r="Q3463">
        <f>IF(AND(NOT(ISBLANK(ReconciliationData[[#This Row],[Billed_Units]])),ReconciliationData[[#This Row],[ordered_units]]&lt;&gt;ReconciliationData[[#This Row],[Billed_Units]]),1,0)</f>
        <v>0</v>
      </c>
      <c r="R34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3">
        <f>IF(AND(NOT(ISBLANK(ReconciliationData[[#This Row],[Contract_Price]])),ReconciliationData[[#This Row],[Billed_Price]]&lt;&gt;ReconciliationData[[#This Row],[Contract_Price]]),1,0)</f>
        <v>0</v>
      </c>
      <c r="T3463">
        <f>IF(AND(NOT(ISBLANK(ReconciliationData[[#This Row],[End_Date]])),ReconciliationData[[#This Row],[Order_Date]]&gt;ReconciliationData[[#This Row],[End_Date]]),1,0)</f>
        <v>0</v>
      </c>
      <c r="U3463">
        <f>IF(AND(NOT(ISBLANK(ReconciliationData[[#This Row],[last_return_date]])),ReconciliationData[[#This Row],[last_return_date]]&gt;ReconciliationData[[#This Row],[Order_Date]]+60),1,0)</f>
        <v>0</v>
      </c>
      <c r="V3463">
        <f>IF(ReconciliationData[[#This Row],[total_returned_units]]&gt;ReconciliationData[[#This Row],[ordered_units]],1,0)</f>
        <v>0</v>
      </c>
      <c r="W34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3">
        <f>ReconciliationData[[#This Row],[Billed_Units]]*ReconciliationData[[#This Row],[Billed_Price]]</f>
        <v>65035.624500000005</v>
      </c>
      <c r="Y3463">
        <f>ReconciliationData[[#This Row],[ordered_units]]*ReconciliationData[[#This Row],[List_Price]]</f>
        <v>65035.624500000005</v>
      </c>
      <c r="Z3463">
        <f>ReconciliationData[[#This Row],[billed_revenue]]-ReconciliationData[[#This Row],[expected_revenue]]</f>
        <v>0</v>
      </c>
      <c r="AA34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3" t="str">
        <f>IF(ReconciliationData[[#This Row],[severity_score]]=0,"LOW",
 IF(ReconciliationData[[#This Row],[severity_score]]&lt;=5,"MEDIUM","HIGH"))</f>
        <v>LOW</v>
      </c>
      <c r="AC3463" t="str">
        <f>TEXT(ReconciliationData[[#This Row],[Order_Date]],"YYYY-MM")</f>
        <v>2023-08</v>
      </c>
    </row>
    <row r="3464" spans="1:29">
      <c r="A3464" t="s">
        <v>8146</v>
      </c>
      <c r="B3464" s="1">
        <v>44987</v>
      </c>
      <c r="C3464" t="s">
        <v>5082</v>
      </c>
      <c r="D3464" t="s">
        <v>585</v>
      </c>
      <c r="E3464">
        <v>11</v>
      </c>
      <c r="F3464" t="s">
        <v>8147</v>
      </c>
      <c r="G3464">
        <v>11</v>
      </c>
      <c r="H3464">
        <v>907.18650000000002</v>
      </c>
      <c r="N3464">
        <v>907.18650000000002</v>
      </c>
      <c r="O3464" s="1">
        <v>44987</v>
      </c>
      <c r="P3464">
        <f>IF(ISBLANK(ReconciliationData[[#This Row],[Invoice_ID]]),1,0)</f>
        <v>0</v>
      </c>
      <c r="Q3464">
        <f>IF(AND(NOT(ISBLANK(ReconciliationData[[#This Row],[Billed_Units]])),ReconciliationData[[#This Row],[ordered_units]]&lt;&gt;ReconciliationData[[#This Row],[Billed_Units]]),1,0)</f>
        <v>0</v>
      </c>
      <c r="R34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4">
        <f>IF(AND(NOT(ISBLANK(ReconciliationData[[#This Row],[Contract_Price]])),ReconciliationData[[#This Row],[Billed_Price]]&lt;&gt;ReconciliationData[[#This Row],[Contract_Price]]),1,0)</f>
        <v>0</v>
      </c>
      <c r="T3464">
        <f>IF(AND(NOT(ISBLANK(ReconciliationData[[#This Row],[End_Date]])),ReconciliationData[[#This Row],[Order_Date]]&gt;ReconciliationData[[#This Row],[End_Date]]),1,0)</f>
        <v>0</v>
      </c>
      <c r="U3464">
        <f>IF(AND(NOT(ISBLANK(ReconciliationData[[#This Row],[last_return_date]])),ReconciliationData[[#This Row],[last_return_date]]&gt;ReconciliationData[[#This Row],[Order_Date]]+60),1,0)</f>
        <v>0</v>
      </c>
      <c r="V3464">
        <f>IF(ReconciliationData[[#This Row],[total_returned_units]]&gt;ReconciliationData[[#This Row],[ordered_units]],1,0)</f>
        <v>0</v>
      </c>
      <c r="W34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4">
        <f>ReconciliationData[[#This Row],[Billed_Units]]*ReconciliationData[[#This Row],[Billed_Price]]</f>
        <v>9979.0514999999996</v>
      </c>
      <c r="Y3464">
        <f>ReconciliationData[[#This Row],[ordered_units]]*ReconciliationData[[#This Row],[List_Price]]</f>
        <v>9979.0514999999996</v>
      </c>
      <c r="Z3464">
        <f>ReconciliationData[[#This Row],[billed_revenue]]-ReconciliationData[[#This Row],[expected_revenue]]</f>
        <v>0</v>
      </c>
      <c r="AA34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4" t="str">
        <f>IF(ReconciliationData[[#This Row],[severity_score]]=0,"LOW",
 IF(ReconciliationData[[#This Row],[severity_score]]&lt;=5,"MEDIUM","HIGH"))</f>
        <v>LOW</v>
      </c>
      <c r="AC3464" t="str">
        <f>TEXT(ReconciliationData[[#This Row],[Order_Date]],"YYYY-MM")</f>
        <v>2023-03</v>
      </c>
    </row>
    <row r="3465" spans="1:29">
      <c r="A3465" t="s">
        <v>8148</v>
      </c>
      <c r="B3465" s="1">
        <v>44988</v>
      </c>
      <c r="C3465" t="s">
        <v>2258</v>
      </c>
      <c r="D3465" t="s">
        <v>404</v>
      </c>
      <c r="E3465">
        <v>40</v>
      </c>
      <c r="F3465" t="s">
        <v>8149</v>
      </c>
      <c r="G3465">
        <v>40</v>
      </c>
      <c r="H3465">
        <v>1129.6166000000001</v>
      </c>
      <c r="N3465">
        <v>1129.6166000000001</v>
      </c>
      <c r="O3465" s="1">
        <v>44960</v>
      </c>
      <c r="P3465">
        <f>IF(ISBLANK(ReconciliationData[[#This Row],[Invoice_ID]]),1,0)</f>
        <v>0</v>
      </c>
      <c r="Q3465">
        <f>IF(AND(NOT(ISBLANK(ReconciliationData[[#This Row],[Billed_Units]])),ReconciliationData[[#This Row],[ordered_units]]&lt;&gt;ReconciliationData[[#This Row],[Billed_Units]]),1,0)</f>
        <v>0</v>
      </c>
      <c r="R34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5">
        <f>IF(AND(NOT(ISBLANK(ReconciliationData[[#This Row],[Contract_Price]])),ReconciliationData[[#This Row],[Billed_Price]]&lt;&gt;ReconciliationData[[#This Row],[Contract_Price]]),1,0)</f>
        <v>0</v>
      </c>
      <c r="T3465">
        <f>IF(AND(NOT(ISBLANK(ReconciliationData[[#This Row],[End_Date]])),ReconciliationData[[#This Row],[Order_Date]]&gt;ReconciliationData[[#This Row],[End_Date]]),1,0)</f>
        <v>0</v>
      </c>
      <c r="U3465">
        <f>IF(AND(NOT(ISBLANK(ReconciliationData[[#This Row],[last_return_date]])),ReconciliationData[[#This Row],[last_return_date]]&gt;ReconciliationData[[#This Row],[Order_Date]]+60),1,0)</f>
        <v>0</v>
      </c>
      <c r="V3465">
        <f>IF(ReconciliationData[[#This Row],[total_returned_units]]&gt;ReconciliationData[[#This Row],[ordered_units]],1,0)</f>
        <v>0</v>
      </c>
      <c r="W34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5">
        <f>ReconciliationData[[#This Row],[Billed_Units]]*ReconciliationData[[#This Row],[Billed_Price]]</f>
        <v>45184.664000000004</v>
      </c>
      <c r="Y3465">
        <f>ReconciliationData[[#This Row],[ordered_units]]*ReconciliationData[[#This Row],[List_Price]]</f>
        <v>45184.664000000004</v>
      </c>
      <c r="Z3465">
        <f>ReconciliationData[[#This Row],[billed_revenue]]-ReconciliationData[[#This Row],[expected_revenue]]</f>
        <v>0</v>
      </c>
      <c r="AA34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5" t="str">
        <f>IF(ReconciliationData[[#This Row],[severity_score]]=0,"LOW",
 IF(ReconciliationData[[#This Row],[severity_score]]&lt;=5,"MEDIUM","HIGH"))</f>
        <v>LOW</v>
      </c>
      <c r="AC3465" t="str">
        <f>TEXT(ReconciliationData[[#This Row],[Order_Date]],"YYYY-MM")</f>
        <v>2023-03</v>
      </c>
    </row>
    <row r="3466" spans="1:29">
      <c r="A3466" t="s">
        <v>8150</v>
      </c>
      <c r="B3466" s="1">
        <v>45487</v>
      </c>
      <c r="C3466" t="s">
        <v>1579</v>
      </c>
      <c r="D3466" t="s">
        <v>1071</v>
      </c>
      <c r="E3466">
        <v>170</v>
      </c>
      <c r="F3466" t="s">
        <v>8151</v>
      </c>
      <c r="G3466">
        <v>170</v>
      </c>
      <c r="H3466">
        <v>335.39150000000001</v>
      </c>
      <c r="N3466">
        <v>335.39150000000001</v>
      </c>
      <c r="O3466" s="1">
        <v>45151</v>
      </c>
      <c r="P3466">
        <f>IF(ISBLANK(ReconciliationData[[#This Row],[Invoice_ID]]),1,0)</f>
        <v>0</v>
      </c>
      <c r="Q3466">
        <f>IF(AND(NOT(ISBLANK(ReconciliationData[[#This Row],[Billed_Units]])),ReconciliationData[[#This Row],[ordered_units]]&lt;&gt;ReconciliationData[[#This Row],[Billed_Units]]),1,0)</f>
        <v>0</v>
      </c>
      <c r="R34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6">
        <f>IF(AND(NOT(ISBLANK(ReconciliationData[[#This Row],[Contract_Price]])),ReconciliationData[[#This Row],[Billed_Price]]&lt;&gt;ReconciliationData[[#This Row],[Contract_Price]]),1,0)</f>
        <v>0</v>
      </c>
      <c r="T3466">
        <f>IF(AND(NOT(ISBLANK(ReconciliationData[[#This Row],[End_Date]])),ReconciliationData[[#This Row],[Order_Date]]&gt;ReconciliationData[[#This Row],[End_Date]]),1,0)</f>
        <v>0</v>
      </c>
      <c r="U3466">
        <f>IF(AND(NOT(ISBLANK(ReconciliationData[[#This Row],[last_return_date]])),ReconciliationData[[#This Row],[last_return_date]]&gt;ReconciliationData[[#This Row],[Order_Date]]+60),1,0)</f>
        <v>0</v>
      </c>
      <c r="V3466">
        <f>IF(ReconciliationData[[#This Row],[total_returned_units]]&gt;ReconciliationData[[#This Row],[ordered_units]],1,0)</f>
        <v>0</v>
      </c>
      <c r="W34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6">
        <f>ReconciliationData[[#This Row],[Billed_Units]]*ReconciliationData[[#This Row],[Billed_Price]]</f>
        <v>57016.555</v>
      </c>
      <c r="Y3466">
        <f>ReconciliationData[[#This Row],[ordered_units]]*ReconciliationData[[#This Row],[List_Price]]</f>
        <v>57016.555</v>
      </c>
      <c r="Z3466">
        <f>ReconciliationData[[#This Row],[billed_revenue]]-ReconciliationData[[#This Row],[expected_revenue]]</f>
        <v>0</v>
      </c>
      <c r="AA34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6" t="str">
        <f>IF(ReconciliationData[[#This Row],[severity_score]]=0,"LOW",
 IF(ReconciliationData[[#This Row],[severity_score]]&lt;=5,"MEDIUM","HIGH"))</f>
        <v>LOW</v>
      </c>
      <c r="AC3466" t="str">
        <f>TEXT(ReconciliationData[[#This Row],[Order_Date]],"YYYY-MM")</f>
        <v>2024-07</v>
      </c>
    </row>
    <row r="3467" spans="1:29">
      <c r="A3467" t="s">
        <v>8152</v>
      </c>
      <c r="B3467" s="1">
        <v>45585</v>
      </c>
      <c r="C3467" t="s">
        <v>6516</v>
      </c>
      <c r="D3467" t="s">
        <v>1933</v>
      </c>
      <c r="E3467">
        <v>58</v>
      </c>
      <c r="F3467" t="s">
        <v>8153</v>
      </c>
      <c r="G3467">
        <v>58</v>
      </c>
      <c r="H3467">
        <v>571.49840000000006</v>
      </c>
      <c r="N3467">
        <v>571.49840000000006</v>
      </c>
      <c r="O3467" s="1">
        <v>45071</v>
      </c>
      <c r="P3467">
        <f>IF(ISBLANK(ReconciliationData[[#This Row],[Invoice_ID]]),1,0)</f>
        <v>0</v>
      </c>
      <c r="Q3467">
        <f>IF(AND(NOT(ISBLANK(ReconciliationData[[#This Row],[Billed_Units]])),ReconciliationData[[#This Row],[ordered_units]]&lt;&gt;ReconciliationData[[#This Row],[Billed_Units]]),1,0)</f>
        <v>0</v>
      </c>
      <c r="R34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7">
        <f>IF(AND(NOT(ISBLANK(ReconciliationData[[#This Row],[Contract_Price]])),ReconciliationData[[#This Row],[Billed_Price]]&lt;&gt;ReconciliationData[[#This Row],[Contract_Price]]),1,0)</f>
        <v>0</v>
      </c>
      <c r="T3467">
        <f>IF(AND(NOT(ISBLANK(ReconciliationData[[#This Row],[End_Date]])),ReconciliationData[[#This Row],[Order_Date]]&gt;ReconciliationData[[#This Row],[End_Date]]),1,0)</f>
        <v>0</v>
      </c>
      <c r="U3467">
        <f>IF(AND(NOT(ISBLANK(ReconciliationData[[#This Row],[last_return_date]])),ReconciliationData[[#This Row],[last_return_date]]&gt;ReconciliationData[[#This Row],[Order_Date]]+60),1,0)</f>
        <v>0</v>
      </c>
      <c r="V3467">
        <f>IF(ReconciliationData[[#This Row],[total_returned_units]]&gt;ReconciliationData[[#This Row],[ordered_units]],1,0)</f>
        <v>0</v>
      </c>
      <c r="W34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7">
        <f>ReconciliationData[[#This Row],[Billed_Units]]*ReconciliationData[[#This Row],[Billed_Price]]</f>
        <v>33146.907200000001</v>
      </c>
      <c r="Y3467">
        <f>ReconciliationData[[#This Row],[ordered_units]]*ReconciliationData[[#This Row],[List_Price]]</f>
        <v>33146.907200000001</v>
      </c>
      <c r="Z3467">
        <f>ReconciliationData[[#This Row],[billed_revenue]]-ReconciliationData[[#This Row],[expected_revenue]]</f>
        <v>0</v>
      </c>
      <c r="AA34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7" t="str">
        <f>IF(ReconciliationData[[#This Row],[severity_score]]=0,"LOW",
 IF(ReconciliationData[[#This Row],[severity_score]]&lt;=5,"MEDIUM","HIGH"))</f>
        <v>LOW</v>
      </c>
      <c r="AC3467" t="str">
        <f>TEXT(ReconciliationData[[#This Row],[Order_Date]],"YYYY-MM")</f>
        <v>2024-10</v>
      </c>
    </row>
    <row r="3468" spans="1:29">
      <c r="A3468" t="s">
        <v>8154</v>
      </c>
      <c r="B3468" s="1">
        <v>45106</v>
      </c>
      <c r="C3468" t="s">
        <v>8155</v>
      </c>
      <c r="D3468" t="s">
        <v>1245</v>
      </c>
      <c r="E3468">
        <v>153</v>
      </c>
      <c r="F3468" t="s">
        <v>8156</v>
      </c>
      <c r="G3468">
        <v>153</v>
      </c>
      <c r="H3468">
        <v>247.48920000000001</v>
      </c>
      <c r="I3468">
        <v>14</v>
      </c>
      <c r="J3468" s="1">
        <v>45049</v>
      </c>
      <c r="N3468">
        <v>247.48920000000001</v>
      </c>
      <c r="O3468" s="1">
        <v>45088</v>
      </c>
      <c r="P3468">
        <f>IF(ISBLANK(ReconciliationData[[#This Row],[Invoice_ID]]),1,0)</f>
        <v>0</v>
      </c>
      <c r="Q3468">
        <f>IF(AND(NOT(ISBLANK(ReconciliationData[[#This Row],[Billed_Units]])),ReconciliationData[[#This Row],[ordered_units]]&lt;&gt;ReconciliationData[[#This Row],[Billed_Units]]),1,0)</f>
        <v>0</v>
      </c>
      <c r="R34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8">
        <f>IF(AND(NOT(ISBLANK(ReconciliationData[[#This Row],[Contract_Price]])),ReconciliationData[[#This Row],[Billed_Price]]&lt;&gt;ReconciliationData[[#This Row],[Contract_Price]]),1,0)</f>
        <v>0</v>
      </c>
      <c r="T3468">
        <f>IF(AND(NOT(ISBLANK(ReconciliationData[[#This Row],[End_Date]])),ReconciliationData[[#This Row],[Order_Date]]&gt;ReconciliationData[[#This Row],[End_Date]]),1,0)</f>
        <v>0</v>
      </c>
      <c r="U3468">
        <f>IF(AND(NOT(ISBLANK(ReconciliationData[[#This Row],[last_return_date]])),ReconciliationData[[#This Row],[last_return_date]]&gt;ReconciliationData[[#This Row],[Order_Date]]+60),1,0)</f>
        <v>0</v>
      </c>
      <c r="V3468">
        <f>IF(ReconciliationData[[#This Row],[total_returned_units]]&gt;ReconciliationData[[#This Row],[ordered_units]],1,0)</f>
        <v>0</v>
      </c>
      <c r="W34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8">
        <f>ReconciliationData[[#This Row],[Billed_Units]]*ReconciliationData[[#This Row],[Billed_Price]]</f>
        <v>37865.847600000001</v>
      </c>
      <c r="Y3468">
        <f>ReconciliationData[[#This Row],[ordered_units]]*ReconciliationData[[#This Row],[List_Price]]</f>
        <v>37865.847600000001</v>
      </c>
      <c r="Z3468">
        <f>ReconciliationData[[#This Row],[billed_revenue]]-ReconciliationData[[#This Row],[expected_revenue]]</f>
        <v>0</v>
      </c>
      <c r="AA34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8" t="str">
        <f>IF(ReconciliationData[[#This Row],[severity_score]]=0,"LOW",
 IF(ReconciliationData[[#This Row],[severity_score]]&lt;=5,"MEDIUM","HIGH"))</f>
        <v>LOW</v>
      </c>
      <c r="AC3468" t="str">
        <f>TEXT(ReconciliationData[[#This Row],[Order_Date]],"YYYY-MM")</f>
        <v>2023-06</v>
      </c>
    </row>
    <row r="3469" spans="1:29">
      <c r="A3469" t="s">
        <v>8157</v>
      </c>
      <c r="B3469" s="1">
        <v>45335</v>
      </c>
      <c r="C3469" t="s">
        <v>2494</v>
      </c>
      <c r="D3469" t="s">
        <v>3297</v>
      </c>
      <c r="E3469">
        <v>64</v>
      </c>
      <c r="F3469" t="s">
        <v>8158</v>
      </c>
      <c r="G3469">
        <v>64</v>
      </c>
      <c r="H3469">
        <v>933.43190000000004</v>
      </c>
      <c r="N3469">
        <v>933.43190000000004</v>
      </c>
      <c r="O3469" s="1">
        <v>45011</v>
      </c>
      <c r="P3469">
        <f>IF(ISBLANK(ReconciliationData[[#This Row],[Invoice_ID]]),1,0)</f>
        <v>0</v>
      </c>
      <c r="Q3469">
        <f>IF(AND(NOT(ISBLANK(ReconciliationData[[#This Row],[Billed_Units]])),ReconciliationData[[#This Row],[ordered_units]]&lt;&gt;ReconciliationData[[#This Row],[Billed_Units]]),1,0)</f>
        <v>0</v>
      </c>
      <c r="R34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69">
        <f>IF(AND(NOT(ISBLANK(ReconciliationData[[#This Row],[Contract_Price]])),ReconciliationData[[#This Row],[Billed_Price]]&lt;&gt;ReconciliationData[[#This Row],[Contract_Price]]),1,0)</f>
        <v>0</v>
      </c>
      <c r="T3469">
        <f>IF(AND(NOT(ISBLANK(ReconciliationData[[#This Row],[End_Date]])),ReconciliationData[[#This Row],[Order_Date]]&gt;ReconciliationData[[#This Row],[End_Date]]),1,0)</f>
        <v>0</v>
      </c>
      <c r="U3469">
        <f>IF(AND(NOT(ISBLANK(ReconciliationData[[#This Row],[last_return_date]])),ReconciliationData[[#This Row],[last_return_date]]&gt;ReconciliationData[[#This Row],[Order_Date]]+60),1,0)</f>
        <v>0</v>
      </c>
      <c r="V3469">
        <f>IF(ReconciliationData[[#This Row],[total_returned_units]]&gt;ReconciliationData[[#This Row],[ordered_units]],1,0)</f>
        <v>0</v>
      </c>
      <c r="W34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69">
        <f>ReconciliationData[[#This Row],[Billed_Units]]*ReconciliationData[[#This Row],[Billed_Price]]</f>
        <v>59739.641600000003</v>
      </c>
      <c r="Y3469">
        <f>ReconciliationData[[#This Row],[ordered_units]]*ReconciliationData[[#This Row],[List_Price]]</f>
        <v>59739.641600000003</v>
      </c>
      <c r="Z3469">
        <f>ReconciliationData[[#This Row],[billed_revenue]]-ReconciliationData[[#This Row],[expected_revenue]]</f>
        <v>0</v>
      </c>
      <c r="AA34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69" t="str">
        <f>IF(ReconciliationData[[#This Row],[severity_score]]=0,"LOW",
 IF(ReconciliationData[[#This Row],[severity_score]]&lt;=5,"MEDIUM","HIGH"))</f>
        <v>LOW</v>
      </c>
      <c r="AC3469" t="str">
        <f>TEXT(ReconciliationData[[#This Row],[Order_Date]],"YYYY-MM")</f>
        <v>2024-02</v>
      </c>
    </row>
    <row r="3470" spans="1:29">
      <c r="A3470" t="s">
        <v>8159</v>
      </c>
      <c r="B3470" s="1">
        <v>44988</v>
      </c>
      <c r="C3470" t="s">
        <v>7908</v>
      </c>
      <c r="D3470" t="s">
        <v>2853</v>
      </c>
      <c r="E3470">
        <v>27</v>
      </c>
      <c r="F3470" t="s">
        <v>8160</v>
      </c>
      <c r="G3470">
        <v>27</v>
      </c>
      <c r="H3470">
        <v>273.00034336797461</v>
      </c>
      <c r="N3470">
        <v>272.97059999999999</v>
      </c>
      <c r="O3470" s="1">
        <v>44883</v>
      </c>
      <c r="P3470">
        <f>IF(ISBLANK(ReconciliationData[[#This Row],[Invoice_ID]]),1,0)</f>
        <v>0</v>
      </c>
      <c r="Q3470">
        <f>IF(AND(NOT(ISBLANK(ReconciliationData[[#This Row],[Billed_Units]])),ReconciliationData[[#This Row],[ordered_units]]&lt;&gt;ReconciliationData[[#This Row],[Billed_Units]]),1,0)</f>
        <v>0</v>
      </c>
      <c r="R3470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470">
        <f>IF(AND(NOT(ISBLANK(ReconciliationData[[#This Row],[Contract_Price]])),ReconciliationData[[#This Row],[Billed_Price]]&lt;&gt;ReconciliationData[[#This Row],[Contract_Price]]),1,0)</f>
        <v>0</v>
      </c>
      <c r="T3470">
        <f>IF(AND(NOT(ISBLANK(ReconciliationData[[#This Row],[End_Date]])),ReconciliationData[[#This Row],[Order_Date]]&gt;ReconciliationData[[#This Row],[End_Date]]),1,0)</f>
        <v>0</v>
      </c>
      <c r="U3470">
        <f>IF(AND(NOT(ISBLANK(ReconciliationData[[#This Row],[last_return_date]])),ReconciliationData[[#This Row],[last_return_date]]&gt;ReconciliationData[[#This Row],[Order_Date]]+60),1,0)</f>
        <v>0</v>
      </c>
      <c r="V3470">
        <f>IF(ReconciliationData[[#This Row],[total_returned_units]]&gt;ReconciliationData[[#This Row],[ordered_units]],1,0)</f>
        <v>0</v>
      </c>
      <c r="W34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470">
        <f>ReconciliationData[[#This Row],[Billed_Units]]*ReconciliationData[[#This Row],[Billed_Price]]</f>
        <v>7371.0092709353148</v>
      </c>
      <c r="Y3470">
        <f>ReconciliationData[[#This Row],[ordered_units]]*ReconciliationData[[#This Row],[List_Price]]</f>
        <v>7370.2061999999996</v>
      </c>
      <c r="Z3470">
        <f>ReconciliationData[[#This Row],[billed_revenue]]-ReconciliationData[[#This Row],[expected_revenue]]</f>
        <v>0.80307093531519058</v>
      </c>
      <c r="AA34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470" t="str">
        <f>IF(ReconciliationData[[#This Row],[severity_score]]=0,"LOW",
 IF(ReconciliationData[[#This Row],[severity_score]]&lt;=5,"MEDIUM","HIGH"))</f>
        <v>MEDIUM</v>
      </c>
      <c r="AC3470" t="str">
        <f>TEXT(ReconciliationData[[#This Row],[Order_Date]],"YYYY-MM")</f>
        <v>2023-03</v>
      </c>
    </row>
    <row r="3471" spans="1:29">
      <c r="A3471" t="s">
        <v>8161</v>
      </c>
      <c r="B3471" s="1">
        <v>45163</v>
      </c>
      <c r="C3471" t="s">
        <v>290</v>
      </c>
      <c r="D3471" t="s">
        <v>789</v>
      </c>
      <c r="E3471">
        <v>92</v>
      </c>
      <c r="F3471" t="s">
        <v>8162</v>
      </c>
      <c r="G3471">
        <v>92</v>
      </c>
      <c r="H3471">
        <v>1026.4637</v>
      </c>
      <c r="N3471">
        <v>1026.4637</v>
      </c>
      <c r="O3471" s="1">
        <v>44967</v>
      </c>
      <c r="P3471">
        <f>IF(ISBLANK(ReconciliationData[[#This Row],[Invoice_ID]]),1,0)</f>
        <v>0</v>
      </c>
      <c r="Q3471">
        <f>IF(AND(NOT(ISBLANK(ReconciliationData[[#This Row],[Billed_Units]])),ReconciliationData[[#This Row],[ordered_units]]&lt;&gt;ReconciliationData[[#This Row],[Billed_Units]]),1,0)</f>
        <v>0</v>
      </c>
      <c r="R34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71">
        <f>IF(AND(NOT(ISBLANK(ReconciliationData[[#This Row],[Contract_Price]])),ReconciliationData[[#This Row],[Billed_Price]]&lt;&gt;ReconciliationData[[#This Row],[Contract_Price]]),1,0)</f>
        <v>0</v>
      </c>
      <c r="T3471">
        <f>IF(AND(NOT(ISBLANK(ReconciliationData[[#This Row],[End_Date]])),ReconciliationData[[#This Row],[Order_Date]]&gt;ReconciliationData[[#This Row],[End_Date]]),1,0)</f>
        <v>0</v>
      </c>
      <c r="U3471">
        <f>IF(AND(NOT(ISBLANK(ReconciliationData[[#This Row],[last_return_date]])),ReconciliationData[[#This Row],[last_return_date]]&gt;ReconciliationData[[#This Row],[Order_Date]]+60),1,0)</f>
        <v>0</v>
      </c>
      <c r="V3471">
        <f>IF(ReconciliationData[[#This Row],[total_returned_units]]&gt;ReconciliationData[[#This Row],[ordered_units]],1,0)</f>
        <v>0</v>
      </c>
      <c r="W34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71">
        <f>ReconciliationData[[#This Row],[Billed_Units]]*ReconciliationData[[#This Row],[Billed_Price]]</f>
        <v>94434.660400000008</v>
      </c>
      <c r="Y3471">
        <f>ReconciliationData[[#This Row],[ordered_units]]*ReconciliationData[[#This Row],[List_Price]]</f>
        <v>94434.660400000008</v>
      </c>
      <c r="Z3471">
        <f>ReconciliationData[[#This Row],[billed_revenue]]-ReconciliationData[[#This Row],[expected_revenue]]</f>
        <v>0</v>
      </c>
      <c r="AA34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71" t="str">
        <f>IF(ReconciliationData[[#This Row],[severity_score]]=0,"LOW",
 IF(ReconciliationData[[#This Row],[severity_score]]&lt;=5,"MEDIUM","HIGH"))</f>
        <v>LOW</v>
      </c>
      <c r="AC3471" t="str">
        <f>TEXT(ReconciliationData[[#This Row],[Order_Date]],"YYYY-MM")</f>
        <v>2023-08</v>
      </c>
    </row>
    <row r="3472" spans="1:29">
      <c r="A3472" t="s">
        <v>8163</v>
      </c>
      <c r="B3472" s="1">
        <v>45393</v>
      </c>
      <c r="C3472" t="s">
        <v>2809</v>
      </c>
      <c r="D3472" t="s">
        <v>912</v>
      </c>
      <c r="E3472">
        <v>113</v>
      </c>
      <c r="F3472" t="s">
        <v>8164</v>
      </c>
      <c r="G3472">
        <v>113</v>
      </c>
      <c r="H3472">
        <v>376.38049999999998</v>
      </c>
      <c r="N3472">
        <v>376.38049999999998</v>
      </c>
      <c r="O3472" s="1">
        <v>44984</v>
      </c>
      <c r="P3472">
        <f>IF(ISBLANK(ReconciliationData[[#This Row],[Invoice_ID]]),1,0)</f>
        <v>0</v>
      </c>
      <c r="Q3472">
        <f>IF(AND(NOT(ISBLANK(ReconciliationData[[#This Row],[Billed_Units]])),ReconciliationData[[#This Row],[ordered_units]]&lt;&gt;ReconciliationData[[#This Row],[Billed_Units]]),1,0)</f>
        <v>0</v>
      </c>
      <c r="R34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72">
        <f>IF(AND(NOT(ISBLANK(ReconciliationData[[#This Row],[Contract_Price]])),ReconciliationData[[#This Row],[Billed_Price]]&lt;&gt;ReconciliationData[[#This Row],[Contract_Price]]),1,0)</f>
        <v>0</v>
      </c>
      <c r="T3472">
        <f>IF(AND(NOT(ISBLANK(ReconciliationData[[#This Row],[End_Date]])),ReconciliationData[[#This Row],[Order_Date]]&gt;ReconciliationData[[#This Row],[End_Date]]),1,0)</f>
        <v>0</v>
      </c>
      <c r="U3472">
        <f>IF(AND(NOT(ISBLANK(ReconciliationData[[#This Row],[last_return_date]])),ReconciliationData[[#This Row],[last_return_date]]&gt;ReconciliationData[[#This Row],[Order_Date]]+60),1,0)</f>
        <v>0</v>
      </c>
      <c r="V3472">
        <f>IF(ReconciliationData[[#This Row],[total_returned_units]]&gt;ReconciliationData[[#This Row],[ordered_units]],1,0)</f>
        <v>0</v>
      </c>
      <c r="W34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72">
        <f>ReconciliationData[[#This Row],[Billed_Units]]*ReconciliationData[[#This Row],[Billed_Price]]</f>
        <v>42530.996500000001</v>
      </c>
      <c r="Y3472">
        <f>ReconciliationData[[#This Row],[ordered_units]]*ReconciliationData[[#This Row],[List_Price]]</f>
        <v>42530.996500000001</v>
      </c>
      <c r="Z3472">
        <f>ReconciliationData[[#This Row],[billed_revenue]]-ReconciliationData[[#This Row],[expected_revenue]]</f>
        <v>0</v>
      </c>
      <c r="AA34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72" t="str">
        <f>IF(ReconciliationData[[#This Row],[severity_score]]=0,"LOW",
 IF(ReconciliationData[[#This Row],[severity_score]]&lt;=5,"MEDIUM","HIGH"))</f>
        <v>LOW</v>
      </c>
      <c r="AC3472" t="str">
        <f>TEXT(ReconciliationData[[#This Row],[Order_Date]],"YYYY-MM")</f>
        <v>2024-04</v>
      </c>
    </row>
    <row r="3473" spans="1:29">
      <c r="A3473" t="s">
        <v>8165</v>
      </c>
      <c r="B3473" s="1">
        <v>45509</v>
      </c>
      <c r="C3473" t="s">
        <v>3614</v>
      </c>
      <c r="D3473" t="s">
        <v>552</v>
      </c>
      <c r="E3473">
        <v>104</v>
      </c>
      <c r="F3473" t="s">
        <v>8166</v>
      </c>
      <c r="G3473">
        <v>104</v>
      </c>
      <c r="H3473">
        <v>497.98683481788726</v>
      </c>
      <c r="N3473">
        <v>497.4264</v>
      </c>
      <c r="O3473" s="1">
        <v>45212</v>
      </c>
      <c r="P3473">
        <f>IF(ISBLANK(ReconciliationData[[#This Row],[Invoice_ID]]),1,0)</f>
        <v>0</v>
      </c>
      <c r="Q3473">
        <f>IF(AND(NOT(ISBLANK(ReconciliationData[[#This Row],[Billed_Units]])),ReconciliationData[[#This Row],[ordered_units]]&lt;&gt;ReconciliationData[[#This Row],[Billed_Units]]),1,0)</f>
        <v>0</v>
      </c>
      <c r="R347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473">
        <f>IF(AND(NOT(ISBLANK(ReconciliationData[[#This Row],[Contract_Price]])),ReconciliationData[[#This Row],[Billed_Price]]&lt;&gt;ReconciliationData[[#This Row],[Contract_Price]]),1,0)</f>
        <v>0</v>
      </c>
      <c r="T3473">
        <f>IF(AND(NOT(ISBLANK(ReconciliationData[[#This Row],[End_Date]])),ReconciliationData[[#This Row],[Order_Date]]&gt;ReconciliationData[[#This Row],[End_Date]]),1,0)</f>
        <v>0</v>
      </c>
      <c r="U3473">
        <f>IF(AND(NOT(ISBLANK(ReconciliationData[[#This Row],[last_return_date]])),ReconciliationData[[#This Row],[last_return_date]]&gt;ReconciliationData[[#This Row],[Order_Date]]+60),1,0)</f>
        <v>0</v>
      </c>
      <c r="V3473">
        <f>IF(ReconciliationData[[#This Row],[total_returned_units]]&gt;ReconciliationData[[#This Row],[ordered_units]],1,0)</f>
        <v>0</v>
      </c>
      <c r="W34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473">
        <f>ReconciliationData[[#This Row],[Billed_Units]]*ReconciliationData[[#This Row],[Billed_Price]]</f>
        <v>51790.630821060273</v>
      </c>
      <c r="Y3473">
        <f>ReconciliationData[[#This Row],[ordered_units]]*ReconciliationData[[#This Row],[List_Price]]</f>
        <v>51732.345600000001</v>
      </c>
      <c r="Z3473">
        <f>ReconciliationData[[#This Row],[billed_revenue]]-ReconciliationData[[#This Row],[expected_revenue]]</f>
        <v>58.285221060272306</v>
      </c>
      <c r="AA34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473" t="str">
        <f>IF(ReconciliationData[[#This Row],[severity_score]]=0,"LOW",
 IF(ReconciliationData[[#This Row],[severity_score]]&lt;=5,"MEDIUM","HIGH"))</f>
        <v>MEDIUM</v>
      </c>
      <c r="AC3473" t="str">
        <f>TEXT(ReconciliationData[[#This Row],[Order_Date]],"YYYY-MM")</f>
        <v>2024-08</v>
      </c>
    </row>
    <row r="3474" spans="1:29">
      <c r="A3474" t="s">
        <v>8167</v>
      </c>
      <c r="B3474" s="1">
        <v>45452</v>
      </c>
      <c r="C3474" t="s">
        <v>2478</v>
      </c>
      <c r="D3474" t="s">
        <v>309</v>
      </c>
      <c r="E3474">
        <v>166</v>
      </c>
      <c r="F3474" t="s">
        <v>8168</v>
      </c>
      <c r="G3474">
        <v>166</v>
      </c>
      <c r="H3474">
        <v>946.74860000000001</v>
      </c>
      <c r="N3474">
        <v>946.74860000000001</v>
      </c>
      <c r="O3474" s="1">
        <v>45038</v>
      </c>
      <c r="P3474">
        <f>IF(ISBLANK(ReconciliationData[[#This Row],[Invoice_ID]]),1,0)</f>
        <v>0</v>
      </c>
      <c r="Q3474">
        <f>IF(AND(NOT(ISBLANK(ReconciliationData[[#This Row],[Billed_Units]])),ReconciliationData[[#This Row],[ordered_units]]&lt;&gt;ReconciliationData[[#This Row],[Billed_Units]]),1,0)</f>
        <v>0</v>
      </c>
      <c r="R34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74">
        <f>IF(AND(NOT(ISBLANK(ReconciliationData[[#This Row],[Contract_Price]])),ReconciliationData[[#This Row],[Billed_Price]]&lt;&gt;ReconciliationData[[#This Row],[Contract_Price]]),1,0)</f>
        <v>0</v>
      </c>
      <c r="T3474">
        <f>IF(AND(NOT(ISBLANK(ReconciliationData[[#This Row],[End_Date]])),ReconciliationData[[#This Row],[Order_Date]]&gt;ReconciliationData[[#This Row],[End_Date]]),1,0)</f>
        <v>0</v>
      </c>
      <c r="U3474">
        <f>IF(AND(NOT(ISBLANK(ReconciliationData[[#This Row],[last_return_date]])),ReconciliationData[[#This Row],[last_return_date]]&gt;ReconciliationData[[#This Row],[Order_Date]]+60),1,0)</f>
        <v>0</v>
      </c>
      <c r="V3474">
        <f>IF(ReconciliationData[[#This Row],[total_returned_units]]&gt;ReconciliationData[[#This Row],[ordered_units]],1,0)</f>
        <v>0</v>
      </c>
      <c r="W34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74">
        <f>ReconciliationData[[#This Row],[Billed_Units]]*ReconciliationData[[#This Row],[Billed_Price]]</f>
        <v>157160.26759999999</v>
      </c>
      <c r="Y3474">
        <f>ReconciliationData[[#This Row],[ordered_units]]*ReconciliationData[[#This Row],[List_Price]]</f>
        <v>157160.26759999999</v>
      </c>
      <c r="Z3474">
        <f>ReconciliationData[[#This Row],[billed_revenue]]-ReconciliationData[[#This Row],[expected_revenue]]</f>
        <v>0</v>
      </c>
      <c r="AA34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74" t="str">
        <f>IF(ReconciliationData[[#This Row],[severity_score]]=0,"LOW",
 IF(ReconciliationData[[#This Row],[severity_score]]&lt;=5,"MEDIUM","HIGH"))</f>
        <v>LOW</v>
      </c>
      <c r="AC3474" t="str">
        <f>TEXT(ReconciliationData[[#This Row],[Order_Date]],"YYYY-MM")</f>
        <v>2024-06</v>
      </c>
    </row>
    <row r="3475" spans="1:29">
      <c r="A3475" t="s">
        <v>8169</v>
      </c>
      <c r="B3475" s="1">
        <v>45044</v>
      </c>
      <c r="C3475" t="s">
        <v>4828</v>
      </c>
      <c r="D3475" t="s">
        <v>378</v>
      </c>
      <c r="E3475">
        <v>39</v>
      </c>
      <c r="F3475" t="s">
        <v>8170</v>
      </c>
      <c r="G3475">
        <v>39</v>
      </c>
      <c r="H3475">
        <v>601.32929999999999</v>
      </c>
      <c r="N3475">
        <v>601.32929999999999</v>
      </c>
      <c r="O3475" s="1">
        <v>44962</v>
      </c>
      <c r="P3475">
        <f>IF(ISBLANK(ReconciliationData[[#This Row],[Invoice_ID]]),1,0)</f>
        <v>0</v>
      </c>
      <c r="Q3475">
        <f>IF(AND(NOT(ISBLANK(ReconciliationData[[#This Row],[Billed_Units]])),ReconciliationData[[#This Row],[ordered_units]]&lt;&gt;ReconciliationData[[#This Row],[Billed_Units]]),1,0)</f>
        <v>0</v>
      </c>
      <c r="R34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75">
        <f>IF(AND(NOT(ISBLANK(ReconciliationData[[#This Row],[Contract_Price]])),ReconciliationData[[#This Row],[Billed_Price]]&lt;&gt;ReconciliationData[[#This Row],[Contract_Price]]),1,0)</f>
        <v>0</v>
      </c>
      <c r="T3475">
        <f>IF(AND(NOT(ISBLANK(ReconciliationData[[#This Row],[End_Date]])),ReconciliationData[[#This Row],[Order_Date]]&gt;ReconciliationData[[#This Row],[End_Date]]),1,0)</f>
        <v>0</v>
      </c>
      <c r="U3475">
        <f>IF(AND(NOT(ISBLANK(ReconciliationData[[#This Row],[last_return_date]])),ReconciliationData[[#This Row],[last_return_date]]&gt;ReconciliationData[[#This Row],[Order_Date]]+60),1,0)</f>
        <v>0</v>
      </c>
      <c r="V3475">
        <f>IF(ReconciliationData[[#This Row],[total_returned_units]]&gt;ReconciliationData[[#This Row],[ordered_units]],1,0)</f>
        <v>0</v>
      </c>
      <c r="W34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75">
        <f>ReconciliationData[[#This Row],[Billed_Units]]*ReconciliationData[[#This Row],[Billed_Price]]</f>
        <v>23451.842700000001</v>
      </c>
      <c r="Y3475">
        <f>ReconciliationData[[#This Row],[ordered_units]]*ReconciliationData[[#This Row],[List_Price]]</f>
        <v>23451.842700000001</v>
      </c>
      <c r="Z3475">
        <f>ReconciliationData[[#This Row],[billed_revenue]]-ReconciliationData[[#This Row],[expected_revenue]]</f>
        <v>0</v>
      </c>
      <c r="AA34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75" t="str">
        <f>IF(ReconciliationData[[#This Row],[severity_score]]=0,"LOW",
 IF(ReconciliationData[[#This Row],[severity_score]]&lt;=5,"MEDIUM","HIGH"))</f>
        <v>LOW</v>
      </c>
      <c r="AC3475" t="str">
        <f>TEXT(ReconciliationData[[#This Row],[Order_Date]],"YYYY-MM")</f>
        <v>2023-04</v>
      </c>
    </row>
    <row r="3476" spans="1:29">
      <c r="A3476" t="s">
        <v>8171</v>
      </c>
      <c r="B3476" s="1">
        <v>45428</v>
      </c>
      <c r="C3476" t="s">
        <v>1941</v>
      </c>
      <c r="D3476" t="s">
        <v>134</v>
      </c>
      <c r="E3476">
        <v>8</v>
      </c>
      <c r="F3476" t="s">
        <v>8172</v>
      </c>
      <c r="G3476">
        <v>8</v>
      </c>
      <c r="H3476">
        <v>446.4905</v>
      </c>
      <c r="N3476">
        <v>446.4905</v>
      </c>
      <c r="O3476" s="1">
        <v>45161</v>
      </c>
      <c r="P3476">
        <f>IF(ISBLANK(ReconciliationData[[#This Row],[Invoice_ID]]),1,0)</f>
        <v>0</v>
      </c>
      <c r="Q3476">
        <f>IF(AND(NOT(ISBLANK(ReconciliationData[[#This Row],[Billed_Units]])),ReconciliationData[[#This Row],[ordered_units]]&lt;&gt;ReconciliationData[[#This Row],[Billed_Units]]),1,0)</f>
        <v>0</v>
      </c>
      <c r="R34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76">
        <f>IF(AND(NOT(ISBLANK(ReconciliationData[[#This Row],[Contract_Price]])),ReconciliationData[[#This Row],[Billed_Price]]&lt;&gt;ReconciliationData[[#This Row],[Contract_Price]]),1,0)</f>
        <v>0</v>
      </c>
      <c r="T3476">
        <f>IF(AND(NOT(ISBLANK(ReconciliationData[[#This Row],[End_Date]])),ReconciliationData[[#This Row],[Order_Date]]&gt;ReconciliationData[[#This Row],[End_Date]]),1,0)</f>
        <v>0</v>
      </c>
      <c r="U3476">
        <f>IF(AND(NOT(ISBLANK(ReconciliationData[[#This Row],[last_return_date]])),ReconciliationData[[#This Row],[last_return_date]]&gt;ReconciliationData[[#This Row],[Order_Date]]+60),1,0)</f>
        <v>0</v>
      </c>
      <c r="V3476">
        <f>IF(ReconciliationData[[#This Row],[total_returned_units]]&gt;ReconciliationData[[#This Row],[ordered_units]],1,0)</f>
        <v>0</v>
      </c>
      <c r="W34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76">
        <f>ReconciliationData[[#This Row],[Billed_Units]]*ReconciliationData[[#This Row],[Billed_Price]]</f>
        <v>3571.924</v>
      </c>
      <c r="Y3476">
        <f>ReconciliationData[[#This Row],[ordered_units]]*ReconciliationData[[#This Row],[List_Price]]</f>
        <v>3571.924</v>
      </c>
      <c r="Z3476">
        <f>ReconciliationData[[#This Row],[billed_revenue]]-ReconciliationData[[#This Row],[expected_revenue]]</f>
        <v>0</v>
      </c>
      <c r="AA34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76" t="str">
        <f>IF(ReconciliationData[[#This Row],[severity_score]]=0,"LOW",
 IF(ReconciliationData[[#This Row],[severity_score]]&lt;=5,"MEDIUM","HIGH"))</f>
        <v>LOW</v>
      </c>
      <c r="AC3476" t="str">
        <f>TEXT(ReconciliationData[[#This Row],[Order_Date]],"YYYY-MM")</f>
        <v>2024-05</v>
      </c>
    </row>
    <row r="3477" spans="1:29">
      <c r="A3477" t="s">
        <v>8173</v>
      </c>
      <c r="B3477" s="1">
        <v>45254</v>
      </c>
      <c r="C3477" t="s">
        <v>234</v>
      </c>
      <c r="D3477" t="s">
        <v>464</v>
      </c>
      <c r="E3477">
        <v>116</v>
      </c>
      <c r="F3477" t="s">
        <v>8174</v>
      </c>
      <c r="G3477">
        <v>116</v>
      </c>
      <c r="H3477">
        <v>798.14160000000004</v>
      </c>
      <c r="N3477">
        <v>798.14160000000004</v>
      </c>
      <c r="O3477" s="1">
        <v>45149</v>
      </c>
      <c r="P3477">
        <f>IF(ISBLANK(ReconciliationData[[#This Row],[Invoice_ID]]),1,0)</f>
        <v>0</v>
      </c>
      <c r="Q3477">
        <f>IF(AND(NOT(ISBLANK(ReconciliationData[[#This Row],[Billed_Units]])),ReconciliationData[[#This Row],[ordered_units]]&lt;&gt;ReconciliationData[[#This Row],[Billed_Units]]),1,0)</f>
        <v>0</v>
      </c>
      <c r="R34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77">
        <f>IF(AND(NOT(ISBLANK(ReconciliationData[[#This Row],[Contract_Price]])),ReconciliationData[[#This Row],[Billed_Price]]&lt;&gt;ReconciliationData[[#This Row],[Contract_Price]]),1,0)</f>
        <v>0</v>
      </c>
      <c r="T3477">
        <f>IF(AND(NOT(ISBLANK(ReconciliationData[[#This Row],[End_Date]])),ReconciliationData[[#This Row],[Order_Date]]&gt;ReconciliationData[[#This Row],[End_Date]]),1,0)</f>
        <v>0</v>
      </c>
      <c r="U3477">
        <f>IF(AND(NOT(ISBLANK(ReconciliationData[[#This Row],[last_return_date]])),ReconciliationData[[#This Row],[last_return_date]]&gt;ReconciliationData[[#This Row],[Order_Date]]+60),1,0)</f>
        <v>0</v>
      </c>
      <c r="V3477">
        <f>IF(ReconciliationData[[#This Row],[total_returned_units]]&gt;ReconciliationData[[#This Row],[ordered_units]],1,0)</f>
        <v>0</v>
      </c>
      <c r="W34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77">
        <f>ReconciliationData[[#This Row],[Billed_Units]]*ReconciliationData[[#This Row],[Billed_Price]]</f>
        <v>92584.425600000002</v>
      </c>
      <c r="Y3477">
        <f>ReconciliationData[[#This Row],[ordered_units]]*ReconciliationData[[#This Row],[List_Price]]</f>
        <v>92584.425600000002</v>
      </c>
      <c r="Z3477">
        <f>ReconciliationData[[#This Row],[billed_revenue]]-ReconciliationData[[#This Row],[expected_revenue]]</f>
        <v>0</v>
      </c>
      <c r="AA34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77" t="str">
        <f>IF(ReconciliationData[[#This Row],[severity_score]]=0,"LOW",
 IF(ReconciliationData[[#This Row],[severity_score]]&lt;=5,"MEDIUM","HIGH"))</f>
        <v>LOW</v>
      </c>
      <c r="AC3477" t="str">
        <f>TEXT(ReconciliationData[[#This Row],[Order_Date]],"YYYY-MM")</f>
        <v>2023-11</v>
      </c>
    </row>
    <row r="3478" spans="1:29">
      <c r="A3478" t="s">
        <v>8175</v>
      </c>
      <c r="B3478" s="1">
        <v>45548</v>
      </c>
      <c r="C3478" t="s">
        <v>965</v>
      </c>
      <c r="D3478" t="s">
        <v>263</v>
      </c>
      <c r="E3478">
        <v>95</v>
      </c>
      <c r="F3478" t="s">
        <v>8176</v>
      </c>
      <c r="G3478">
        <v>95</v>
      </c>
      <c r="H3478">
        <v>1147.3289</v>
      </c>
      <c r="K3478">
        <v>922.15</v>
      </c>
      <c r="L3478" s="1">
        <v>45101</v>
      </c>
      <c r="M3478" s="1">
        <v>45358</v>
      </c>
      <c r="N3478">
        <v>1147.3289</v>
      </c>
      <c r="O3478" s="1">
        <v>44945</v>
      </c>
      <c r="P3478">
        <f>IF(ISBLANK(ReconciliationData[[#This Row],[Invoice_ID]]),1,0)</f>
        <v>0</v>
      </c>
      <c r="Q3478">
        <f>IF(AND(NOT(ISBLANK(ReconciliationData[[#This Row],[Billed_Units]])),ReconciliationData[[#This Row],[ordered_units]]&lt;&gt;ReconciliationData[[#This Row],[Billed_Units]]),1,0)</f>
        <v>0</v>
      </c>
      <c r="R34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78">
        <f>IF(AND(NOT(ISBLANK(ReconciliationData[[#This Row],[Contract_Price]])),ReconciliationData[[#This Row],[Billed_Price]]&lt;&gt;ReconciliationData[[#This Row],[Contract_Price]]),1,0)</f>
        <v>1</v>
      </c>
      <c r="T3478">
        <f>IF(AND(NOT(ISBLANK(ReconciliationData[[#This Row],[End_Date]])),ReconciliationData[[#This Row],[Order_Date]]&gt;ReconciliationData[[#This Row],[End_Date]]),1,0)</f>
        <v>1</v>
      </c>
      <c r="U3478">
        <f>IF(AND(NOT(ISBLANK(ReconciliationData[[#This Row],[last_return_date]])),ReconciliationData[[#This Row],[last_return_date]]&gt;ReconciliationData[[#This Row],[Order_Date]]+60),1,0)</f>
        <v>0</v>
      </c>
      <c r="V3478">
        <f>IF(ReconciliationData[[#This Row],[total_returned_units]]&gt;ReconciliationData[[#This Row],[ordered_units]],1,0)</f>
        <v>0</v>
      </c>
      <c r="W34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478">
        <f>ReconciliationData[[#This Row],[Billed_Units]]*ReconciliationData[[#This Row],[Billed_Price]]</f>
        <v>108996.2455</v>
      </c>
      <c r="Y3478">
        <f>ReconciliationData[[#This Row],[ordered_units]]*ReconciliationData[[#This Row],[List_Price]]</f>
        <v>108996.2455</v>
      </c>
      <c r="Z3478">
        <f>ReconciliationData[[#This Row],[billed_revenue]]-ReconciliationData[[#This Row],[expected_revenue]]</f>
        <v>0</v>
      </c>
      <c r="AA34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478" t="str">
        <f>IF(ReconciliationData[[#This Row],[severity_score]]=0,"LOW",
 IF(ReconciliationData[[#This Row],[severity_score]]&lt;=5,"MEDIUM","HIGH"))</f>
        <v>HIGH</v>
      </c>
      <c r="AC3478" t="str">
        <f>TEXT(ReconciliationData[[#This Row],[Order_Date]],"YYYY-MM")</f>
        <v>2024-09</v>
      </c>
    </row>
    <row r="3479" spans="1:29">
      <c r="A3479" t="s">
        <v>8177</v>
      </c>
      <c r="B3479" s="1">
        <v>45437</v>
      </c>
      <c r="C3479" t="s">
        <v>1702</v>
      </c>
      <c r="D3479" t="s">
        <v>1305</v>
      </c>
      <c r="E3479">
        <v>120</v>
      </c>
      <c r="F3479" t="s">
        <v>8178</v>
      </c>
      <c r="G3479">
        <v>120</v>
      </c>
      <c r="H3479">
        <v>250.3184</v>
      </c>
      <c r="N3479">
        <v>250.3184</v>
      </c>
      <c r="O3479" s="1">
        <v>45212</v>
      </c>
      <c r="P3479">
        <f>IF(ISBLANK(ReconciliationData[[#This Row],[Invoice_ID]]),1,0)</f>
        <v>0</v>
      </c>
      <c r="Q3479">
        <f>IF(AND(NOT(ISBLANK(ReconciliationData[[#This Row],[Billed_Units]])),ReconciliationData[[#This Row],[ordered_units]]&lt;&gt;ReconciliationData[[#This Row],[Billed_Units]]),1,0)</f>
        <v>0</v>
      </c>
      <c r="R34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79">
        <f>IF(AND(NOT(ISBLANK(ReconciliationData[[#This Row],[Contract_Price]])),ReconciliationData[[#This Row],[Billed_Price]]&lt;&gt;ReconciliationData[[#This Row],[Contract_Price]]),1,0)</f>
        <v>0</v>
      </c>
      <c r="T3479">
        <f>IF(AND(NOT(ISBLANK(ReconciliationData[[#This Row],[End_Date]])),ReconciliationData[[#This Row],[Order_Date]]&gt;ReconciliationData[[#This Row],[End_Date]]),1,0)</f>
        <v>0</v>
      </c>
      <c r="U3479">
        <f>IF(AND(NOT(ISBLANK(ReconciliationData[[#This Row],[last_return_date]])),ReconciliationData[[#This Row],[last_return_date]]&gt;ReconciliationData[[#This Row],[Order_Date]]+60),1,0)</f>
        <v>0</v>
      </c>
      <c r="V3479">
        <f>IF(ReconciliationData[[#This Row],[total_returned_units]]&gt;ReconciliationData[[#This Row],[ordered_units]],1,0)</f>
        <v>0</v>
      </c>
      <c r="W34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79">
        <f>ReconciliationData[[#This Row],[Billed_Units]]*ReconciliationData[[#This Row],[Billed_Price]]</f>
        <v>30038.207999999999</v>
      </c>
      <c r="Y3479">
        <f>ReconciliationData[[#This Row],[ordered_units]]*ReconciliationData[[#This Row],[List_Price]]</f>
        <v>30038.207999999999</v>
      </c>
      <c r="Z3479">
        <f>ReconciliationData[[#This Row],[billed_revenue]]-ReconciliationData[[#This Row],[expected_revenue]]</f>
        <v>0</v>
      </c>
      <c r="AA34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79" t="str">
        <f>IF(ReconciliationData[[#This Row],[severity_score]]=0,"LOW",
 IF(ReconciliationData[[#This Row],[severity_score]]&lt;=5,"MEDIUM","HIGH"))</f>
        <v>LOW</v>
      </c>
      <c r="AC3479" t="str">
        <f>TEXT(ReconciliationData[[#This Row],[Order_Date]],"YYYY-MM")</f>
        <v>2024-05</v>
      </c>
    </row>
    <row r="3480" spans="1:29">
      <c r="A3480" t="s">
        <v>8179</v>
      </c>
      <c r="B3480" s="1">
        <v>45423</v>
      </c>
      <c r="C3480" t="s">
        <v>177</v>
      </c>
      <c r="D3480" t="s">
        <v>789</v>
      </c>
      <c r="E3480">
        <v>51</v>
      </c>
      <c r="F3480" t="s">
        <v>8180</v>
      </c>
      <c r="G3480">
        <v>51</v>
      </c>
      <c r="H3480">
        <v>1026.5890420829448</v>
      </c>
      <c r="N3480">
        <v>1026.4637</v>
      </c>
      <c r="O3480" s="1">
        <v>44967</v>
      </c>
      <c r="P3480">
        <f>IF(ISBLANK(ReconciliationData[[#This Row],[Invoice_ID]]),1,0)</f>
        <v>0</v>
      </c>
      <c r="Q3480">
        <f>IF(AND(NOT(ISBLANK(ReconciliationData[[#This Row],[Billed_Units]])),ReconciliationData[[#This Row],[ordered_units]]&lt;&gt;ReconciliationData[[#This Row],[Billed_Units]]),1,0)</f>
        <v>0</v>
      </c>
      <c r="R3480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480">
        <f>IF(AND(NOT(ISBLANK(ReconciliationData[[#This Row],[Contract_Price]])),ReconciliationData[[#This Row],[Billed_Price]]&lt;&gt;ReconciliationData[[#This Row],[Contract_Price]]),1,0)</f>
        <v>0</v>
      </c>
      <c r="T3480">
        <f>IF(AND(NOT(ISBLANK(ReconciliationData[[#This Row],[End_Date]])),ReconciliationData[[#This Row],[Order_Date]]&gt;ReconciliationData[[#This Row],[End_Date]]),1,0)</f>
        <v>0</v>
      </c>
      <c r="U3480">
        <f>IF(AND(NOT(ISBLANK(ReconciliationData[[#This Row],[last_return_date]])),ReconciliationData[[#This Row],[last_return_date]]&gt;ReconciliationData[[#This Row],[Order_Date]]+60),1,0)</f>
        <v>0</v>
      </c>
      <c r="V3480">
        <f>IF(ReconciliationData[[#This Row],[total_returned_units]]&gt;ReconciliationData[[#This Row],[ordered_units]],1,0)</f>
        <v>0</v>
      </c>
      <c r="W34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480">
        <f>ReconciliationData[[#This Row],[Billed_Units]]*ReconciliationData[[#This Row],[Billed_Price]]</f>
        <v>52356.041146230185</v>
      </c>
      <c r="Y3480">
        <f>ReconciliationData[[#This Row],[ordered_units]]*ReconciliationData[[#This Row],[List_Price]]</f>
        <v>52349.648699999998</v>
      </c>
      <c r="Z3480">
        <f>ReconciliationData[[#This Row],[billed_revenue]]-ReconciliationData[[#This Row],[expected_revenue]]</f>
        <v>6.3924462301874883</v>
      </c>
      <c r="AA34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480" t="str">
        <f>IF(ReconciliationData[[#This Row],[severity_score]]=0,"LOW",
 IF(ReconciliationData[[#This Row],[severity_score]]&lt;=5,"MEDIUM","HIGH"))</f>
        <v>MEDIUM</v>
      </c>
      <c r="AC3480" t="str">
        <f>TEXT(ReconciliationData[[#This Row],[Order_Date]],"YYYY-MM")</f>
        <v>2024-05</v>
      </c>
    </row>
    <row r="3481" spans="1:29">
      <c r="A3481" t="s">
        <v>8181</v>
      </c>
      <c r="B3481" s="1">
        <v>45207</v>
      </c>
      <c r="C3481" t="s">
        <v>4124</v>
      </c>
      <c r="D3481" t="s">
        <v>821</v>
      </c>
      <c r="E3481">
        <v>35</v>
      </c>
      <c r="F3481" t="s">
        <v>8182</v>
      </c>
      <c r="G3481">
        <v>35</v>
      </c>
      <c r="H3481">
        <v>785.89</v>
      </c>
      <c r="N3481">
        <v>785.89</v>
      </c>
      <c r="O3481" s="1">
        <v>44989</v>
      </c>
      <c r="P3481">
        <f>IF(ISBLANK(ReconciliationData[[#This Row],[Invoice_ID]]),1,0)</f>
        <v>0</v>
      </c>
      <c r="Q3481">
        <f>IF(AND(NOT(ISBLANK(ReconciliationData[[#This Row],[Billed_Units]])),ReconciliationData[[#This Row],[ordered_units]]&lt;&gt;ReconciliationData[[#This Row],[Billed_Units]]),1,0)</f>
        <v>0</v>
      </c>
      <c r="R34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81">
        <f>IF(AND(NOT(ISBLANK(ReconciliationData[[#This Row],[Contract_Price]])),ReconciliationData[[#This Row],[Billed_Price]]&lt;&gt;ReconciliationData[[#This Row],[Contract_Price]]),1,0)</f>
        <v>0</v>
      </c>
      <c r="T3481">
        <f>IF(AND(NOT(ISBLANK(ReconciliationData[[#This Row],[End_Date]])),ReconciliationData[[#This Row],[Order_Date]]&gt;ReconciliationData[[#This Row],[End_Date]]),1,0)</f>
        <v>0</v>
      </c>
      <c r="U3481">
        <f>IF(AND(NOT(ISBLANK(ReconciliationData[[#This Row],[last_return_date]])),ReconciliationData[[#This Row],[last_return_date]]&gt;ReconciliationData[[#This Row],[Order_Date]]+60),1,0)</f>
        <v>0</v>
      </c>
      <c r="V3481">
        <f>IF(ReconciliationData[[#This Row],[total_returned_units]]&gt;ReconciliationData[[#This Row],[ordered_units]],1,0)</f>
        <v>0</v>
      </c>
      <c r="W34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81">
        <f>ReconciliationData[[#This Row],[Billed_Units]]*ReconciliationData[[#This Row],[Billed_Price]]</f>
        <v>27506.149999999998</v>
      </c>
      <c r="Y3481">
        <f>ReconciliationData[[#This Row],[ordered_units]]*ReconciliationData[[#This Row],[List_Price]]</f>
        <v>27506.149999999998</v>
      </c>
      <c r="Z3481">
        <f>ReconciliationData[[#This Row],[billed_revenue]]-ReconciliationData[[#This Row],[expected_revenue]]</f>
        <v>0</v>
      </c>
      <c r="AA34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81" t="str">
        <f>IF(ReconciliationData[[#This Row],[severity_score]]=0,"LOW",
 IF(ReconciliationData[[#This Row],[severity_score]]&lt;=5,"MEDIUM","HIGH"))</f>
        <v>LOW</v>
      </c>
      <c r="AC3481" t="str">
        <f>TEXT(ReconciliationData[[#This Row],[Order_Date]],"YYYY-MM")</f>
        <v>2023-10</v>
      </c>
    </row>
    <row r="3482" spans="1:29">
      <c r="A3482" t="s">
        <v>8183</v>
      </c>
      <c r="B3482" s="1">
        <v>45006</v>
      </c>
      <c r="C3482" t="s">
        <v>1875</v>
      </c>
      <c r="D3482" t="s">
        <v>1305</v>
      </c>
      <c r="E3482">
        <v>179</v>
      </c>
      <c r="F3482" t="s">
        <v>8184</v>
      </c>
      <c r="G3482">
        <v>179</v>
      </c>
      <c r="H3482">
        <v>240.40479999999999</v>
      </c>
      <c r="N3482">
        <v>240.40479999999999</v>
      </c>
      <c r="O3482" s="1">
        <v>44854</v>
      </c>
      <c r="P3482">
        <f>IF(ISBLANK(ReconciliationData[[#This Row],[Invoice_ID]]),1,0)</f>
        <v>0</v>
      </c>
      <c r="Q3482">
        <f>IF(AND(NOT(ISBLANK(ReconciliationData[[#This Row],[Billed_Units]])),ReconciliationData[[#This Row],[ordered_units]]&lt;&gt;ReconciliationData[[#This Row],[Billed_Units]]),1,0)</f>
        <v>0</v>
      </c>
      <c r="R34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82">
        <f>IF(AND(NOT(ISBLANK(ReconciliationData[[#This Row],[Contract_Price]])),ReconciliationData[[#This Row],[Billed_Price]]&lt;&gt;ReconciliationData[[#This Row],[Contract_Price]]),1,0)</f>
        <v>0</v>
      </c>
      <c r="T3482">
        <f>IF(AND(NOT(ISBLANK(ReconciliationData[[#This Row],[End_Date]])),ReconciliationData[[#This Row],[Order_Date]]&gt;ReconciliationData[[#This Row],[End_Date]]),1,0)</f>
        <v>0</v>
      </c>
      <c r="U3482">
        <f>IF(AND(NOT(ISBLANK(ReconciliationData[[#This Row],[last_return_date]])),ReconciliationData[[#This Row],[last_return_date]]&gt;ReconciliationData[[#This Row],[Order_Date]]+60),1,0)</f>
        <v>0</v>
      </c>
      <c r="V3482">
        <f>IF(ReconciliationData[[#This Row],[total_returned_units]]&gt;ReconciliationData[[#This Row],[ordered_units]],1,0)</f>
        <v>0</v>
      </c>
      <c r="W34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82">
        <f>ReconciliationData[[#This Row],[Billed_Units]]*ReconciliationData[[#This Row],[Billed_Price]]</f>
        <v>43032.459199999998</v>
      </c>
      <c r="Y3482">
        <f>ReconciliationData[[#This Row],[ordered_units]]*ReconciliationData[[#This Row],[List_Price]]</f>
        <v>43032.459199999998</v>
      </c>
      <c r="Z3482">
        <f>ReconciliationData[[#This Row],[billed_revenue]]-ReconciliationData[[#This Row],[expected_revenue]]</f>
        <v>0</v>
      </c>
      <c r="AA34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82" t="str">
        <f>IF(ReconciliationData[[#This Row],[severity_score]]=0,"LOW",
 IF(ReconciliationData[[#This Row],[severity_score]]&lt;=5,"MEDIUM","HIGH"))</f>
        <v>LOW</v>
      </c>
      <c r="AC3482" t="str">
        <f>TEXT(ReconciliationData[[#This Row],[Order_Date]],"YYYY-MM")</f>
        <v>2023-03</v>
      </c>
    </row>
    <row r="3483" spans="1:29">
      <c r="A3483" t="s">
        <v>8185</v>
      </c>
      <c r="B3483" s="1">
        <v>45599</v>
      </c>
      <c r="C3483" t="s">
        <v>173</v>
      </c>
      <c r="D3483" t="s">
        <v>182</v>
      </c>
      <c r="E3483">
        <v>21</v>
      </c>
      <c r="F3483" t="s">
        <v>8186</v>
      </c>
      <c r="G3483">
        <v>21</v>
      </c>
      <c r="H3483">
        <v>689.58720000000005</v>
      </c>
      <c r="N3483">
        <v>689.58720000000005</v>
      </c>
      <c r="O3483" s="1">
        <v>45224</v>
      </c>
      <c r="P3483">
        <f>IF(ISBLANK(ReconciliationData[[#This Row],[Invoice_ID]]),1,0)</f>
        <v>0</v>
      </c>
      <c r="Q3483">
        <f>IF(AND(NOT(ISBLANK(ReconciliationData[[#This Row],[Billed_Units]])),ReconciliationData[[#This Row],[ordered_units]]&lt;&gt;ReconciliationData[[#This Row],[Billed_Units]]),1,0)</f>
        <v>0</v>
      </c>
      <c r="R34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83">
        <f>IF(AND(NOT(ISBLANK(ReconciliationData[[#This Row],[Contract_Price]])),ReconciliationData[[#This Row],[Billed_Price]]&lt;&gt;ReconciliationData[[#This Row],[Contract_Price]]),1,0)</f>
        <v>0</v>
      </c>
      <c r="T3483">
        <f>IF(AND(NOT(ISBLANK(ReconciliationData[[#This Row],[End_Date]])),ReconciliationData[[#This Row],[Order_Date]]&gt;ReconciliationData[[#This Row],[End_Date]]),1,0)</f>
        <v>0</v>
      </c>
      <c r="U3483">
        <f>IF(AND(NOT(ISBLANK(ReconciliationData[[#This Row],[last_return_date]])),ReconciliationData[[#This Row],[last_return_date]]&gt;ReconciliationData[[#This Row],[Order_Date]]+60),1,0)</f>
        <v>0</v>
      </c>
      <c r="V3483">
        <f>IF(ReconciliationData[[#This Row],[total_returned_units]]&gt;ReconciliationData[[#This Row],[ordered_units]],1,0)</f>
        <v>0</v>
      </c>
      <c r="W34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83">
        <f>ReconciliationData[[#This Row],[Billed_Units]]*ReconciliationData[[#This Row],[Billed_Price]]</f>
        <v>14481.331200000001</v>
      </c>
      <c r="Y3483">
        <f>ReconciliationData[[#This Row],[ordered_units]]*ReconciliationData[[#This Row],[List_Price]]</f>
        <v>14481.331200000001</v>
      </c>
      <c r="Z3483">
        <f>ReconciliationData[[#This Row],[billed_revenue]]-ReconciliationData[[#This Row],[expected_revenue]]</f>
        <v>0</v>
      </c>
      <c r="AA34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83" t="str">
        <f>IF(ReconciliationData[[#This Row],[severity_score]]=0,"LOW",
 IF(ReconciliationData[[#This Row],[severity_score]]&lt;=5,"MEDIUM","HIGH"))</f>
        <v>LOW</v>
      </c>
      <c r="AC3483" t="str">
        <f>TEXT(ReconciliationData[[#This Row],[Order_Date]],"YYYY-MM")</f>
        <v>2024-11</v>
      </c>
    </row>
    <row r="3484" spans="1:29">
      <c r="A3484" t="s">
        <v>8187</v>
      </c>
      <c r="B3484" s="1">
        <v>45091</v>
      </c>
      <c r="C3484" t="s">
        <v>3033</v>
      </c>
      <c r="D3484" t="s">
        <v>227</v>
      </c>
      <c r="E3484">
        <v>49</v>
      </c>
      <c r="F3484" t="s">
        <v>8188</v>
      </c>
      <c r="G3484">
        <v>49</v>
      </c>
      <c r="H3484">
        <v>671.91280000000006</v>
      </c>
      <c r="N3484">
        <v>671.91280000000006</v>
      </c>
      <c r="O3484" s="1">
        <v>44995</v>
      </c>
      <c r="P3484">
        <f>IF(ISBLANK(ReconciliationData[[#This Row],[Invoice_ID]]),1,0)</f>
        <v>0</v>
      </c>
      <c r="Q3484">
        <f>IF(AND(NOT(ISBLANK(ReconciliationData[[#This Row],[Billed_Units]])),ReconciliationData[[#This Row],[ordered_units]]&lt;&gt;ReconciliationData[[#This Row],[Billed_Units]]),1,0)</f>
        <v>0</v>
      </c>
      <c r="R34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84">
        <f>IF(AND(NOT(ISBLANK(ReconciliationData[[#This Row],[Contract_Price]])),ReconciliationData[[#This Row],[Billed_Price]]&lt;&gt;ReconciliationData[[#This Row],[Contract_Price]]),1,0)</f>
        <v>0</v>
      </c>
      <c r="T3484">
        <f>IF(AND(NOT(ISBLANK(ReconciliationData[[#This Row],[End_Date]])),ReconciliationData[[#This Row],[Order_Date]]&gt;ReconciliationData[[#This Row],[End_Date]]),1,0)</f>
        <v>0</v>
      </c>
      <c r="U3484">
        <f>IF(AND(NOT(ISBLANK(ReconciliationData[[#This Row],[last_return_date]])),ReconciliationData[[#This Row],[last_return_date]]&gt;ReconciliationData[[#This Row],[Order_Date]]+60),1,0)</f>
        <v>0</v>
      </c>
      <c r="V3484">
        <f>IF(ReconciliationData[[#This Row],[total_returned_units]]&gt;ReconciliationData[[#This Row],[ordered_units]],1,0)</f>
        <v>0</v>
      </c>
      <c r="W34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84">
        <f>ReconciliationData[[#This Row],[Billed_Units]]*ReconciliationData[[#This Row],[Billed_Price]]</f>
        <v>32923.727200000001</v>
      </c>
      <c r="Y3484">
        <f>ReconciliationData[[#This Row],[ordered_units]]*ReconciliationData[[#This Row],[List_Price]]</f>
        <v>32923.727200000001</v>
      </c>
      <c r="Z3484">
        <f>ReconciliationData[[#This Row],[billed_revenue]]-ReconciliationData[[#This Row],[expected_revenue]]</f>
        <v>0</v>
      </c>
      <c r="AA34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84" t="str">
        <f>IF(ReconciliationData[[#This Row],[severity_score]]=0,"LOW",
 IF(ReconciliationData[[#This Row],[severity_score]]&lt;=5,"MEDIUM","HIGH"))</f>
        <v>LOW</v>
      </c>
      <c r="AC3484" t="str">
        <f>TEXT(ReconciliationData[[#This Row],[Order_Date]],"YYYY-MM")</f>
        <v>2023-06</v>
      </c>
    </row>
    <row r="3485" spans="1:29">
      <c r="A3485" t="s">
        <v>8189</v>
      </c>
      <c r="B3485" s="1">
        <v>45190</v>
      </c>
      <c r="C3485" t="s">
        <v>4060</v>
      </c>
      <c r="D3485" t="s">
        <v>1175</v>
      </c>
      <c r="E3485">
        <v>78</v>
      </c>
      <c r="F3485" t="s">
        <v>8190</v>
      </c>
      <c r="G3485">
        <v>86</v>
      </c>
      <c r="H3485">
        <v>643.81900000000007</v>
      </c>
      <c r="N3485">
        <v>643.81900000000007</v>
      </c>
      <c r="O3485" s="1">
        <v>44846</v>
      </c>
      <c r="P3485">
        <f>IF(ISBLANK(ReconciliationData[[#This Row],[Invoice_ID]]),1,0)</f>
        <v>0</v>
      </c>
      <c r="Q3485">
        <f>IF(AND(NOT(ISBLANK(ReconciliationData[[#This Row],[Billed_Units]])),ReconciliationData[[#This Row],[ordered_units]]&lt;&gt;ReconciliationData[[#This Row],[Billed_Units]]),1,0)</f>
        <v>1</v>
      </c>
      <c r="R34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85">
        <f>IF(AND(NOT(ISBLANK(ReconciliationData[[#This Row],[Contract_Price]])),ReconciliationData[[#This Row],[Billed_Price]]&lt;&gt;ReconciliationData[[#This Row],[Contract_Price]]),1,0)</f>
        <v>0</v>
      </c>
      <c r="T3485">
        <f>IF(AND(NOT(ISBLANK(ReconciliationData[[#This Row],[End_Date]])),ReconciliationData[[#This Row],[Order_Date]]&gt;ReconciliationData[[#This Row],[End_Date]]),1,0)</f>
        <v>0</v>
      </c>
      <c r="U3485">
        <f>IF(AND(NOT(ISBLANK(ReconciliationData[[#This Row],[last_return_date]])),ReconciliationData[[#This Row],[last_return_date]]&gt;ReconciliationData[[#This Row],[Order_Date]]+60),1,0)</f>
        <v>0</v>
      </c>
      <c r="V3485">
        <f>IF(ReconciliationData[[#This Row],[total_returned_units]]&gt;ReconciliationData[[#This Row],[ordered_units]],1,0)</f>
        <v>0</v>
      </c>
      <c r="W34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485">
        <f>ReconciliationData[[#This Row],[Billed_Units]]*ReconciliationData[[#This Row],[Billed_Price]]</f>
        <v>55368.434000000008</v>
      </c>
      <c r="Y3485">
        <f>ReconciliationData[[#This Row],[ordered_units]]*ReconciliationData[[#This Row],[List_Price]]</f>
        <v>50217.882000000005</v>
      </c>
      <c r="Z3485">
        <f>ReconciliationData[[#This Row],[billed_revenue]]-ReconciliationData[[#This Row],[expected_revenue]]</f>
        <v>5150.5520000000033</v>
      </c>
      <c r="AA34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485" t="str">
        <f>IF(ReconciliationData[[#This Row],[severity_score]]=0,"LOW",
 IF(ReconciliationData[[#This Row],[severity_score]]&lt;=5,"MEDIUM","HIGH"))</f>
        <v>HIGH</v>
      </c>
      <c r="AC3485" t="str">
        <f>TEXT(ReconciliationData[[#This Row],[Order_Date]],"YYYY-MM")</f>
        <v>2023-09</v>
      </c>
    </row>
    <row r="3486" spans="1:29">
      <c r="A3486" t="s">
        <v>8191</v>
      </c>
      <c r="B3486" s="1">
        <v>45225</v>
      </c>
      <c r="C3486" t="s">
        <v>4195</v>
      </c>
      <c r="D3486" t="s">
        <v>374</v>
      </c>
      <c r="E3486">
        <v>142</v>
      </c>
      <c r="F3486" t="s">
        <v>8192</v>
      </c>
      <c r="G3486">
        <v>142</v>
      </c>
      <c r="H3486">
        <v>517.39100000000008</v>
      </c>
      <c r="N3486">
        <v>517.39100000000008</v>
      </c>
      <c r="O3486" s="1">
        <v>45045</v>
      </c>
      <c r="P3486">
        <f>IF(ISBLANK(ReconciliationData[[#This Row],[Invoice_ID]]),1,0)</f>
        <v>0</v>
      </c>
      <c r="Q3486">
        <f>IF(AND(NOT(ISBLANK(ReconciliationData[[#This Row],[Billed_Units]])),ReconciliationData[[#This Row],[ordered_units]]&lt;&gt;ReconciliationData[[#This Row],[Billed_Units]]),1,0)</f>
        <v>0</v>
      </c>
      <c r="R34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86">
        <f>IF(AND(NOT(ISBLANK(ReconciliationData[[#This Row],[Contract_Price]])),ReconciliationData[[#This Row],[Billed_Price]]&lt;&gt;ReconciliationData[[#This Row],[Contract_Price]]),1,0)</f>
        <v>0</v>
      </c>
      <c r="T3486">
        <f>IF(AND(NOT(ISBLANK(ReconciliationData[[#This Row],[End_Date]])),ReconciliationData[[#This Row],[Order_Date]]&gt;ReconciliationData[[#This Row],[End_Date]]),1,0)</f>
        <v>0</v>
      </c>
      <c r="U3486">
        <f>IF(AND(NOT(ISBLANK(ReconciliationData[[#This Row],[last_return_date]])),ReconciliationData[[#This Row],[last_return_date]]&gt;ReconciliationData[[#This Row],[Order_Date]]+60),1,0)</f>
        <v>0</v>
      </c>
      <c r="V3486">
        <f>IF(ReconciliationData[[#This Row],[total_returned_units]]&gt;ReconciliationData[[#This Row],[ordered_units]],1,0)</f>
        <v>0</v>
      </c>
      <c r="W34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86">
        <f>ReconciliationData[[#This Row],[Billed_Units]]*ReconciliationData[[#This Row],[Billed_Price]]</f>
        <v>73469.522000000012</v>
      </c>
      <c r="Y3486">
        <f>ReconciliationData[[#This Row],[ordered_units]]*ReconciliationData[[#This Row],[List_Price]]</f>
        <v>73469.522000000012</v>
      </c>
      <c r="Z3486">
        <f>ReconciliationData[[#This Row],[billed_revenue]]-ReconciliationData[[#This Row],[expected_revenue]]</f>
        <v>0</v>
      </c>
      <c r="AA34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86" t="str">
        <f>IF(ReconciliationData[[#This Row],[severity_score]]=0,"LOW",
 IF(ReconciliationData[[#This Row],[severity_score]]&lt;=5,"MEDIUM","HIGH"))</f>
        <v>LOW</v>
      </c>
      <c r="AC3486" t="str">
        <f>TEXT(ReconciliationData[[#This Row],[Order_Date]],"YYYY-MM")</f>
        <v>2023-10</v>
      </c>
    </row>
    <row r="3487" spans="1:29">
      <c r="A3487" t="s">
        <v>8193</v>
      </c>
      <c r="B3487" s="1">
        <v>45453</v>
      </c>
      <c r="C3487" t="s">
        <v>3206</v>
      </c>
      <c r="D3487" t="s">
        <v>374</v>
      </c>
      <c r="E3487">
        <v>157</v>
      </c>
      <c r="F3487" t="s">
        <v>8194</v>
      </c>
      <c r="G3487">
        <v>157</v>
      </c>
      <c r="H3487">
        <v>517.39100000000008</v>
      </c>
      <c r="N3487">
        <v>517.39100000000008</v>
      </c>
      <c r="O3487" s="1">
        <v>45045</v>
      </c>
      <c r="P3487">
        <f>IF(ISBLANK(ReconciliationData[[#This Row],[Invoice_ID]]),1,0)</f>
        <v>0</v>
      </c>
      <c r="Q3487">
        <f>IF(AND(NOT(ISBLANK(ReconciliationData[[#This Row],[Billed_Units]])),ReconciliationData[[#This Row],[ordered_units]]&lt;&gt;ReconciliationData[[#This Row],[Billed_Units]]),1,0)</f>
        <v>0</v>
      </c>
      <c r="R34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87">
        <f>IF(AND(NOT(ISBLANK(ReconciliationData[[#This Row],[Contract_Price]])),ReconciliationData[[#This Row],[Billed_Price]]&lt;&gt;ReconciliationData[[#This Row],[Contract_Price]]),1,0)</f>
        <v>0</v>
      </c>
      <c r="T3487">
        <f>IF(AND(NOT(ISBLANK(ReconciliationData[[#This Row],[End_Date]])),ReconciliationData[[#This Row],[Order_Date]]&gt;ReconciliationData[[#This Row],[End_Date]]),1,0)</f>
        <v>0</v>
      </c>
      <c r="U3487">
        <f>IF(AND(NOT(ISBLANK(ReconciliationData[[#This Row],[last_return_date]])),ReconciliationData[[#This Row],[last_return_date]]&gt;ReconciliationData[[#This Row],[Order_Date]]+60),1,0)</f>
        <v>0</v>
      </c>
      <c r="V3487">
        <f>IF(ReconciliationData[[#This Row],[total_returned_units]]&gt;ReconciliationData[[#This Row],[ordered_units]],1,0)</f>
        <v>0</v>
      </c>
      <c r="W34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87">
        <f>ReconciliationData[[#This Row],[Billed_Units]]*ReconciliationData[[#This Row],[Billed_Price]]</f>
        <v>81230.387000000017</v>
      </c>
      <c r="Y3487">
        <f>ReconciliationData[[#This Row],[ordered_units]]*ReconciliationData[[#This Row],[List_Price]]</f>
        <v>81230.387000000017</v>
      </c>
      <c r="Z3487">
        <f>ReconciliationData[[#This Row],[billed_revenue]]-ReconciliationData[[#This Row],[expected_revenue]]</f>
        <v>0</v>
      </c>
      <c r="AA34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87" t="str">
        <f>IF(ReconciliationData[[#This Row],[severity_score]]=0,"LOW",
 IF(ReconciliationData[[#This Row],[severity_score]]&lt;=5,"MEDIUM","HIGH"))</f>
        <v>LOW</v>
      </c>
      <c r="AC3487" t="str">
        <f>TEXT(ReconciliationData[[#This Row],[Order_Date]],"YYYY-MM")</f>
        <v>2024-06</v>
      </c>
    </row>
    <row r="3488" spans="1:29">
      <c r="A3488" t="s">
        <v>8195</v>
      </c>
      <c r="B3488" s="1">
        <v>45182</v>
      </c>
      <c r="C3488" t="s">
        <v>2619</v>
      </c>
      <c r="D3488" t="s">
        <v>378</v>
      </c>
      <c r="E3488">
        <v>108</v>
      </c>
      <c r="F3488" t="s">
        <v>8196</v>
      </c>
      <c r="G3488">
        <v>108</v>
      </c>
      <c r="H3488">
        <v>601.32929999999999</v>
      </c>
      <c r="N3488">
        <v>601.32929999999999</v>
      </c>
      <c r="O3488" s="1">
        <v>44962</v>
      </c>
      <c r="P3488">
        <f>IF(ISBLANK(ReconciliationData[[#This Row],[Invoice_ID]]),1,0)</f>
        <v>0</v>
      </c>
      <c r="Q3488">
        <f>IF(AND(NOT(ISBLANK(ReconciliationData[[#This Row],[Billed_Units]])),ReconciliationData[[#This Row],[ordered_units]]&lt;&gt;ReconciliationData[[#This Row],[Billed_Units]]),1,0)</f>
        <v>0</v>
      </c>
      <c r="R34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88">
        <f>IF(AND(NOT(ISBLANK(ReconciliationData[[#This Row],[Contract_Price]])),ReconciliationData[[#This Row],[Billed_Price]]&lt;&gt;ReconciliationData[[#This Row],[Contract_Price]]),1,0)</f>
        <v>0</v>
      </c>
      <c r="T3488">
        <f>IF(AND(NOT(ISBLANK(ReconciliationData[[#This Row],[End_Date]])),ReconciliationData[[#This Row],[Order_Date]]&gt;ReconciliationData[[#This Row],[End_Date]]),1,0)</f>
        <v>0</v>
      </c>
      <c r="U3488">
        <f>IF(AND(NOT(ISBLANK(ReconciliationData[[#This Row],[last_return_date]])),ReconciliationData[[#This Row],[last_return_date]]&gt;ReconciliationData[[#This Row],[Order_Date]]+60),1,0)</f>
        <v>0</v>
      </c>
      <c r="V3488">
        <f>IF(ReconciliationData[[#This Row],[total_returned_units]]&gt;ReconciliationData[[#This Row],[ordered_units]],1,0)</f>
        <v>0</v>
      </c>
      <c r="W34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88">
        <f>ReconciliationData[[#This Row],[Billed_Units]]*ReconciliationData[[#This Row],[Billed_Price]]</f>
        <v>64943.564399999996</v>
      </c>
      <c r="Y3488">
        <f>ReconciliationData[[#This Row],[ordered_units]]*ReconciliationData[[#This Row],[List_Price]]</f>
        <v>64943.564399999996</v>
      </c>
      <c r="Z3488">
        <f>ReconciliationData[[#This Row],[billed_revenue]]-ReconciliationData[[#This Row],[expected_revenue]]</f>
        <v>0</v>
      </c>
      <c r="AA34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88" t="str">
        <f>IF(ReconciliationData[[#This Row],[severity_score]]=0,"LOW",
 IF(ReconciliationData[[#This Row],[severity_score]]&lt;=5,"MEDIUM","HIGH"))</f>
        <v>LOW</v>
      </c>
      <c r="AC3488" t="str">
        <f>TEXT(ReconciliationData[[#This Row],[Order_Date]],"YYYY-MM")</f>
        <v>2023-09</v>
      </c>
    </row>
    <row r="3489" spans="1:29">
      <c r="A3489" t="s">
        <v>8197</v>
      </c>
      <c r="B3489" s="1">
        <v>45459</v>
      </c>
      <c r="C3489" t="s">
        <v>1975</v>
      </c>
      <c r="D3489" t="s">
        <v>1094</v>
      </c>
      <c r="E3489">
        <v>200</v>
      </c>
      <c r="F3489" t="s">
        <v>8198</v>
      </c>
      <c r="G3489">
        <v>200</v>
      </c>
      <c r="H3489">
        <v>977.22280000000001</v>
      </c>
      <c r="N3489">
        <v>977.22280000000001</v>
      </c>
      <c r="O3489" s="1">
        <v>44984</v>
      </c>
      <c r="P3489">
        <f>IF(ISBLANK(ReconciliationData[[#This Row],[Invoice_ID]]),1,0)</f>
        <v>0</v>
      </c>
      <c r="Q3489">
        <f>IF(AND(NOT(ISBLANK(ReconciliationData[[#This Row],[Billed_Units]])),ReconciliationData[[#This Row],[ordered_units]]&lt;&gt;ReconciliationData[[#This Row],[Billed_Units]]),1,0)</f>
        <v>0</v>
      </c>
      <c r="R34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89">
        <f>IF(AND(NOT(ISBLANK(ReconciliationData[[#This Row],[Contract_Price]])),ReconciliationData[[#This Row],[Billed_Price]]&lt;&gt;ReconciliationData[[#This Row],[Contract_Price]]),1,0)</f>
        <v>0</v>
      </c>
      <c r="T3489">
        <f>IF(AND(NOT(ISBLANK(ReconciliationData[[#This Row],[End_Date]])),ReconciliationData[[#This Row],[Order_Date]]&gt;ReconciliationData[[#This Row],[End_Date]]),1,0)</f>
        <v>0</v>
      </c>
      <c r="U3489">
        <f>IF(AND(NOT(ISBLANK(ReconciliationData[[#This Row],[last_return_date]])),ReconciliationData[[#This Row],[last_return_date]]&gt;ReconciliationData[[#This Row],[Order_Date]]+60),1,0)</f>
        <v>0</v>
      </c>
      <c r="V3489">
        <f>IF(ReconciliationData[[#This Row],[total_returned_units]]&gt;ReconciliationData[[#This Row],[ordered_units]],1,0)</f>
        <v>0</v>
      </c>
      <c r="W34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89">
        <f>ReconciliationData[[#This Row],[Billed_Units]]*ReconciliationData[[#This Row],[Billed_Price]]</f>
        <v>195444.56</v>
      </c>
      <c r="Y3489">
        <f>ReconciliationData[[#This Row],[ordered_units]]*ReconciliationData[[#This Row],[List_Price]]</f>
        <v>195444.56</v>
      </c>
      <c r="Z3489">
        <f>ReconciliationData[[#This Row],[billed_revenue]]-ReconciliationData[[#This Row],[expected_revenue]]</f>
        <v>0</v>
      </c>
      <c r="AA34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89" t="str">
        <f>IF(ReconciliationData[[#This Row],[severity_score]]=0,"LOW",
 IF(ReconciliationData[[#This Row],[severity_score]]&lt;=5,"MEDIUM","HIGH"))</f>
        <v>LOW</v>
      </c>
      <c r="AC3489" t="str">
        <f>TEXT(ReconciliationData[[#This Row],[Order_Date]],"YYYY-MM")</f>
        <v>2024-06</v>
      </c>
    </row>
    <row r="3490" spans="1:29">
      <c r="A3490" t="s">
        <v>8199</v>
      </c>
      <c r="B3490" s="1">
        <v>45325</v>
      </c>
      <c r="C3490" t="s">
        <v>3203</v>
      </c>
      <c r="D3490" t="s">
        <v>658</v>
      </c>
      <c r="E3490">
        <v>176</v>
      </c>
      <c r="F3490" t="s">
        <v>8200</v>
      </c>
      <c r="G3490">
        <v>176</v>
      </c>
      <c r="H3490">
        <v>88.578000000000003</v>
      </c>
      <c r="N3490">
        <v>88.578000000000003</v>
      </c>
      <c r="O3490" s="1">
        <v>45107</v>
      </c>
      <c r="P3490">
        <f>IF(ISBLANK(ReconciliationData[[#This Row],[Invoice_ID]]),1,0)</f>
        <v>0</v>
      </c>
      <c r="Q3490">
        <f>IF(AND(NOT(ISBLANK(ReconciliationData[[#This Row],[Billed_Units]])),ReconciliationData[[#This Row],[ordered_units]]&lt;&gt;ReconciliationData[[#This Row],[Billed_Units]]),1,0)</f>
        <v>0</v>
      </c>
      <c r="R34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0">
        <f>IF(AND(NOT(ISBLANK(ReconciliationData[[#This Row],[Contract_Price]])),ReconciliationData[[#This Row],[Billed_Price]]&lt;&gt;ReconciliationData[[#This Row],[Contract_Price]]),1,0)</f>
        <v>0</v>
      </c>
      <c r="T3490">
        <f>IF(AND(NOT(ISBLANK(ReconciliationData[[#This Row],[End_Date]])),ReconciliationData[[#This Row],[Order_Date]]&gt;ReconciliationData[[#This Row],[End_Date]]),1,0)</f>
        <v>0</v>
      </c>
      <c r="U3490">
        <f>IF(AND(NOT(ISBLANK(ReconciliationData[[#This Row],[last_return_date]])),ReconciliationData[[#This Row],[last_return_date]]&gt;ReconciliationData[[#This Row],[Order_Date]]+60),1,0)</f>
        <v>0</v>
      </c>
      <c r="V3490">
        <f>IF(ReconciliationData[[#This Row],[total_returned_units]]&gt;ReconciliationData[[#This Row],[ordered_units]],1,0)</f>
        <v>0</v>
      </c>
      <c r="W34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0">
        <f>ReconciliationData[[#This Row],[Billed_Units]]*ReconciliationData[[#This Row],[Billed_Price]]</f>
        <v>15589.728000000001</v>
      </c>
      <c r="Y3490">
        <f>ReconciliationData[[#This Row],[ordered_units]]*ReconciliationData[[#This Row],[List_Price]]</f>
        <v>15589.728000000001</v>
      </c>
      <c r="Z3490">
        <f>ReconciliationData[[#This Row],[billed_revenue]]-ReconciliationData[[#This Row],[expected_revenue]]</f>
        <v>0</v>
      </c>
      <c r="AA34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0" t="str">
        <f>IF(ReconciliationData[[#This Row],[severity_score]]=0,"LOW",
 IF(ReconciliationData[[#This Row],[severity_score]]&lt;=5,"MEDIUM","HIGH"))</f>
        <v>LOW</v>
      </c>
      <c r="AC3490" t="str">
        <f>TEXT(ReconciliationData[[#This Row],[Order_Date]],"YYYY-MM")</f>
        <v>2024-02</v>
      </c>
    </row>
    <row r="3491" spans="1:29">
      <c r="A3491" t="s">
        <v>8201</v>
      </c>
      <c r="B3491" s="1">
        <v>45313</v>
      </c>
      <c r="C3491" t="s">
        <v>1574</v>
      </c>
      <c r="D3491" t="s">
        <v>283</v>
      </c>
      <c r="E3491">
        <v>144</v>
      </c>
      <c r="F3491" t="s">
        <v>8202</v>
      </c>
      <c r="G3491">
        <v>144</v>
      </c>
      <c r="H3491">
        <v>415.70589999999999</v>
      </c>
      <c r="N3491">
        <v>415.70589999999999</v>
      </c>
      <c r="O3491" s="1">
        <v>44989</v>
      </c>
      <c r="P3491">
        <f>IF(ISBLANK(ReconciliationData[[#This Row],[Invoice_ID]]),1,0)</f>
        <v>0</v>
      </c>
      <c r="Q3491">
        <f>IF(AND(NOT(ISBLANK(ReconciliationData[[#This Row],[Billed_Units]])),ReconciliationData[[#This Row],[ordered_units]]&lt;&gt;ReconciliationData[[#This Row],[Billed_Units]]),1,0)</f>
        <v>0</v>
      </c>
      <c r="R34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1">
        <f>IF(AND(NOT(ISBLANK(ReconciliationData[[#This Row],[Contract_Price]])),ReconciliationData[[#This Row],[Billed_Price]]&lt;&gt;ReconciliationData[[#This Row],[Contract_Price]]),1,0)</f>
        <v>0</v>
      </c>
      <c r="T3491">
        <f>IF(AND(NOT(ISBLANK(ReconciliationData[[#This Row],[End_Date]])),ReconciliationData[[#This Row],[Order_Date]]&gt;ReconciliationData[[#This Row],[End_Date]]),1,0)</f>
        <v>0</v>
      </c>
      <c r="U3491">
        <f>IF(AND(NOT(ISBLANK(ReconciliationData[[#This Row],[last_return_date]])),ReconciliationData[[#This Row],[last_return_date]]&gt;ReconciliationData[[#This Row],[Order_Date]]+60),1,0)</f>
        <v>0</v>
      </c>
      <c r="V3491">
        <f>IF(ReconciliationData[[#This Row],[total_returned_units]]&gt;ReconciliationData[[#This Row],[ordered_units]],1,0)</f>
        <v>0</v>
      </c>
      <c r="W34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1">
        <f>ReconciliationData[[#This Row],[Billed_Units]]*ReconciliationData[[#This Row],[Billed_Price]]</f>
        <v>59861.649599999997</v>
      </c>
      <c r="Y3491">
        <f>ReconciliationData[[#This Row],[ordered_units]]*ReconciliationData[[#This Row],[List_Price]]</f>
        <v>59861.649599999997</v>
      </c>
      <c r="Z3491">
        <f>ReconciliationData[[#This Row],[billed_revenue]]-ReconciliationData[[#This Row],[expected_revenue]]</f>
        <v>0</v>
      </c>
      <c r="AA34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1" t="str">
        <f>IF(ReconciliationData[[#This Row],[severity_score]]=0,"LOW",
 IF(ReconciliationData[[#This Row],[severity_score]]&lt;=5,"MEDIUM","HIGH"))</f>
        <v>LOW</v>
      </c>
      <c r="AC3491" t="str">
        <f>TEXT(ReconciliationData[[#This Row],[Order_Date]],"YYYY-MM")</f>
        <v>2024-01</v>
      </c>
    </row>
    <row r="3492" spans="1:29">
      <c r="A3492" t="s">
        <v>8203</v>
      </c>
      <c r="B3492" s="1">
        <v>45251</v>
      </c>
      <c r="C3492" t="s">
        <v>6796</v>
      </c>
      <c r="D3492" t="s">
        <v>490</v>
      </c>
      <c r="E3492">
        <v>156</v>
      </c>
      <c r="F3492" t="s">
        <v>8204</v>
      </c>
      <c r="G3492">
        <v>156</v>
      </c>
      <c r="H3492">
        <v>1157.6343999999999</v>
      </c>
      <c r="N3492">
        <v>1157.6343999999999</v>
      </c>
      <c r="O3492" s="1">
        <v>44959</v>
      </c>
      <c r="P3492">
        <f>IF(ISBLANK(ReconciliationData[[#This Row],[Invoice_ID]]),1,0)</f>
        <v>0</v>
      </c>
      <c r="Q3492">
        <f>IF(AND(NOT(ISBLANK(ReconciliationData[[#This Row],[Billed_Units]])),ReconciliationData[[#This Row],[ordered_units]]&lt;&gt;ReconciliationData[[#This Row],[Billed_Units]]),1,0)</f>
        <v>0</v>
      </c>
      <c r="R34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2">
        <f>IF(AND(NOT(ISBLANK(ReconciliationData[[#This Row],[Contract_Price]])),ReconciliationData[[#This Row],[Billed_Price]]&lt;&gt;ReconciliationData[[#This Row],[Contract_Price]]),1,0)</f>
        <v>0</v>
      </c>
      <c r="T3492">
        <f>IF(AND(NOT(ISBLANK(ReconciliationData[[#This Row],[End_Date]])),ReconciliationData[[#This Row],[Order_Date]]&gt;ReconciliationData[[#This Row],[End_Date]]),1,0)</f>
        <v>0</v>
      </c>
      <c r="U3492">
        <f>IF(AND(NOT(ISBLANK(ReconciliationData[[#This Row],[last_return_date]])),ReconciliationData[[#This Row],[last_return_date]]&gt;ReconciliationData[[#This Row],[Order_Date]]+60),1,0)</f>
        <v>0</v>
      </c>
      <c r="V3492">
        <f>IF(ReconciliationData[[#This Row],[total_returned_units]]&gt;ReconciliationData[[#This Row],[ordered_units]],1,0)</f>
        <v>0</v>
      </c>
      <c r="W34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2">
        <f>ReconciliationData[[#This Row],[Billed_Units]]*ReconciliationData[[#This Row],[Billed_Price]]</f>
        <v>180590.96639999998</v>
      </c>
      <c r="Y3492">
        <f>ReconciliationData[[#This Row],[ordered_units]]*ReconciliationData[[#This Row],[List_Price]]</f>
        <v>180590.96639999998</v>
      </c>
      <c r="Z3492">
        <f>ReconciliationData[[#This Row],[billed_revenue]]-ReconciliationData[[#This Row],[expected_revenue]]</f>
        <v>0</v>
      </c>
      <c r="AA34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2" t="str">
        <f>IF(ReconciliationData[[#This Row],[severity_score]]=0,"LOW",
 IF(ReconciliationData[[#This Row],[severity_score]]&lt;=5,"MEDIUM","HIGH"))</f>
        <v>LOW</v>
      </c>
      <c r="AC3492" t="str">
        <f>TEXT(ReconciliationData[[#This Row],[Order_Date]],"YYYY-MM")</f>
        <v>2023-11</v>
      </c>
    </row>
    <row r="3493" spans="1:29">
      <c r="A3493" t="s">
        <v>8205</v>
      </c>
      <c r="B3493" s="1">
        <v>44945</v>
      </c>
      <c r="C3493" t="s">
        <v>8206</v>
      </c>
      <c r="D3493" t="s">
        <v>3220</v>
      </c>
      <c r="E3493">
        <v>94</v>
      </c>
      <c r="F3493" t="s">
        <v>8207</v>
      </c>
      <c r="G3493">
        <v>94</v>
      </c>
      <c r="H3493">
        <v>361.47840000000002</v>
      </c>
      <c r="N3493">
        <v>361.47840000000002</v>
      </c>
      <c r="O3493" s="1">
        <v>44909</v>
      </c>
      <c r="P3493">
        <f>IF(ISBLANK(ReconciliationData[[#This Row],[Invoice_ID]]),1,0)</f>
        <v>0</v>
      </c>
      <c r="Q3493">
        <f>IF(AND(NOT(ISBLANK(ReconciliationData[[#This Row],[Billed_Units]])),ReconciliationData[[#This Row],[ordered_units]]&lt;&gt;ReconciliationData[[#This Row],[Billed_Units]]),1,0)</f>
        <v>0</v>
      </c>
      <c r="R34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3">
        <f>IF(AND(NOT(ISBLANK(ReconciliationData[[#This Row],[Contract_Price]])),ReconciliationData[[#This Row],[Billed_Price]]&lt;&gt;ReconciliationData[[#This Row],[Contract_Price]]),1,0)</f>
        <v>0</v>
      </c>
      <c r="T3493">
        <f>IF(AND(NOT(ISBLANK(ReconciliationData[[#This Row],[End_Date]])),ReconciliationData[[#This Row],[Order_Date]]&gt;ReconciliationData[[#This Row],[End_Date]]),1,0)</f>
        <v>0</v>
      </c>
      <c r="U3493">
        <f>IF(AND(NOT(ISBLANK(ReconciliationData[[#This Row],[last_return_date]])),ReconciliationData[[#This Row],[last_return_date]]&gt;ReconciliationData[[#This Row],[Order_Date]]+60),1,0)</f>
        <v>0</v>
      </c>
      <c r="V3493">
        <f>IF(ReconciliationData[[#This Row],[total_returned_units]]&gt;ReconciliationData[[#This Row],[ordered_units]],1,0)</f>
        <v>0</v>
      </c>
      <c r="W34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3">
        <f>ReconciliationData[[#This Row],[Billed_Units]]*ReconciliationData[[#This Row],[Billed_Price]]</f>
        <v>33978.969600000004</v>
      </c>
      <c r="Y3493">
        <f>ReconciliationData[[#This Row],[ordered_units]]*ReconciliationData[[#This Row],[List_Price]]</f>
        <v>33978.969600000004</v>
      </c>
      <c r="Z3493">
        <f>ReconciliationData[[#This Row],[billed_revenue]]-ReconciliationData[[#This Row],[expected_revenue]]</f>
        <v>0</v>
      </c>
      <c r="AA34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3" t="str">
        <f>IF(ReconciliationData[[#This Row],[severity_score]]=0,"LOW",
 IF(ReconciliationData[[#This Row],[severity_score]]&lt;=5,"MEDIUM","HIGH"))</f>
        <v>LOW</v>
      </c>
      <c r="AC3493" t="str">
        <f>TEXT(ReconciliationData[[#This Row],[Order_Date]],"YYYY-MM")</f>
        <v>2023-01</v>
      </c>
    </row>
    <row r="3494" spans="1:29">
      <c r="A3494" t="s">
        <v>8208</v>
      </c>
      <c r="B3494" s="1">
        <v>45077</v>
      </c>
      <c r="C3494" t="s">
        <v>3063</v>
      </c>
      <c r="D3494" t="s">
        <v>381</v>
      </c>
      <c r="E3494">
        <v>160</v>
      </c>
      <c r="F3494" t="s">
        <v>8209</v>
      </c>
      <c r="G3494">
        <v>160</v>
      </c>
      <c r="H3494">
        <v>933.82110000000011</v>
      </c>
      <c r="N3494">
        <v>933.82110000000011</v>
      </c>
      <c r="O3494" s="1">
        <v>44855</v>
      </c>
      <c r="P3494">
        <f>IF(ISBLANK(ReconciliationData[[#This Row],[Invoice_ID]]),1,0)</f>
        <v>0</v>
      </c>
      <c r="Q3494">
        <f>IF(AND(NOT(ISBLANK(ReconciliationData[[#This Row],[Billed_Units]])),ReconciliationData[[#This Row],[ordered_units]]&lt;&gt;ReconciliationData[[#This Row],[Billed_Units]]),1,0)</f>
        <v>0</v>
      </c>
      <c r="R34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4">
        <f>IF(AND(NOT(ISBLANK(ReconciliationData[[#This Row],[Contract_Price]])),ReconciliationData[[#This Row],[Billed_Price]]&lt;&gt;ReconciliationData[[#This Row],[Contract_Price]]),1,0)</f>
        <v>0</v>
      </c>
      <c r="T3494">
        <f>IF(AND(NOT(ISBLANK(ReconciliationData[[#This Row],[End_Date]])),ReconciliationData[[#This Row],[Order_Date]]&gt;ReconciliationData[[#This Row],[End_Date]]),1,0)</f>
        <v>0</v>
      </c>
      <c r="U3494">
        <f>IF(AND(NOT(ISBLANK(ReconciliationData[[#This Row],[last_return_date]])),ReconciliationData[[#This Row],[last_return_date]]&gt;ReconciliationData[[#This Row],[Order_Date]]+60),1,0)</f>
        <v>0</v>
      </c>
      <c r="V3494">
        <f>IF(ReconciliationData[[#This Row],[total_returned_units]]&gt;ReconciliationData[[#This Row],[ordered_units]],1,0)</f>
        <v>0</v>
      </c>
      <c r="W34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4">
        <f>ReconciliationData[[#This Row],[Billed_Units]]*ReconciliationData[[#This Row],[Billed_Price]]</f>
        <v>149411.37600000002</v>
      </c>
      <c r="Y3494">
        <f>ReconciliationData[[#This Row],[ordered_units]]*ReconciliationData[[#This Row],[List_Price]]</f>
        <v>149411.37600000002</v>
      </c>
      <c r="Z3494">
        <f>ReconciliationData[[#This Row],[billed_revenue]]-ReconciliationData[[#This Row],[expected_revenue]]</f>
        <v>0</v>
      </c>
      <c r="AA34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4" t="str">
        <f>IF(ReconciliationData[[#This Row],[severity_score]]=0,"LOW",
 IF(ReconciliationData[[#This Row],[severity_score]]&lt;=5,"MEDIUM","HIGH"))</f>
        <v>LOW</v>
      </c>
      <c r="AC3494" t="str">
        <f>TEXT(ReconciliationData[[#This Row],[Order_Date]],"YYYY-MM")</f>
        <v>2023-05</v>
      </c>
    </row>
    <row r="3495" spans="1:29">
      <c r="A3495" t="s">
        <v>8210</v>
      </c>
      <c r="B3495" s="1">
        <v>45170</v>
      </c>
      <c r="C3495" t="s">
        <v>4300</v>
      </c>
      <c r="D3495" t="s">
        <v>366</v>
      </c>
      <c r="E3495">
        <v>167</v>
      </c>
      <c r="F3495" t="s">
        <v>8211</v>
      </c>
      <c r="G3495">
        <v>167</v>
      </c>
      <c r="H3495">
        <v>499.17750000000001</v>
      </c>
      <c r="N3495">
        <v>499.17750000000001</v>
      </c>
      <c r="O3495" s="1">
        <v>45123</v>
      </c>
      <c r="P3495">
        <f>IF(ISBLANK(ReconciliationData[[#This Row],[Invoice_ID]]),1,0)</f>
        <v>0</v>
      </c>
      <c r="Q3495">
        <f>IF(AND(NOT(ISBLANK(ReconciliationData[[#This Row],[Billed_Units]])),ReconciliationData[[#This Row],[ordered_units]]&lt;&gt;ReconciliationData[[#This Row],[Billed_Units]]),1,0)</f>
        <v>0</v>
      </c>
      <c r="R34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5">
        <f>IF(AND(NOT(ISBLANK(ReconciliationData[[#This Row],[Contract_Price]])),ReconciliationData[[#This Row],[Billed_Price]]&lt;&gt;ReconciliationData[[#This Row],[Contract_Price]]),1,0)</f>
        <v>0</v>
      </c>
      <c r="T3495">
        <f>IF(AND(NOT(ISBLANK(ReconciliationData[[#This Row],[End_Date]])),ReconciliationData[[#This Row],[Order_Date]]&gt;ReconciliationData[[#This Row],[End_Date]]),1,0)</f>
        <v>0</v>
      </c>
      <c r="U3495">
        <f>IF(AND(NOT(ISBLANK(ReconciliationData[[#This Row],[last_return_date]])),ReconciliationData[[#This Row],[last_return_date]]&gt;ReconciliationData[[#This Row],[Order_Date]]+60),1,0)</f>
        <v>0</v>
      </c>
      <c r="V3495">
        <f>IF(ReconciliationData[[#This Row],[total_returned_units]]&gt;ReconciliationData[[#This Row],[ordered_units]],1,0)</f>
        <v>0</v>
      </c>
      <c r="W34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5">
        <f>ReconciliationData[[#This Row],[Billed_Units]]*ReconciliationData[[#This Row],[Billed_Price]]</f>
        <v>83362.642500000002</v>
      </c>
      <c r="Y3495">
        <f>ReconciliationData[[#This Row],[ordered_units]]*ReconciliationData[[#This Row],[List_Price]]</f>
        <v>83362.642500000002</v>
      </c>
      <c r="Z3495">
        <f>ReconciliationData[[#This Row],[billed_revenue]]-ReconciliationData[[#This Row],[expected_revenue]]</f>
        <v>0</v>
      </c>
      <c r="AA34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5" t="str">
        <f>IF(ReconciliationData[[#This Row],[severity_score]]=0,"LOW",
 IF(ReconciliationData[[#This Row],[severity_score]]&lt;=5,"MEDIUM","HIGH"))</f>
        <v>LOW</v>
      </c>
      <c r="AC3495" t="str">
        <f>TEXT(ReconciliationData[[#This Row],[Order_Date]],"YYYY-MM")</f>
        <v>2023-09</v>
      </c>
    </row>
    <row r="3496" spans="1:29">
      <c r="A3496" t="s">
        <v>8212</v>
      </c>
      <c r="B3496" s="1">
        <v>44996</v>
      </c>
      <c r="C3496" t="s">
        <v>3314</v>
      </c>
      <c r="D3496" t="s">
        <v>321</v>
      </c>
      <c r="E3496">
        <v>108</v>
      </c>
      <c r="F3496" t="s">
        <v>8213</v>
      </c>
      <c r="G3496">
        <v>108</v>
      </c>
      <c r="H3496">
        <v>162.65700000000001</v>
      </c>
      <c r="N3496">
        <v>162.65700000000001</v>
      </c>
      <c r="O3496" s="1">
        <v>44983</v>
      </c>
      <c r="P3496">
        <f>IF(ISBLANK(ReconciliationData[[#This Row],[Invoice_ID]]),1,0)</f>
        <v>0</v>
      </c>
      <c r="Q3496">
        <f>IF(AND(NOT(ISBLANK(ReconciliationData[[#This Row],[Billed_Units]])),ReconciliationData[[#This Row],[ordered_units]]&lt;&gt;ReconciliationData[[#This Row],[Billed_Units]]),1,0)</f>
        <v>0</v>
      </c>
      <c r="R34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6">
        <f>IF(AND(NOT(ISBLANK(ReconciliationData[[#This Row],[Contract_Price]])),ReconciliationData[[#This Row],[Billed_Price]]&lt;&gt;ReconciliationData[[#This Row],[Contract_Price]]),1,0)</f>
        <v>0</v>
      </c>
      <c r="T3496">
        <f>IF(AND(NOT(ISBLANK(ReconciliationData[[#This Row],[End_Date]])),ReconciliationData[[#This Row],[Order_Date]]&gt;ReconciliationData[[#This Row],[End_Date]]),1,0)</f>
        <v>0</v>
      </c>
      <c r="U3496">
        <f>IF(AND(NOT(ISBLANK(ReconciliationData[[#This Row],[last_return_date]])),ReconciliationData[[#This Row],[last_return_date]]&gt;ReconciliationData[[#This Row],[Order_Date]]+60),1,0)</f>
        <v>0</v>
      </c>
      <c r="V3496">
        <f>IF(ReconciliationData[[#This Row],[total_returned_units]]&gt;ReconciliationData[[#This Row],[ordered_units]],1,0)</f>
        <v>0</v>
      </c>
      <c r="W34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6">
        <f>ReconciliationData[[#This Row],[Billed_Units]]*ReconciliationData[[#This Row],[Billed_Price]]</f>
        <v>17566.956000000002</v>
      </c>
      <c r="Y3496">
        <f>ReconciliationData[[#This Row],[ordered_units]]*ReconciliationData[[#This Row],[List_Price]]</f>
        <v>17566.956000000002</v>
      </c>
      <c r="Z3496">
        <f>ReconciliationData[[#This Row],[billed_revenue]]-ReconciliationData[[#This Row],[expected_revenue]]</f>
        <v>0</v>
      </c>
      <c r="AA34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6" t="str">
        <f>IF(ReconciliationData[[#This Row],[severity_score]]=0,"LOW",
 IF(ReconciliationData[[#This Row],[severity_score]]&lt;=5,"MEDIUM","HIGH"))</f>
        <v>LOW</v>
      </c>
      <c r="AC3496" t="str">
        <f>TEXT(ReconciliationData[[#This Row],[Order_Date]],"YYYY-MM")</f>
        <v>2023-03</v>
      </c>
    </row>
    <row r="3497" spans="1:29">
      <c r="A3497" t="s">
        <v>8214</v>
      </c>
      <c r="B3497" s="1">
        <v>45168</v>
      </c>
      <c r="C3497" t="s">
        <v>1288</v>
      </c>
      <c r="D3497" t="s">
        <v>1050</v>
      </c>
      <c r="E3497">
        <v>162</v>
      </c>
      <c r="F3497" t="s">
        <v>8215</v>
      </c>
      <c r="G3497">
        <v>162</v>
      </c>
      <c r="H3497">
        <v>575.53650000000005</v>
      </c>
      <c r="N3497">
        <v>575.53650000000005</v>
      </c>
      <c r="O3497" s="1">
        <v>44800</v>
      </c>
      <c r="P3497">
        <f>IF(ISBLANK(ReconciliationData[[#This Row],[Invoice_ID]]),1,0)</f>
        <v>0</v>
      </c>
      <c r="Q3497">
        <f>IF(AND(NOT(ISBLANK(ReconciliationData[[#This Row],[Billed_Units]])),ReconciliationData[[#This Row],[ordered_units]]&lt;&gt;ReconciliationData[[#This Row],[Billed_Units]]),1,0)</f>
        <v>0</v>
      </c>
      <c r="R34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7">
        <f>IF(AND(NOT(ISBLANK(ReconciliationData[[#This Row],[Contract_Price]])),ReconciliationData[[#This Row],[Billed_Price]]&lt;&gt;ReconciliationData[[#This Row],[Contract_Price]]),1,0)</f>
        <v>0</v>
      </c>
      <c r="T3497">
        <f>IF(AND(NOT(ISBLANK(ReconciliationData[[#This Row],[End_Date]])),ReconciliationData[[#This Row],[Order_Date]]&gt;ReconciliationData[[#This Row],[End_Date]]),1,0)</f>
        <v>0</v>
      </c>
      <c r="U3497">
        <f>IF(AND(NOT(ISBLANK(ReconciliationData[[#This Row],[last_return_date]])),ReconciliationData[[#This Row],[last_return_date]]&gt;ReconciliationData[[#This Row],[Order_Date]]+60),1,0)</f>
        <v>0</v>
      </c>
      <c r="V3497">
        <f>IF(ReconciliationData[[#This Row],[total_returned_units]]&gt;ReconciliationData[[#This Row],[ordered_units]],1,0)</f>
        <v>0</v>
      </c>
      <c r="W34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7">
        <f>ReconciliationData[[#This Row],[Billed_Units]]*ReconciliationData[[#This Row],[Billed_Price]]</f>
        <v>93236.913</v>
      </c>
      <c r="Y3497">
        <f>ReconciliationData[[#This Row],[ordered_units]]*ReconciliationData[[#This Row],[List_Price]]</f>
        <v>93236.913</v>
      </c>
      <c r="Z3497">
        <f>ReconciliationData[[#This Row],[billed_revenue]]-ReconciliationData[[#This Row],[expected_revenue]]</f>
        <v>0</v>
      </c>
      <c r="AA34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7" t="str">
        <f>IF(ReconciliationData[[#This Row],[severity_score]]=0,"LOW",
 IF(ReconciliationData[[#This Row],[severity_score]]&lt;=5,"MEDIUM","HIGH"))</f>
        <v>LOW</v>
      </c>
      <c r="AC3497" t="str">
        <f>TEXT(ReconciliationData[[#This Row],[Order_Date]],"YYYY-MM")</f>
        <v>2023-08</v>
      </c>
    </row>
    <row r="3498" spans="1:29">
      <c r="A3498" t="s">
        <v>8216</v>
      </c>
      <c r="B3498" s="1">
        <v>45065</v>
      </c>
      <c r="C3498" t="s">
        <v>4896</v>
      </c>
      <c r="D3498" t="s">
        <v>604</v>
      </c>
      <c r="E3498">
        <v>166</v>
      </c>
      <c r="F3498" t="s">
        <v>8217</v>
      </c>
      <c r="G3498">
        <v>166</v>
      </c>
      <c r="H3498">
        <v>1072.5387000000001</v>
      </c>
      <c r="N3498">
        <v>1072.5387000000001</v>
      </c>
      <c r="O3498" s="1">
        <v>45023</v>
      </c>
      <c r="P3498">
        <f>IF(ISBLANK(ReconciliationData[[#This Row],[Invoice_ID]]),1,0)</f>
        <v>0</v>
      </c>
      <c r="Q3498">
        <f>IF(AND(NOT(ISBLANK(ReconciliationData[[#This Row],[Billed_Units]])),ReconciliationData[[#This Row],[ordered_units]]&lt;&gt;ReconciliationData[[#This Row],[Billed_Units]]),1,0)</f>
        <v>0</v>
      </c>
      <c r="R34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8">
        <f>IF(AND(NOT(ISBLANK(ReconciliationData[[#This Row],[Contract_Price]])),ReconciliationData[[#This Row],[Billed_Price]]&lt;&gt;ReconciliationData[[#This Row],[Contract_Price]]),1,0)</f>
        <v>0</v>
      </c>
      <c r="T3498">
        <f>IF(AND(NOT(ISBLANK(ReconciliationData[[#This Row],[End_Date]])),ReconciliationData[[#This Row],[Order_Date]]&gt;ReconciliationData[[#This Row],[End_Date]]),1,0)</f>
        <v>0</v>
      </c>
      <c r="U3498">
        <f>IF(AND(NOT(ISBLANK(ReconciliationData[[#This Row],[last_return_date]])),ReconciliationData[[#This Row],[last_return_date]]&gt;ReconciliationData[[#This Row],[Order_Date]]+60),1,0)</f>
        <v>0</v>
      </c>
      <c r="V3498">
        <f>IF(ReconciliationData[[#This Row],[total_returned_units]]&gt;ReconciliationData[[#This Row],[ordered_units]],1,0)</f>
        <v>0</v>
      </c>
      <c r="W34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8">
        <f>ReconciliationData[[#This Row],[Billed_Units]]*ReconciliationData[[#This Row],[Billed_Price]]</f>
        <v>178041.42420000001</v>
      </c>
      <c r="Y3498">
        <f>ReconciliationData[[#This Row],[ordered_units]]*ReconciliationData[[#This Row],[List_Price]]</f>
        <v>178041.42420000001</v>
      </c>
      <c r="Z3498">
        <f>ReconciliationData[[#This Row],[billed_revenue]]-ReconciliationData[[#This Row],[expected_revenue]]</f>
        <v>0</v>
      </c>
      <c r="AA34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8" t="str">
        <f>IF(ReconciliationData[[#This Row],[severity_score]]=0,"LOW",
 IF(ReconciliationData[[#This Row],[severity_score]]&lt;=5,"MEDIUM","HIGH"))</f>
        <v>LOW</v>
      </c>
      <c r="AC3498" t="str">
        <f>TEXT(ReconciliationData[[#This Row],[Order_Date]],"YYYY-MM")</f>
        <v>2023-05</v>
      </c>
    </row>
    <row r="3499" spans="1:29">
      <c r="A3499" t="s">
        <v>8218</v>
      </c>
      <c r="B3499" s="1">
        <v>44967</v>
      </c>
      <c r="C3499" t="s">
        <v>1016</v>
      </c>
      <c r="D3499" t="s">
        <v>898</v>
      </c>
      <c r="E3499">
        <v>131</v>
      </c>
      <c r="F3499" t="s">
        <v>8219</v>
      </c>
      <c r="G3499">
        <v>131</v>
      </c>
      <c r="H3499">
        <v>775.08529999999996</v>
      </c>
      <c r="N3499">
        <v>775.08529999999996</v>
      </c>
      <c r="O3499" s="1">
        <v>44892</v>
      </c>
      <c r="P3499">
        <f>IF(ISBLANK(ReconciliationData[[#This Row],[Invoice_ID]]),1,0)</f>
        <v>0</v>
      </c>
      <c r="Q3499">
        <f>IF(AND(NOT(ISBLANK(ReconciliationData[[#This Row],[Billed_Units]])),ReconciliationData[[#This Row],[ordered_units]]&lt;&gt;ReconciliationData[[#This Row],[Billed_Units]]),1,0)</f>
        <v>0</v>
      </c>
      <c r="R34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499">
        <f>IF(AND(NOT(ISBLANK(ReconciliationData[[#This Row],[Contract_Price]])),ReconciliationData[[#This Row],[Billed_Price]]&lt;&gt;ReconciliationData[[#This Row],[Contract_Price]]),1,0)</f>
        <v>0</v>
      </c>
      <c r="T3499">
        <f>IF(AND(NOT(ISBLANK(ReconciliationData[[#This Row],[End_Date]])),ReconciliationData[[#This Row],[Order_Date]]&gt;ReconciliationData[[#This Row],[End_Date]]),1,0)</f>
        <v>0</v>
      </c>
      <c r="U3499">
        <f>IF(AND(NOT(ISBLANK(ReconciliationData[[#This Row],[last_return_date]])),ReconciliationData[[#This Row],[last_return_date]]&gt;ReconciliationData[[#This Row],[Order_Date]]+60),1,0)</f>
        <v>0</v>
      </c>
      <c r="V3499">
        <f>IF(ReconciliationData[[#This Row],[total_returned_units]]&gt;ReconciliationData[[#This Row],[ordered_units]],1,0)</f>
        <v>0</v>
      </c>
      <c r="W34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499">
        <f>ReconciliationData[[#This Row],[Billed_Units]]*ReconciliationData[[#This Row],[Billed_Price]]</f>
        <v>101536.1743</v>
      </c>
      <c r="Y3499">
        <f>ReconciliationData[[#This Row],[ordered_units]]*ReconciliationData[[#This Row],[List_Price]]</f>
        <v>101536.1743</v>
      </c>
      <c r="Z3499">
        <f>ReconciliationData[[#This Row],[billed_revenue]]-ReconciliationData[[#This Row],[expected_revenue]]</f>
        <v>0</v>
      </c>
      <c r="AA34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499" t="str">
        <f>IF(ReconciliationData[[#This Row],[severity_score]]=0,"LOW",
 IF(ReconciliationData[[#This Row],[severity_score]]&lt;=5,"MEDIUM","HIGH"))</f>
        <v>LOW</v>
      </c>
      <c r="AC3499" t="str">
        <f>TEXT(ReconciliationData[[#This Row],[Order_Date]],"YYYY-MM")</f>
        <v>2023-02</v>
      </c>
    </row>
    <row r="3500" spans="1:29">
      <c r="A3500" t="s">
        <v>8220</v>
      </c>
      <c r="B3500" s="1">
        <v>44987</v>
      </c>
      <c r="C3500" t="s">
        <v>3081</v>
      </c>
      <c r="D3500" t="s">
        <v>381</v>
      </c>
      <c r="E3500">
        <v>37</v>
      </c>
      <c r="F3500" t="s">
        <v>8221</v>
      </c>
      <c r="G3500">
        <v>37</v>
      </c>
      <c r="H3500">
        <v>934.0475908333824</v>
      </c>
      <c r="N3500">
        <v>933.82110000000011</v>
      </c>
      <c r="O3500" s="1">
        <v>44855</v>
      </c>
      <c r="P3500">
        <f>IF(ISBLANK(ReconciliationData[[#This Row],[Invoice_ID]]),1,0)</f>
        <v>0</v>
      </c>
      <c r="Q3500">
        <f>IF(AND(NOT(ISBLANK(ReconciliationData[[#This Row],[Billed_Units]])),ReconciliationData[[#This Row],[ordered_units]]&lt;&gt;ReconciliationData[[#This Row],[Billed_Units]]),1,0)</f>
        <v>0</v>
      </c>
      <c r="R3500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500">
        <f>IF(AND(NOT(ISBLANK(ReconciliationData[[#This Row],[Contract_Price]])),ReconciliationData[[#This Row],[Billed_Price]]&lt;&gt;ReconciliationData[[#This Row],[Contract_Price]]),1,0)</f>
        <v>0</v>
      </c>
      <c r="T3500">
        <f>IF(AND(NOT(ISBLANK(ReconciliationData[[#This Row],[End_Date]])),ReconciliationData[[#This Row],[Order_Date]]&gt;ReconciliationData[[#This Row],[End_Date]]),1,0)</f>
        <v>0</v>
      </c>
      <c r="U3500">
        <f>IF(AND(NOT(ISBLANK(ReconciliationData[[#This Row],[last_return_date]])),ReconciliationData[[#This Row],[last_return_date]]&gt;ReconciliationData[[#This Row],[Order_Date]]+60),1,0)</f>
        <v>0</v>
      </c>
      <c r="V3500">
        <f>IF(ReconciliationData[[#This Row],[total_returned_units]]&gt;ReconciliationData[[#This Row],[ordered_units]],1,0)</f>
        <v>0</v>
      </c>
      <c r="W35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00">
        <f>ReconciliationData[[#This Row],[Billed_Units]]*ReconciliationData[[#This Row],[Billed_Price]]</f>
        <v>34559.760860835151</v>
      </c>
      <c r="Y3500">
        <f>ReconciliationData[[#This Row],[ordered_units]]*ReconciliationData[[#This Row],[List_Price]]</f>
        <v>34551.380700000002</v>
      </c>
      <c r="Z3500">
        <f>ReconciliationData[[#This Row],[billed_revenue]]-ReconciliationData[[#This Row],[expected_revenue]]</f>
        <v>8.3801608351495815</v>
      </c>
      <c r="AA35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500" t="str">
        <f>IF(ReconciliationData[[#This Row],[severity_score]]=0,"LOW",
 IF(ReconciliationData[[#This Row],[severity_score]]&lt;=5,"MEDIUM","HIGH"))</f>
        <v>MEDIUM</v>
      </c>
      <c r="AC3500" t="str">
        <f>TEXT(ReconciliationData[[#This Row],[Order_Date]],"YYYY-MM")</f>
        <v>2023-03</v>
      </c>
    </row>
    <row r="3501" spans="1:29">
      <c r="A3501" t="s">
        <v>8222</v>
      </c>
      <c r="B3501" s="1">
        <v>45555</v>
      </c>
      <c r="C3501" t="s">
        <v>1716</v>
      </c>
      <c r="D3501" t="s">
        <v>1994</v>
      </c>
      <c r="E3501">
        <v>148</v>
      </c>
      <c r="F3501" t="s">
        <v>8223</v>
      </c>
      <c r="G3501">
        <v>148</v>
      </c>
      <c r="H3501">
        <v>296.17460000000005</v>
      </c>
      <c r="N3501">
        <v>296.17460000000005</v>
      </c>
      <c r="O3501" s="1">
        <v>45194</v>
      </c>
      <c r="P3501">
        <f>IF(ISBLANK(ReconciliationData[[#This Row],[Invoice_ID]]),1,0)</f>
        <v>0</v>
      </c>
      <c r="Q3501">
        <f>IF(AND(NOT(ISBLANK(ReconciliationData[[#This Row],[Billed_Units]])),ReconciliationData[[#This Row],[ordered_units]]&lt;&gt;ReconciliationData[[#This Row],[Billed_Units]]),1,0)</f>
        <v>0</v>
      </c>
      <c r="R35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01">
        <f>IF(AND(NOT(ISBLANK(ReconciliationData[[#This Row],[Contract_Price]])),ReconciliationData[[#This Row],[Billed_Price]]&lt;&gt;ReconciliationData[[#This Row],[Contract_Price]]),1,0)</f>
        <v>0</v>
      </c>
      <c r="T3501">
        <f>IF(AND(NOT(ISBLANK(ReconciliationData[[#This Row],[End_Date]])),ReconciliationData[[#This Row],[Order_Date]]&gt;ReconciliationData[[#This Row],[End_Date]]),1,0)</f>
        <v>0</v>
      </c>
      <c r="U3501">
        <f>IF(AND(NOT(ISBLANK(ReconciliationData[[#This Row],[last_return_date]])),ReconciliationData[[#This Row],[last_return_date]]&gt;ReconciliationData[[#This Row],[Order_Date]]+60),1,0)</f>
        <v>0</v>
      </c>
      <c r="V3501">
        <f>IF(ReconciliationData[[#This Row],[total_returned_units]]&gt;ReconciliationData[[#This Row],[ordered_units]],1,0)</f>
        <v>0</v>
      </c>
      <c r="W35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01">
        <f>ReconciliationData[[#This Row],[Billed_Units]]*ReconciliationData[[#This Row],[Billed_Price]]</f>
        <v>43833.840800000005</v>
      </c>
      <c r="Y3501">
        <f>ReconciliationData[[#This Row],[ordered_units]]*ReconciliationData[[#This Row],[List_Price]]</f>
        <v>43833.840800000005</v>
      </c>
      <c r="Z3501">
        <f>ReconciliationData[[#This Row],[billed_revenue]]-ReconciliationData[[#This Row],[expected_revenue]]</f>
        <v>0</v>
      </c>
      <c r="AA35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01" t="str">
        <f>IF(ReconciliationData[[#This Row],[severity_score]]=0,"LOW",
 IF(ReconciliationData[[#This Row],[severity_score]]&lt;=5,"MEDIUM","HIGH"))</f>
        <v>LOW</v>
      </c>
      <c r="AC3501" t="str">
        <f>TEXT(ReconciliationData[[#This Row],[Order_Date]],"YYYY-MM")</f>
        <v>2024-09</v>
      </c>
    </row>
    <row r="3502" spans="1:29">
      <c r="A3502" t="s">
        <v>8224</v>
      </c>
      <c r="B3502" s="1">
        <v>45446</v>
      </c>
      <c r="C3502" t="s">
        <v>141</v>
      </c>
      <c r="D3502" t="s">
        <v>138</v>
      </c>
      <c r="E3502">
        <v>118</v>
      </c>
      <c r="F3502" t="s">
        <v>8225</v>
      </c>
      <c r="G3502">
        <v>118</v>
      </c>
      <c r="H3502">
        <v>444.22</v>
      </c>
      <c r="N3502">
        <v>444.22</v>
      </c>
      <c r="O3502" s="1">
        <v>45074</v>
      </c>
      <c r="P3502">
        <f>IF(ISBLANK(ReconciliationData[[#This Row],[Invoice_ID]]),1,0)</f>
        <v>0</v>
      </c>
      <c r="Q3502">
        <f>IF(AND(NOT(ISBLANK(ReconciliationData[[#This Row],[Billed_Units]])),ReconciliationData[[#This Row],[ordered_units]]&lt;&gt;ReconciliationData[[#This Row],[Billed_Units]]),1,0)</f>
        <v>0</v>
      </c>
      <c r="R35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02">
        <f>IF(AND(NOT(ISBLANK(ReconciliationData[[#This Row],[Contract_Price]])),ReconciliationData[[#This Row],[Billed_Price]]&lt;&gt;ReconciliationData[[#This Row],[Contract_Price]]),1,0)</f>
        <v>0</v>
      </c>
      <c r="T3502">
        <f>IF(AND(NOT(ISBLANK(ReconciliationData[[#This Row],[End_Date]])),ReconciliationData[[#This Row],[Order_Date]]&gt;ReconciliationData[[#This Row],[End_Date]]),1,0)</f>
        <v>0</v>
      </c>
      <c r="U3502">
        <f>IF(AND(NOT(ISBLANK(ReconciliationData[[#This Row],[last_return_date]])),ReconciliationData[[#This Row],[last_return_date]]&gt;ReconciliationData[[#This Row],[Order_Date]]+60),1,0)</f>
        <v>0</v>
      </c>
      <c r="V3502">
        <f>IF(ReconciliationData[[#This Row],[total_returned_units]]&gt;ReconciliationData[[#This Row],[ordered_units]],1,0)</f>
        <v>0</v>
      </c>
      <c r="W35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02">
        <f>ReconciliationData[[#This Row],[Billed_Units]]*ReconciliationData[[#This Row],[Billed_Price]]</f>
        <v>52417.960000000006</v>
      </c>
      <c r="Y3502">
        <f>ReconciliationData[[#This Row],[ordered_units]]*ReconciliationData[[#This Row],[List_Price]]</f>
        <v>52417.960000000006</v>
      </c>
      <c r="Z3502">
        <f>ReconciliationData[[#This Row],[billed_revenue]]-ReconciliationData[[#This Row],[expected_revenue]]</f>
        <v>0</v>
      </c>
      <c r="AA35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02" t="str">
        <f>IF(ReconciliationData[[#This Row],[severity_score]]=0,"LOW",
 IF(ReconciliationData[[#This Row],[severity_score]]&lt;=5,"MEDIUM","HIGH"))</f>
        <v>LOW</v>
      </c>
      <c r="AC3502" t="str">
        <f>TEXT(ReconciliationData[[#This Row],[Order_Date]],"YYYY-MM")</f>
        <v>2024-06</v>
      </c>
    </row>
    <row r="3503" spans="1:29">
      <c r="A3503" t="s">
        <v>8226</v>
      </c>
      <c r="B3503" s="1">
        <v>45520</v>
      </c>
      <c r="C3503" t="s">
        <v>1744</v>
      </c>
      <c r="D3503" t="s">
        <v>1057</v>
      </c>
      <c r="E3503">
        <v>31</v>
      </c>
      <c r="F3503" t="s">
        <v>8227</v>
      </c>
      <c r="G3503">
        <v>31</v>
      </c>
      <c r="H3503">
        <v>212.07900000000001</v>
      </c>
      <c r="N3503">
        <v>212.07900000000001</v>
      </c>
      <c r="O3503" s="1">
        <v>45057</v>
      </c>
      <c r="P3503">
        <f>IF(ISBLANK(ReconciliationData[[#This Row],[Invoice_ID]]),1,0)</f>
        <v>0</v>
      </c>
      <c r="Q3503">
        <f>IF(AND(NOT(ISBLANK(ReconciliationData[[#This Row],[Billed_Units]])),ReconciliationData[[#This Row],[ordered_units]]&lt;&gt;ReconciliationData[[#This Row],[Billed_Units]]),1,0)</f>
        <v>0</v>
      </c>
      <c r="R35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03">
        <f>IF(AND(NOT(ISBLANK(ReconciliationData[[#This Row],[Contract_Price]])),ReconciliationData[[#This Row],[Billed_Price]]&lt;&gt;ReconciliationData[[#This Row],[Contract_Price]]),1,0)</f>
        <v>0</v>
      </c>
      <c r="T3503">
        <f>IF(AND(NOT(ISBLANK(ReconciliationData[[#This Row],[End_Date]])),ReconciliationData[[#This Row],[Order_Date]]&gt;ReconciliationData[[#This Row],[End_Date]]),1,0)</f>
        <v>0</v>
      </c>
      <c r="U3503">
        <f>IF(AND(NOT(ISBLANK(ReconciliationData[[#This Row],[last_return_date]])),ReconciliationData[[#This Row],[last_return_date]]&gt;ReconciliationData[[#This Row],[Order_Date]]+60),1,0)</f>
        <v>0</v>
      </c>
      <c r="V3503">
        <f>IF(ReconciliationData[[#This Row],[total_returned_units]]&gt;ReconciliationData[[#This Row],[ordered_units]],1,0)</f>
        <v>0</v>
      </c>
      <c r="W35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03">
        <f>ReconciliationData[[#This Row],[Billed_Units]]*ReconciliationData[[#This Row],[Billed_Price]]</f>
        <v>6574.4490000000005</v>
      </c>
      <c r="Y3503">
        <f>ReconciliationData[[#This Row],[ordered_units]]*ReconciliationData[[#This Row],[List_Price]]</f>
        <v>6574.4490000000005</v>
      </c>
      <c r="Z3503">
        <f>ReconciliationData[[#This Row],[billed_revenue]]-ReconciliationData[[#This Row],[expected_revenue]]</f>
        <v>0</v>
      </c>
      <c r="AA35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03" t="str">
        <f>IF(ReconciliationData[[#This Row],[severity_score]]=0,"LOW",
 IF(ReconciliationData[[#This Row],[severity_score]]&lt;=5,"MEDIUM","HIGH"))</f>
        <v>LOW</v>
      </c>
      <c r="AC3503" t="str">
        <f>TEXT(ReconciliationData[[#This Row],[Order_Date]],"YYYY-MM")</f>
        <v>2024-08</v>
      </c>
    </row>
    <row r="3504" spans="1:29">
      <c r="A3504" t="s">
        <v>8228</v>
      </c>
      <c r="B3504" s="1">
        <v>45246</v>
      </c>
      <c r="C3504" t="s">
        <v>1403</v>
      </c>
      <c r="D3504" t="s">
        <v>1071</v>
      </c>
      <c r="E3504">
        <v>30</v>
      </c>
      <c r="F3504" t="s">
        <v>8229</v>
      </c>
      <c r="G3504">
        <v>30</v>
      </c>
      <c r="H3504">
        <v>335.39150000000001</v>
      </c>
      <c r="I3504">
        <v>1</v>
      </c>
      <c r="J3504" s="1">
        <v>45174</v>
      </c>
      <c r="N3504">
        <v>335.39150000000001</v>
      </c>
      <c r="O3504" s="1">
        <v>45151</v>
      </c>
      <c r="P3504">
        <f>IF(ISBLANK(ReconciliationData[[#This Row],[Invoice_ID]]),1,0)</f>
        <v>0</v>
      </c>
      <c r="Q3504">
        <f>IF(AND(NOT(ISBLANK(ReconciliationData[[#This Row],[Billed_Units]])),ReconciliationData[[#This Row],[ordered_units]]&lt;&gt;ReconciliationData[[#This Row],[Billed_Units]]),1,0)</f>
        <v>0</v>
      </c>
      <c r="R35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04">
        <f>IF(AND(NOT(ISBLANK(ReconciliationData[[#This Row],[Contract_Price]])),ReconciliationData[[#This Row],[Billed_Price]]&lt;&gt;ReconciliationData[[#This Row],[Contract_Price]]),1,0)</f>
        <v>0</v>
      </c>
      <c r="T3504">
        <f>IF(AND(NOT(ISBLANK(ReconciliationData[[#This Row],[End_Date]])),ReconciliationData[[#This Row],[Order_Date]]&gt;ReconciliationData[[#This Row],[End_Date]]),1,0)</f>
        <v>0</v>
      </c>
      <c r="U3504">
        <f>IF(AND(NOT(ISBLANK(ReconciliationData[[#This Row],[last_return_date]])),ReconciliationData[[#This Row],[last_return_date]]&gt;ReconciliationData[[#This Row],[Order_Date]]+60),1,0)</f>
        <v>0</v>
      </c>
      <c r="V3504">
        <f>IF(ReconciliationData[[#This Row],[total_returned_units]]&gt;ReconciliationData[[#This Row],[ordered_units]],1,0)</f>
        <v>0</v>
      </c>
      <c r="W35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04">
        <f>ReconciliationData[[#This Row],[Billed_Units]]*ReconciliationData[[#This Row],[Billed_Price]]</f>
        <v>10061.745000000001</v>
      </c>
      <c r="Y3504">
        <f>ReconciliationData[[#This Row],[ordered_units]]*ReconciliationData[[#This Row],[List_Price]]</f>
        <v>10061.745000000001</v>
      </c>
      <c r="Z3504">
        <f>ReconciliationData[[#This Row],[billed_revenue]]-ReconciliationData[[#This Row],[expected_revenue]]</f>
        <v>0</v>
      </c>
      <c r="AA35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04" t="str">
        <f>IF(ReconciliationData[[#This Row],[severity_score]]=0,"LOW",
 IF(ReconciliationData[[#This Row],[severity_score]]&lt;=5,"MEDIUM","HIGH"))</f>
        <v>LOW</v>
      </c>
      <c r="AC3504" t="str">
        <f>TEXT(ReconciliationData[[#This Row],[Order_Date]],"YYYY-MM")</f>
        <v>2023-11</v>
      </c>
    </row>
    <row r="3505" spans="1:29">
      <c r="A3505" t="s">
        <v>8230</v>
      </c>
      <c r="B3505" s="1">
        <v>45404</v>
      </c>
      <c r="C3505" t="s">
        <v>1093</v>
      </c>
      <c r="D3505" t="s">
        <v>441</v>
      </c>
      <c r="E3505">
        <v>180</v>
      </c>
      <c r="F3505" t="s">
        <v>8231</v>
      </c>
      <c r="G3505">
        <v>180</v>
      </c>
      <c r="H3505">
        <v>238.7328</v>
      </c>
      <c r="N3505">
        <v>238.7328</v>
      </c>
      <c r="O3505" s="1">
        <v>44987</v>
      </c>
      <c r="P3505">
        <f>IF(ISBLANK(ReconciliationData[[#This Row],[Invoice_ID]]),1,0)</f>
        <v>0</v>
      </c>
      <c r="Q3505">
        <f>IF(AND(NOT(ISBLANK(ReconciliationData[[#This Row],[Billed_Units]])),ReconciliationData[[#This Row],[ordered_units]]&lt;&gt;ReconciliationData[[#This Row],[Billed_Units]]),1,0)</f>
        <v>0</v>
      </c>
      <c r="R35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05">
        <f>IF(AND(NOT(ISBLANK(ReconciliationData[[#This Row],[Contract_Price]])),ReconciliationData[[#This Row],[Billed_Price]]&lt;&gt;ReconciliationData[[#This Row],[Contract_Price]]),1,0)</f>
        <v>0</v>
      </c>
      <c r="T3505">
        <f>IF(AND(NOT(ISBLANK(ReconciliationData[[#This Row],[End_Date]])),ReconciliationData[[#This Row],[Order_Date]]&gt;ReconciliationData[[#This Row],[End_Date]]),1,0)</f>
        <v>0</v>
      </c>
      <c r="U3505">
        <f>IF(AND(NOT(ISBLANK(ReconciliationData[[#This Row],[last_return_date]])),ReconciliationData[[#This Row],[last_return_date]]&gt;ReconciliationData[[#This Row],[Order_Date]]+60),1,0)</f>
        <v>0</v>
      </c>
      <c r="V3505">
        <f>IF(ReconciliationData[[#This Row],[total_returned_units]]&gt;ReconciliationData[[#This Row],[ordered_units]],1,0)</f>
        <v>0</v>
      </c>
      <c r="W35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05">
        <f>ReconciliationData[[#This Row],[Billed_Units]]*ReconciliationData[[#This Row],[Billed_Price]]</f>
        <v>42971.904000000002</v>
      </c>
      <c r="Y3505">
        <f>ReconciliationData[[#This Row],[ordered_units]]*ReconciliationData[[#This Row],[List_Price]]</f>
        <v>42971.904000000002</v>
      </c>
      <c r="Z3505">
        <f>ReconciliationData[[#This Row],[billed_revenue]]-ReconciliationData[[#This Row],[expected_revenue]]</f>
        <v>0</v>
      </c>
      <c r="AA35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05" t="str">
        <f>IF(ReconciliationData[[#This Row],[severity_score]]=0,"LOW",
 IF(ReconciliationData[[#This Row],[severity_score]]&lt;=5,"MEDIUM","HIGH"))</f>
        <v>LOW</v>
      </c>
      <c r="AC3505" t="str">
        <f>TEXT(ReconciliationData[[#This Row],[Order_Date]],"YYYY-MM")</f>
        <v>2024-04</v>
      </c>
    </row>
    <row r="3506" spans="1:29">
      <c r="A3506" t="s">
        <v>8232</v>
      </c>
      <c r="B3506" s="1">
        <v>45409</v>
      </c>
      <c r="C3506" t="s">
        <v>2430</v>
      </c>
      <c r="D3506" t="s">
        <v>345</v>
      </c>
      <c r="E3506">
        <v>102</v>
      </c>
      <c r="F3506" t="s">
        <v>8233</v>
      </c>
      <c r="G3506">
        <v>102</v>
      </c>
      <c r="H3506">
        <v>580.38720000000001</v>
      </c>
      <c r="N3506">
        <v>580.38720000000001</v>
      </c>
      <c r="O3506" s="1">
        <v>45180</v>
      </c>
      <c r="P3506">
        <f>IF(ISBLANK(ReconciliationData[[#This Row],[Invoice_ID]]),1,0)</f>
        <v>0</v>
      </c>
      <c r="Q3506">
        <f>IF(AND(NOT(ISBLANK(ReconciliationData[[#This Row],[Billed_Units]])),ReconciliationData[[#This Row],[ordered_units]]&lt;&gt;ReconciliationData[[#This Row],[Billed_Units]]),1,0)</f>
        <v>0</v>
      </c>
      <c r="R35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06">
        <f>IF(AND(NOT(ISBLANK(ReconciliationData[[#This Row],[Contract_Price]])),ReconciliationData[[#This Row],[Billed_Price]]&lt;&gt;ReconciliationData[[#This Row],[Contract_Price]]),1,0)</f>
        <v>0</v>
      </c>
      <c r="T3506">
        <f>IF(AND(NOT(ISBLANK(ReconciliationData[[#This Row],[End_Date]])),ReconciliationData[[#This Row],[Order_Date]]&gt;ReconciliationData[[#This Row],[End_Date]]),1,0)</f>
        <v>0</v>
      </c>
      <c r="U3506">
        <f>IF(AND(NOT(ISBLANK(ReconciliationData[[#This Row],[last_return_date]])),ReconciliationData[[#This Row],[last_return_date]]&gt;ReconciliationData[[#This Row],[Order_Date]]+60),1,0)</f>
        <v>0</v>
      </c>
      <c r="V3506">
        <f>IF(ReconciliationData[[#This Row],[total_returned_units]]&gt;ReconciliationData[[#This Row],[ordered_units]],1,0)</f>
        <v>0</v>
      </c>
      <c r="W35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06">
        <f>ReconciliationData[[#This Row],[Billed_Units]]*ReconciliationData[[#This Row],[Billed_Price]]</f>
        <v>59199.494400000003</v>
      </c>
      <c r="Y3506">
        <f>ReconciliationData[[#This Row],[ordered_units]]*ReconciliationData[[#This Row],[List_Price]]</f>
        <v>59199.494400000003</v>
      </c>
      <c r="Z3506">
        <f>ReconciliationData[[#This Row],[billed_revenue]]-ReconciliationData[[#This Row],[expected_revenue]]</f>
        <v>0</v>
      </c>
      <c r="AA35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06" t="str">
        <f>IF(ReconciliationData[[#This Row],[severity_score]]=0,"LOW",
 IF(ReconciliationData[[#This Row],[severity_score]]&lt;=5,"MEDIUM","HIGH"))</f>
        <v>LOW</v>
      </c>
      <c r="AC3506" t="str">
        <f>TEXT(ReconciliationData[[#This Row],[Order_Date]],"YYYY-MM")</f>
        <v>2024-04</v>
      </c>
    </row>
    <row r="3507" spans="1:29">
      <c r="A3507" t="s">
        <v>8234</v>
      </c>
      <c r="B3507" s="1">
        <v>45252</v>
      </c>
      <c r="C3507" t="s">
        <v>238</v>
      </c>
      <c r="D3507" t="s">
        <v>2353</v>
      </c>
      <c r="E3507">
        <v>137</v>
      </c>
      <c r="F3507" t="s">
        <v>8235</v>
      </c>
      <c r="G3507">
        <v>137</v>
      </c>
      <c r="H3507">
        <v>358.33919999999995</v>
      </c>
      <c r="I3507">
        <v>15</v>
      </c>
      <c r="J3507" s="1">
        <v>45184</v>
      </c>
      <c r="N3507">
        <v>358.33919999999995</v>
      </c>
      <c r="O3507" s="1">
        <v>45108</v>
      </c>
      <c r="P3507">
        <f>IF(ISBLANK(ReconciliationData[[#This Row],[Invoice_ID]]),1,0)</f>
        <v>0</v>
      </c>
      <c r="Q3507">
        <f>IF(AND(NOT(ISBLANK(ReconciliationData[[#This Row],[Billed_Units]])),ReconciliationData[[#This Row],[ordered_units]]&lt;&gt;ReconciliationData[[#This Row],[Billed_Units]]),1,0)</f>
        <v>0</v>
      </c>
      <c r="R35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07">
        <f>IF(AND(NOT(ISBLANK(ReconciliationData[[#This Row],[Contract_Price]])),ReconciliationData[[#This Row],[Billed_Price]]&lt;&gt;ReconciliationData[[#This Row],[Contract_Price]]),1,0)</f>
        <v>0</v>
      </c>
      <c r="T3507">
        <f>IF(AND(NOT(ISBLANK(ReconciliationData[[#This Row],[End_Date]])),ReconciliationData[[#This Row],[Order_Date]]&gt;ReconciliationData[[#This Row],[End_Date]]),1,0)</f>
        <v>0</v>
      </c>
      <c r="U3507">
        <f>IF(AND(NOT(ISBLANK(ReconciliationData[[#This Row],[last_return_date]])),ReconciliationData[[#This Row],[last_return_date]]&gt;ReconciliationData[[#This Row],[Order_Date]]+60),1,0)</f>
        <v>0</v>
      </c>
      <c r="V3507">
        <f>IF(ReconciliationData[[#This Row],[total_returned_units]]&gt;ReconciliationData[[#This Row],[ordered_units]],1,0)</f>
        <v>0</v>
      </c>
      <c r="W35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07">
        <f>ReconciliationData[[#This Row],[Billed_Units]]*ReconciliationData[[#This Row],[Billed_Price]]</f>
        <v>49092.470399999991</v>
      </c>
      <c r="Y3507">
        <f>ReconciliationData[[#This Row],[ordered_units]]*ReconciliationData[[#This Row],[List_Price]]</f>
        <v>49092.470399999991</v>
      </c>
      <c r="Z3507">
        <f>ReconciliationData[[#This Row],[billed_revenue]]-ReconciliationData[[#This Row],[expected_revenue]]</f>
        <v>0</v>
      </c>
      <c r="AA35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07" t="str">
        <f>IF(ReconciliationData[[#This Row],[severity_score]]=0,"LOW",
 IF(ReconciliationData[[#This Row],[severity_score]]&lt;=5,"MEDIUM","HIGH"))</f>
        <v>LOW</v>
      </c>
      <c r="AC3507" t="str">
        <f>TEXT(ReconciliationData[[#This Row],[Order_Date]],"YYYY-MM")</f>
        <v>2023-11</v>
      </c>
    </row>
    <row r="3508" spans="1:29">
      <c r="A3508" t="s">
        <v>8236</v>
      </c>
      <c r="B3508" s="1">
        <v>45649</v>
      </c>
      <c r="C3508" t="s">
        <v>2819</v>
      </c>
      <c r="D3508" t="s">
        <v>1420</v>
      </c>
      <c r="E3508">
        <v>113</v>
      </c>
      <c r="F3508" t="s">
        <v>8237</v>
      </c>
      <c r="G3508">
        <v>113</v>
      </c>
      <c r="H3508">
        <v>77.178600000000003</v>
      </c>
      <c r="N3508">
        <v>77.178600000000003</v>
      </c>
      <c r="O3508" s="1">
        <v>44975</v>
      </c>
      <c r="P3508">
        <f>IF(ISBLANK(ReconciliationData[[#This Row],[Invoice_ID]]),1,0)</f>
        <v>0</v>
      </c>
      <c r="Q3508">
        <f>IF(AND(NOT(ISBLANK(ReconciliationData[[#This Row],[Billed_Units]])),ReconciliationData[[#This Row],[ordered_units]]&lt;&gt;ReconciliationData[[#This Row],[Billed_Units]]),1,0)</f>
        <v>0</v>
      </c>
      <c r="R35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08">
        <f>IF(AND(NOT(ISBLANK(ReconciliationData[[#This Row],[Contract_Price]])),ReconciliationData[[#This Row],[Billed_Price]]&lt;&gt;ReconciliationData[[#This Row],[Contract_Price]]),1,0)</f>
        <v>0</v>
      </c>
      <c r="T3508">
        <f>IF(AND(NOT(ISBLANK(ReconciliationData[[#This Row],[End_Date]])),ReconciliationData[[#This Row],[Order_Date]]&gt;ReconciliationData[[#This Row],[End_Date]]),1,0)</f>
        <v>0</v>
      </c>
      <c r="U3508">
        <f>IF(AND(NOT(ISBLANK(ReconciliationData[[#This Row],[last_return_date]])),ReconciliationData[[#This Row],[last_return_date]]&gt;ReconciliationData[[#This Row],[Order_Date]]+60),1,0)</f>
        <v>0</v>
      </c>
      <c r="V3508">
        <f>IF(ReconciliationData[[#This Row],[total_returned_units]]&gt;ReconciliationData[[#This Row],[ordered_units]],1,0)</f>
        <v>0</v>
      </c>
      <c r="W35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08">
        <f>ReconciliationData[[#This Row],[Billed_Units]]*ReconciliationData[[#This Row],[Billed_Price]]</f>
        <v>8721.1818000000003</v>
      </c>
      <c r="Y3508">
        <f>ReconciliationData[[#This Row],[ordered_units]]*ReconciliationData[[#This Row],[List_Price]]</f>
        <v>8721.1818000000003</v>
      </c>
      <c r="Z3508">
        <f>ReconciliationData[[#This Row],[billed_revenue]]-ReconciliationData[[#This Row],[expected_revenue]]</f>
        <v>0</v>
      </c>
      <c r="AA35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08" t="str">
        <f>IF(ReconciliationData[[#This Row],[severity_score]]=0,"LOW",
 IF(ReconciliationData[[#This Row],[severity_score]]&lt;=5,"MEDIUM","HIGH"))</f>
        <v>LOW</v>
      </c>
      <c r="AC3508" t="str">
        <f>TEXT(ReconciliationData[[#This Row],[Order_Date]],"YYYY-MM")</f>
        <v>2024-12</v>
      </c>
    </row>
    <row r="3509" spans="1:29">
      <c r="A3509" t="s">
        <v>8238</v>
      </c>
      <c r="B3509" s="1">
        <v>45470</v>
      </c>
      <c r="C3509" t="s">
        <v>926</v>
      </c>
      <c r="D3509" t="s">
        <v>1794</v>
      </c>
      <c r="E3509">
        <v>77</v>
      </c>
      <c r="F3509" t="s">
        <v>8239</v>
      </c>
      <c r="G3509">
        <v>77</v>
      </c>
      <c r="H3509">
        <v>491.10239999999999</v>
      </c>
      <c r="N3509">
        <v>491.10239999999999</v>
      </c>
      <c r="O3509" s="1">
        <v>45187</v>
      </c>
      <c r="P3509">
        <f>IF(ISBLANK(ReconciliationData[[#This Row],[Invoice_ID]]),1,0)</f>
        <v>0</v>
      </c>
      <c r="Q3509">
        <f>IF(AND(NOT(ISBLANK(ReconciliationData[[#This Row],[Billed_Units]])),ReconciliationData[[#This Row],[ordered_units]]&lt;&gt;ReconciliationData[[#This Row],[Billed_Units]]),1,0)</f>
        <v>0</v>
      </c>
      <c r="R35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09">
        <f>IF(AND(NOT(ISBLANK(ReconciliationData[[#This Row],[Contract_Price]])),ReconciliationData[[#This Row],[Billed_Price]]&lt;&gt;ReconciliationData[[#This Row],[Contract_Price]]),1,0)</f>
        <v>0</v>
      </c>
      <c r="T3509">
        <f>IF(AND(NOT(ISBLANK(ReconciliationData[[#This Row],[End_Date]])),ReconciliationData[[#This Row],[Order_Date]]&gt;ReconciliationData[[#This Row],[End_Date]]),1,0)</f>
        <v>0</v>
      </c>
      <c r="U3509">
        <f>IF(AND(NOT(ISBLANK(ReconciliationData[[#This Row],[last_return_date]])),ReconciliationData[[#This Row],[last_return_date]]&gt;ReconciliationData[[#This Row],[Order_Date]]+60),1,0)</f>
        <v>0</v>
      </c>
      <c r="V3509">
        <f>IF(ReconciliationData[[#This Row],[total_returned_units]]&gt;ReconciliationData[[#This Row],[ordered_units]],1,0)</f>
        <v>0</v>
      </c>
      <c r="W35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09">
        <f>ReconciliationData[[#This Row],[Billed_Units]]*ReconciliationData[[#This Row],[Billed_Price]]</f>
        <v>37814.8848</v>
      </c>
      <c r="Y3509">
        <f>ReconciliationData[[#This Row],[ordered_units]]*ReconciliationData[[#This Row],[List_Price]]</f>
        <v>37814.8848</v>
      </c>
      <c r="Z3509">
        <f>ReconciliationData[[#This Row],[billed_revenue]]-ReconciliationData[[#This Row],[expected_revenue]]</f>
        <v>0</v>
      </c>
      <c r="AA35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09" t="str">
        <f>IF(ReconciliationData[[#This Row],[severity_score]]=0,"LOW",
 IF(ReconciliationData[[#This Row],[severity_score]]&lt;=5,"MEDIUM","HIGH"))</f>
        <v>LOW</v>
      </c>
      <c r="AC3509" t="str">
        <f>TEXT(ReconciliationData[[#This Row],[Order_Date]],"YYYY-MM")</f>
        <v>2024-06</v>
      </c>
    </row>
    <row r="3510" spans="1:29">
      <c r="A3510" t="s">
        <v>8240</v>
      </c>
      <c r="B3510" s="1">
        <v>45641</v>
      </c>
      <c r="C3510" t="s">
        <v>4654</v>
      </c>
      <c r="D3510" t="s">
        <v>2101</v>
      </c>
      <c r="E3510">
        <v>43</v>
      </c>
      <c r="F3510" t="s">
        <v>8241</v>
      </c>
      <c r="G3510">
        <v>43</v>
      </c>
      <c r="H3510">
        <v>230.7345</v>
      </c>
      <c r="I3510">
        <v>5</v>
      </c>
      <c r="J3510" s="1">
        <v>45452</v>
      </c>
      <c r="N3510">
        <v>230.7345</v>
      </c>
      <c r="O3510" s="1">
        <v>45142</v>
      </c>
      <c r="P3510">
        <f>IF(ISBLANK(ReconciliationData[[#This Row],[Invoice_ID]]),1,0)</f>
        <v>0</v>
      </c>
      <c r="Q3510">
        <f>IF(AND(NOT(ISBLANK(ReconciliationData[[#This Row],[Billed_Units]])),ReconciliationData[[#This Row],[ordered_units]]&lt;&gt;ReconciliationData[[#This Row],[Billed_Units]]),1,0)</f>
        <v>0</v>
      </c>
      <c r="R35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10">
        <f>IF(AND(NOT(ISBLANK(ReconciliationData[[#This Row],[Contract_Price]])),ReconciliationData[[#This Row],[Billed_Price]]&lt;&gt;ReconciliationData[[#This Row],[Contract_Price]]),1,0)</f>
        <v>0</v>
      </c>
      <c r="T3510">
        <f>IF(AND(NOT(ISBLANK(ReconciliationData[[#This Row],[End_Date]])),ReconciliationData[[#This Row],[Order_Date]]&gt;ReconciliationData[[#This Row],[End_Date]]),1,0)</f>
        <v>0</v>
      </c>
      <c r="U3510">
        <f>IF(AND(NOT(ISBLANK(ReconciliationData[[#This Row],[last_return_date]])),ReconciliationData[[#This Row],[last_return_date]]&gt;ReconciliationData[[#This Row],[Order_Date]]+60),1,0)</f>
        <v>0</v>
      </c>
      <c r="V3510">
        <f>IF(ReconciliationData[[#This Row],[total_returned_units]]&gt;ReconciliationData[[#This Row],[ordered_units]],1,0)</f>
        <v>0</v>
      </c>
      <c r="W35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10">
        <f>ReconciliationData[[#This Row],[Billed_Units]]*ReconciliationData[[#This Row],[Billed_Price]]</f>
        <v>9921.5835000000006</v>
      </c>
      <c r="Y3510">
        <f>ReconciliationData[[#This Row],[ordered_units]]*ReconciliationData[[#This Row],[List_Price]]</f>
        <v>9921.5835000000006</v>
      </c>
      <c r="Z3510">
        <f>ReconciliationData[[#This Row],[billed_revenue]]-ReconciliationData[[#This Row],[expected_revenue]]</f>
        <v>0</v>
      </c>
      <c r="AA35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10" t="str">
        <f>IF(ReconciliationData[[#This Row],[severity_score]]=0,"LOW",
 IF(ReconciliationData[[#This Row],[severity_score]]&lt;=5,"MEDIUM","HIGH"))</f>
        <v>LOW</v>
      </c>
      <c r="AC3510" t="str">
        <f>TEXT(ReconciliationData[[#This Row],[Order_Date]],"YYYY-MM")</f>
        <v>2024-12</v>
      </c>
    </row>
    <row r="3511" spans="1:29">
      <c r="A3511" t="s">
        <v>8242</v>
      </c>
      <c r="B3511" s="1">
        <v>45328</v>
      </c>
      <c r="C3511" t="s">
        <v>7163</v>
      </c>
      <c r="D3511" t="s">
        <v>1385</v>
      </c>
      <c r="E3511">
        <v>64</v>
      </c>
      <c r="F3511" t="s">
        <v>8243</v>
      </c>
      <c r="G3511">
        <v>64</v>
      </c>
      <c r="H3511">
        <v>287.90559999999999</v>
      </c>
      <c r="N3511">
        <v>287.90559999999999</v>
      </c>
      <c r="O3511" s="1">
        <v>45224</v>
      </c>
      <c r="P3511">
        <f>IF(ISBLANK(ReconciliationData[[#This Row],[Invoice_ID]]),1,0)</f>
        <v>0</v>
      </c>
      <c r="Q3511">
        <f>IF(AND(NOT(ISBLANK(ReconciliationData[[#This Row],[Billed_Units]])),ReconciliationData[[#This Row],[ordered_units]]&lt;&gt;ReconciliationData[[#This Row],[Billed_Units]]),1,0)</f>
        <v>0</v>
      </c>
      <c r="R35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11">
        <f>IF(AND(NOT(ISBLANK(ReconciliationData[[#This Row],[Contract_Price]])),ReconciliationData[[#This Row],[Billed_Price]]&lt;&gt;ReconciliationData[[#This Row],[Contract_Price]]),1,0)</f>
        <v>0</v>
      </c>
      <c r="T3511">
        <f>IF(AND(NOT(ISBLANK(ReconciliationData[[#This Row],[End_Date]])),ReconciliationData[[#This Row],[Order_Date]]&gt;ReconciliationData[[#This Row],[End_Date]]),1,0)</f>
        <v>0</v>
      </c>
      <c r="U3511">
        <f>IF(AND(NOT(ISBLANK(ReconciliationData[[#This Row],[last_return_date]])),ReconciliationData[[#This Row],[last_return_date]]&gt;ReconciliationData[[#This Row],[Order_Date]]+60),1,0)</f>
        <v>0</v>
      </c>
      <c r="V3511">
        <f>IF(ReconciliationData[[#This Row],[total_returned_units]]&gt;ReconciliationData[[#This Row],[ordered_units]],1,0)</f>
        <v>0</v>
      </c>
      <c r="W35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11">
        <f>ReconciliationData[[#This Row],[Billed_Units]]*ReconciliationData[[#This Row],[Billed_Price]]</f>
        <v>18425.9584</v>
      </c>
      <c r="Y3511">
        <f>ReconciliationData[[#This Row],[ordered_units]]*ReconciliationData[[#This Row],[List_Price]]</f>
        <v>18425.9584</v>
      </c>
      <c r="Z3511">
        <f>ReconciliationData[[#This Row],[billed_revenue]]-ReconciliationData[[#This Row],[expected_revenue]]</f>
        <v>0</v>
      </c>
      <c r="AA35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11" t="str">
        <f>IF(ReconciliationData[[#This Row],[severity_score]]=0,"LOW",
 IF(ReconciliationData[[#This Row],[severity_score]]&lt;=5,"MEDIUM","HIGH"))</f>
        <v>LOW</v>
      </c>
      <c r="AC3511" t="str">
        <f>TEXT(ReconciliationData[[#This Row],[Order_Date]],"YYYY-MM")</f>
        <v>2024-02</v>
      </c>
    </row>
    <row r="3512" spans="1:29">
      <c r="A3512" t="s">
        <v>8244</v>
      </c>
      <c r="B3512" s="1">
        <v>45052</v>
      </c>
      <c r="C3512" t="s">
        <v>1685</v>
      </c>
      <c r="D3512" t="s">
        <v>441</v>
      </c>
      <c r="E3512">
        <v>62</v>
      </c>
      <c r="F3512" t="s">
        <v>8245</v>
      </c>
      <c r="G3512">
        <v>62</v>
      </c>
      <c r="H3512">
        <v>238.7328</v>
      </c>
      <c r="N3512">
        <v>238.7328</v>
      </c>
      <c r="O3512" s="1">
        <v>44987</v>
      </c>
      <c r="P3512">
        <f>IF(ISBLANK(ReconciliationData[[#This Row],[Invoice_ID]]),1,0)</f>
        <v>0</v>
      </c>
      <c r="Q3512">
        <f>IF(AND(NOT(ISBLANK(ReconciliationData[[#This Row],[Billed_Units]])),ReconciliationData[[#This Row],[ordered_units]]&lt;&gt;ReconciliationData[[#This Row],[Billed_Units]]),1,0)</f>
        <v>0</v>
      </c>
      <c r="R35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12">
        <f>IF(AND(NOT(ISBLANK(ReconciliationData[[#This Row],[Contract_Price]])),ReconciliationData[[#This Row],[Billed_Price]]&lt;&gt;ReconciliationData[[#This Row],[Contract_Price]]),1,0)</f>
        <v>0</v>
      </c>
      <c r="T3512">
        <f>IF(AND(NOT(ISBLANK(ReconciliationData[[#This Row],[End_Date]])),ReconciliationData[[#This Row],[Order_Date]]&gt;ReconciliationData[[#This Row],[End_Date]]),1,0)</f>
        <v>0</v>
      </c>
      <c r="U3512">
        <f>IF(AND(NOT(ISBLANK(ReconciliationData[[#This Row],[last_return_date]])),ReconciliationData[[#This Row],[last_return_date]]&gt;ReconciliationData[[#This Row],[Order_Date]]+60),1,0)</f>
        <v>0</v>
      </c>
      <c r="V3512">
        <f>IF(ReconciliationData[[#This Row],[total_returned_units]]&gt;ReconciliationData[[#This Row],[ordered_units]],1,0)</f>
        <v>0</v>
      </c>
      <c r="W35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12">
        <f>ReconciliationData[[#This Row],[Billed_Units]]*ReconciliationData[[#This Row],[Billed_Price]]</f>
        <v>14801.4336</v>
      </c>
      <c r="Y3512">
        <f>ReconciliationData[[#This Row],[ordered_units]]*ReconciliationData[[#This Row],[List_Price]]</f>
        <v>14801.4336</v>
      </c>
      <c r="Z3512">
        <f>ReconciliationData[[#This Row],[billed_revenue]]-ReconciliationData[[#This Row],[expected_revenue]]</f>
        <v>0</v>
      </c>
      <c r="AA35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12" t="str">
        <f>IF(ReconciliationData[[#This Row],[severity_score]]=0,"LOW",
 IF(ReconciliationData[[#This Row],[severity_score]]&lt;=5,"MEDIUM","HIGH"))</f>
        <v>LOW</v>
      </c>
      <c r="AC3512" t="str">
        <f>TEXT(ReconciliationData[[#This Row],[Order_Date]],"YYYY-MM")</f>
        <v>2023-05</v>
      </c>
    </row>
    <row r="3513" spans="1:29">
      <c r="A3513" t="s">
        <v>8246</v>
      </c>
      <c r="B3513" s="1">
        <v>45031</v>
      </c>
      <c r="C3513" t="s">
        <v>634</v>
      </c>
      <c r="D3513" t="s">
        <v>1491</v>
      </c>
      <c r="E3513">
        <v>102</v>
      </c>
      <c r="F3513" t="s">
        <v>8247</v>
      </c>
      <c r="G3513">
        <v>102</v>
      </c>
      <c r="H3513">
        <v>901.83</v>
      </c>
      <c r="N3513">
        <v>901.83</v>
      </c>
      <c r="O3513" s="1">
        <v>44946</v>
      </c>
      <c r="P3513">
        <f>IF(ISBLANK(ReconciliationData[[#This Row],[Invoice_ID]]),1,0)</f>
        <v>0</v>
      </c>
      <c r="Q3513">
        <f>IF(AND(NOT(ISBLANK(ReconciliationData[[#This Row],[Billed_Units]])),ReconciliationData[[#This Row],[ordered_units]]&lt;&gt;ReconciliationData[[#This Row],[Billed_Units]]),1,0)</f>
        <v>0</v>
      </c>
      <c r="R35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13">
        <f>IF(AND(NOT(ISBLANK(ReconciliationData[[#This Row],[Contract_Price]])),ReconciliationData[[#This Row],[Billed_Price]]&lt;&gt;ReconciliationData[[#This Row],[Contract_Price]]),1,0)</f>
        <v>0</v>
      </c>
      <c r="T3513">
        <f>IF(AND(NOT(ISBLANK(ReconciliationData[[#This Row],[End_Date]])),ReconciliationData[[#This Row],[Order_Date]]&gt;ReconciliationData[[#This Row],[End_Date]]),1,0)</f>
        <v>0</v>
      </c>
      <c r="U3513">
        <f>IF(AND(NOT(ISBLANK(ReconciliationData[[#This Row],[last_return_date]])),ReconciliationData[[#This Row],[last_return_date]]&gt;ReconciliationData[[#This Row],[Order_Date]]+60),1,0)</f>
        <v>0</v>
      </c>
      <c r="V3513">
        <f>IF(ReconciliationData[[#This Row],[total_returned_units]]&gt;ReconciliationData[[#This Row],[ordered_units]],1,0)</f>
        <v>0</v>
      </c>
      <c r="W35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13">
        <f>ReconciliationData[[#This Row],[Billed_Units]]*ReconciliationData[[#This Row],[Billed_Price]]</f>
        <v>91986.66</v>
      </c>
      <c r="Y3513">
        <f>ReconciliationData[[#This Row],[ordered_units]]*ReconciliationData[[#This Row],[List_Price]]</f>
        <v>91986.66</v>
      </c>
      <c r="Z3513">
        <f>ReconciliationData[[#This Row],[billed_revenue]]-ReconciliationData[[#This Row],[expected_revenue]]</f>
        <v>0</v>
      </c>
      <c r="AA35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13" t="str">
        <f>IF(ReconciliationData[[#This Row],[severity_score]]=0,"LOW",
 IF(ReconciliationData[[#This Row],[severity_score]]&lt;=5,"MEDIUM","HIGH"))</f>
        <v>LOW</v>
      </c>
      <c r="AC3513" t="str">
        <f>TEXT(ReconciliationData[[#This Row],[Order_Date]],"YYYY-MM")</f>
        <v>2023-04</v>
      </c>
    </row>
    <row r="3514" spans="1:29">
      <c r="A3514" t="s">
        <v>8248</v>
      </c>
      <c r="B3514" s="1">
        <v>45333</v>
      </c>
      <c r="C3514" t="s">
        <v>2143</v>
      </c>
      <c r="D3514" t="s">
        <v>1502</v>
      </c>
      <c r="E3514">
        <v>36</v>
      </c>
      <c r="F3514" t="s">
        <v>8249</v>
      </c>
      <c r="G3514">
        <v>36</v>
      </c>
      <c r="H3514">
        <v>307.97520000000003</v>
      </c>
      <c r="N3514">
        <v>307.97520000000003</v>
      </c>
      <c r="O3514" s="1">
        <v>45029</v>
      </c>
      <c r="P3514">
        <f>IF(ISBLANK(ReconciliationData[[#This Row],[Invoice_ID]]),1,0)</f>
        <v>0</v>
      </c>
      <c r="Q3514">
        <f>IF(AND(NOT(ISBLANK(ReconciliationData[[#This Row],[Billed_Units]])),ReconciliationData[[#This Row],[ordered_units]]&lt;&gt;ReconciliationData[[#This Row],[Billed_Units]]),1,0)</f>
        <v>0</v>
      </c>
      <c r="R35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14">
        <f>IF(AND(NOT(ISBLANK(ReconciliationData[[#This Row],[Contract_Price]])),ReconciliationData[[#This Row],[Billed_Price]]&lt;&gt;ReconciliationData[[#This Row],[Contract_Price]]),1,0)</f>
        <v>0</v>
      </c>
      <c r="T3514">
        <f>IF(AND(NOT(ISBLANK(ReconciliationData[[#This Row],[End_Date]])),ReconciliationData[[#This Row],[Order_Date]]&gt;ReconciliationData[[#This Row],[End_Date]]),1,0)</f>
        <v>0</v>
      </c>
      <c r="U3514">
        <f>IF(AND(NOT(ISBLANK(ReconciliationData[[#This Row],[last_return_date]])),ReconciliationData[[#This Row],[last_return_date]]&gt;ReconciliationData[[#This Row],[Order_Date]]+60),1,0)</f>
        <v>0</v>
      </c>
      <c r="V3514">
        <f>IF(ReconciliationData[[#This Row],[total_returned_units]]&gt;ReconciliationData[[#This Row],[ordered_units]],1,0)</f>
        <v>0</v>
      </c>
      <c r="W35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14">
        <f>ReconciliationData[[#This Row],[Billed_Units]]*ReconciliationData[[#This Row],[Billed_Price]]</f>
        <v>11087.1072</v>
      </c>
      <c r="Y3514">
        <f>ReconciliationData[[#This Row],[ordered_units]]*ReconciliationData[[#This Row],[List_Price]]</f>
        <v>11087.1072</v>
      </c>
      <c r="Z3514">
        <f>ReconciliationData[[#This Row],[billed_revenue]]-ReconciliationData[[#This Row],[expected_revenue]]</f>
        <v>0</v>
      </c>
      <c r="AA35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14" t="str">
        <f>IF(ReconciliationData[[#This Row],[severity_score]]=0,"LOW",
 IF(ReconciliationData[[#This Row],[severity_score]]&lt;=5,"MEDIUM","HIGH"))</f>
        <v>LOW</v>
      </c>
      <c r="AC3514" t="str">
        <f>TEXT(ReconciliationData[[#This Row],[Order_Date]],"YYYY-MM")</f>
        <v>2024-02</v>
      </c>
    </row>
    <row r="3515" spans="1:29">
      <c r="A3515" t="s">
        <v>8250</v>
      </c>
      <c r="B3515" s="1">
        <v>45244</v>
      </c>
      <c r="C3515" t="s">
        <v>5961</v>
      </c>
      <c r="D3515" t="s">
        <v>3770</v>
      </c>
      <c r="E3515">
        <v>112</v>
      </c>
      <c r="F3515" t="s">
        <v>8251</v>
      </c>
      <c r="G3515">
        <v>112</v>
      </c>
      <c r="H3515">
        <v>724.16120000000001</v>
      </c>
      <c r="N3515">
        <v>724.16120000000001</v>
      </c>
      <c r="O3515" s="1">
        <v>45044</v>
      </c>
      <c r="P3515">
        <f>IF(ISBLANK(ReconciliationData[[#This Row],[Invoice_ID]]),1,0)</f>
        <v>0</v>
      </c>
      <c r="Q3515">
        <f>IF(AND(NOT(ISBLANK(ReconciliationData[[#This Row],[Billed_Units]])),ReconciliationData[[#This Row],[ordered_units]]&lt;&gt;ReconciliationData[[#This Row],[Billed_Units]]),1,0)</f>
        <v>0</v>
      </c>
      <c r="R35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15">
        <f>IF(AND(NOT(ISBLANK(ReconciliationData[[#This Row],[Contract_Price]])),ReconciliationData[[#This Row],[Billed_Price]]&lt;&gt;ReconciliationData[[#This Row],[Contract_Price]]),1,0)</f>
        <v>0</v>
      </c>
      <c r="T3515">
        <f>IF(AND(NOT(ISBLANK(ReconciliationData[[#This Row],[End_Date]])),ReconciliationData[[#This Row],[Order_Date]]&gt;ReconciliationData[[#This Row],[End_Date]]),1,0)</f>
        <v>0</v>
      </c>
      <c r="U3515">
        <f>IF(AND(NOT(ISBLANK(ReconciliationData[[#This Row],[last_return_date]])),ReconciliationData[[#This Row],[last_return_date]]&gt;ReconciliationData[[#This Row],[Order_Date]]+60),1,0)</f>
        <v>0</v>
      </c>
      <c r="V3515">
        <f>IF(ReconciliationData[[#This Row],[total_returned_units]]&gt;ReconciliationData[[#This Row],[ordered_units]],1,0)</f>
        <v>0</v>
      </c>
      <c r="W35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15">
        <f>ReconciliationData[[#This Row],[Billed_Units]]*ReconciliationData[[#This Row],[Billed_Price]]</f>
        <v>81106.054399999994</v>
      </c>
      <c r="Y3515">
        <f>ReconciliationData[[#This Row],[ordered_units]]*ReconciliationData[[#This Row],[List_Price]]</f>
        <v>81106.054399999994</v>
      </c>
      <c r="Z3515">
        <f>ReconciliationData[[#This Row],[billed_revenue]]-ReconciliationData[[#This Row],[expected_revenue]]</f>
        <v>0</v>
      </c>
      <c r="AA35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15" t="str">
        <f>IF(ReconciliationData[[#This Row],[severity_score]]=0,"LOW",
 IF(ReconciliationData[[#This Row],[severity_score]]&lt;=5,"MEDIUM","HIGH"))</f>
        <v>LOW</v>
      </c>
      <c r="AC3515" t="str">
        <f>TEXT(ReconciliationData[[#This Row],[Order_Date]],"YYYY-MM")</f>
        <v>2023-11</v>
      </c>
    </row>
    <row r="3516" spans="1:29">
      <c r="A3516" t="s">
        <v>8252</v>
      </c>
      <c r="B3516" s="1">
        <v>45411</v>
      </c>
      <c r="C3516" t="s">
        <v>1920</v>
      </c>
      <c r="D3516" t="s">
        <v>987</v>
      </c>
      <c r="E3516">
        <v>182</v>
      </c>
      <c r="F3516" t="s">
        <v>8253</v>
      </c>
      <c r="G3516">
        <v>182</v>
      </c>
      <c r="H3516">
        <v>232.3732</v>
      </c>
      <c r="N3516">
        <v>232.3732</v>
      </c>
      <c r="O3516" s="1">
        <v>45065</v>
      </c>
      <c r="P3516">
        <f>IF(ISBLANK(ReconciliationData[[#This Row],[Invoice_ID]]),1,0)</f>
        <v>0</v>
      </c>
      <c r="Q3516">
        <f>IF(AND(NOT(ISBLANK(ReconciliationData[[#This Row],[Billed_Units]])),ReconciliationData[[#This Row],[ordered_units]]&lt;&gt;ReconciliationData[[#This Row],[Billed_Units]]),1,0)</f>
        <v>0</v>
      </c>
      <c r="R35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16">
        <f>IF(AND(NOT(ISBLANK(ReconciliationData[[#This Row],[Contract_Price]])),ReconciliationData[[#This Row],[Billed_Price]]&lt;&gt;ReconciliationData[[#This Row],[Contract_Price]]),1,0)</f>
        <v>0</v>
      </c>
      <c r="T3516">
        <f>IF(AND(NOT(ISBLANK(ReconciliationData[[#This Row],[End_Date]])),ReconciliationData[[#This Row],[Order_Date]]&gt;ReconciliationData[[#This Row],[End_Date]]),1,0)</f>
        <v>0</v>
      </c>
      <c r="U3516">
        <f>IF(AND(NOT(ISBLANK(ReconciliationData[[#This Row],[last_return_date]])),ReconciliationData[[#This Row],[last_return_date]]&gt;ReconciliationData[[#This Row],[Order_Date]]+60),1,0)</f>
        <v>0</v>
      </c>
      <c r="V3516">
        <f>IF(ReconciliationData[[#This Row],[total_returned_units]]&gt;ReconciliationData[[#This Row],[ordered_units]],1,0)</f>
        <v>0</v>
      </c>
      <c r="W35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16">
        <f>ReconciliationData[[#This Row],[Billed_Units]]*ReconciliationData[[#This Row],[Billed_Price]]</f>
        <v>42291.922399999996</v>
      </c>
      <c r="Y3516">
        <f>ReconciliationData[[#This Row],[ordered_units]]*ReconciliationData[[#This Row],[List_Price]]</f>
        <v>42291.922399999996</v>
      </c>
      <c r="Z3516">
        <f>ReconciliationData[[#This Row],[billed_revenue]]-ReconciliationData[[#This Row],[expected_revenue]]</f>
        <v>0</v>
      </c>
      <c r="AA35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16" t="str">
        <f>IF(ReconciliationData[[#This Row],[severity_score]]=0,"LOW",
 IF(ReconciliationData[[#This Row],[severity_score]]&lt;=5,"MEDIUM","HIGH"))</f>
        <v>LOW</v>
      </c>
      <c r="AC3516" t="str">
        <f>TEXT(ReconciliationData[[#This Row],[Order_Date]],"YYYY-MM")</f>
        <v>2024-04</v>
      </c>
    </row>
    <row r="3517" spans="1:29">
      <c r="A3517" t="s">
        <v>8254</v>
      </c>
      <c r="B3517" s="1">
        <v>45556</v>
      </c>
      <c r="C3517" t="s">
        <v>312</v>
      </c>
      <c r="D3517" t="s">
        <v>360</v>
      </c>
      <c r="E3517">
        <v>154</v>
      </c>
      <c r="F3517" t="s">
        <v>8255</v>
      </c>
      <c r="G3517">
        <v>154</v>
      </c>
      <c r="H3517">
        <v>465.21179999999998</v>
      </c>
      <c r="N3517">
        <v>465.21179999999998</v>
      </c>
      <c r="O3517" s="1">
        <v>45137</v>
      </c>
      <c r="P3517">
        <f>IF(ISBLANK(ReconciliationData[[#This Row],[Invoice_ID]]),1,0)</f>
        <v>0</v>
      </c>
      <c r="Q3517">
        <f>IF(AND(NOT(ISBLANK(ReconciliationData[[#This Row],[Billed_Units]])),ReconciliationData[[#This Row],[ordered_units]]&lt;&gt;ReconciliationData[[#This Row],[Billed_Units]]),1,0)</f>
        <v>0</v>
      </c>
      <c r="R35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17">
        <f>IF(AND(NOT(ISBLANK(ReconciliationData[[#This Row],[Contract_Price]])),ReconciliationData[[#This Row],[Billed_Price]]&lt;&gt;ReconciliationData[[#This Row],[Contract_Price]]),1,0)</f>
        <v>0</v>
      </c>
      <c r="T3517">
        <f>IF(AND(NOT(ISBLANK(ReconciliationData[[#This Row],[End_Date]])),ReconciliationData[[#This Row],[Order_Date]]&gt;ReconciliationData[[#This Row],[End_Date]]),1,0)</f>
        <v>0</v>
      </c>
      <c r="U3517">
        <f>IF(AND(NOT(ISBLANK(ReconciliationData[[#This Row],[last_return_date]])),ReconciliationData[[#This Row],[last_return_date]]&gt;ReconciliationData[[#This Row],[Order_Date]]+60),1,0)</f>
        <v>0</v>
      </c>
      <c r="V3517">
        <f>IF(ReconciliationData[[#This Row],[total_returned_units]]&gt;ReconciliationData[[#This Row],[ordered_units]],1,0)</f>
        <v>0</v>
      </c>
      <c r="W35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17">
        <f>ReconciliationData[[#This Row],[Billed_Units]]*ReconciliationData[[#This Row],[Billed_Price]]</f>
        <v>71642.617199999993</v>
      </c>
      <c r="Y3517">
        <f>ReconciliationData[[#This Row],[ordered_units]]*ReconciliationData[[#This Row],[List_Price]]</f>
        <v>71642.617199999993</v>
      </c>
      <c r="Z3517">
        <f>ReconciliationData[[#This Row],[billed_revenue]]-ReconciliationData[[#This Row],[expected_revenue]]</f>
        <v>0</v>
      </c>
      <c r="AA35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17" t="str">
        <f>IF(ReconciliationData[[#This Row],[severity_score]]=0,"LOW",
 IF(ReconciliationData[[#This Row],[severity_score]]&lt;=5,"MEDIUM","HIGH"))</f>
        <v>LOW</v>
      </c>
      <c r="AC3517" t="str">
        <f>TEXT(ReconciliationData[[#This Row],[Order_Date]],"YYYY-MM")</f>
        <v>2024-09</v>
      </c>
    </row>
    <row r="3518" spans="1:29">
      <c r="A3518" t="s">
        <v>8256</v>
      </c>
      <c r="B3518" s="1">
        <v>44969</v>
      </c>
      <c r="C3518" t="s">
        <v>1132</v>
      </c>
      <c r="D3518" t="s">
        <v>4508</v>
      </c>
      <c r="E3518">
        <v>91</v>
      </c>
      <c r="F3518" t="s">
        <v>8257</v>
      </c>
      <c r="G3518">
        <v>91</v>
      </c>
      <c r="H3518">
        <v>728.84</v>
      </c>
      <c r="I3518">
        <v>1</v>
      </c>
      <c r="J3518" s="1">
        <v>45519</v>
      </c>
      <c r="N3518">
        <v>728.84</v>
      </c>
      <c r="O3518" s="1">
        <v>44626</v>
      </c>
      <c r="P3518">
        <f>IF(ISBLANK(ReconciliationData[[#This Row],[Invoice_ID]]),1,0)</f>
        <v>0</v>
      </c>
      <c r="Q3518">
        <f>IF(AND(NOT(ISBLANK(ReconciliationData[[#This Row],[Billed_Units]])),ReconciliationData[[#This Row],[ordered_units]]&lt;&gt;ReconciliationData[[#This Row],[Billed_Units]]),1,0)</f>
        <v>0</v>
      </c>
      <c r="R35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18">
        <f>IF(AND(NOT(ISBLANK(ReconciliationData[[#This Row],[Contract_Price]])),ReconciliationData[[#This Row],[Billed_Price]]&lt;&gt;ReconciliationData[[#This Row],[Contract_Price]]),1,0)</f>
        <v>0</v>
      </c>
      <c r="T3518">
        <f>IF(AND(NOT(ISBLANK(ReconciliationData[[#This Row],[End_Date]])),ReconciliationData[[#This Row],[Order_Date]]&gt;ReconciliationData[[#This Row],[End_Date]]),1,0)</f>
        <v>0</v>
      </c>
      <c r="U3518">
        <f>IF(AND(NOT(ISBLANK(ReconciliationData[[#This Row],[last_return_date]])),ReconciliationData[[#This Row],[last_return_date]]&gt;ReconciliationData[[#This Row],[Order_Date]]+60),1,0)</f>
        <v>1</v>
      </c>
      <c r="V3518">
        <f>IF(ReconciliationData[[#This Row],[total_returned_units]]&gt;ReconciliationData[[#This Row],[ordered_units]],1,0)</f>
        <v>0</v>
      </c>
      <c r="W35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18">
        <f>ReconciliationData[[#This Row],[Billed_Units]]*ReconciliationData[[#This Row],[Billed_Price]]</f>
        <v>66324.44</v>
      </c>
      <c r="Y3518">
        <f>ReconciliationData[[#This Row],[ordered_units]]*ReconciliationData[[#This Row],[List_Price]]</f>
        <v>66324.44</v>
      </c>
      <c r="Z3518">
        <f>ReconciliationData[[#This Row],[billed_revenue]]-ReconciliationData[[#This Row],[expected_revenue]]</f>
        <v>0</v>
      </c>
      <c r="AA35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518" t="str">
        <f>IF(ReconciliationData[[#This Row],[severity_score]]=0,"LOW",
 IF(ReconciliationData[[#This Row],[severity_score]]&lt;=5,"MEDIUM","HIGH"))</f>
        <v>MEDIUM</v>
      </c>
      <c r="AC3518" t="str">
        <f>TEXT(ReconciliationData[[#This Row],[Order_Date]],"YYYY-MM")</f>
        <v>2023-02</v>
      </c>
    </row>
    <row r="3519" spans="1:29">
      <c r="A3519" t="s">
        <v>8258</v>
      </c>
      <c r="B3519" s="1">
        <v>45177</v>
      </c>
      <c r="C3519" t="s">
        <v>3653</v>
      </c>
      <c r="D3519" t="s">
        <v>1671</v>
      </c>
      <c r="E3519">
        <v>79</v>
      </c>
      <c r="F3519" t="s">
        <v>8259</v>
      </c>
      <c r="G3519">
        <v>79</v>
      </c>
      <c r="H3519">
        <v>489.35803115938955</v>
      </c>
      <c r="N3519">
        <v>488.43360000000007</v>
      </c>
      <c r="O3519" s="1">
        <v>45107</v>
      </c>
      <c r="P3519">
        <f>IF(ISBLANK(ReconciliationData[[#This Row],[Invoice_ID]]),1,0)</f>
        <v>0</v>
      </c>
      <c r="Q3519">
        <f>IF(AND(NOT(ISBLANK(ReconciliationData[[#This Row],[Billed_Units]])),ReconciliationData[[#This Row],[ordered_units]]&lt;&gt;ReconciliationData[[#This Row],[Billed_Units]]),1,0)</f>
        <v>0</v>
      </c>
      <c r="R3519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519">
        <f>IF(AND(NOT(ISBLANK(ReconciliationData[[#This Row],[Contract_Price]])),ReconciliationData[[#This Row],[Billed_Price]]&lt;&gt;ReconciliationData[[#This Row],[Contract_Price]]),1,0)</f>
        <v>0</v>
      </c>
      <c r="T3519">
        <f>IF(AND(NOT(ISBLANK(ReconciliationData[[#This Row],[End_Date]])),ReconciliationData[[#This Row],[Order_Date]]&gt;ReconciliationData[[#This Row],[End_Date]]),1,0)</f>
        <v>0</v>
      </c>
      <c r="U3519">
        <f>IF(AND(NOT(ISBLANK(ReconciliationData[[#This Row],[last_return_date]])),ReconciliationData[[#This Row],[last_return_date]]&gt;ReconciliationData[[#This Row],[Order_Date]]+60),1,0)</f>
        <v>0</v>
      </c>
      <c r="V3519">
        <f>IF(ReconciliationData[[#This Row],[total_returned_units]]&gt;ReconciliationData[[#This Row],[ordered_units]],1,0)</f>
        <v>0</v>
      </c>
      <c r="W35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19">
        <f>ReconciliationData[[#This Row],[Billed_Units]]*ReconciliationData[[#This Row],[Billed_Price]]</f>
        <v>38659.284461591778</v>
      </c>
      <c r="Y3519">
        <f>ReconciliationData[[#This Row],[ordered_units]]*ReconciliationData[[#This Row],[List_Price]]</f>
        <v>38586.254400000005</v>
      </c>
      <c r="Z3519">
        <f>ReconciliationData[[#This Row],[billed_revenue]]-ReconciliationData[[#This Row],[expected_revenue]]</f>
        <v>73.030061591773119</v>
      </c>
      <c r="AA35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519" t="str">
        <f>IF(ReconciliationData[[#This Row],[severity_score]]=0,"LOW",
 IF(ReconciliationData[[#This Row],[severity_score]]&lt;=5,"MEDIUM","HIGH"))</f>
        <v>MEDIUM</v>
      </c>
      <c r="AC3519" t="str">
        <f>TEXT(ReconciliationData[[#This Row],[Order_Date]],"YYYY-MM")</f>
        <v>2023-09</v>
      </c>
    </row>
    <row r="3520" spans="1:29">
      <c r="A3520" t="s">
        <v>8260</v>
      </c>
      <c r="B3520" s="1">
        <v>45334</v>
      </c>
      <c r="C3520" t="s">
        <v>2742</v>
      </c>
      <c r="D3520" t="s">
        <v>856</v>
      </c>
      <c r="E3520">
        <v>100</v>
      </c>
      <c r="F3520" t="s">
        <v>8261</v>
      </c>
      <c r="G3520">
        <v>100</v>
      </c>
      <c r="H3520">
        <v>1195.6769999999999</v>
      </c>
      <c r="N3520">
        <v>1195.6769999999999</v>
      </c>
      <c r="O3520" s="1">
        <v>45010</v>
      </c>
      <c r="P3520">
        <f>IF(ISBLANK(ReconciliationData[[#This Row],[Invoice_ID]]),1,0)</f>
        <v>0</v>
      </c>
      <c r="Q3520">
        <f>IF(AND(NOT(ISBLANK(ReconciliationData[[#This Row],[Billed_Units]])),ReconciliationData[[#This Row],[ordered_units]]&lt;&gt;ReconciliationData[[#This Row],[Billed_Units]]),1,0)</f>
        <v>0</v>
      </c>
      <c r="R35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20">
        <f>IF(AND(NOT(ISBLANK(ReconciliationData[[#This Row],[Contract_Price]])),ReconciliationData[[#This Row],[Billed_Price]]&lt;&gt;ReconciliationData[[#This Row],[Contract_Price]]),1,0)</f>
        <v>0</v>
      </c>
      <c r="T3520">
        <f>IF(AND(NOT(ISBLANK(ReconciliationData[[#This Row],[End_Date]])),ReconciliationData[[#This Row],[Order_Date]]&gt;ReconciliationData[[#This Row],[End_Date]]),1,0)</f>
        <v>0</v>
      </c>
      <c r="U3520">
        <f>IF(AND(NOT(ISBLANK(ReconciliationData[[#This Row],[last_return_date]])),ReconciliationData[[#This Row],[last_return_date]]&gt;ReconciliationData[[#This Row],[Order_Date]]+60),1,0)</f>
        <v>0</v>
      </c>
      <c r="V3520">
        <f>IF(ReconciliationData[[#This Row],[total_returned_units]]&gt;ReconciliationData[[#This Row],[ordered_units]],1,0)</f>
        <v>0</v>
      </c>
      <c r="W35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20">
        <f>ReconciliationData[[#This Row],[Billed_Units]]*ReconciliationData[[#This Row],[Billed_Price]]</f>
        <v>119567.7</v>
      </c>
      <c r="Y3520">
        <f>ReconciliationData[[#This Row],[ordered_units]]*ReconciliationData[[#This Row],[List_Price]]</f>
        <v>119567.7</v>
      </c>
      <c r="Z3520">
        <f>ReconciliationData[[#This Row],[billed_revenue]]-ReconciliationData[[#This Row],[expected_revenue]]</f>
        <v>0</v>
      </c>
      <c r="AA35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20" t="str">
        <f>IF(ReconciliationData[[#This Row],[severity_score]]=0,"LOW",
 IF(ReconciliationData[[#This Row],[severity_score]]&lt;=5,"MEDIUM","HIGH"))</f>
        <v>LOW</v>
      </c>
      <c r="AC3520" t="str">
        <f>TEXT(ReconciliationData[[#This Row],[Order_Date]],"YYYY-MM")</f>
        <v>2024-02</v>
      </c>
    </row>
    <row r="3521" spans="1:29">
      <c r="A3521" t="s">
        <v>8262</v>
      </c>
      <c r="B3521" s="1">
        <v>45501</v>
      </c>
      <c r="C3521" t="s">
        <v>4265</v>
      </c>
      <c r="D3521" t="s">
        <v>667</v>
      </c>
      <c r="E3521">
        <v>44</v>
      </c>
      <c r="F3521" t="s">
        <v>8263</v>
      </c>
      <c r="G3521">
        <v>44</v>
      </c>
      <c r="H3521">
        <v>989.96579999999994</v>
      </c>
      <c r="N3521">
        <v>989.96579999999994</v>
      </c>
      <c r="O3521" s="1">
        <v>44975</v>
      </c>
      <c r="P3521">
        <f>IF(ISBLANK(ReconciliationData[[#This Row],[Invoice_ID]]),1,0)</f>
        <v>0</v>
      </c>
      <c r="Q3521">
        <f>IF(AND(NOT(ISBLANK(ReconciliationData[[#This Row],[Billed_Units]])),ReconciliationData[[#This Row],[ordered_units]]&lt;&gt;ReconciliationData[[#This Row],[Billed_Units]]),1,0)</f>
        <v>0</v>
      </c>
      <c r="R35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21">
        <f>IF(AND(NOT(ISBLANK(ReconciliationData[[#This Row],[Contract_Price]])),ReconciliationData[[#This Row],[Billed_Price]]&lt;&gt;ReconciliationData[[#This Row],[Contract_Price]]),1,0)</f>
        <v>0</v>
      </c>
      <c r="T3521">
        <f>IF(AND(NOT(ISBLANK(ReconciliationData[[#This Row],[End_Date]])),ReconciliationData[[#This Row],[Order_Date]]&gt;ReconciliationData[[#This Row],[End_Date]]),1,0)</f>
        <v>0</v>
      </c>
      <c r="U3521">
        <f>IF(AND(NOT(ISBLANK(ReconciliationData[[#This Row],[last_return_date]])),ReconciliationData[[#This Row],[last_return_date]]&gt;ReconciliationData[[#This Row],[Order_Date]]+60),1,0)</f>
        <v>0</v>
      </c>
      <c r="V3521">
        <f>IF(ReconciliationData[[#This Row],[total_returned_units]]&gt;ReconciliationData[[#This Row],[ordered_units]],1,0)</f>
        <v>0</v>
      </c>
      <c r="W35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21">
        <f>ReconciliationData[[#This Row],[Billed_Units]]*ReconciliationData[[#This Row],[Billed_Price]]</f>
        <v>43558.495199999998</v>
      </c>
      <c r="Y3521">
        <f>ReconciliationData[[#This Row],[ordered_units]]*ReconciliationData[[#This Row],[List_Price]]</f>
        <v>43558.495199999998</v>
      </c>
      <c r="Z3521">
        <f>ReconciliationData[[#This Row],[billed_revenue]]-ReconciliationData[[#This Row],[expected_revenue]]</f>
        <v>0</v>
      </c>
      <c r="AA35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21" t="str">
        <f>IF(ReconciliationData[[#This Row],[severity_score]]=0,"LOW",
 IF(ReconciliationData[[#This Row],[severity_score]]&lt;=5,"MEDIUM","HIGH"))</f>
        <v>LOW</v>
      </c>
      <c r="AC3521" t="str">
        <f>TEXT(ReconciliationData[[#This Row],[Order_Date]],"YYYY-MM")</f>
        <v>2024-07</v>
      </c>
    </row>
    <row r="3522" spans="1:29">
      <c r="A3522" t="s">
        <v>8264</v>
      </c>
      <c r="B3522" s="1">
        <v>45564</v>
      </c>
      <c r="C3522" t="s">
        <v>161</v>
      </c>
      <c r="D3522" t="s">
        <v>2489</v>
      </c>
      <c r="E3522">
        <v>91</v>
      </c>
      <c r="F3522" t="s">
        <v>8265</v>
      </c>
      <c r="G3522">
        <v>91</v>
      </c>
      <c r="H3522">
        <v>544.5</v>
      </c>
      <c r="N3522">
        <v>544.5</v>
      </c>
      <c r="O3522" s="1">
        <v>45159</v>
      </c>
      <c r="P3522">
        <f>IF(ISBLANK(ReconciliationData[[#This Row],[Invoice_ID]]),1,0)</f>
        <v>0</v>
      </c>
      <c r="Q3522">
        <f>IF(AND(NOT(ISBLANK(ReconciliationData[[#This Row],[Billed_Units]])),ReconciliationData[[#This Row],[ordered_units]]&lt;&gt;ReconciliationData[[#This Row],[Billed_Units]]),1,0)</f>
        <v>0</v>
      </c>
      <c r="R35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22">
        <f>IF(AND(NOT(ISBLANK(ReconciliationData[[#This Row],[Contract_Price]])),ReconciliationData[[#This Row],[Billed_Price]]&lt;&gt;ReconciliationData[[#This Row],[Contract_Price]]),1,0)</f>
        <v>0</v>
      </c>
      <c r="T3522">
        <f>IF(AND(NOT(ISBLANK(ReconciliationData[[#This Row],[End_Date]])),ReconciliationData[[#This Row],[Order_Date]]&gt;ReconciliationData[[#This Row],[End_Date]]),1,0)</f>
        <v>0</v>
      </c>
      <c r="U3522">
        <f>IF(AND(NOT(ISBLANK(ReconciliationData[[#This Row],[last_return_date]])),ReconciliationData[[#This Row],[last_return_date]]&gt;ReconciliationData[[#This Row],[Order_Date]]+60),1,0)</f>
        <v>0</v>
      </c>
      <c r="V3522">
        <f>IF(ReconciliationData[[#This Row],[total_returned_units]]&gt;ReconciliationData[[#This Row],[ordered_units]],1,0)</f>
        <v>0</v>
      </c>
      <c r="W35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22">
        <f>ReconciliationData[[#This Row],[Billed_Units]]*ReconciliationData[[#This Row],[Billed_Price]]</f>
        <v>49549.5</v>
      </c>
      <c r="Y3522">
        <f>ReconciliationData[[#This Row],[ordered_units]]*ReconciliationData[[#This Row],[List_Price]]</f>
        <v>49549.5</v>
      </c>
      <c r="Z3522">
        <f>ReconciliationData[[#This Row],[billed_revenue]]-ReconciliationData[[#This Row],[expected_revenue]]</f>
        <v>0</v>
      </c>
      <c r="AA35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22" t="str">
        <f>IF(ReconciliationData[[#This Row],[severity_score]]=0,"LOW",
 IF(ReconciliationData[[#This Row],[severity_score]]&lt;=5,"MEDIUM","HIGH"))</f>
        <v>LOW</v>
      </c>
      <c r="AC3522" t="str">
        <f>TEXT(ReconciliationData[[#This Row],[Order_Date]],"YYYY-MM")</f>
        <v>2024-09</v>
      </c>
    </row>
    <row r="3523" spans="1:29">
      <c r="A3523" t="s">
        <v>8266</v>
      </c>
      <c r="B3523" s="1">
        <v>45100</v>
      </c>
      <c r="C3523" t="s">
        <v>3436</v>
      </c>
      <c r="D3523" t="s">
        <v>1848</v>
      </c>
      <c r="E3523">
        <v>126</v>
      </c>
      <c r="F3523" t="s">
        <v>8267</v>
      </c>
      <c r="G3523">
        <v>126</v>
      </c>
      <c r="H3523">
        <v>83.314999999999998</v>
      </c>
      <c r="N3523">
        <v>83.314999999999998</v>
      </c>
      <c r="O3523" s="1">
        <v>44819</v>
      </c>
      <c r="P3523">
        <f>IF(ISBLANK(ReconciliationData[[#This Row],[Invoice_ID]]),1,0)</f>
        <v>0</v>
      </c>
      <c r="Q3523">
        <f>IF(AND(NOT(ISBLANK(ReconciliationData[[#This Row],[Billed_Units]])),ReconciliationData[[#This Row],[ordered_units]]&lt;&gt;ReconciliationData[[#This Row],[Billed_Units]]),1,0)</f>
        <v>0</v>
      </c>
      <c r="R35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23">
        <f>IF(AND(NOT(ISBLANK(ReconciliationData[[#This Row],[Contract_Price]])),ReconciliationData[[#This Row],[Billed_Price]]&lt;&gt;ReconciliationData[[#This Row],[Contract_Price]]),1,0)</f>
        <v>0</v>
      </c>
      <c r="T3523">
        <f>IF(AND(NOT(ISBLANK(ReconciliationData[[#This Row],[End_Date]])),ReconciliationData[[#This Row],[Order_Date]]&gt;ReconciliationData[[#This Row],[End_Date]]),1,0)</f>
        <v>0</v>
      </c>
      <c r="U3523">
        <f>IF(AND(NOT(ISBLANK(ReconciliationData[[#This Row],[last_return_date]])),ReconciliationData[[#This Row],[last_return_date]]&gt;ReconciliationData[[#This Row],[Order_Date]]+60),1,0)</f>
        <v>0</v>
      </c>
      <c r="V3523">
        <f>IF(ReconciliationData[[#This Row],[total_returned_units]]&gt;ReconciliationData[[#This Row],[ordered_units]],1,0)</f>
        <v>0</v>
      </c>
      <c r="W35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23">
        <f>ReconciliationData[[#This Row],[Billed_Units]]*ReconciliationData[[#This Row],[Billed_Price]]</f>
        <v>10497.69</v>
      </c>
      <c r="Y3523">
        <f>ReconciliationData[[#This Row],[ordered_units]]*ReconciliationData[[#This Row],[List_Price]]</f>
        <v>10497.69</v>
      </c>
      <c r="Z3523">
        <f>ReconciliationData[[#This Row],[billed_revenue]]-ReconciliationData[[#This Row],[expected_revenue]]</f>
        <v>0</v>
      </c>
      <c r="AA35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23" t="str">
        <f>IF(ReconciliationData[[#This Row],[severity_score]]=0,"LOW",
 IF(ReconciliationData[[#This Row],[severity_score]]&lt;=5,"MEDIUM","HIGH"))</f>
        <v>LOW</v>
      </c>
      <c r="AC3523" t="str">
        <f>TEXT(ReconciliationData[[#This Row],[Order_Date]],"YYYY-MM")</f>
        <v>2023-06</v>
      </c>
    </row>
    <row r="3524" spans="1:29">
      <c r="A3524" t="s">
        <v>8268</v>
      </c>
      <c r="B3524" s="1">
        <v>45598</v>
      </c>
      <c r="C3524" t="s">
        <v>373</v>
      </c>
      <c r="D3524" t="s">
        <v>295</v>
      </c>
      <c r="E3524">
        <v>182</v>
      </c>
      <c r="F3524" t="s">
        <v>8269</v>
      </c>
      <c r="G3524">
        <v>182</v>
      </c>
      <c r="H3524">
        <v>862.73640000000012</v>
      </c>
      <c r="N3524">
        <v>862.73640000000012</v>
      </c>
      <c r="O3524" s="1">
        <v>45223</v>
      </c>
      <c r="P3524">
        <f>IF(ISBLANK(ReconciliationData[[#This Row],[Invoice_ID]]),1,0)</f>
        <v>0</v>
      </c>
      <c r="Q3524">
        <f>IF(AND(NOT(ISBLANK(ReconciliationData[[#This Row],[Billed_Units]])),ReconciliationData[[#This Row],[ordered_units]]&lt;&gt;ReconciliationData[[#This Row],[Billed_Units]]),1,0)</f>
        <v>0</v>
      </c>
      <c r="R35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24">
        <f>IF(AND(NOT(ISBLANK(ReconciliationData[[#This Row],[Contract_Price]])),ReconciliationData[[#This Row],[Billed_Price]]&lt;&gt;ReconciliationData[[#This Row],[Contract_Price]]),1,0)</f>
        <v>0</v>
      </c>
      <c r="T3524">
        <f>IF(AND(NOT(ISBLANK(ReconciliationData[[#This Row],[End_Date]])),ReconciliationData[[#This Row],[Order_Date]]&gt;ReconciliationData[[#This Row],[End_Date]]),1,0)</f>
        <v>0</v>
      </c>
      <c r="U3524">
        <f>IF(AND(NOT(ISBLANK(ReconciliationData[[#This Row],[last_return_date]])),ReconciliationData[[#This Row],[last_return_date]]&gt;ReconciliationData[[#This Row],[Order_Date]]+60),1,0)</f>
        <v>0</v>
      </c>
      <c r="V3524">
        <f>IF(ReconciliationData[[#This Row],[total_returned_units]]&gt;ReconciliationData[[#This Row],[ordered_units]],1,0)</f>
        <v>0</v>
      </c>
      <c r="W35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24">
        <f>ReconciliationData[[#This Row],[Billed_Units]]*ReconciliationData[[#This Row],[Billed_Price]]</f>
        <v>157018.02480000001</v>
      </c>
      <c r="Y3524">
        <f>ReconciliationData[[#This Row],[ordered_units]]*ReconciliationData[[#This Row],[List_Price]]</f>
        <v>157018.02480000001</v>
      </c>
      <c r="Z3524">
        <f>ReconciliationData[[#This Row],[billed_revenue]]-ReconciliationData[[#This Row],[expected_revenue]]</f>
        <v>0</v>
      </c>
      <c r="AA35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24" t="str">
        <f>IF(ReconciliationData[[#This Row],[severity_score]]=0,"LOW",
 IF(ReconciliationData[[#This Row],[severity_score]]&lt;=5,"MEDIUM","HIGH"))</f>
        <v>LOW</v>
      </c>
      <c r="AC3524" t="str">
        <f>TEXT(ReconciliationData[[#This Row],[Order_Date]],"YYYY-MM")</f>
        <v>2024-11</v>
      </c>
    </row>
    <row r="3525" spans="1:29">
      <c r="A3525" t="s">
        <v>8270</v>
      </c>
      <c r="B3525" s="1">
        <v>45132</v>
      </c>
      <c r="C3525" t="s">
        <v>3296</v>
      </c>
      <c r="D3525" t="s">
        <v>162</v>
      </c>
      <c r="E3525">
        <v>141</v>
      </c>
      <c r="F3525" t="s">
        <v>8271</v>
      </c>
      <c r="G3525">
        <v>141</v>
      </c>
      <c r="H3525">
        <v>510.91840000000002</v>
      </c>
      <c r="N3525">
        <v>510.91840000000002</v>
      </c>
      <c r="O3525" s="1">
        <v>44981</v>
      </c>
      <c r="P3525">
        <f>IF(ISBLANK(ReconciliationData[[#This Row],[Invoice_ID]]),1,0)</f>
        <v>0</v>
      </c>
      <c r="Q3525">
        <f>IF(AND(NOT(ISBLANK(ReconciliationData[[#This Row],[Billed_Units]])),ReconciliationData[[#This Row],[ordered_units]]&lt;&gt;ReconciliationData[[#This Row],[Billed_Units]]),1,0)</f>
        <v>0</v>
      </c>
      <c r="R35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25">
        <f>IF(AND(NOT(ISBLANK(ReconciliationData[[#This Row],[Contract_Price]])),ReconciliationData[[#This Row],[Billed_Price]]&lt;&gt;ReconciliationData[[#This Row],[Contract_Price]]),1,0)</f>
        <v>0</v>
      </c>
      <c r="T3525">
        <f>IF(AND(NOT(ISBLANK(ReconciliationData[[#This Row],[End_Date]])),ReconciliationData[[#This Row],[Order_Date]]&gt;ReconciliationData[[#This Row],[End_Date]]),1,0)</f>
        <v>0</v>
      </c>
      <c r="U3525">
        <f>IF(AND(NOT(ISBLANK(ReconciliationData[[#This Row],[last_return_date]])),ReconciliationData[[#This Row],[last_return_date]]&gt;ReconciliationData[[#This Row],[Order_Date]]+60),1,0)</f>
        <v>0</v>
      </c>
      <c r="V3525">
        <f>IF(ReconciliationData[[#This Row],[total_returned_units]]&gt;ReconciliationData[[#This Row],[ordered_units]],1,0)</f>
        <v>0</v>
      </c>
      <c r="W35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25">
        <f>ReconciliationData[[#This Row],[Billed_Units]]*ReconciliationData[[#This Row],[Billed_Price]]</f>
        <v>72039.494399999996</v>
      </c>
      <c r="Y3525">
        <f>ReconciliationData[[#This Row],[ordered_units]]*ReconciliationData[[#This Row],[List_Price]]</f>
        <v>72039.494399999996</v>
      </c>
      <c r="Z3525">
        <f>ReconciliationData[[#This Row],[billed_revenue]]-ReconciliationData[[#This Row],[expected_revenue]]</f>
        <v>0</v>
      </c>
      <c r="AA35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25" t="str">
        <f>IF(ReconciliationData[[#This Row],[severity_score]]=0,"LOW",
 IF(ReconciliationData[[#This Row],[severity_score]]&lt;=5,"MEDIUM","HIGH"))</f>
        <v>LOW</v>
      </c>
      <c r="AC3525" t="str">
        <f>TEXT(ReconciliationData[[#This Row],[Order_Date]],"YYYY-MM")</f>
        <v>2023-07</v>
      </c>
    </row>
    <row r="3526" spans="1:29">
      <c r="A3526" t="s">
        <v>8272</v>
      </c>
      <c r="B3526" s="1">
        <v>45303</v>
      </c>
      <c r="C3526" t="s">
        <v>5263</v>
      </c>
      <c r="D3526" t="s">
        <v>651</v>
      </c>
      <c r="E3526">
        <v>33</v>
      </c>
      <c r="F3526" t="s">
        <v>8273</v>
      </c>
      <c r="G3526">
        <v>33</v>
      </c>
      <c r="H3526">
        <v>214.6182</v>
      </c>
      <c r="N3526">
        <v>214.6182</v>
      </c>
      <c r="O3526" s="1">
        <v>45116</v>
      </c>
      <c r="P3526">
        <f>IF(ISBLANK(ReconciliationData[[#This Row],[Invoice_ID]]),1,0)</f>
        <v>0</v>
      </c>
      <c r="Q3526">
        <f>IF(AND(NOT(ISBLANK(ReconciliationData[[#This Row],[Billed_Units]])),ReconciliationData[[#This Row],[ordered_units]]&lt;&gt;ReconciliationData[[#This Row],[Billed_Units]]),1,0)</f>
        <v>0</v>
      </c>
      <c r="R35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26">
        <f>IF(AND(NOT(ISBLANK(ReconciliationData[[#This Row],[Contract_Price]])),ReconciliationData[[#This Row],[Billed_Price]]&lt;&gt;ReconciliationData[[#This Row],[Contract_Price]]),1,0)</f>
        <v>0</v>
      </c>
      <c r="T3526">
        <f>IF(AND(NOT(ISBLANK(ReconciliationData[[#This Row],[End_Date]])),ReconciliationData[[#This Row],[Order_Date]]&gt;ReconciliationData[[#This Row],[End_Date]]),1,0)</f>
        <v>0</v>
      </c>
      <c r="U3526">
        <f>IF(AND(NOT(ISBLANK(ReconciliationData[[#This Row],[last_return_date]])),ReconciliationData[[#This Row],[last_return_date]]&gt;ReconciliationData[[#This Row],[Order_Date]]+60),1,0)</f>
        <v>0</v>
      </c>
      <c r="V3526">
        <f>IF(ReconciliationData[[#This Row],[total_returned_units]]&gt;ReconciliationData[[#This Row],[ordered_units]],1,0)</f>
        <v>0</v>
      </c>
      <c r="W35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26">
        <f>ReconciliationData[[#This Row],[Billed_Units]]*ReconciliationData[[#This Row],[Billed_Price]]</f>
        <v>7082.4005999999999</v>
      </c>
      <c r="Y3526">
        <f>ReconciliationData[[#This Row],[ordered_units]]*ReconciliationData[[#This Row],[List_Price]]</f>
        <v>7082.4005999999999</v>
      </c>
      <c r="Z3526">
        <f>ReconciliationData[[#This Row],[billed_revenue]]-ReconciliationData[[#This Row],[expected_revenue]]</f>
        <v>0</v>
      </c>
      <c r="AA35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26" t="str">
        <f>IF(ReconciliationData[[#This Row],[severity_score]]=0,"LOW",
 IF(ReconciliationData[[#This Row],[severity_score]]&lt;=5,"MEDIUM","HIGH"))</f>
        <v>LOW</v>
      </c>
      <c r="AC3526" t="str">
        <f>TEXT(ReconciliationData[[#This Row],[Order_Date]],"YYYY-MM")</f>
        <v>2024-01</v>
      </c>
    </row>
    <row r="3527" spans="1:29">
      <c r="A3527" t="s">
        <v>8274</v>
      </c>
      <c r="B3527" s="1">
        <v>45364</v>
      </c>
      <c r="C3527" t="s">
        <v>2668</v>
      </c>
      <c r="D3527" t="s">
        <v>544</v>
      </c>
      <c r="E3527">
        <v>46</v>
      </c>
      <c r="F3527" t="s">
        <v>8275</v>
      </c>
      <c r="G3527">
        <v>46</v>
      </c>
      <c r="H3527">
        <v>765.52319999999997</v>
      </c>
      <c r="N3527">
        <v>765.52319999999997</v>
      </c>
      <c r="O3527" s="1">
        <v>45174</v>
      </c>
      <c r="P3527">
        <f>IF(ISBLANK(ReconciliationData[[#This Row],[Invoice_ID]]),1,0)</f>
        <v>0</v>
      </c>
      <c r="Q3527">
        <f>IF(AND(NOT(ISBLANK(ReconciliationData[[#This Row],[Billed_Units]])),ReconciliationData[[#This Row],[ordered_units]]&lt;&gt;ReconciliationData[[#This Row],[Billed_Units]]),1,0)</f>
        <v>0</v>
      </c>
      <c r="R35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27">
        <f>IF(AND(NOT(ISBLANK(ReconciliationData[[#This Row],[Contract_Price]])),ReconciliationData[[#This Row],[Billed_Price]]&lt;&gt;ReconciliationData[[#This Row],[Contract_Price]]),1,0)</f>
        <v>0</v>
      </c>
      <c r="T3527">
        <f>IF(AND(NOT(ISBLANK(ReconciliationData[[#This Row],[End_Date]])),ReconciliationData[[#This Row],[Order_Date]]&gt;ReconciliationData[[#This Row],[End_Date]]),1,0)</f>
        <v>0</v>
      </c>
      <c r="U3527">
        <f>IF(AND(NOT(ISBLANK(ReconciliationData[[#This Row],[last_return_date]])),ReconciliationData[[#This Row],[last_return_date]]&gt;ReconciliationData[[#This Row],[Order_Date]]+60),1,0)</f>
        <v>0</v>
      </c>
      <c r="V3527">
        <f>IF(ReconciliationData[[#This Row],[total_returned_units]]&gt;ReconciliationData[[#This Row],[ordered_units]],1,0)</f>
        <v>0</v>
      </c>
      <c r="W35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27">
        <f>ReconciliationData[[#This Row],[Billed_Units]]*ReconciliationData[[#This Row],[Billed_Price]]</f>
        <v>35214.067199999998</v>
      </c>
      <c r="Y3527">
        <f>ReconciliationData[[#This Row],[ordered_units]]*ReconciliationData[[#This Row],[List_Price]]</f>
        <v>35214.067199999998</v>
      </c>
      <c r="Z3527">
        <f>ReconciliationData[[#This Row],[billed_revenue]]-ReconciliationData[[#This Row],[expected_revenue]]</f>
        <v>0</v>
      </c>
      <c r="AA35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27" t="str">
        <f>IF(ReconciliationData[[#This Row],[severity_score]]=0,"LOW",
 IF(ReconciliationData[[#This Row],[severity_score]]&lt;=5,"MEDIUM","HIGH"))</f>
        <v>LOW</v>
      </c>
      <c r="AC3527" t="str">
        <f>TEXT(ReconciliationData[[#This Row],[Order_Date]],"YYYY-MM")</f>
        <v>2024-03</v>
      </c>
    </row>
    <row r="3528" spans="1:29">
      <c r="A3528" t="s">
        <v>8276</v>
      </c>
      <c r="B3528" s="1">
        <v>45371</v>
      </c>
      <c r="C3528" t="s">
        <v>141</v>
      </c>
      <c r="D3528" t="s">
        <v>445</v>
      </c>
      <c r="E3528">
        <v>46</v>
      </c>
      <c r="F3528" t="s">
        <v>8277</v>
      </c>
      <c r="G3528">
        <v>46</v>
      </c>
      <c r="H3528">
        <v>791.35360000000003</v>
      </c>
      <c r="N3528">
        <v>791.35360000000003</v>
      </c>
      <c r="O3528" s="1">
        <v>45097</v>
      </c>
      <c r="P3528">
        <f>IF(ISBLANK(ReconciliationData[[#This Row],[Invoice_ID]]),1,0)</f>
        <v>0</v>
      </c>
      <c r="Q3528">
        <f>IF(AND(NOT(ISBLANK(ReconciliationData[[#This Row],[Billed_Units]])),ReconciliationData[[#This Row],[ordered_units]]&lt;&gt;ReconciliationData[[#This Row],[Billed_Units]]),1,0)</f>
        <v>0</v>
      </c>
      <c r="R35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28">
        <f>IF(AND(NOT(ISBLANK(ReconciliationData[[#This Row],[Contract_Price]])),ReconciliationData[[#This Row],[Billed_Price]]&lt;&gt;ReconciliationData[[#This Row],[Contract_Price]]),1,0)</f>
        <v>0</v>
      </c>
      <c r="T3528">
        <f>IF(AND(NOT(ISBLANK(ReconciliationData[[#This Row],[End_Date]])),ReconciliationData[[#This Row],[Order_Date]]&gt;ReconciliationData[[#This Row],[End_Date]]),1,0)</f>
        <v>0</v>
      </c>
      <c r="U3528">
        <f>IF(AND(NOT(ISBLANK(ReconciliationData[[#This Row],[last_return_date]])),ReconciliationData[[#This Row],[last_return_date]]&gt;ReconciliationData[[#This Row],[Order_Date]]+60),1,0)</f>
        <v>0</v>
      </c>
      <c r="V3528">
        <f>IF(ReconciliationData[[#This Row],[total_returned_units]]&gt;ReconciliationData[[#This Row],[ordered_units]],1,0)</f>
        <v>0</v>
      </c>
      <c r="W35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28">
        <f>ReconciliationData[[#This Row],[Billed_Units]]*ReconciliationData[[#This Row],[Billed_Price]]</f>
        <v>36402.265599999999</v>
      </c>
      <c r="Y3528">
        <f>ReconciliationData[[#This Row],[ordered_units]]*ReconciliationData[[#This Row],[List_Price]]</f>
        <v>36402.265599999999</v>
      </c>
      <c r="Z3528">
        <f>ReconciliationData[[#This Row],[billed_revenue]]-ReconciliationData[[#This Row],[expected_revenue]]</f>
        <v>0</v>
      </c>
      <c r="AA35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28" t="str">
        <f>IF(ReconciliationData[[#This Row],[severity_score]]=0,"LOW",
 IF(ReconciliationData[[#This Row],[severity_score]]&lt;=5,"MEDIUM","HIGH"))</f>
        <v>LOW</v>
      </c>
      <c r="AC3528" t="str">
        <f>TEXT(ReconciliationData[[#This Row],[Order_Date]],"YYYY-MM")</f>
        <v>2024-03</v>
      </c>
    </row>
    <row r="3529" spans="1:29">
      <c r="A3529" t="s">
        <v>8278</v>
      </c>
      <c r="B3529" s="1">
        <v>45040</v>
      </c>
      <c r="C3529" t="s">
        <v>2190</v>
      </c>
      <c r="D3529" t="s">
        <v>1567</v>
      </c>
      <c r="E3529">
        <v>11</v>
      </c>
      <c r="F3529" t="s">
        <v>8279</v>
      </c>
      <c r="G3529">
        <v>11</v>
      </c>
      <c r="H3529">
        <v>747.51</v>
      </c>
      <c r="N3529">
        <v>747.51</v>
      </c>
      <c r="O3529" s="1">
        <v>44582</v>
      </c>
      <c r="P3529">
        <f>IF(ISBLANK(ReconciliationData[[#This Row],[Invoice_ID]]),1,0)</f>
        <v>0</v>
      </c>
      <c r="Q3529">
        <f>IF(AND(NOT(ISBLANK(ReconciliationData[[#This Row],[Billed_Units]])),ReconciliationData[[#This Row],[ordered_units]]&lt;&gt;ReconciliationData[[#This Row],[Billed_Units]]),1,0)</f>
        <v>0</v>
      </c>
      <c r="R35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29">
        <f>IF(AND(NOT(ISBLANK(ReconciliationData[[#This Row],[Contract_Price]])),ReconciliationData[[#This Row],[Billed_Price]]&lt;&gt;ReconciliationData[[#This Row],[Contract_Price]]),1,0)</f>
        <v>0</v>
      </c>
      <c r="T3529">
        <f>IF(AND(NOT(ISBLANK(ReconciliationData[[#This Row],[End_Date]])),ReconciliationData[[#This Row],[Order_Date]]&gt;ReconciliationData[[#This Row],[End_Date]]),1,0)</f>
        <v>0</v>
      </c>
      <c r="U3529">
        <f>IF(AND(NOT(ISBLANK(ReconciliationData[[#This Row],[last_return_date]])),ReconciliationData[[#This Row],[last_return_date]]&gt;ReconciliationData[[#This Row],[Order_Date]]+60),1,0)</f>
        <v>0</v>
      </c>
      <c r="V3529">
        <f>IF(ReconciliationData[[#This Row],[total_returned_units]]&gt;ReconciliationData[[#This Row],[ordered_units]],1,0)</f>
        <v>0</v>
      </c>
      <c r="W35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29">
        <f>ReconciliationData[[#This Row],[Billed_Units]]*ReconciliationData[[#This Row],[Billed_Price]]</f>
        <v>8222.61</v>
      </c>
      <c r="Y3529">
        <f>ReconciliationData[[#This Row],[ordered_units]]*ReconciliationData[[#This Row],[List_Price]]</f>
        <v>8222.61</v>
      </c>
      <c r="Z3529">
        <f>ReconciliationData[[#This Row],[billed_revenue]]-ReconciliationData[[#This Row],[expected_revenue]]</f>
        <v>0</v>
      </c>
      <c r="AA35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29" t="str">
        <f>IF(ReconciliationData[[#This Row],[severity_score]]=0,"LOW",
 IF(ReconciliationData[[#This Row],[severity_score]]&lt;=5,"MEDIUM","HIGH"))</f>
        <v>LOW</v>
      </c>
      <c r="AC3529" t="str">
        <f>TEXT(ReconciliationData[[#This Row],[Order_Date]],"YYYY-MM")</f>
        <v>2023-04</v>
      </c>
    </row>
    <row r="3530" spans="1:29">
      <c r="A3530" t="s">
        <v>8280</v>
      </c>
      <c r="B3530" s="1">
        <v>45295</v>
      </c>
      <c r="C3530" t="s">
        <v>4117</v>
      </c>
      <c r="D3530" t="s">
        <v>1273</v>
      </c>
      <c r="E3530">
        <v>113</v>
      </c>
      <c r="F3530" t="s">
        <v>8281</v>
      </c>
      <c r="G3530">
        <v>113</v>
      </c>
      <c r="H3530">
        <v>1030.7952</v>
      </c>
      <c r="N3530">
        <v>1030.7952</v>
      </c>
      <c r="O3530" s="1">
        <v>45154</v>
      </c>
      <c r="P3530">
        <f>IF(ISBLANK(ReconciliationData[[#This Row],[Invoice_ID]]),1,0)</f>
        <v>0</v>
      </c>
      <c r="Q3530">
        <f>IF(AND(NOT(ISBLANK(ReconciliationData[[#This Row],[Billed_Units]])),ReconciliationData[[#This Row],[ordered_units]]&lt;&gt;ReconciliationData[[#This Row],[Billed_Units]]),1,0)</f>
        <v>0</v>
      </c>
      <c r="R35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30">
        <f>IF(AND(NOT(ISBLANK(ReconciliationData[[#This Row],[Contract_Price]])),ReconciliationData[[#This Row],[Billed_Price]]&lt;&gt;ReconciliationData[[#This Row],[Contract_Price]]),1,0)</f>
        <v>0</v>
      </c>
      <c r="T3530">
        <f>IF(AND(NOT(ISBLANK(ReconciliationData[[#This Row],[End_Date]])),ReconciliationData[[#This Row],[Order_Date]]&gt;ReconciliationData[[#This Row],[End_Date]]),1,0)</f>
        <v>0</v>
      </c>
      <c r="U3530">
        <f>IF(AND(NOT(ISBLANK(ReconciliationData[[#This Row],[last_return_date]])),ReconciliationData[[#This Row],[last_return_date]]&gt;ReconciliationData[[#This Row],[Order_Date]]+60),1,0)</f>
        <v>0</v>
      </c>
      <c r="V3530">
        <f>IF(ReconciliationData[[#This Row],[total_returned_units]]&gt;ReconciliationData[[#This Row],[ordered_units]],1,0)</f>
        <v>0</v>
      </c>
      <c r="W35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30">
        <f>ReconciliationData[[#This Row],[Billed_Units]]*ReconciliationData[[#This Row],[Billed_Price]]</f>
        <v>116479.8576</v>
      </c>
      <c r="Y3530">
        <f>ReconciliationData[[#This Row],[ordered_units]]*ReconciliationData[[#This Row],[List_Price]]</f>
        <v>116479.8576</v>
      </c>
      <c r="Z3530">
        <f>ReconciliationData[[#This Row],[billed_revenue]]-ReconciliationData[[#This Row],[expected_revenue]]</f>
        <v>0</v>
      </c>
      <c r="AA35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30" t="str">
        <f>IF(ReconciliationData[[#This Row],[severity_score]]=0,"LOW",
 IF(ReconciliationData[[#This Row],[severity_score]]&lt;=5,"MEDIUM","HIGH"))</f>
        <v>LOW</v>
      </c>
      <c r="AC3530" t="str">
        <f>TEXT(ReconciliationData[[#This Row],[Order_Date]],"YYYY-MM")</f>
        <v>2024-01</v>
      </c>
    </row>
    <row r="3531" spans="1:29">
      <c r="A3531" t="s">
        <v>8282</v>
      </c>
      <c r="B3531" s="1">
        <v>45030</v>
      </c>
      <c r="C3531" t="s">
        <v>1781</v>
      </c>
      <c r="D3531" t="s">
        <v>404</v>
      </c>
      <c r="E3531">
        <v>125</v>
      </c>
      <c r="F3531" t="s">
        <v>8283</v>
      </c>
      <c r="G3531">
        <v>125</v>
      </c>
      <c r="H3531">
        <v>1129.6166000000001</v>
      </c>
      <c r="N3531">
        <v>1129.6166000000001</v>
      </c>
      <c r="O3531" s="1">
        <v>44960</v>
      </c>
      <c r="P3531">
        <f>IF(ISBLANK(ReconciliationData[[#This Row],[Invoice_ID]]),1,0)</f>
        <v>0</v>
      </c>
      <c r="Q3531">
        <f>IF(AND(NOT(ISBLANK(ReconciliationData[[#This Row],[Billed_Units]])),ReconciliationData[[#This Row],[ordered_units]]&lt;&gt;ReconciliationData[[#This Row],[Billed_Units]]),1,0)</f>
        <v>0</v>
      </c>
      <c r="R35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31">
        <f>IF(AND(NOT(ISBLANK(ReconciliationData[[#This Row],[Contract_Price]])),ReconciliationData[[#This Row],[Billed_Price]]&lt;&gt;ReconciliationData[[#This Row],[Contract_Price]]),1,0)</f>
        <v>0</v>
      </c>
      <c r="T3531">
        <f>IF(AND(NOT(ISBLANK(ReconciliationData[[#This Row],[End_Date]])),ReconciliationData[[#This Row],[Order_Date]]&gt;ReconciliationData[[#This Row],[End_Date]]),1,0)</f>
        <v>0</v>
      </c>
      <c r="U3531">
        <f>IF(AND(NOT(ISBLANK(ReconciliationData[[#This Row],[last_return_date]])),ReconciliationData[[#This Row],[last_return_date]]&gt;ReconciliationData[[#This Row],[Order_Date]]+60),1,0)</f>
        <v>0</v>
      </c>
      <c r="V3531">
        <f>IF(ReconciliationData[[#This Row],[total_returned_units]]&gt;ReconciliationData[[#This Row],[ordered_units]],1,0)</f>
        <v>0</v>
      </c>
      <c r="W35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31">
        <f>ReconciliationData[[#This Row],[Billed_Units]]*ReconciliationData[[#This Row],[Billed_Price]]</f>
        <v>141202.07500000001</v>
      </c>
      <c r="Y3531">
        <f>ReconciliationData[[#This Row],[ordered_units]]*ReconciliationData[[#This Row],[List_Price]]</f>
        <v>141202.07500000001</v>
      </c>
      <c r="Z3531">
        <f>ReconciliationData[[#This Row],[billed_revenue]]-ReconciliationData[[#This Row],[expected_revenue]]</f>
        <v>0</v>
      </c>
      <c r="AA35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31" t="str">
        <f>IF(ReconciliationData[[#This Row],[severity_score]]=0,"LOW",
 IF(ReconciliationData[[#This Row],[severity_score]]&lt;=5,"MEDIUM","HIGH"))</f>
        <v>LOW</v>
      </c>
      <c r="AC3531" t="str">
        <f>TEXT(ReconciliationData[[#This Row],[Order_Date]],"YYYY-MM")</f>
        <v>2023-04</v>
      </c>
    </row>
    <row r="3532" spans="1:29">
      <c r="A3532" t="s">
        <v>8284</v>
      </c>
      <c r="B3532" s="1">
        <v>45648</v>
      </c>
      <c r="C3532" t="s">
        <v>4110</v>
      </c>
      <c r="D3532" t="s">
        <v>449</v>
      </c>
      <c r="E3532">
        <v>197</v>
      </c>
      <c r="F3532" t="s">
        <v>8285</v>
      </c>
      <c r="G3532">
        <v>197</v>
      </c>
      <c r="H3532">
        <v>1006.5033</v>
      </c>
      <c r="N3532">
        <v>1006.5033</v>
      </c>
      <c r="O3532" s="1">
        <v>45123</v>
      </c>
      <c r="P3532">
        <f>IF(ISBLANK(ReconciliationData[[#This Row],[Invoice_ID]]),1,0)</f>
        <v>0</v>
      </c>
      <c r="Q3532">
        <f>IF(AND(NOT(ISBLANK(ReconciliationData[[#This Row],[Billed_Units]])),ReconciliationData[[#This Row],[ordered_units]]&lt;&gt;ReconciliationData[[#This Row],[Billed_Units]]),1,0)</f>
        <v>0</v>
      </c>
      <c r="R35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32">
        <f>IF(AND(NOT(ISBLANK(ReconciliationData[[#This Row],[Contract_Price]])),ReconciliationData[[#This Row],[Billed_Price]]&lt;&gt;ReconciliationData[[#This Row],[Contract_Price]]),1,0)</f>
        <v>0</v>
      </c>
      <c r="T3532">
        <f>IF(AND(NOT(ISBLANK(ReconciliationData[[#This Row],[End_Date]])),ReconciliationData[[#This Row],[Order_Date]]&gt;ReconciliationData[[#This Row],[End_Date]]),1,0)</f>
        <v>0</v>
      </c>
      <c r="U3532">
        <f>IF(AND(NOT(ISBLANK(ReconciliationData[[#This Row],[last_return_date]])),ReconciliationData[[#This Row],[last_return_date]]&gt;ReconciliationData[[#This Row],[Order_Date]]+60),1,0)</f>
        <v>0</v>
      </c>
      <c r="V3532">
        <f>IF(ReconciliationData[[#This Row],[total_returned_units]]&gt;ReconciliationData[[#This Row],[ordered_units]],1,0)</f>
        <v>0</v>
      </c>
      <c r="W35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32">
        <f>ReconciliationData[[#This Row],[Billed_Units]]*ReconciliationData[[#This Row],[Billed_Price]]</f>
        <v>198281.1501</v>
      </c>
      <c r="Y3532">
        <f>ReconciliationData[[#This Row],[ordered_units]]*ReconciliationData[[#This Row],[List_Price]]</f>
        <v>198281.1501</v>
      </c>
      <c r="Z3532">
        <f>ReconciliationData[[#This Row],[billed_revenue]]-ReconciliationData[[#This Row],[expected_revenue]]</f>
        <v>0</v>
      </c>
      <c r="AA35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32" t="str">
        <f>IF(ReconciliationData[[#This Row],[severity_score]]=0,"LOW",
 IF(ReconciliationData[[#This Row],[severity_score]]&lt;=5,"MEDIUM","HIGH"))</f>
        <v>LOW</v>
      </c>
      <c r="AC3532" t="str">
        <f>TEXT(ReconciliationData[[#This Row],[Order_Date]],"YYYY-MM")</f>
        <v>2024-12</v>
      </c>
    </row>
    <row r="3533" spans="1:29">
      <c r="A3533" t="s">
        <v>8286</v>
      </c>
      <c r="B3533" s="1">
        <v>44994</v>
      </c>
      <c r="C3533" t="s">
        <v>373</v>
      </c>
      <c r="D3533" t="s">
        <v>898</v>
      </c>
      <c r="E3533">
        <v>1</v>
      </c>
      <c r="F3533" t="s">
        <v>8287</v>
      </c>
      <c r="G3533">
        <v>1</v>
      </c>
      <c r="H3533">
        <v>775.08529999999996</v>
      </c>
      <c r="N3533">
        <v>775.08529999999996</v>
      </c>
      <c r="O3533" s="1">
        <v>44892</v>
      </c>
      <c r="P3533">
        <f>IF(ISBLANK(ReconciliationData[[#This Row],[Invoice_ID]]),1,0)</f>
        <v>0</v>
      </c>
      <c r="Q3533">
        <f>IF(AND(NOT(ISBLANK(ReconciliationData[[#This Row],[Billed_Units]])),ReconciliationData[[#This Row],[ordered_units]]&lt;&gt;ReconciliationData[[#This Row],[Billed_Units]]),1,0)</f>
        <v>0</v>
      </c>
      <c r="R35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33">
        <f>IF(AND(NOT(ISBLANK(ReconciliationData[[#This Row],[Contract_Price]])),ReconciliationData[[#This Row],[Billed_Price]]&lt;&gt;ReconciliationData[[#This Row],[Contract_Price]]),1,0)</f>
        <v>0</v>
      </c>
      <c r="T3533">
        <f>IF(AND(NOT(ISBLANK(ReconciliationData[[#This Row],[End_Date]])),ReconciliationData[[#This Row],[Order_Date]]&gt;ReconciliationData[[#This Row],[End_Date]]),1,0)</f>
        <v>0</v>
      </c>
      <c r="U3533">
        <f>IF(AND(NOT(ISBLANK(ReconciliationData[[#This Row],[last_return_date]])),ReconciliationData[[#This Row],[last_return_date]]&gt;ReconciliationData[[#This Row],[Order_Date]]+60),1,0)</f>
        <v>0</v>
      </c>
      <c r="V3533">
        <f>IF(ReconciliationData[[#This Row],[total_returned_units]]&gt;ReconciliationData[[#This Row],[ordered_units]],1,0)</f>
        <v>0</v>
      </c>
      <c r="W35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33">
        <f>ReconciliationData[[#This Row],[Billed_Units]]*ReconciliationData[[#This Row],[Billed_Price]]</f>
        <v>775.08529999999996</v>
      </c>
      <c r="Y3533">
        <f>ReconciliationData[[#This Row],[ordered_units]]*ReconciliationData[[#This Row],[List_Price]]</f>
        <v>775.08529999999996</v>
      </c>
      <c r="Z3533">
        <f>ReconciliationData[[#This Row],[billed_revenue]]-ReconciliationData[[#This Row],[expected_revenue]]</f>
        <v>0</v>
      </c>
      <c r="AA35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33" t="str">
        <f>IF(ReconciliationData[[#This Row],[severity_score]]=0,"LOW",
 IF(ReconciliationData[[#This Row],[severity_score]]&lt;=5,"MEDIUM","HIGH"))</f>
        <v>LOW</v>
      </c>
      <c r="AC3533" t="str">
        <f>TEXT(ReconciliationData[[#This Row],[Order_Date]],"YYYY-MM")</f>
        <v>2023-03</v>
      </c>
    </row>
    <row r="3534" spans="1:29">
      <c r="A3534" t="s">
        <v>8288</v>
      </c>
      <c r="B3534" s="1">
        <v>45647</v>
      </c>
      <c r="C3534" t="s">
        <v>700</v>
      </c>
      <c r="D3534" t="s">
        <v>291</v>
      </c>
      <c r="E3534">
        <v>151</v>
      </c>
      <c r="F3534" t="s">
        <v>8289</v>
      </c>
      <c r="G3534">
        <v>151</v>
      </c>
      <c r="H3534">
        <v>455.18812835027614</v>
      </c>
      <c r="N3534">
        <v>454.98379999999997</v>
      </c>
      <c r="O3534" s="1">
        <v>45011</v>
      </c>
      <c r="P3534">
        <f>IF(ISBLANK(ReconciliationData[[#This Row],[Invoice_ID]]),1,0)</f>
        <v>0</v>
      </c>
      <c r="Q3534">
        <f>IF(AND(NOT(ISBLANK(ReconciliationData[[#This Row],[Billed_Units]])),ReconciliationData[[#This Row],[ordered_units]]&lt;&gt;ReconciliationData[[#This Row],[Billed_Units]]),1,0)</f>
        <v>0</v>
      </c>
      <c r="R353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534">
        <f>IF(AND(NOT(ISBLANK(ReconciliationData[[#This Row],[Contract_Price]])),ReconciliationData[[#This Row],[Billed_Price]]&lt;&gt;ReconciliationData[[#This Row],[Contract_Price]]),1,0)</f>
        <v>0</v>
      </c>
      <c r="T3534">
        <f>IF(AND(NOT(ISBLANK(ReconciliationData[[#This Row],[End_Date]])),ReconciliationData[[#This Row],[Order_Date]]&gt;ReconciliationData[[#This Row],[End_Date]]),1,0)</f>
        <v>0</v>
      </c>
      <c r="U3534">
        <f>IF(AND(NOT(ISBLANK(ReconciliationData[[#This Row],[last_return_date]])),ReconciliationData[[#This Row],[last_return_date]]&gt;ReconciliationData[[#This Row],[Order_Date]]+60),1,0)</f>
        <v>0</v>
      </c>
      <c r="V3534">
        <f>IF(ReconciliationData[[#This Row],[total_returned_units]]&gt;ReconciliationData[[#This Row],[ordered_units]],1,0)</f>
        <v>0</v>
      </c>
      <c r="W35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34">
        <f>ReconciliationData[[#This Row],[Billed_Units]]*ReconciliationData[[#This Row],[Billed_Price]]</f>
        <v>68733.407380891702</v>
      </c>
      <c r="Y3534">
        <f>ReconciliationData[[#This Row],[ordered_units]]*ReconciliationData[[#This Row],[List_Price]]</f>
        <v>68702.553799999994</v>
      </c>
      <c r="Z3534">
        <f>ReconciliationData[[#This Row],[billed_revenue]]-ReconciliationData[[#This Row],[expected_revenue]]</f>
        <v>30.853580891707679</v>
      </c>
      <c r="AA35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534" t="str">
        <f>IF(ReconciliationData[[#This Row],[severity_score]]=0,"LOW",
 IF(ReconciliationData[[#This Row],[severity_score]]&lt;=5,"MEDIUM","HIGH"))</f>
        <v>MEDIUM</v>
      </c>
      <c r="AC3534" t="str">
        <f>TEXT(ReconciliationData[[#This Row],[Order_Date]],"YYYY-MM")</f>
        <v>2024-12</v>
      </c>
    </row>
    <row r="3535" spans="1:29">
      <c r="A3535" t="s">
        <v>8290</v>
      </c>
      <c r="B3535" s="1">
        <v>45620</v>
      </c>
      <c r="C3535" t="s">
        <v>1033</v>
      </c>
      <c r="D3535" t="s">
        <v>1654</v>
      </c>
      <c r="E3535">
        <v>5</v>
      </c>
      <c r="F3535" t="s">
        <v>8291</v>
      </c>
      <c r="G3535">
        <v>5</v>
      </c>
      <c r="H3535">
        <v>1197.9306999999999</v>
      </c>
      <c r="N3535">
        <v>1197.9306999999999</v>
      </c>
      <c r="O3535" s="1">
        <v>45089</v>
      </c>
      <c r="P3535">
        <f>IF(ISBLANK(ReconciliationData[[#This Row],[Invoice_ID]]),1,0)</f>
        <v>0</v>
      </c>
      <c r="Q3535">
        <f>IF(AND(NOT(ISBLANK(ReconciliationData[[#This Row],[Billed_Units]])),ReconciliationData[[#This Row],[ordered_units]]&lt;&gt;ReconciliationData[[#This Row],[Billed_Units]]),1,0)</f>
        <v>0</v>
      </c>
      <c r="R35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35">
        <f>IF(AND(NOT(ISBLANK(ReconciliationData[[#This Row],[Contract_Price]])),ReconciliationData[[#This Row],[Billed_Price]]&lt;&gt;ReconciliationData[[#This Row],[Contract_Price]]),1,0)</f>
        <v>0</v>
      </c>
      <c r="T3535">
        <f>IF(AND(NOT(ISBLANK(ReconciliationData[[#This Row],[End_Date]])),ReconciliationData[[#This Row],[Order_Date]]&gt;ReconciliationData[[#This Row],[End_Date]]),1,0)</f>
        <v>0</v>
      </c>
      <c r="U3535">
        <f>IF(AND(NOT(ISBLANK(ReconciliationData[[#This Row],[last_return_date]])),ReconciliationData[[#This Row],[last_return_date]]&gt;ReconciliationData[[#This Row],[Order_Date]]+60),1,0)</f>
        <v>0</v>
      </c>
      <c r="V3535">
        <f>IF(ReconciliationData[[#This Row],[total_returned_units]]&gt;ReconciliationData[[#This Row],[ordered_units]],1,0)</f>
        <v>0</v>
      </c>
      <c r="W35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35">
        <f>ReconciliationData[[#This Row],[Billed_Units]]*ReconciliationData[[#This Row],[Billed_Price]]</f>
        <v>5989.6534999999994</v>
      </c>
      <c r="Y3535">
        <f>ReconciliationData[[#This Row],[ordered_units]]*ReconciliationData[[#This Row],[List_Price]]</f>
        <v>5989.6534999999994</v>
      </c>
      <c r="Z3535">
        <f>ReconciliationData[[#This Row],[billed_revenue]]-ReconciliationData[[#This Row],[expected_revenue]]</f>
        <v>0</v>
      </c>
      <c r="AA35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35" t="str">
        <f>IF(ReconciliationData[[#This Row],[severity_score]]=0,"LOW",
 IF(ReconciliationData[[#This Row],[severity_score]]&lt;=5,"MEDIUM","HIGH"))</f>
        <v>LOW</v>
      </c>
      <c r="AC3535" t="str">
        <f>TEXT(ReconciliationData[[#This Row],[Order_Date]],"YYYY-MM")</f>
        <v>2024-11</v>
      </c>
    </row>
    <row r="3536" spans="1:29">
      <c r="A3536" t="s">
        <v>8292</v>
      </c>
      <c r="B3536" s="1">
        <v>44977</v>
      </c>
      <c r="C3536" t="s">
        <v>933</v>
      </c>
      <c r="D3536" t="s">
        <v>757</v>
      </c>
      <c r="E3536">
        <v>115</v>
      </c>
      <c r="F3536" t="s">
        <v>8293</v>
      </c>
      <c r="G3536">
        <v>115</v>
      </c>
      <c r="H3536">
        <v>736.77120000000002</v>
      </c>
      <c r="N3536">
        <v>736.77120000000002</v>
      </c>
      <c r="O3536" s="1">
        <v>44923</v>
      </c>
      <c r="P3536">
        <f>IF(ISBLANK(ReconciliationData[[#This Row],[Invoice_ID]]),1,0)</f>
        <v>0</v>
      </c>
      <c r="Q3536">
        <f>IF(AND(NOT(ISBLANK(ReconciliationData[[#This Row],[Billed_Units]])),ReconciliationData[[#This Row],[ordered_units]]&lt;&gt;ReconciliationData[[#This Row],[Billed_Units]]),1,0)</f>
        <v>0</v>
      </c>
      <c r="R35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36">
        <f>IF(AND(NOT(ISBLANK(ReconciliationData[[#This Row],[Contract_Price]])),ReconciliationData[[#This Row],[Billed_Price]]&lt;&gt;ReconciliationData[[#This Row],[Contract_Price]]),1,0)</f>
        <v>0</v>
      </c>
      <c r="T3536">
        <f>IF(AND(NOT(ISBLANK(ReconciliationData[[#This Row],[End_Date]])),ReconciliationData[[#This Row],[Order_Date]]&gt;ReconciliationData[[#This Row],[End_Date]]),1,0)</f>
        <v>0</v>
      </c>
      <c r="U3536">
        <f>IF(AND(NOT(ISBLANK(ReconciliationData[[#This Row],[last_return_date]])),ReconciliationData[[#This Row],[last_return_date]]&gt;ReconciliationData[[#This Row],[Order_Date]]+60),1,0)</f>
        <v>0</v>
      </c>
      <c r="V3536">
        <f>IF(ReconciliationData[[#This Row],[total_returned_units]]&gt;ReconciliationData[[#This Row],[ordered_units]],1,0)</f>
        <v>0</v>
      </c>
      <c r="W35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36">
        <f>ReconciliationData[[#This Row],[Billed_Units]]*ReconciliationData[[#This Row],[Billed_Price]]</f>
        <v>84728.688000000009</v>
      </c>
      <c r="Y3536">
        <f>ReconciliationData[[#This Row],[ordered_units]]*ReconciliationData[[#This Row],[List_Price]]</f>
        <v>84728.688000000009</v>
      </c>
      <c r="Z3536">
        <f>ReconciliationData[[#This Row],[billed_revenue]]-ReconciliationData[[#This Row],[expected_revenue]]</f>
        <v>0</v>
      </c>
      <c r="AA35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36" t="str">
        <f>IF(ReconciliationData[[#This Row],[severity_score]]=0,"LOW",
 IF(ReconciliationData[[#This Row],[severity_score]]&lt;=5,"MEDIUM","HIGH"))</f>
        <v>LOW</v>
      </c>
      <c r="AC3536" t="str">
        <f>TEXT(ReconciliationData[[#This Row],[Order_Date]],"YYYY-MM")</f>
        <v>2023-02</v>
      </c>
    </row>
    <row r="3537" spans="1:29">
      <c r="A3537" t="s">
        <v>8294</v>
      </c>
      <c r="B3537" s="1">
        <v>45578</v>
      </c>
      <c r="C3537" t="s">
        <v>1241</v>
      </c>
      <c r="D3537" t="s">
        <v>821</v>
      </c>
      <c r="E3537">
        <v>152</v>
      </c>
      <c r="F3537" t="s">
        <v>8295</v>
      </c>
      <c r="G3537">
        <v>152</v>
      </c>
      <c r="H3537">
        <v>785.89</v>
      </c>
      <c r="N3537">
        <v>785.89</v>
      </c>
      <c r="O3537" s="1">
        <v>44989</v>
      </c>
      <c r="P3537">
        <f>IF(ISBLANK(ReconciliationData[[#This Row],[Invoice_ID]]),1,0)</f>
        <v>0</v>
      </c>
      <c r="Q3537">
        <f>IF(AND(NOT(ISBLANK(ReconciliationData[[#This Row],[Billed_Units]])),ReconciliationData[[#This Row],[ordered_units]]&lt;&gt;ReconciliationData[[#This Row],[Billed_Units]]),1,0)</f>
        <v>0</v>
      </c>
      <c r="R35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37">
        <f>IF(AND(NOT(ISBLANK(ReconciliationData[[#This Row],[Contract_Price]])),ReconciliationData[[#This Row],[Billed_Price]]&lt;&gt;ReconciliationData[[#This Row],[Contract_Price]]),1,0)</f>
        <v>0</v>
      </c>
      <c r="T3537">
        <f>IF(AND(NOT(ISBLANK(ReconciliationData[[#This Row],[End_Date]])),ReconciliationData[[#This Row],[Order_Date]]&gt;ReconciliationData[[#This Row],[End_Date]]),1,0)</f>
        <v>0</v>
      </c>
      <c r="U3537">
        <f>IF(AND(NOT(ISBLANK(ReconciliationData[[#This Row],[last_return_date]])),ReconciliationData[[#This Row],[last_return_date]]&gt;ReconciliationData[[#This Row],[Order_Date]]+60),1,0)</f>
        <v>0</v>
      </c>
      <c r="V3537">
        <f>IF(ReconciliationData[[#This Row],[total_returned_units]]&gt;ReconciliationData[[#This Row],[ordered_units]],1,0)</f>
        <v>0</v>
      </c>
      <c r="W35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37">
        <f>ReconciliationData[[#This Row],[Billed_Units]]*ReconciliationData[[#This Row],[Billed_Price]]</f>
        <v>119455.28</v>
      </c>
      <c r="Y3537">
        <f>ReconciliationData[[#This Row],[ordered_units]]*ReconciliationData[[#This Row],[List_Price]]</f>
        <v>119455.28</v>
      </c>
      <c r="Z3537">
        <f>ReconciliationData[[#This Row],[billed_revenue]]-ReconciliationData[[#This Row],[expected_revenue]]</f>
        <v>0</v>
      </c>
      <c r="AA35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37" t="str">
        <f>IF(ReconciliationData[[#This Row],[severity_score]]=0,"LOW",
 IF(ReconciliationData[[#This Row],[severity_score]]&lt;=5,"MEDIUM","HIGH"))</f>
        <v>LOW</v>
      </c>
      <c r="AC3537" t="str">
        <f>TEXT(ReconciliationData[[#This Row],[Order_Date]],"YYYY-MM")</f>
        <v>2024-10</v>
      </c>
    </row>
    <row r="3538" spans="1:29">
      <c r="A3538" t="s">
        <v>8296</v>
      </c>
      <c r="B3538" s="1">
        <v>45376</v>
      </c>
      <c r="C3538" t="s">
        <v>907</v>
      </c>
      <c r="D3538" t="s">
        <v>930</v>
      </c>
      <c r="E3538">
        <v>73</v>
      </c>
      <c r="F3538" t="s">
        <v>8297</v>
      </c>
      <c r="G3538">
        <v>73</v>
      </c>
      <c r="H3538">
        <v>159.06059999999999</v>
      </c>
      <c r="N3538">
        <v>159.06059999999999</v>
      </c>
      <c r="O3538" s="1">
        <v>44944</v>
      </c>
      <c r="P3538">
        <f>IF(ISBLANK(ReconciliationData[[#This Row],[Invoice_ID]]),1,0)</f>
        <v>0</v>
      </c>
      <c r="Q3538">
        <f>IF(AND(NOT(ISBLANK(ReconciliationData[[#This Row],[Billed_Units]])),ReconciliationData[[#This Row],[ordered_units]]&lt;&gt;ReconciliationData[[#This Row],[Billed_Units]]),1,0)</f>
        <v>0</v>
      </c>
      <c r="R35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38">
        <f>IF(AND(NOT(ISBLANK(ReconciliationData[[#This Row],[Contract_Price]])),ReconciliationData[[#This Row],[Billed_Price]]&lt;&gt;ReconciliationData[[#This Row],[Contract_Price]]),1,0)</f>
        <v>0</v>
      </c>
      <c r="T3538">
        <f>IF(AND(NOT(ISBLANK(ReconciliationData[[#This Row],[End_Date]])),ReconciliationData[[#This Row],[Order_Date]]&gt;ReconciliationData[[#This Row],[End_Date]]),1,0)</f>
        <v>0</v>
      </c>
      <c r="U3538">
        <f>IF(AND(NOT(ISBLANK(ReconciliationData[[#This Row],[last_return_date]])),ReconciliationData[[#This Row],[last_return_date]]&gt;ReconciliationData[[#This Row],[Order_Date]]+60),1,0)</f>
        <v>0</v>
      </c>
      <c r="V3538">
        <f>IF(ReconciliationData[[#This Row],[total_returned_units]]&gt;ReconciliationData[[#This Row],[ordered_units]],1,0)</f>
        <v>0</v>
      </c>
      <c r="W35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38">
        <f>ReconciliationData[[#This Row],[Billed_Units]]*ReconciliationData[[#This Row],[Billed_Price]]</f>
        <v>11611.423799999999</v>
      </c>
      <c r="Y3538">
        <f>ReconciliationData[[#This Row],[ordered_units]]*ReconciliationData[[#This Row],[List_Price]]</f>
        <v>11611.423799999999</v>
      </c>
      <c r="Z3538">
        <f>ReconciliationData[[#This Row],[billed_revenue]]-ReconciliationData[[#This Row],[expected_revenue]]</f>
        <v>0</v>
      </c>
      <c r="AA35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38" t="str">
        <f>IF(ReconciliationData[[#This Row],[severity_score]]=0,"LOW",
 IF(ReconciliationData[[#This Row],[severity_score]]&lt;=5,"MEDIUM","HIGH"))</f>
        <v>LOW</v>
      </c>
      <c r="AC3538" t="str">
        <f>TEXT(ReconciliationData[[#This Row],[Order_Date]],"YYYY-MM")</f>
        <v>2024-03</v>
      </c>
    </row>
    <row r="3539" spans="1:29">
      <c r="A3539" t="s">
        <v>8298</v>
      </c>
      <c r="B3539" s="1">
        <v>45343</v>
      </c>
      <c r="C3539" t="s">
        <v>482</v>
      </c>
      <c r="D3539" t="s">
        <v>1706</v>
      </c>
      <c r="E3539">
        <v>102</v>
      </c>
      <c r="F3539" t="s">
        <v>8299</v>
      </c>
      <c r="G3539">
        <v>98</v>
      </c>
      <c r="H3539">
        <v>854.74350000000004</v>
      </c>
      <c r="N3539">
        <v>854.74350000000004</v>
      </c>
      <c r="O3539" s="1">
        <v>44984</v>
      </c>
      <c r="P3539">
        <f>IF(ISBLANK(ReconciliationData[[#This Row],[Invoice_ID]]),1,0)</f>
        <v>0</v>
      </c>
      <c r="Q3539">
        <f>IF(AND(NOT(ISBLANK(ReconciliationData[[#This Row],[Billed_Units]])),ReconciliationData[[#This Row],[ordered_units]]&lt;&gt;ReconciliationData[[#This Row],[Billed_Units]]),1,0)</f>
        <v>1</v>
      </c>
      <c r="R35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39">
        <f>IF(AND(NOT(ISBLANK(ReconciliationData[[#This Row],[Contract_Price]])),ReconciliationData[[#This Row],[Billed_Price]]&lt;&gt;ReconciliationData[[#This Row],[Contract_Price]]),1,0)</f>
        <v>0</v>
      </c>
      <c r="T3539">
        <f>IF(AND(NOT(ISBLANK(ReconciliationData[[#This Row],[End_Date]])),ReconciliationData[[#This Row],[Order_Date]]&gt;ReconciliationData[[#This Row],[End_Date]]),1,0)</f>
        <v>0</v>
      </c>
      <c r="U3539">
        <f>IF(AND(NOT(ISBLANK(ReconciliationData[[#This Row],[last_return_date]])),ReconciliationData[[#This Row],[last_return_date]]&gt;ReconciliationData[[#This Row],[Order_Date]]+60),1,0)</f>
        <v>0</v>
      </c>
      <c r="V3539">
        <f>IF(ReconciliationData[[#This Row],[total_returned_units]]&gt;ReconciliationData[[#This Row],[ordered_units]],1,0)</f>
        <v>0</v>
      </c>
      <c r="W35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39">
        <f>ReconciliationData[[#This Row],[Billed_Units]]*ReconciliationData[[#This Row],[Billed_Price]]</f>
        <v>83764.862999999998</v>
      </c>
      <c r="Y3539">
        <f>ReconciliationData[[#This Row],[ordered_units]]*ReconciliationData[[#This Row],[List_Price]]</f>
        <v>87183.837</v>
      </c>
      <c r="Z3539">
        <f>ReconciliationData[[#This Row],[billed_revenue]]-ReconciliationData[[#This Row],[expected_revenue]]</f>
        <v>-3418.974000000002</v>
      </c>
      <c r="AA35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539" t="str">
        <f>IF(ReconciliationData[[#This Row],[severity_score]]=0,"LOW",
 IF(ReconciliationData[[#This Row],[severity_score]]&lt;=5,"MEDIUM","HIGH"))</f>
        <v>HIGH</v>
      </c>
      <c r="AC3539" t="str">
        <f>TEXT(ReconciliationData[[#This Row],[Order_Date]],"YYYY-MM")</f>
        <v>2024-02</v>
      </c>
    </row>
    <row r="3540" spans="1:29">
      <c r="A3540" t="s">
        <v>8300</v>
      </c>
      <c r="B3540" s="1">
        <v>45239</v>
      </c>
      <c r="C3540" t="s">
        <v>3081</v>
      </c>
      <c r="D3540" t="s">
        <v>381</v>
      </c>
      <c r="E3540">
        <v>163</v>
      </c>
      <c r="F3540" t="s">
        <v>8301</v>
      </c>
      <c r="G3540">
        <v>168</v>
      </c>
      <c r="H3540">
        <v>942.54840000000013</v>
      </c>
      <c r="N3540">
        <v>942.54840000000013</v>
      </c>
      <c r="O3540" s="1">
        <v>45086</v>
      </c>
      <c r="P3540">
        <f>IF(ISBLANK(ReconciliationData[[#This Row],[Invoice_ID]]),1,0)</f>
        <v>0</v>
      </c>
      <c r="Q3540">
        <f>IF(AND(NOT(ISBLANK(ReconciliationData[[#This Row],[Billed_Units]])),ReconciliationData[[#This Row],[ordered_units]]&lt;&gt;ReconciliationData[[#This Row],[Billed_Units]]),1,0)</f>
        <v>1</v>
      </c>
      <c r="R35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0">
        <f>IF(AND(NOT(ISBLANK(ReconciliationData[[#This Row],[Contract_Price]])),ReconciliationData[[#This Row],[Billed_Price]]&lt;&gt;ReconciliationData[[#This Row],[Contract_Price]]),1,0)</f>
        <v>0</v>
      </c>
      <c r="T3540">
        <f>IF(AND(NOT(ISBLANK(ReconciliationData[[#This Row],[End_Date]])),ReconciliationData[[#This Row],[Order_Date]]&gt;ReconciliationData[[#This Row],[End_Date]]),1,0)</f>
        <v>0</v>
      </c>
      <c r="U3540">
        <f>IF(AND(NOT(ISBLANK(ReconciliationData[[#This Row],[last_return_date]])),ReconciliationData[[#This Row],[last_return_date]]&gt;ReconciliationData[[#This Row],[Order_Date]]+60),1,0)</f>
        <v>0</v>
      </c>
      <c r="V3540">
        <f>IF(ReconciliationData[[#This Row],[total_returned_units]]&gt;ReconciliationData[[#This Row],[ordered_units]],1,0)</f>
        <v>0</v>
      </c>
      <c r="W35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40">
        <f>ReconciliationData[[#This Row],[Billed_Units]]*ReconciliationData[[#This Row],[Billed_Price]]</f>
        <v>158348.13120000003</v>
      </c>
      <c r="Y3540">
        <f>ReconciliationData[[#This Row],[ordered_units]]*ReconciliationData[[#This Row],[List_Price]]</f>
        <v>153635.38920000003</v>
      </c>
      <c r="Z3540">
        <f>ReconciliationData[[#This Row],[billed_revenue]]-ReconciliationData[[#This Row],[expected_revenue]]</f>
        <v>4712.7419999999984</v>
      </c>
      <c r="AA35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540" t="str">
        <f>IF(ReconciliationData[[#This Row],[severity_score]]=0,"LOW",
 IF(ReconciliationData[[#This Row],[severity_score]]&lt;=5,"MEDIUM","HIGH"))</f>
        <v>HIGH</v>
      </c>
      <c r="AC3540" t="str">
        <f>TEXT(ReconciliationData[[#This Row],[Order_Date]],"YYYY-MM")</f>
        <v>2023-11</v>
      </c>
    </row>
    <row r="3541" spans="1:29">
      <c r="A3541" t="s">
        <v>8302</v>
      </c>
      <c r="B3541" s="1">
        <v>45575</v>
      </c>
      <c r="C3541" t="s">
        <v>1486</v>
      </c>
      <c r="D3541" t="s">
        <v>1298</v>
      </c>
      <c r="E3541">
        <v>74</v>
      </c>
      <c r="F3541" t="s">
        <v>8303</v>
      </c>
      <c r="G3541">
        <v>74</v>
      </c>
      <c r="H3541">
        <v>1099.82</v>
      </c>
      <c r="N3541">
        <v>1099.82</v>
      </c>
      <c r="O3541" s="1">
        <v>44962</v>
      </c>
      <c r="P3541">
        <f>IF(ISBLANK(ReconciliationData[[#This Row],[Invoice_ID]]),1,0)</f>
        <v>0</v>
      </c>
      <c r="Q3541">
        <f>IF(AND(NOT(ISBLANK(ReconciliationData[[#This Row],[Billed_Units]])),ReconciliationData[[#This Row],[ordered_units]]&lt;&gt;ReconciliationData[[#This Row],[Billed_Units]]),1,0)</f>
        <v>0</v>
      </c>
      <c r="R35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1">
        <f>IF(AND(NOT(ISBLANK(ReconciliationData[[#This Row],[Contract_Price]])),ReconciliationData[[#This Row],[Billed_Price]]&lt;&gt;ReconciliationData[[#This Row],[Contract_Price]]),1,0)</f>
        <v>0</v>
      </c>
      <c r="T3541">
        <f>IF(AND(NOT(ISBLANK(ReconciliationData[[#This Row],[End_Date]])),ReconciliationData[[#This Row],[Order_Date]]&gt;ReconciliationData[[#This Row],[End_Date]]),1,0)</f>
        <v>0</v>
      </c>
      <c r="U3541">
        <f>IF(AND(NOT(ISBLANK(ReconciliationData[[#This Row],[last_return_date]])),ReconciliationData[[#This Row],[last_return_date]]&gt;ReconciliationData[[#This Row],[Order_Date]]+60),1,0)</f>
        <v>0</v>
      </c>
      <c r="V3541">
        <f>IF(ReconciliationData[[#This Row],[total_returned_units]]&gt;ReconciliationData[[#This Row],[ordered_units]],1,0)</f>
        <v>0</v>
      </c>
      <c r="W35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41">
        <f>ReconciliationData[[#This Row],[Billed_Units]]*ReconciliationData[[#This Row],[Billed_Price]]</f>
        <v>81386.679999999993</v>
      </c>
      <c r="Y3541">
        <f>ReconciliationData[[#This Row],[ordered_units]]*ReconciliationData[[#This Row],[List_Price]]</f>
        <v>81386.679999999993</v>
      </c>
      <c r="Z3541">
        <f>ReconciliationData[[#This Row],[billed_revenue]]-ReconciliationData[[#This Row],[expected_revenue]]</f>
        <v>0</v>
      </c>
      <c r="AA35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41" t="str">
        <f>IF(ReconciliationData[[#This Row],[severity_score]]=0,"LOW",
 IF(ReconciliationData[[#This Row],[severity_score]]&lt;=5,"MEDIUM","HIGH"))</f>
        <v>LOW</v>
      </c>
      <c r="AC3541" t="str">
        <f>TEXT(ReconciliationData[[#This Row],[Order_Date]],"YYYY-MM")</f>
        <v>2024-10</v>
      </c>
    </row>
    <row r="3542" spans="1:29">
      <c r="A3542" t="s">
        <v>8304</v>
      </c>
      <c r="B3542" s="1">
        <v>45420</v>
      </c>
      <c r="C3542" t="s">
        <v>3365</v>
      </c>
      <c r="D3542" t="s">
        <v>490</v>
      </c>
      <c r="E3542">
        <v>49</v>
      </c>
      <c r="F3542" t="s">
        <v>8305</v>
      </c>
      <c r="G3542">
        <v>49</v>
      </c>
      <c r="H3542">
        <v>1157.6343999999999</v>
      </c>
      <c r="I3542">
        <v>4</v>
      </c>
      <c r="J3542" s="1">
        <v>45395</v>
      </c>
      <c r="N3542">
        <v>1157.6343999999999</v>
      </c>
      <c r="O3542" s="1">
        <v>44959</v>
      </c>
      <c r="P3542">
        <f>IF(ISBLANK(ReconciliationData[[#This Row],[Invoice_ID]]),1,0)</f>
        <v>0</v>
      </c>
      <c r="Q3542">
        <f>IF(AND(NOT(ISBLANK(ReconciliationData[[#This Row],[Billed_Units]])),ReconciliationData[[#This Row],[ordered_units]]&lt;&gt;ReconciliationData[[#This Row],[Billed_Units]]),1,0)</f>
        <v>0</v>
      </c>
      <c r="R35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2">
        <f>IF(AND(NOT(ISBLANK(ReconciliationData[[#This Row],[Contract_Price]])),ReconciliationData[[#This Row],[Billed_Price]]&lt;&gt;ReconciliationData[[#This Row],[Contract_Price]]),1,0)</f>
        <v>0</v>
      </c>
      <c r="T3542">
        <f>IF(AND(NOT(ISBLANK(ReconciliationData[[#This Row],[End_Date]])),ReconciliationData[[#This Row],[Order_Date]]&gt;ReconciliationData[[#This Row],[End_Date]]),1,0)</f>
        <v>0</v>
      </c>
      <c r="U3542">
        <f>IF(AND(NOT(ISBLANK(ReconciliationData[[#This Row],[last_return_date]])),ReconciliationData[[#This Row],[last_return_date]]&gt;ReconciliationData[[#This Row],[Order_Date]]+60),1,0)</f>
        <v>0</v>
      </c>
      <c r="V3542">
        <f>IF(ReconciliationData[[#This Row],[total_returned_units]]&gt;ReconciliationData[[#This Row],[ordered_units]],1,0)</f>
        <v>0</v>
      </c>
      <c r="W35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42">
        <f>ReconciliationData[[#This Row],[Billed_Units]]*ReconciliationData[[#This Row],[Billed_Price]]</f>
        <v>56724.085599999999</v>
      </c>
      <c r="Y3542">
        <f>ReconciliationData[[#This Row],[ordered_units]]*ReconciliationData[[#This Row],[List_Price]]</f>
        <v>56724.085599999999</v>
      </c>
      <c r="Z3542">
        <f>ReconciliationData[[#This Row],[billed_revenue]]-ReconciliationData[[#This Row],[expected_revenue]]</f>
        <v>0</v>
      </c>
      <c r="AA35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42" t="str">
        <f>IF(ReconciliationData[[#This Row],[severity_score]]=0,"LOW",
 IF(ReconciliationData[[#This Row],[severity_score]]&lt;=5,"MEDIUM","HIGH"))</f>
        <v>LOW</v>
      </c>
      <c r="AC3542" t="str">
        <f>TEXT(ReconciliationData[[#This Row],[Order_Date]],"YYYY-MM")</f>
        <v>2024-05</v>
      </c>
    </row>
    <row r="3543" spans="1:29">
      <c r="A3543" t="s">
        <v>8306</v>
      </c>
      <c r="B3543" s="1">
        <v>45417</v>
      </c>
      <c r="C3543" t="s">
        <v>2443</v>
      </c>
      <c r="D3543" t="s">
        <v>1037</v>
      </c>
      <c r="E3543">
        <v>104</v>
      </c>
      <c r="F3543" t="s">
        <v>8307</v>
      </c>
      <c r="G3543">
        <v>104</v>
      </c>
      <c r="H3543">
        <v>539.57150000000001</v>
      </c>
      <c r="N3543">
        <v>539.57150000000001</v>
      </c>
      <c r="O3543" s="1">
        <v>45191</v>
      </c>
      <c r="P3543">
        <f>IF(ISBLANK(ReconciliationData[[#This Row],[Invoice_ID]]),1,0)</f>
        <v>0</v>
      </c>
      <c r="Q3543">
        <f>IF(AND(NOT(ISBLANK(ReconciliationData[[#This Row],[Billed_Units]])),ReconciliationData[[#This Row],[ordered_units]]&lt;&gt;ReconciliationData[[#This Row],[Billed_Units]]),1,0)</f>
        <v>0</v>
      </c>
      <c r="R35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3">
        <f>IF(AND(NOT(ISBLANK(ReconciliationData[[#This Row],[Contract_Price]])),ReconciliationData[[#This Row],[Billed_Price]]&lt;&gt;ReconciliationData[[#This Row],[Contract_Price]]),1,0)</f>
        <v>0</v>
      </c>
      <c r="T3543">
        <f>IF(AND(NOT(ISBLANK(ReconciliationData[[#This Row],[End_Date]])),ReconciliationData[[#This Row],[Order_Date]]&gt;ReconciliationData[[#This Row],[End_Date]]),1,0)</f>
        <v>0</v>
      </c>
      <c r="U3543">
        <f>IF(AND(NOT(ISBLANK(ReconciliationData[[#This Row],[last_return_date]])),ReconciliationData[[#This Row],[last_return_date]]&gt;ReconciliationData[[#This Row],[Order_Date]]+60),1,0)</f>
        <v>0</v>
      </c>
      <c r="V3543">
        <f>IF(ReconciliationData[[#This Row],[total_returned_units]]&gt;ReconciliationData[[#This Row],[ordered_units]],1,0)</f>
        <v>0</v>
      </c>
      <c r="W35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43">
        <f>ReconciliationData[[#This Row],[Billed_Units]]*ReconciliationData[[#This Row],[Billed_Price]]</f>
        <v>56115.436000000002</v>
      </c>
      <c r="Y3543">
        <f>ReconciliationData[[#This Row],[ordered_units]]*ReconciliationData[[#This Row],[List_Price]]</f>
        <v>56115.436000000002</v>
      </c>
      <c r="Z3543">
        <f>ReconciliationData[[#This Row],[billed_revenue]]-ReconciliationData[[#This Row],[expected_revenue]]</f>
        <v>0</v>
      </c>
      <c r="AA35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43" t="str">
        <f>IF(ReconciliationData[[#This Row],[severity_score]]=0,"LOW",
 IF(ReconciliationData[[#This Row],[severity_score]]&lt;=5,"MEDIUM","HIGH"))</f>
        <v>LOW</v>
      </c>
      <c r="AC3543" t="str">
        <f>TEXT(ReconciliationData[[#This Row],[Order_Date]],"YYYY-MM")</f>
        <v>2024-05</v>
      </c>
    </row>
    <row r="3544" spans="1:29">
      <c r="A3544" t="s">
        <v>8308</v>
      </c>
      <c r="B3544" s="1">
        <v>45395</v>
      </c>
      <c r="C3544" t="s">
        <v>2708</v>
      </c>
      <c r="D3544" t="s">
        <v>1706</v>
      </c>
      <c r="E3544">
        <v>36</v>
      </c>
      <c r="F3544" t="s">
        <v>8309</v>
      </c>
      <c r="G3544">
        <v>36</v>
      </c>
      <c r="H3544">
        <v>854.74350000000004</v>
      </c>
      <c r="N3544">
        <v>854.74350000000004</v>
      </c>
      <c r="O3544" s="1">
        <v>44984</v>
      </c>
      <c r="P3544">
        <f>IF(ISBLANK(ReconciliationData[[#This Row],[Invoice_ID]]),1,0)</f>
        <v>0</v>
      </c>
      <c r="Q3544">
        <f>IF(AND(NOT(ISBLANK(ReconciliationData[[#This Row],[Billed_Units]])),ReconciliationData[[#This Row],[ordered_units]]&lt;&gt;ReconciliationData[[#This Row],[Billed_Units]]),1,0)</f>
        <v>0</v>
      </c>
      <c r="R35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4">
        <f>IF(AND(NOT(ISBLANK(ReconciliationData[[#This Row],[Contract_Price]])),ReconciliationData[[#This Row],[Billed_Price]]&lt;&gt;ReconciliationData[[#This Row],[Contract_Price]]),1,0)</f>
        <v>0</v>
      </c>
      <c r="T3544">
        <f>IF(AND(NOT(ISBLANK(ReconciliationData[[#This Row],[End_Date]])),ReconciliationData[[#This Row],[Order_Date]]&gt;ReconciliationData[[#This Row],[End_Date]]),1,0)</f>
        <v>0</v>
      </c>
      <c r="U3544">
        <f>IF(AND(NOT(ISBLANK(ReconciliationData[[#This Row],[last_return_date]])),ReconciliationData[[#This Row],[last_return_date]]&gt;ReconciliationData[[#This Row],[Order_Date]]+60),1,0)</f>
        <v>0</v>
      </c>
      <c r="V3544">
        <f>IF(ReconciliationData[[#This Row],[total_returned_units]]&gt;ReconciliationData[[#This Row],[ordered_units]],1,0)</f>
        <v>0</v>
      </c>
      <c r="W35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44">
        <f>ReconciliationData[[#This Row],[Billed_Units]]*ReconciliationData[[#This Row],[Billed_Price]]</f>
        <v>30770.766000000003</v>
      </c>
      <c r="Y3544">
        <f>ReconciliationData[[#This Row],[ordered_units]]*ReconciliationData[[#This Row],[List_Price]]</f>
        <v>30770.766000000003</v>
      </c>
      <c r="Z3544">
        <f>ReconciliationData[[#This Row],[billed_revenue]]-ReconciliationData[[#This Row],[expected_revenue]]</f>
        <v>0</v>
      </c>
      <c r="AA35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44" t="str">
        <f>IF(ReconciliationData[[#This Row],[severity_score]]=0,"LOW",
 IF(ReconciliationData[[#This Row],[severity_score]]&lt;=5,"MEDIUM","HIGH"))</f>
        <v>LOW</v>
      </c>
      <c r="AC3544" t="str">
        <f>TEXT(ReconciliationData[[#This Row],[Order_Date]],"YYYY-MM")</f>
        <v>2024-04</v>
      </c>
    </row>
    <row r="3545" spans="1:29">
      <c r="A3545" t="s">
        <v>8310</v>
      </c>
      <c r="B3545" s="1">
        <v>45072</v>
      </c>
      <c r="C3545" t="s">
        <v>603</v>
      </c>
      <c r="D3545" t="s">
        <v>1878</v>
      </c>
      <c r="E3545">
        <v>64</v>
      </c>
      <c r="F3545" t="s">
        <v>8311</v>
      </c>
      <c r="G3545">
        <v>64</v>
      </c>
      <c r="H3545">
        <v>752.34559999999999</v>
      </c>
      <c r="N3545">
        <v>752.34559999999999</v>
      </c>
      <c r="O3545" s="1">
        <v>44900</v>
      </c>
      <c r="P3545">
        <f>IF(ISBLANK(ReconciliationData[[#This Row],[Invoice_ID]]),1,0)</f>
        <v>0</v>
      </c>
      <c r="Q3545">
        <f>IF(AND(NOT(ISBLANK(ReconciliationData[[#This Row],[Billed_Units]])),ReconciliationData[[#This Row],[ordered_units]]&lt;&gt;ReconciliationData[[#This Row],[Billed_Units]]),1,0)</f>
        <v>0</v>
      </c>
      <c r="R35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5">
        <f>IF(AND(NOT(ISBLANK(ReconciliationData[[#This Row],[Contract_Price]])),ReconciliationData[[#This Row],[Billed_Price]]&lt;&gt;ReconciliationData[[#This Row],[Contract_Price]]),1,0)</f>
        <v>0</v>
      </c>
      <c r="T3545">
        <f>IF(AND(NOT(ISBLANK(ReconciliationData[[#This Row],[End_Date]])),ReconciliationData[[#This Row],[Order_Date]]&gt;ReconciliationData[[#This Row],[End_Date]]),1,0)</f>
        <v>0</v>
      </c>
      <c r="U3545">
        <f>IF(AND(NOT(ISBLANK(ReconciliationData[[#This Row],[last_return_date]])),ReconciliationData[[#This Row],[last_return_date]]&gt;ReconciliationData[[#This Row],[Order_Date]]+60),1,0)</f>
        <v>0</v>
      </c>
      <c r="V3545">
        <f>IF(ReconciliationData[[#This Row],[total_returned_units]]&gt;ReconciliationData[[#This Row],[ordered_units]],1,0)</f>
        <v>0</v>
      </c>
      <c r="W35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45">
        <f>ReconciliationData[[#This Row],[Billed_Units]]*ReconciliationData[[#This Row],[Billed_Price]]</f>
        <v>48150.118399999999</v>
      </c>
      <c r="Y3545">
        <f>ReconciliationData[[#This Row],[ordered_units]]*ReconciliationData[[#This Row],[List_Price]]</f>
        <v>48150.118399999999</v>
      </c>
      <c r="Z3545">
        <f>ReconciliationData[[#This Row],[billed_revenue]]-ReconciliationData[[#This Row],[expected_revenue]]</f>
        <v>0</v>
      </c>
      <c r="AA35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45" t="str">
        <f>IF(ReconciliationData[[#This Row],[severity_score]]=0,"LOW",
 IF(ReconciliationData[[#This Row],[severity_score]]&lt;=5,"MEDIUM","HIGH"))</f>
        <v>LOW</v>
      </c>
      <c r="AC3545" t="str">
        <f>TEXT(ReconciliationData[[#This Row],[Order_Date]],"YYYY-MM")</f>
        <v>2023-05</v>
      </c>
    </row>
    <row r="3546" spans="1:29">
      <c r="A3546" t="s">
        <v>8312</v>
      </c>
      <c r="B3546" s="1">
        <v>45312</v>
      </c>
      <c r="C3546" t="s">
        <v>2611</v>
      </c>
      <c r="D3546" t="s">
        <v>944</v>
      </c>
      <c r="E3546">
        <v>118</v>
      </c>
      <c r="F3546" t="s">
        <v>8313</v>
      </c>
      <c r="G3546">
        <v>118</v>
      </c>
      <c r="H3546">
        <v>1006.8318</v>
      </c>
      <c r="N3546">
        <v>1006.8318</v>
      </c>
      <c r="O3546" s="1">
        <v>45204</v>
      </c>
      <c r="P3546">
        <f>IF(ISBLANK(ReconciliationData[[#This Row],[Invoice_ID]]),1,0)</f>
        <v>0</v>
      </c>
      <c r="Q3546">
        <f>IF(AND(NOT(ISBLANK(ReconciliationData[[#This Row],[Billed_Units]])),ReconciliationData[[#This Row],[ordered_units]]&lt;&gt;ReconciliationData[[#This Row],[Billed_Units]]),1,0)</f>
        <v>0</v>
      </c>
      <c r="R35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6">
        <f>IF(AND(NOT(ISBLANK(ReconciliationData[[#This Row],[Contract_Price]])),ReconciliationData[[#This Row],[Billed_Price]]&lt;&gt;ReconciliationData[[#This Row],[Contract_Price]]),1,0)</f>
        <v>0</v>
      </c>
      <c r="T3546">
        <f>IF(AND(NOT(ISBLANK(ReconciliationData[[#This Row],[End_Date]])),ReconciliationData[[#This Row],[Order_Date]]&gt;ReconciliationData[[#This Row],[End_Date]]),1,0)</f>
        <v>0</v>
      </c>
      <c r="U3546">
        <f>IF(AND(NOT(ISBLANK(ReconciliationData[[#This Row],[last_return_date]])),ReconciliationData[[#This Row],[last_return_date]]&gt;ReconciliationData[[#This Row],[Order_Date]]+60),1,0)</f>
        <v>0</v>
      </c>
      <c r="V3546">
        <f>IF(ReconciliationData[[#This Row],[total_returned_units]]&gt;ReconciliationData[[#This Row],[ordered_units]],1,0)</f>
        <v>0</v>
      </c>
      <c r="W35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46">
        <f>ReconciliationData[[#This Row],[Billed_Units]]*ReconciliationData[[#This Row],[Billed_Price]]</f>
        <v>118806.15240000001</v>
      </c>
      <c r="Y3546">
        <f>ReconciliationData[[#This Row],[ordered_units]]*ReconciliationData[[#This Row],[List_Price]]</f>
        <v>118806.15240000001</v>
      </c>
      <c r="Z3546">
        <f>ReconciliationData[[#This Row],[billed_revenue]]-ReconciliationData[[#This Row],[expected_revenue]]</f>
        <v>0</v>
      </c>
      <c r="AA35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46" t="str">
        <f>IF(ReconciliationData[[#This Row],[severity_score]]=0,"LOW",
 IF(ReconciliationData[[#This Row],[severity_score]]&lt;=5,"MEDIUM","HIGH"))</f>
        <v>LOW</v>
      </c>
      <c r="AC3546" t="str">
        <f>TEXT(ReconciliationData[[#This Row],[Order_Date]],"YYYY-MM")</f>
        <v>2024-01</v>
      </c>
    </row>
    <row r="3547" spans="1:29">
      <c r="A3547" t="s">
        <v>8314</v>
      </c>
      <c r="B3547" s="1">
        <v>45368</v>
      </c>
      <c r="C3547" t="s">
        <v>1016</v>
      </c>
      <c r="D3547" t="s">
        <v>916</v>
      </c>
      <c r="E3547">
        <v>104</v>
      </c>
      <c r="F3547" t="s">
        <v>8315</v>
      </c>
      <c r="G3547">
        <v>104</v>
      </c>
      <c r="H3547">
        <v>1158.2643</v>
      </c>
      <c r="N3547">
        <v>1158.2643</v>
      </c>
      <c r="O3547" s="1">
        <v>45119</v>
      </c>
      <c r="P3547">
        <f>IF(ISBLANK(ReconciliationData[[#This Row],[Invoice_ID]]),1,0)</f>
        <v>0</v>
      </c>
      <c r="Q3547">
        <f>IF(AND(NOT(ISBLANK(ReconciliationData[[#This Row],[Billed_Units]])),ReconciliationData[[#This Row],[ordered_units]]&lt;&gt;ReconciliationData[[#This Row],[Billed_Units]]),1,0)</f>
        <v>0</v>
      </c>
      <c r="R35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7">
        <f>IF(AND(NOT(ISBLANK(ReconciliationData[[#This Row],[Contract_Price]])),ReconciliationData[[#This Row],[Billed_Price]]&lt;&gt;ReconciliationData[[#This Row],[Contract_Price]]),1,0)</f>
        <v>0</v>
      </c>
      <c r="T3547">
        <f>IF(AND(NOT(ISBLANK(ReconciliationData[[#This Row],[End_Date]])),ReconciliationData[[#This Row],[Order_Date]]&gt;ReconciliationData[[#This Row],[End_Date]]),1,0)</f>
        <v>0</v>
      </c>
      <c r="U3547">
        <f>IF(AND(NOT(ISBLANK(ReconciliationData[[#This Row],[last_return_date]])),ReconciliationData[[#This Row],[last_return_date]]&gt;ReconciliationData[[#This Row],[Order_Date]]+60),1,0)</f>
        <v>0</v>
      </c>
      <c r="V3547">
        <f>IF(ReconciliationData[[#This Row],[total_returned_units]]&gt;ReconciliationData[[#This Row],[ordered_units]],1,0)</f>
        <v>0</v>
      </c>
      <c r="W35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47">
        <f>ReconciliationData[[#This Row],[Billed_Units]]*ReconciliationData[[#This Row],[Billed_Price]]</f>
        <v>120459.4872</v>
      </c>
      <c r="Y3547">
        <f>ReconciliationData[[#This Row],[ordered_units]]*ReconciliationData[[#This Row],[List_Price]]</f>
        <v>120459.4872</v>
      </c>
      <c r="Z3547">
        <f>ReconciliationData[[#This Row],[billed_revenue]]-ReconciliationData[[#This Row],[expected_revenue]]</f>
        <v>0</v>
      </c>
      <c r="AA35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47" t="str">
        <f>IF(ReconciliationData[[#This Row],[severity_score]]=0,"LOW",
 IF(ReconciliationData[[#This Row],[severity_score]]&lt;=5,"MEDIUM","HIGH"))</f>
        <v>LOW</v>
      </c>
      <c r="AC3547" t="str">
        <f>TEXT(ReconciliationData[[#This Row],[Order_Date]],"YYYY-MM")</f>
        <v>2024-03</v>
      </c>
    </row>
    <row r="3548" spans="1:29">
      <c r="A3548" t="s">
        <v>8316</v>
      </c>
      <c r="B3548" s="1">
        <v>45384</v>
      </c>
      <c r="C3548" t="s">
        <v>1391</v>
      </c>
      <c r="D3548" t="s">
        <v>718</v>
      </c>
      <c r="E3548">
        <v>199</v>
      </c>
      <c r="F3548" t="s">
        <v>8317</v>
      </c>
      <c r="G3548">
        <v>199</v>
      </c>
      <c r="H3548">
        <v>287.14</v>
      </c>
      <c r="N3548">
        <v>287.14</v>
      </c>
      <c r="O3548" s="1">
        <v>44977</v>
      </c>
      <c r="P3548">
        <f>IF(ISBLANK(ReconciliationData[[#This Row],[Invoice_ID]]),1,0)</f>
        <v>0</v>
      </c>
      <c r="Q3548">
        <f>IF(AND(NOT(ISBLANK(ReconciliationData[[#This Row],[Billed_Units]])),ReconciliationData[[#This Row],[ordered_units]]&lt;&gt;ReconciliationData[[#This Row],[Billed_Units]]),1,0)</f>
        <v>0</v>
      </c>
      <c r="R35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8">
        <f>IF(AND(NOT(ISBLANK(ReconciliationData[[#This Row],[Contract_Price]])),ReconciliationData[[#This Row],[Billed_Price]]&lt;&gt;ReconciliationData[[#This Row],[Contract_Price]]),1,0)</f>
        <v>0</v>
      </c>
      <c r="T3548">
        <f>IF(AND(NOT(ISBLANK(ReconciliationData[[#This Row],[End_Date]])),ReconciliationData[[#This Row],[Order_Date]]&gt;ReconciliationData[[#This Row],[End_Date]]),1,0)</f>
        <v>0</v>
      </c>
      <c r="U3548">
        <f>IF(AND(NOT(ISBLANK(ReconciliationData[[#This Row],[last_return_date]])),ReconciliationData[[#This Row],[last_return_date]]&gt;ReconciliationData[[#This Row],[Order_Date]]+60),1,0)</f>
        <v>0</v>
      </c>
      <c r="V3548">
        <f>IF(ReconciliationData[[#This Row],[total_returned_units]]&gt;ReconciliationData[[#This Row],[ordered_units]],1,0)</f>
        <v>0</v>
      </c>
      <c r="W35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48">
        <f>ReconciliationData[[#This Row],[Billed_Units]]*ReconciliationData[[#This Row],[Billed_Price]]</f>
        <v>57140.86</v>
      </c>
      <c r="Y3548">
        <f>ReconciliationData[[#This Row],[ordered_units]]*ReconciliationData[[#This Row],[List_Price]]</f>
        <v>57140.86</v>
      </c>
      <c r="Z3548">
        <f>ReconciliationData[[#This Row],[billed_revenue]]-ReconciliationData[[#This Row],[expected_revenue]]</f>
        <v>0</v>
      </c>
      <c r="AA35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48" t="str">
        <f>IF(ReconciliationData[[#This Row],[severity_score]]=0,"LOW",
 IF(ReconciliationData[[#This Row],[severity_score]]&lt;=5,"MEDIUM","HIGH"))</f>
        <v>LOW</v>
      </c>
      <c r="AC3548" t="str">
        <f>TEXT(ReconciliationData[[#This Row],[Order_Date]],"YYYY-MM")</f>
        <v>2024-04</v>
      </c>
    </row>
    <row r="3549" spans="1:29">
      <c r="A3549" t="s">
        <v>8318</v>
      </c>
      <c r="B3549" s="1">
        <v>45245</v>
      </c>
      <c r="C3549" t="s">
        <v>1120</v>
      </c>
      <c r="D3549" t="s">
        <v>313</v>
      </c>
      <c r="E3549">
        <v>190</v>
      </c>
      <c r="F3549" t="s">
        <v>8319</v>
      </c>
      <c r="G3549">
        <v>190</v>
      </c>
      <c r="H3549">
        <v>1190.6054999999999</v>
      </c>
      <c r="N3549">
        <v>1190.6054999999999</v>
      </c>
      <c r="O3549" s="1">
        <v>44984</v>
      </c>
      <c r="P3549">
        <f>IF(ISBLANK(ReconciliationData[[#This Row],[Invoice_ID]]),1,0)</f>
        <v>0</v>
      </c>
      <c r="Q3549">
        <f>IF(AND(NOT(ISBLANK(ReconciliationData[[#This Row],[Billed_Units]])),ReconciliationData[[#This Row],[ordered_units]]&lt;&gt;ReconciliationData[[#This Row],[Billed_Units]]),1,0)</f>
        <v>0</v>
      </c>
      <c r="R35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49">
        <f>IF(AND(NOT(ISBLANK(ReconciliationData[[#This Row],[Contract_Price]])),ReconciliationData[[#This Row],[Billed_Price]]&lt;&gt;ReconciliationData[[#This Row],[Contract_Price]]),1,0)</f>
        <v>0</v>
      </c>
      <c r="T3549">
        <f>IF(AND(NOT(ISBLANK(ReconciliationData[[#This Row],[End_Date]])),ReconciliationData[[#This Row],[Order_Date]]&gt;ReconciliationData[[#This Row],[End_Date]]),1,0)</f>
        <v>0</v>
      </c>
      <c r="U3549">
        <f>IF(AND(NOT(ISBLANK(ReconciliationData[[#This Row],[last_return_date]])),ReconciliationData[[#This Row],[last_return_date]]&gt;ReconciliationData[[#This Row],[Order_Date]]+60),1,0)</f>
        <v>0</v>
      </c>
      <c r="V3549">
        <f>IF(ReconciliationData[[#This Row],[total_returned_units]]&gt;ReconciliationData[[#This Row],[ordered_units]],1,0)</f>
        <v>0</v>
      </c>
      <c r="W35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49">
        <f>ReconciliationData[[#This Row],[Billed_Units]]*ReconciliationData[[#This Row],[Billed_Price]]</f>
        <v>226215.04499999998</v>
      </c>
      <c r="Y3549">
        <f>ReconciliationData[[#This Row],[ordered_units]]*ReconciliationData[[#This Row],[List_Price]]</f>
        <v>226215.04499999998</v>
      </c>
      <c r="Z3549">
        <f>ReconciliationData[[#This Row],[billed_revenue]]-ReconciliationData[[#This Row],[expected_revenue]]</f>
        <v>0</v>
      </c>
      <c r="AA35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49" t="str">
        <f>IF(ReconciliationData[[#This Row],[severity_score]]=0,"LOW",
 IF(ReconciliationData[[#This Row],[severity_score]]&lt;=5,"MEDIUM","HIGH"))</f>
        <v>LOW</v>
      </c>
      <c r="AC3549" t="str">
        <f>TEXT(ReconciliationData[[#This Row],[Order_Date]],"YYYY-MM")</f>
        <v>2023-11</v>
      </c>
    </row>
    <row r="3550" spans="1:29">
      <c r="A3550" t="s">
        <v>8320</v>
      </c>
      <c r="B3550" s="1">
        <v>45236</v>
      </c>
      <c r="C3550" t="s">
        <v>968</v>
      </c>
      <c r="D3550" t="s">
        <v>658</v>
      </c>
      <c r="E3550">
        <v>25</v>
      </c>
      <c r="F3550" t="s">
        <v>8321</v>
      </c>
      <c r="G3550">
        <v>25</v>
      </c>
      <c r="H3550">
        <v>88.578000000000003</v>
      </c>
      <c r="N3550">
        <v>88.578000000000003</v>
      </c>
      <c r="O3550" s="1">
        <v>45107</v>
      </c>
      <c r="P3550">
        <f>IF(ISBLANK(ReconciliationData[[#This Row],[Invoice_ID]]),1,0)</f>
        <v>0</v>
      </c>
      <c r="Q3550">
        <f>IF(AND(NOT(ISBLANK(ReconciliationData[[#This Row],[Billed_Units]])),ReconciliationData[[#This Row],[ordered_units]]&lt;&gt;ReconciliationData[[#This Row],[Billed_Units]]),1,0)</f>
        <v>0</v>
      </c>
      <c r="R35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0">
        <f>IF(AND(NOT(ISBLANK(ReconciliationData[[#This Row],[Contract_Price]])),ReconciliationData[[#This Row],[Billed_Price]]&lt;&gt;ReconciliationData[[#This Row],[Contract_Price]]),1,0)</f>
        <v>0</v>
      </c>
      <c r="T3550">
        <f>IF(AND(NOT(ISBLANK(ReconciliationData[[#This Row],[End_Date]])),ReconciliationData[[#This Row],[Order_Date]]&gt;ReconciliationData[[#This Row],[End_Date]]),1,0)</f>
        <v>0</v>
      </c>
      <c r="U3550">
        <f>IF(AND(NOT(ISBLANK(ReconciliationData[[#This Row],[last_return_date]])),ReconciliationData[[#This Row],[last_return_date]]&gt;ReconciliationData[[#This Row],[Order_Date]]+60),1,0)</f>
        <v>0</v>
      </c>
      <c r="V3550">
        <f>IF(ReconciliationData[[#This Row],[total_returned_units]]&gt;ReconciliationData[[#This Row],[ordered_units]],1,0)</f>
        <v>0</v>
      </c>
      <c r="W35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50">
        <f>ReconciliationData[[#This Row],[Billed_Units]]*ReconciliationData[[#This Row],[Billed_Price]]</f>
        <v>2214.4500000000003</v>
      </c>
      <c r="Y3550">
        <f>ReconciliationData[[#This Row],[ordered_units]]*ReconciliationData[[#This Row],[List_Price]]</f>
        <v>2214.4500000000003</v>
      </c>
      <c r="Z3550">
        <f>ReconciliationData[[#This Row],[billed_revenue]]-ReconciliationData[[#This Row],[expected_revenue]]</f>
        <v>0</v>
      </c>
      <c r="AA35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50" t="str">
        <f>IF(ReconciliationData[[#This Row],[severity_score]]=0,"LOW",
 IF(ReconciliationData[[#This Row],[severity_score]]&lt;=5,"MEDIUM","HIGH"))</f>
        <v>LOW</v>
      </c>
      <c r="AC3550" t="str">
        <f>TEXT(ReconciliationData[[#This Row],[Order_Date]],"YYYY-MM")</f>
        <v>2023-11</v>
      </c>
    </row>
    <row r="3551" spans="1:29">
      <c r="A3551" t="s">
        <v>8322</v>
      </c>
      <c r="B3551" s="1">
        <v>45463</v>
      </c>
      <c r="C3551" t="s">
        <v>3653</v>
      </c>
      <c r="D3551" t="s">
        <v>479</v>
      </c>
      <c r="E3551">
        <v>160</v>
      </c>
      <c r="F3551" t="s">
        <v>8323</v>
      </c>
      <c r="G3551">
        <v>160</v>
      </c>
      <c r="H3551">
        <v>1014.5718000000001</v>
      </c>
      <c r="N3551">
        <v>1014.5718000000001</v>
      </c>
      <c r="O3551" s="1">
        <v>45035</v>
      </c>
      <c r="P3551">
        <f>IF(ISBLANK(ReconciliationData[[#This Row],[Invoice_ID]]),1,0)</f>
        <v>0</v>
      </c>
      <c r="Q3551">
        <f>IF(AND(NOT(ISBLANK(ReconciliationData[[#This Row],[Billed_Units]])),ReconciliationData[[#This Row],[ordered_units]]&lt;&gt;ReconciliationData[[#This Row],[Billed_Units]]),1,0)</f>
        <v>0</v>
      </c>
      <c r="R35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1">
        <f>IF(AND(NOT(ISBLANK(ReconciliationData[[#This Row],[Contract_Price]])),ReconciliationData[[#This Row],[Billed_Price]]&lt;&gt;ReconciliationData[[#This Row],[Contract_Price]]),1,0)</f>
        <v>0</v>
      </c>
      <c r="T3551">
        <f>IF(AND(NOT(ISBLANK(ReconciliationData[[#This Row],[End_Date]])),ReconciliationData[[#This Row],[Order_Date]]&gt;ReconciliationData[[#This Row],[End_Date]]),1,0)</f>
        <v>0</v>
      </c>
      <c r="U3551">
        <f>IF(AND(NOT(ISBLANK(ReconciliationData[[#This Row],[last_return_date]])),ReconciliationData[[#This Row],[last_return_date]]&gt;ReconciliationData[[#This Row],[Order_Date]]+60),1,0)</f>
        <v>0</v>
      </c>
      <c r="V3551">
        <f>IF(ReconciliationData[[#This Row],[total_returned_units]]&gt;ReconciliationData[[#This Row],[ordered_units]],1,0)</f>
        <v>0</v>
      </c>
      <c r="W35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51">
        <f>ReconciliationData[[#This Row],[Billed_Units]]*ReconciliationData[[#This Row],[Billed_Price]]</f>
        <v>162331.48800000001</v>
      </c>
      <c r="Y3551">
        <f>ReconciliationData[[#This Row],[ordered_units]]*ReconciliationData[[#This Row],[List_Price]]</f>
        <v>162331.48800000001</v>
      </c>
      <c r="Z3551">
        <f>ReconciliationData[[#This Row],[billed_revenue]]-ReconciliationData[[#This Row],[expected_revenue]]</f>
        <v>0</v>
      </c>
      <c r="AA35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51" t="str">
        <f>IF(ReconciliationData[[#This Row],[severity_score]]=0,"LOW",
 IF(ReconciliationData[[#This Row],[severity_score]]&lt;=5,"MEDIUM","HIGH"))</f>
        <v>LOW</v>
      </c>
      <c r="AC3551" t="str">
        <f>TEXT(ReconciliationData[[#This Row],[Order_Date]],"YYYY-MM")</f>
        <v>2024-06</v>
      </c>
    </row>
    <row r="3552" spans="1:29">
      <c r="A3552" t="s">
        <v>8324</v>
      </c>
      <c r="B3552" s="1">
        <v>45573</v>
      </c>
      <c r="C3552" t="s">
        <v>1191</v>
      </c>
      <c r="D3552" t="s">
        <v>202</v>
      </c>
      <c r="E3552">
        <v>18</v>
      </c>
      <c r="F3552" t="s">
        <v>8325</v>
      </c>
      <c r="G3552">
        <v>18</v>
      </c>
      <c r="H3552">
        <v>761.50400000000002</v>
      </c>
      <c r="N3552">
        <v>761.50400000000002</v>
      </c>
      <c r="O3552" s="1">
        <v>45161</v>
      </c>
      <c r="P3552">
        <f>IF(ISBLANK(ReconciliationData[[#This Row],[Invoice_ID]]),1,0)</f>
        <v>0</v>
      </c>
      <c r="Q3552">
        <f>IF(AND(NOT(ISBLANK(ReconciliationData[[#This Row],[Billed_Units]])),ReconciliationData[[#This Row],[ordered_units]]&lt;&gt;ReconciliationData[[#This Row],[Billed_Units]]),1,0)</f>
        <v>0</v>
      </c>
      <c r="R35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2">
        <f>IF(AND(NOT(ISBLANK(ReconciliationData[[#This Row],[Contract_Price]])),ReconciliationData[[#This Row],[Billed_Price]]&lt;&gt;ReconciliationData[[#This Row],[Contract_Price]]),1,0)</f>
        <v>0</v>
      </c>
      <c r="T3552">
        <f>IF(AND(NOT(ISBLANK(ReconciliationData[[#This Row],[End_Date]])),ReconciliationData[[#This Row],[Order_Date]]&gt;ReconciliationData[[#This Row],[End_Date]]),1,0)</f>
        <v>0</v>
      </c>
      <c r="U3552">
        <f>IF(AND(NOT(ISBLANK(ReconciliationData[[#This Row],[last_return_date]])),ReconciliationData[[#This Row],[last_return_date]]&gt;ReconciliationData[[#This Row],[Order_Date]]+60),1,0)</f>
        <v>0</v>
      </c>
      <c r="V3552">
        <f>IF(ReconciliationData[[#This Row],[total_returned_units]]&gt;ReconciliationData[[#This Row],[ordered_units]],1,0)</f>
        <v>0</v>
      </c>
      <c r="W35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52">
        <f>ReconciliationData[[#This Row],[Billed_Units]]*ReconciliationData[[#This Row],[Billed_Price]]</f>
        <v>13707.072</v>
      </c>
      <c r="Y3552">
        <f>ReconciliationData[[#This Row],[ordered_units]]*ReconciliationData[[#This Row],[List_Price]]</f>
        <v>13707.072</v>
      </c>
      <c r="Z3552">
        <f>ReconciliationData[[#This Row],[billed_revenue]]-ReconciliationData[[#This Row],[expected_revenue]]</f>
        <v>0</v>
      </c>
      <c r="AA35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52" t="str">
        <f>IF(ReconciliationData[[#This Row],[severity_score]]=0,"LOW",
 IF(ReconciliationData[[#This Row],[severity_score]]&lt;=5,"MEDIUM","HIGH"))</f>
        <v>LOW</v>
      </c>
      <c r="AC3552" t="str">
        <f>TEXT(ReconciliationData[[#This Row],[Order_Date]],"YYYY-MM")</f>
        <v>2024-10</v>
      </c>
    </row>
    <row r="3553" spans="1:29">
      <c r="A3553" t="s">
        <v>8326</v>
      </c>
      <c r="B3553" s="1">
        <v>45629</v>
      </c>
      <c r="C3553" t="s">
        <v>926</v>
      </c>
      <c r="D3553" t="s">
        <v>898</v>
      </c>
      <c r="E3553">
        <v>101</v>
      </c>
      <c r="F3553" t="s">
        <v>8327</v>
      </c>
      <c r="G3553">
        <v>101</v>
      </c>
      <c r="H3553">
        <v>744.98490000000004</v>
      </c>
      <c r="N3553">
        <v>744.98490000000004</v>
      </c>
      <c r="O3553" s="1">
        <v>45138</v>
      </c>
      <c r="P3553">
        <f>IF(ISBLANK(ReconciliationData[[#This Row],[Invoice_ID]]),1,0)</f>
        <v>0</v>
      </c>
      <c r="Q3553">
        <f>IF(AND(NOT(ISBLANK(ReconciliationData[[#This Row],[Billed_Units]])),ReconciliationData[[#This Row],[ordered_units]]&lt;&gt;ReconciliationData[[#This Row],[Billed_Units]]),1,0)</f>
        <v>0</v>
      </c>
      <c r="R35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3">
        <f>IF(AND(NOT(ISBLANK(ReconciliationData[[#This Row],[Contract_Price]])),ReconciliationData[[#This Row],[Billed_Price]]&lt;&gt;ReconciliationData[[#This Row],[Contract_Price]]),1,0)</f>
        <v>0</v>
      </c>
      <c r="T3553">
        <f>IF(AND(NOT(ISBLANK(ReconciliationData[[#This Row],[End_Date]])),ReconciliationData[[#This Row],[Order_Date]]&gt;ReconciliationData[[#This Row],[End_Date]]),1,0)</f>
        <v>0</v>
      </c>
      <c r="U3553">
        <f>IF(AND(NOT(ISBLANK(ReconciliationData[[#This Row],[last_return_date]])),ReconciliationData[[#This Row],[last_return_date]]&gt;ReconciliationData[[#This Row],[Order_Date]]+60),1,0)</f>
        <v>0</v>
      </c>
      <c r="V3553">
        <f>IF(ReconciliationData[[#This Row],[total_returned_units]]&gt;ReconciliationData[[#This Row],[ordered_units]],1,0)</f>
        <v>0</v>
      </c>
      <c r="W35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53">
        <f>ReconciliationData[[#This Row],[Billed_Units]]*ReconciliationData[[#This Row],[Billed_Price]]</f>
        <v>75243.474900000001</v>
      </c>
      <c r="Y3553">
        <f>ReconciliationData[[#This Row],[ordered_units]]*ReconciliationData[[#This Row],[List_Price]]</f>
        <v>75243.474900000001</v>
      </c>
      <c r="Z3553">
        <f>ReconciliationData[[#This Row],[billed_revenue]]-ReconciliationData[[#This Row],[expected_revenue]]</f>
        <v>0</v>
      </c>
      <c r="AA35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53" t="str">
        <f>IF(ReconciliationData[[#This Row],[severity_score]]=0,"LOW",
 IF(ReconciliationData[[#This Row],[severity_score]]&lt;=5,"MEDIUM","HIGH"))</f>
        <v>LOW</v>
      </c>
      <c r="AC3553" t="str">
        <f>TEXT(ReconciliationData[[#This Row],[Order_Date]],"YYYY-MM")</f>
        <v>2024-12</v>
      </c>
    </row>
    <row r="3554" spans="1:29">
      <c r="A3554" t="s">
        <v>8328</v>
      </c>
      <c r="B3554" s="1">
        <v>45164</v>
      </c>
      <c r="C3554" t="s">
        <v>2143</v>
      </c>
      <c r="D3554" t="s">
        <v>3220</v>
      </c>
      <c r="E3554">
        <v>198</v>
      </c>
      <c r="F3554" t="s">
        <v>8329</v>
      </c>
      <c r="G3554">
        <v>198</v>
      </c>
      <c r="H3554">
        <v>361.47840000000002</v>
      </c>
      <c r="N3554">
        <v>361.47840000000002</v>
      </c>
      <c r="O3554" s="1">
        <v>44909</v>
      </c>
      <c r="P3554">
        <f>IF(ISBLANK(ReconciliationData[[#This Row],[Invoice_ID]]),1,0)</f>
        <v>0</v>
      </c>
      <c r="Q3554">
        <f>IF(AND(NOT(ISBLANK(ReconciliationData[[#This Row],[Billed_Units]])),ReconciliationData[[#This Row],[ordered_units]]&lt;&gt;ReconciliationData[[#This Row],[Billed_Units]]),1,0)</f>
        <v>0</v>
      </c>
      <c r="R35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4">
        <f>IF(AND(NOT(ISBLANK(ReconciliationData[[#This Row],[Contract_Price]])),ReconciliationData[[#This Row],[Billed_Price]]&lt;&gt;ReconciliationData[[#This Row],[Contract_Price]]),1,0)</f>
        <v>0</v>
      </c>
      <c r="T3554">
        <f>IF(AND(NOT(ISBLANK(ReconciliationData[[#This Row],[End_Date]])),ReconciliationData[[#This Row],[Order_Date]]&gt;ReconciliationData[[#This Row],[End_Date]]),1,0)</f>
        <v>0</v>
      </c>
      <c r="U3554">
        <f>IF(AND(NOT(ISBLANK(ReconciliationData[[#This Row],[last_return_date]])),ReconciliationData[[#This Row],[last_return_date]]&gt;ReconciliationData[[#This Row],[Order_Date]]+60),1,0)</f>
        <v>0</v>
      </c>
      <c r="V3554">
        <f>IF(ReconciliationData[[#This Row],[total_returned_units]]&gt;ReconciliationData[[#This Row],[ordered_units]],1,0)</f>
        <v>0</v>
      </c>
      <c r="W35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54">
        <f>ReconciliationData[[#This Row],[Billed_Units]]*ReconciliationData[[#This Row],[Billed_Price]]</f>
        <v>71572.723200000008</v>
      </c>
      <c r="Y3554">
        <f>ReconciliationData[[#This Row],[ordered_units]]*ReconciliationData[[#This Row],[List_Price]]</f>
        <v>71572.723200000008</v>
      </c>
      <c r="Z3554">
        <f>ReconciliationData[[#This Row],[billed_revenue]]-ReconciliationData[[#This Row],[expected_revenue]]</f>
        <v>0</v>
      </c>
      <c r="AA35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54" t="str">
        <f>IF(ReconciliationData[[#This Row],[severity_score]]=0,"LOW",
 IF(ReconciliationData[[#This Row],[severity_score]]&lt;=5,"MEDIUM","HIGH"))</f>
        <v>LOW</v>
      </c>
      <c r="AC3554" t="str">
        <f>TEXT(ReconciliationData[[#This Row],[Order_Date]],"YYYY-MM")</f>
        <v>2023-08</v>
      </c>
    </row>
    <row r="3555" spans="1:29">
      <c r="A3555" t="s">
        <v>8330</v>
      </c>
      <c r="B3555" s="1">
        <v>45015</v>
      </c>
      <c r="C3555" t="s">
        <v>2814</v>
      </c>
      <c r="D3555" t="s">
        <v>306</v>
      </c>
      <c r="E3555">
        <v>172</v>
      </c>
      <c r="F3555" t="s">
        <v>8331</v>
      </c>
      <c r="G3555">
        <v>172</v>
      </c>
      <c r="H3555">
        <v>1065.9095</v>
      </c>
      <c r="N3555">
        <v>1065.9095</v>
      </c>
      <c r="O3555" s="1">
        <v>44963</v>
      </c>
      <c r="P3555">
        <f>IF(ISBLANK(ReconciliationData[[#This Row],[Invoice_ID]]),1,0)</f>
        <v>0</v>
      </c>
      <c r="Q3555">
        <f>IF(AND(NOT(ISBLANK(ReconciliationData[[#This Row],[Billed_Units]])),ReconciliationData[[#This Row],[ordered_units]]&lt;&gt;ReconciliationData[[#This Row],[Billed_Units]]),1,0)</f>
        <v>0</v>
      </c>
      <c r="R35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5">
        <f>IF(AND(NOT(ISBLANK(ReconciliationData[[#This Row],[Contract_Price]])),ReconciliationData[[#This Row],[Billed_Price]]&lt;&gt;ReconciliationData[[#This Row],[Contract_Price]]),1,0)</f>
        <v>0</v>
      </c>
      <c r="T3555">
        <f>IF(AND(NOT(ISBLANK(ReconciliationData[[#This Row],[End_Date]])),ReconciliationData[[#This Row],[Order_Date]]&gt;ReconciliationData[[#This Row],[End_Date]]),1,0)</f>
        <v>0</v>
      </c>
      <c r="U3555">
        <f>IF(AND(NOT(ISBLANK(ReconciliationData[[#This Row],[last_return_date]])),ReconciliationData[[#This Row],[last_return_date]]&gt;ReconciliationData[[#This Row],[Order_Date]]+60),1,0)</f>
        <v>0</v>
      </c>
      <c r="V3555">
        <f>IF(ReconciliationData[[#This Row],[total_returned_units]]&gt;ReconciliationData[[#This Row],[ordered_units]],1,0)</f>
        <v>0</v>
      </c>
      <c r="W35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55">
        <f>ReconciliationData[[#This Row],[Billed_Units]]*ReconciliationData[[#This Row],[Billed_Price]]</f>
        <v>183336.43400000001</v>
      </c>
      <c r="Y3555">
        <f>ReconciliationData[[#This Row],[ordered_units]]*ReconciliationData[[#This Row],[List_Price]]</f>
        <v>183336.43400000001</v>
      </c>
      <c r="Z3555">
        <f>ReconciliationData[[#This Row],[billed_revenue]]-ReconciliationData[[#This Row],[expected_revenue]]</f>
        <v>0</v>
      </c>
      <c r="AA35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55" t="str">
        <f>IF(ReconciliationData[[#This Row],[severity_score]]=0,"LOW",
 IF(ReconciliationData[[#This Row],[severity_score]]&lt;=5,"MEDIUM","HIGH"))</f>
        <v>LOW</v>
      </c>
      <c r="AC3555" t="str">
        <f>TEXT(ReconciliationData[[#This Row],[Order_Date]],"YYYY-MM")</f>
        <v>2023-03</v>
      </c>
    </row>
    <row r="3556" spans="1:29">
      <c r="A3556" t="s">
        <v>8332</v>
      </c>
      <c r="B3556" s="1">
        <v>45285</v>
      </c>
      <c r="C3556" t="s">
        <v>2976</v>
      </c>
      <c r="D3556" t="s">
        <v>1126</v>
      </c>
      <c r="E3556">
        <v>137</v>
      </c>
      <c r="F3556" t="s">
        <v>8333</v>
      </c>
      <c r="G3556">
        <v>137</v>
      </c>
      <c r="H3556">
        <v>926.52549999999997</v>
      </c>
      <c r="N3556">
        <v>926.52549999999997</v>
      </c>
      <c r="O3556" s="1">
        <v>45183</v>
      </c>
      <c r="P3556">
        <f>IF(ISBLANK(ReconciliationData[[#This Row],[Invoice_ID]]),1,0)</f>
        <v>0</v>
      </c>
      <c r="Q3556">
        <f>IF(AND(NOT(ISBLANK(ReconciliationData[[#This Row],[Billed_Units]])),ReconciliationData[[#This Row],[ordered_units]]&lt;&gt;ReconciliationData[[#This Row],[Billed_Units]]),1,0)</f>
        <v>0</v>
      </c>
      <c r="R35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6">
        <f>IF(AND(NOT(ISBLANK(ReconciliationData[[#This Row],[Contract_Price]])),ReconciliationData[[#This Row],[Billed_Price]]&lt;&gt;ReconciliationData[[#This Row],[Contract_Price]]),1,0)</f>
        <v>0</v>
      </c>
      <c r="T3556">
        <f>IF(AND(NOT(ISBLANK(ReconciliationData[[#This Row],[End_Date]])),ReconciliationData[[#This Row],[Order_Date]]&gt;ReconciliationData[[#This Row],[End_Date]]),1,0)</f>
        <v>0</v>
      </c>
      <c r="U3556">
        <f>IF(AND(NOT(ISBLANK(ReconciliationData[[#This Row],[last_return_date]])),ReconciliationData[[#This Row],[last_return_date]]&gt;ReconciliationData[[#This Row],[Order_Date]]+60),1,0)</f>
        <v>0</v>
      </c>
      <c r="V3556">
        <f>IF(ReconciliationData[[#This Row],[total_returned_units]]&gt;ReconciliationData[[#This Row],[ordered_units]],1,0)</f>
        <v>0</v>
      </c>
      <c r="W35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56">
        <f>ReconciliationData[[#This Row],[Billed_Units]]*ReconciliationData[[#This Row],[Billed_Price]]</f>
        <v>126933.9935</v>
      </c>
      <c r="Y3556">
        <f>ReconciliationData[[#This Row],[ordered_units]]*ReconciliationData[[#This Row],[List_Price]]</f>
        <v>126933.9935</v>
      </c>
      <c r="Z3556">
        <f>ReconciliationData[[#This Row],[billed_revenue]]-ReconciliationData[[#This Row],[expected_revenue]]</f>
        <v>0</v>
      </c>
      <c r="AA35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56" t="str">
        <f>IF(ReconciliationData[[#This Row],[severity_score]]=0,"LOW",
 IF(ReconciliationData[[#This Row],[severity_score]]&lt;=5,"MEDIUM","HIGH"))</f>
        <v>LOW</v>
      </c>
      <c r="AC3556" t="str">
        <f>TEXT(ReconciliationData[[#This Row],[Order_Date]],"YYYY-MM")</f>
        <v>2023-12</v>
      </c>
    </row>
    <row r="3557" spans="1:29">
      <c r="A3557" t="s">
        <v>8334</v>
      </c>
      <c r="B3557" s="1">
        <v>45478</v>
      </c>
      <c r="C3557" t="s">
        <v>3775</v>
      </c>
      <c r="D3557" t="s">
        <v>581</v>
      </c>
      <c r="E3557">
        <v>186</v>
      </c>
      <c r="F3557" t="s">
        <v>8335</v>
      </c>
      <c r="G3557">
        <v>186</v>
      </c>
      <c r="H3557">
        <v>697.85279999999989</v>
      </c>
      <c r="N3557">
        <v>697.85279999999989</v>
      </c>
      <c r="O3557" s="1">
        <v>45169</v>
      </c>
      <c r="P3557">
        <f>IF(ISBLANK(ReconciliationData[[#This Row],[Invoice_ID]]),1,0)</f>
        <v>0</v>
      </c>
      <c r="Q3557">
        <f>IF(AND(NOT(ISBLANK(ReconciliationData[[#This Row],[Billed_Units]])),ReconciliationData[[#This Row],[ordered_units]]&lt;&gt;ReconciliationData[[#This Row],[Billed_Units]]),1,0)</f>
        <v>0</v>
      </c>
      <c r="R35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7">
        <f>IF(AND(NOT(ISBLANK(ReconciliationData[[#This Row],[Contract_Price]])),ReconciliationData[[#This Row],[Billed_Price]]&lt;&gt;ReconciliationData[[#This Row],[Contract_Price]]),1,0)</f>
        <v>0</v>
      </c>
      <c r="T3557">
        <f>IF(AND(NOT(ISBLANK(ReconciliationData[[#This Row],[End_Date]])),ReconciliationData[[#This Row],[Order_Date]]&gt;ReconciliationData[[#This Row],[End_Date]]),1,0)</f>
        <v>0</v>
      </c>
      <c r="U3557">
        <f>IF(AND(NOT(ISBLANK(ReconciliationData[[#This Row],[last_return_date]])),ReconciliationData[[#This Row],[last_return_date]]&gt;ReconciliationData[[#This Row],[Order_Date]]+60),1,0)</f>
        <v>0</v>
      </c>
      <c r="V3557">
        <f>IF(ReconciliationData[[#This Row],[total_returned_units]]&gt;ReconciliationData[[#This Row],[ordered_units]],1,0)</f>
        <v>0</v>
      </c>
      <c r="W35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57">
        <f>ReconciliationData[[#This Row],[Billed_Units]]*ReconciliationData[[#This Row],[Billed_Price]]</f>
        <v>129800.62079999998</v>
      </c>
      <c r="Y3557">
        <f>ReconciliationData[[#This Row],[ordered_units]]*ReconciliationData[[#This Row],[List_Price]]</f>
        <v>129800.62079999998</v>
      </c>
      <c r="Z3557">
        <f>ReconciliationData[[#This Row],[billed_revenue]]-ReconciliationData[[#This Row],[expected_revenue]]</f>
        <v>0</v>
      </c>
      <c r="AA35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57" t="str">
        <f>IF(ReconciliationData[[#This Row],[severity_score]]=0,"LOW",
 IF(ReconciliationData[[#This Row],[severity_score]]&lt;=5,"MEDIUM","HIGH"))</f>
        <v>LOW</v>
      </c>
      <c r="AC3557" t="str">
        <f>TEXT(ReconciliationData[[#This Row],[Order_Date]],"YYYY-MM")</f>
        <v>2024-07</v>
      </c>
    </row>
    <row r="3558" spans="1:29">
      <c r="A3558" t="s">
        <v>8336</v>
      </c>
      <c r="B3558" s="1">
        <v>45198</v>
      </c>
      <c r="C3558" t="s">
        <v>4212</v>
      </c>
      <c r="D3558" t="s">
        <v>768</v>
      </c>
      <c r="E3558">
        <v>7</v>
      </c>
      <c r="F3558" t="s">
        <v>8337</v>
      </c>
      <c r="G3558">
        <v>7</v>
      </c>
      <c r="H3558">
        <v>410.02</v>
      </c>
      <c r="N3558">
        <v>410.02</v>
      </c>
      <c r="O3558" s="1">
        <v>45017</v>
      </c>
      <c r="P3558">
        <f>IF(ISBLANK(ReconciliationData[[#This Row],[Invoice_ID]]),1,0)</f>
        <v>0</v>
      </c>
      <c r="Q3558">
        <f>IF(AND(NOT(ISBLANK(ReconciliationData[[#This Row],[Billed_Units]])),ReconciliationData[[#This Row],[ordered_units]]&lt;&gt;ReconciliationData[[#This Row],[Billed_Units]]),1,0)</f>
        <v>0</v>
      </c>
      <c r="R35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8">
        <f>IF(AND(NOT(ISBLANK(ReconciliationData[[#This Row],[Contract_Price]])),ReconciliationData[[#This Row],[Billed_Price]]&lt;&gt;ReconciliationData[[#This Row],[Contract_Price]]),1,0)</f>
        <v>0</v>
      </c>
      <c r="T3558">
        <f>IF(AND(NOT(ISBLANK(ReconciliationData[[#This Row],[End_Date]])),ReconciliationData[[#This Row],[Order_Date]]&gt;ReconciliationData[[#This Row],[End_Date]]),1,0)</f>
        <v>0</v>
      </c>
      <c r="U3558">
        <f>IF(AND(NOT(ISBLANK(ReconciliationData[[#This Row],[last_return_date]])),ReconciliationData[[#This Row],[last_return_date]]&gt;ReconciliationData[[#This Row],[Order_Date]]+60),1,0)</f>
        <v>0</v>
      </c>
      <c r="V3558">
        <f>IF(ReconciliationData[[#This Row],[total_returned_units]]&gt;ReconciliationData[[#This Row],[ordered_units]],1,0)</f>
        <v>0</v>
      </c>
      <c r="W35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58">
        <f>ReconciliationData[[#This Row],[Billed_Units]]*ReconciliationData[[#This Row],[Billed_Price]]</f>
        <v>2870.14</v>
      </c>
      <c r="Y3558">
        <f>ReconciliationData[[#This Row],[ordered_units]]*ReconciliationData[[#This Row],[List_Price]]</f>
        <v>2870.14</v>
      </c>
      <c r="Z3558">
        <f>ReconciliationData[[#This Row],[billed_revenue]]-ReconciliationData[[#This Row],[expected_revenue]]</f>
        <v>0</v>
      </c>
      <c r="AA35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58" t="str">
        <f>IF(ReconciliationData[[#This Row],[severity_score]]=0,"LOW",
 IF(ReconciliationData[[#This Row],[severity_score]]&lt;=5,"MEDIUM","HIGH"))</f>
        <v>LOW</v>
      </c>
      <c r="AC3558" t="str">
        <f>TEXT(ReconciliationData[[#This Row],[Order_Date]],"YYYY-MM")</f>
        <v>2023-09</v>
      </c>
    </row>
    <row r="3559" spans="1:29">
      <c r="A3559" t="s">
        <v>8338</v>
      </c>
      <c r="B3559" s="1">
        <v>45597</v>
      </c>
      <c r="C3559" t="s">
        <v>2488</v>
      </c>
      <c r="D3559" t="s">
        <v>1404</v>
      </c>
      <c r="E3559">
        <v>112</v>
      </c>
      <c r="F3559" t="s">
        <v>8339</v>
      </c>
      <c r="G3559">
        <v>120</v>
      </c>
      <c r="H3559">
        <v>655.93800000000022</v>
      </c>
      <c r="N3559">
        <v>655.93800000000022</v>
      </c>
      <c r="O3559" s="1">
        <v>45075</v>
      </c>
      <c r="P3559">
        <f>IF(ISBLANK(ReconciliationData[[#This Row],[Invoice_ID]]),1,0)</f>
        <v>0</v>
      </c>
      <c r="Q3559">
        <f>IF(AND(NOT(ISBLANK(ReconciliationData[[#This Row],[Billed_Units]])),ReconciliationData[[#This Row],[ordered_units]]&lt;&gt;ReconciliationData[[#This Row],[Billed_Units]]),1,0)</f>
        <v>1</v>
      </c>
      <c r="R35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59">
        <f>IF(AND(NOT(ISBLANK(ReconciliationData[[#This Row],[Contract_Price]])),ReconciliationData[[#This Row],[Billed_Price]]&lt;&gt;ReconciliationData[[#This Row],[Contract_Price]]),1,0)</f>
        <v>0</v>
      </c>
      <c r="T3559">
        <f>IF(AND(NOT(ISBLANK(ReconciliationData[[#This Row],[End_Date]])),ReconciliationData[[#This Row],[Order_Date]]&gt;ReconciliationData[[#This Row],[End_Date]]),1,0)</f>
        <v>0</v>
      </c>
      <c r="U3559">
        <f>IF(AND(NOT(ISBLANK(ReconciliationData[[#This Row],[last_return_date]])),ReconciliationData[[#This Row],[last_return_date]]&gt;ReconciliationData[[#This Row],[Order_Date]]+60),1,0)</f>
        <v>0</v>
      </c>
      <c r="V3559">
        <f>IF(ReconciliationData[[#This Row],[total_returned_units]]&gt;ReconciliationData[[#This Row],[ordered_units]],1,0)</f>
        <v>0</v>
      </c>
      <c r="W35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59">
        <f>ReconciliationData[[#This Row],[Billed_Units]]*ReconciliationData[[#This Row],[Billed_Price]]</f>
        <v>78712.560000000027</v>
      </c>
      <c r="Y3559">
        <f>ReconciliationData[[#This Row],[ordered_units]]*ReconciliationData[[#This Row],[List_Price]]</f>
        <v>73465.056000000026</v>
      </c>
      <c r="Z3559">
        <f>ReconciliationData[[#This Row],[billed_revenue]]-ReconciliationData[[#This Row],[expected_revenue]]</f>
        <v>5247.5040000000008</v>
      </c>
      <c r="AA35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559" t="str">
        <f>IF(ReconciliationData[[#This Row],[severity_score]]=0,"LOW",
 IF(ReconciliationData[[#This Row],[severity_score]]&lt;=5,"MEDIUM","HIGH"))</f>
        <v>HIGH</v>
      </c>
      <c r="AC3559" t="str">
        <f>TEXT(ReconciliationData[[#This Row],[Order_Date]],"YYYY-MM")</f>
        <v>2024-11</v>
      </c>
    </row>
    <row r="3560" spans="1:29">
      <c r="A3560" t="s">
        <v>8340</v>
      </c>
      <c r="B3560" s="1">
        <v>44941</v>
      </c>
      <c r="C3560" t="s">
        <v>3522</v>
      </c>
      <c r="D3560" t="s">
        <v>987</v>
      </c>
      <c r="E3560">
        <v>186</v>
      </c>
      <c r="F3560" t="s">
        <v>8341</v>
      </c>
      <c r="G3560">
        <v>186</v>
      </c>
      <c r="H3560">
        <v>229.9776</v>
      </c>
      <c r="N3560">
        <v>229.9776</v>
      </c>
      <c r="O3560" s="1">
        <v>44930</v>
      </c>
      <c r="P3560">
        <f>IF(ISBLANK(ReconciliationData[[#This Row],[Invoice_ID]]),1,0)</f>
        <v>0</v>
      </c>
      <c r="Q3560">
        <f>IF(AND(NOT(ISBLANK(ReconciliationData[[#This Row],[Billed_Units]])),ReconciliationData[[#This Row],[ordered_units]]&lt;&gt;ReconciliationData[[#This Row],[Billed_Units]]),1,0)</f>
        <v>0</v>
      </c>
      <c r="R35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0">
        <f>IF(AND(NOT(ISBLANK(ReconciliationData[[#This Row],[Contract_Price]])),ReconciliationData[[#This Row],[Billed_Price]]&lt;&gt;ReconciliationData[[#This Row],[Contract_Price]]),1,0)</f>
        <v>0</v>
      </c>
      <c r="T3560">
        <f>IF(AND(NOT(ISBLANK(ReconciliationData[[#This Row],[End_Date]])),ReconciliationData[[#This Row],[Order_Date]]&gt;ReconciliationData[[#This Row],[End_Date]]),1,0)</f>
        <v>0</v>
      </c>
      <c r="U3560">
        <f>IF(AND(NOT(ISBLANK(ReconciliationData[[#This Row],[last_return_date]])),ReconciliationData[[#This Row],[last_return_date]]&gt;ReconciliationData[[#This Row],[Order_Date]]+60),1,0)</f>
        <v>0</v>
      </c>
      <c r="V3560">
        <f>IF(ReconciliationData[[#This Row],[total_returned_units]]&gt;ReconciliationData[[#This Row],[ordered_units]],1,0)</f>
        <v>0</v>
      </c>
      <c r="W35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0">
        <f>ReconciliationData[[#This Row],[Billed_Units]]*ReconciliationData[[#This Row],[Billed_Price]]</f>
        <v>42775.833599999998</v>
      </c>
      <c r="Y3560">
        <f>ReconciliationData[[#This Row],[ordered_units]]*ReconciliationData[[#This Row],[List_Price]]</f>
        <v>42775.833599999998</v>
      </c>
      <c r="Z3560">
        <f>ReconciliationData[[#This Row],[billed_revenue]]-ReconciliationData[[#This Row],[expected_revenue]]</f>
        <v>0</v>
      </c>
      <c r="AA35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0" t="str">
        <f>IF(ReconciliationData[[#This Row],[severity_score]]=0,"LOW",
 IF(ReconciliationData[[#This Row],[severity_score]]&lt;=5,"MEDIUM","HIGH"))</f>
        <v>LOW</v>
      </c>
      <c r="AC3560" t="str">
        <f>TEXT(ReconciliationData[[#This Row],[Order_Date]],"YYYY-MM")</f>
        <v>2023-01</v>
      </c>
    </row>
    <row r="3561" spans="1:29">
      <c r="A3561" t="s">
        <v>8342</v>
      </c>
      <c r="B3561" s="1">
        <v>45389</v>
      </c>
      <c r="C3561" t="s">
        <v>460</v>
      </c>
      <c r="D3561" t="s">
        <v>1994</v>
      </c>
      <c r="E3561">
        <v>181</v>
      </c>
      <c r="F3561" t="s">
        <v>8343</v>
      </c>
      <c r="G3561">
        <v>181</v>
      </c>
      <c r="H3561">
        <v>296.17460000000005</v>
      </c>
      <c r="N3561">
        <v>296.17460000000005</v>
      </c>
      <c r="O3561" s="1">
        <v>45194</v>
      </c>
      <c r="P3561">
        <f>IF(ISBLANK(ReconciliationData[[#This Row],[Invoice_ID]]),1,0)</f>
        <v>0</v>
      </c>
      <c r="Q3561">
        <f>IF(AND(NOT(ISBLANK(ReconciliationData[[#This Row],[Billed_Units]])),ReconciliationData[[#This Row],[ordered_units]]&lt;&gt;ReconciliationData[[#This Row],[Billed_Units]]),1,0)</f>
        <v>0</v>
      </c>
      <c r="R35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1">
        <f>IF(AND(NOT(ISBLANK(ReconciliationData[[#This Row],[Contract_Price]])),ReconciliationData[[#This Row],[Billed_Price]]&lt;&gt;ReconciliationData[[#This Row],[Contract_Price]]),1,0)</f>
        <v>0</v>
      </c>
      <c r="T3561">
        <f>IF(AND(NOT(ISBLANK(ReconciliationData[[#This Row],[End_Date]])),ReconciliationData[[#This Row],[Order_Date]]&gt;ReconciliationData[[#This Row],[End_Date]]),1,0)</f>
        <v>0</v>
      </c>
      <c r="U3561">
        <f>IF(AND(NOT(ISBLANK(ReconciliationData[[#This Row],[last_return_date]])),ReconciliationData[[#This Row],[last_return_date]]&gt;ReconciliationData[[#This Row],[Order_Date]]+60),1,0)</f>
        <v>0</v>
      </c>
      <c r="V3561">
        <f>IF(ReconciliationData[[#This Row],[total_returned_units]]&gt;ReconciliationData[[#This Row],[ordered_units]],1,0)</f>
        <v>0</v>
      </c>
      <c r="W35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1">
        <f>ReconciliationData[[#This Row],[Billed_Units]]*ReconciliationData[[#This Row],[Billed_Price]]</f>
        <v>53607.602600000013</v>
      </c>
      <c r="Y3561">
        <f>ReconciliationData[[#This Row],[ordered_units]]*ReconciliationData[[#This Row],[List_Price]]</f>
        <v>53607.602600000013</v>
      </c>
      <c r="Z3561">
        <f>ReconciliationData[[#This Row],[billed_revenue]]-ReconciliationData[[#This Row],[expected_revenue]]</f>
        <v>0</v>
      </c>
      <c r="AA35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1" t="str">
        <f>IF(ReconciliationData[[#This Row],[severity_score]]=0,"LOW",
 IF(ReconciliationData[[#This Row],[severity_score]]&lt;=5,"MEDIUM","HIGH"))</f>
        <v>LOW</v>
      </c>
      <c r="AC3561" t="str">
        <f>TEXT(ReconciliationData[[#This Row],[Order_Date]],"YYYY-MM")</f>
        <v>2024-04</v>
      </c>
    </row>
    <row r="3562" spans="1:29">
      <c r="A3562" t="s">
        <v>8344</v>
      </c>
      <c r="B3562" s="1">
        <v>45127</v>
      </c>
      <c r="C3562" t="s">
        <v>5186</v>
      </c>
      <c r="D3562" t="s">
        <v>1487</v>
      </c>
      <c r="E3562">
        <v>70</v>
      </c>
      <c r="F3562" t="s">
        <v>8345</v>
      </c>
      <c r="G3562">
        <v>70</v>
      </c>
      <c r="H3562">
        <v>273.24680000000001</v>
      </c>
      <c r="N3562">
        <v>273.24680000000001</v>
      </c>
      <c r="O3562" s="1">
        <v>45103</v>
      </c>
      <c r="P3562">
        <f>IF(ISBLANK(ReconciliationData[[#This Row],[Invoice_ID]]),1,0)</f>
        <v>0</v>
      </c>
      <c r="Q3562">
        <f>IF(AND(NOT(ISBLANK(ReconciliationData[[#This Row],[Billed_Units]])),ReconciliationData[[#This Row],[ordered_units]]&lt;&gt;ReconciliationData[[#This Row],[Billed_Units]]),1,0)</f>
        <v>0</v>
      </c>
      <c r="R35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2">
        <f>IF(AND(NOT(ISBLANK(ReconciliationData[[#This Row],[Contract_Price]])),ReconciliationData[[#This Row],[Billed_Price]]&lt;&gt;ReconciliationData[[#This Row],[Contract_Price]]),1,0)</f>
        <v>0</v>
      </c>
      <c r="T3562">
        <f>IF(AND(NOT(ISBLANK(ReconciliationData[[#This Row],[End_Date]])),ReconciliationData[[#This Row],[Order_Date]]&gt;ReconciliationData[[#This Row],[End_Date]]),1,0)</f>
        <v>0</v>
      </c>
      <c r="U3562">
        <f>IF(AND(NOT(ISBLANK(ReconciliationData[[#This Row],[last_return_date]])),ReconciliationData[[#This Row],[last_return_date]]&gt;ReconciliationData[[#This Row],[Order_Date]]+60),1,0)</f>
        <v>0</v>
      </c>
      <c r="V3562">
        <f>IF(ReconciliationData[[#This Row],[total_returned_units]]&gt;ReconciliationData[[#This Row],[ordered_units]],1,0)</f>
        <v>0</v>
      </c>
      <c r="W35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2">
        <f>ReconciliationData[[#This Row],[Billed_Units]]*ReconciliationData[[#This Row],[Billed_Price]]</f>
        <v>19127.276000000002</v>
      </c>
      <c r="Y3562">
        <f>ReconciliationData[[#This Row],[ordered_units]]*ReconciliationData[[#This Row],[List_Price]]</f>
        <v>19127.276000000002</v>
      </c>
      <c r="Z3562">
        <f>ReconciliationData[[#This Row],[billed_revenue]]-ReconciliationData[[#This Row],[expected_revenue]]</f>
        <v>0</v>
      </c>
      <c r="AA35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2" t="str">
        <f>IF(ReconciliationData[[#This Row],[severity_score]]=0,"LOW",
 IF(ReconciliationData[[#This Row],[severity_score]]&lt;=5,"MEDIUM","HIGH"))</f>
        <v>LOW</v>
      </c>
      <c r="AC3562" t="str">
        <f>TEXT(ReconciliationData[[#This Row],[Order_Date]],"YYYY-MM")</f>
        <v>2023-07</v>
      </c>
    </row>
    <row r="3563" spans="1:29">
      <c r="A3563" t="s">
        <v>8346</v>
      </c>
      <c r="B3563" s="1">
        <v>45429</v>
      </c>
      <c r="C3563" t="s">
        <v>1141</v>
      </c>
      <c r="D3563" t="s">
        <v>753</v>
      </c>
      <c r="E3563">
        <v>135</v>
      </c>
      <c r="F3563" t="s">
        <v>8347</v>
      </c>
      <c r="G3563">
        <v>135</v>
      </c>
      <c r="H3563">
        <v>741.88620000000003</v>
      </c>
      <c r="N3563">
        <v>741.88620000000003</v>
      </c>
      <c r="O3563" s="1">
        <v>44930</v>
      </c>
      <c r="P3563">
        <f>IF(ISBLANK(ReconciliationData[[#This Row],[Invoice_ID]]),1,0)</f>
        <v>0</v>
      </c>
      <c r="Q3563">
        <f>IF(AND(NOT(ISBLANK(ReconciliationData[[#This Row],[Billed_Units]])),ReconciliationData[[#This Row],[ordered_units]]&lt;&gt;ReconciliationData[[#This Row],[Billed_Units]]),1,0)</f>
        <v>0</v>
      </c>
      <c r="R35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3">
        <f>IF(AND(NOT(ISBLANK(ReconciliationData[[#This Row],[Contract_Price]])),ReconciliationData[[#This Row],[Billed_Price]]&lt;&gt;ReconciliationData[[#This Row],[Contract_Price]]),1,0)</f>
        <v>0</v>
      </c>
      <c r="T3563">
        <f>IF(AND(NOT(ISBLANK(ReconciliationData[[#This Row],[End_Date]])),ReconciliationData[[#This Row],[Order_Date]]&gt;ReconciliationData[[#This Row],[End_Date]]),1,0)</f>
        <v>0</v>
      </c>
      <c r="U3563">
        <f>IF(AND(NOT(ISBLANK(ReconciliationData[[#This Row],[last_return_date]])),ReconciliationData[[#This Row],[last_return_date]]&gt;ReconciliationData[[#This Row],[Order_Date]]+60),1,0)</f>
        <v>0</v>
      </c>
      <c r="V3563">
        <f>IF(ReconciliationData[[#This Row],[total_returned_units]]&gt;ReconciliationData[[#This Row],[ordered_units]],1,0)</f>
        <v>0</v>
      </c>
      <c r="W35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3">
        <f>ReconciliationData[[#This Row],[Billed_Units]]*ReconciliationData[[#This Row],[Billed_Price]]</f>
        <v>100154.637</v>
      </c>
      <c r="Y3563">
        <f>ReconciliationData[[#This Row],[ordered_units]]*ReconciliationData[[#This Row],[List_Price]]</f>
        <v>100154.637</v>
      </c>
      <c r="Z3563">
        <f>ReconciliationData[[#This Row],[billed_revenue]]-ReconciliationData[[#This Row],[expected_revenue]]</f>
        <v>0</v>
      </c>
      <c r="AA35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3" t="str">
        <f>IF(ReconciliationData[[#This Row],[severity_score]]=0,"LOW",
 IF(ReconciliationData[[#This Row],[severity_score]]&lt;=5,"MEDIUM","HIGH"))</f>
        <v>LOW</v>
      </c>
      <c r="AC3563" t="str">
        <f>TEXT(ReconciliationData[[#This Row],[Order_Date]],"YYYY-MM")</f>
        <v>2024-05</v>
      </c>
    </row>
    <row r="3564" spans="1:29">
      <c r="A3564" t="s">
        <v>8348</v>
      </c>
      <c r="B3564" s="1">
        <v>45400</v>
      </c>
      <c r="C3564" t="s">
        <v>3145</v>
      </c>
      <c r="D3564" t="s">
        <v>1175</v>
      </c>
      <c r="E3564">
        <v>10</v>
      </c>
      <c r="F3564" t="s">
        <v>8349</v>
      </c>
      <c r="G3564">
        <v>10</v>
      </c>
      <c r="H3564">
        <v>589.66600000000005</v>
      </c>
      <c r="N3564">
        <v>589.66600000000005</v>
      </c>
      <c r="O3564" s="1">
        <v>45218</v>
      </c>
      <c r="P3564">
        <f>IF(ISBLANK(ReconciliationData[[#This Row],[Invoice_ID]]),1,0)</f>
        <v>0</v>
      </c>
      <c r="Q3564">
        <f>IF(AND(NOT(ISBLANK(ReconciliationData[[#This Row],[Billed_Units]])),ReconciliationData[[#This Row],[ordered_units]]&lt;&gt;ReconciliationData[[#This Row],[Billed_Units]]),1,0)</f>
        <v>0</v>
      </c>
      <c r="R35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4">
        <f>IF(AND(NOT(ISBLANK(ReconciliationData[[#This Row],[Contract_Price]])),ReconciliationData[[#This Row],[Billed_Price]]&lt;&gt;ReconciliationData[[#This Row],[Contract_Price]]),1,0)</f>
        <v>0</v>
      </c>
      <c r="T3564">
        <f>IF(AND(NOT(ISBLANK(ReconciliationData[[#This Row],[End_Date]])),ReconciliationData[[#This Row],[Order_Date]]&gt;ReconciliationData[[#This Row],[End_Date]]),1,0)</f>
        <v>0</v>
      </c>
      <c r="U3564">
        <f>IF(AND(NOT(ISBLANK(ReconciliationData[[#This Row],[last_return_date]])),ReconciliationData[[#This Row],[last_return_date]]&gt;ReconciliationData[[#This Row],[Order_Date]]+60),1,0)</f>
        <v>0</v>
      </c>
      <c r="V3564">
        <f>IF(ReconciliationData[[#This Row],[total_returned_units]]&gt;ReconciliationData[[#This Row],[ordered_units]],1,0)</f>
        <v>0</v>
      </c>
      <c r="W35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4">
        <f>ReconciliationData[[#This Row],[Billed_Units]]*ReconciliationData[[#This Row],[Billed_Price]]</f>
        <v>5896.6600000000008</v>
      </c>
      <c r="Y3564">
        <f>ReconciliationData[[#This Row],[ordered_units]]*ReconciliationData[[#This Row],[List_Price]]</f>
        <v>5896.6600000000008</v>
      </c>
      <c r="Z3564">
        <f>ReconciliationData[[#This Row],[billed_revenue]]-ReconciliationData[[#This Row],[expected_revenue]]</f>
        <v>0</v>
      </c>
      <c r="AA35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4" t="str">
        <f>IF(ReconciliationData[[#This Row],[severity_score]]=0,"LOW",
 IF(ReconciliationData[[#This Row],[severity_score]]&lt;=5,"MEDIUM","HIGH"))</f>
        <v>LOW</v>
      </c>
      <c r="AC3564" t="str">
        <f>TEXT(ReconciliationData[[#This Row],[Order_Date]],"YYYY-MM")</f>
        <v>2024-04</v>
      </c>
    </row>
    <row r="3565" spans="1:29">
      <c r="A3565" t="s">
        <v>8350</v>
      </c>
      <c r="B3565" s="1">
        <v>45340</v>
      </c>
      <c r="C3565" t="s">
        <v>1685</v>
      </c>
      <c r="D3565" t="s">
        <v>182</v>
      </c>
      <c r="E3565">
        <v>116</v>
      </c>
      <c r="F3565" t="s">
        <v>8351</v>
      </c>
      <c r="G3565">
        <v>116</v>
      </c>
      <c r="H3565">
        <v>689.58720000000005</v>
      </c>
      <c r="N3565">
        <v>689.58720000000005</v>
      </c>
      <c r="O3565" s="1">
        <v>45224</v>
      </c>
      <c r="P3565">
        <f>IF(ISBLANK(ReconciliationData[[#This Row],[Invoice_ID]]),1,0)</f>
        <v>0</v>
      </c>
      <c r="Q3565">
        <f>IF(AND(NOT(ISBLANK(ReconciliationData[[#This Row],[Billed_Units]])),ReconciliationData[[#This Row],[ordered_units]]&lt;&gt;ReconciliationData[[#This Row],[Billed_Units]]),1,0)</f>
        <v>0</v>
      </c>
      <c r="R35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5">
        <f>IF(AND(NOT(ISBLANK(ReconciliationData[[#This Row],[Contract_Price]])),ReconciliationData[[#This Row],[Billed_Price]]&lt;&gt;ReconciliationData[[#This Row],[Contract_Price]]),1,0)</f>
        <v>0</v>
      </c>
      <c r="T3565">
        <f>IF(AND(NOT(ISBLANK(ReconciliationData[[#This Row],[End_Date]])),ReconciliationData[[#This Row],[Order_Date]]&gt;ReconciliationData[[#This Row],[End_Date]]),1,0)</f>
        <v>0</v>
      </c>
      <c r="U3565">
        <f>IF(AND(NOT(ISBLANK(ReconciliationData[[#This Row],[last_return_date]])),ReconciliationData[[#This Row],[last_return_date]]&gt;ReconciliationData[[#This Row],[Order_Date]]+60),1,0)</f>
        <v>0</v>
      </c>
      <c r="V3565">
        <f>IF(ReconciliationData[[#This Row],[total_returned_units]]&gt;ReconciliationData[[#This Row],[ordered_units]],1,0)</f>
        <v>0</v>
      </c>
      <c r="W35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5">
        <f>ReconciliationData[[#This Row],[Billed_Units]]*ReconciliationData[[#This Row],[Billed_Price]]</f>
        <v>79992.1152</v>
      </c>
      <c r="Y3565">
        <f>ReconciliationData[[#This Row],[ordered_units]]*ReconciliationData[[#This Row],[List_Price]]</f>
        <v>79992.1152</v>
      </c>
      <c r="Z3565">
        <f>ReconciliationData[[#This Row],[billed_revenue]]-ReconciliationData[[#This Row],[expected_revenue]]</f>
        <v>0</v>
      </c>
      <c r="AA35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5" t="str">
        <f>IF(ReconciliationData[[#This Row],[severity_score]]=0,"LOW",
 IF(ReconciliationData[[#This Row],[severity_score]]&lt;=5,"MEDIUM","HIGH"))</f>
        <v>LOW</v>
      </c>
      <c r="AC3565" t="str">
        <f>TEXT(ReconciliationData[[#This Row],[Order_Date]],"YYYY-MM")</f>
        <v>2024-02</v>
      </c>
    </row>
    <row r="3566" spans="1:29">
      <c r="A3566" t="s">
        <v>8352</v>
      </c>
      <c r="B3566" s="1">
        <v>45151</v>
      </c>
      <c r="C3566" t="s">
        <v>3304</v>
      </c>
      <c r="D3566" t="s">
        <v>255</v>
      </c>
      <c r="E3566">
        <v>105</v>
      </c>
      <c r="F3566" t="s">
        <v>8353</v>
      </c>
      <c r="G3566">
        <v>105</v>
      </c>
      <c r="H3566">
        <v>1061.4222</v>
      </c>
      <c r="N3566">
        <v>1061.4222</v>
      </c>
      <c r="O3566" s="1">
        <v>45062</v>
      </c>
      <c r="P3566">
        <f>IF(ISBLANK(ReconciliationData[[#This Row],[Invoice_ID]]),1,0)</f>
        <v>0</v>
      </c>
      <c r="Q3566">
        <f>IF(AND(NOT(ISBLANK(ReconciliationData[[#This Row],[Billed_Units]])),ReconciliationData[[#This Row],[ordered_units]]&lt;&gt;ReconciliationData[[#This Row],[Billed_Units]]),1,0)</f>
        <v>0</v>
      </c>
      <c r="R35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6">
        <f>IF(AND(NOT(ISBLANK(ReconciliationData[[#This Row],[Contract_Price]])),ReconciliationData[[#This Row],[Billed_Price]]&lt;&gt;ReconciliationData[[#This Row],[Contract_Price]]),1,0)</f>
        <v>0</v>
      </c>
      <c r="T3566">
        <f>IF(AND(NOT(ISBLANK(ReconciliationData[[#This Row],[End_Date]])),ReconciliationData[[#This Row],[Order_Date]]&gt;ReconciliationData[[#This Row],[End_Date]]),1,0)</f>
        <v>0</v>
      </c>
      <c r="U3566">
        <f>IF(AND(NOT(ISBLANK(ReconciliationData[[#This Row],[last_return_date]])),ReconciliationData[[#This Row],[last_return_date]]&gt;ReconciliationData[[#This Row],[Order_Date]]+60),1,0)</f>
        <v>0</v>
      </c>
      <c r="V3566">
        <f>IF(ReconciliationData[[#This Row],[total_returned_units]]&gt;ReconciliationData[[#This Row],[ordered_units]],1,0)</f>
        <v>0</v>
      </c>
      <c r="W35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6">
        <f>ReconciliationData[[#This Row],[Billed_Units]]*ReconciliationData[[#This Row],[Billed_Price]]</f>
        <v>111449.33099999999</v>
      </c>
      <c r="Y3566">
        <f>ReconciliationData[[#This Row],[ordered_units]]*ReconciliationData[[#This Row],[List_Price]]</f>
        <v>111449.33099999999</v>
      </c>
      <c r="Z3566">
        <f>ReconciliationData[[#This Row],[billed_revenue]]-ReconciliationData[[#This Row],[expected_revenue]]</f>
        <v>0</v>
      </c>
      <c r="AA35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6" t="str">
        <f>IF(ReconciliationData[[#This Row],[severity_score]]=0,"LOW",
 IF(ReconciliationData[[#This Row],[severity_score]]&lt;=5,"MEDIUM","HIGH"))</f>
        <v>LOW</v>
      </c>
      <c r="AC3566" t="str">
        <f>TEXT(ReconciliationData[[#This Row],[Order_Date]],"YYYY-MM")</f>
        <v>2023-08</v>
      </c>
    </row>
    <row r="3567" spans="1:29">
      <c r="A3567" t="s">
        <v>8354</v>
      </c>
      <c r="B3567" s="1">
        <v>45384</v>
      </c>
      <c r="C3567" t="s">
        <v>3565</v>
      </c>
      <c r="D3567" t="s">
        <v>1037</v>
      </c>
      <c r="E3567">
        <v>106</v>
      </c>
      <c r="F3567" t="s">
        <v>8355</v>
      </c>
      <c r="G3567">
        <v>106</v>
      </c>
      <c r="H3567">
        <v>539.57150000000001</v>
      </c>
      <c r="I3567">
        <v>18</v>
      </c>
      <c r="J3567" s="1">
        <v>45022</v>
      </c>
      <c r="N3567">
        <v>539.57150000000001</v>
      </c>
      <c r="O3567" s="1">
        <v>45191</v>
      </c>
      <c r="P3567">
        <f>IF(ISBLANK(ReconciliationData[[#This Row],[Invoice_ID]]),1,0)</f>
        <v>0</v>
      </c>
      <c r="Q3567">
        <f>IF(AND(NOT(ISBLANK(ReconciliationData[[#This Row],[Billed_Units]])),ReconciliationData[[#This Row],[ordered_units]]&lt;&gt;ReconciliationData[[#This Row],[Billed_Units]]),1,0)</f>
        <v>0</v>
      </c>
      <c r="R35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7">
        <f>IF(AND(NOT(ISBLANK(ReconciliationData[[#This Row],[Contract_Price]])),ReconciliationData[[#This Row],[Billed_Price]]&lt;&gt;ReconciliationData[[#This Row],[Contract_Price]]),1,0)</f>
        <v>0</v>
      </c>
      <c r="T3567">
        <f>IF(AND(NOT(ISBLANK(ReconciliationData[[#This Row],[End_Date]])),ReconciliationData[[#This Row],[Order_Date]]&gt;ReconciliationData[[#This Row],[End_Date]]),1,0)</f>
        <v>0</v>
      </c>
      <c r="U3567">
        <f>IF(AND(NOT(ISBLANK(ReconciliationData[[#This Row],[last_return_date]])),ReconciliationData[[#This Row],[last_return_date]]&gt;ReconciliationData[[#This Row],[Order_Date]]+60),1,0)</f>
        <v>0</v>
      </c>
      <c r="V3567">
        <f>IF(ReconciliationData[[#This Row],[total_returned_units]]&gt;ReconciliationData[[#This Row],[ordered_units]],1,0)</f>
        <v>0</v>
      </c>
      <c r="W35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7">
        <f>ReconciliationData[[#This Row],[Billed_Units]]*ReconciliationData[[#This Row],[Billed_Price]]</f>
        <v>57194.578999999998</v>
      </c>
      <c r="Y3567">
        <f>ReconciliationData[[#This Row],[ordered_units]]*ReconciliationData[[#This Row],[List_Price]]</f>
        <v>57194.578999999998</v>
      </c>
      <c r="Z3567">
        <f>ReconciliationData[[#This Row],[billed_revenue]]-ReconciliationData[[#This Row],[expected_revenue]]</f>
        <v>0</v>
      </c>
      <c r="AA35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7" t="str">
        <f>IF(ReconciliationData[[#This Row],[severity_score]]=0,"LOW",
 IF(ReconciliationData[[#This Row],[severity_score]]&lt;=5,"MEDIUM","HIGH"))</f>
        <v>LOW</v>
      </c>
      <c r="AC3567" t="str">
        <f>TEXT(ReconciliationData[[#This Row],[Order_Date]],"YYYY-MM")</f>
        <v>2024-04</v>
      </c>
    </row>
    <row r="3568" spans="1:29">
      <c r="A3568" t="s">
        <v>8356</v>
      </c>
      <c r="B3568" s="1">
        <v>45187</v>
      </c>
      <c r="C3568" t="s">
        <v>1111</v>
      </c>
      <c r="D3568" t="s">
        <v>1094</v>
      </c>
      <c r="E3568">
        <v>117</v>
      </c>
      <c r="F3568" t="s">
        <v>8357</v>
      </c>
      <c r="G3568">
        <v>117</v>
      </c>
      <c r="H3568">
        <v>977.22280000000001</v>
      </c>
      <c r="N3568">
        <v>977.22280000000001</v>
      </c>
      <c r="O3568" s="1">
        <v>44984</v>
      </c>
      <c r="P3568">
        <f>IF(ISBLANK(ReconciliationData[[#This Row],[Invoice_ID]]),1,0)</f>
        <v>0</v>
      </c>
      <c r="Q3568">
        <f>IF(AND(NOT(ISBLANK(ReconciliationData[[#This Row],[Billed_Units]])),ReconciliationData[[#This Row],[ordered_units]]&lt;&gt;ReconciliationData[[#This Row],[Billed_Units]]),1,0)</f>
        <v>0</v>
      </c>
      <c r="R35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8">
        <f>IF(AND(NOT(ISBLANK(ReconciliationData[[#This Row],[Contract_Price]])),ReconciliationData[[#This Row],[Billed_Price]]&lt;&gt;ReconciliationData[[#This Row],[Contract_Price]]),1,0)</f>
        <v>0</v>
      </c>
      <c r="T3568">
        <f>IF(AND(NOT(ISBLANK(ReconciliationData[[#This Row],[End_Date]])),ReconciliationData[[#This Row],[Order_Date]]&gt;ReconciliationData[[#This Row],[End_Date]]),1,0)</f>
        <v>0</v>
      </c>
      <c r="U3568">
        <f>IF(AND(NOT(ISBLANK(ReconciliationData[[#This Row],[last_return_date]])),ReconciliationData[[#This Row],[last_return_date]]&gt;ReconciliationData[[#This Row],[Order_Date]]+60),1,0)</f>
        <v>0</v>
      </c>
      <c r="V3568">
        <f>IF(ReconciliationData[[#This Row],[total_returned_units]]&gt;ReconciliationData[[#This Row],[ordered_units]],1,0)</f>
        <v>0</v>
      </c>
      <c r="W35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8">
        <f>ReconciliationData[[#This Row],[Billed_Units]]*ReconciliationData[[#This Row],[Billed_Price]]</f>
        <v>114335.06759999999</v>
      </c>
      <c r="Y3568">
        <f>ReconciliationData[[#This Row],[ordered_units]]*ReconciliationData[[#This Row],[List_Price]]</f>
        <v>114335.06759999999</v>
      </c>
      <c r="Z3568">
        <f>ReconciliationData[[#This Row],[billed_revenue]]-ReconciliationData[[#This Row],[expected_revenue]]</f>
        <v>0</v>
      </c>
      <c r="AA35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8" t="str">
        <f>IF(ReconciliationData[[#This Row],[severity_score]]=0,"LOW",
 IF(ReconciliationData[[#This Row],[severity_score]]&lt;=5,"MEDIUM","HIGH"))</f>
        <v>LOW</v>
      </c>
      <c r="AC3568" t="str">
        <f>TEXT(ReconciliationData[[#This Row],[Order_Date]],"YYYY-MM")</f>
        <v>2023-09</v>
      </c>
    </row>
    <row r="3569" spans="1:29">
      <c r="A3569" t="s">
        <v>8358</v>
      </c>
      <c r="B3569" s="1">
        <v>45286</v>
      </c>
      <c r="C3569" t="s">
        <v>697</v>
      </c>
      <c r="D3569" t="s">
        <v>655</v>
      </c>
      <c r="E3569">
        <v>94</v>
      </c>
      <c r="F3569" t="s">
        <v>8359</v>
      </c>
      <c r="G3569">
        <v>94</v>
      </c>
      <c r="H3569">
        <v>130.87360000000001</v>
      </c>
      <c r="N3569">
        <v>130.87360000000001</v>
      </c>
      <c r="O3569" s="1">
        <v>45074</v>
      </c>
      <c r="P3569">
        <f>IF(ISBLANK(ReconciliationData[[#This Row],[Invoice_ID]]),1,0)</f>
        <v>0</v>
      </c>
      <c r="Q3569">
        <f>IF(AND(NOT(ISBLANK(ReconciliationData[[#This Row],[Billed_Units]])),ReconciliationData[[#This Row],[ordered_units]]&lt;&gt;ReconciliationData[[#This Row],[Billed_Units]]),1,0)</f>
        <v>0</v>
      </c>
      <c r="R35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69">
        <f>IF(AND(NOT(ISBLANK(ReconciliationData[[#This Row],[Contract_Price]])),ReconciliationData[[#This Row],[Billed_Price]]&lt;&gt;ReconciliationData[[#This Row],[Contract_Price]]),1,0)</f>
        <v>0</v>
      </c>
      <c r="T3569">
        <f>IF(AND(NOT(ISBLANK(ReconciliationData[[#This Row],[End_Date]])),ReconciliationData[[#This Row],[Order_Date]]&gt;ReconciliationData[[#This Row],[End_Date]]),1,0)</f>
        <v>0</v>
      </c>
      <c r="U3569">
        <f>IF(AND(NOT(ISBLANK(ReconciliationData[[#This Row],[last_return_date]])),ReconciliationData[[#This Row],[last_return_date]]&gt;ReconciliationData[[#This Row],[Order_Date]]+60),1,0)</f>
        <v>0</v>
      </c>
      <c r="V3569">
        <f>IF(ReconciliationData[[#This Row],[total_returned_units]]&gt;ReconciliationData[[#This Row],[ordered_units]],1,0)</f>
        <v>0</v>
      </c>
      <c r="W35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69">
        <f>ReconciliationData[[#This Row],[Billed_Units]]*ReconciliationData[[#This Row],[Billed_Price]]</f>
        <v>12302.118400000001</v>
      </c>
      <c r="Y3569">
        <f>ReconciliationData[[#This Row],[ordered_units]]*ReconciliationData[[#This Row],[List_Price]]</f>
        <v>12302.118400000001</v>
      </c>
      <c r="Z3569">
        <f>ReconciliationData[[#This Row],[billed_revenue]]-ReconciliationData[[#This Row],[expected_revenue]]</f>
        <v>0</v>
      </c>
      <c r="AA35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69" t="str">
        <f>IF(ReconciliationData[[#This Row],[severity_score]]=0,"LOW",
 IF(ReconciliationData[[#This Row],[severity_score]]&lt;=5,"MEDIUM","HIGH"))</f>
        <v>LOW</v>
      </c>
      <c r="AC3569" t="str">
        <f>TEXT(ReconciliationData[[#This Row],[Order_Date]],"YYYY-MM")</f>
        <v>2023-12</v>
      </c>
    </row>
    <row r="3570" spans="1:29">
      <c r="A3570" t="s">
        <v>8360</v>
      </c>
      <c r="B3570" s="1">
        <v>45423</v>
      </c>
      <c r="C3570" t="s">
        <v>193</v>
      </c>
      <c r="D3570" t="s">
        <v>711</v>
      </c>
      <c r="E3570">
        <v>72</v>
      </c>
      <c r="F3570" t="s">
        <v>8361</v>
      </c>
      <c r="G3570">
        <v>72</v>
      </c>
      <c r="H3570">
        <v>405.98</v>
      </c>
      <c r="N3570">
        <v>405.98</v>
      </c>
      <c r="O3570" s="1">
        <v>45152</v>
      </c>
      <c r="P3570">
        <f>IF(ISBLANK(ReconciliationData[[#This Row],[Invoice_ID]]),1,0)</f>
        <v>0</v>
      </c>
      <c r="Q3570">
        <f>IF(AND(NOT(ISBLANK(ReconciliationData[[#This Row],[Billed_Units]])),ReconciliationData[[#This Row],[ordered_units]]&lt;&gt;ReconciliationData[[#This Row],[Billed_Units]]),1,0)</f>
        <v>0</v>
      </c>
      <c r="R35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70">
        <f>IF(AND(NOT(ISBLANK(ReconciliationData[[#This Row],[Contract_Price]])),ReconciliationData[[#This Row],[Billed_Price]]&lt;&gt;ReconciliationData[[#This Row],[Contract_Price]]),1,0)</f>
        <v>0</v>
      </c>
      <c r="T3570">
        <f>IF(AND(NOT(ISBLANK(ReconciliationData[[#This Row],[End_Date]])),ReconciliationData[[#This Row],[Order_Date]]&gt;ReconciliationData[[#This Row],[End_Date]]),1,0)</f>
        <v>0</v>
      </c>
      <c r="U3570">
        <f>IF(AND(NOT(ISBLANK(ReconciliationData[[#This Row],[last_return_date]])),ReconciliationData[[#This Row],[last_return_date]]&gt;ReconciliationData[[#This Row],[Order_Date]]+60),1,0)</f>
        <v>0</v>
      </c>
      <c r="V3570">
        <f>IF(ReconciliationData[[#This Row],[total_returned_units]]&gt;ReconciliationData[[#This Row],[ordered_units]],1,0)</f>
        <v>0</v>
      </c>
      <c r="W35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70">
        <f>ReconciliationData[[#This Row],[Billed_Units]]*ReconciliationData[[#This Row],[Billed_Price]]</f>
        <v>29230.560000000001</v>
      </c>
      <c r="Y3570">
        <f>ReconciliationData[[#This Row],[ordered_units]]*ReconciliationData[[#This Row],[List_Price]]</f>
        <v>29230.560000000001</v>
      </c>
      <c r="Z3570">
        <f>ReconciliationData[[#This Row],[billed_revenue]]-ReconciliationData[[#This Row],[expected_revenue]]</f>
        <v>0</v>
      </c>
      <c r="AA35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70" t="str">
        <f>IF(ReconciliationData[[#This Row],[severity_score]]=0,"LOW",
 IF(ReconciliationData[[#This Row],[severity_score]]&lt;=5,"MEDIUM","HIGH"))</f>
        <v>LOW</v>
      </c>
      <c r="AC3570" t="str">
        <f>TEXT(ReconciliationData[[#This Row],[Order_Date]],"YYYY-MM")</f>
        <v>2024-05</v>
      </c>
    </row>
    <row r="3571" spans="1:29">
      <c r="A3571" t="s">
        <v>8362</v>
      </c>
      <c r="B3571" s="1">
        <v>45424</v>
      </c>
      <c r="C3571" t="s">
        <v>209</v>
      </c>
      <c r="D3571" t="s">
        <v>1333</v>
      </c>
      <c r="E3571">
        <v>43</v>
      </c>
      <c r="F3571" t="s">
        <v>8363</v>
      </c>
      <c r="G3571">
        <v>43</v>
      </c>
      <c r="H3571">
        <v>418.93040000000002</v>
      </c>
      <c r="N3571">
        <v>418.93040000000002</v>
      </c>
      <c r="O3571" s="1">
        <v>45214</v>
      </c>
      <c r="P3571">
        <f>IF(ISBLANK(ReconciliationData[[#This Row],[Invoice_ID]]),1,0)</f>
        <v>0</v>
      </c>
      <c r="Q3571">
        <f>IF(AND(NOT(ISBLANK(ReconciliationData[[#This Row],[Billed_Units]])),ReconciliationData[[#This Row],[ordered_units]]&lt;&gt;ReconciliationData[[#This Row],[Billed_Units]]),1,0)</f>
        <v>0</v>
      </c>
      <c r="R35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71">
        <f>IF(AND(NOT(ISBLANK(ReconciliationData[[#This Row],[Contract_Price]])),ReconciliationData[[#This Row],[Billed_Price]]&lt;&gt;ReconciliationData[[#This Row],[Contract_Price]]),1,0)</f>
        <v>0</v>
      </c>
      <c r="T3571">
        <f>IF(AND(NOT(ISBLANK(ReconciliationData[[#This Row],[End_Date]])),ReconciliationData[[#This Row],[Order_Date]]&gt;ReconciliationData[[#This Row],[End_Date]]),1,0)</f>
        <v>0</v>
      </c>
      <c r="U3571">
        <f>IF(AND(NOT(ISBLANK(ReconciliationData[[#This Row],[last_return_date]])),ReconciliationData[[#This Row],[last_return_date]]&gt;ReconciliationData[[#This Row],[Order_Date]]+60),1,0)</f>
        <v>0</v>
      </c>
      <c r="V3571">
        <f>IF(ReconciliationData[[#This Row],[total_returned_units]]&gt;ReconciliationData[[#This Row],[ordered_units]],1,0)</f>
        <v>0</v>
      </c>
      <c r="W35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71">
        <f>ReconciliationData[[#This Row],[Billed_Units]]*ReconciliationData[[#This Row],[Billed_Price]]</f>
        <v>18014.0072</v>
      </c>
      <c r="Y3571">
        <f>ReconciliationData[[#This Row],[ordered_units]]*ReconciliationData[[#This Row],[List_Price]]</f>
        <v>18014.0072</v>
      </c>
      <c r="Z3571">
        <f>ReconciliationData[[#This Row],[billed_revenue]]-ReconciliationData[[#This Row],[expected_revenue]]</f>
        <v>0</v>
      </c>
      <c r="AA35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71" t="str">
        <f>IF(ReconciliationData[[#This Row],[severity_score]]=0,"LOW",
 IF(ReconciliationData[[#This Row],[severity_score]]&lt;=5,"MEDIUM","HIGH"))</f>
        <v>LOW</v>
      </c>
      <c r="AC3571" t="str">
        <f>TEXT(ReconciliationData[[#This Row],[Order_Date]],"YYYY-MM")</f>
        <v>2024-05</v>
      </c>
    </row>
    <row r="3572" spans="1:29">
      <c r="A3572" t="s">
        <v>8364</v>
      </c>
      <c r="B3572" s="1">
        <v>45193</v>
      </c>
      <c r="C3572" t="s">
        <v>2535</v>
      </c>
      <c r="D3572" t="s">
        <v>983</v>
      </c>
      <c r="E3572">
        <v>34</v>
      </c>
      <c r="F3572" t="s">
        <v>8365</v>
      </c>
      <c r="G3572">
        <v>34</v>
      </c>
      <c r="H3572">
        <v>226.1644</v>
      </c>
      <c r="N3572">
        <v>226.1644</v>
      </c>
      <c r="O3572" s="1">
        <v>45139</v>
      </c>
      <c r="P3572">
        <f>IF(ISBLANK(ReconciliationData[[#This Row],[Invoice_ID]]),1,0)</f>
        <v>0</v>
      </c>
      <c r="Q3572">
        <f>IF(AND(NOT(ISBLANK(ReconciliationData[[#This Row],[Billed_Units]])),ReconciliationData[[#This Row],[ordered_units]]&lt;&gt;ReconciliationData[[#This Row],[Billed_Units]]),1,0)</f>
        <v>0</v>
      </c>
      <c r="R35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72">
        <f>IF(AND(NOT(ISBLANK(ReconciliationData[[#This Row],[Contract_Price]])),ReconciliationData[[#This Row],[Billed_Price]]&lt;&gt;ReconciliationData[[#This Row],[Contract_Price]]),1,0)</f>
        <v>0</v>
      </c>
      <c r="T3572">
        <f>IF(AND(NOT(ISBLANK(ReconciliationData[[#This Row],[End_Date]])),ReconciliationData[[#This Row],[Order_Date]]&gt;ReconciliationData[[#This Row],[End_Date]]),1,0)</f>
        <v>0</v>
      </c>
      <c r="U3572">
        <f>IF(AND(NOT(ISBLANK(ReconciliationData[[#This Row],[last_return_date]])),ReconciliationData[[#This Row],[last_return_date]]&gt;ReconciliationData[[#This Row],[Order_Date]]+60),1,0)</f>
        <v>0</v>
      </c>
      <c r="V3572">
        <f>IF(ReconciliationData[[#This Row],[total_returned_units]]&gt;ReconciliationData[[#This Row],[ordered_units]],1,0)</f>
        <v>0</v>
      </c>
      <c r="W35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72">
        <f>ReconciliationData[[#This Row],[Billed_Units]]*ReconciliationData[[#This Row],[Billed_Price]]</f>
        <v>7689.5896000000002</v>
      </c>
      <c r="Y3572">
        <f>ReconciliationData[[#This Row],[ordered_units]]*ReconciliationData[[#This Row],[List_Price]]</f>
        <v>7689.5896000000002</v>
      </c>
      <c r="Z3572">
        <f>ReconciliationData[[#This Row],[billed_revenue]]-ReconciliationData[[#This Row],[expected_revenue]]</f>
        <v>0</v>
      </c>
      <c r="AA35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72" t="str">
        <f>IF(ReconciliationData[[#This Row],[severity_score]]=0,"LOW",
 IF(ReconciliationData[[#This Row],[severity_score]]&lt;=5,"MEDIUM","HIGH"))</f>
        <v>LOW</v>
      </c>
      <c r="AC3572" t="str">
        <f>TEXT(ReconciliationData[[#This Row],[Order_Date]],"YYYY-MM")</f>
        <v>2023-09</v>
      </c>
    </row>
    <row r="3573" spans="1:29">
      <c r="A3573" t="s">
        <v>8366</v>
      </c>
      <c r="B3573" s="1">
        <v>45374</v>
      </c>
      <c r="C3573" t="s">
        <v>1505</v>
      </c>
      <c r="D3573" t="s">
        <v>4607</v>
      </c>
      <c r="E3573">
        <v>180</v>
      </c>
      <c r="F3573" t="s">
        <v>8367</v>
      </c>
      <c r="G3573">
        <v>180</v>
      </c>
      <c r="H3573">
        <v>1005.2222</v>
      </c>
      <c r="N3573">
        <v>1005.2222</v>
      </c>
      <c r="O3573" s="1">
        <v>45143</v>
      </c>
      <c r="P3573">
        <f>IF(ISBLANK(ReconciliationData[[#This Row],[Invoice_ID]]),1,0)</f>
        <v>0</v>
      </c>
      <c r="Q3573">
        <f>IF(AND(NOT(ISBLANK(ReconciliationData[[#This Row],[Billed_Units]])),ReconciliationData[[#This Row],[ordered_units]]&lt;&gt;ReconciliationData[[#This Row],[Billed_Units]]),1,0)</f>
        <v>0</v>
      </c>
      <c r="R35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73">
        <f>IF(AND(NOT(ISBLANK(ReconciliationData[[#This Row],[Contract_Price]])),ReconciliationData[[#This Row],[Billed_Price]]&lt;&gt;ReconciliationData[[#This Row],[Contract_Price]]),1,0)</f>
        <v>0</v>
      </c>
      <c r="T3573">
        <f>IF(AND(NOT(ISBLANK(ReconciliationData[[#This Row],[End_Date]])),ReconciliationData[[#This Row],[Order_Date]]&gt;ReconciliationData[[#This Row],[End_Date]]),1,0)</f>
        <v>0</v>
      </c>
      <c r="U3573">
        <f>IF(AND(NOT(ISBLANK(ReconciliationData[[#This Row],[last_return_date]])),ReconciliationData[[#This Row],[last_return_date]]&gt;ReconciliationData[[#This Row],[Order_Date]]+60),1,0)</f>
        <v>0</v>
      </c>
      <c r="V3573">
        <f>IF(ReconciliationData[[#This Row],[total_returned_units]]&gt;ReconciliationData[[#This Row],[ordered_units]],1,0)</f>
        <v>0</v>
      </c>
      <c r="W35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73">
        <f>ReconciliationData[[#This Row],[Billed_Units]]*ReconciliationData[[#This Row],[Billed_Price]]</f>
        <v>180939.99600000001</v>
      </c>
      <c r="Y3573">
        <f>ReconciliationData[[#This Row],[ordered_units]]*ReconciliationData[[#This Row],[List_Price]]</f>
        <v>180939.99600000001</v>
      </c>
      <c r="Z3573">
        <f>ReconciliationData[[#This Row],[billed_revenue]]-ReconciliationData[[#This Row],[expected_revenue]]</f>
        <v>0</v>
      </c>
      <c r="AA35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73" t="str">
        <f>IF(ReconciliationData[[#This Row],[severity_score]]=0,"LOW",
 IF(ReconciliationData[[#This Row],[severity_score]]&lt;=5,"MEDIUM","HIGH"))</f>
        <v>LOW</v>
      </c>
      <c r="AC3573" t="str">
        <f>TEXT(ReconciliationData[[#This Row],[Order_Date]],"YYYY-MM")</f>
        <v>2024-03</v>
      </c>
    </row>
    <row r="3574" spans="1:29">
      <c r="A3574" t="s">
        <v>8368</v>
      </c>
      <c r="B3574" s="1">
        <v>45470</v>
      </c>
      <c r="C3574" t="s">
        <v>862</v>
      </c>
      <c r="D3574" t="s">
        <v>1459</v>
      </c>
      <c r="E3574">
        <v>169</v>
      </c>
      <c r="F3574" t="s">
        <v>8369</v>
      </c>
      <c r="G3574">
        <v>169</v>
      </c>
      <c r="H3574">
        <v>1150.2164506136967</v>
      </c>
      <c r="N3574">
        <v>1149.8634</v>
      </c>
      <c r="O3574" s="1">
        <v>45135</v>
      </c>
      <c r="P3574">
        <f>IF(ISBLANK(ReconciliationData[[#This Row],[Invoice_ID]]),1,0)</f>
        <v>0</v>
      </c>
      <c r="Q3574">
        <f>IF(AND(NOT(ISBLANK(ReconciliationData[[#This Row],[Billed_Units]])),ReconciliationData[[#This Row],[ordered_units]]&lt;&gt;ReconciliationData[[#This Row],[Billed_Units]]),1,0)</f>
        <v>0</v>
      </c>
      <c r="R357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574">
        <f>IF(AND(NOT(ISBLANK(ReconciliationData[[#This Row],[Contract_Price]])),ReconciliationData[[#This Row],[Billed_Price]]&lt;&gt;ReconciliationData[[#This Row],[Contract_Price]]),1,0)</f>
        <v>0</v>
      </c>
      <c r="T3574">
        <f>IF(AND(NOT(ISBLANK(ReconciliationData[[#This Row],[End_Date]])),ReconciliationData[[#This Row],[Order_Date]]&gt;ReconciliationData[[#This Row],[End_Date]]),1,0)</f>
        <v>0</v>
      </c>
      <c r="U3574">
        <f>IF(AND(NOT(ISBLANK(ReconciliationData[[#This Row],[last_return_date]])),ReconciliationData[[#This Row],[last_return_date]]&gt;ReconciliationData[[#This Row],[Order_Date]]+60),1,0)</f>
        <v>0</v>
      </c>
      <c r="V3574">
        <f>IF(ReconciliationData[[#This Row],[total_returned_units]]&gt;ReconciliationData[[#This Row],[ordered_units]],1,0)</f>
        <v>0</v>
      </c>
      <c r="W35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74">
        <f>ReconciliationData[[#This Row],[Billed_Units]]*ReconciliationData[[#This Row],[Billed_Price]]</f>
        <v>194386.58015371475</v>
      </c>
      <c r="Y3574">
        <f>ReconciliationData[[#This Row],[ordered_units]]*ReconciliationData[[#This Row],[List_Price]]</f>
        <v>194326.91459999999</v>
      </c>
      <c r="Z3574">
        <f>ReconciliationData[[#This Row],[billed_revenue]]-ReconciliationData[[#This Row],[expected_revenue]]</f>
        <v>59.665553714759881</v>
      </c>
      <c r="AA35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574" t="str">
        <f>IF(ReconciliationData[[#This Row],[severity_score]]=0,"LOW",
 IF(ReconciliationData[[#This Row],[severity_score]]&lt;=5,"MEDIUM","HIGH"))</f>
        <v>MEDIUM</v>
      </c>
      <c r="AC3574" t="str">
        <f>TEXT(ReconciliationData[[#This Row],[Order_Date]],"YYYY-MM")</f>
        <v>2024-06</v>
      </c>
    </row>
    <row r="3575" spans="1:29">
      <c r="A3575" t="s">
        <v>8370</v>
      </c>
      <c r="B3575" s="1">
        <v>45023</v>
      </c>
      <c r="C3575" t="s">
        <v>3296</v>
      </c>
      <c r="D3575" t="s">
        <v>349</v>
      </c>
      <c r="E3575">
        <v>165</v>
      </c>
      <c r="F3575" t="s">
        <v>8371</v>
      </c>
      <c r="G3575">
        <v>165</v>
      </c>
      <c r="H3575">
        <v>63.7194</v>
      </c>
      <c r="N3575">
        <v>63.7194</v>
      </c>
      <c r="O3575" s="1">
        <v>44867</v>
      </c>
      <c r="P3575">
        <f>IF(ISBLANK(ReconciliationData[[#This Row],[Invoice_ID]]),1,0)</f>
        <v>0</v>
      </c>
      <c r="Q3575">
        <f>IF(AND(NOT(ISBLANK(ReconciliationData[[#This Row],[Billed_Units]])),ReconciliationData[[#This Row],[ordered_units]]&lt;&gt;ReconciliationData[[#This Row],[Billed_Units]]),1,0)</f>
        <v>0</v>
      </c>
      <c r="R35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75">
        <f>IF(AND(NOT(ISBLANK(ReconciliationData[[#This Row],[Contract_Price]])),ReconciliationData[[#This Row],[Billed_Price]]&lt;&gt;ReconciliationData[[#This Row],[Contract_Price]]),1,0)</f>
        <v>0</v>
      </c>
      <c r="T3575">
        <f>IF(AND(NOT(ISBLANK(ReconciliationData[[#This Row],[End_Date]])),ReconciliationData[[#This Row],[Order_Date]]&gt;ReconciliationData[[#This Row],[End_Date]]),1,0)</f>
        <v>0</v>
      </c>
      <c r="U3575">
        <f>IF(AND(NOT(ISBLANK(ReconciliationData[[#This Row],[last_return_date]])),ReconciliationData[[#This Row],[last_return_date]]&gt;ReconciliationData[[#This Row],[Order_Date]]+60),1,0)</f>
        <v>0</v>
      </c>
      <c r="V3575">
        <f>IF(ReconciliationData[[#This Row],[total_returned_units]]&gt;ReconciliationData[[#This Row],[ordered_units]],1,0)</f>
        <v>0</v>
      </c>
      <c r="W35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75">
        <f>ReconciliationData[[#This Row],[Billed_Units]]*ReconciliationData[[#This Row],[Billed_Price]]</f>
        <v>10513.701000000001</v>
      </c>
      <c r="Y3575">
        <f>ReconciliationData[[#This Row],[ordered_units]]*ReconciliationData[[#This Row],[List_Price]]</f>
        <v>10513.701000000001</v>
      </c>
      <c r="Z3575">
        <f>ReconciliationData[[#This Row],[billed_revenue]]-ReconciliationData[[#This Row],[expected_revenue]]</f>
        <v>0</v>
      </c>
      <c r="AA35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75" t="str">
        <f>IF(ReconciliationData[[#This Row],[severity_score]]=0,"LOW",
 IF(ReconciliationData[[#This Row],[severity_score]]&lt;=5,"MEDIUM","HIGH"))</f>
        <v>LOW</v>
      </c>
      <c r="AC3575" t="str">
        <f>TEXT(ReconciliationData[[#This Row],[Order_Date]],"YYYY-MM")</f>
        <v>2023-04</v>
      </c>
    </row>
    <row r="3576" spans="1:29">
      <c r="A3576" t="s">
        <v>8372</v>
      </c>
      <c r="B3576" s="1">
        <v>45210</v>
      </c>
      <c r="C3576" t="s">
        <v>4360</v>
      </c>
      <c r="D3576" t="s">
        <v>423</v>
      </c>
      <c r="E3576">
        <v>88</v>
      </c>
      <c r="F3576" t="s">
        <v>8373</v>
      </c>
      <c r="G3576">
        <v>88</v>
      </c>
      <c r="H3576">
        <v>168.12909999999999</v>
      </c>
      <c r="N3576">
        <v>168.12909999999999</v>
      </c>
      <c r="O3576" s="1">
        <v>45013</v>
      </c>
      <c r="P3576">
        <f>IF(ISBLANK(ReconciliationData[[#This Row],[Invoice_ID]]),1,0)</f>
        <v>0</v>
      </c>
      <c r="Q3576">
        <f>IF(AND(NOT(ISBLANK(ReconciliationData[[#This Row],[Billed_Units]])),ReconciliationData[[#This Row],[ordered_units]]&lt;&gt;ReconciliationData[[#This Row],[Billed_Units]]),1,0)</f>
        <v>0</v>
      </c>
      <c r="R35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76">
        <f>IF(AND(NOT(ISBLANK(ReconciliationData[[#This Row],[Contract_Price]])),ReconciliationData[[#This Row],[Billed_Price]]&lt;&gt;ReconciliationData[[#This Row],[Contract_Price]]),1,0)</f>
        <v>0</v>
      </c>
      <c r="T3576">
        <f>IF(AND(NOT(ISBLANK(ReconciliationData[[#This Row],[End_Date]])),ReconciliationData[[#This Row],[Order_Date]]&gt;ReconciliationData[[#This Row],[End_Date]]),1,0)</f>
        <v>0</v>
      </c>
      <c r="U3576">
        <f>IF(AND(NOT(ISBLANK(ReconciliationData[[#This Row],[last_return_date]])),ReconciliationData[[#This Row],[last_return_date]]&gt;ReconciliationData[[#This Row],[Order_Date]]+60),1,0)</f>
        <v>0</v>
      </c>
      <c r="V3576">
        <f>IF(ReconciliationData[[#This Row],[total_returned_units]]&gt;ReconciliationData[[#This Row],[ordered_units]],1,0)</f>
        <v>0</v>
      </c>
      <c r="W35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76">
        <f>ReconciliationData[[#This Row],[Billed_Units]]*ReconciliationData[[#This Row],[Billed_Price]]</f>
        <v>14795.360799999999</v>
      </c>
      <c r="Y3576">
        <f>ReconciliationData[[#This Row],[ordered_units]]*ReconciliationData[[#This Row],[List_Price]]</f>
        <v>14795.360799999999</v>
      </c>
      <c r="Z3576">
        <f>ReconciliationData[[#This Row],[billed_revenue]]-ReconciliationData[[#This Row],[expected_revenue]]</f>
        <v>0</v>
      </c>
      <c r="AA35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76" t="str">
        <f>IF(ReconciliationData[[#This Row],[severity_score]]=0,"LOW",
 IF(ReconciliationData[[#This Row],[severity_score]]&lt;=5,"MEDIUM","HIGH"))</f>
        <v>LOW</v>
      </c>
      <c r="AC3576" t="str">
        <f>TEXT(ReconciliationData[[#This Row],[Order_Date]],"YYYY-MM")</f>
        <v>2023-10</v>
      </c>
    </row>
    <row r="3577" spans="1:29">
      <c r="A3577" t="s">
        <v>8374</v>
      </c>
      <c r="B3577" s="1">
        <v>45467</v>
      </c>
      <c r="C3577" t="s">
        <v>3565</v>
      </c>
      <c r="D3577" t="s">
        <v>1424</v>
      </c>
      <c r="E3577">
        <v>72</v>
      </c>
      <c r="F3577" t="s">
        <v>8375</v>
      </c>
      <c r="G3577">
        <v>72</v>
      </c>
      <c r="H3577">
        <v>174.32480000000001</v>
      </c>
      <c r="I3577">
        <v>3</v>
      </c>
      <c r="J3577" s="1">
        <v>45021</v>
      </c>
      <c r="N3577">
        <v>174.32480000000001</v>
      </c>
      <c r="O3577" s="1">
        <v>45142</v>
      </c>
      <c r="P3577">
        <f>IF(ISBLANK(ReconciliationData[[#This Row],[Invoice_ID]]),1,0)</f>
        <v>0</v>
      </c>
      <c r="Q3577">
        <f>IF(AND(NOT(ISBLANK(ReconciliationData[[#This Row],[Billed_Units]])),ReconciliationData[[#This Row],[ordered_units]]&lt;&gt;ReconciliationData[[#This Row],[Billed_Units]]),1,0)</f>
        <v>0</v>
      </c>
      <c r="R35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77">
        <f>IF(AND(NOT(ISBLANK(ReconciliationData[[#This Row],[Contract_Price]])),ReconciliationData[[#This Row],[Billed_Price]]&lt;&gt;ReconciliationData[[#This Row],[Contract_Price]]),1,0)</f>
        <v>0</v>
      </c>
      <c r="T3577">
        <f>IF(AND(NOT(ISBLANK(ReconciliationData[[#This Row],[End_Date]])),ReconciliationData[[#This Row],[Order_Date]]&gt;ReconciliationData[[#This Row],[End_Date]]),1,0)</f>
        <v>0</v>
      </c>
      <c r="U3577">
        <f>IF(AND(NOT(ISBLANK(ReconciliationData[[#This Row],[last_return_date]])),ReconciliationData[[#This Row],[last_return_date]]&gt;ReconciliationData[[#This Row],[Order_Date]]+60),1,0)</f>
        <v>0</v>
      </c>
      <c r="V3577">
        <f>IF(ReconciliationData[[#This Row],[total_returned_units]]&gt;ReconciliationData[[#This Row],[ordered_units]],1,0)</f>
        <v>0</v>
      </c>
      <c r="W35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77">
        <f>ReconciliationData[[#This Row],[Billed_Units]]*ReconciliationData[[#This Row],[Billed_Price]]</f>
        <v>12551.385600000001</v>
      </c>
      <c r="Y3577">
        <f>ReconciliationData[[#This Row],[ordered_units]]*ReconciliationData[[#This Row],[List_Price]]</f>
        <v>12551.385600000001</v>
      </c>
      <c r="Z3577">
        <f>ReconciliationData[[#This Row],[billed_revenue]]-ReconciliationData[[#This Row],[expected_revenue]]</f>
        <v>0</v>
      </c>
      <c r="AA35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77" t="str">
        <f>IF(ReconciliationData[[#This Row],[severity_score]]=0,"LOW",
 IF(ReconciliationData[[#This Row],[severity_score]]&lt;=5,"MEDIUM","HIGH"))</f>
        <v>LOW</v>
      </c>
      <c r="AC3577" t="str">
        <f>TEXT(ReconciliationData[[#This Row],[Order_Date]],"YYYY-MM")</f>
        <v>2024-06</v>
      </c>
    </row>
    <row r="3578" spans="1:29">
      <c r="A3578" t="s">
        <v>8376</v>
      </c>
      <c r="B3578" s="1">
        <v>45588</v>
      </c>
      <c r="C3578" t="s">
        <v>1645</v>
      </c>
      <c r="D3578" t="s">
        <v>775</v>
      </c>
      <c r="E3578">
        <v>79</v>
      </c>
      <c r="F3578" t="s">
        <v>8377</v>
      </c>
      <c r="G3578">
        <v>79</v>
      </c>
      <c r="H3578">
        <v>1231.8180000000002</v>
      </c>
      <c r="N3578">
        <v>1231.8180000000002</v>
      </c>
      <c r="O3578" s="1">
        <v>45048</v>
      </c>
      <c r="P3578">
        <f>IF(ISBLANK(ReconciliationData[[#This Row],[Invoice_ID]]),1,0)</f>
        <v>0</v>
      </c>
      <c r="Q3578">
        <f>IF(AND(NOT(ISBLANK(ReconciliationData[[#This Row],[Billed_Units]])),ReconciliationData[[#This Row],[ordered_units]]&lt;&gt;ReconciliationData[[#This Row],[Billed_Units]]),1,0)</f>
        <v>0</v>
      </c>
      <c r="R35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78">
        <f>IF(AND(NOT(ISBLANK(ReconciliationData[[#This Row],[Contract_Price]])),ReconciliationData[[#This Row],[Billed_Price]]&lt;&gt;ReconciliationData[[#This Row],[Contract_Price]]),1,0)</f>
        <v>0</v>
      </c>
      <c r="T3578">
        <f>IF(AND(NOT(ISBLANK(ReconciliationData[[#This Row],[End_Date]])),ReconciliationData[[#This Row],[Order_Date]]&gt;ReconciliationData[[#This Row],[End_Date]]),1,0)</f>
        <v>0</v>
      </c>
      <c r="U3578">
        <f>IF(AND(NOT(ISBLANK(ReconciliationData[[#This Row],[last_return_date]])),ReconciliationData[[#This Row],[last_return_date]]&gt;ReconciliationData[[#This Row],[Order_Date]]+60),1,0)</f>
        <v>0</v>
      </c>
      <c r="V3578">
        <f>IF(ReconciliationData[[#This Row],[total_returned_units]]&gt;ReconciliationData[[#This Row],[ordered_units]],1,0)</f>
        <v>0</v>
      </c>
      <c r="W35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78">
        <f>ReconciliationData[[#This Row],[Billed_Units]]*ReconciliationData[[#This Row],[Billed_Price]]</f>
        <v>97313.622000000018</v>
      </c>
      <c r="Y3578">
        <f>ReconciliationData[[#This Row],[ordered_units]]*ReconciliationData[[#This Row],[List_Price]]</f>
        <v>97313.622000000018</v>
      </c>
      <c r="Z3578">
        <f>ReconciliationData[[#This Row],[billed_revenue]]-ReconciliationData[[#This Row],[expected_revenue]]</f>
        <v>0</v>
      </c>
      <c r="AA35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78" t="str">
        <f>IF(ReconciliationData[[#This Row],[severity_score]]=0,"LOW",
 IF(ReconciliationData[[#This Row],[severity_score]]&lt;=5,"MEDIUM","HIGH"))</f>
        <v>LOW</v>
      </c>
      <c r="AC3578" t="str">
        <f>TEXT(ReconciliationData[[#This Row],[Order_Date]],"YYYY-MM")</f>
        <v>2024-10</v>
      </c>
    </row>
    <row r="3579" spans="1:29">
      <c r="A3579" t="s">
        <v>8378</v>
      </c>
      <c r="B3579" s="1">
        <v>44983</v>
      </c>
      <c r="C3579" t="s">
        <v>2352</v>
      </c>
      <c r="D3579" t="s">
        <v>1298</v>
      </c>
      <c r="E3579">
        <v>154</v>
      </c>
      <c r="F3579" t="s">
        <v>8379</v>
      </c>
      <c r="G3579">
        <v>154</v>
      </c>
      <c r="H3579">
        <v>1099.82</v>
      </c>
      <c r="N3579">
        <v>1099.82</v>
      </c>
      <c r="O3579" s="1">
        <v>44962</v>
      </c>
      <c r="P3579">
        <f>IF(ISBLANK(ReconciliationData[[#This Row],[Invoice_ID]]),1,0)</f>
        <v>0</v>
      </c>
      <c r="Q3579">
        <f>IF(AND(NOT(ISBLANK(ReconciliationData[[#This Row],[Billed_Units]])),ReconciliationData[[#This Row],[ordered_units]]&lt;&gt;ReconciliationData[[#This Row],[Billed_Units]]),1,0)</f>
        <v>0</v>
      </c>
      <c r="R35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79">
        <f>IF(AND(NOT(ISBLANK(ReconciliationData[[#This Row],[Contract_Price]])),ReconciliationData[[#This Row],[Billed_Price]]&lt;&gt;ReconciliationData[[#This Row],[Contract_Price]]),1,0)</f>
        <v>0</v>
      </c>
      <c r="T3579">
        <f>IF(AND(NOT(ISBLANK(ReconciliationData[[#This Row],[End_Date]])),ReconciliationData[[#This Row],[Order_Date]]&gt;ReconciliationData[[#This Row],[End_Date]]),1,0)</f>
        <v>0</v>
      </c>
      <c r="U3579">
        <f>IF(AND(NOT(ISBLANK(ReconciliationData[[#This Row],[last_return_date]])),ReconciliationData[[#This Row],[last_return_date]]&gt;ReconciliationData[[#This Row],[Order_Date]]+60),1,0)</f>
        <v>0</v>
      </c>
      <c r="V3579">
        <f>IF(ReconciliationData[[#This Row],[total_returned_units]]&gt;ReconciliationData[[#This Row],[ordered_units]],1,0)</f>
        <v>0</v>
      </c>
      <c r="W35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79">
        <f>ReconciliationData[[#This Row],[Billed_Units]]*ReconciliationData[[#This Row],[Billed_Price]]</f>
        <v>169372.28</v>
      </c>
      <c r="Y3579">
        <f>ReconciliationData[[#This Row],[ordered_units]]*ReconciliationData[[#This Row],[List_Price]]</f>
        <v>169372.28</v>
      </c>
      <c r="Z3579">
        <f>ReconciliationData[[#This Row],[billed_revenue]]-ReconciliationData[[#This Row],[expected_revenue]]</f>
        <v>0</v>
      </c>
      <c r="AA35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79" t="str">
        <f>IF(ReconciliationData[[#This Row],[severity_score]]=0,"LOW",
 IF(ReconciliationData[[#This Row],[severity_score]]&lt;=5,"MEDIUM","HIGH"))</f>
        <v>LOW</v>
      </c>
      <c r="AC3579" t="str">
        <f>TEXT(ReconciliationData[[#This Row],[Order_Date]],"YYYY-MM")</f>
        <v>2023-02</v>
      </c>
    </row>
    <row r="3580" spans="1:29">
      <c r="A3580" t="s">
        <v>8380</v>
      </c>
      <c r="B3580" s="1">
        <v>45423</v>
      </c>
      <c r="C3580" t="s">
        <v>2067</v>
      </c>
      <c r="D3580" t="s">
        <v>655</v>
      </c>
      <c r="E3580">
        <v>97</v>
      </c>
      <c r="F3580" t="s">
        <v>8381</v>
      </c>
      <c r="G3580">
        <v>97</v>
      </c>
      <c r="H3580">
        <v>130.87360000000001</v>
      </c>
      <c r="N3580">
        <v>130.87360000000001</v>
      </c>
      <c r="O3580" s="1">
        <v>45074</v>
      </c>
      <c r="P3580">
        <f>IF(ISBLANK(ReconciliationData[[#This Row],[Invoice_ID]]),1,0)</f>
        <v>0</v>
      </c>
      <c r="Q3580">
        <f>IF(AND(NOT(ISBLANK(ReconciliationData[[#This Row],[Billed_Units]])),ReconciliationData[[#This Row],[ordered_units]]&lt;&gt;ReconciliationData[[#This Row],[Billed_Units]]),1,0)</f>
        <v>0</v>
      </c>
      <c r="R35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0">
        <f>IF(AND(NOT(ISBLANK(ReconciliationData[[#This Row],[Contract_Price]])),ReconciliationData[[#This Row],[Billed_Price]]&lt;&gt;ReconciliationData[[#This Row],[Contract_Price]]),1,0)</f>
        <v>0</v>
      </c>
      <c r="T3580">
        <f>IF(AND(NOT(ISBLANK(ReconciliationData[[#This Row],[End_Date]])),ReconciliationData[[#This Row],[Order_Date]]&gt;ReconciliationData[[#This Row],[End_Date]]),1,0)</f>
        <v>0</v>
      </c>
      <c r="U3580">
        <f>IF(AND(NOT(ISBLANK(ReconciliationData[[#This Row],[last_return_date]])),ReconciliationData[[#This Row],[last_return_date]]&gt;ReconciliationData[[#This Row],[Order_Date]]+60),1,0)</f>
        <v>0</v>
      </c>
      <c r="V3580">
        <f>IF(ReconciliationData[[#This Row],[total_returned_units]]&gt;ReconciliationData[[#This Row],[ordered_units]],1,0)</f>
        <v>0</v>
      </c>
      <c r="W35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0">
        <f>ReconciliationData[[#This Row],[Billed_Units]]*ReconciliationData[[#This Row],[Billed_Price]]</f>
        <v>12694.739200000002</v>
      </c>
      <c r="Y3580">
        <f>ReconciliationData[[#This Row],[ordered_units]]*ReconciliationData[[#This Row],[List_Price]]</f>
        <v>12694.739200000002</v>
      </c>
      <c r="Z3580">
        <f>ReconciliationData[[#This Row],[billed_revenue]]-ReconciliationData[[#This Row],[expected_revenue]]</f>
        <v>0</v>
      </c>
      <c r="AA35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0" t="str">
        <f>IF(ReconciliationData[[#This Row],[severity_score]]=0,"LOW",
 IF(ReconciliationData[[#This Row],[severity_score]]&lt;=5,"MEDIUM","HIGH"))</f>
        <v>LOW</v>
      </c>
      <c r="AC3580" t="str">
        <f>TEXT(ReconciliationData[[#This Row],[Order_Date]],"YYYY-MM")</f>
        <v>2024-05</v>
      </c>
    </row>
    <row r="3581" spans="1:29">
      <c r="A3581" t="s">
        <v>8382</v>
      </c>
      <c r="B3581" s="1">
        <v>45424</v>
      </c>
      <c r="C3581" t="s">
        <v>3621</v>
      </c>
      <c r="D3581" t="s">
        <v>639</v>
      </c>
      <c r="E3581">
        <v>11</v>
      </c>
      <c r="F3581" t="s">
        <v>8383</v>
      </c>
      <c r="G3581">
        <v>11</v>
      </c>
      <c r="H3581">
        <v>945.38850000000002</v>
      </c>
      <c r="N3581">
        <v>945.38850000000002</v>
      </c>
      <c r="O3581" s="1">
        <v>45047</v>
      </c>
      <c r="P3581">
        <f>IF(ISBLANK(ReconciliationData[[#This Row],[Invoice_ID]]),1,0)</f>
        <v>0</v>
      </c>
      <c r="Q3581">
        <f>IF(AND(NOT(ISBLANK(ReconciliationData[[#This Row],[Billed_Units]])),ReconciliationData[[#This Row],[ordered_units]]&lt;&gt;ReconciliationData[[#This Row],[Billed_Units]]),1,0)</f>
        <v>0</v>
      </c>
      <c r="R35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1">
        <f>IF(AND(NOT(ISBLANK(ReconciliationData[[#This Row],[Contract_Price]])),ReconciliationData[[#This Row],[Billed_Price]]&lt;&gt;ReconciliationData[[#This Row],[Contract_Price]]),1,0)</f>
        <v>0</v>
      </c>
      <c r="T3581">
        <f>IF(AND(NOT(ISBLANK(ReconciliationData[[#This Row],[End_Date]])),ReconciliationData[[#This Row],[Order_Date]]&gt;ReconciliationData[[#This Row],[End_Date]]),1,0)</f>
        <v>0</v>
      </c>
      <c r="U3581">
        <f>IF(AND(NOT(ISBLANK(ReconciliationData[[#This Row],[last_return_date]])),ReconciliationData[[#This Row],[last_return_date]]&gt;ReconciliationData[[#This Row],[Order_Date]]+60),1,0)</f>
        <v>0</v>
      </c>
      <c r="V3581">
        <f>IF(ReconciliationData[[#This Row],[total_returned_units]]&gt;ReconciliationData[[#This Row],[ordered_units]],1,0)</f>
        <v>0</v>
      </c>
      <c r="W35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1">
        <f>ReconciliationData[[#This Row],[Billed_Units]]*ReconciliationData[[#This Row],[Billed_Price]]</f>
        <v>10399.273499999999</v>
      </c>
      <c r="Y3581">
        <f>ReconciliationData[[#This Row],[ordered_units]]*ReconciliationData[[#This Row],[List_Price]]</f>
        <v>10399.273499999999</v>
      </c>
      <c r="Z3581">
        <f>ReconciliationData[[#This Row],[billed_revenue]]-ReconciliationData[[#This Row],[expected_revenue]]</f>
        <v>0</v>
      </c>
      <c r="AA35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1" t="str">
        <f>IF(ReconciliationData[[#This Row],[severity_score]]=0,"LOW",
 IF(ReconciliationData[[#This Row],[severity_score]]&lt;=5,"MEDIUM","HIGH"))</f>
        <v>LOW</v>
      </c>
      <c r="AC3581" t="str">
        <f>TEXT(ReconciliationData[[#This Row],[Order_Date]],"YYYY-MM")</f>
        <v>2024-05</v>
      </c>
    </row>
    <row r="3582" spans="1:29">
      <c r="A3582" t="s">
        <v>8384</v>
      </c>
      <c r="B3582" s="1">
        <v>45610</v>
      </c>
      <c r="C3582" t="s">
        <v>2375</v>
      </c>
      <c r="D3582" t="s">
        <v>849</v>
      </c>
      <c r="E3582">
        <v>159</v>
      </c>
      <c r="F3582" t="s">
        <v>8385</v>
      </c>
      <c r="G3582">
        <v>159</v>
      </c>
      <c r="H3582">
        <v>428.46220000000005</v>
      </c>
      <c r="N3582">
        <v>428.46220000000005</v>
      </c>
      <c r="O3582" s="1">
        <v>45102</v>
      </c>
      <c r="P3582">
        <f>IF(ISBLANK(ReconciliationData[[#This Row],[Invoice_ID]]),1,0)</f>
        <v>0</v>
      </c>
      <c r="Q3582">
        <f>IF(AND(NOT(ISBLANK(ReconciliationData[[#This Row],[Billed_Units]])),ReconciliationData[[#This Row],[ordered_units]]&lt;&gt;ReconciliationData[[#This Row],[Billed_Units]]),1,0)</f>
        <v>0</v>
      </c>
      <c r="R35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2">
        <f>IF(AND(NOT(ISBLANK(ReconciliationData[[#This Row],[Contract_Price]])),ReconciliationData[[#This Row],[Billed_Price]]&lt;&gt;ReconciliationData[[#This Row],[Contract_Price]]),1,0)</f>
        <v>0</v>
      </c>
      <c r="T3582">
        <f>IF(AND(NOT(ISBLANK(ReconciliationData[[#This Row],[End_Date]])),ReconciliationData[[#This Row],[Order_Date]]&gt;ReconciliationData[[#This Row],[End_Date]]),1,0)</f>
        <v>0</v>
      </c>
      <c r="U3582">
        <f>IF(AND(NOT(ISBLANK(ReconciliationData[[#This Row],[last_return_date]])),ReconciliationData[[#This Row],[last_return_date]]&gt;ReconciliationData[[#This Row],[Order_Date]]+60),1,0)</f>
        <v>0</v>
      </c>
      <c r="V3582">
        <f>IF(ReconciliationData[[#This Row],[total_returned_units]]&gt;ReconciliationData[[#This Row],[ordered_units]],1,0)</f>
        <v>0</v>
      </c>
      <c r="W35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2">
        <f>ReconciliationData[[#This Row],[Billed_Units]]*ReconciliationData[[#This Row],[Billed_Price]]</f>
        <v>68125.48980000001</v>
      </c>
      <c r="Y3582">
        <f>ReconciliationData[[#This Row],[ordered_units]]*ReconciliationData[[#This Row],[List_Price]]</f>
        <v>68125.48980000001</v>
      </c>
      <c r="Z3582">
        <f>ReconciliationData[[#This Row],[billed_revenue]]-ReconciliationData[[#This Row],[expected_revenue]]</f>
        <v>0</v>
      </c>
      <c r="AA35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2" t="str">
        <f>IF(ReconciliationData[[#This Row],[severity_score]]=0,"LOW",
 IF(ReconciliationData[[#This Row],[severity_score]]&lt;=5,"MEDIUM","HIGH"))</f>
        <v>LOW</v>
      </c>
      <c r="AC3582" t="str">
        <f>TEXT(ReconciliationData[[#This Row],[Order_Date]],"YYYY-MM")</f>
        <v>2024-11</v>
      </c>
    </row>
    <row r="3583" spans="1:29">
      <c r="A3583" t="s">
        <v>8386</v>
      </c>
      <c r="B3583" s="1">
        <v>45097</v>
      </c>
      <c r="C3583" t="s">
        <v>2015</v>
      </c>
      <c r="D3583" t="s">
        <v>694</v>
      </c>
      <c r="E3583">
        <v>18</v>
      </c>
      <c r="F3583" t="s">
        <v>8387</v>
      </c>
      <c r="G3583">
        <v>18</v>
      </c>
      <c r="H3583">
        <v>650.25</v>
      </c>
      <c r="N3583">
        <v>650.25</v>
      </c>
      <c r="O3583" s="1">
        <v>44878</v>
      </c>
      <c r="P3583">
        <f>IF(ISBLANK(ReconciliationData[[#This Row],[Invoice_ID]]),1,0)</f>
        <v>0</v>
      </c>
      <c r="Q3583">
        <f>IF(AND(NOT(ISBLANK(ReconciliationData[[#This Row],[Billed_Units]])),ReconciliationData[[#This Row],[ordered_units]]&lt;&gt;ReconciliationData[[#This Row],[Billed_Units]]),1,0)</f>
        <v>0</v>
      </c>
      <c r="R35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3">
        <f>IF(AND(NOT(ISBLANK(ReconciliationData[[#This Row],[Contract_Price]])),ReconciliationData[[#This Row],[Billed_Price]]&lt;&gt;ReconciliationData[[#This Row],[Contract_Price]]),1,0)</f>
        <v>0</v>
      </c>
      <c r="T3583">
        <f>IF(AND(NOT(ISBLANK(ReconciliationData[[#This Row],[End_Date]])),ReconciliationData[[#This Row],[Order_Date]]&gt;ReconciliationData[[#This Row],[End_Date]]),1,0)</f>
        <v>0</v>
      </c>
      <c r="U3583">
        <f>IF(AND(NOT(ISBLANK(ReconciliationData[[#This Row],[last_return_date]])),ReconciliationData[[#This Row],[last_return_date]]&gt;ReconciliationData[[#This Row],[Order_Date]]+60),1,0)</f>
        <v>0</v>
      </c>
      <c r="V3583">
        <f>IF(ReconciliationData[[#This Row],[total_returned_units]]&gt;ReconciliationData[[#This Row],[ordered_units]],1,0)</f>
        <v>0</v>
      </c>
      <c r="W35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3">
        <f>ReconciliationData[[#This Row],[Billed_Units]]*ReconciliationData[[#This Row],[Billed_Price]]</f>
        <v>11704.5</v>
      </c>
      <c r="Y3583">
        <f>ReconciliationData[[#This Row],[ordered_units]]*ReconciliationData[[#This Row],[List_Price]]</f>
        <v>11704.5</v>
      </c>
      <c r="Z3583">
        <f>ReconciliationData[[#This Row],[billed_revenue]]-ReconciliationData[[#This Row],[expected_revenue]]</f>
        <v>0</v>
      </c>
      <c r="AA35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3" t="str">
        <f>IF(ReconciliationData[[#This Row],[severity_score]]=0,"LOW",
 IF(ReconciliationData[[#This Row],[severity_score]]&lt;=5,"MEDIUM","HIGH"))</f>
        <v>LOW</v>
      </c>
      <c r="AC3583" t="str">
        <f>TEXT(ReconciliationData[[#This Row],[Order_Date]],"YYYY-MM")</f>
        <v>2023-06</v>
      </c>
    </row>
    <row r="3584" spans="1:29">
      <c r="A3584" t="s">
        <v>8388</v>
      </c>
      <c r="B3584" s="1">
        <v>45649</v>
      </c>
      <c r="C3584" t="s">
        <v>2723</v>
      </c>
      <c r="D3584" t="s">
        <v>987</v>
      </c>
      <c r="E3584">
        <v>69</v>
      </c>
      <c r="F3584" t="s">
        <v>8389</v>
      </c>
      <c r="G3584">
        <v>69</v>
      </c>
      <c r="H3584">
        <v>232.3732</v>
      </c>
      <c r="N3584">
        <v>232.3732</v>
      </c>
      <c r="O3584" s="1">
        <v>45065</v>
      </c>
      <c r="P3584">
        <f>IF(ISBLANK(ReconciliationData[[#This Row],[Invoice_ID]]),1,0)</f>
        <v>0</v>
      </c>
      <c r="Q3584">
        <f>IF(AND(NOT(ISBLANK(ReconciliationData[[#This Row],[Billed_Units]])),ReconciliationData[[#This Row],[ordered_units]]&lt;&gt;ReconciliationData[[#This Row],[Billed_Units]]),1,0)</f>
        <v>0</v>
      </c>
      <c r="R35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4">
        <f>IF(AND(NOT(ISBLANK(ReconciliationData[[#This Row],[Contract_Price]])),ReconciliationData[[#This Row],[Billed_Price]]&lt;&gt;ReconciliationData[[#This Row],[Contract_Price]]),1,0)</f>
        <v>0</v>
      </c>
      <c r="T3584">
        <f>IF(AND(NOT(ISBLANK(ReconciliationData[[#This Row],[End_Date]])),ReconciliationData[[#This Row],[Order_Date]]&gt;ReconciliationData[[#This Row],[End_Date]]),1,0)</f>
        <v>0</v>
      </c>
      <c r="U3584">
        <f>IF(AND(NOT(ISBLANK(ReconciliationData[[#This Row],[last_return_date]])),ReconciliationData[[#This Row],[last_return_date]]&gt;ReconciliationData[[#This Row],[Order_Date]]+60),1,0)</f>
        <v>0</v>
      </c>
      <c r="V3584">
        <f>IF(ReconciliationData[[#This Row],[total_returned_units]]&gt;ReconciliationData[[#This Row],[ordered_units]],1,0)</f>
        <v>0</v>
      </c>
      <c r="W35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4">
        <f>ReconciliationData[[#This Row],[Billed_Units]]*ReconciliationData[[#This Row],[Billed_Price]]</f>
        <v>16033.7508</v>
      </c>
      <c r="Y3584">
        <f>ReconciliationData[[#This Row],[ordered_units]]*ReconciliationData[[#This Row],[List_Price]]</f>
        <v>16033.7508</v>
      </c>
      <c r="Z3584">
        <f>ReconciliationData[[#This Row],[billed_revenue]]-ReconciliationData[[#This Row],[expected_revenue]]</f>
        <v>0</v>
      </c>
      <c r="AA35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4" t="str">
        <f>IF(ReconciliationData[[#This Row],[severity_score]]=0,"LOW",
 IF(ReconciliationData[[#This Row],[severity_score]]&lt;=5,"MEDIUM","HIGH"))</f>
        <v>LOW</v>
      </c>
      <c r="AC3584" t="str">
        <f>TEXT(ReconciliationData[[#This Row],[Order_Date]],"YYYY-MM")</f>
        <v>2024-12</v>
      </c>
    </row>
    <row r="3585" spans="1:29">
      <c r="A3585" t="s">
        <v>8390</v>
      </c>
      <c r="B3585" s="1">
        <v>45363</v>
      </c>
      <c r="C3585" t="s">
        <v>2356</v>
      </c>
      <c r="D3585" t="s">
        <v>404</v>
      </c>
      <c r="E3585">
        <v>68</v>
      </c>
      <c r="F3585" t="s">
        <v>8391</v>
      </c>
      <c r="G3585">
        <v>68</v>
      </c>
      <c r="H3585">
        <v>1129.6166000000001</v>
      </c>
      <c r="N3585">
        <v>1129.6166000000001</v>
      </c>
      <c r="O3585" s="1">
        <v>44960</v>
      </c>
      <c r="P3585">
        <f>IF(ISBLANK(ReconciliationData[[#This Row],[Invoice_ID]]),1,0)</f>
        <v>0</v>
      </c>
      <c r="Q3585">
        <f>IF(AND(NOT(ISBLANK(ReconciliationData[[#This Row],[Billed_Units]])),ReconciliationData[[#This Row],[ordered_units]]&lt;&gt;ReconciliationData[[#This Row],[Billed_Units]]),1,0)</f>
        <v>0</v>
      </c>
      <c r="R35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5">
        <f>IF(AND(NOT(ISBLANK(ReconciliationData[[#This Row],[Contract_Price]])),ReconciliationData[[#This Row],[Billed_Price]]&lt;&gt;ReconciliationData[[#This Row],[Contract_Price]]),1,0)</f>
        <v>0</v>
      </c>
      <c r="T3585">
        <f>IF(AND(NOT(ISBLANK(ReconciliationData[[#This Row],[End_Date]])),ReconciliationData[[#This Row],[Order_Date]]&gt;ReconciliationData[[#This Row],[End_Date]]),1,0)</f>
        <v>0</v>
      </c>
      <c r="U3585">
        <f>IF(AND(NOT(ISBLANK(ReconciliationData[[#This Row],[last_return_date]])),ReconciliationData[[#This Row],[last_return_date]]&gt;ReconciliationData[[#This Row],[Order_Date]]+60),1,0)</f>
        <v>0</v>
      </c>
      <c r="V3585">
        <f>IF(ReconciliationData[[#This Row],[total_returned_units]]&gt;ReconciliationData[[#This Row],[ordered_units]],1,0)</f>
        <v>0</v>
      </c>
      <c r="W35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5">
        <f>ReconciliationData[[#This Row],[Billed_Units]]*ReconciliationData[[#This Row],[Billed_Price]]</f>
        <v>76813.928800000009</v>
      </c>
      <c r="Y3585">
        <f>ReconciliationData[[#This Row],[ordered_units]]*ReconciliationData[[#This Row],[List_Price]]</f>
        <v>76813.928800000009</v>
      </c>
      <c r="Z3585">
        <f>ReconciliationData[[#This Row],[billed_revenue]]-ReconciliationData[[#This Row],[expected_revenue]]</f>
        <v>0</v>
      </c>
      <c r="AA35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5" t="str">
        <f>IF(ReconciliationData[[#This Row],[severity_score]]=0,"LOW",
 IF(ReconciliationData[[#This Row],[severity_score]]&lt;=5,"MEDIUM","HIGH"))</f>
        <v>LOW</v>
      </c>
      <c r="AC3585" t="str">
        <f>TEXT(ReconciliationData[[#This Row],[Order_Date]],"YYYY-MM")</f>
        <v>2024-03</v>
      </c>
    </row>
    <row r="3586" spans="1:29">
      <c r="A3586" t="s">
        <v>8392</v>
      </c>
      <c r="B3586" s="1">
        <v>45410</v>
      </c>
      <c r="C3586" t="s">
        <v>3443</v>
      </c>
      <c r="D3586" t="s">
        <v>1436</v>
      </c>
      <c r="E3586">
        <v>19</v>
      </c>
      <c r="F3586" t="s">
        <v>8393</v>
      </c>
      <c r="G3586">
        <v>19</v>
      </c>
      <c r="H3586">
        <v>189.52920000000003</v>
      </c>
      <c r="N3586">
        <v>189.52920000000003</v>
      </c>
      <c r="O3586" s="1">
        <v>45070</v>
      </c>
      <c r="P3586">
        <f>IF(ISBLANK(ReconciliationData[[#This Row],[Invoice_ID]]),1,0)</f>
        <v>0</v>
      </c>
      <c r="Q3586">
        <f>IF(AND(NOT(ISBLANK(ReconciliationData[[#This Row],[Billed_Units]])),ReconciliationData[[#This Row],[ordered_units]]&lt;&gt;ReconciliationData[[#This Row],[Billed_Units]]),1,0)</f>
        <v>0</v>
      </c>
      <c r="R35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6">
        <f>IF(AND(NOT(ISBLANK(ReconciliationData[[#This Row],[Contract_Price]])),ReconciliationData[[#This Row],[Billed_Price]]&lt;&gt;ReconciliationData[[#This Row],[Contract_Price]]),1,0)</f>
        <v>0</v>
      </c>
      <c r="T3586">
        <f>IF(AND(NOT(ISBLANK(ReconciliationData[[#This Row],[End_Date]])),ReconciliationData[[#This Row],[Order_Date]]&gt;ReconciliationData[[#This Row],[End_Date]]),1,0)</f>
        <v>0</v>
      </c>
      <c r="U3586">
        <f>IF(AND(NOT(ISBLANK(ReconciliationData[[#This Row],[last_return_date]])),ReconciliationData[[#This Row],[last_return_date]]&gt;ReconciliationData[[#This Row],[Order_Date]]+60),1,0)</f>
        <v>0</v>
      </c>
      <c r="V3586">
        <f>IF(ReconciliationData[[#This Row],[total_returned_units]]&gt;ReconciliationData[[#This Row],[ordered_units]],1,0)</f>
        <v>0</v>
      </c>
      <c r="W35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6">
        <f>ReconciliationData[[#This Row],[Billed_Units]]*ReconciliationData[[#This Row],[Billed_Price]]</f>
        <v>3601.0548000000008</v>
      </c>
      <c r="Y3586">
        <f>ReconciliationData[[#This Row],[ordered_units]]*ReconciliationData[[#This Row],[List_Price]]</f>
        <v>3601.0548000000008</v>
      </c>
      <c r="Z3586">
        <f>ReconciliationData[[#This Row],[billed_revenue]]-ReconciliationData[[#This Row],[expected_revenue]]</f>
        <v>0</v>
      </c>
      <c r="AA35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6" t="str">
        <f>IF(ReconciliationData[[#This Row],[severity_score]]=0,"LOW",
 IF(ReconciliationData[[#This Row],[severity_score]]&lt;=5,"MEDIUM","HIGH"))</f>
        <v>LOW</v>
      </c>
      <c r="AC3586" t="str">
        <f>TEXT(ReconciliationData[[#This Row],[Order_Date]],"YYYY-MM")</f>
        <v>2024-04</v>
      </c>
    </row>
    <row r="3587" spans="1:29">
      <c r="A3587" t="s">
        <v>8394</v>
      </c>
      <c r="B3587" s="1">
        <v>45596</v>
      </c>
      <c r="C3587" t="s">
        <v>817</v>
      </c>
      <c r="D3587" t="s">
        <v>738</v>
      </c>
      <c r="E3587">
        <v>117</v>
      </c>
      <c r="F3587" t="s">
        <v>8395</v>
      </c>
      <c r="G3587">
        <v>117</v>
      </c>
      <c r="H3587">
        <v>664.8768</v>
      </c>
      <c r="N3587">
        <v>664.8768</v>
      </c>
      <c r="O3587" s="1">
        <v>45116</v>
      </c>
      <c r="P3587">
        <f>IF(ISBLANK(ReconciliationData[[#This Row],[Invoice_ID]]),1,0)</f>
        <v>0</v>
      </c>
      <c r="Q3587">
        <f>IF(AND(NOT(ISBLANK(ReconciliationData[[#This Row],[Billed_Units]])),ReconciliationData[[#This Row],[ordered_units]]&lt;&gt;ReconciliationData[[#This Row],[Billed_Units]]),1,0)</f>
        <v>0</v>
      </c>
      <c r="R35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7">
        <f>IF(AND(NOT(ISBLANK(ReconciliationData[[#This Row],[Contract_Price]])),ReconciliationData[[#This Row],[Billed_Price]]&lt;&gt;ReconciliationData[[#This Row],[Contract_Price]]),1,0)</f>
        <v>0</v>
      </c>
      <c r="T3587">
        <f>IF(AND(NOT(ISBLANK(ReconciliationData[[#This Row],[End_Date]])),ReconciliationData[[#This Row],[Order_Date]]&gt;ReconciliationData[[#This Row],[End_Date]]),1,0)</f>
        <v>0</v>
      </c>
      <c r="U3587">
        <f>IF(AND(NOT(ISBLANK(ReconciliationData[[#This Row],[last_return_date]])),ReconciliationData[[#This Row],[last_return_date]]&gt;ReconciliationData[[#This Row],[Order_Date]]+60),1,0)</f>
        <v>0</v>
      </c>
      <c r="V3587">
        <f>IF(ReconciliationData[[#This Row],[total_returned_units]]&gt;ReconciliationData[[#This Row],[ordered_units]],1,0)</f>
        <v>0</v>
      </c>
      <c r="W35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7">
        <f>ReconciliationData[[#This Row],[Billed_Units]]*ReconciliationData[[#This Row],[Billed_Price]]</f>
        <v>77790.585600000006</v>
      </c>
      <c r="Y3587">
        <f>ReconciliationData[[#This Row],[ordered_units]]*ReconciliationData[[#This Row],[List_Price]]</f>
        <v>77790.585600000006</v>
      </c>
      <c r="Z3587">
        <f>ReconciliationData[[#This Row],[billed_revenue]]-ReconciliationData[[#This Row],[expected_revenue]]</f>
        <v>0</v>
      </c>
      <c r="AA35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7" t="str">
        <f>IF(ReconciliationData[[#This Row],[severity_score]]=0,"LOW",
 IF(ReconciliationData[[#This Row],[severity_score]]&lt;=5,"MEDIUM","HIGH"))</f>
        <v>LOW</v>
      </c>
      <c r="AC3587" t="str">
        <f>TEXT(ReconciliationData[[#This Row],[Order_Date]],"YYYY-MM")</f>
        <v>2024-10</v>
      </c>
    </row>
    <row r="3588" spans="1:29">
      <c r="A3588" t="s">
        <v>8396</v>
      </c>
      <c r="B3588" s="1">
        <v>45330</v>
      </c>
      <c r="C3588" t="s">
        <v>2242</v>
      </c>
      <c r="D3588" t="s">
        <v>1580</v>
      </c>
      <c r="E3588">
        <v>55</v>
      </c>
      <c r="F3588" t="s">
        <v>8397</v>
      </c>
      <c r="G3588">
        <v>55</v>
      </c>
      <c r="H3588">
        <v>708.51900000000001</v>
      </c>
      <c r="N3588">
        <v>708.51900000000001</v>
      </c>
      <c r="O3588" s="1">
        <v>45063</v>
      </c>
      <c r="P3588">
        <f>IF(ISBLANK(ReconciliationData[[#This Row],[Invoice_ID]]),1,0)</f>
        <v>0</v>
      </c>
      <c r="Q3588">
        <f>IF(AND(NOT(ISBLANK(ReconciliationData[[#This Row],[Billed_Units]])),ReconciliationData[[#This Row],[ordered_units]]&lt;&gt;ReconciliationData[[#This Row],[Billed_Units]]),1,0)</f>
        <v>0</v>
      </c>
      <c r="R35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8">
        <f>IF(AND(NOT(ISBLANK(ReconciliationData[[#This Row],[Contract_Price]])),ReconciliationData[[#This Row],[Billed_Price]]&lt;&gt;ReconciliationData[[#This Row],[Contract_Price]]),1,0)</f>
        <v>0</v>
      </c>
      <c r="T3588">
        <f>IF(AND(NOT(ISBLANK(ReconciliationData[[#This Row],[End_Date]])),ReconciliationData[[#This Row],[Order_Date]]&gt;ReconciliationData[[#This Row],[End_Date]]),1,0)</f>
        <v>0</v>
      </c>
      <c r="U3588">
        <f>IF(AND(NOT(ISBLANK(ReconciliationData[[#This Row],[last_return_date]])),ReconciliationData[[#This Row],[last_return_date]]&gt;ReconciliationData[[#This Row],[Order_Date]]+60),1,0)</f>
        <v>0</v>
      </c>
      <c r="V3588">
        <f>IF(ReconciliationData[[#This Row],[total_returned_units]]&gt;ReconciliationData[[#This Row],[ordered_units]],1,0)</f>
        <v>0</v>
      </c>
      <c r="W35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8">
        <f>ReconciliationData[[#This Row],[Billed_Units]]*ReconciliationData[[#This Row],[Billed_Price]]</f>
        <v>38968.544999999998</v>
      </c>
      <c r="Y3588">
        <f>ReconciliationData[[#This Row],[ordered_units]]*ReconciliationData[[#This Row],[List_Price]]</f>
        <v>38968.544999999998</v>
      </c>
      <c r="Z3588">
        <f>ReconciliationData[[#This Row],[billed_revenue]]-ReconciliationData[[#This Row],[expected_revenue]]</f>
        <v>0</v>
      </c>
      <c r="AA35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8" t="str">
        <f>IF(ReconciliationData[[#This Row],[severity_score]]=0,"LOW",
 IF(ReconciliationData[[#This Row],[severity_score]]&lt;=5,"MEDIUM","HIGH"))</f>
        <v>LOW</v>
      </c>
      <c r="AC3588" t="str">
        <f>TEXT(ReconciliationData[[#This Row],[Order_Date]],"YYYY-MM")</f>
        <v>2024-02</v>
      </c>
    </row>
    <row r="3589" spans="1:29">
      <c r="A3589" t="s">
        <v>8398</v>
      </c>
      <c r="B3589" s="1">
        <v>45523</v>
      </c>
      <c r="C3589" t="s">
        <v>3522</v>
      </c>
      <c r="D3589" t="s">
        <v>337</v>
      </c>
      <c r="E3589">
        <v>56</v>
      </c>
      <c r="F3589" t="s">
        <v>8399</v>
      </c>
      <c r="G3589">
        <v>56</v>
      </c>
      <c r="H3589">
        <v>991.84019999999998</v>
      </c>
      <c r="N3589">
        <v>991.84019999999998</v>
      </c>
      <c r="O3589" s="1">
        <v>45222</v>
      </c>
      <c r="P3589">
        <f>IF(ISBLANK(ReconciliationData[[#This Row],[Invoice_ID]]),1,0)</f>
        <v>0</v>
      </c>
      <c r="Q3589">
        <f>IF(AND(NOT(ISBLANK(ReconciliationData[[#This Row],[Billed_Units]])),ReconciliationData[[#This Row],[ordered_units]]&lt;&gt;ReconciliationData[[#This Row],[Billed_Units]]),1,0)</f>
        <v>0</v>
      </c>
      <c r="R35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89">
        <f>IF(AND(NOT(ISBLANK(ReconciliationData[[#This Row],[Contract_Price]])),ReconciliationData[[#This Row],[Billed_Price]]&lt;&gt;ReconciliationData[[#This Row],[Contract_Price]]),1,0)</f>
        <v>0</v>
      </c>
      <c r="T3589">
        <f>IF(AND(NOT(ISBLANK(ReconciliationData[[#This Row],[End_Date]])),ReconciliationData[[#This Row],[Order_Date]]&gt;ReconciliationData[[#This Row],[End_Date]]),1,0)</f>
        <v>0</v>
      </c>
      <c r="U3589">
        <f>IF(AND(NOT(ISBLANK(ReconciliationData[[#This Row],[last_return_date]])),ReconciliationData[[#This Row],[last_return_date]]&gt;ReconciliationData[[#This Row],[Order_Date]]+60),1,0)</f>
        <v>0</v>
      </c>
      <c r="V3589">
        <f>IF(ReconciliationData[[#This Row],[total_returned_units]]&gt;ReconciliationData[[#This Row],[ordered_units]],1,0)</f>
        <v>0</v>
      </c>
      <c r="W35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89">
        <f>ReconciliationData[[#This Row],[Billed_Units]]*ReconciliationData[[#This Row],[Billed_Price]]</f>
        <v>55543.051200000002</v>
      </c>
      <c r="Y3589">
        <f>ReconciliationData[[#This Row],[ordered_units]]*ReconciliationData[[#This Row],[List_Price]]</f>
        <v>55543.051200000002</v>
      </c>
      <c r="Z3589">
        <f>ReconciliationData[[#This Row],[billed_revenue]]-ReconciliationData[[#This Row],[expected_revenue]]</f>
        <v>0</v>
      </c>
      <c r="AA35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89" t="str">
        <f>IF(ReconciliationData[[#This Row],[severity_score]]=0,"LOW",
 IF(ReconciliationData[[#This Row],[severity_score]]&lt;=5,"MEDIUM","HIGH"))</f>
        <v>LOW</v>
      </c>
      <c r="AC3589" t="str">
        <f>TEXT(ReconciliationData[[#This Row],[Order_Date]],"YYYY-MM")</f>
        <v>2024-08</v>
      </c>
    </row>
    <row r="3590" spans="1:29">
      <c r="A3590" t="s">
        <v>8400</v>
      </c>
      <c r="B3590" s="1">
        <v>45044</v>
      </c>
      <c r="C3590" t="s">
        <v>700</v>
      </c>
      <c r="D3590" t="s">
        <v>2471</v>
      </c>
      <c r="E3590">
        <v>135</v>
      </c>
      <c r="F3590" t="s">
        <v>8401</v>
      </c>
      <c r="G3590">
        <v>135</v>
      </c>
      <c r="H3590">
        <v>1055.7148</v>
      </c>
      <c r="N3590">
        <v>1055.7148</v>
      </c>
      <c r="O3590" s="1">
        <v>45024</v>
      </c>
      <c r="P3590">
        <f>IF(ISBLANK(ReconciliationData[[#This Row],[Invoice_ID]]),1,0)</f>
        <v>0</v>
      </c>
      <c r="Q3590">
        <f>IF(AND(NOT(ISBLANK(ReconciliationData[[#This Row],[Billed_Units]])),ReconciliationData[[#This Row],[ordered_units]]&lt;&gt;ReconciliationData[[#This Row],[Billed_Units]]),1,0)</f>
        <v>0</v>
      </c>
      <c r="R35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90">
        <f>IF(AND(NOT(ISBLANK(ReconciliationData[[#This Row],[Contract_Price]])),ReconciliationData[[#This Row],[Billed_Price]]&lt;&gt;ReconciliationData[[#This Row],[Contract_Price]]),1,0)</f>
        <v>0</v>
      </c>
      <c r="T3590">
        <f>IF(AND(NOT(ISBLANK(ReconciliationData[[#This Row],[End_Date]])),ReconciliationData[[#This Row],[Order_Date]]&gt;ReconciliationData[[#This Row],[End_Date]]),1,0)</f>
        <v>0</v>
      </c>
      <c r="U3590">
        <f>IF(AND(NOT(ISBLANK(ReconciliationData[[#This Row],[last_return_date]])),ReconciliationData[[#This Row],[last_return_date]]&gt;ReconciliationData[[#This Row],[Order_Date]]+60),1,0)</f>
        <v>0</v>
      </c>
      <c r="V3590">
        <f>IF(ReconciliationData[[#This Row],[total_returned_units]]&gt;ReconciliationData[[#This Row],[ordered_units]],1,0)</f>
        <v>0</v>
      </c>
      <c r="W35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90">
        <f>ReconciliationData[[#This Row],[Billed_Units]]*ReconciliationData[[#This Row],[Billed_Price]]</f>
        <v>142521.49799999999</v>
      </c>
      <c r="Y3590">
        <f>ReconciliationData[[#This Row],[ordered_units]]*ReconciliationData[[#This Row],[List_Price]]</f>
        <v>142521.49799999999</v>
      </c>
      <c r="Z3590">
        <f>ReconciliationData[[#This Row],[billed_revenue]]-ReconciliationData[[#This Row],[expected_revenue]]</f>
        <v>0</v>
      </c>
      <c r="AA35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90" t="str">
        <f>IF(ReconciliationData[[#This Row],[severity_score]]=0,"LOW",
 IF(ReconciliationData[[#This Row],[severity_score]]&lt;=5,"MEDIUM","HIGH"))</f>
        <v>LOW</v>
      </c>
      <c r="AC3590" t="str">
        <f>TEXT(ReconciliationData[[#This Row],[Order_Date]],"YYYY-MM")</f>
        <v>2023-04</v>
      </c>
    </row>
    <row r="3591" spans="1:29">
      <c r="A3591" t="s">
        <v>8402</v>
      </c>
      <c r="B3591" s="1">
        <v>45128</v>
      </c>
      <c r="C3591" t="s">
        <v>3473</v>
      </c>
      <c r="D3591" t="s">
        <v>1037</v>
      </c>
      <c r="E3591">
        <v>136</v>
      </c>
      <c r="F3591" t="s">
        <v>8403</v>
      </c>
      <c r="G3591">
        <v>136</v>
      </c>
      <c r="H3591">
        <v>579.32940000000008</v>
      </c>
      <c r="N3591">
        <v>579.32940000000008</v>
      </c>
      <c r="O3591" s="1">
        <v>44909</v>
      </c>
      <c r="P3591">
        <f>IF(ISBLANK(ReconciliationData[[#This Row],[Invoice_ID]]),1,0)</f>
        <v>0</v>
      </c>
      <c r="Q3591">
        <f>IF(AND(NOT(ISBLANK(ReconciliationData[[#This Row],[Billed_Units]])),ReconciliationData[[#This Row],[ordered_units]]&lt;&gt;ReconciliationData[[#This Row],[Billed_Units]]),1,0)</f>
        <v>0</v>
      </c>
      <c r="R35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91">
        <f>IF(AND(NOT(ISBLANK(ReconciliationData[[#This Row],[Contract_Price]])),ReconciliationData[[#This Row],[Billed_Price]]&lt;&gt;ReconciliationData[[#This Row],[Contract_Price]]),1,0)</f>
        <v>0</v>
      </c>
      <c r="T3591">
        <f>IF(AND(NOT(ISBLANK(ReconciliationData[[#This Row],[End_Date]])),ReconciliationData[[#This Row],[Order_Date]]&gt;ReconciliationData[[#This Row],[End_Date]]),1,0)</f>
        <v>0</v>
      </c>
      <c r="U3591">
        <f>IF(AND(NOT(ISBLANK(ReconciliationData[[#This Row],[last_return_date]])),ReconciliationData[[#This Row],[last_return_date]]&gt;ReconciliationData[[#This Row],[Order_Date]]+60),1,0)</f>
        <v>0</v>
      </c>
      <c r="V3591">
        <f>IF(ReconciliationData[[#This Row],[total_returned_units]]&gt;ReconciliationData[[#This Row],[ordered_units]],1,0)</f>
        <v>0</v>
      </c>
      <c r="W35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91">
        <f>ReconciliationData[[#This Row],[Billed_Units]]*ReconciliationData[[#This Row],[Billed_Price]]</f>
        <v>78788.798400000014</v>
      </c>
      <c r="Y3591">
        <f>ReconciliationData[[#This Row],[ordered_units]]*ReconciliationData[[#This Row],[List_Price]]</f>
        <v>78788.798400000014</v>
      </c>
      <c r="Z3591">
        <f>ReconciliationData[[#This Row],[billed_revenue]]-ReconciliationData[[#This Row],[expected_revenue]]</f>
        <v>0</v>
      </c>
      <c r="AA35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91" t="str">
        <f>IF(ReconciliationData[[#This Row],[severity_score]]=0,"LOW",
 IF(ReconciliationData[[#This Row],[severity_score]]&lt;=5,"MEDIUM","HIGH"))</f>
        <v>LOW</v>
      </c>
      <c r="AC3591" t="str">
        <f>TEXT(ReconciliationData[[#This Row],[Order_Date]],"YYYY-MM")</f>
        <v>2023-07</v>
      </c>
    </row>
    <row r="3592" spans="1:29">
      <c r="A3592" t="s">
        <v>8404</v>
      </c>
      <c r="B3592" s="1">
        <v>45212</v>
      </c>
      <c r="C3592" t="s">
        <v>1314</v>
      </c>
      <c r="D3592" t="s">
        <v>3256</v>
      </c>
      <c r="E3592">
        <v>98</v>
      </c>
      <c r="F3592" t="s">
        <v>8405</v>
      </c>
      <c r="G3592">
        <v>98</v>
      </c>
      <c r="H3592">
        <v>1159.732</v>
      </c>
      <c r="K3592">
        <v>884.74</v>
      </c>
      <c r="L3592" s="1">
        <v>44870</v>
      </c>
      <c r="M3592" s="1">
        <v>45219</v>
      </c>
      <c r="N3592">
        <v>1159.732</v>
      </c>
      <c r="O3592" s="1">
        <v>45032</v>
      </c>
      <c r="P3592">
        <f>IF(ISBLANK(ReconciliationData[[#This Row],[Invoice_ID]]),1,0)</f>
        <v>0</v>
      </c>
      <c r="Q3592">
        <f>IF(AND(NOT(ISBLANK(ReconciliationData[[#This Row],[Billed_Units]])),ReconciliationData[[#This Row],[ordered_units]]&lt;&gt;ReconciliationData[[#This Row],[Billed_Units]]),1,0)</f>
        <v>0</v>
      </c>
      <c r="R35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92">
        <f>IF(AND(NOT(ISBLANK(ReconciliationData[[#This Row],[Contract_Price]])),ReconciliationData[[#This Row],[Billed_Price]]&lt;&gt;ReconciliationData[[#This Row],[Contract_Price]]),1,0)</f>
        <v>1</v>
      </c>
      <c r="T3592">
        <f>IF(AND(NOT(ISBLANK(ReconciliationData[[#This Row],[End_Date]])),ReconciliationData[[#This Row],[Order_Date]]&gt;ReconciliationData[[#This Row],[End_Date]]),1,0)</f>
        <v>0</v>
      </c>
      <c r="U3592">
        <f>IF(AND(NOT(ISBLANK(ReconciliationData[[#This Row],[last_return_date]])),ReconciliationData[[#This Row],[last_return_date]]&gt;ReconciliationData[[#This Row],[Order_Date]]+60),1,0)</f>
        <v>0</v>
      </c>
      <c r="V3592">
        <f>IF(ReconciliationData[[#This Row],[total_returned_units]]&gt;ReconciliationData[[#This Row],[ordered_units]],1,0)</f>
        <v>0</v>
      </c>
      <c r="W35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92">
        <f>ReconciliationData[[#This Row],[Billed_Units]]*ReconciliationData[[#This Row],[Billed_Price]]</f>
        <v>113653.736</v>
      </c>
      <c r="Y3592">
        <f>ReconciliationData[[#This Row],[ordered_units]]*ReconciliationData[[#This Row],[List_Price]]</f>
        <v>113653.736</v>
      </c>
      <c r="Z3592">
        <f>ReconciliationData[[#This Row],[billed_revenue]]-ReconciliationData[[#This Row],[expected_revenue]]</f>
        <v>0</v>
      </c>
      <c r="AA35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592" t="str">
        <f>IF(ReconciliationData[[#This Row],[severity_score]]=0,"LOW",
 IF(ReconciliationData[[#This Row],[severity_score]]&lt;=5,"MEDIUM","HIGH"))</f>
        <v>MEDIUM</v>
      </c>
      <c r="AC3592" t="str">
        <f>TEXT(ReconciliationData[[#This Row],[Order_Date]],"YYYY-MM")</f>
        <v>2023-10</v>
      </c>
    </row>
    <row r="3593" spans="1:29">
      <c r="A3593" t="s">
        <v>8406</v>
      </c>
      <c r="B3593" s="1">
        <v>44957</v>
      </c>
      <c r="C3593" t="s">
        <v>1185</v>
      </c>
      <c r="D3593" t="s">
        <v>3006</v>
      </c>
      <c r="E3593">
        <v>41</v>
      </c>
      <c r="F3593" t="s">
        <v>8407</v>
      </c>
      <c r="G3593">
        <v>41</v>
      </c>
      <c r="H3593">
        <v>680.07339999999999</v>
      </c>
      <c r="N3593">
        <v>680.07339999999999</v>
      </c>
      <c r="O3593" s="1">
        <v>44887</v>
      </c>
      <c r="P3593">
        <f>IF(ISBLANK(ReconciliationData[[#This Row],[Invoice_ID]]),1,0)</f>
        <v>0</v>
      </c>
      <c r="Q3593">
        <f>IF(AND(NOT(ISBLANK(ReconciliationData[[#This Row],[Billed_Units]])),ReconciliationData[[#This Row],[ordered_units]]&lt;&gt;ReconciliationData[[#This Row],[Billed_Units]]),1,0)</f>
        <v>0</v>
      </c>
      <c r="R35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93">
        <f>IF(AND(NOT(ISBLANK(ReconciliationData[[#This Row],[Contract_Price]])),ReconciliationData[[#This Row],[Billed_Price]]&lt;&gt;ReconciliationData[[#This Row],[Contract_Price]]),1,0)</f>
        <v>0</v>
      </c>
      <c r="T3593">
        <f>IF(AND(NOT(ISBLANK(ReconciliationData[[#This Row],[End_Date]])),ReconciliationData[[#This Row],[Order_Date]]&gt;ReconciliationData[[#This Row],[End_Date]]),1,0)</f>
        <v>0</v>
      </c>
      <c r="U3593">
        <f>IF(AND(NOT(ISBLANK(ReconciliationData[[#This Row],[last_return_date]])),ReconciliationData[[#This Row],[last_return_date]]&gt;ReconciliationData[[#This Row],[Order_Date]]+60),1,0)</f>
        <v>0</v>
      </c>
      <c r="V3593">
        <f>IF(ReconciliationData[[#This Row],[total_returned_units]]&gt;ReconciliationData[[#This Row],[ordered_units]],1,0)</f>
        <v>0</v>
      </c>
      <c r="W35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93">
        <f>ReconciliationData[[#This Row],[Billed_Units]]*ReconciliationData[[#This Row],[Billed_Price]]</f>
        <v>27883.009399999999</v>
      </c>
      <c r="Y3593">
        <f>ReconciliationData[[#This Row],[ordered_units]]*ReconciliationData[[#This Row],[List_Price]]</f>
        <v>27883.009399999999</v>
      </c>
      <c r="Z3593">
        <f>ReconciliationData[[#This Row],[billed_revenue]]-ReconciliationData[[#This Row],[expected_revenue]]</f>
        <v>0</v>
      </c>
      <c r="AA35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93" t="str">
        <f>IF(ReconciliationData[[#This Row],[severity_score]]=0,"LOW",
 IF(ReconciliationData[[#This Row],[severity_score]]&lt;=5,"MEDIUM","HIGH"))</f>
        <v>LOW</v>
      </c>
      <c r="AC3593" t="str">
        <f>TEXT(ReconciliationData[[#This Row],[Order_Date]],"YYYY-MM")</f>
        <v>2023-01</v>
      </c>
    </row>
    <row r="3594" spans="1:29">
      <c r="A3594" t="s">
        <v>8408</v>
      </c>
      <c r="B3594" s="1">
        <v>45566</v>
      </c>
      <c r="C3594" t="s">
        <v>7534</v>
      </c>
      <c r="D3594" t="s">
        <v>2187</v>
      </c>
      <c r="E3594">
        <v>181</v>
      </c>
      <c r="F3594" t="s">
        <v>8409</v>
      </c>
      <c r="G3594">
        <v>181</v>
      </c>
      <c r="H3594">
        <v>223.6044</v>
      </c>
      <c r="N3594">
        <v>223.6044</v>
      </c>
      <c r="O3594" s="1">
        <v>45091</v>
      </c>
      <c r="P3594">
        <f>IF(ISBLANK(ReconciliationData[[#This Row],[Invoice_ID]]),1,0)</f>
        <v>0</v>
      </c>
      <c r="Q3594">
        <f>IF(AND(NOT(ISBLANK(ReconciliationData[[#This Row],[Billed_Units]])),ReconciliationData[[#This Row],[ordered_units]]&lt;&gt;ReconciliationData[[#This Row],[Billed_Units]]),1,0)</f>
        <v>0</v>
      </c>
      <c r="R35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94">
        <f>IF(AND(NOT(ISBLANK(ReconciliationData[[#This Row],[Contract_Price]])),ReconciliationData[[#This Row],[Billed_Price]]&lt;&gt;ReconciliationData[[#This Row],[Contract_Price]]),1,0)</f>
        <v>0</v>
      </c>
      <c r="T3594">
        <f>IF(AND(NOT(ISBLANK(ReconciliationData[[#This Row],[End_Date]])),ReconciliationData[[#This Row],[Order_Date]]&gt;ReconciliationData[[#This Row],[End_Date]]),1,0)</f>
        <v>0</v>
      </c>
      <c r="U3594">
        <f>IF(AND(NOT(ISBLANK(ReconciliationData[[#This Row],[last_return_date]])),ReconciliationData[[#This Row],[last_return_date]]&gt;ReconciliationData[[#This Row],[Order_Date]]+60),1,0)</f>
        <v>0</v>
      </c>
      <c r="V3594">
        <f>IF(ReconciliationData[[#This Row],[total_returned_units]]&gt;ReconciliationData[[#This Row],[ordered_units]],1,0)</f>
        <v>0</v>
      </c>
      <c r="W35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94">
        <f>ReconciliationData[[#This Row],[Billed_Units]]*ReconciliationData[[#This Row],[Billed_Price]]</f>
        <v>40472.396399999998</v>
      </c>
      <c r="Y3594">
        <f>ReconciliationData[[#This Row],[ordered_units]]*ReconciliationData[[#This Row],[List_Price]]</f>
        <v>40472.396399999998</v>
      </c>
      <c r="Z3594">
        <f>ReconciliationData[[#This Row],[billed_revenue]]-ReconciliationData[[#This Row],[expected_revenue]]</f>
        <v>0</v>
      </c>
      <c r="AA35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94" t="str">
        <f>IF(ReconciliationData[[#This Row],[severity_score]]=0,"LOW",
 IF(ReconciliationData[[#This Row],[severity_score]]&lt;=5,"MEDIUM","HIGH"))</f>
        <v>LOW</v>
      </c>
      <c r="AC3594" t="str">
        <f>TEXT(ReconciliationData[[#This Row],[Order_Date]],"YYYY-MM")</f>
        <v>2024-10</v>
      </c>
    </row>
    <row r="3595" spans="1:29">
      <c r="A3595" t="s">
        <v>8410</v>
      </c>
      <c r="B3595" s="1">
        <v>45059</v>
      </c>
      <c r="C3595" t="s">
        <v>4167</v>
      </c>
      <c r="D3595" t="s">
        <v>345</v>
      </c>
      <c r="E3595">
        <v>183</v>
      </c>
      <c r="F3595" t="s">
        <v>8411</v>
      </c>
      <c r="G3595">
        <v>183</v>
      </c>
      <c r="H3595">
        <v>574.3415</v>
      </c>
      <c r="N3595">
        <v>574.3415</v>
      </c>
      <c r="O3595" s="1">
        <v>44806</v>
      </c>
      <c r="P3595">
        <f>IF(ISBLANK(ReconciliationData[[#This Row],[Invoice_ID]]),1,0)</f>
        <v>0</v>
      </c>
      <c r="Q3595">
        <f>IF(AND(NOT(ISBLANK(ReconciliationData[[#This Row],[Billed_Units]])),ReconciliationData[[#This Row],[ordered_units]]&lt;&gt;ReconciliationData[[#This Row],[Billed_Units]]),1,0)</f>
        <v>0</v>
      </c>
      <c r="R35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95">
        <f>IF(AND(NOT(ISBLANK(ReconciliationData[[#This Row],[Contract_Price]])),ReconciliationData[[#This Row],[Billed_Price]]&lt;&gt;ReconciliationData[[#This Row],[Contract_Price]]),1,0)</f>
        <v>0</v>
      </c>
      <c r="T3595">
        <f>IF(AND(NOT(ISBLANK(ReconciliationData[[#This Row],[End_Date]])),ReconciliationData[[#This Row],[Order_Date]]&gt;ReconciliationData[[#This Row],[End_Date]]),1,0)</f>
        <v>0</v>
      </c>
      <c r="U3595">
        <f>IF(AND(NOT(ISBLANK(ReconciliationData[[#This Row],[last_return_date]])),ReconciliationData[[#This Row],[last_return_date]]&gt;ReconciliationData[[#This Row],[Order_Date]]+60),1,0)</f>
        <v>0</v>
      </c>
      <c r="V3595">
        <f>IF(ReconciliationData[[#This Row],[total_returned_units]]&gt;ReconciliationData[[#This Row],[ordered_units]],1,0)</f>
        <v>0</v>
      </c>
      <c r="W35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95">
        <f>ReconciliationData[[#This Row],[Billed_Units]]*ReconciliationData[[#This Row],[Billed_Price]]</f>
        <v>105104.4945</v>
      </c>
      <c r="Y3595">
        <f>ReconciliationData[[#This Row],[ordered_units]]*ReconciliationData[[#This Row],[List_Price]]</f>
        <v>105104.4945</v>
      </c>
      <c r="Z3595">
        <f>ReconciliationData[[#This Row],[billed_revenue]]-ReconciliationData[[#This Row],[expected_revenue]]</f>
        <v>0</v>
      </c>
      <c r="AA35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95" t="str">
        <f>IF(ReconciliationData[[#This Row],[severity_score]]=0,"LOW",
 IF(ReconciliationData[[#This Row],[severity_score]]&lt;=5,"MEDIUM","HIGH"))</f>
        <v>LOW</v>
      </c>
      <c r="AC3595" t="str">
        <f>TEXT(ReconciliationData[[#This Row],[Order_Date]],"YYYY-MM")</f>
        <v>2023-05</v>
      </c>
    </row>
    <row r="3596" spans="1:29">
      <c r="A3596" t="s">
        <v>8412</v>
      </c>
      <c r="B3596" s="1">
        <v>44935</v>
      </c>
      <c r="C3596" t="s">
        <v>1838</v>
      </c>
      <c r="D3596" t="s">
        <v>223</v>
      </c>
      <c r="E3596">
        <v>121</v>
      </c>
      <c r="F3596" t="s">
        <v>8413</v>
      </c>
      <c r="G3596">
        <v>121</v>
      </c>
      <c r="H3596">
        <v>524.67999999999995</v>
      </c>
      <c r="N3596">
        <v>524.67999999999995</v>
      </c>
      <c r="O3596" s="1">
        <v>44615</v>
      </c>
      <c r="P3596">
        <f>IF(ISBLANK(ReconciliationData[[#This Row],[Invoice_ID]]),1,0)</f>
        <v>0</v>
      </c>
      <c r="Q3596">
        <f>IF(AND(NOT(ISBLANK(ReconciliationData[[#This Row],[Billed_Units]])),ReconciliationData[[#This Row],[ordered_units]]&lt;&gt;ReconciliationData[[#This Row],[Billed_Units]]),1,0)</f>
        <v>0</v>
      </c>
      <c r="R35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96">
        <f>IF(AND(NOT(ISBLANK(ReconciliationData[[#This Row],[Contract_Price]])),ReconciliationData[[#This Row],[Billed_Price]]&lt;&gt;ReconciliationData[[#This Row],[Contract_Price]]),1,0)</f>
        <v>0</v>
      </c>
      <c r="T3596">
        <f>IF(AND(NOT(ISBLANK(ReconciliationData[[#This Row],[End_Date]])),ReconciliationData[[#This Row],[Order_Date]]&gt;ReconciliationData[[#This Row],[End_Date]]),1,0)</f>
        <v>0</v>
      </c>
      <c r="U3596">
        <f>IF(AND(NOT(ISBLANK(ReconciliationData[[#This Row],[last_return_date]])),ReconciliationData[[#This Row],[last_return_date]]&gt;ReconciliationData[[#This Row],[Order_Date]]+60),1,0)</f>
        <v>0</v>
      </c>
      <c r="V3596">
        <f>IF(ReconciliationData[[#This Row],[total_returned_units]]&gt;ReconciliationData[[#This Row],[ordered_units]],1,0)</f>
        <v>0</v>
      </c>
      <c r="W35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96">
        <f>ReconciliationData[[#This Row],[Billed_Units]]*ReconciliationData[[#This Row],[Billed_Price]]</f>
        <v>63486.279999999992</v>
      </c>
      <c r="Y3596">
        <f>ReconciliationData[[#This Row],[ordered_units]]*ReconciliationData[[#This Row],[List_Price]]</f>
        <v>63486.279999999992</v>
      </c>
      <c r="Z3596">
        <f>ReconciliationData[[#This Row],[billed_revenue]]-ReconciliationData[[#This Row],[expected_revenue]]</f>
        <v>0</v>
      </c>
      <c r="AA35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96" t="str">
        <f>IF(ReconciliationData[[#This Row],[severity_score]]=0,"LOW",
 IF(ReconciliationData[[#This Row],[severity_score]]&lt;=5,"MEDIUM","HIGH"))</f>
        <v>LOW</v>
      </c>
      <c r="AC3596" t="str">
        <f>TEXT(ReconciliationData[[#This Row],[Order_Date]],"YYYY-MM")</f>
        <v>2023-01</v>
      </c>
    </row>
    <row r="3597" spans="1:29">
      <c r="A3597" t="s">
        <v>8414</v>
      </c>
      <c r="B3597" s="1">
        <v>45605</v>
      </c>
      <c r="C3597" t="s">
        <v>1889</v>
      </c>
      <c r="D3597" t="s">
        <v>404</v>
      </c>
      <c r="E3597">
        <v>107</v>
      </c>
      <c r="F3597" t="s">
        <v>8415</v>
      </c>
      <c r="G3597">
        <v>107</v>
      </c>
      <c r="H3597">
        <v>1129.8278158163448</v>
      </c>
      <c r="N3597">
        <v>1129.6166000000001</v>
      </c>
      <c r="O3597" s="1">
        <v>44960</v>
      </c>
      <c r="P3597">
        <f>IF(ISBLANK(ReconciliationData[[#This Row],[Invoice_ID]]),1,0)</f>
        <v>0</v>
      </c>
      <c r="Q3597">
        <f>IF(AND(NOT(ISBLANK(ReconciliationData[[#This Row],[Billed_Units]])),ReconciliationData[[#This Row],[ordered_units]]&lt;&gt;ReconciliationData[[#This Row],[Billed_Units]]),1,0)</f>
        <v>0</v>
      </c>
      <c r="R359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597">
        <f>IF(AND(NOT(ISBLANK(ReconciliationData[[#This Row],[Contract_Price]])),ReconciliationData[[#This Row],[Billed_Price]]&lt;&gt;ReconciliationData[[#This Row],[Contract_Price]]),1,0)</f>
        <v>0</v>
      </c>
      <c r="T3597">
        <f>IF(AND(NOT(ISBLANK(ReconciliationData[[#This Row],[End_Date]])),ReconciliationData[[#This Row],[Order_Date]]&gt;ReconciliationData[[#This Row],[End_Date]]),1,0)</f>
        <v>0</v>
      </c>
      <c r="U3597">
        <f>IF(AND(NOT(ISBLANK(ReconciliationData[[#This Row],[last_return_date]])),ReconciliationData[[#This Row],[last_return_date]]&gt;ReconciliationData[[#This Row],[Order_Date]]+60),1,0)</f>
        <v>0</v>
      </c>
      <c r="V3597">
        <f>IF(ReconciliationData[[#This Row],[total_returned_units]]&gt;ReconciliationData[[#This Row],[ordered_units]],1,0)</f>
        <v>0</v>
      </c>
      <c r="W35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97">
        <f>ReconciliationData[[#This Row],[Billed_Units]]*ReconciliationData[[#This Row],[Billed_Price]]</f>
        <v>120891.57629234889</v>
      </c>
      <c r="Y3597">
        <f>ReconciliationData[[#This Row],[ordered_units]]*ReconciliationData[[#This Row],[List_Price]]</f>
        <v>120868.9762</v>
      </c>
      <c r="Z3597">
        <f>ReconciliationData[[#This Row],[billed_revenue]]-ReconciliationData[[#This Row],[expected_revenue]]</f>
        <v>22.60009234889003</v>
      </c>
      <c r="AA35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597" t="str">
        <f>IF(ReconciliationData[[#This Row],[severity_score]]=0,"LOW",
 IF(ReconciliationData[[#This Row],[severity_score]]&lt;=5,"MEDIUM","HIGH"))</f>
        <v>MEDIUM</v>
      </c>
      <c r="AC3597" t="str">
        <f>TEXT(ReconciliationData[[#This Row],[Order_Date]],"YYYY-MM")</f>
        <v>2024-11</v>
      </c>
    </row>
    <row r="3598" spans="1:29">
      <c r="A3598" t="s">
        <v>8416</v>
      </c>
      <c r="B3598" s="1">
        <v>45650</v>
      </c>
      <c r="C3598" t="s">
        <v>690</v>
      </c>
      <c r="D3598" t="s">
        <v>1007</v>
      </c>
      <c r="E3598">
        <v>40</v>
      </c>
      <c r="F3598" t="s">
        <v>8417</v>
      </c>
      <c r="G3598">
        <v>40</v>
      </c>
      <c r="H3598">
        <v>115.0735</v>
      </c>
      <c r="N3598">
        <v>115.0735</v>
      </c>
      <c r="O3598" s="1">
        <v>45227</v>
      </c>
      <c r="P3598">
        <f>IF(ISBLANK(ReconciliationData[[#This Row],[Invoice_ID]]),1,0)</f>
        <v>0</v>
      </c>
      <c r="Q3598">
        <f>IF(AND(NOT(ISBLANK(ReconciliationData[[#This Row],[Billed_Units]])),ReconciliationData[[#This Row],[ordered_units]]&lt;&gt;ReconciliationData[[#This Row],[Billed_Units]]),1,0)</f>
        <v>0</v>
      </c>
      <c r="R35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98">
        <f>IF(AND(NOT(ISBLANK(ReconciliationData[[#This Row],[Contract_Price]])),ReconciliationData[[#This Row],[Billed_Price]]&lt;&gt;ReconciliationData[[#This Row],[Contract_Price]]),1,0)</f>
        <v>0</v>
      </c>
      <c r="T3598">
        <f>IF(AND(NOT(ISBLANK(ReconciliationData[[#This Row],[End_Date]])),ReconciliationData[[#This Row],[Order_Date]]&gt;ReconciliationData[[#This Row],[End_Date]]),1,0)</f>
        <v>0</v>
      </c>
      <c r="U3598">
        <f>IF(AND(NOT(ISBLANK(ReconciliationData[[#This Row],[last_return_date]])),ReconciliationData[[#This Row],[last_return_date]]&gt;ReconciliationData[[#This Row],[Order_Date]]+60),1,0)</f>
        <v>0</v>
      </c>
      <c r="V3598">
        <f>IF(ReconciliationData[[#This Row],[total_returned_units]]&gt;ReconciliationData[[#This Row],[ordered_units]],1,0)</f>
        <v>0</v>
      </c>
      <c r="W35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598">
        <f>ReconciliationData[[#This Row],[Billed_Units]]*ReconciliationData[[#This Row],[Billed_Price]]</f>
        <v>4602.9399999999996</v>
      </c>
      <c r="Y3598">
        <f>ReconciliationData[[#This Row],[ordered_units]]*ReconciliationData[[#This Row],[List_Price]]</f>
        <v>4602.9399999999996</v>
      </c>
      <c r="Z3598">
        <f>ReconciliationData[[#This Row],[billed_revenue]]-ReconciliationData[[#This Row],[expected_revenue]]</f>
        <v>0</v>
      </c>
      <c r="AA35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598" t="str">
        <f>IF(ReconciliationData[[#This Row],[severity_score]]=0,"LOW",
 IF(ReconciliationData[[#This Row],[severity_score]]&lt;=5,"MEDIUM","HIGH"))</f>
        <v>LOW</v>
      </c>
      <c r="AC3598" t="str">
        <f>TEXT(ReconciliationData[[#This Row],[Order_Date]],"YYYY-MM")</f>
        <v>2024-12</v>
      </c>
    </row>
    <row r="3599" spans="1:29">
      <c r="A3599" t="s">
        <v>8418</v>
      </c>
      <c r="B3599" s="1">
        <v>45084</v>
      </c>
      <c r="C3599" t="s">
        <v>2971</v>
      </c>
      <c r="D3599" t="s">
        <v>1339</v>
      </c>
      <c r="E3599">
        <v>34</v>
      </c>
      <c r="F3599" t="s">
        <v>8419</v>
      </c>
      <c r="G3599">
        <v>34</v>
      </c>
      <c r="H3599">
        <v>614.96820000000002</v>
      </c>
      <c r="I3599">
        <v>3</v>
      </c>
      <c r="J3599" s="1">
        <v>45614</v>
      </c>
      <c r="N3599">
        <v>614.96820000000002</v>
      </c>
      <c r="O3599" s="1">
        <v>44984</v>
      </c>
      <c r="P3599">
        <f>IF(ISBLANK(ReconciliationData[[#This Row],[Invoice_ID]]),1,0)</f>
        <v>0</v>
      </c>
      <c r="Q3599">
        <f>IF(AND(NOT(ISBLANK(ReconciliationData[[#This Row],[Billed_Units]])),ReconciliationData[[#This Row],[ordered_units]]&lt;&gt;ReconciliationData[[#This Row],[Billed_Units]]),1,0)</f>
        <v>0</v>
      </c>
      <c r="R35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599">
        <f>IF(AND(NOT(ISBLANK(ReconciliationData[[#This Row],[Contract_Price]])),ReconciliationData[[#This Row],[Billed_Price]]&lt;&gt;ReconciliationData[[#This Row],[Contract_Price]]),1,0)</f>
        <v>0</v>
      </c>
      <c r="T3599">
        <f>IF(AND(NOT(ISBLANK(ReconciliationData[[#This Row],[End_Date]])),ReconciliationData[[#This Row],[Order_Date]]&gt;ReconciliationData[[#This Row],[End_Date]]),1,0)</f>
        <v>0</v>
      </c>
      <c r="U3599">
        <f>IF(AND(NOT(ISBLANK(ReconciliationData[[#This Row],[last_return_date]])),ReconciliationData[[#This Row],[last_return_date]]&gt;ReconciliationData[[#This Row],[Order_Date]]+60),1,0)</f>
        <v>1</v>
      </c>
      <c r="V3599">
        <f>IF(ReconciliationData[[#This Row],[total_returned_units]]&gt;ReconciliationData[[#This Row],[ordered_units]],1,0)</f>
        <v>0</v>
      </c>
      <c r="W35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599">
        <f>ReconciliationData[[#This Row],[Billed_Units]]*ReconciliationData[[#This Row],[Billed_Price]]</f>
        <v>20908.918799999999</v>
      </c>
      <c r="Y3599">
        <f>ReconciliationData[[#This Row],[ordered_units]]*ReconciliationData[[#This Row],[List_Price]]</f>
        <v>20908.918799999999</v>
      </c>
      <c r="Z3599">
        <f>ReconciliationData[[#This Row],[billed_revenue]]-ReconciliationData[[#This Row],[expected_revenue]]</f>
        <v>0</v>
      </c>
      <c r="AA35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599" t="str">
        <f>IF(ReconciliationData[[#This Row],[severity_score]]=0,"LOW",
 IF(ReconciliationData[[#This Row],[severity_score]]&lt;=5,"MEDIUM","HIGH"))</f>
        <v>MEDIUM</v>
      </c>
      <c r="AC3599" t="str">
        <f>TEXT(ReconciliationData[[#This Row],[Order_Date]],"YYYY-MM")</f>
        <v>2023-06</v>
      </c>
    </row>
    <row r="3600" spans="1:29">
      <c r="A3600" t="s">
        <v>8420</v>
      </c>
      <c r="B3600" s="1">
        <v>45183</v>
      </c>
      <c r="C3600" t="s">
        <v>1665</v>
      </c>
      <c r="D3600" t="s">
        <v>227</v>
      </c>
      <c r="E3600">
        <v>99</v>
      </c>
      <c r="F3600" t="s">
        <v>8421</v>
      </c>
      <c r="G3600">
        <v>99</v>
      </c>
      <c r="H3600">
        <v>626.68790000000001</v>
      </c>
      <c r="N3600">
        <v>626.68790000000001</v>
      </c>
      <c r="O3600" s="1">
        <v>45103</v>
      </c>
      <c r="P3600">
        <f>IF(ISBLANK(ReconciliationData[[#This Row],[Invoice_ID]]),1,0)</f>
        <v>0</v>
      </c>
      <c r="Q3600">
        <f>IF(AND(NOT(ISBLANK(ReconciliationData[[#This Row],[Billed_Units]])),ReconciliationData[[#This Row],[ordered_units]]&lt;&gt;ReconciliationData[[#This Row],[Billed_Units]]),1,0)</f>
        <v>0</v>
      </c>
      <c r="R36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0">
        <f>IF(AND(NOT(ISBLANK(ReconciliationData[[#This Row],[Contract_Price]])),ReconciliationData[[#This Row],[Billed_Price]]&lt;&gt;ReconciliationData[[#This Row],[Contract_Price]]),1,0)</f>
        <v>0</v>
      </c>
      <c r="T3600">
        <f>IF(AND(NOT(ISBLANK(ReconciliationData[[#This Row],[End_Date]])),ReconciliationData[[#This Row],[Order_Date]]&gt;ReconciliationData[[#This Row],[End_Date]]),1,0)</f>
        <v>0</v>
      </c>
      <c r="U3600">
        <f>IF(AND(NOT(ISBLANK(ReconciliationData[[#This Row],[last_return_date]])),ReconciliationData[[#This Row],[last_return_date]]&gt;ReconciliationData[[#This Row],[Order_Date]]+60),1,0)</f>
        <v>0</v>
      </c>
      <c r="V3600">
        <f>IF(ReconciliationData[[#This Row],[total_returned_units]]&gt;ReconciliationData[[#This Row],[ordered_units]],1,0)</f>
        <v>0</v>
      </c>
      <c r="W36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0">
        <f>ReconciliationData[[#This Row],[Billed_Units]]*ReconciliationData[[#This Row],[Billed_Price]]</f>
        <v>62042.102100000004</v>
      </c>
      <c r="Y3600">
        <f>ReconciliationData[[#This Row],[ordered_units]]*ReconciliationData[[#This Row],[List_Price]]</f>
        <v>62042.102100000004</v>
      </c>
      <c r="Z3600">
        <f>ReconciliationData[[#This Row],[billed_revenue]]-ReconciliationData[[#This Row],[expected_revenue]]</f>
        <v>0</v>
      </c>
      <c r="AA36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0" t="str">
        <f>IF(ReconciliationData[[#This Row],[severity_score]]=0,"LOW",
 IF(ReconciliationData[[#This Row],[severity_score]]&lt;=5,"MEDIUM","HIGH"))</f>
        <v>LOW</v>
      </c>
      <c r="AC3600" t="str">
        <f>TEXT(ReconciliationData[[#This Row],[Order_Date]],"YYYY-MM")</f>
        <v>2023-09</v>
      </c>
    </row>
    <row r="3601" spans="1:29">
      <c r="A3601" t="s">
        <v>8422</v>
      </c>
      <c r="B3601" s="1">
        <v>45079</v>
      </c>
      <c r="C3601" t="s">
        <v>149</v>
      </c>
      <c r="D3601" t="s">
        <v>577</v>
      </c>
      <c r="E3601">
        <v>10</v>
      </c>
      <c r="F3601" t="s">
        <v>8423</v>
      </c>
      <c r="G3601">
        <v>10</v>
      </c>
      <c r="H3601">
        <v>1093.1199999999999</v>
      </c>
      <c r="N3601">
        <v>1093.1199999999999</v>
      </c>
      <c r="O3601" s="1">
        <v>45035</v>
      </c>
      <c r="P3601">
        <f>IF(ISBLANK(ReconciliationData[[#This Row],[Invoice_ID]]),1,0)</f>
        <v>0</v>
      </c>
      <c r="Q3601">
        <f>IF(AND(NOT(ISBLANK(ReconciliationData[[#This Row],[Billed_Units]])),ReconciliationData[[#This Row],[ordered_units]]&lt;&gt;ReconciliationData[[#This Row],[Billed_Units]]),1,0)</f>
        <v>0</v>
      </c>
      <c r="R36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1">
        <f>IF(AND(NOT(ISBLANK(ReconciliationData[[#This Row],[Contract_Price]])),ReconciliationData[[#This Row],[Billed_Price]]&lt;&gt;ReconciliationData[[#This Row],[Contract_Price]]),1,0)</f>
        <v>0</v>
      </c>
      <c r="T3601">
        <f>IF(AND(NOT(ISBLANK(ReconciliationData[[#This Row],[End_Date]])),ReconciliationData[[#This Row],[Order_Date]]&gt;ReconciliationData[[#This Row],[End_Date]]),1,0)</f>
        <v>0</v>
      </c>
      <c r="U3601">
        <f>IF(AND(NOT(ISBLANK(ReconciliationData[[#This Row],[last_return_date]])),ReconciliationData[[#This Row],[last_return_date]]&gt;ReconciliationData[[#This Row],[Order_Date]]+60),1,0)</f>
        <v>0</v>
      </c>
      <c r="V3601">
        <f>IF(ReconciliationData[[#This Row],[total_returned_units]]&gt;ReconciliationData[[#This Row],[ordered_units]],1,0)</f>
        <v>0</v>
      </c>
      <c r="W36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1">
        <f>ReconciliationData[[#This Row],[Billed_Units]]*ReconciliationData[[#This Row],[Billed_Price]]</f>
        <v>10931.199999999999</v>
      </c>
      <c r="Y3601">
        <f>ReconciliationData[[#This Row],[ordered_units]]*ReconciliationData[[#This Row],[List_Price]]</f>
        <v>10931.199999999999</v>
      </c>
      <c r="Z3601">
        <f>ReconciliationData[[#This Row],[billed_revenue]]-ReconciliationData[[#This Row],[expected_revenue]]</f>
        <v>0</v>
      </c>
      <c r="AA36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1" t="str">
        <f>IF(ReconciliationData[[#This Row],[severity_score]]=0,"LOW",
 IF(ReconciliationData[[#This Row],[severity_score]]&lt;=5,"MEDIUM","HIGH"))</f>
        <v>LOW</v>
      </c>
      <c r="AC3601" t="str">
        <f>TEXT(ReconciliationData[[#This Row],[Order_Date]],"YYYY-MM")</f>
        <v>2023-06</v>
      </c>
    </row>
    <row r="3602" spans="1:29">
      <c r="A3602" t="s">
        <v>8424</v>
      </c>
      <c r="B3602" s="1">
        <v>45232</v>
      </c>
      <c r="C3602" t="s">
        <v>258</v>
      </c>
      <c r="D3602" t="s">
        <v>461</v>
      </c>
      <c r="E3602">
        <v>75</v>
      </c>
      <c r="F3602" t="s">
        <v>8425</v>
      </c>
      <c r="G3602">
        <v>75</v>
      </c>
      <c r="H3602">
        <v>1114.2336</v>
      </c>
      <c r="N3602">
        <v>1114.2336</v>
      </c>
      <c r="O3602" s="1">
        <v>45141</v>
      </c>
      <c r="P3602">
        <f>IF(ISBLANK(ReconciliationData[[#This Row],[Invoice_ID]]),1,0)</f>
        <v>0</v>
      </c>
      <c r="Q3602">
        <f>IF(AND(NOT(ISBLANK(ReconciliationData[[#This Row],[Billed_Units]])),ReconciliationData[[#This Row],[ordered_units]]&lt;&gt;ReconciliationData[[#This Row],[Billed_Units]]),1,0)</f>
        <v>0</v>
      </c>
      <c r="R36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2">
        <f>IF(AND(NOT(ISBLANK(ReconciliationData[[#This Row],[Contract_Price]])),ReconciliationData[[#This Row],[Billed_Price]]&lt;&gt;ReconciliationData[[#This Row],[Contract_Price]]),1,0)</f>
        <v>0</v>
      </c>
      <c r="T3602">
        <f>IF(AND(NOT(ISBLANK(ReconciliationData[[#This Row],[End_Date]])),ReconciliationData[[#This Row],[Order_Date]]&gt;ReconciliationData[[#This Row],[End_Date]]),1,0)</f>
        <v>0</v>
      </c>
      <c r="U3602">
        <f>IF(AND(NOT(ISBLANK(ReconciliationData[[#This Row],[last_return_date]])),ReconciliationData[[#This Row],[last_return_date]]&gt;ReconciliationData[[#This Row],[Order_Date]]+60),1,0)</f>
        <v>0</v>
      </c>
      <c r="V3602">
        <f>IF(ReconciliationData[[#This Row],[total_returned_units]]&gt;ReconciliationData[[#This Row],[ordered_units]],1,0)</f>
        <v>0</v>
      </c>
      <c r="W36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2">
        <f>ReconciliationData[[#This Row],[Billed_Units]]*ReconciliationData[[#This Row],[Billed_Price]]</f>
        <v>83567.520000000004</v>
      </c>
      <c r="Y3602">
        <f>ReconciliationData[[#This Row],[ordered_units]]*ReconciliationData[[#This Row],[List_Price]]</f>
        <v>83567.520000000004</v>
      </c>
      <c r="Z3602">
        <f>ReconciliationData[[#This Row],[billed_revenue]]-ReconciliationData[[#This Row],[expected_revenue]]</f>
        <v>0</v>
      </c>
      <c r="AA36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2" t="str">
        <f>IF(ReconciliationData[[#This Row],[severity_score]]=0,"LOW",
 IF(ReconciliationData[[#This Row],[severity_score]]&lt;=5,"MEDIUM","HIGH"))</f>
        <v>LOW</v>
      </c>
      <c r="AC3602" t="str">
        <f>TEXT(ReconciliationData[[#This Row],[Order_Date]],"YYYY-MM")</f>
        <v>2023-11</v>
      </c>
    </row>
    <row r="3603" spans="1:29">
      <c r="A3603" t="s">
        <v>8426</v>
      </c>
      <c r="B3603" s="1">
        <v>45299</v>
      </c>
      <c r="C3603" t="s">
        <v>503</v>
      </c>
      <c r="D3603" t="s">
        <v>138</v>
      </c>
      <c r="E3603">
        <v>145</v>
      </c>
      <c r="F3603" t="s">
        <v>8427</v>
      </c>
      <c r="G3603">
        <v>145</v>
      </c>
      <c r="H3603">
        <v>444.22</v>
      </c>
      <c r="N3603">
        <v>444.22</v>
      </c>
      <c r="O3603" s="1">
        <v>45074</v>
      </c>
      <c r="P3603">
        <f>IF(ISBLANK(ReconciliationData[[#This Row],[Invoice_ID]]),1,0)</f>
        <v>0</v>
      </c>
      <c r="Q3603">
        <f>IF(AND(NOT(ISBLANK(ReconciliationData[[#This Row],[Billed_Units]])),ReconciliationData[[#This Row],[ordered_units]]&lt;&gt;ReconciliationData[[#This Row],[Billed_Units]]),1,0)</f>
        <v>0</v>
      </c>
      <c r="R36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3">
        <f>IF(AND(NOT(ISBLANK(ReconciliationData[[#This Row],[Contract_Price]])),ReconciliationData[[#This Row],[Billed_Price]]&lt;&gt;ReconciliationData[[#This Row],[Contract_Price]]),1,0)</f>
        <v>0</v>
      </c>
      <c r="T3603">
        <f>IF(AND(NOT(ISBLANK(ReconciliationData[[#This Row],[End_Date]])),ReconciliationData[[#This Row],[Order_Date]]&gt;ReconciliationData[[#This Row],[End_Date]]),1,0)</f>
        <v>0</v>
      </c>
      <c r="U3603">
        <f>IF(AND(NOT(ISBLANK(ReconciliationData[[#This Row],[last_return_date]])),ReconciliationData[[#This Row],[last_return_date]]&gt;ReconciliationData[[#This Row],[Order_Date]]+60),1,0)</f>
        <v>0</v>
      </c>
      <c r="V3603">
        <f>IF(ReconciliationData[[#This Row],[total_returned_units]]&gt;ReconciliationData[[#This Row],[ordered_units]],1,0)</f>
        <v>0</v>
      </c>
      <c r="W36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3">
        <f>ReconciliationData[[#This Row],[Billed_Units]]*ReconciliationData[[#This Row],[Billed_Price]]</f>
        <v>64411.9</v>
      </c>
      <c r="Y3603">
        <f>ReconciliationData[[#This Row],[ordered_units]]*ReconciliationData[[#This Row],[List_Price]]</f>
        <v>64411.9</v>
      </c>
      <c r="Z3603">
        <f>ReconciliationData[[#This Row],[billed_revenue]]-ReconciliationData[[#This Row],[expected_revenue]]</f>
        <v>0</v>
      </c>
      <c r="AA36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3" t="str">
        <f>IF(ReconciliationData[[#This Row],[severity_score]]=0,"LOW",
 IF(ReconciliationData[[#This Row],[severity_score]]&lt;=5,"MEDIUM","HIGH"))</f>
        <v>LOW</v>
      </c>
      <c r="AC3603" t="str">
        <f>TEXT(ReconciliationData[[#This Row],[Order_Date]],"YYYY-MM")</f>
        <v>2024-01</v>
      </c>
    </row>
    <row r="3604" spans="1:29">
      <c r="A3604" t="s">
        <v>8428</v>
      </c>
      <c r="B3604" s="1">
        <v>45035</v>
      </c>
      <c r="C3604" t="s">
        <v>6737</v>
      </c>
      <c r="D3604" t="s">
        <v>841</v>
      </c>
      <c r="E3604">
        <v>79</v>
      </c>
      <c r="F3604" t="s">
        <v>8429</v>
      </c>
      <c r="G3604">
        <v>79</v>
      </c>
      <c r="H3604">
        <v>171.78</v>
      </c>
      <c r="N3604">
        <v>171.78</v>
      </c>
      <c r="O3604" s="1">
        <v>45010</v>
      </c>
      <c r="P3604">
        <f>IF(ISBLANK(ReconciliationData[[#This Row],[Invoice_ID]]),1,0)</f>
        <v>0</v>
      </c>
      <c r="Q3604">
        <f>IF(AND(NOT(ISBLANK(ReconciliationData[[#This Row],[Billed_Units]])),ReconciliationData[[#This Row],[ordered_units]]&lt;&gt;ReconciliationData[[#This Row],[Billed_Units]]),1,0)</f>
        <v>0</v>
      </c>
      <c r="R36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4">
        <f>IF(AND(NOT(ISBLANK(ReconciliationData[[#This Row],[Contract_Price]])),ReconciliationData[[#This Row],[Billed_Price]]&lt;&gt;ReconciliationData[[#This Row],[Contract_Price]]),1,0)</f>
        <v>0</v>
      </c>
      <c r="T3604">
        <f>IF(AND(NOT(ISBLANK(ReconciliationData[[#This Row],[End_Date]])),ReconciliationData[[#This Row],[Order_Date]]&gt;ReconciliationData[[#This Row],[End_Date]]),1,0)</f>
        <v>0</v>
      </c>
      <c r="U3604">
        <f>IF(AND(NOT(ISBLANK(ReconciliationData[[#This Row],[last_return_date]])),ReconciliationData[[#This Row],[last_return_date]]&gt;ReconciliationData[[#This Row],[Order_Date]]+60),1,0)</f>
        <v>0</v>
      </c>
      <c r="V3604">
        <f>IF(ReconciliationData[[#This Row],[total_returned_units]]&gt;ReconciliationData[[#This Row],[ordered_units]],1,0)</f>
        <v>0</v>
      </c>
      <c r="W36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4">
        <f>ReconciliationData[[#This Row],[Billed_Units]]*ReconciliationData[[#This Row],[Billed_Price]]</f>
        <v>13570.62</v>
      </c>
      <c r="Y3604">
        <f>ReconciliationData[[#This Row],[ordered_units]]*ReconciliationData[[#This Row],[List_Price]]</f>
        <v>13570.62</v>
      </c>
      <c r="Z3604">
        <f>ReconciliationData[[#This Row],[billed_revenue]]-ReconciliationData[[#This Row],[expected_revenue]]</f>
        <v>0</v>
      </c>
      <c r="AA36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4" t="str">
        <f>IF(ReconciliationData[[#This Row],[severity_score]]=0,"LOW",
 IF(ReconciliationData[[#This Row],[severity_score]]&lt;=5,"MEDIUM","HIGH"))</f>
        <v>LOW</v>
      </c>
      <c r="AC3604" t="str">
        <f>TEXT(ReconciliationData[[#This Row],[Order_Date]],"YYYY-MM")</f>
        <v>2023-04</v>
      </c>
    </row>
    <row r="3605" spans="1:29">
      <c r="A3605" t="s">
        <v>8430</v>
      </c>
      <c r="B3605" s="1">
        <v>44997</v>
      </c>
      <c r="C3605" t="s">
        <v>1825</v>
      </c>
      <c r="D3605" t="s">
        <v>564</v>
      </c>
      <c r="E3605">
        <v>55</v>
      </c>
      <c r="F3605" t="s">
        <v>8431</v>
      </c>
      <c r="G3605">
        <v>55</v>
      </c>
      <c r="H3605">
        <v>1148.73</v>
      </c>
      <c r="N3605">
        <v>1148.73</v>
      </c>
      <c r="O3605" s="1">
        <v>44749</v>
      </c>
      <c r="P3605">
        <f>IF(ISBLANK(ReconciliationData[[#This Row],[Invoice_ID]]),1,0)</f>
        <v>0</v>
      </c>
      <c r="Q3605">
        <f>IF(AND(NOT(ISBLANK(ReconciliationData[[#This Row],[Billed_Units]])),ReconciliationData[[#This Row],[ordered_units]]&lt;&gt;ReconciliationData[[#This Row],[Billed_Units]]),1,0)</f>
        <v>0</v>
      </c>
      <c r="R36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5">
        <f>IF(AND(NOT(ISBLANK(ReconciliationData[[#This Row],[Contract_Price]])),ReconciliationData[[#This Row],[Billed_Price]]&lt;&gt;ReconciliationData[[#This Row],[Contract_Price]]),1,0)</f>
        <v>0</v>
      </c>
      <c r="T3605">
        <f>IF(AND(NOT(ISBLANK(ReconciliationData[[#This Row],[End_Date]])),ReconciliationData[[#This Row],[Order_Date]]&gt;ReconciliationData[[#This Row],[End_Date]]),1,0)</f>
        <v>0</v>
      </c>
      <c r="U3605">
        <f>IF(AND(NOT(ISBLANK(ReconciliationData[[#This Row],[last_return_date]])),ReconciliationData[[#This Row],[last_return_date]]&gt;ReconciliationData[[#This Row],[Order_Date]]+60),1,0)</f>
        <v>0</v>
      </c>
      <c r="V3605">
        <f>IF(ReconciliationData[[#This Row],[total_returned_units]]&gt;ReconciliationData[[#This Row],[ordered_units]],1,0)</f>
        <v>0</v>
      </c>
      <c r="W36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5">
        <f>ReconciliationData[[#This Row],[Billed_Units]]*ReconciliationData[[#This Row],[Billed_Price]]</f>
        <v>63180.15</v>
      </c>
      <c r="Y3605">
        <f>ReconciliationData[[#This Row],[ordered_units]]*ReconciliationData[[#This Row],[List_Price]]</f>
        <v>63180.15</v>
      </c>
      <c r="Z3605">
        <f>ReconciliationData[[#This Row],[billed_revenue]]-ReconciliationData[[#This Row],[expected_revenue]]</f>
        <v>0</v>
      </c>
      <c r="AA36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5" t="str">
        <f>IF(ReconciliationData[[#This Row],[severity_score]]=0,"LOW",
 IF(ReconciliationData[[#This Row],[severity_score]]&lt;=5,"MEDIUM","HIGH"))</f>
        <v>LOW</v>
      </c>
      <c r="AC3605" t="str">
        <f>TEXT(ReconciliationData[[#This Row],[Order_Date]],"YYYY-MM")</f>
        <v>2023-03</v>
      </c>
    </row>
    <row r="3606" spans="1:29">
      <c r="A3606" t="s">
        <v>8432</v>
      </c>
      <c r="B3606" s="1">
        <v>45237</v>
      </c>
      <c r="C3606" t="s">
        <v>3996</v>
      </c>
      <c r="D3606" t="s">
        <v>1616</v>
      </c>
      <c r="E3606">
        <v>157</v>
      </c>
      <c r="F3606" t="s">
        <v>8433</v>
      </c>
      <c r="G3606">
        <v>157</v>
      </c>
      <c r="H3606">
        <v>1137.9636</v>
      </c>
      <c r="N3606">
        <v>1137.9636</v>
      </c>
      <c r="O3606" s="1">
        <v>45007</v>
      </c>
      <c r="P3606">
        <f>IF(ISBLANK(ReconciliationData[[#This Row],[Invoice_ID]]),1,0)</f>
        <v>0</v>
      </c>
      <c r="Q3606">
        <f>IF(AND(NOT(ISBLANK(ReconciliationData[[#This Row],[Billed_Units]])),ReconciliationData[[#This Row],[ordered_units]]&lt;&gt;ReconciliationData[[#This Row],[Billed_Units]]),1,0)</f>
        <v>0</v>
      </c>
      <c r="R36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6">
        <f>IF(AND(NOT(ISBLANK(ReconciliationData[[#This Row],[Contract_Price]])),ReconciliationData[[#This Row],[Billed_Price]]&lt;&gt;ReconciliationData[[#This Row],[Contract_Price]]),1,0)</f>
        <v>0</v>
      </c>
      <c r="T3606">
        <f>IF(AND(NOT(ISBLANK(ReconciliationData[[#This Row],[End_Date]])),ReconciliationData[[#This Row],[Order_Date]]&gt;ReconciliationData[[#This Row],[End_Date]]),1,0)</f>
        <v>0</v>
      </c>
      <c r="U3606">
        <f>IF(AND(NOT(ISBLANK(ReconciliationData[[#This Row],[last_return_date]])),ReconciliationData[[#This Row],[last_return_date]]&gt;ReconciliationData[[#This Row],[Order_Date]]+60),1,0)</f>
        <v>0</v>
      </c>
      <c r="V3606">
        <f>IF(ReconciliationData[[#This Row],[total_returned_units]]&gt;ReconciliationData[[#This Row],[ordered_units]],1,0)</f>
        <v>0</v>
      </c>
      <c r="W36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6">
        <f>ReconciliationData[[#This Row],[Billed_Units]]*ReconciliationData[[#This Row],[Billed_Price]]</f>
        <v>178660.28520000001</v>
      </c>
      <c r="Y3606">
        <f>ReconciliationData[[#This Row],[ordered_units]]*ReconciliationData[[#This Row],[List_Price]]</f>
        <v>178660.28520000001</v>
      </c>
      <c r="Z3606">
        <f>ReconciliationData[[#This Row],[billed_revenue]]-ReconciliationData[[#This Row],[expected_revenue]]</f>
        <v>0</v>
      </c>
      <c r="AA36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6" t="str">
        <f>IF(ReconciliationData[[#This Row],[severity_score]]=0,"LOW",
 IF(ReconciliationData[[#This Row],[severity_score]]&lt;=5,"MEDIUM","HIGH"))</f>
        <v>LOW</v>
      </c>
      <c r="AC3606" t="str">
        <f>TEXT(ReconciliationData[[#This Row],[Order_Date]],"YYYY-MM")</f>
        <v>2023-11</v>
      </c>
    </row>
    <row r="3607" spans="1:29">
      <c r="A3607" t="s">
        <v>8434</v>
      </c>
      <c r="B3607" s="1">
        <v>45046</v>
      </c>
      <c r="C3607" t="s">
        <v>3259</v>
      </c>
      <c r="D3607" t="s">
        <v>764</v>
      </c>
      <c r="E3607">
        <v>106</v>
      </c>
      <c r="F3607" t="s">
        <v>8435</v>
      </c>
      <c r="G3607">
        <v>106</v>
      </c>
      <c r="H3607">
        <v>1220.5917999999999</v>
      </c>
      <c r="N3607">
        <v>1220.5917999999999</v>
      </c>
      <c r="O3607" s="1">
        <v>45016</v>
      </c>
      <c r="P3607">
        <f>IF(ISBLANK(ReconciliationData[[#This Row],[Invoice_ID]]),1,0)</f>
        <v>0</v>
      </c>
      <c r="Q3607">
        <f>IF(AND(NOT(ISBLANK(ReconciliationData[[#This Row],[Billed_Units]])),ReconciliationData[[#This Row],[ordered_units]]&lt;&gt;ReconciliationData[[#This Row],[Billed_Units]]),1,0)</f>
        <v>0</v>
      </c>
      <c r="R36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7">
        <f>IF(AND(NOT(ISBLANK(ReconciliationData[[#This Row],[Contract_Price]])),ReconciliationData[[#This Row],[Billed_Price]]&lt;&gt;ReconciliationData[[#This Row],[Contract_Price]]),1,0)</f>
        <v>0</v>
      </c>
      <c r="T3607">
        <f>IF(AND(NOT(ISBLANK(ReconciliationData[[#This Row],[End_Date]])),ReconciliationData[[#This Row],[Order_Date]]&gt;ReconciliationData[[#This Row],[End_Date]]),1,0)</f>
        <v>0</v>
      </c>
      <c r="U3607">
        <f>IF(AND(NOT(ISBLANK(ReconciliationData[[#This Row],[last_return_date]])),ReconciliationData[[#This Row],[last_return_date]]&gt;ReconciliationData[[#This Row],[Order_Date]]+60),1,0)</f>
        <v>0</v>
      </c>
      <c r="V3607">
        <f>IF(ReconciliationData[[#This Row],[total_returned_units]]&gt;ReconciliationData[[#This Row],[ordered_units]],1,0)</f>
        <v>0</v>
      </c>
      <c r="W36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7">
        <f>ReconciliationData[[#This Row],[Billed_Units]]*ReconciliationData[[#This Row],[Billed_Price]]</f>
        <v>129382.73079999999</v>
      </c>
      <c r="Y3607">
        <f>ReconciliationData[[#This Row],[ordered_units]]*ReconciliationData[[#This Row],[List_Price]]</f>
        <v>129382.73079999999</v>
      </c>
      <c r="Z3607">
        <f>ReconciliationData[[#This Row],[billed_revenue]]-ReconciliationData[[#This Row],[expected_revenue]]</f>
        <v>0</v>
      </c>
      <c r="AA36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7" t="str">
        <f>IF(ReconciliationData[[#This Row],[severity_score]]=0,"LOW",
 IF(ReconciliationData[[#This Row],[severity_score]]&lt;=5,"MEDIUM","HIGH"))</f>
        <v>LOW</v>
      </c>
      <c r="AC3607" t="str">
        <f>TEXT(ReconciliationData[[#This Row],[Order_Date]],"YYYY-MM")</f>
        <v>2023-04</v>
      </c>
    </row>
    <row r="3608" spans="1:29">
      <c r="A3608" t="s">
        <v>8436</v>
      </c>
      <c r="B3608" s="1">
        <v>44994</v>
      </c>
      <c r="C3608" t="s">
        <v>2336</v>
      </c>
      <c r="D3608" t="s">
        <v>1961</v>
      </c>
      <c r="E3608">
        <v>139</v>
      </c>
      <c r="F3608" t="s">
        <v>8437</v>
      </c>
      <c r="G3608">
        <v>139</v>
      </c>
      <c r="H3608">
        <v>717.0471</v>
      </c>
      <c r="N3608">
        <v>717.0471</v>
      </c>
      <c r="O3608" s="1">
        <v>44984</v>
      </c>
      <c r="P3608">
        <f>IF(ISBLANK(ReconciliationData[[#This Row],[Invoice_ID]]),1,0)</f>
        <v>0</v>
      </c>
      <c r="Q3608">
        <f>IF(AND(NOT(ISBLANK(ReconciliationData[[#This Row],[Billed_Units]])),ReconciliationData[[#This Row],[ordered_units]]&lt;&gt;ReconciliationData[[#This Row],[Billed_Units]]),1,0)</f>
        <v>0</v>
      </c>
      <c r="R36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8">
        <f>IF(AND(NOT(ISBLANK(ReconciliationData[[#This Row],[Contract_Price]])),ReconciliationData[[#This Row],[Billed_Price]]&lt;&gt;ReconciliationData[[#This Row],[Contract_Price]]),1,0)</f>
        <v>0</v>
      </c>
      <c r="T3608">
        <f>IF(AND(NOT(ISBLANK(ReconciliationData[[#This Row],[End_Date]])),ReconciliationData[[#This Row],[Order_Date]]&gt;ReconciliationData[[#This Row],[End_Date]]),1,0)</f>
        <v>0</v>
      </c>
      <c r="U3608">
        <f>IF(AND(NOT(ISBLANK(ReconciliationData[[#This Row],[last_return_date]])),ReconciliationData[[#This Row],[last_return_date]]&gt;ReconciliationData[[#This Row],[Order_Date]]+60),1,0)</f>
        <v>0</v>
      </c>
      <c r="V3608">
        <f>IF(ReconciliationData[[#This Row],[total_returned_units]]&gt;ReconciliationData[[#This Row],[ordered_units]],1,0)</f>
        <v>0</v>
      </c>
      <c r="W36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8">
        <f>ReconciliationData[[#This Row],[Billed_Units]]*ReconciliationData[[#This Row],[Billed_Price]]</f>
        <v>99669.546900000001</v>
      </c>
      <c r="Y3608">
        <f>ReconciliationData[[#This Row],[ordered_units]]*ReconciliationData[[#This Row],[List_Price]]</f>
        <v>99669.546900000001</v>
      </c>
      <c r="Z3608">
        <f>ReconciliationData[[#This Row],[billed_revenue]]-ReconciliationData[[#This Row],[expected_revenue]]</f>
        <v>0</v>
      </c>
      <c r="AA36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8" t="str">
        <f>IF(ReconciliationData[[#This Row],[severity_score]]=0,"LOW",
 IF(ReconciliationData[[#This Row],[severity_score]]&lt;=5,"MEDIUM","HIGH"))</f>
        <v>LOW</v>
      </c>
      <c r="AC3608" t="str">
        <f>TEXT(ReconciliationData[[#This Row],[Order_Date]],"YYYY-MM")</f>
        <v>2023-03</v>
      </c>
    </row>
    <row r="3609" spans="1:29">
      <c r="A3609" t="s">
        <v>8438</v>
      </c>
      <c r="B3609" s="1">
        <v>45097</v>
      </c>
      <c r="C3609" t="s">
        <v>2197</v>
      </c>
      <c r="D3609" t="s">
        <v>404</v>
      </c>
      <c r="E3609">
        <v>37</v>
      </c>
      <c r="F3609" t="s">
        <v>8439</v>
      </c>
      <c r="G3609">
        <v>37</v>
      </c>
      <c r="H3609">
        <v>1129.6166000000001</v>
      </c>
      <c r="N3609">
        <v>1129.6166000000001</v>
      </c>
      <c r="O3609" s="1">
        <v>44960</v>
      </c>
      <c r="P3609">
        <f>IF(ISBLANK(ReconciliationData[[#This Row],[Invoice_ID]]),1,0)</f>
        <v>0</v>
      </c>
      <c r="Q3609">
        <f>IF(AND(NOT(ISBLANK(ReconciliationData[[#This Row],[Billed_Units]])),ReconciliationData[[#This Row],[ordered_units]]&lt;&gt;ReconciliationData[[#This Row],[Billed_Units]]),1,0)</f>
        <v>0</v>
      </c>
      <c r="R36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09">
        <f>IF(AND(NOT(ISBLANK(ReconciliationData[[#This Row],[Contract_Price]])),ReconciliationData[[#This Row],[Billed_Price]]&lt;&gt;ReconciliationData[[#This Row],[Contract_Price]]),1,0)</f>
        <v>0</v>
      </c>
      <c r="T3609">
        <f>IF(AND(NOT(ISBLANK(ReconciliationData[[#This Row],[End_Date]])),ReconciliationData[[#This Row],[Order_Date]]&gt;ReconciliationData[[#This Row],[End_Date]]),1,0)</f>
        <v>0</v>
      </c>
      <c r="U3609">
        <f>IF(AND(NOT(ISBLANK(ReconciliationData[[#This Row],[last_return_date]])),ReconciliationData[[#This Row],[last_return_date]]&gt;ReconciliationData[[#This Row],[Order_Date]]+60),1,0)</f>
        <v>0</v>
      </c>
      <c r="V3609">
        <f>IF(ReconciliationData[[#This Row],[total_returned_units]]&gt;ReconciliationData[[#This Row],[ordered_units]],1,0)</f>
        <v>0</v>
      </c>
      <c r="W36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09">
        <f>ReconciliationData[[#This Row],[Billed_Units]]*ReconciliationData[[#This Row],[Billed_Price]]</f>
        <v>41795.814200000001</v>
      </c>
      <c r="Y3609">
        <f>ReconciliationData[[#This Row],[ordered_units]]*ReconciliationData[[#This Row],[List_Price]]</f>
        <v>41795.814200000001</v>
      </c>
      <c r="Z3609">
        <f>ReconciliationData[[#This Row],[billed_revenue]]-ReconciliationData[[#This Row],[expected_revenue]]</f>
        <v>0</v>
      </c>
      <c r="AA36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09" t="str">
        <f>IF(ReconciliationData[[#This Row],[severity_score]]=0,"LOW",
 IF(ReconciliationData[[#This Row],[severity_score]]&lt;=5,"MEDIUM","HIGH"))</f>
        <v>LOW</v>
      </c>
      <c r="AC3609" t="str">
        <f>TEXT(ReconciliationData[[#This Row],[Order_Date]],"YYYY-MM")</f>
        <v>2023-06</v>
      </c>
    </row>
    <row r="3610" spans="1:29">
      <c r="A3610" t="s">
        <v>8440</v>
      </c>
      <c r="B3610" s="1">
        <v>45657</v>
      </c>
      <c r="C3610" t="s">
        <v>7482</v>
      </c>
      <c r="D3610" t="s">
        <v>370</v>
      </c>
      <c r="E3610">
        <v>142</v>
      </c>
      <c r="F3610" t="s">
        <v>8441</v>
      </c>
      <c r="G3610">
        <v>142</v>
      </c>
      <c r="H3610">
        <v>639.91840000000002</v>
      </c>
      <c r="N3610">
        <v>639.91840000000002</v>
      </c>
      <c r="O3610" s="1">
        <v>44930</v>
      </c>
      <c r="P3610">
        <f>IF(ISBLANK(ReconciliationData[[#This Row],[Invoice_ID]]),1,0)</f>
        <v>0</v>
      </c>
      <c r="Q3610">
        <f>IF(AND(NOT(ISBLANK(ReconciliationData[[#This Row],[Billed_Units]])),ReconciliationData[[#This Row],[ordered_units]]&lt;&gt;ReconciliationData[[#This Row],[Billed_Units]]),1,0)</f>
        <v>0</v>
      </c>
      <c r="R36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10">
        <f>IF(AND(NOT(ISBLANK(ReconciliationData[[#This Row],[Contract_Price]])),ReconciliationData[[#This Row],[Billed_Price]]&lt;&gt;ReconciliationData[[#This Row],[Contract_Price]]),1,0)</f>
        <v>0</v>
      </c>
      <c r="T3610">
        <f>IF(AND(NOT(ISBLANK(ReconciliationData[[#This Row],[End_Date]])),ReconciliationData[[#This Row],[Order_Date]]&gt;ReconciliationData[[#This Row],[End_Date]]),1,0)</f>
        <v>0</v>
      </c>
      <c r="U3610">
        <f>IF(AND(NOT(ISBLANK(ReconciliationData[[#This Row],[last_return_date]])),ReconciliationData[[#This Row],[last_return_date]]&gt;ReconciliationData[[#This Row],[Order_Date]]+60),1,0)</f>
        <v>0</v>
      </c>
      <c r="V3610">
        <f>IF(ReconciliationData[[#This Row],[total_returned_units]]&gt;ReconciliationData[[#This Row],[ordered_units]],1,0)</f>
        <v>0</v>
      </c>
      <c r="W36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10">
        <f>ReconciliationData[[#This Row],[Billed_Units]]*ReconciliationData[[#This Row],[Billed_Price]]</f>
        <v>90868.412800000006</v>
      </c>
      <c r="Y3610">
        <f>ReconciliationData[[#This Row],[ordered_units]]*ReconciliationData[[#This Row],[List_Price]]</f>
        <v>90868.412800000006</v>
      </c>
      <c r="Z3610">
        <f>ReconciliationData[[#This Row],[billed_revenue]]-ReconciliationData[[#This Row],[expected_revenue]]</f>
        <v>0</v>
      </c>
      <c r="AA36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10" t="str">
        <f>IF(ReconciliationData[[#This Row],[severity_score]]=0,"LOW",
 IF(ReconciliationData[[#This Row],[severity_score]]&lt;=5,"MEDIUM","HIGH"))</f>
        <v>LOW</v>
      </c>
      <c r="AC3610" t="str">
        <f>TEXT(ReconciliationData[[#This Row],[Order_Date]],"YYYY-MM")</f>
        <v>2024-12</v>
      </c>
    </row>
    <row r="3611" spans="1:29">
      <c r="A3611" t="s">
        <v>8442</v>
      </c>
      <c r="B3611" s="1">
        <v>45244</v>
      </c>
      <c r="C3611" t="s">
        <v>1388</v>
      </c>
      <c r="D3611" t="s">
        <v>194</v>
      </c>
      <c r="E3611">
        <v>137</v>
      </c>
      <c r="F3611" t="s">
        <v>8443</v>
      </c>
      <c r="G3611">
        <v>137</v>
      </c>
      <c r="H3611">
        <v>1039.0536</v>
      </c>
      <c r="N3611">
        <v>1039.0536</v>
      </c>
      <c r="O3611" s="1">
        <v>45054</v>
      </c>
      <c r="P3611">
        <f>IF(ISBLANK(ReconciliationData[[#This Row],[Invoice_ID]]),1,0)</f>
        <v>0</v>
      </c>
      <c r="Q3611">
        <f>IF(AND(NOT(ISBLANK(ReconciliationData[[#This Row],[Billed_Units]])),ReconciliationData[[#This Row],[ordered_units]]&lt;&gt;ReconciliationData[[#This Row],[Billed_Units]]),1,0)</f>
        <v>0</v>
      </c>
      <c r="R36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11">
        <f>IF(AND(NOT(ISBLANK(ReconciliationData[[#This Row],[Contract_Price]])),ReconciliationData[[#This Row],[Billed_Price]]&lt;&gt;ReconciliationData[[#This Row],[Contract_Price]]),1,0)</f>
        <v>0</v>
      </c>
      <c r="T3611">
        <f>IF(AND(NOT(ISBLANK(ReconciliationData[[#This Row],[End_Date]])),ReconciliationData[[#This Row],[Order_Date]]&gt;ReconciliationData[[#This Row],[End_Date]]),1,0)</f>
        <v>0</v>
      </c>
      <c r="U3611">
        <f>IF(AND(NOT(ISBLANK(ReconciliationData[[#This Row],[last_return_date]])),ReconciliationData[[#This Row],[last_return_date]]&gt;ReconciliationData[[#This Row],[Order_Date]]+60),1,0)</f>
        <v>0</v>
      </c>
      <c r="V3611">
        <f>IF(ReconciliationData[[#This Row],[total_returned_units]]&gt;ReconciliationData[[#This Row],[ordered_units]],1,0)</f>
        <v>0</v>
      </c>
      <c r="W36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11">
        <f>ReconciliationData[[#This Row],[Billed_Units]]*ReconciliationData[[#This Row],[Billed_Price]]</f>
        <v>142350.3432</v>
      </c>
      <c r="Y3611">
        <f>ReconciliationData[[#This Row],[ordered_units]]*ReconciliationData[[#This Row],[List_Price]]</f>
        <v>142350.3432</v>
      </c>
      <c r="Z3611">
        <f>ReconciliationData[[#This Row],[billed_revenue]]-ReconciliationData[[#This Row],[expected_revenue]]</f>
        <v>0</v>
      </c>
      <c r="AA36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11" t="str">
        <f>IF(ReconciliationData[[#This Row],[severity_score]]=0,"LOW",
 IF(ReconciliationData[[#This Row],[severity_score]]&lt;=5,"MEDIUM","HIGH"))</f>
        <v>LOW</v>
      </c>
      <c r="AC3611" t="str">
        <f>TEXT(ReconciliationData[[#This Row],[Order_Date]],"YYYY-MM")</f>
        <v>2023-11</v>
      </c>
    </row>
    <row r="3612" spans="1:29">
      <c r="A3612" t="s">
        <v>8444</v>
      </c>
      <c r="B3612" s="1">
        <v>45591</v>
      </c>
      <c r="C3612" t="s">
        <v>638</v>
      </c>
      <c r="D3612" t="s">
        <v>1007</v>
      </c>
      <c r="E3612">
        <v>171</v>
      </c>
      <c r="F3612" t="s">
        <v>8445</v>
      </c>
      <c r="G3612">
        <v>171</v>
      </c>
      <c r="H3612">
        <v>115.08341666284828</v>
      </c>
      <c r="N3612">
        <v>115.0735</v>
      </c>
      <c r="O3612" s="1">
        <v>45227</v>
      </c>
      <c r="P3612">
        <f>IF(ISBLANK(ReconciliationData[[#This Row],[Invoice_ID]]),1,0)</f>
        <v>0</v>
      </c>
      <c r="Q3612">
        <f>IF(AND(NOT(ISBLANK(ReconciliationData[[#This Row],[Billed_Units]])),ReconciliationData[[#This Row],[ordered_units]]&lt;&gt;ReconciliationData[[#This Row],[Billed_Units]]),1,0)</f>
        <v>0</v>
      </c>
      <c r="R361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612">
        <f>IF(AND(NOT(ISBLANK(ReconciliationData[[#This Row],[Contract_Price]])),ReconciliationData[[#This Row],[Billed_Price]]&lt;&gt;ReconciliationData[[#This Row],[Contract_Price]]),1,0)</f>
        <v>0</v>
      </c>
      <c r="T3612">
        <f>IF(AND(NOT(ISBLANK(ReconciliationData[[#This Row],[End_Date]])),ReconciliationData[[#This Row],[Order_Date]]&gt;ReconciliationData[[#This Row],[End_Date]]),1,0)</f>
        <v>0</v>
      </c>
      <c r="U3612">
        <f>IF(AND(NOT(ISBLANK(ReconciliationData[[#This Row],[last_return_date]])),ReconciliationData[[#This Row],[last_return_date]]&gt;ReconciliationData[[#This Row],[Order_Date]]+60),1,0)</f>
        <v>0</v>
      </c>
      <c r="V3612">
        <f>IF(ReconciliationData[[#This Row],[total_returned_units]]&gt;ReconciliationData[[#This Row],[ordered_units]],1,0)</f>
        <v>0</v>
      </c>
      <c r="W36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12">
        <f>ReconciliationData[[#This Row],[Billed_Units]]*ReconciliationData[[#This Row],[Billed_Price]]</f>
        <v>19679.264249347056</v>
      </c>
      <c r="Y3612">
        <f>ReconciliationData[[#This Row],[ordered_units]]*ReconciliationData[[#This Row],[List_Price]]</f>
        <v>19677.568499999998</v>
      </c>
      <c r="Z3612">
        <f>ReconciliationData[[#This Row],[billed_revenue]]-ReconciliationData[[#This Row],[expected_revenue]]</f>
        <v>1.6957493470581539</v>
      </c>
      <c r="AA36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612" t="str">
        <f>IF(ReconciliationData[[#This Row],[severity_score]]=0,"LOW",
 IF(ReconciliationData[[#This Row],[severity_score]]&lt;=5,"MEDIUM","HIGH"))</f>
        <v>MEDIUM</v>
      </c>
      <c r="AC3612" t="str">
        <f>TEXT(ReconciliationData[[#This Row],[Order_Date]],"YYYY-MM")</f>
        <v>2024-10</v>
      </c>
    </row>
    <row r="3613" spans="1:29">
      <c r="A3613" t="s">
        <v>8446</v>
      </c>
      <c r="B3613" s="1">
        <v>45359</v>
      </c>
      <c r="C3613" t="s">
        <v>741</v>
      </c>
      <c r="D3613" t="s">
        <v>1385</v>
      </c>
      <c r="E3613">
        <v>143</v>
      </c>
      <c r="F3613" t="s">
        <v>8447</v>
      </c>
      <c r="G3613">
        <v>143</v>
      </c>
      <c r="H3613">
        <v>287.90559999999999</v>
      </c>
      <c r="N3613">
        <v>287.90559999999999</v>
      </c>
      <c r="O3613" s="1">
        <v>45224</v>
      </c>
      <c r="P3613">
        <f>IF(ISBLANK(ReconciliationData[[#This Row],[Invoice_ID]]),1,0)</f>
        <v>0</v>
      </c>
      <c r="Q3613">
        <f>IF(AND(NOT(ISBLANK(ReconciliationData[[#This Row],[Billed_Units]])),ReconciliationData[[#This Row],[ordered_units]]&lt;&gt;ReconciliationData[[#This Row],[Billed_Units]]),1,0)</f>
        <v>0</v>
      </c>
      <c r="R36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13">
        <f>IF(AND(NOT(ISBLANK(ReconciliationData[[#This Row],[Contract_Price]])),ReconciliationData[[#This Row],[Billed_Price]]&lt;&gt;ReconciliationData[[#This Row],[Contract_Price]]),1,0)</f>
        <v>0</v>
      </c>
      <c r="T3613">
        <f>IF(AND(NOT(ISBLANK(ReconciliationData[[#This Row],[End_Date]])),ReconciliationData[[#This Row],[Order_Date]]&gt;ReconciliationData[[#This Row],[End_Date]]),1,0)</f>
        <v>0</v>
      </c>
      <c r="U3613">
        <f>IF(AND(NOT(ISBLANK(ReconciliationData[[#This Row],[last_return_date]])),ReconciliationData[[#This Row],[last_return_date]]&gt;ReconciliationData[[#This Row],[Order_Date]]+60),1,0)</f>
        <v>0</v>
      </c>
      <c r="V3613">
        <f>IF(ReconciliationData[[#This Row],[total_returned_units]]&gt;ReconciliationData[[#This Row],[ordered_units]],1,0)</f>
        <v>0</v>
      </c>
      <c r="W36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13">
        <f>ReconciliationData[[#This Row],[Billed_Units]]*ReconciliationData[[#This Row],[Billed_Price]]</f>
        <v>41170.500800000002</v>
      </c>
      <c r="Y3613">
        <f>ReconciliationData[[#This Row],[ordered_units]]*ReconciliationData[[#This Row],[List_Price]]</f>
        <v>41170.500800000002</v>
      </c>
      <c r="Z3613">
        <f>ReconciliationData[[#This Row],[billed_revenue]]-ReconciliationData[[#This Row],[expected_revenue]]</f>
        <v>0</v>
      </c>
      <c r="AA36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13" t="str">
        <f>IF(ReconciliationData[[#This Row],[severity_score]]=0,"LOW",
 IF(ReconciliationData[[#This Row],[severity_score]]&lt;=5,"MEDIUM","HIGH"))</f>
        <v>LOW</v>
      </c>
      <c r="AC3613" t="str">
        <f>TEXT(ReconciliationData[[#This Row],[Order_Date]],"YYYY-MM")</f>
        <v>2024-03</v>
      </c>
    </row>
    <row r="3614" spans="1:29">
      <c r="A3614" t="s">
        <v>8448</v>
      </c>
      <c r="B3614" s="1">
        <v>45574</v>
      </c>
      <c r="C3614" t="s">
        <v>2611</v>
      </c>
      <c r="D3614" t="s">
        <v>360</v>
      </c>
      <c r="E3614">
        <v>139</v>
      </c>
      <c r="F3614" t="s">
        <v>8449</v>
      </c>
      <c r="G3614">
        <v>139</v>
      </c>
      <c r="H3614">
        <v>465.21179999999998</v>
      </c>
      <c r="N3614">
        <v>465.21179999999998</v>
      </c>
      <c r="O3614" s="1">
        <v>45137</v>
      </c>
      <c r="P3614">
        <f>IF(ISBLANK(ReconciliationData[[#This Row],[Invoice_ID]]),1,0)</f>
        <v>0</v>
      </c>
      <c r="Q3614">
        <f>IF(AND(NOT(ISBLANK(ReconciliationData[[#This Row],[Billed_Units]])),ReconciliationData[[#This Row],[ordered_units]]&lt;&gt;ReconciliationData[[#This Row],[Billed_Units]]),1,0)</f>
        <v>0</v>
      </c>
      <c r="R36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14">
        <f>IF(AND(NOT(ISBLANK(ReconciliationData[[#This Row],[Contract_Price]])),ReconciliationData[[#This Row],[Billed_Price]]&lt;&gt;ReconciliationData[[#This Row],[Contract_Price]]),1,0)</f>
        <v>0</v>
      </c>
      <c r="T3614">
        <f>IF(AND(NOT(ISBLANK(ReconciliationData[[#This Row],[End_Date]])),ReconciliationData[[#This Row],[Order_Date]]&gt;ReconciliationData[[#This Row],[End_Date]]),1,0)</f>
        <v>0</v>
      </c>
      <c r="U3614">
        <f>IF(AND(NOT(ISBLANK(ReconciliationData[[#This Row],[last_return_date]])),ReconciliationData[[#This Row],[last_return_date]]&gt;ReconciliationData[[#This Row],[Order_Date]]+60),1,0)</f>
        <v>0</v>
      </c>
      <c r="V3614">
        <f>IF(ReconciliationData[[#This Row],[total_returned_units]]&gt;ReconciliationData[[#This Row],[ordered_units]],1,0)</f>
        <v>0</v>
      </c>
      <c r="W36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14">
        <f>ReconciliationData[[#This Row],[Billed_Units]]*ReconciliationData[[#This Row],[Billed_Price]]</f>
        <v>64664.440199999997</v>
      </c>
      <c r="Y3614">
        <f>ReconciliationData[[#This Row],[ordered_units]]*ReconciliationData[[#This Row],[List_Price]]</f>
        <v>64664.440199999997</v>
      </c>
      <c r="Z3614">
        <f>ReconciliationData[[#This Row],[billed_revenue]]-ReconciliationData[[#This Row],[expected_revenue]]</f>
        <v>0</v>
      </c>
      <c r="AA36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14" t="str">
        <f>IF(ReconciliationData[[#This Row],[severity_score]]=0,"LOW",
 IF(ReconciliationData[[#This Row],[severity_score]]&lt;=5,"MEDIUM","HIGH"))</f>
        <v>LOW</v>
      </c>
      <c r="AC3614" t="str">
        <f>TEXT(ReconciliationData[[#This Row],[Order_Date]],"YYYY-MM")</f>
        <v>2024-10</v>
      </c>
    </row>
    <row r="3615" spans="1:29">
      <c r="A3615" t="s">
        <v>8450</v>
      </c>
      <c r="B3615" s="1">
        <v>45180</v>
      </c>
      <c r="C3615" t="s">
        <v>817</v>
      </c>
      <c r="D3615" t="s">
        <v>1495</v>
      </c>
      <c r="E3615">
        <v>194</v>
      </c>
      <c r="F3615" t="s">
        <v>8451</v>
      </c>
      <c r="G3615">
        <v>194</v>
      </c>
      <c r="H3615">
        <v>377.08350000000002</v>
      </c>
      <c r="N3615">
        <v>377.08350000000002</v>
      </c>
      <c r="O3615" s="1">
        <v>45064</v>
      </c>
      <c r="P3615">
        <f>IF(ISBLANK(ReconciliationData[[#This Row],[Invoice_ID]]),1,0)</f>
        <v>0</v>
      </c>
      <c r="Q3615">
        <f>IF(AND(NOT(ISBLANK(ReconciliationData[[#This Row],[Billed_Units]])),ReconciliationData[[#This Row],[ordered_units]]&lt;&gt;ReconciliationData[[#This Row],[Billed_Units]]),1,0)</f>
        <v>0</v>
      </c>
      <c r="R36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15">
        <f>IF(AND(NOT(ISBLANK(ReconciliationData[[#This Row],[Contract_Price]])),ReconciliationData[[#This Row],[Billed_Price]]&lt;&gt;ReconciliationData[[#This Row],[Contract_Price]]),1,0)</f>
        <v>0</v>
      </c>
      <c r="T3615">
        <f>IF(AND(NOT(ISBLANK(ReconciliationData[[#This Row],[End_Date]])),ReconciliationData[[#This Row],[Order_Date]]&gt;ReconciliationData[[#This Row],[End_Date]]),1,0)</f>
        <v>0</v>
      </c>
      <c r="U3615">
        <f>IF(AND(NOT(ISBLANK(ReconciliationData[[#This Row],[last_return_date]])),ReconciliationData[[#This Row],[last_return_date]]&gt;ReconciliationData[[#This Row],[Order_Date]]+60),1,0)</f>
        <v>0</v>
      </c>
      <c r="V3615">
        <f>IF(ReconciliationData[[#This Row],[total_returned_units]]&gt;ReconciliationData[[#This Row],[ordered_units]],1,0)</f>
        <v>0</v>
      </c>
      <c r="W36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15">
        <f>ReconciliationData[[#This Row],[Billed_Units]]*ReconciliationData[[#This Row],[Billed_Price]]</f>
        <v>73154.199000000008</v>
      </c>
      <c r="Y3615">
        <f>ReconciliationData[[#This Row],[ordered_units]]*ReconciliationData[[#This Row],[List_Price]]</f>
        <v>73154.199000000008</v>
      </c>
      <c r="Z3615">
        <f>ReconciliationData[[#This Row],[billed_revenue]]-ReconciliationData[[#This Row],[expected_revenue]]</f>
        <v>0</v>
      </c>
      <c r="AA36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15" t="str">
        <f>IF(ReconciliationData[[#This Row],[severity_score]]=0,"LOW",
 IF(ReconciliationData[[#This Row],[severity_score]]&lt;=5,"MEDIUM","HIGH"))</f>
        <v>LOW</v>
      </c>
      <c r="AC3615" t="str">
        <f>TEXT(ReconciliationData[[#This Row],[Order_Date]],"YYYY-MM")</f>
        <v>2023-09</v>
      </c>
    </row>
    <row r="3616" spans="1:29">
      <c r="A3616" t="s">
        <v>8452</v>
      </c>
      <c r="B3616" s="1">
        <v>45208</v>
      </c>
      <c r="C3616" t="s">
        <v>2723</v>
      </c>
      <c r="D3616" t="s">
        <v>951</v>
      </c>
      <c r="E3616">
        <v>112</v>
      </c>
      <c r="F3616" t="s">
        <v>8453</v>
      </c>
      <c r="G3616">
        <v>112</v>
      </c>
      <c r="H3616">
        <v>571.32999999999993</v>
      </c>
      <c r="N3616">
        <v>571.32999999999993</v>
      </c>
      <c r="O3616" s="1">
        <v>45206</v>
      </c>
      <c r="P3616">
        <f>IF(ISBLANK(ReconciliationData[[#This Row],[Invoice_ID]]),1,0)</f>
        <v>0</v>
      </c>
      <c r="Q3616">
        <f>IF(AND(NOT(ISBLANK(ReconciliationData[[#This Row],[Billed_Units]])),ReconciliationData[[#This Row],[ordered_units]]&lt;&gt;ReconciliationData[[#This Row],[Billed_Units]]),1,0)</f>
        <v>0</v>
      </c>
      <c r="R36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16">
        <f>IF(AND(NOT(ISBLANK(ReconciliationData[[#This Row],[Contract_Price]])),ReconciliationData[[#This Row],[Billed_Price]]&lt;&gt;ReconciliationData[[#This Row],[Contract_Price]]),1,0)</f>
        <v>0</v>
      </c>
      <c r="T3616">
        <f>IF(AND(NOT(ISBLANK(ReconciliationData[[#This Row],[End_Date]])),ReconciliationData[[#This Row],[Order_Date]]&gt;ReconciliationData[[#This Row],[End_Date]]),1,0)</f>
        <v>0</v>
      </c>
      <c r="U3616">
        <f>IF(AND(NOT(ISBLANK(ReconciliationData[[#This Row],[last_return_date]])),ReconciliationData[[#This Row],[last_return_date]]&gt;ReconciliationData[[#This Row],[Order_Date]]+60),1,0)</f>
        <v>0</v>
      </c>
      <c r="V3616">
        <f>IF(ReconciliationData[[#This Row],[total_returned_units]]&gt;ReconciliationData[[#This Row],[ordered_units]],1,0)</f>
        <v>0</v>
      </c>
      <c r="W36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16">
        <f>ReconciliationData[[#This Row],[Billed_Units]]*ReconciliationData[[#This Row],[Billed_Price]]</f>
        <v>63988.959999999992</v>
      </c>
      <c r="Y3616">
        <f>ReconciliationData[[#This Row],[ordered_units]]*ReconciliationData[[#This Row],[List_Price]]</f>
        <v>63988.959999999992</v>
      </c>
      <c r="Z3616">
        <f>ReconciliationData[[#This Row],[billed_revenue]]-ReconciliationData[[#This Row],[expected_revenue]]</f>
        <v>0</v>
      </c>
      <c r="AA36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16" t="str">
        <f>IF(ReconciliationData[[#This Row],[severity_score]]=0,"LOW",
 IF(ReconciliationData[[#This Row],[severity_score]]&lt;=5,"MEDIUM","HIGH"))</f>
        <v>LOW</v>
      </c>
      <c r="AC3616" t="str">
        <f>TEXT(ReconciliationData[[#This Row],[Order_Date]],"YYYY-MM")</f>
        <v>2023-10</v>
      </c>
    </row>
    <row r="3617" spans="1:29">
      <c r="A3617" t="s">
        <v>8454</v>
      </c>
      <c r="B3617" s="1">
        <v>45155</v>
      </c>
      <c r="C3617" t="s">
        <v>536</v>
      </c>
      <c r="D3617" t="s">
        <v>2563</v>
      </c>
      <c r="E3617">
        <v>170</v>
      </c>
      <c r="F3617" t="s">
        <v>8455</v>
      </c>
      <c r="G3617">
        <v>170</v>
      </c>
      <c r="H3617">
        <v>312.56310000000002</v>
      </c>
      <c r="N3617">
        <v>312.56310000000002</v>
      </c>
      <c r="O3617" s="1">
        <v>45028</v>
      </c>
      <c r="P3617">
        <f>IF(ISBLANK(ReconciliationData[[#This Row],[Invoice_ID]]),1,0)</f>
        <v>0</v>
      </c>
      <c r="Q3617">
        <f>IF(AND(NOT(ISBLANK(ReconciliationData[[#This Row],[Billed_Units]])),ReconciliationData[[#This Row],[ordered_units]]&lt;&gt;ReconciliationData[[#This Row],[Billed_Units]]),1,0)</f>
        <v>0</v>
      </c>
      <c r="R36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17">
        <f>IF(AND(NOT(ISBLANK(ReconciliationData[[#This Row],[Contract_Price]])),ReconciliationData[[#This Row],[Billed_Price]]&lt;&gt;ReconciliationData[[#This Row],[Contract_Price]]),1,0)</f>
        <v>0</v>
      </c>
      <c r="T3617">
        <f>IF(AND(NOT(ISBLANK(ReconciliationData[[#This Row],[End_Date]])),ReconciliationData[[#This Row],[Order_Date]]&gt;ReconciliationData[[#This Row],[End_Date]]),1,0)</f>
        <v>0</v>
      </c>
      <c r="U3617">
        <f>IF(AND(NOT(ISBLANK(ReconciliationData[[#This Row],[last_return_date]])),ReconciliationData[[#This Row],[last_return_date]]&gt;ReconciliationData[[#This Row],[Order_Date]]+60),1,0)</f>
        <v>0</v>
      </c>
      <c r="V3617">
        <f>IF(ReconciliationData[[#This Row],[total_returned_units]]&gt;ReconciliationData[[#This Row],[ordered_units]],1,0)</f>
        <v>0</v>
      </c>
      <c r="W36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17">
        <f>ReconciliationData[[#This Row],[Billed_Units]]*ReconciliationData[[#This Row],[Billed_Price]]</f>
        <v>53135.727000000006</v>
      </c>
      <c r="Y3617">
        <f>ReconciliationData[[#This Row],[ordered_units]]*ReconciliationData[[#This Row],[List_Price]]</f>
        <v>53135.727000000006</v>
      </c>
      <c r="Z3617">
        <f>ReconciliationData[[#This Row],[billed_revenue]]-ReconciliationData[[#This Row],[expected_revenue]]</f>
        <v>0</v>
      </c>
      <c r="AA36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17" t="str">
        <f>IF(ReconciliationData[[#This Row],[severity_score]]=0,"LOW",
 IF(ReconciliationData[[#This Row],[severity_score]]&lt;=5,"MEDIUM","HIGH"))</f>
        <v>LOW</v>
      </c>
      <c r="AC3617" t="str">
        <f>TEXT(ReconciliationData[[#This Row],[Order_Date]],"YYYY-MM")</f>
        <v>2023-08</v>
      </c>
    </row>
    <row r="3618" spans="1:29">
      <c r="A3618" t="s">
        <v>8456</v>
      </c>
      <c r="B3618" s="1">
        <v>45047</v>
      </c>
      <c r="C3618" t="s">
        <v>642</v>
      </c>
      <c r="D3618" t="s">
        <v>3297</v>
      </c>
      <c r="E3618">
        <v>92</v>
      </c>
      <c r="F3618" t="s">
        <v>8457</v>
      </c>
      <c r="G3618">
        <v>92</v>
      </c>
      <c r="H3618">
        <v>933.43190000000004</v>
      </c>
      <c r="N3618">
        <v>933.43190000000004</v>
      </c>
      <c r="O3618" s="1">
        <v>45011</v>
      </c>
      <c r="P3618">
        <f>IF(ISBLANK(ReconciliationData[[#This Row],[Invoice_ID]]),1,0)</f>
        <v>0</v>
      </c>
      <c r="Q3618">
        <f>IF(AND(NOT(ISBLANK(ReconciliationData[[#This Row],[Billed_Units]])),ReconciliationData[[#This Row],[ordered_units]]&lt;&gt;ReconciliationData[[#This Row],[Billed_Units]]),1,0)</f>
        <v>0</v>
      </c>
      <c r="R36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18">
        <f>IF(AND(NOT(ISBLANK(ReconciliationData[[#This Row],[Contract_Price]])),ReconciliationData[[#This Row],[Billed_Price]]&lt;&gt;ReconciliationData[[#This Row],[Contract_Price]]),1,0)</f>
        <v>0</v>
      </c>
      <c r="T3618">
        <f>IF(AND(NOT(ISBLANK(ReconciliationData[[#This Row],[End_Date]])),ReconciliationData[[#This Row],[Order_Date]]&gt;ReconciliationData[[#This Row],[End_Date]]),1,0)</f>
        <v>0</v>
      </c>
      <c r="U3618">
        <f>IF(AND(NOT(ISBLANK(ReconciliationData[[#This Row],[last_return_date]])),ReconciliationData[[#This Row],[last_return_date]]&gt;ReconciliationData[[#This Row],[Order_Date]]+60),1,0)</f>
        <v>0</v>
      </c>
      <c r="V3618">
        <f>IF(ReconciliationData[[#This Row],[total_returned_units]]&gt;ReconciliationData[[#This Row],[ordered_units]],1,0)</f>
        <v>0</v>
      </c>
      <c r="W36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18">
        <f>ReconciliationData[[#This Row],[Billed_Units]]*ReconciliationData[[#This Row],[Billed_Price]]</f>
        <v>85875.734800000006</v>
      </c>
      <c r="Y3618">
        <f>ReconciliationData[[#This Row],[ordered_units]]*ReconciliationData[[#This Row],[List_Price]]</f>
        <v>85875.734800000006</v>
      </c>
      <c r="Z3618">
        <f>ReconciliationData[[#This Row],[billed_revenue]]-ReconciliationData[[#This Row],[expected_revenue]]</f>
        <v>0</v>
      </c>
      <c r="AA36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18" t="str">
        <f>IF(ReconciliationData[[#This Row],[severity_score]]=0,"LOW",
 IF(ReconciliationData[[#This Row],[severity_score]]&lt;=5,"MEDIUM","HIGH"))</f>
        <v>LOW</v>
      </c>
      <c r="AC3618" t="str">
        <f>TEXT(ReconciliationData[[#This Row],[Order_Date]],"YYYY-MM")</f>
        <v>2023-05</v>
      </c>
    </row>
    <row r="3619" spans="1:29">
      <c r="A3619" t="s">
        <v>8458</v>
      </c>
      <c r="B3619" s="1">
        <v>45346</v>
      </c>
      <c r="C3619" t="s">
        <v>4334</v>
      </c>
      <c r="D3619" t="s">
        <v>349</v>
      </c>
      <c r="E3619">
        <v>171</v>
      </c>
      <c r="F3619" t="s">
        <v>8459</v>
      </c>
      <c r="G3619">
        <v>171</v>
      </c>
      <c r="H3619">
        <v>61.845300000000002</v>
      </c>
      <c r="N3619">
        <v>61.845300000000002</v>
      </c>
      <c r="O3619" s="1">
        <v>45226</v>
      </c>
      <c r="P3619">
        <f>IF(ISBLANK(ReconciliationData[[#This Row],[Invoice_ID]]),1,0)</f>
        <v>0</v>
      </c>
      <c r="Q3619">
        <f>IF(AND(NOT(ISBLANK(ReconciliationData[[#This Row],[Billed_Units]])),ReconciliationData[[#This Row],[ordered_units]]&lt;&gt;ReconciliationData[[#This Row],[Billed_Units]]),1,0)</f>
        <v>0</v>
      </c>
      <c r="R36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19">
        <f>IF(AND(NOT(ISBLANK(ReconciliationData[[#This Row],[Contract_Price]])),ReconciliationData[[#This Row],[Billed_Price]]&lt;&gt;ReconciliationData[[#This Row],[Contract_Price]]),1,0)</f>
        <v>0</v>
      </c>
      <c r="T3619">
        <f>IF(AND(NOT(ISBLANK(ReconciliationData[[#This Row],[End_Date]])),ReconciliationData[[#This Row],[Order_Date]]&gt;ReconciliationData[[#This Row],[End_Date]]),1,0)</f>
        <v>0</v>
      </c>
      <c r="U3619">
        <f>IF(AND(NOT(ISBLANK(ReconciliationData[[#This Row],[last_return_date]])),ReconciliationData[[#This Row],[last_return_date]]&gt;ReconciliationData[[#This Row],[Order_Date]]+60),1,0)</f>
        <v>0</v>
      </c>
      <c r="V3619">
        <f>IF(ReconciliationData[[#This Row],[total_returned_units]]&gt;ReconciliationData[[#This Row],[ordered_units]],1,0)</f>
        <v>0</v>
      </c>
      <c r="W36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19">
        <f>ReconciliationData[[#This Row],[Billed_Units]]*ReconciliationData[[#This Row],[Billed_Price]]</f>
        <v>10575.5463</v>
      </c>
      <c r="Y3619">
        <f>ReconciliationData[[#This Row],[ordered_units]]*ReconciliationData[[#This Row],[List_Price]]</f>
        <v>10575.5463</v>
      </c>
      <c r="Z3619">
        <f>ReconciliationData[[#This Row],[billed_revenue]]-ReconciliationData[[#This Row],[expected_revenue]]</f>
        <v>0</v>
      </c>
      <c r="AA36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19" t="str">
        <f>IF(ReconciliationData[[#This Row],[severity_score]]=0,"LOW",
 IF(ReconciliationData[[#This Row],[severity_score]]&lt;=5,"MEDIUM","HIGH"))</f>
        <v>LOW</v>
      </c>
      <c r="AC3619" t="str">
        <f>TEXT(ReconciliationData[[#This Row],[Order_Date]],"YYYY-MM")</f>
        <v>2024-02</v>
      </c>
    </row>
    <row r="3620" spans="1:29">
      <c r="A3620" t="s">
        <v>8460</v>
      </c>
      <c r="B3620" s="1">
        <v>44986</v>
      </c>
      <c r="C3620" t="s">
        <v>475</v>
      </c>
      <c r="D3620" t="s">
        <v>732</v>
      </c>
      <c r="E3620">
        <v>47</v>
      </c>
      <c r="F3620" t="s">
        <v>8461</v>
      </c>
      <c r="G3620">
        <v>47</v>
      </c>
      <c r="H3620">
        <v>414.98099999999999</v>
      </c>
      <c r="I3620">
        <v>30</v>
      </c>
      <c r="J3620" s="1">
        <v>45149</v>
      </c>
      <c r="N3620">
        <v>414.98099999999999</v>
      </c>
      <c r="O3620" s="1">
        <v>44972</v>
      </c>
      <c r="P3620">
        <f>IF(ISBLANK(ReconciliationData[[#This Row],[Invoice_ID]]),1,0)</f>
        <v>0</v>
      </c>
      <c r="Q3620">
        <f>IF(AND(NOT(ISBLANK(ReconciliationData[[#This Row],[Billed_Units]])),ReconciliationData[[#This Row],[ordered_units]]&lt;&gt;ReconciliationData[[#This Row],[Billed_Units]]),1,0)</f>
        <v>0</v>
      </c>
      <c r="R36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0">
        <f>IF(AND(NOT(ISBLANK(ReconciliationData[[#This Row],[Contract_Price]])),ReconciliationData[[#This Row],[Billed_Price]]&lt;&gt;ReconciliationData[[#This Row],[Contract_Price]]),1,0)</f>
        <v>0</v>
      </c>
      <c r="T3620">
        <f>IF(AND(NOT(ISBLANK(ReconciliationData[[#This Row],[End_Date]])),ReconciliationData[[#This Row],[Order_Date]]&gt;ReconciliationData[[#This Row],[End_Date]]),1,0)</f>
        <v>0</v>
      </c>
      <c r="U3620">
        <f>IF(AND(NOT(ISBLANK(ReconciliationData[[#This Row],[last_return_date]])),ReconciliationData[[#This Row],[last_return_date]]&gt;ReconciliationData[[#This Row],[Order_Date]]+60),1,0)</f>
        <v>1</v>
      </c>
      <c r="V3620">
        <f>IF(ReconciliationData[[#This Row],[total_returned_units]]&gt;ReconciliationData[[#This Row],[ordered_units]],1,0)</f>
        <v>0</v>
      </c>
      <c r="W36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20">
        <f>ReconciliationData[[#This Row],[Billed_Units]]*ReconciliationData[[#This Row],[Billed_Price]]</f>
        <v>19504.107</v>
      </c>
      <c r="Y3620">
        <f>ReconciliationData[[#This Row],[ordered_units]]*ReconciliationData[[#This Row],[List_Price]]</f>
        <v>19504.107</v>
      </c>
      <c r="Z3620">
        <f>ReconciliationData[[#This Row],[billed_revenue]]-ReconciliationData[[#This Row],[expected_revenue]]</f>
        <v>0</v>
      </c>
      <c r="AA36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620" t="str">
        <f>IF(ReconciliationData[[#This Row],[severity_score]]=0,"LOW",
 IF(ReconciliationData[[#This Row],[severity_score]]&lt;=5,"MEDIUM","HIGH"))</f>
        <v>MEDIUM</v>
      </c>
      <c r="AC3620" t="str">
        <f>TEXT(ReconciliationData[[#This Row],[Order_Date]],"YYYY-MM")</f>
        <v>2023-03</v>
      </c>
    </row>
    <row r="3621" spans="1:29">
      <c r="A3621" t="s">
        <v>8462</v>
      </c>
      <c r="B3621" s="1">
        <v>45355</v>
      </c>
      <c r="C3621" t="s">
        <v>1716</v>
      </c>
      <c r="D3621" t="s">
        <v>1392</v>
      </c>
      <c r="E3621">
        <v>186</v>
      </c>
      <c r="F3621" t="s">
        <v>8463</v>
      </c>
      <c r="G3621">
        <v>186</v>
      </c>
      <c r="H3621">
        <v>107.1605</v>
      </c>
      <c r="I3621">
        <v>7</v>
      </c>
      <c r="J3621" s="1">
        <v>45313</v>
      </c>
      <c r="N3621">
        <v>107.1605</v>
      </c>
      <c r="O3621" s="1">
        <v>44970</v>
      </c>
      <c r="P3621">
        <f>IF(ISBLANK(ReconciliationData[[#This Row],[Invoice_ID]]),1,0)</f>
        <v>0</v>
      </c>
      <c r="Q3621">
        <f>IF(AND(NOT(ISBLANK(ReconciliationData[[#This Row],[Billed_Units]])),ReconciliationData[[#This Row],[ordered_units]]&lt;&gt;ReconciliationData[[#This Row],[Billed_Units]]),1,0)</f>
        <v>0</v>
      </c>
      <c r="R36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1">
        <f>IF(AND(NOT(ISBLANK(ReconciliationData[[#This Row],[Contract_Price]])),ReconciliationData[[#This Row],[Billed_Price]]&lt;&gt;ReconciliationData[[#This Row],[Contract_Price]]),1,0)</f>
        <v>0</v>
      </c>
      <c r="T3621">
        <f>IF(AND(NOT(ISBLANK(ReconciliationData[[#This Row],[End_Date]])),ReconciliationData[[#This Row],[Order_Date]]&gt;ReconciliationData[[#This Row],[End_Date]]),1,0)</f>
        <v>0</v>
      </c>
      <c r="U3621">
        <f>IF(AND(NOT(ISBLANK(ReconciliationData[[#This Row],[last_return_date]])),ReconciliationData[[#This Row],[last_return_date]]&gt;ReconciliationData[[#This Row],[Order_Date]]+60),1,0)</f>
        <v>0</v>
      </c>
      <c r="V3621">
        <f>IF(ReconciliationData[[#This Row],[total_returned_units]]&gt;ReconciliationData[[#This Row],[ordered_units]],1,0)</f>
        <v>0</v>
      </c>
      <c r="W36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21">
        <f>ReconciliationData[[#This Row],[Billed_Units]]*ReconciliationData[[#This Row],[Billed_Price]]</f>
        <v>19931.852999999999</v>
      </c>
      <c r="Y3621">
        <f>ReconciliationData[[#This Row],[ordered_units]]*ReconciliationData[[#This Row],[List_Price]]</f>
        <v>19931.852999999999</v>
      </c>
      <c r="Z3621">
        <f>ReconciliationData[[#This Row],[billed_revenue]]-ReconciliationData[[#This Row],[expected_revenue]]</f>
        <v>0</v>
      </c>
      <c r="AA36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21" t="str">
        <f>IF(ReconciliationData[[#This Row],[severity_score]]=0,"LOW",
 IF(ReconciliationData[[#This Row],[severity_score]]&lt;=5,"MEDIUM","HIGH"))</f>
        <v>LOW</v>
      </c>
      <c r="AC3621" t="str">
        <f>TEXT(ReconciliationData[[#This Row],[Order_Date]],"YYYY-MM")</f>
        <v>2024-03</v>
      </c>
    </row>
    <row r="3622" spans="1:29">
      <c r="A3622" t="s">
        <v>8464</v>
      </c>
      <c r="B3622" s="1">
        <v>45299</v>
      </c>
      <c r="C3622" t="s">
        <v>2412</v>
      </c>
      <c r="D3622" t="s">
        <v>4508</v>
      </c>
      <c r="E3622">
        <v>92</v>
      </c>
      <c r="F3622" t="s">
        <v>8465</v>
      </c>
      <c r="G3622">
        <v>92</v>
      </c>
      <c r="H3622">
        <v>750.70520000000022</v>
      </c>
      <c r="N3622">
        <v>750.70520000000022</v>
      </c>
      <c r="O3622" s="1">
        <v>45226</v>
      </c>
      <c r="P3622">
        <f>IF(ISBLANK(ReconciliationData[[#This Row],[Invoice_ID]]),1,0)</f>
        <v>0</v>
      </c>
      <c r="Q3622">
        <f>IF(AND(NOT(ISBLANK(ReconciliationData[[#This Row],[Billed_Units]])),ReconciliationData[[#This Row],[ordered_units]]&lt;&gt;ReconciliationData[[#This Row],[Billed_Units]]),1,0)</f>
        <v>0</v>
      </c>
      <c r="R36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2">
        <f>IF(AND(NOT(ISBLANK(ReconciliationData[[#This Row],[Contract_Price]])),ReconciliationData[[#This Row],[Billed_Price]]&lt;&gt;ReconciliationData[[#This Row],[Contract_Price]]),1,0)</f>
        <v>0</v>
      </c>
      <c r="T3622">
        <f>IF(AND(NOT(ISBLANK(ReconciliationData[[#This Row],[End_Date]])),ReconciliationData[[#This Row],[Order_Date]]&gt;ReconciliationData[[#This Row],[End_Date]]),1,0)</f>
        <v>0</v>
      </c>
      <c r="U3622">
        <f>IF(AND(NOT(ISBLANK(ReconciliationData[[#This Row],[last_return_date]])),ReconciliationData[[#This Row],[last_return_date]]&gt;ReconciliationData[[#This Row],[Order_Date]]+60),1,0)</f>
        <v>0</v>
      </c>
      <c r="V3622">
        <f>IF(ReconciliationData[[#This Row],[total_returned_units]]&gt;ReconciliationData[[#This Row],[ordered_units]],1,0)</f>
        <v>0</v>
      </c>
      <c r="W36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22">
        <f>ReconciliationData[[#This Row],[Billed_Units]]*ReconciliationData[[#This Row],[Billed_Price]]</f>
        <v>69064.878400000016</v>
      </c>
      <c r="Y3622">
        <f>ReconciliationData[[#This Row],[ordered_units]]*ReconciliationData[[#This Row],[List_Price]]</f>
        <v>69064.878400000016</v>
      </c>
      <c r="Z3622">
        <f>ReconciliationData[[#This Row],[billed_revenue]]-ReconciliationData[[#This Row],[expected_revenue]]</f>
        <v>0</v>
      </c>
      <c r="AA36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22" t="str">
        <f>IF(ReconciliationData[[#This Row],[severity_score]]=0,"LOW",
 IF(ReconciliationData[[#This Row],[severity_score]]&lt;=5,"MEDIUM","HIGH"))</f>
        <v>LOW</v>
      </c>
      <c r="AC3622" t="str">
        <f>TEXT(ReconciliationData[[#This Row],[Order_Date]],"YYYY-MM")</f>
        <v>2024-01</v>
      </c>
    </row>
    <row r="3623" spans="1:29">
      <c r="A3623" t="s">
        <v>8466</v>
      </c>
      <c r="B3623" s="1">
        <v>45396</v>
      </c>
      <c r="C3623" t="s">
        <v>3206</v>
      </c>
      <c r="D3623" t="s">
        <v>635</v>
      </c>
      <c r="E3623">
        <v>64</v>
      </c>
      <c r="F3623" t="s">
        <v>8467</v>
      </c>
      <c r="G3623">
        <v>64</v>
      </c>
      <c r="H3623">
        <v>951.54780000000005</v>
      </c>
      <c r="I3623">
        <v>2</v>
      </c>
      <c r="J3623" s="1">
        <v>45266</v>
      </c>
      <c r="N3623">
        <v>951.54780000000005</v>
      </c>
      <c r="O3623" s="1">
        <v>44964</v>
      </c>
      <c r="P3623">
        <f>IF(ISBLANK(ReconciliationData[[#This Row],[Invoice_ID]]),1,0)</f>
        <v>0</v>
      </c>
      <c r="Q3623">
        <f>IF(AND(NOT(ISBLANK(ReconciliationData[[#This Row],[Billed_Units]])),ReconciliationData[[#This Row],[ordered_units]]&lt;&gt;ReconciliationData[[#This Row],[Billed_Units]]),1,0)</f>
        <v>0</v>
      </c>
      <c r="R36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3">
        <f>IF(AND(NOT(ISBLANK(ReconciliationData[[#This Row],[Contract_Price]])),ReconciliationData[[#This Row],[Billed_Price]]&lt;&gt;ReconciliationData[[#This Row],[Contract_Price]]),1,0)</f>
        <v>0</v>
      </c>
      <c r="T3623">
        <f>IF(AND(NOT(ISBLANK(ReconciliationData[[#This Row],[End_Date]])),ReconciliationData[[#This Row],[Order_Date]]&gt;ReconciliationData[[#This Row],[End_Date]]),1,0)</f>
        <v>0</v>
      </c>
      <c r="U3623">
        <f>IF(AND(NOT(ISBLANK(ReconciliationData[[#This Row],[last_return_date]])),ReconciliationData[[#This Row],[last_return_date]]&gt;ReconciliationData[[#This Row],[Order_Date]]+60),1,0)</f>
        <v>0</v>
      </c>
      <c r="V3623">
        <f>IF(ReconciliationData[[#This Row],[total_returned_units]]&gt;ReconciliationData[[#This Row],[ordered_units]],1,0)</f>
        <v>0</v>
      </c>
      <c r="W36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23">
        <f>ReconciliationData[[#This Row],[Billed_Units]]*ReconciliationData[[#This Row],[Billed_Price]]</f>
        <v>60899.059200000003</v>
      </c>
      <c r="Y3623">
        <f>ReconciliationData[[#This Row],[ordered_units]]*ReconciliationData[[#This Row],[List_Price]]</f>
        <v>60899.059200000003</v>
      </c>
      <c r="Z3623">
        <f>ReconciliationData[[#This Row],[billed_revenue]]-ReconciliationData[[#This Row],[expected_revenue]]</f>
        <v>0</v>
      </c>
      <c r="AA36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23" t="str">
        <f>IF(ReconciliationData[[#This Row],[severity_score]]=0,"LOW",
 IF(ReconciliationData[[#This Row],[severity_score]]&lt;=5,"MEDIUM","HIGH"))</f>
        <v>LOW</v>
      </c>
      <c r="AC3623" t="str">
        <f>TEXT(ReconciliationData[[#This Row],[Order_Date]],"YYYY-MM")</f>
        <v>2024-04</v>
      </c>
    </row>
    <row r="3624" spans="1:29">
      <c r="A3624" t="s">
        <v>8468</v>
      </c>
      <c r="B3624" s="1">
        <v>45497</v>
      </c>
      <c r="C3624" t="s">
        <v>4966</v>
      </c>
      <c r="D3624" t="s">
        <v>832</v>
      </c>
      <c r="E3624">
        <v>21</v>
      </c>
      <c r="F3624" t="s">
        <v>8469</v>
      </c>
      <c r="G3624">
        <v>21</v>
      </c>
      <c r="H3624">
        <v>324.52350000000001</v>
      </c>
      <c r="N3624">
        <v>324.52350000000001</v>
      </c>
      <c r="O3624" s="1">
        <v>45100</v>
      </c>
      <c r="P3624">
        <f>IF(ISBLANK(ReconciliationData[[#This Row],[Invoice_ID]]),1,0)</f>
        <v>0</v>
      </c>
      <c r="Q3624">
        <f>IF(AND(NOT(ISBLANK(ReconciliationData[[#This Row],[Billed_Units]])),ReconciliationData[[#This Row],[ordered_units]]&lt;&gt;ReconciliationData[[#This Row],[Billed_Units]]),1,0)</f>
        <v>0</v>
      </c>
      <c r="R36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4">
        <f>IF(AND(NOT(ISBLANK(ReconciliationData[[#This Row],[Contract_Price]])),ReconciliationData[[#This Row],[Billed_Price]]&lt;&gt;ReconciliationData[[#This Row],[Contract_Price]]),1,0)</f>
        <v>0</v>
      </c>
      <c r="T3624">
        <f>IF(AND(NOT(ISBLANK(ReconciliationData[[#This Row],[End_Date]])),ReconciliationData[[#This Row],[Order_Date]]&gt;ReconciliationData[[#This Row],[End_Date]]),1,0)</f>
        <v>0</v>
      </c>
      <c r="U3624">
        <f>IF(AND(NOT(ISBLANK(ReconciliationData[[#This Row],[last_return_date]])),ReconciliationData[[#This Row],[last_return_date]]&gt;ReconciliationData[[#This Row],[Order_Date]]+60),1,0)</f>
        <v>0</v>
      </c>
      <c r="V3624">
        <f>IF(ReconciliationData[[#This Row],[total_returned_units]]&gt;ReconciliationData[[#This Row],[ordered_units]],1,0)</f>
        <v>0</v>
      </c>
      <c r="W36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24">
        <f>ReconciliationData[[#This Row],[Billed_Units]]*ReconciliationData[[#This Row],[Billed_Price]]</f>
        <v>6814.9935000000005</v>
      </c>
      <c r="Y3624">
        <f>ReconciliationData[[#This Row],[ordered_units]]*ReconciliationData[[#This Row],[List_Price]]</f>
        <v>6814.9935000000005</v>
      </c>
      <c r="Z3624">
        <f>ReconciliationData[[#This Row],[billed_revenue]]-ReconciliationData[[#This Row],[expected_revenue]]</f>
        <v>0</v>
      </c>
      <c r="AA36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24" t="str">
        <f>IF(ReconciliationData[[#This Row],[severity_score]]=0,"LOW",
 IF(ReconciliationData[[#This Row],[severity_score]]&lt;=5,"MEDIUM","HIGH"))</f>
        <v>LOW</v>
      </c>
      <c r="AC3624" t="str">
        <f>TEXT(ReconciliationData[[#This Row],[Order_Date]],"YYYY-MM")</f>
        <v>2024-07</v>
      </c>
    </row>
    <row r="3625" spans="1:29">
      <c r="A3625" t="s">
        <v>8470</v>
      </c>
      <c r="B3625" s="1">
        <v>45263</v>
      </c>
      <c r="C3625" t="s">
        <v>2298</v>
      </c>
      <c r="D3625" t="s">
        <v>146</v>
      </c>
      <c r="E3625">
        <v>177</v>
      </c>
      <c r="F3625" t="s">
        <v>8471</v>
      </c>
      <c r="G3625">
        <v>177</v>
      </c>
      <c r="H3625">
        <v>849.43949999999995</v>
      </c>
      <c r="N3625">
        <v>849.43949999999995</v>
      </c>
      <c r="O3625" s="1">
        <v>45114</v>
      </c>
      <c r="P3625">
        <f>IF(ISBLANK(ReconciliationData[[#This Row],[Invoice_ID]]),1,0)</f>
        <v>0</v>
      </c>
      <c r="Q3625">
        <f>IF(AND(NOT(ISBLANK(ReconciliationData[[#This Row],[Billed_Units]])),ReconciliationData[[#This Row],[ordered_units]]&lt;&gt;ReconciliationData[[#This Row],[Billed_Units]]),1,0)</f>
        <v>0</v>
      </c>
      <c r="R36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5">
        <f>IF(AND(NOT(ISBLANK(ReconciliationData[[#This Row],[Contract_Price]])),ReconciliationData[[#This Row],[Billed_Price]]&lt;&gt;ReconciliationData[[#This Row],[Contract_Price]]),1,0)</f>
        <v>0</v>
      </c>
      <c r="T3625">
        <f>IF(AND(NOT(ISBLANK(ReconciliationData[[#This Row],[End_Date]])),ReconciliationData[[#This Row],[Order_Date]]&gt;ReconciliationData[[#This Row],[End_Date]]),1,0)</f>
        <v>0</v>
      </c>
      <c r="U3625">
        <f>IF(AND(NOT(ISBLANK(ReconciliationData[[#This Row],[last_return_date]])),ReconciliationData[[#This Row],[last_return_date]]&gt;ReconciliationData[[#This Row],[Order_Date]]+60),1,0)</f>
        <v>0</v>
      </c>
      <c r="V3625">
        <f>IF(ReconciliationData[[#This Row],[total_returned_units]]&gt;ReconciliationData[[#This Row],[ordered_units]],1,0)</f>
        <v>0</v>
      </c>
      <c r="W36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25">
        <f>ReconciliationData[[#This Row],[Billed_Units]]*ReconciliationData[[#This Row],[Billed_Price]]</f>
        <v>150350.79149999999</v>
      </c>
      <c r="Y3625">
        <f>ReconciliationData[[#This Row],[ordered_units]]*ReconciliationData[[#This Row],[List_Price]]</f>
        <v>150350.79149999999</v>
      </c>
      <c r="Z3625">
        <f>ReconciliationData[[#This Row],[billed_revenue]]-ReconciliationData[[#This Row],[expected_revenue]]</f>
        <v>0</v>
      </c>
      <c r="AA36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25" t="str">
        <f>IF(ReconciliationData[[#This Row],[severity_score]]=0,"LOW",
 IF(ReconciliationData[[#This Row],[severity_score]]&lt;=5,"MEDIUM","HIGH"))</f>
        <v>LOW</v>
      </c>
      <c r="AC3625" t="str">
        <f>TEXT(ReconciliationData[[#This Row],[Order_Date]],"YYYY-MM")</f>
        <v>2023-12</v>
      </c>
    </row>
    <row r="3626" spans="1:29">
      <c r="A3626" t="s">
        <v>8472</v>
      </c>
      <c r="B3626" s="1">
        <v>45578</v>
      </c>
      <c r="C3626" t="s">
        <v>433</v>
      </c>
      <c r="D3626" t="s">
        <v>782</v>
      </c>
      <c r="E3626">
        <v>113</v>
      </c>
      <c r="F3626" t="s">
        <v>8473</v>
      </c>
      <c r="G3626">
        <v>113</v>
      </c>
      <c r="H3626">
        <v>216.2484</v>
      </c>
      <c r="N3626">
        <v>216.2484</v>
      </c>
      <c r="O3626" s="1">
        <v>44944</v>
      </c>
      <c r="P3626">
        <f>IF(ISBLANK(ReconciliationData[[#This Row],[Invoice_ID]]),1,0)</f>
        <v>0</v>
      </c>
      <c r="Q3626">
        <f>IF(AND(NOT(ISBLANK(ReconciliationData[[#This Row],[Billed_Units]])),ReconciliationData[[#This Row],[ordered_units]]&lt;&gt;ReconciliationData[[#This Row],[Billed_Units]]),1,0)</f>
        <v>0</v>
      </c>
      <c r="R36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6">
        <f>IF(AND(NOT(ISBLANK(ReconciliationData[[#This Row],[Contract_Price]])),ReconciliationData[[#This Row],[Billed_Price]]&lt;&gt;ReconciliationData[[#This Row],[Contract_Price]]),1,0)</f>
        <v>0</v>
      </c>
      <c r="T3626">
        <f>IF(AND(NOT(ISBLANK(ReconciliationData[[#This Row],[End_Date]])),ReconciliationData[[#This Row],[Order_Date]]&gt;ReconciliationData[[#This Row],[End_Date]]),1,0)</f>
        <v>0</v>
      </c>
      <c r="U3626">
        <f>IF(AND(NOT(ISBLANK(ReconciliationData[[#This Row],[last_return_date]])),ReconciliationData[[#This Row],[last_return_date]]&gt;ReconciliationData[[#This Row],[Order_Date]]+60),1,0)</f>
        <v>0</v>
      </c>
      <c r="V3626">
        <f>IF(ReconciliationData[[#This Row],[total_returned_units]]&gt;ReconciliationData[[#This Row],[ordered_units]],1,0)</f>
        <v>0</v>
      </c>
      <c r="W36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26">
        <f>ReconciliationData[[#This Row],[Billed_Units]]*ReconciliationData[[#This Row],[Billed_Price]]</f>
        <v>24436.069200000002</v>
      </c>
      <c r="Y3626">
        <f>ReconciliationData[[#This Row],[ordered_units]]*ReconciliationData[[#This Row],[List_Price]]</f>
        <v>24436.069200000002</v>
      </c>
      <c r="Z3626">
        <f>ReconciliationData[[#This Row],[billed_revenue]]-ReconciliationData[[#This Row],[expected_revenue]]</f>
        <v>0</v>
      </c>
      <c r="AA36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26" t="str">
        <f>IF(ReconciliationData[[#This Row],[severity_score]]=0,"LOW",
 IF(ReconciliationData[[#This Row],[severity_score]]&lt;=5,"MEDIUM","HIGH"))</f>
        <v>LOW</v>
      </c>
      <c r="AC3626" t="str">
        <f>TEXT(ReconciliationData[[#This Row],[Order_Date]],"YYYY-MM")</f>
        <v>2024-10</v>
      </c>
    </row>
    <row r="3627" spans="1:29">
      <c r="A3627" t="s">
        <v>8474</v>
      </c>
      <c r="B3627" s="1">
        <v>45223</v>
      </c>
      <c r="C3627" t="s">
        <v>922</v>
      </c>
      <c r="D3627" t="s">
        <v>951</v>
      </c>
      <c r="E3627">
        <v>27</v>
      </c>
      <c r="F3627" t="s">
        <v>8475</v>
      </c>
      <c r="G3627">
        <v>27</v>
      </c>
      <c r="H3627">
        <v>571.32999999999993</v>
      </c>
      <c r="N3627">
        <v>571.32999999999993</v>
      </c>
      <c r="O3627" s="1">
        <v>45206</v>
      </c>
      <c r="P3627">
        <f>IF(ISBLANK(ReconciliationData[[#This Row],[Invoice_ID]]),1,0)</f>
        <v>0</v>
      </c>
      <c r="Q3627">
        <f>IF(AND(NOT(ISBLANK(ReconciliationData[[#This Row],[Billed_Units]])),ReconciliationData[[#This Row],[ordered_units]]&lt;&gt;ReconciliationData[[#This Row],[Billed_Units]]),1,0)</f>
        <v>0</v>
      </c>
      <c r="R36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7">
        <f>IF(AND(NOT(ISBLANK(ReconciliationData[[#This Row],[Contract_Price]])),ReconciliationData[[#This Row],[Billed_Price]]&lt;&gt;ReconciliationData[[#This Row],[Contract_Price]]),1,0)</f>
        <v>0</v>
      </c>
      <c r="T3627">
        <f>IF(AND(NOT(ISBLANK(ReconciliationData[[#This Row],[End_Date]])),ReconciliationData[[#This Row],[Order_Date]]&gt;ReconciliationData[[#This Row],[End_Date]]),1,0)</f>
        <v>0</v>
      </c>
      <c r="U3627">
        <f>IF(AND(NOT(ISBLANK(ReconciliationData[[#This Row],[last_return_date]])),ReconciliationData[[#This Row],[last_return_date]]&gt;ReconciliationData[[#This Row],[Order_Date]]+60),1,0)</f>
        <v>0</v>
      </c>
      <c r="V3627">
        <f>IF(ReconciliationData[[#This Row],[total_returned_units]]&gt;ReconciliationData[[#This Row],[ordered_units]],1,0)</f>
        <v>0</v>
      </c>
      <c r="W36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27">
        <f>ReconciliationData[[#This Row],[Billed_Units]]*ReconciliationData[[#This Row],[Billed_Price]]</f>
        <v>15425.909999999998</v>
      </c>
      <c r="Y3627">
        <f>ReconciliationData[[#This Row],[ordered_units]]*ReconciliationData[[#This Row],[List_Price]]</f>
        <v>15425.909999999998</v>
      </c>
      <c r="Z3627">
        <f>ReconciliationData[[#This Row],[billed_revenue]]-ReconciliationData[[#This Row],[expected_revenue]]</f>
        <v>0</v>
      </c>
      <c r="AA36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27" t="str">
        <f>IF(ReconciliationData[[#This Row],[severity_score]]=0,"LOW",
 IF(ReconciliationData[[#This Row],[severity_score]]&lt;=5,"MEDIUM","HIGH"))</f>
        <v>LOW</v>
      </c>
      <c r="AC3627" t="str">
        <f>TEXT(ReconciliationData[[#This Row],[Order_Date]],"YYYY-MM")</f>
        <v>2023-10</v>
      </c>
    </row>
    <row r="3628" spans="1:29">
      <c r="A3628" t="s">
        <v>8476</v>
      </c>
      <c r="B3628" s="1">
        <v>45557</v>
      </c>
      <c r="C3628" t="s">
        <v>879</v>
      </c>
      <c r="D3628" t="s">
        <v>356</v>
      </c>
      <c r="E3628">
        <v>77</v>
      </c>
      <c r="F3628" t="s">
        <v>8477</v>
      </c>
      <c r="G3628">
        <v>77</v>
      </c>
      <c r="H3628">
        <v>393.40140000000002</v>
      </c>
      <c r="N3628">
        <v>393.40140000000002</v>
      </c>
      <c r="O3628" s="1">
        <v>45146</v>
      </c>
      <c r="P3628">
        <f>IF(ISBLANK(ReconciliationData[[#This Row],[Invoice_ID]]),1,0)</f>
        <v>0</v>
      </c>
      <c r="Q3628">
        <f>IF(AND(NOT(ISBLANK(ReconciliationData[[#This Row],[Billed_Units]])),ReconciliationData[[#This Row],[ordered_units]]&lt;&gt;ReconciliationData[[#This Row],[Billed_Units]]),1,0)</f>
        <v>0</v>
      </c>
      <c r="R36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8">
        <f>IF(AND(NOT(ISBLANK(ReconciliationData[[#This Row],[Contract_Price]])),ReconciliationData[[#This Row],[Billed_Price]]&lt;&gt;ReconciliationData[[#This Row],[Contract_Price]]),1,0)</f>
        <v>0</v>
      </c>
      <c r="T3628">
        <f>IF(AND(NOT(ISBLANK(ReconciliationData[[#This Row],[End_Date]])),ReconciliationData[[#This Row],[Order_Date]]&gt;ReconciliationData[[#This Row],[End_Date]]),1,0)</f>
        <v>0</v>
      </c>
      <c r="U3628">
        <f>IF(AND(NOT(ISBLANK(ReconciliationData[[#This Row],[last_return_date]])),ReconciliationData[[#This Row],[last_return_date]]&gt;ReconciliationData[[#This Row],[Order_Date]]+60),1,0)</f>
        <v>0</v>
      </c>
      <c r="V3628">
        <f>IF(ReconciliationData[[#This Row],[total_returned_units]]&gt;ReconciliationData[[#This Row],[ordered_units]],1,0)</f>
        <v>0</v>
      </c>
      <c r="W36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28">
        <f>ReconciliationData[[#This Row],[Billed_Units]]*ReconciliationData[[#This Row],[Billed_Price]]</f>
        <v>30291.907800000001</v>
      </c>
      <c r="Y3628">
        <f>ReconciliationData[[#This Row],[ordered_units]]*ReconciliationData[[#This Row],[List_Price]]</f>
        <v>30291.907800000001</v>
      </c>
      <c r="Z3628">
        <f>ReconciliationData[[#This Row],[billed_revenue]]-ReconciliationData[[#This Row],[expected_revenue]]</f>
        <v>0</v>
      </c>
      <c r="AA36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28" t="str">
        <f>IF(ReconciliationData[[#This Row],[severity_score]]=0,"LOW",
 IF(ReconciliationData[[#This Row],[severity_score]]&lt;=5,"MEDIUM","HIGH"))</f>
        <v>LOW</v>
      </c>
      <c r="AC3628" t="str">
        <f>TEXT(ReconciliationData[[#This Row],[Order_Date]],"YYYY-MM")</f>
        <v>2024-09</v>
      </c>
    </row>
    <row r="3629" spans="1:29">
      <c r="A3629" t="s">
        <v>8478</v>
      </c>
      <c r="B3629" s="1">
        <v>45107</v>
      </c>
      <c r="C3629" t="s">
        <v>3575</v>
      </c>
      <c r="D3629" t="s">
        <v>1717</v>
      </c>
      <c r="E3629">
        <v>159</v>
      </c>
      <c r="F3629" t="s">
        <v>8479</v>
      </c>
      <c r="G3629">
        <v>159</v>
      </c>
      <c r="H3629">
        <v>1066.4928</v>
      </c>
      <c r="N3629">
        <v>1066.4928</v>
      </c>
      <c r="O3629" s="1">
        <v>44993</v>
      </c>
      <c r="P3629">
        <f>IF(ISBLANK(ReconciliationData[[#This Row],[Invoice_ID]]),1,0)</f>
        <v>0</v>
      </c>
      <c r="Q3629">
        <f>IF(AND(NOT(ISBLANK(ReconciliationData[[#This Row],[Billed_Units]])),ReconciliationData[[#This Row],[ordered_units]]&lt;&gt;ReconciliationData[[#This Row],[Billed_Units]]),1,0)</f>
        <v>0</v>
      </c>
      <c r="R36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29">
        <f>IF(AND(NOT(ISBLANK(ReconciliationData[[#This Row],[Contract_Price]])),ReconciliationData[[#This Row],[Billed_Price]]&lt;&gt;ReconciliationData[[#This Row],[Contract_Price]]),1,0)</f>
        <v>0</v>
      </c>
      <c r="T3629">
        <f>IF(AND(NOT(ISBLANK(ReconciliationData[[#This Row],[End_Date]])),ReconciliationData[[#This Row],[Order_Date]]&gt;ReconciliationData[[#This Row],[End_Date]]),1,0)</f>
        <v>0</v>
      </c>
      <c r="U3629">
        <f>IF(AND(NOT(ISBLANK(ReconciliationData[[#This Row],[last_return_date]])),ReconciliationData[[#This Row],[last_return_date]]&gt;ReconciliationData[[#This Row],[Order_Date]]+60),1,0)</f>
        <v>0</v>
      </c>
      <c r="V3629">
        <f>IF(ReconciliationData[[#This Row],[total_returned_units]]&gt;ReconciliationData[[#This Row],[ordered_units]],1,0)</f>
        <v>0</v>
      </c>
      <c r="W36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29">
        <f>ReconciliationData[[#This Row],[Billed_Units]]*ReconciliationData[[#This Row],[Billed_Price]]</f>
        <v>169572.35519999999</v>
      </c>
      <c r="Y3629">
        <f>ReconciliationData[[#This Row],[ordered_units]]*ReconciliationData[[#This Row],[List_Price]]</f>
        <v>169572.35519999999</v>
      </c>
      <c r="Z3629">
        <f>ReconciliationData[[#This Row],[billed_revenue]]-ReconciliationData[[#This Row],[expected_revenue]]</f>
        <v>0</v>
      </c>
      <c r="AA36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29" t="str">
        <f>IF(ReconciliationData[[#This Row],[severity_score]]=0,"LOW",
 IF(ReconciliationData[[#This Row],[severity_score]]&lt;=5,"MEDIUM","HIGH"))</f>
        <v>LOW</v>
      </c>
      <c r="AC3629" t="str">
        <f>TEXT(ReconciliationData[[#This Row],[Order_Date]],"YYYY-MM")</f>
        <v>2023-06</v>
      </c>
    </row>
    <row r="3630" spans="1:29">
      <c r="A3630" t="s">
        <v>8480</v>
      </c>
      <c r="B3630" s="1">
        <v>45592</v>
      </c>
      <c r="C3630" t="s">
        <v>1483</v>
      </c>
      <c r="D3630" t="s">
        <v>378</v>
      </c>
      <c r="E3630">
        <v>59</v>
      </c>
      <c r="F3630" t="s">
        <v>8481</v>
      </c>
      <c r="G3630">
        <v>59</v>
      </c>
      <c r="H3630">
        <v>601.32929999999999</v>
      </c>
      <c r="N3630">
        <v>601.32929999999999</v>
      </c>
      <c r="O3630" s="1">
        <v>44962</v>
      </c>
      <c r="P3630">
        <f>IF(ISBLANK(ReconciliationData[[#This Row],[Invoice_ID]]),1,0)</f>
        <v>0</v>
      </c>
      <c r="Q3630">
        <f>IF(AND(NOT(ISBLANK(ReconciliationData[[#This Row],[Billed_Units]])),ReconciliationData[[#This Row],[ordered_units]]&lt;&gt;ReconciliationData[[#This Row],[Billed_Units]]),1,0)</f>
        <v>0</v>
      </c>
      <c r="R36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30">
        <f>IF(AND(NOT(ISBLANK(ReconciliationData[[#This Row],[Contract_Price]])),ReconciliationData[[#This Row],[Billed_Price]]&lt;&gt;ReconciliationData[[#This Row],[Contract_Price]]),1,0)</f>
        <v>0</v>
      </c>
      <c r="T3630">
        <f>IF(AND(NOT(ISBLANK(ReconciliationData[[#This Row],[End_Date]])),ReconciliationData[[#This Row],[Order_Date]]&gt;ReconciliationData[[#This Row],[End_Date]]),1,0)</f>
        <v>0</v>
      </c>
      <c r="U3630">
        <f>IF(AND(NOT(ISBLANK(ReconciliationData[[#This Row],[last_return_date]])),ReconciliationData[[#This Row],[last_return_date]]&gt;ReconciliationData[[#This Row],[Order_Date]]+60),1,0)</f>
        <v>0</v>
      </c>
      <c r="V3630">
        <f>IF(ReconciliationData[[#This Row],[total_returned_units]]&gt;ReconciliationData[[#This Row],[ordered_units]],1,0)</f>
        <v>0</v>
      </c>
      <c r="W36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30">
        <f>ReconciliationData[[#This Row],[Billed_Units]]*ReconciliationData[[#This Row],[Billed_Price]]</f>
        <v>35478.428699999997</v>
      </c>
      <c r="Y3630">
        <f>ReconciliationData[[#This Row],[ordered_units]]*ReconciliationData[[#This Row],[List_Price]]</f>
        <v>35478.428699999997</v>
      </c>
      <c r="Z3630">
        <f>ReconciliationData[[#This Row],[billed_revenue]]-ReconciliationData[[#This Row],[expected_revenue]]</f>
        <v>0</v>
      </c>
      <c r="AA36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30" t="str">
        <f>IF(ReconciliationData[[#This Row],[severity_score]]=0,"LOW",
 IF(ReconciliationData[[#This Row],[severity_score]]&lt;=5,"MEDIUM","HIGH"))</f>
        <v>LOW</v>
      </c>
      <c r="AC3630" t="str">
        <f>TEXT(ReconciliationData[[#This Row],[Order_Date]],"YYYY-MM")</f>
        <v>2024-10</v>
      </c>
    </row>
    <row r="3631" spans="1:29">
      <c r="A3631" t="s">
        <v>8482</v>
      </c>
      <c r="B3631" s="1">
        <v>44989</v>
      </c>
      <c r="C3631" t="s">
        <v>1975</v>
      </c>
      <c r="D3631" t="s">
        <v>973</v>
      </c>
      <c r="E3631">
        <v>25</v>
      </c>
      <c r="F3631" t="s">
        <v>8483</v>
      </c>
      <c r="G3631">
        <v>25</v>
      </c>
      <c r="H3631">
        <v>151.82</v>
      </c>
      <c r="N3631">
        <v>151.82</v>
      </c>
      <c r="O3631" s="1">
        <v>44860</v>
      </c>
      <c r="P3631">
        <f>IF(ISBLANK(ReconciliationData[[#This Row],[Invoice_ID]]),1,0)</f>
        <v>0</v>
      </c>
      <c r="Q3631">
        <f>IF(AND(NOT(ISBLANK(ReconciliationData[[#This Row],[Billed_Units]])),ReconciliationData[[#This Row],[ordered_units]]&lt;&gt;ReconciliationData[[#This Row],[Billed_Units]]),1,0)</f>
        <v>0</v>
      </c>
      <c r="R36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31">
        <f>IF(AND(NOT(ISBLANK(ReconciliationData[[#This Row],[Contract_Price]])),ReconciliationData[[#This Row],[Billed_Price]]&lt;&gt;ReconciliationData[[#This Row],[Contract_Price]]),1,0)</f>
        <v>0</v>
      </c>
      <c r="T3631">
        <f>IF(AND(NOT(ISBLANK(ReconciliationData[[#This Row],[End_Date]])),ReconciliationData[[#This Row],[Order_Date]]&gt;ReconciliationData[[#This Row],[End_Date]]),1,0)</f>
        <v>0</v>
      </c>
      <c r="U3631">
        <f>IF(AND(NOT(ISBLANK(ReconciliationData[[#This Row],[last_return_date]])),ReconciliationData[[#This Row],[last_return_date]]&gt;ReconciliationData[[#This Row],[Order_Date]]+60),1,0)</f>
        <v>0</v>
      </c>
      <c r="V3631">
        <f>IF(ReconciliationData[[#This Row],[total_returned_units]]&gt;ReconciliationData[[#This Row],[ordered_units]],1,0)</f>
        <v>0</v>
      </c>
      <c r="W36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31">
        <f>ReconciliationData[[#This Row],[Billed_Units]]*ReconciliationData[[#This Row],[Billed_Price]]</f>
        <v>3795.5</v>
      </c>
      <c r="Y3631">
        <f>ReconciliationData[[#This Row],[ordered_units]]*ReconciliationData[[#This Row],[List_Price]]</f>
        <v>3795.5</v>
      </c>
      <c r="Z3631">
        <f>ReconciliationData[[#This Row],[billed_revenue]]-ReconciliationData[[#This Row],[expected_revenue]]</f>
        <v>0</v>
      </c>
      <c r="AA36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31" t="str">
        <f>IF(ReconciliationData[[#This Row],[severity_score]]=0,"LOW",
 IF(ReconciliationData[[#This Row],[severity_score]]&lt;=5,"MEDIUM","HIGH"))</f>
        <v>LOW</v>
      </c>
      <c r="AC3631" t="str">
        <f>TEXT(ReconciliationData[[#This Row],[Order_Date]],"YYYY-MM")</f>
        <v>2023-03</v>
      </c>
    </row>
    <row r="3632" spans="1:29">
      <c r="A3632" t="s">
        <v>8484</v>
      </c>
      <c r="B3632" s="1">
        <v>45017</v>
      </c>
      <c r="C3632" t="s">
        <v>588</v>
      </c>
      <c r="D3632" t="s">
        <v>564</v>
      </c>
      <c r="E3632">
        <v>101</v>
      </c>
      <c r="F3632" t="s">
        <v>8485</v>
      </c>
      <c r="G3632">
        <v>101</v>
      </c>
      <c r="H3632">
        <v>1206.1665</v>
      </c>
      <c r="N3632">
        <v>1206.1665</v>
      </c>
      <c r="O3632" s="1">
        <v>44998</v>
      </c>
      <c r="P3632">
        <f>IF(ISBLANK(ReconciliationData[[#This Row],[Invoice_ID]]),1,0)</f>
        <v>0</v>
      </c>
      <c r="Q3632">
        <f>IF(AND(NOT(ISBLANK(ReconciliationData[[#This Row],[Billed_Units]])),ReconciliationData[[#This Row],[ordered_units]]&lt;&gt;ReconciliationData[[#This Row],[Billed_Units]]),1,0)</f>
        <v>0</v>
      </c>
      <c r="R36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32">
        <f>IF(AND(NOT(ISBLANK(ReconciliationData[[#This Row],[Contract_Price]])),ReconciliationData[[#This Row],[Billed_Price]]&lt;&gt;ReconciliationData[[#This Row],[Contract_Price]]),1,0)</f>
        <v>0</v>
      </c>
      <c r="T3632">
        <f>IF(AND(NOT(ISBLANK(ReconciliationData[[#This Row],[End_Date]])),ReconciliationData[[#This Row],[Order_Date]]&gt;ReconciliationData[[#This Row],[End_Date]]),1,0)</f>
        <v>0</v>
      </c>
      <c r="U3632">
        <f>IF(AND(NOT(ISBLANK(ReconciliationData[[#This Row],[last_return_date]])),ReconciliationData[[#This Row],[last_return_date]]&gt;ReconciliationData[[#This Row],[Order_Date]]+60),1,0)</f>
        <v>0</v>
      </c>
      <c r="V3632">
        <f>IF(ReconciliationData[[#This Row],[total_returned_units]]&gt;ReconciliationData[[#This Row],[ordered_units]],1,0)</f>
        <v>0</v>
      </c>
      <c r="W36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32">
        <f>ReconciliationData[[#This Row],[Billed_Units]]*ReconciliationData[[#This Row],[Billed_Price]]</f>
        <v>121822.8165</v>
      </c>
      <c r="Y3632">
        <f>ReconciliationData[[#This Row],[ordered_units]]*ReconciliationData[[#This Row],[List_Price]]</f>
        <v>121822.8165</v>
      </c>
      <c r="Z3632">
        <f>ReconciliationData[[#This Row],[billed_revenue]]-ReconciliationData[[#This Row],[expected_revenue]]</f>
        <v>0</v>
      </c>
      <c r="AA36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32" t="str">
        <f>IF(ReconciliationData[[#This Row],[severity_score]]=0,"LOW",
 IF(ReconciliationData[[#This Row],[severity_score]]&lt;=5,"MEDIUM","HIGH"))</f>
        <v>LOW</v>
      </c>
      <c r="AC3632" t="str">
        <f>TEXT(ReconciliationData[[#This Row],[Order_Date]],"YYYY-MM")</f>
        <v>2023-04</v>
      </c>
    </row>
    <row r="3633" spans="1:29">
      <c r="A3633" t="s">
        <v>8486</v>
      </c>
      <c r="B3633" s="1">
        <v>45131</v>
      </c>
      <c r="C3633" t="s">
        <v>1808</v>
      </c>
      <c r="D3633" t="s">
        <v>190</v>
      </c>
      <c r="E3633">
        <v>118</v>
      </c>
      <c r="F3633" t="s">
        <v>8487</v>
      </c>
      <c r="G3633">
        <v>118</v>
      </c>
      <c r="H3633">
        <v>265.44960000000003</v>
      </c>
      <c r="N3633">
        <v>265.44960000000003</v>
      </c>
      <c r="O3633" s="1">
        <v>44999</v>
      </c>
      <c r="P3633">
        <f>IF(ISBLANK(ReconciliationData[[#This Row],[Invoice_ID]]),1,0)</f>
        <v>0</v>
      </c>
      <c r="Q3633">
        <f>IF(AND(NOT(ISBLANK(ReconciliationData[[#This Row],[Billed_Units]])),ReconciliationData[[#This Row],[ordered_units]]&lt;&gt;ReconciliationData[[#This Row],[Billed_Units]]),1,0)</f>
        <v>0</v>
      </c>
      <c r="R36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33">
        <f>IF(AND(NOT(ISBLANK(ReconciliationData[[#This Row],[Contract_Price]])),ReconciliationData[[#This Row],[Billed_Price]]&lt;&gt;ReconciliationData[[#This Row],[Contract_Price]]),1,0)</f>
        <v>0</v>
      </c>
      <c r="T3633">
        <f>IF(AND(NOT(ISBLANK(ReconciliationData[[#This Row],[End_Date]])),ReconciliationData[[#This Row],[Order_Date]]&gt;ReconciliationData[[#This Row],[End_Date]]),1,0)</f>
        <v>0</v>
      </c>
      <c r="U3633">
        <f>IF(AND(NOT(ISBLANK(ReconciliationData[[#This Row],[last_return_date]])),ReconciliationData[[#This Row],[last_return_date]]&gt;ReconciliationData[[#This Row],[Order_Date]]+60),1,0)</f>
        <v>0</v>
      </c>
      <c r="V3633">
        <f>IF(ReconciliationData[[#This Row],[total_returned_units]]&gt;ReconciliationData[[#This Row],[ordered_units]],1,0)</f>
        <v>0</v>
      </c>
      <c r="W36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33">
        <f>ReconciliationData[[#This Row],[Billed_Units]]*ReconciliationData[[#This Row],[Billed_Price]]</f>
        <v>31323.052800000005</v>
      </c>
      <c r="Y3633">
        <f>ReconciliationData[[#This Row],[ordered_units]]*ReconciliationData[[#This Row],[List_Price]]</f>
        <v>31323.052800000005</v>
      </c>
      <c r="Z3633">
        <f>ReconciliationData[[#This Row],[billed_revenue]]-ReconciliationData[[#This Row],[expected_revenue]]</f>
        <v>0</v>
      </c>
      <c r="AA36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33" t="str">
        <f>IF(ReconciliationData[[#This Row],[severity_score]]=0,"LOW",
 IF(ReconciliationData[[#This Row],[severity_score]]&lt;=5,"MEDIUM","HIGH"))</f>
        <v>LOW</v>
      </c>
      <c r="AC3633" t="str">
        <f>TEXT(ReconciliationData[[#This Row],[Order_Date]],"YYYY-MM")</f>
        <v>2023-07</v>
      </c>
    </row>
    <row r="3634" spans="1:29">
      <c r="A3634" t="s">
        <v>8488</v>
      </c>
      <c r="B3634" s="1">
        <v>45450</v>
      </c>
      <c r="C3634" t="s">
        <v>4878</v>
      </c>
      <c r="D3634" t="s">
        <v>1994</v>
      </c>
      <c r="E3634">
        <v>133</v>
      </c>
      <c r="F3634" t="s">
        <v>8489</v>
      </c>
      <c r="G3634">
        <v>133</v>
      </c>
      <c r="H3634">
        <v>296.17460000000005</v>
      </c>
      <c r="N3634">
        <v>296.17460000000005</v>
      </c>
      <c r="O3634" s="1">
        <v>45194</v>
      </c>
      <c r="P3634">
        <f>IF(ISBLANK(ReconciliationData[[#This Row],[Invoice_ID]]),1,0)</f>
        <v>0</v>
      </c>
      <c r="Q3634">
        <f>IF(AND(NOT(ISBLANK(ReconciliationData[[#This Row],[Billed_Units]])),ReconciliationData[[#This Row],[ordered_units]]&lt;&gt;ReconciliationData[[#This Row],[Billed_Units]]),1,0)</f>
        <v>0</v>
      </c>
      <c r="R36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34">
        <f>IF(AND(NOT(ISBLANK(ReconciliationData[[#This Row],[Contract_Price]])),ReconciliationData[[#This Row],[Billed_Price]]&lt;&gt;ReconciliationData[[#This Row],[Contract_Price]]),1,0)</f>
        <v>0</v>
      </c>
      <c r="T3634">
        <f>IF(AND(NOT(ISBLANK(ReconciliationData[[#This Row],[End_Date]])),ReconciliationData[[#This Row],[Order_Date]]&gt;ReconciliationData[[#This Row],[End_Date]]),1,0)</f>
        <v>0</v>
      </c>
      <c r="U3634">
        <f>IF(AND(NOT(ISBLANK(ReconciliationData[[#This Row],[last_return_date]])),ReconciliationData[[#This Row],[last_return_date]]&gt;ReconciliationData[[#This Row],[Order_Date]]+60),1,0)</f>
        <v>0</v>
      </c>
      <c r="V3634">
        <f>IF(ReconciliationData[[#This Row],[total_returned_units]]&gt;ReconciliationData[[#This Row],[ordered_units]],1,0)</f>
        <v>0</v>
      </c>
      <c r="W36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34">
        <f>ReconciliationData[[#This Row],[Billed_Units]]*ReconciliationData[[#This Row],[Billed_Price]]</f>
        <v>39391.221800000007</v>
      </c>
      <c r="Y3634">
        <f>ReconciliationData[[#This Row],[ordered_units]]*ReconciliationData[[#This Row],[List_Price]]</f>
        <v>39391.221800000007</v>
      </c>
      <c r="Z3634">
        <f>ReconciliationData[[#This Row],[billed_revenue]]-ReconciliationData[[#This Row],[expected_revenue]]</f>
        <v>0</v>
      </c>
      <c r="AA36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34" t="str">
        <f>IF(ReconciliationData[[#This Row],[severity_score]]=0,"LOW",
 IF(ReconciliationData[[#This Row],[severity_score]]&lt;=5,"MEDIUM","HIGH"))</f>
        <v>LOW</v>
      </c>
      <c r="AC3634" t="str">
        <f>TEXT(ReconciliationData[[#This Row],[Order_Date]],"YYYY-MM")</f>
        <v>2024-06</v>
      </c>
    </row>
    <row r="3635" spans="1:29">
      <c r="A3635" t="s">
        <v>8490</v>
      </c>
      <c r="B3635" s="1">
        <v>45547</v>
      </c>
      <c r="C3635" t="s">
        <v>3196</v>
      </c>
      <c r="D3635" t="s">
        <v>962</v>
      </c>
      <c r="E3635">
        <v>133</v>
      </c>
      <c r="F3635" t="s">
        <v>8491</v>
      </c>
      <c r="G3635">
        <v>133</v>
      </c>
      <c r="H3635">
        <v>710.19044951695003</v>
      </c>
      <c r="N3635">
        <v>709.52</v>
      </c>
      <c r="O3635" s="1">
        <v>44952</v>
      </c>
      <c r="P3635">
        <f>IF(ISBLANK(ReconciliationData[[#This Row],[Invoice_ID]]),1,0)</f>
        <v>0</v>
      </c>
      <c r="Q3635">
        <f>IF(AND(NOT(ISBLANK(ReconciliationData[[#This Row],[Billed_Units]])),ReconciliationData[[#This Row],[ordered_units]]&lt;&gt;ReconciliationData[[#This Row],[Billed_Units]]),1,0)</f>
        <v>0</v>
      </c>
      <c r="R3635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635">
        <f>IF(AND(NOT(ISBLANK(ReconciliationData[[#This Row],[Contract_Price]])),ReconciliationData[[#This Row],[Billed_Price]]&lt;&gt;ReconciliationData[[#This Row],[Contract_Price]]),1,0)</f>
        <v>0</v>
      </c>
      <c r="T3635">
        <f>IF(AND(NOT(ISBLANK(ReconciliationData[[#This Row],[End_Date]])),ReconciliationData[[#This Row],[Order_Date]]&gt;ReconciliationData[[#This Row],[End_Date]]),1,0)</f>
        <v>0</v>
      </c>
      <c r="U3635">
        <f>IF(AND(NOT(ISBLANK(ReconciliationData[[#This Row],[last_return_date]])),ReconciliationData[[#This Row],[last_return_date]]&gt;ReconciliationData[[#This Row],[Order_Date]]+60),1,0)</f>
        <v>0</v>
      </c>
      <c r="V3635">
        <f>IF(ReconciliationData[[#This Row],[total_returned_units]]&gt;ReconciliationData[[#This Row],[ordered_units]],1,0)</f>
        <v>0</v>
      </c>
      <c r="W36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35">
        <f>ReconciliationData[[#This Row],[Billed_Units]]*ReconciliationData[[#This Row],[Billed_Price]]</f>
        <v>94455.329785754351</v>
      </c>
      <c r="Y3635">
        <f>ReconciliationData[[#This Row],[ordered_units]]*ReconciliationData[[#This Row],[List_Price]]</f>
        <v>94366.16</v>
      </c>
      <c r="Z3635">
        <f>ReconciliationData[[#This Row],[billed_revenue]]-ReconciliationData[[#This Row],[expected_revenue]]</f>
        <v>89.169785754347686</v>
      </c>
      <c r="AA36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635" t="str">
        <f>IF(ReconciliationData[[#This Row],[severity_score]]=0,"LOW",
 IF(ReconciliationData[[#This Row],[severity_score]]&lt;=5,"MEDIUM","HIGH"))</f>
        <v>MEDIUM</v>
      </c>
      <c r="AC3635" t="str">
        <f>TEXT(ReconciliationData[[#This Row],[Order_Date]],"YYYY-MM")</f>
        <v>2024-09</v>
      </c>
    </row>
    <row r="3636" spans="1:29">
      <c r="A3636" t="s">
        <v>8492</v>
      </c>
      <c r="B3636" s="1">
        <v>45252</v>
      </c>
      <c r="C3636" t="s">
        <v>5315</v>
      </c>
      <c r="D3636" t="s">
        <v>1322</v>
      </c>
      <c r="E3636">
        <v>84</v>
      </c>
      <c r="F3636" t="s">
        <v>8493</v>
      </c>
      <c r="G3636">
        <v>84</v>
      </c>
      <c r="H3636">
        <v>69.45</v>
      </c>
      <c r="N3636">
        <v>69.45</v>
      </c>
      <c r="O3636" s="1">
        <v>45169</v>
      </c>
      <c r="P3636">
        <f>IF(ISBLANK(ReconciliationData[[#This Row],[Invoice_ID]]),1,0)</f>
        <v>0</v>
      </c>
      <c r="Q3636">
        <f>IF(AND(NOT(ISBLANK(ReconciliationData[[#This Row],[Billed_Units]])),ReconciliationData[[#This Row],[ordered_units]]&lt;&gt;ReconciliationData[[#This Row],[Billed_Units]]),1,0)</f>
        <v>0</v>
      </c>
      <c r="R36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36">
        <f>IF(AND(NOT(ISBLANK(ReconciliationData[[#This Row],[Contract_Price]])),ReconciliationData[[#This Row],[Billed_Price]]&lt;&gt;ReconciliationData[[#This Row],[Contract_Price]]),1,0)</f>
        <v>0</v>
      </c>
      <c r="T3636">
        <f>IF(AND(NOT(ISBLANK(ReconciliationData[[#This Row],[End_Date]])),ReconciliationData[[#This Row],[Order_Date]]&gt;ReconciliationData[[#This Row],[End_Date]]),1,0)</f>
        <v>0</v>
      </c>
      <c r="U3636">
        <f>IF(AND(NOT(ISBLANK(ReconciliationData[[#This Row],[last_return_date]])),ReconciliationData[[#This Row],[last_return_date]]&gt;ReconciliationData[[#This Row],[Order_Date]]+60),1,0)</f>
        <v>0</v>
      </c>
      <c r="V3636">
        <f>IF(ReconciliationData[[#This Row],[total_returned_units]]&gt;ReconciliationData[[#This Row],[ordered_units]],1,0)</f>
        <v>0</v>
      </c>
      <c r="W36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36">
        <f>ReconciliationData[[#This Row],[Billed_Units]]*ReconciliationData[[#This Row],[Billed_Price]]</f>
        <v>5833.8</v>
      </c>
      <c r="Y3636">
        <f>ReconciliationData[[#This Row],[ordered_units]]*ReconciliationData[[#This Row],[List_Price]]</f>
        <v>5833.8</v>
      </c>
      <c r="Z3636">
        <f>ReconciliationData[[#This Row],[billed_revenue]]-ReconciliationData[[#This Row],[expected_revenue]]</f>
        <v>0</v>
      </c>
      <c r="AA36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36" t="str">
        <f>IF(ReconciliationData[[#This Row],[severity_score]]=0,"LOW",
 IF(ReconciliationData[[#This Row],[severity_score]]&lt;=5,"MEDIUM","HIGH"))</f>
        <v>LOW</v>
      </c>
      <c r="AC3636" t="str">
        <f>TEXT(ReconciliationData[[#This Row],[Order_Date]],"YYYY-MM")</f>
        <v>2023-11</v>
      </c>
    </row>
    <row r="3637" spans="1:29">
      <c r="A3637" t="s">
        <v>8494</v>
      </c>
      <c r="B3637" s="1">
        <v>45047</v>
      </c>
      <c r="C3637" t="s">
        <v>1021</v>
      </c>
      <c r="D3637" t="s">
        <v>569</v>
      </c>
      <c r="E3637">
        <v>197</v>
      </c>
      <c r="F3637" t="s">
        <v>8495</v>
      </c>
      <c r="G3637">
        <v>207</v>
      </c>
      <c r="H3637">
        <v>1231.9933000000001</v>
      </c>
      <c r="N3637">
        <v>1231.9933000000001</v>
      </c>
      <c r="O3637" s="1">
        <v>44934</v>
      </c>
      <c r="P3637">
        <f>IF(ISBLANK(ReconciliationData[[#This Row],[Invoice_ID]]),1,0)</f>
        <v>0</v>
      </c>
      <c r="Q3637">
        <f>IF(AND(NOT(ISBLANK(ReconciliationData[[#This Row],[Billed_Units]])),ReconciliationData[[#This Row],[ordered_units]]&lt;&gt;ReconciliationData[[#This Row],[Billed_Units]]),1,0)</f>
        <v>1</v>
      </c>
      <c r="R36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37">
        <f>IF(AND(NOT(ISBLANK(ReconciliationData[[#This Row],[Contract_Price]])),ReconciliationData[[#This Row],[Billed_Price]]&lt;&gt;ReconciliationData[[#This Row],[Contract_Price]]),1,0)</f>
        <v>0</v>
      </c>
      <c r="T3637">
        <f>IF(AND(NOT(ISBLANK(ReconciliationData[[#This Row],[End_Date]])),ReconciliationData[[#This Row],[Order_Date]]&gt;ReconciliationData[[#This Row],[End_Date]]),1,0)</f>
        <v>0</v>
      </c>
      <c r="U3637">
        <f>IF(AND(NOT(ISBLANK(ReconciliationData[[#This Row],[last_return_date]])),ReconciliationData[[#This Row],[last_return_date]]&gt;ReconciliationData[[#This Row],[Order_Date]]+60),1,0)</f>
        <v>0</v>
      </c>
      <c r="V3637">
        <f>IF(ReconciliationData[[#This Row],[total_returned_units]]&gt;ReconciliationData[[#This Row],[ordered_units]],1,0)</f>
        <v>0</v>
      </c>
      <c r="W36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37">
        <f>ReconciliationData[[#This Row],[Billed_Units]]*ReconciliationData[[#This Row],[Billed_Price]]</f>
        <v>255022.61310000002</v>
      </c>
      <c r="Y3637">
        <f>ReconciliationData[[#This Row],[ordered_units]]*ReconciliationData[[#This Row],[List_Price]]</f>
        <v>242702.68010000003</v>
      </c>
      <c r="Z3637">
        <f>ReconciliationData[[#This Row],[billed_revenue]]-ReconciliationData[[#This Row],[expected_revenue]]</f>
        <v>12319.93299999999</v>
      </c>
      <c r="AA36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637" t="str">
        <f>IF(ReconciliationData[[#This Row],[severity_score]]=0,"LOW",
 IF(ReconciliationData[[#This Row],[severity_score]]&lt;=5,"MEDIUM","HIGH"))</f>
        <v>HIGH</v>
      </c>
      <c r="AC3637" t="str">
        <f>TEXT(ReconciliationData[[#This Row],[Order_Date]],"YYYY-MM")</f>
        <v>2023-05</v>
      </c>
    </row>
    <row r="3638" spans="1:29">
      <c r="A3638" t="s">
        <v>8496</v>
      </c>
      <c r="B3638" s="1">
        <v>45080</v>
      </c>
      <c r="C3638" t="s">
        <v>3326</v>
      </c>
      <c r="D3638" t="s">
        <v>3297</v>
      </c>
      <c r="E3638">
        <v>156</v>
      </c>
      <c r="F3638" t="s">
        <v>8497</v>
      </c>
      <c r="G3638">
        <v>156</v>
      </c>
      <c r="H3638">
        <v>933.43190000000004</v>
      </c>
      <c r="N3638">
        <v>933.43190000000004</v>
      </c>
      <c r="O3638" s="1">
        <v>45011</v>
      </c>
      <c r="P3638">
        <f>IF(ISBLANK(ReconciliationData[[#This Row],[Invoice_ID]]),1,0)</f>
        <v>0</v>
      </c>
      <c r="Q3638">
        <f>IF(AND(NOT(ISBLANK(ReconciliationData[[#This Row],[Billed_Units]])),ReconciliationData[[#This Row],[ordered_units]]&lt;&gt;ReconciliationData[[#This Row],[Billed_Units]]),1,0)</f>
        <v>0</v>
      </c>
      <c r="R36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38">
        <f>IF(AND(NOT(ISBLANK(ReconciliationData[[#This Row],[Contract_Price]])),ReconciliationData[[#This Row],[Billed_Price]]&lt;&gt;ReconciliationData[[#This Row],[Contract_Price]]),1,0)</f>
        <v>0</v>
      </c>
      <c r="T3638">
        <f>IF(AND(NOT(ISBLANK(ReconciliationData[[#This Row],[End_Date]])),ReconciliationData[[#This Row],[Order_Date]]&gt;ReconciliationData[[#This Row],[End_Date]]),1,0)</f>
        <v>0</v>
      </c>
      <c r="U3638">
        <f>IF(AND(NOT(ISBLANK(ReconciliationData[[#This Row],[last_return_date]])),ReconciliationData[[#This Row],[last_return_date]]&gt;ReconciliationData[[#This Row],[Order_Date]]+60),1,0)</f>
        <v>0</v>
      </c>
      <c r="V3638">
        <f>IF(ReconciliationData[[#This Row],[total_returned_units]]&gt;ReconciliationData[[#This Row],[ordered_units]],1,0)</f>
        <v>0</v>
      </c>
      <c r="W36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38">
        <f>ReconciliationData[[#This Row],[Billed_Units]]*ReconciliationData[[#This Row],[Billed_Price]]</f>
        <v>145615.37640000001</v>
      </c>
      <c r="Y3638">
        <f>ReconciliationData[[#This Row],[ordered_units]]*ReconciliationData[[#This Row],[List_Price]]</f>
        <v>145615.37640000001</v>
      </c>
      <c r="Z3638">
        <f>ReconciliationData[[#This Row],[billed_revenue]]-ReconciliationData[[#This Row],[expected_revenue]]</f>
        <v>0</v>
      </c>
      <c r="AA36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38" t="str">
        <f>IF(ReconciliationData[[#This Row],[severity_score]]=0,"LOW",
 IF(ReconciliationData[[#This Row],[severity_score]]&lt;=5,"MEDIUM","HIGH"))</f>
        <v>LOW</v>
      </c>
      <c r="AC3638" t="str">
        <f>TEXT(ReconciliationData[[#This Row],[Order_Date]],"YYYY-MM")</f>
        <v>2023-06</v>
      </c>
    </row>
    <row r="3639" spans="1:29">
      <c r="A3639" t="s">
        <v>8498</v>
      </c>
      <c r="B3639" s="1">
        <v>45476</v>
      </c>
      <c r="C3639" t="s">
        <v>2500</v>
      </c>
      <c r="D3639" t="s">
        <v>1037</v>
      </c>
      <c r="E3639">
        <v>30</v>
      </c>
      <c r="F3639" t="s">
        <v>8499</v>
      </c>
      <c r="G3639">
        <v>30</v>
      </c>
      <c r="H3639">
        <v>539.57150000000001</v>
      </c>
      <c r="N3639">
        <v>539.57150000000001</v>
      </c>
      <c r="O3639" s="1">
        <v>45191</v>
      </c>
      <c r="P3639">
        <f>IF(ISBLANK(ReconciliationData[[#This Row],[Invoice_ID]]),1,0)</f>
        <v>0</v>
      </c>
      <c r="Q3639">
        <f>IF(AND(NOT(ISBLANK(ReconciliationData[[#This Row],[Billed_Units]])),ReconciliationData[[#This Row],[ordered_units]]&lt;&gt;ReconciliationData[[#This Row],[Billed_Units]]),1,0)</f>
        <v>0</v>
      </c>
      <c r="R36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39">
        <f>IF(AND(NOT(ISBLANK(ReconciliationData[[#This Row],[Contract_Price]])),ReconciliationData[[#This Row],[Billed_Price]]&lt;&gt;ReconciliationData[[#This Row],[Contract_Price]]),1,0)</f>
        <v>0</v>
      </c>
      <c r="T3639">
        <f>IF(AND(NOT(ISBLANK(ReconciliationData[[#This Row],[End_Date]])),ReconciliationData[[#This Row],[Order_Date]]&gt;ReconciliationData[[#This Row],[End_Date]]),1,0)</f>
        <v>0</v>
      </c>
      <c r="U3639">
        <f>IF(AND(NOT(ISBLANK(ReconciliationData[[#This Row],[last_return_date]])),ReconciliationData[[#This Row],[last_return_date]]&gt;ReconciliationData[[#This Row],[Order_Date]]+60),1,0)</f>
        <v>0</v>
      </c>
      <c r="V3639">
        <f>IF(ReconciliationData[[#This Row],[total_returned_units]]&gt;ReconciliationData[[#This Row],[ordered_units]],1,0)</f>
        <v>0</v>
      </c>
      <c r="W36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39">
        <f>ReconciliationData[[#This Row],[Billed_Units]]*ReconciliationData[[#This Row],[Billed_Price]]</f>
        <v>16187.145</v>
      </c>
      <c r="Y3639">
        <f>ReconciliationData[[#This Row],[ordered_units]]*ReconciliationData[[#This Row],[List_Price]]</f>
        <v>16187.145</v>
      </c>
      <c r="Z3639">
        <f>ReconciliationData[[#This Row],[billed_revenue]]-ReconciliationData[[#This Row],[expected_revenue]]</f>
        <v>0</v>
      </c>
      <c r="AA36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39" t="str">
        <f>IF(ReconciliationData[[#This Row],[severity_score]]=0,"LOW",
 IF(ReconciliationData[[#This Row],[severity_score]]&lt;=5,"MEDIUM","HIGH"))</f>
        <v>LOW</v>
      </c>
      <c r="AC3639" t="str">
        <f>TEXT(ReconciliationData[[#This Row],[Order_Date]],"YYYY-MM")</f>
        <v>2024-07</v>
      </c>
    </row>
    <row r="3640" spans="1:29">
      <c r="A3640" t="s">
        <v>8500</v>
      </c>
      <c r="B3640" s="1">
        <v>45090</v>
      </c>
      <c r="C3640" t="s">
        <v>4914</v>
      </c>
      <c r="D3640" t="s">
        <v>295</v>
      </c>
      <c r="E3640">
        <v>189</v>
      </c>
      <c r="F3640" t="s">
        <v>8501</v>
      </c>
      <c r="G3640">
        <v>189</v>
      </c>
      <c r="H3640">
        <v>838.77149999999995</v>
      </c>
      <c r="N3640">
        <v>838.77149999999995</v>
      </c>
      <c r="O3640" s="1">
        <v>44902</v>
      </c>
      <c r="P3640">
        <f>IF(ISBLANK(ReconciliationData[[#This Row],[Invoice_ID]]),1,0)</f>
        <v>0</v>
      </c>
      <c r="Q3640">
        <f>IF(AND(NOT(ISBLANK(ReconciliationData[[#This Row],[Billed_Units]])),ReconciliationData[[#This Row],[ordered_units]]&lt;&gt;ReconciliationData[[#This Row],[Billed_Units]]),1,0)</f>
        <v>0</v>
      </c>
      <c r="R36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0">
        <f>IF(AND(NOT(ISBLANK(ReconciliationData[[#This Row],[Contract_Price]])),ReconciliationData[[#This Row],[Billed_Price]]&lt;&gt;ReconciliationData[[#This Row],[Contract_Price]]),1,0)</f>
        <v>0</v>
      </c>
      <c r="T3640">
        <f>IF(AND(NOT(ISBLANK(ReconciliationData[[#This Row],[End_Date]])),ReconciliationData[[#This Row],[Order_Date]]&gt;ReconciliationData[[#This Row],[End_Date]]),1,0)</f>
        <v>0</v>
      </c>
      <c r="U3640">
        <f>IF(AND(NOT(ISBLANK(ReconciliationData[[#This Row],[last_return_date]])),ReconciliationData[[#This Row],[last_return_date]]&gt;ReconciliationData[[#This Row],[Order_Date]]+60),1,0)</f>
        <v>0</v>
      </c>
      <c r="V3640">
        <f>IF(ReconciliationData[[#This Row],[total_returned_units]]&gt;ReconciliationData[[#This Row],[ordered_units]],1,0)</f>
        <v>0</v>
      </c>
      <c r="W36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0">
        <f>ReconciliationData[[#This Row],[Billed_Units]]*ReconciliationData[[#This Row],[Billed_Price]]</f>
        <v>158527.81349999999</v>
      </c>
      <c r="Y3640">
        <f>ReconciliationData[[#This Row],[ordered_units]]*ReconciliationData[[#This Row],[List_Price]]</f>
        <v>158527.81349999999</v>
      </c>
      <c r="Z3640">
        <f>ReconciliationData[[#This Row],[billed_revenue]]-ReconciliationData[[#This Row],[expected_revenue]]</f>
        <v>0</v>
      </c>
      <c r="AA36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0" t="str">
        <f>IF(ReconciliationData[[#This Row],[severity_score]]=0,"LOW",
 IF(ReconciliationData[[#This Row],[severity_score]]&lt;=5,"MEDIUM","HIGH"))</f>
        <v>LOW</v>
      </c>
      <c r="AC3640" t="str">
        <f>TEXT(ReconciliationData[[#This Row],[Order_Date]],"YYYY-MM")</f>
        <v>2023-06</v>
      </c>
    </row>
    <row r="3641" spans="1:29">
      <c r="A3641" t="s">
        <v>8502</v>
      </c>
      <c r="B3641" s="1">
        <v>45047</v>
      </c>
      <c r="C3641" t="s">
        <v>8503</v>
      </c>
      <c r="D3641" t="s">
        <v>1812</v>
      </c>
      <c r="E3641">
        <v>180</v>
      </c>
      <c r="F3641" t="s">
        <v>8504</v>
      </c>
      <c r="G3641">
        <v>180</v>
      </c>
      <c r="H3641">
        <v>224.72319999999999</v>
      </c>
      <c r="N3641">
        <v>224.72319999999999</v>
      </c>
      <c r="O3641" s="1">
        <v>44805</v>
      </c>
      <c r="P3641">
        <f>IF(ISBLANK(ReconciliationData[[#This Row],[Invoice_ID]]),1,0)</f>
        <v>0</v>
      </c>
      <c r="Q3641">
        <f>IF(AND(NOT(ISBLANK(ReconciliationData[[#This Row],[Billed_Units]])),ReconciliationData[[#This Row],[ordered_units]]&lt;&gt;ReconciliationData[[#This Row],[Billed_Units]]),1,0)</f>
        <v>0</v>
      </c>
      <c r="R36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1">
        <f>IF(AND(NOT(ISBLANK(ReconciliationData[[#This Row],[Contract_Price]])),ReconciliationData[[#This Row],[Billed_Price]]&lt;&gt;ReconciliationData[[#This Row],[Contract_Price]]),1,0)</f>
        <v>0</v>
      </c>
      <c r="T3641">
        <f>IF(AND(NOT(ISBLANK(ReconciliationData[[#This Row],[End_Date]])),ReconciliationData[[#This Row],[Order_Date]]&gt;ReconciliationData[[#This Row],[End_Date]]),1,0)</f>
        <v>0</v>
      </c>
      <c r="U3641">
        <f>IF(AND(NOT(ISBLANK(ReconciliationData[[#This Row],[last_return_date]])),ReconciliationData[[#This Row],[last_return_date]]&gt;ReconciliationData[[#This Row],[Order_Date]]+60),1,0)</f>
        <v>0</v>
      </c>
      <c r="V3641">
        <f>IF(ReconciliationData[[#This Row],[total_returned_units]]&gt;ReconciliationData[[#This Row],[ordered_units]],1,0)</f>
        <v>0</v>
      </c>
      <c r="W36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1">
        <f>ReconciliationData[[#This Row],[Billed_Units]]*ReconciliationData[[#This Row],[Billed_Price]]</f>
        <v>40450.175999999999</v>
      </c>
      <c r="Y3641">
        <f>ReconciliationData[[#This Row],[ordered_units]]*ReconciliationData[[#This Row],[List_Price]]</f>
        <v>40450.175999999999</v>
      </c>
      <c r="Z3641">
        <f>ReconciliationData[[#This Row],[billed_revenue]]-ReconciliationData[[#This Row],[expected_revenue]]</f>
        <v>0</v>
      </c>
      <c r="AA36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1" t="str">
        <f>IF(ReconciliationData[[#This Row],[severity_score]]=0,"LOW",
 IF(ReconciliationData[[#This Row],[severity_score]]&lt;=5,"MEDIUM","HIGH"))</f>
        <v>LOW</v>
      </c>
      <c r="AC3641" t="str">
        <f>TEXT(ReconciliationData[[#This Row],[Order_Date]],"YYYY-MM")</f>
        <v>2023-05</v>
      </c>
    </row>
    <row r="3642" spans="1:29">
      <c r="A3642" t="s">
        <v>8505</v>
      </c>
      <c r="B3642" s="1">
        <v>45613</v>
      </c>
      <c r="C3642" t="s">
        <v>5082</v>
      </c>
      <c r="D3642" t="s">
        <v>1333</v>
      </c>
      <c r="E3642">
        <v>167</v>
      </c>
      <c r="F3642" t="s">
        <v>8506</v>
      </c>
      <c r="G3642">
        <v>167</v>
      </c>
      <c r="H3642">
        <v>418.93040000000002</v>
      </c>
      <c r="N3642">
        <v>418.93040000000002</v>
      </c>
      <c r="O3642" s="1">
        <v>45214</v>
      </c>
      <c r="P3642">
        <f>IF(ISBLANK(ReconciliationData[[#This Row],[Invoice_ID]]),1,0)</f>
        <v>0</v>
      </c>
      <c r="Q3642">
        <f>IF(AND(NOT(ISBLANK(ReconciliationData[[#This Row],[Billed_Units]])),ReconciliationData[[#This Row],[ordered_units]]&lt;&gt;ReconciliationData[[#This Row],[Billed_Units]]),1,0)</f>
        <v>0</v>
      </c>
      <c r="R36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2">
        <f>IF(AND(NOT(ISBLANK(ReconciliationData[[#This Row],[Contract_Price]])),ReconciliationData[[#This Row],[Billed_Price]]&lt;&gt;ReconciliationData[[#This Row],[Contract_Price]]),1,0)</f>
        <v>0</v>
      </c>
      <c r="T3642">
        <f>IF(AND(NOT(ISBLANK(ReconciliationData[[#This Row],[End_Date]])),ReconciliationData[[#This Row],[Order_Date]]&gt;ReconciliationData[[#This Row],[End_Date]]),1,0)</f>
        <v>0</v>
      </c>
      <c r="U3642">
        <f>IF(AND(NOT(ISBLANK(ReconciliationData[[#This Row],[last_return_date]])),ReconciliationData[[#This Row],[last_return_date]]&gt;ReconciliationData[[#This Row],[Order_Date]]+60),1,0)</f>
        <v>0</v>
      </c>
      <c r="V3642">
        <f>IF(ReconciliationData[[#This Row],[total_returned_units]]&gt;ReconciliationData[[#This Row],[ordered_units]],1,0)</f>
        <v>0</v>
      </c>
      <c r="W36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2">
        <f>ReconciliationData[[#This Row],[Billed_Units]]*ReconciliationData[[#This Row],[Billed_Price]]</f>
        <v>69961.376799999998</v>
      </c>
      <c r="Y3642">
        <f>ReconciliationData[[#This Row],[ordered_units]]*ReconciliationData[[#This Row],[List_Price]]</f>
        <v>69961.376799999998</v>
      </c>
      <c r="Z3642">
        <f>ReconciliationData[[#This Row],[billed_revenue]]-ReconciliationData[[#This Row],[expected_revenue]]</f>
        <v>0</v>
      </c>
      <c r="AA36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2" t="str">
        <f>IF(ReconciliationData[[#This Row],[severity_score]]=0,"LOW",
 IF(ReconciliationData[[#This Row],[severity_score]]&lt;=5,"MEDIUM","HIGH"))</f>
        <v>LOW</v>
      </c>
      <c r="AC3642" t="str">
        <f>TEXT(ReconciliationData[[#This Row],[Order_Date]],"YYYY-MM")</f>
        <v>2024-11</v>
      </c>
    </row>
    <row r="3643" spans="1:29">
      <c r="A3643" t="s">
        <v>8507</v>
      </c>
      <c r="B3643" s="1">
        <v>45424</v>
      </c>
      <c r="C3643" t="s">
        <v>4060</v>
      </c>
      <c r="D3643" t="s">
        <v>389</v>
      </c>
      <c r="E3643">
        <v>176</v>
      </c>
      <c r="F3643" t="s">
        <v>8508</v>
      </c>
      <c r="G3643">
        <v>176</v>
      </c>
      <c r="H3643">
        <v>759.48969999999997</v>
      </c>
      <c r="I3643">
        <v>32</v>
      </c>
      <c r="J3643" s="1">
        <v>45441</v>
      </c>
      <c r="N3643">
        <v>759.48969999999997</v>
      </c>
      <c r="O3643" s="1">
        <v>45138</v>
      </c>
      <c r="P3643">
        <f>IF(ISBLANK(ReconciliationData[[#This Row],[Invoice_ID]]),1,0)</f>
        <v>0</v>
      </c>
      <c r="Q3643">
        <f>IF(AND(NOT(ISBLANK(ReconciliationData[[#This Row],[Billed_Units]])),ReconciliationData[[#This Row],[ordered_units]]&lt;&gt;ReconciliationData[[#This Row],[Billed_Units]]),1,0)</f>
        <v>0</v>
      </c>
      <c r="R36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3">
        <f>IF(AND(NOT(ISBLANK(ReconciliationData[[#This Row],[Contract_Price]])),ReconciliationData[[#This Row],[Billed_Price]]&lt;&gt;ReconciliationData[[#This Row],[Contract_Price]]),1,0)</f>
        <v>0</v>
      </c>
      <c r="T3643">
        <f>IF(AND(NOT(ISBLANK(ReconciliationData[[#This Row],[End_Date]])),ReconciliationData[[#This Row],[Order_Date]]&gt;ReconciliationData[[#This Row],[End_Date]]),1,0)</f>
        <v>0</v>
      </c>
      <c r="U3643">
        <f>IF(AND(NOT(ISBLANK(ReconciliationData[[#This Row],[last_return_date]])),ReconciliationData[[#This Row],[last_return_date]]&gt;ReconciliationData[[#This Row],[Order_Date]]+60),1,0)</f>
        <v>0</v>
      </c>
      <c r="V3643">
        <f>IF(ReconciliationData[[#This Row],[total_returned_units]]&gt;ReconciliationData[[#This Row],[ordered_units]],1,0)</f>
        <v>0</v>
      </c>
      <c r="W36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3">
        <f>ReconciliationData[[#This Row],[Billed_Units]]*ReconciliationData[[#This Row],[Billed_Price]]</f>
        <v>133670.18719999999</v>
      </c>
      <c r="Y3643">
        <f>ReconciliationData[[#This Row],[ordered_units]]*ReconciliationData[[#This Row],[List_Price]]</f>
        <v>133670.18719999999</v>
      </c>
      <c r="Z3643">
        <f>ReconciliationData[[#This Row],[billed_revenue]]-ReconciliationData[[#This Row],[expected_revenue]]</f>
        <v>0</v>
      </c>
      <c r="AA36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3" t="str">
        <f>IF(ReconciliationData[[#This Row],[severity_score]]=0,"LOW",
 IF(ReconciliationData[[#This Row],[severity_score]]&lt;=5,"MEDIUM","HIGH"))</f>
        <v>LOW</v>
      </c>
      <c r="AC3643" t="str">
        <f>TEXT(ReconciliationData[[#This Row],[Order_Date]],"YYYY-MM")</f>
        <v>2024-05</v>
      </c>
    </row>
    <row r="3644" spans="1:29">
      <c r="A3644" t="s">
        <v>8509</v>
      </c>
      <c r="B3644" s="1">
        <v>45190</v>
      </c>
      <c r="C3644" t="s">
        <v>915</v>
      </c>
      <c r="D3644" t="s">
        <v>1309</v>
      </c>
      <c r="E3644">
        <v>154</v>
      </c>
      <c r="F3644" t="s">
        <v>8510</v>
      </c>
      <c r="G3644">
        <v>154</v>
      </c>
      <c r="H3644">
        <v>906.88919999999996</v>
      </c>
      <c r="N3644">
        <v>906.88919999999996</v>
      </c>
      <c r="O3644" s="1">
        <v>44991</v>
      </c>
      <c r="P3644">
        <f>IF(ISBLANK(ReconciliationData[[#This Row],[Invoice_ID]]),1,0)</f>
        <v>0</v>
      </c>
      <c r="Q3644">
        <f>IF(AND(NOT(ISBLANK(ReconciliationData[[#This Row],[Billed_Units]])),ReconciliationData[[#This Row],[ordered_units]]&lt;&gt;ReconciliationData[[#This Row],[Billed_Units]]),1,0)</f>
        <v>0</v>
      </c>
      <c r="R36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4">
        <f>IF(AND(NOT(ISBLANK(ReconciliationData[[#This Row],[Contract_Price]])),ReconciliationData[[#This Row],[Billed_Price]]&lt;&gt;ReconciliationData[[#This Row],[Contract_Price]]),1,0)</f>
        <v>0</v>
      </c>
      <c r="T3644">
        <f>IF(AND(NOT(ISBLANK(ReconciliationData[[#This Row],[End_Date]])),ReconciliationData[[#This Row],[Order_Date]]&gt;ReconciliationData[[#This Row],[End_Date]]),1,0)</f>
        <v>0</v>
      </c>
      <c r="U3644">
        <f>IF(AND(NOT(ISBLANK(ReconciliationData[[#This Row],[last_return_date]])),ReconciliationData[[#This Row],[last_return_date]]&gt;ReconciliationData[[#This Row],[Order_Date]]+60),1,0)</f>
        <v>0</v>
      </c>
      <c r="V3644">
        <f>IF(ReconciliationData[[#This Row],[total_returned_units]]&gt;ReconciliationData[[#This Row],[ordered_units]],1,0)</f>
        <v>0</v>
      </c>
      <c r="W36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4">
        <f>ReconciliationData[[#This Row],[Billed_Units]]*ReconciliationData[[#This Row],[Billed_Price]]</f>
        <v>139660.9368</v>
      </c>
      <c r="Y3644">
        <f>ReconciliationData[[#This Row],[ordered_units]]*ReconciliationData[[#This Row],[List_Price]]</f>
        <v>139660.9368</v>
      </c>
      <c r="Z3644">
        <f>ReconciliationData[[#This Row],[billed_revenue]]-ReconciliationData[[#This Row],[expected_revenue]]</f>
        <v>0</v>
      </c>
      <c r="AA36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4" t="str">
        <f>IF(ReconciliationData[[#This Row],[severity_score]]=0,"LOW",
 IF(ReconciliationData[[#This Row],[severity_score]]&lt;=5,"MEDIUM","HIGH"))</f>
        <v>LOW</v>
      </c>
      <c r="AC3644" t="str">
        <f>TEXT(ReconciliationData[[#This Row],[Order_Date]],"YYYY-MM")</f>
        <v>2023-09</v>
      </c>
    </row>
    <row r="3645" spans="1:29">
      <c r="A3645" t="s">
        <v>8511</v>
      </c>
      <c r="B3645" s="1">
        <v>45455</v>
      </c>
      <c r="C3645" t="s">
        <v>3885</v>
      </c>
      <c r="D3645" t="s">
        <v>3530</v>
      </c>
      <c r="E3645">
        <v>129</v>
      </c>
      <c r="F3645" t="s">
        <v>8512</v>
      </c>
      <c r="G3645">
        <v>129</v>
      </c>
      <c r="H3645">
        <v>143.86799999999999</v>
      </c>
      <c r="N3645">
        <v>143.86799999999999</v>
      </c>
      <c r="O3645" s="1">
        <v>45036</v>
      </c>
      <c r="P3645">
        <f>IF(ISBLANK(ReconciliationData[[#This Row],[Invoice_ID]]),1,0)</f>
        <v>0</v>
      </c>
      <c r="Q3645">
        <f>IF(AND(NOT(ISBLANK(ReconciliationData[[#This Row],[Billed_Units]])),ReconciliationData[[#This Row],[ordered_units]]&lt;&gt;ReconciliationData[[#This Row],[Billed_Units]]),1,0)</f>
        <v>0</v>
      </c>
      <c r="R36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5">
        <f>IF(AND(NOT(ISBLANK(ReconciliationData[[#This Row],[Contract_Price]])),ReconciliationData[[#This Row],[Billed_Price]]&lt;&gt;ReconciliationData[[#This Row],[Contract_Price]]),1,0)</f>
        <v>0</v>
      </c>
      <c r="T3645">
        <f>IF(AND(NOT(ISBLANK(ReconciliationData[[#This Row],[End_Date]])),ReconciliationData[[#This Row],[Order_Date]]&gt;ReconciliationData[[#This Row],[End_Date]]),1,0)</f>
        <v>0</v>
      </c>
      <c r="U3645">
        <f>IF(AND(NOT(ISBLANK(ReconciliationData[[#This Row],[last_return_date]])),ReconciliationData[[#This Row],[last_return_date]]&gt;ReconciliationData[[#This Row],[Order_Date]]+60),1,0)</f>
        <v>0</v>
      </c>
      <c r="V3645">
        <f>IF(ReconciliationData[[#This Row],[total_returned_units]]&gt;ReconciliationData[[#This Row],[ordered_units]],1,0)</f>
        <v>0</v>
      </c>
      <c r="W36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5">
        <f>ReconciliationData[[#This Row],[Billed_Units]]*ReconciliationData[[#This Row],[Billed_Price]]</f>
        <v>18558.971999999998</v>
      </c>
      <c r="Y3645">
        <f>ReconciliationData[[#This Row],[ordered_units]]*ReconciliationData[[#This Row],[List_Price]]</f>
        <v>18558.971999999998</v>
      </c>
      <c r="Z3645">
        <f>ReconciliationData[[#This Row],[billed_revenue]]-ReconciliationData[[#This Row],[expected_revenue]]</f>
        <v>0</v>
      </c>
      <c r="AA36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5" t="str">
        <f>IF(ReconciliationData[[#This Row],[severity_score]]=0,"LOW",
 IF(ReconciliationData[[#This Row],[severity_score]]&lt;=5,"MEDIUM","HIGH"))</f>
        <v>LOW</v>
      </c>
      <c r="AC3645" t="str">
        <f>TEXT(ReconciliationData[[#This Row],[Order_Date]],"YYYY-MM")</f>
        <v>2024-06</v>
      </c>
    </row>
    <row r="3646" spans="1:29">
      <c r="A3646" t="s">
        <v>8513</v>
      </c>
      <c r="B3646" s="1">
        <v>45180</v>
      </c>
      <c r="C3646" t="s">
        <v>2976</v>
      </c>
      <c r="D3646" t="s">
        <v>1382</v>
      </c>
      <c r="E3646">
        <v>159</v>
      </c>
      <c r="F3646" t="s">
        <v>8514</v>
      </c>
      <c r="G3646">
        <v>159</v>
      </c>
      <c r="H3646">
        <v>82.026000000000025</v>
      </c>
      <c r="N3646">
        <v>82.026000000000025</v>
      </c>
      <c r="O3646" s="1">
        <v>45061</v>
      </c>
      <c r="P3646">
        <f>IF(ISBLANK(ReconciliationData[[#This Row],[Invoice_ID]]),1,0)</f>
        <v>0</v>
      </c>
      <c r="Q3646">
        <f>IF(AND(NOT(ISBLANK(ReconciliationData[[#This Row],[Billed_Units]])),ReconciliationData[[#This Row],[ordered_units]]&lt;&gt;ReconciliationData[[#This Row],[Billed_Units]]),1,0)</f>
        <v>0</v>
      </c>
      <c r="R36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6">
        <f>IF(AND(NOT(ISBLANK(ReconciliationData[[#This Row],[Contract_Price]])),ReconciliationData[[#This Row],[Billed_Price]]&lt;&gt;ReconciliationData[[#This Row],[Contract_Price]]),1,0)</f>
        <v>0</v>
      </c>
      <c r="T3646">
        <f>IF(AND(NOT(ISBLANK(ReconciliationData[[#This Row],[End_Date]])),ReconciliationData[[#This Row],[Order_Date]]&gt;ReconciliationData[[#This Row],[End_Date]]),1,0)</f>
        <v>0</v>
      </c>
      <c r="U3646">
        <f>IF(AND(NOT(ISBLANK(ReconciliationData[[#This Row],[last_return_date]])),ReconciliationData[[#This Row],[last_return_date]]&gt;ReconciliationData[[#This Row],[Order_Date]]+60),1,0)</f>
        <v>0</v>
      </c>
      <c r="V3646">
        <f>IF(ReconciliationData[[#This Row],[total_returned_units]]&gt;ReconciliationData[[#This Row],[ordered_units]],1,0)</f>
        <v>0</v>
      </c>
      <c r="W36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6">
        <f>ReconciliationData[[#This Row],[Billed_Units]]*ReconciliationData[[#This Row],[Billed_Price]]</f>
        <v>13042.134000000004</v>
      </c>
      <c r="Y3646">
        <f>ReconciliationData[[#This Row],[ordered_units]]*ReconciliationData[[#This Row],[List_Price]]</f>
        <v>13042.134000000004</v>
      </c>
      <c r="Z3646">
        <f>ReconciliationData[[#This Row],[billed_revenue]]-ReconciliationData[[#This Row],[expected_revenue]]</f>
        <v>0</v>
      </c>
      <c r="AA36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6" t="str">
        <f>IF(ReconciliationData[[#This Row],[severity_score]]=0,"LOW",
 IF(ReconciliationData[[#This Row],[severity_score]]&lt;=5,"MEDIUM","HIGH"))</f>
        <v>LOW</v>
      </c>
      <c r="AC3646" t="str">
        <f>TEXT(ReconciliationData[[#This Row],[Order_Date]],"YYYY-MM")</f>
        <v>2023-09</v>
      </c>
    </row>
    <row r="3647" spans="1:29">
      <c r="A3647" t="s">
        <v>8515</v>
      </c>
      <c r="B3647" s="1">
        <v>45196</v>
      </c>
      <c r="C3647" t="s">
        <v>4747</v>
      </c>
      <c r="D3647" t="s">
        <v>873</v>
      </c>
      <c r="E3647">
        <v>25</v>
      </c>
      <c r="F3647" t="s">
        <v>8516</v>
      </c>
      <c r="G3647">
        <v>25</v>
      </c>
      <c r="H3647">
        <v>956.41030000000001</v>
      </c>
      <c r="I3647">
        <v>13</v>
      </c>
      <c r="J3647" s="1">
        <v>45252</v>
      </c>
      <c r="N3647">
        <v>956.41030000000001</v>
      </c>
      <c r="O3647" s="1">
        <v>45168</v>
      </c>
      <c r="P3647">
        <f>IF(ISBLANK(ReconciliationData[[#This Row],[Invoice_ID]]),1,0)</f>
        <v>0</v>
      </c>
      <c r="Q3647">
        <f>IF(AND(NOT(ISBLANK(ReconciliationData[[#This Row],[Billed_Units]])),ReconciliationData[[#This Row],[ordered_units]]&lt;&gt;ReconciliationData[[#This Row],[Billed_Units]]),1,0)</f>
        <v>0</v>
      </c>
      <c r="R36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7">
        <f>IF(AND(NOT(ISBLANK(ReconciliationData[[#This Row],[Contract_Price]])),ReconciliationData[[#This Row],[Billed_Price]]&lt;&gt;ReconciliationData[[#This Row],[Contract_Price]]),1,0)</f>
        <v>0</v>
      </c>
      <c r="T3647">
        <f>IF(AND(NOT(ISBLANK(ReconciliationData[[#This Row],[End_Date]])),ReconciliationData[[#This Row],[Order_Date]]&gt;ReconciliationData[[#This Row],[End_Date]]),1,0)</f>
        <v>0</v>
      </c>
      <c r="U3647">
        <f>IF(AND(NOT(ISBLANK(ReconciliationData[[#This Row],[last_return_date]])),ReconciliationData[[#This Row],[last_return_date]]&gt;ReconciliationData[[#This Row],[Order_Date]]+60),1,0)</f>
        <v>0</v>
      </c>
      <c r="V3647">
        <f>IF(ReconciliationData[[#This Row],[total_returned_units]]&gt;ReconciliationData[[#This Row],[ordered_units]],1,0)</f>
        <v>0</v>
      </c>
      <c r="W36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7">
        <f>ReconciliationData[[#This Row],[Billed_Units]]*ReconciliationData[[#This Row],[Billed_Price]]</f>
        <v>23910.2575</v>
      </c>
      <c r="Y3647">
        <f>ReconciliationData[[#This Row],[ordered_units]]*ReconciliationData[[#This Row],[List_Price]]</f>
        <v>23910.2575</v>
      </c>
      <c r="Z3647">
        <f>ReconciliationData[[#This Row],[billed_revenue]]-ReconciliationData[[#This Row],[expected_revenue]]</f>
        <v>0</v>
      </c>
      <c r="AA36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7" t="str">
        <f>IF(ReconciliationData[[#This Row],[severity_score]]=0,"LOW",
 IF(ReconciliationData[[#This Row],[severity_score]]&lt;=5,"MEDIUM","HIGH"))</f>
        <v>LOW</v>
      </c>
      <c r="AC3647" t="str">
        <f>TEXT(ReconciliationData[[#This Row],[Order_Date]],"YYYY-MM")</f>
        <v>2023-09</v>
      </c>
    </row>
    <row r="3648" spans="1:29">
      <c r="A3648" t="s">
        <v>8517</v>
      </c>
      <c r="B3648" s="1">
        <v>45526</v>
      </c>
      <c r="C3648" t="s">
        <v>1357</v>
      </c>
      <c r="D3648" t="s">
        <v>1933</v>
      </c>
      <c r="E3648">
        <v>150</v>
      </c>
      <c r="F3648" t="s">
        <v>8518</v>
      </c>
      <c r="G3648">
        <v>150</v>
      </c>
      <c r="H3648">
        <v>571.49840000000006</v>
      </c>
      <c r="N3648">
        <v>571.49840000000006</v>
      </c>
      <c r="O3648" s="1">
        <v>45071</v>
      </c>
      <c r="P3648">
        <f>IF(ISBLANK(ReconciliationData[[#This Row],[Invoice_ID]]),1,0)</f>
        <v>0</v>
      </c>
      <c r="Q3648">
        <f>IF(AND(NOT(ISBLANK(ReconciliationData[[#This Row],[Billed_Units]])),ReconciliationData[[#This Row],[ordered_units]]&lt;&gt;ReconciliationData[[#This Row],[Billed_Units]]),1,0)</f>
        <v>0</v>
      </c>
      <c r="R36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8">
        <f>IF(AND(NOT(ISBLANK(ReconciliationData[[#This Row],[Contract_Price]])),ReconciliationData[[#This Row],[Billed_Price]]&lt;&gt;ReconciliationData[[#This Row],[Contract_Price]]),1,0)</f>
        <v>0</v>
      </c>
      <c r="T3648">
        <f>IF(AND(NOT(ISBLANK(ReconciliationData[[#This Row],[End_Date]])),ReconciliationData[[#This Row],[Order_Date]]&gt;ReconciliationData[[#This Row],[End_Date]]),1,0)</f>
        <v>0</v>
      </c>
      <c r="U3648">
        <f>IF(AND(NOT(ISBLANK(ReconciliationData[[#This Row],[last_return_date]])),ReconciliationData[[#This Row],[last_return_date]]&gt;ReconciliationData[[#This Row],[Order_Date]]+60),1,0)</f>
        <v>0</v>
      </c>
      <c r="V3648">
        <f>IF(ReconciliationData[[#This Row],[total_returned_units]]&gt;ReconciliationData[[#This Row],[ordered_units]],1,0)</f>
        <v>0</v>
      </c>
      <c r="W36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8">
        <f>ReconciliationData[[#This Row],[Billed_Units]]*ReconciliationData[[#This Row],[Billed_Price]]</f>
        <v>85724.760000000009</v>
      </c>
      <c r="Y3648">
        <f>ReconciliationData[[#This Row],[ordered_units]]*ReconciliationData[[#This Row],[List_Price]]</f>
        <v>85724.760000000009</v>
      </c>
      <c r="Z3648">
        <f>ReconciliationData[[#This Row],[billed_revenue]]-ReconciliationData[[#This Row],[expected_revenue]]</f>
        <v>0</v>
      </c>
      <c r="AA36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8" t="str">
        <f>IF(ReconciliationData[[#This Row],[severity_score]]=0,"LOW",
 IF(ReconciliationData[[#This Row],[severity_score]]&lt;=5,"MEDIUM","HIGH"))</f>
        <v>LOW</v>
      </c>
      <c r="AC3648" t="str">
        <f>TEXT(ReconciliationData[[#This Row],[Order_Date]],"YYYY-MM")</f>
        <v>2024-08</v>
      </c>
    </row>
    <row r="3649" spans="1:29">
      <c r="A3649" t="s">
        <v>8519</v>
      </c>
      <c r="B3649" s="1">
        <v>45408</v>
      </c>
      <c r="C3649" t="s">
        <v>1875</v>
      </c>
      <c r="D3649" t="s">
        <v>445</v>
      </c>
      <c r="E3649">
        <v>115</v>
      </c>
      <c r="F3649" t="s">
        <v>8520</v>
      </c>
      <c r="G3649">
        <v>115</v>
      </c>
      <c r="H3649">
        <v>791.35360000000003</v>
      </c>
      <c r="N3649">
        <v>791.35360000000003</v>
      </c>
      <c r="O3649" s="1">
        <v>45097</v>
      </c>
      <c r="P3649">
        <f>IF(ISBLANK(ReconciliationData[[#This Row],[Invoice_ID]]),1,0)</f>
        <v>0</v>
      </c>
      <c r="Q3649">
        <f>IF(AND(NOT(ISBLANK(ReconciliationData[[#This Row],[Billed_Units]])),ReconciliationData[[#This Row],[ordered_units]]&lt;&gt;ReconciliationData[[#This Row],[Billed_Units]]),1,0)</f>
        <v>0</v>
      </c>
      <c r="R36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49">
        <f>IF(AND(NOT(ISBLANK(ReconciliationData[[#This Row],[Contract_Price]])),ReconciliationData[[#This Row],[Billed_Price]]&lt;&gt;ReconciliationData[[#This Row],[Contract_Price]]),1,0)</f>
        <v>0</v>
      </c>
      <c r="T3649">
        <f>IF(AND(NOT(ISBLANK(ReconciliationData[[#This Row],[End_Date]])),ReconciliationData[[#This Row],[Order_Date]]&gt;ReconciliationData[[#This Row],[End_Date]]),1,0)</f>
        <v>0</v>
      </c>
      <c r="U3649">
        <f>IF(AND(NOT(ISBLANK(ReconciliationData[[#This Row],[last_return_date]])),ReconciliationData[[#This Row],[last_return_date]]&gt;ReconciliationData[[#This Row],[Order_Date]]+60),1,0)</f>
        <v>0</v>
      </c>
      <c r="V3649">
        <f>IF(ReconciliationData[[#This Row],[total_returned_units]]&gt;ReconciliationData[[#This Row],[ordered_units]],1,0)</f>
        <v>0</v>
      </c>
      <c r="W36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49">
        <f>ReconciliationData[[#This Row],[Billed_Units]]*ReconciliationData[[#This Row],[Billed_Price]]</f>
        <v>91005.664000000004</v>
      </c>
      <c r="Y3649">
        <f>ReconciliationData[[#This Row],[ordered_units]]*ReconciliationData[[#This Row],[List_Price]]</f>
        <v>91005.664000000004</v>
      </c>
      <c r="Z3649">
        <f>ReconciliationData[[#This Row],[billed_revenue]]-ReconciliationData[[#This Row],[expected_revenue]]</f>
        <v>0</v>
      </c>
      <c r="AA36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49" t="str">
        <f>IF(ReconciliationData[[#This Row],[severity_score]]=0,"LOW",
 IF(ReconciliationData[[#This Row],[severity_score]]&lt;=5,"MEDIUM","HIGH"))</f>
        <v>LOW</v>
      </c>
      <c r="AC3649" t="str">
        <f>TEXT(ReconciliationData[[#This Row],[Order_Date]],"YYYY-MM")</f>
        <v>2024-04</v>
      </c>
    </row>
    <row r="3650" spans="1:29">
      <c r="A3650" t="s">
        <v>8521</v>
      </c>
      <c r="B3650" s="1">
        <v>45254</v>
      </c>
      <c r="C3650" t="s">
        <v>1202</v>
      </c>
      <c r="D3650" t="s">
        <v>321</v>
      </c>
      <c r="E3650">
        <v>199</v>
      </c>
      <c r="F3650" t="s">
        <v>8522</v>
      </c>
      <c r="G3650">
        <v>199</v>
      </c>
      <c r="H3650">
        <v>169.22900000000001</v>
      </c>
      <c r="N3650">
        <v>169.22900000000001</v>
      </c>
      <c r="O3650" s="1">
        <v>45039</v>
      </c>
      <c r="P3650">
        <f>IF(ISBLANK(ReconciliationData[[#This Row],[Invoice_ID]]),1,0)</f>
        <v>0</v>
      </c>
      <c r="Q3650">
        <f>IF(AND(NOT(ISBLANK(ReconciliationData[[#This Row],[Billed_Units]])),ReconciliationData[[#This Row],[ordered_units]]&lt;&gt;ReconciliationData[[#This Row],[Billed_Units]]),1,0)</f>
        <v>0</v>
      </c>
      <c r="R36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50">
        <f>IF(AND(NOT(ISBLANK(ReconciliationData[[#This Row],[Contract_Price]])),ReconciliationData[[#This Row],[Billed_Price]]&lt;&gt;ReconciliationData[[#This Row],[Contract_Price]]),1,0)</f>
        <v>0</v>
      </c>
      <c r="T3650">
        <f>IF(AND(NOT(ISBLANK(ReconciliationData[[#This Row],[End_Date]])),ReconciliationData[[#This Row],[Order_Date]]&gt;ReconciliationData[[#This Row],[End_Date]]),1,0)</f>
        <v>0</v>
      </c>
      <c r="U3650">
        <f>IF(AND(NOT(ISBLANK(ReconciliationData[[#This Row],[last_return_date]])),ReconciliationData[[#This Row],[last_return_date]]&gt;ReconciliationData[[#This Row],[Order_Date]]+60),1,0)</f>
        <v>0</v>
      </c>
      <c r="V3650">
        <f>IF(ReconciliationData[[#This Row],[total_returned_units]]&gt;ReconciliationData[[#This Row],[ordered_units]],1,0)</f>
        <v>0</v>
      </c>
      <c r="W36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50">
        <f>ReconciliationData[[#This Row],[Billed_Units]]*ReconciliationData[[#This Row],[Billed_Price]]</f>
        <v>33676.571000000004</v>
      </c>
      <c r="Y3650">
        <f>ReconciliationData[[#This Row],[ordered_units]]*ReconciliationData[[#This Row],[List_Price]]</f>
        <v>33676.571000000004</v>
      </c>
      <c r="Z3650">
        <f>ReconciliationData[[#This Row],[billed_revenue]]-ReconciliationData[[#This Row],[expected_revenue]]</f>
        <v>0</v>
      </c>
      <c r="AA36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50" t="str">
        <f>IF(ReconciliationData[[#This Row],[severity_score]]=0,"LOW",
 IF(ReconciliationData[[#This Row],[severity_score]]&lt;=5,"MEDIUM","HIGH"))</f>
        <v>LOW</v>
      </c>
      <c r="AC3650" t="str">
        <f>TEXT(ReconciliationData[[#This Row],[Order_Date]],"YYYY-MM")</f>
        <v>2023-11</v>
      </c>
    </row>
    <row r="3651" spans="1:29">
      <c r="A3651" t="s">
        <v>8523</v>
      </c>
      <c r="B3651" s="1">
        <v>45142</v>
      </c>
      <c r="C3651" t="s">
        <v>3687</v>
      </c>
      <c r="D3651" t="s">
        <v>309</v>
      </c>
      <c r="E3651">
        <v>27</v>
      </c>
      <c r="F3651" t="s">
        <v>8524</v>
      </c>
      <c r="G3651">
        <v>27</v>
      </c>
      <c r="H3651">
        <v>946.74860000000001</v>
      </c>
      <c r="N3651">
        <v>946.74860000000001</v>
      </c>
      <c r="O3651" s="1">
        <v>45038</v>
      </c>
      <c r="P3651">
        <f>IF(ISBLANK(ReconciliationData[[#This Row],[Invoice_ID]]),1,0)</f>
        <v>0</v>
      </c>
      <c r="Q3651">
        <f>IF(AND(NOT(ISBLANK(ReconciliationData[[#This Row],[Billed_Units]])),ReconciliationData[[#This Row],[ordered_units]]&lt;&gt;ReconciliationData[[#This Row],[Billed_Units]]),1,0)</f>
        <v>0</v>
      </c>
      <c r="R36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51">
        <f>IF(AND(NOT(ISBLANK(ReconciliationData[[#This Row],[Contract_Price]])),ReconciliationData[[#This Row],[Billed_Price]]&lt;&gt;ReconciliationData[[#This Row],[Contract_Price]]),1,0)</f>
        <v>0</v>
      </c>
      <c r="T3651">
        <f>IF(AND(NOT(ISBLANK(ReconciliationData[[#This Row],[End_Date]])),ReconciliationData[[#This Row],[Order_Date]]&gt;ReconciliationData[[#This Row],[End_Date]]),1,0)</f>
        <v>0</v>
      </c>
      <c r="U3651">
        <f>IF(AND(NOT(ISBLANK(ReconciliationData[[#This Row],[last_return_date]])),ReconciliationData[[#This Row],[last_return_date]]&gt;ReconciliationData[[#This Row],[Order_Date]]+60),1,0)</f>
        <v>0</v>
      </c>
      <c r="V3651">
        <f>IF(ReconciliationData[[#This Row],[total_returned_units]]&gt;ReconciliationData[[#This Row],[ordered_units]],1,0)</f>
        <v>0</v>
      </c>
      <c r="W36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51">
        <f>ReconciliationData[[#This Row],[Billed_Units]]*ReconciliationData[[#This Row],[Billed_Price]]</f>
        <v>25562.212200000002</v>
      </c>
      <c r="Y3651">
        <f>ReconciliationData[[#This Row],[ordered_units]]*ReconciliationData[[#This Row],[List_Price]]</f>
        <v>25562.212200000002</v>
      </c>
      <c r="Z3651">
        <f>ReconciliationData[[#This Row],[billed_revenue]]-ReconciliationData[[#This Row],[expected_revenue]]</f>
        <v>0</v>
      </c>
      <c r="AA36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51" t="str">
        <f>IF(ReconciliationData[[#This Row],[severity_score]]=0,"LOW",
 IF(ReconciliationData[[#This Row],[severity_score]]&lt;=5,"MEDIUM","HIGH"))</f>
        <v>LOW</v>
      </c>
      <c r="AC3651" t="str">
        <f>TEXT(ReconciliationData[[#This Row],[Order_Date]],"YYYY-MM")</f>
        <v>2023-08</v>
      </c>
    </row>
    <row r="3652" spans="1:29">
      <c r="A3652" t="s">
        <v>8525</v>
      </c>
      <c r="B3652" s="1">
        <v>45607</v>
      </c>
      <c r="C3652" t="s">
        <v>4117</v>
      </c>
      <c r="D3652" t="s">
        <v>231</v>
      </c>
      <c r="E3652">
        <v>75</v>
      </c>
      <c r="F3652" t="s">
        <v>8526</v>
      </c>
      <c r="G3652">
        <v>75</v>
      </c>
      <c r="H3652">
        <v>77.398200000000003</v>
      </c>
      <c r="N3652">
        <v>77.398200000000003</v>
      </c>
      <c r="O3652" s="1">
        <v>45032</v>
      </c>
      <c r="P3652">
        <f>IF(ISBLANK(ReconciliationData[[#This Row],[Invoice_ID]]),1,0)</f>
        <v>0</v>
      </c>
      <c r="Q3652">
        <f>IF(AND(NOT(ISBLANK(ReconciliationData[[#This Row],[Billed_Units]])),ReconciliationData[[#This Row],[ordered_units]]&lt;&gt;ReconciliationData[[#This Row],[Billed_Units]]),1,0)</f>
        <v>0</v>
      </c>
      <c r="R36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52">
        <f>IF(AND(NOT(ISBLANK(ReconciliationData[[#This Row],[Contract_Price]])),ReconciliationData[[#This Row],[Billed_Price]]&lt;&gt;ReconciliationData[[#This Row],[Contract_Price]]),1,0)</f>
        <v>0</v>
      </c>
      <c r="T3652">
        <f>IF(AND(NOT(ISBLANK(ReconciliationData[[#This Row],[End_Date]])),ReconciliationData[[#This Row],[Order_Date]]&gt;ReconciliationData[[#This Row],[End_Date]]),1,0)</f>
        <v>0</v>
      </c>
      <c r="U3652">
        <f>IF(AND(NOT(ISBLANK(ReconciliationData[[#This Row],[last_return_date]])),ReconciliationData[[#This Row],[last_return_date]]&gt;ReconciliationData[[#This Row],[Order_Date]]+60),1,0)</f>
        <v>0</v>
      </c>
      <c r="V3652">
        <f>IF(ReconciliationData[[#This Row],[total_returned_units]]&gt;ReconciliationData[[#This Row],[ordered_units]],1,0)</f>
        <v>0</v>
      </c>
      <c r="W36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52">
        <f>ReconciliationData[[#This Row],[Billed_Units]]*ReconciliationData[[#This Row],[Billed_Price]]</f>
        <v>5804.8649999999998</v>
      </c>
      <c r="Y3652">
        <f>ReconciliationData[[#This Row],[ordered_units]]*ReconciliationData[[#This Row],[List_Price]]</f>
        <v>5804.8649999999998</v>
      </c>
      <c r="Z3652">
        <f>ReconciliationData[[#This Row],[billed_revenue]]-ReconciliationData[[#This Row],[expected_revenue]]</f>
        <v>0</v>
      </c>
      <c r="AA36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52" t="str">
        <f>IF(ReconciliationData[[#This Row],[severity_score]]=0,"LOW",
 IF(ReconciliationData[[#This Row],[severity_score]]&lt;=5,"MEDIUM","HIGH"))</f>
        <v>LOW</v>
      </c>
      <c r="AC3652" t="str">
        <f>TEXT(ReconciliationData[[#This Row],[Order_Date]],"YYYY-MM")</f>
        <v>2024-11</v>
      </c>
    </row>
    <row r="3653" spans="1:29">
      <c r="A3653" t="s">
        <v>8527</v>
      </c>
      <c r="B3653" s="1">
        <v>45085</v>
      </c>
      <c r="C3653" t="s">
        <v>6153</v>
      </c>
      <c r="D3653" t="s">
        <v>1146</v>
      </c>
      <c r="E3653">
        <v>80</v>
      </c>
      <c r="F3653" t="s">
        <v>8528</v>
      </c>
      <c r="G3653">
        <v>80</v>
      </c>
      <c r="H3653">
        <v>427.43</v>
      </c>
      <c r="I3653">
        <v>18</v>
      </c>
      <c r="J3653" s="1">
        <v>45553</v>
      </c>
      <c r="N3653">
        <v>427.43</v>
      </c>
      <c r="O3653" s="1">
        <v>45054</v>
      </c>
      <c r="P3653">
        <f>IF(ISBLANK(ReconciliationData[[#This Row],[Invoice_ID]]),1,0)</f>
        <v>0</v>
      </c>
      <c r="Q3653">
        <f>IF(AND(NOT(ISBLANK(ReconciliationData[[#This Row],[Billed_Units]])),ReconciliationData[[#This Row],[ordered_units]]&lt;&gt;ReconciliationData[[#This Row],[Billed_Units]]),1,0)</f>
        <v>0</v>
      </c>
      <c r="R36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53">
        <f>IF(AND(NOT(ISBLANK(ReconciliationData[[#This Row],[Contract_Price]])),ReconciliationData[[#This Row],[Billed_Price]]&lt;&gt;ReconciliationData[[#This Row],[Contract_Price]]),1,0)</f>
        <v>0</v>
      </c>
      <c r="T3653">
        <f>IF(AND(NOT(ISBLANK(ReconciliationData[[#This Row],[End_Date]])),ReconciliationData[[#This Row],[Order_Date]]&gt;ReconciliationData[[#This Row],[End_Date]]),1,0)</f>
        <v>0</v>
      </c>
      <c r="U3653">
        <f>IF(AND(NOT(ISBLANK(ReconciliationData[[#This Row],[last_return_date]])),ReconciliationData[[#This Row],[last_return_date]]&gt;ReconciliationData[[#This Row],[Order_Date]]+60),1,0)</f>
        <v>1</v>
      </c>
      <c r="V3653">
        <f>IF(ReconciliationData[[#This Row],[total_returned_units]]&gt;ReconciliationData[[#This Row],[ordered_units]],1,0)</f>
        <v>0</v>
      </c>
      <c r="W36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53">
        <f>ReconciliationData[[#This Row],[Billed_Units]]*ReconciliationData[[#This Row],[Billed_Price]]</f>
        <v>34194.400000000001</v>
      </c>
      <c r="Y3653">
        <f>ReconciliationData[[#This Row],[ordered_units]]*ReconciliationData[[#This Row],[List_Price]]</f>
        <v>34194.400000000001</v>
      </c>
      <c r="Z3653">
        <f>ReconciliationData[[#This Row],[billed_revenue]]-ReconciliationData[[#This Row],[expected_revenue]]</f>
        <v>0</v>
      </c>
      <c r="AA36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653" t="str">
        <f>IF(ReconciliationData[[#This Row],[severity_score]]=0,"LOW",
 IF(ReconciliationData[[#This Row],[severity_score]]&lt;=5,"MEDIUM","HIGH"))</f>
        <v>MEDIUM</v>
      </c>
      <c r="AC3653" t="str">
        <f>TEXT(ReconciliationData[[#This Row],[Order_Date]],"YYYY-MM")</f>
        <v>2023-06</v>
      </c>
    </row>
    <row r="3654" spans="1:29">
      <c r="A3654" t="s">
        <v>8529</v>
      </c>
      <c r="B3654" s="1">
        <v>45430</v>
      </c>
      <c r="C3654" t="s">
        <v>2899</v>
      </c>
      <c r="D3654" t="s">
        <v>283</v>
      </c>
      <c r="E3654">
        <v>71</v>
      </c>
      <c r="F3654" t="s">
        <v>8530</v>
      </c>
      <c r="G3654">
        <v>71</v>
      </c>
      <c r="H3654">
        <v>415.8210697880092</v>
      </c>
      <c r="N3654">
        <v>415.70589999999999</v>
      </c>
      <c r="O3654" s="1">
        <v>44989</v>
      </c>
      <c r="P3654">
        <f>IF(ISBLANK(ReconciliationData[[#This Row],[Invoice_ID]]),1,0)</f>
        <v>0</v>
      </c>
      <c r="Q3654">
        <f>IF(AND(NOT(ISBLANK(ReconciliationData[[#This Row],[Billed_Units]])),ReconciliationData[[#This Row],[ordered_units]]&lt;&gt;ReconciliationData[[#This Row],[Billed_Units]]),1,0)</f>
        <v>0</v>
      </c>
      <c r="R365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654">
        <f>IF(AND(NOT(ISBLANK(ReconciliationData[[#This Row],[Contract_Price]])),ReconciliationData[[#This Row],[Billed_Price]]&lt;&gt;ReconciliationData[[#This Row],[Contract_Price]]),1,0)</f>
        <v>0</v>
      </c>
      <c r="T3654">
        <f>IF(AND(NOT(ISBLANK(ReconciliationData[[#This Row],[End_Date]])),ReconciliationData[[#This Row],[Order_Date]]&gt;ReconciliationData[[#This Row],[End_Date]]),1,0)</f>
        <v>0</v>
      </c>
      <c r="U3654">
        <f>IF(AND(NOT(ISBLANK(ReconciliationData[[#This Row],[last_return_date]])),ReconciliationData[[#This Row],[last_return_date]]&gt;ReconciliationData[[#This Row],[Order_Date]]+60),1,0)</f>
        <v>0</v>
      </c>
      <c r="V3654">
        <f>IF(ReconciliationData[[#This Row],[total_returned_units]]&gt;ReconciliationData[[#This Row],[ordered_units]],1,0)</f>
        <v>0</v>
      </c>
      <c r="W36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54">
        <f>ReconciliationData[[#This Row],[Billed_Units]]*ReconciliationData[[#This Row],[Billed_Price]]</f>
        <v>29523.295954948651</v>
      </c>
      <c r="Y3654">
        <f>ReconciliationData[[#This Row],[ordered_units]]*ReconciliationData[[#This Row],[List_Price]]</f>
        <v>29515.118899999998</v>
      </c>
      <c r="Z3654">
        <f>ReconciliationData[[#This Row],[billed_revenue]]-ReconciliationData[[#This Row],[expected_revenue]]</f>
        <v>8.1770549486536765</v>
      </c>
      <c r="AA36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654" t="str">
        <f>IF(ReconciliationData[[#This Row],[severity_score]]=0,"LOW",
 IF(ReconciliationData[[#This Row],[severity_score]]&lt;=5,"MEDIUM","HIGH"))</f>
        <v>MEDIUM</v>
      </c>
      <c r="AC3654" t="str">
        <f>TEXT(ReconciliationData[[#This Row],[Order_Date]],"YYYY-MM")</f>
        <v>2024-05</v>
      </c>
    </row>
    <row r="3655" spans="1:29">
      <c r="A3655" t="s">
        <v>8531</v>
      </c>
      <c r="B3655" s="1">
        <v>45283</v>
      </c>
      <c r="C3655" t="s">
        <v>1111</v>
      </c>
      <c r="D3655" t="s">
        <v>2471</v>
      </c>
      <c r="E3655">
        <v>27</v>
      </c>
      <c r="F3655" t="s">
        <v>8532</v>
      </c>
      <c r="G3655">
        <v>27</v>
      </c>
      <c r="H3655">
        <v>1066.4874</v>
      </c>
      <c r="N3655">
        <v>1066.4874</v>
      </c>
      <c r="O3655" s="1">
        <v>45077</v>
      </c>
      <c r="P3655">
        <f>IF(ISBLANK(ReconciliationData[[#This Row],[Invoice_ID]]),1,0)</f>
        <v>0</v>
      </c>
      <c r="Q3655">
        <f>IF(AND(NOT(ISBLANK(ReconciliationData[[#This Row],[Billed_Units]])),ReconciliationData[[#This Row],[ordered_units]]&lt;&gt;ReconciliationData[[#This Row],[Billed_Units]]),1,0)</f>
        <v>0</v>
      </c>
      <c r="R36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55">
        <f>IF(AND(NOT(ISBLANK(ReconciliationData[[#This Row],[Contract_Price]])),ReconciliationData[[#This Row],[Billed_Price]]&lt;&gt;ReconciliationData[[#This Row],[Contract_Price]]),1,0)</f>
        <v>0</v>
      </c>
      <c r="T3655">
        <f>IF(AND(NOT(ISBLANK(ReconciliationData[[#This Row],[End_Date]])),ReconciliationData[[#This Row],[Order_Date]]&gt;ReconciliationData[[#This Row],[End_Date]]),1,0)</f>
        <v>0</v>
      </c>
      <c r="U3655">
        <f>IF(AND(NOT(ISBLANK(ReconciliationData[[#This Row],[last_return_date]])),ReconciliationData[[#This Row],[last_return_date]]&gt;ReconciliationData[[#This Row],[Order_Date]]+60),1,0)</f>
        <v>0</v>
      </c>
      <c r="V3655">
        <f>IF(ReconciliationData[[#This Row],[total_returned_units]]&gt;ReconciliationData[[#This Row],[ordered_units]],1,0)</f>
        <v>0</v>
      </c>
      <c r="W36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55">
        <f>ReconciliationData[[#This Row],[Billed_Units]]*ReconciliationData[[#This Row],[Billed_Price]]</f>
        <v>28795.159800000001</v>
      </c>
      <c r="Y3655">
        <f>ReconciliationData[[#This Row],[ordered_units]]*ReconciliationData[[#This Row],[List_Price]]</f>
        <v>28795.159800000001</v>
      </c>
      <c r="Z3655">
        <f>ReconciliationData[[#This Row],[billed_revenue]]-ReconciliationData[[#This Row],[expected_revenue]]</f>
        <v>0</v>
      </c>
      <c r="AA36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55" t="str">
        <f>IF(ReconciliationData[[#This Row],[severity_score]]=0,"LOW",
 IF(ReconciliationData[[#This Row],[severity_score]]&lt;=5,"MEDIUM","HIGH"))</f>
        <v>LOW</v>
      </c>
      <c r="AC3655" t="str">
        <f>TEXT(ReconciliationData[[#This Row],[Order_Date]],"YYYY-MM")</f>
        <v>2023-12</v>
      </c>
    </row>
    <row r="3656" spans="1:29">
      <c r="A3656" t="s">
        <v>8533</v>
      </c>
      <c r="B3656" s="1">
        <v>45330</v>
      </c>
      <c r="C3656" t="s">
        <v>3323</v>
      </c>
      <c r="D3656" t="s">
        <v>1886</v>
      </c>
      <c r="E3656">
        <v>44</v>
      </c>
      <c r="F3656" t="s">
        <v>8534</v>
      </c>
      <c r="G3656">
        <v>44</v>
      </c>
      <c r="H3656">
        <v>1092.5376000000001</v>
      </c>
      <c r="N3656">
        <v>1092.5376000000001</v>
      </c>
      <c r="O3656" s="1">
        <v>44996</v>
      </c>
      <c r="P3656">
        <f>IF(ISBLANK(ReconciliationData[[#This Row],[Invoice_ID]]),1,0)</f>
        <v>0</v>
      </c>
      <c r="Q3656">
        <f>IF(AND(NOT(ISBLANK(ReconciliationData[[#This Row],[Billed_Units]])),ReconciliationData[[#This Row],[ordered_units]]&lt;&gt;ReconciliationData[[#This Row],[Billed_Units]]),1,0)</f>
        <v>0</v>
      </c>
      <c r="R36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56">
        <f>IF(AND(NOT(ISBLANK(ReconciliationData[[#This Row],[Contract_Price]])),ReconciliationData[[#This Row],[Billed_Price]]&lt;&gt;ReconciliationData[[#This Row],[Contract_Price]]),1,0)</f>
        <v>0</v>
      </c>
      <c r="T3656">
        <f>IF(AND(NOT(ISBLANK(ReconciliationData[[#This Row],[End_Date]])),ReconciliationData[[#This Row],[Order_Date]]&gt;ReconciliationData[[#This Row],[End_Date]]),1,0)</f>
        <v>0</v>
      </c>
      <c r="U3656">
        <f>IF(AND(NOT(ISBLANK(ReconciliationData[[#This Row],[last_return_date]])),ReconciliationData[[#This Row],[last_return_date]]&gt;ReconciliationData[[#This Row],[Order_Date]]+60),1,0)</f>
        <v>0</v>
      </c>
      <c r="V3656">
        <f>IF(ReconciliationData[[#This Row],[total_returned_units]]&gt;ReconciliationData[[#This Row],[ordered_units]],1,0)</f>
        <v>0</v>
      </c>
      <c r="W36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56">
        <f>ReconciliationData[[#This Row],[Billed_Units]]*ReconciliationData[[#This Row],[Billed_Price]]</f>
        <v>48071.654400000007</v>
      </c>
      <c r="Y3656">
        <f>ReconciliationData[[#This Row],[ordered_units]]*ReconciliationData[[#This Row],[List_Price]]</f>
        <v>48071.654400000007</v>
      </c>
      <c r="Z3656">
        <f>ReconciliationData[[#This Row],[billed_revenue]]-ReconciliationData[[#This Row],[expected_revenue]]</f>
        <v>0</v>
      </c>
      <c r="AA36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56" t="str">
        <f>IF(ReconciliationData[[#This Row],[severity_score]]=0,"LOW",
 IF(ReconciliationData[[#This Row],[severity_score]]&lt;=5,"MEDIUM","HIGH"))</f>
        <v>LOW</v>
      </c>
      <c r="AC3656" t="str">
        <f>TEXT(ReconciliationData[[#This Row],[Order_Date]],"YYYY-MM")</f>
        <v>2024-02</v>
      </c>
    </row>
    <row r="3657" spans="1:29">
      <c r="A3657" t="s">
        <v>8535</v>
      </c>
      <c r="B3657" s="1">
        <v>44963</v>
      </c>
      <c r="C3657" t="s">
        <v>3157</v>
      </c>
      <c r="D3657" t="s">
        <v>345</v>
      </c>
      <c r="E3657">
        <v>29</v>
      </c>
      <c r="F3657" t="s">
        <v>8536</v>
      </c>
      <c r="G3657">
        <v>29</v>
      </c>
      <c r="H3657">
        <v>574.3415</v>
      </c>
      <c r="N3657">
        <v>574.3415</v>
      </c>
      <c r="O3657" s="1">
        <v>44806</v>
      </c>
      <c r="P3657">
        <f>IF(ISBLANK(ReconciliationData[[#This Row],[Invoice_ID]]),1,0)</f>
        <v>0</v>
      </c>
      <c r="Q3657">
        <f>IF(AND(NOT(ISBLANK(ReconciliationData[[#This Row],[Billed_Units]])),ReconciliationData[[#This Row],[ordered_units]]&lt;&gt;ReconciliationData[[#This Row],[Billed_Units]]),1,0)</f>
        <v>0</v>
      </c>
      <c r="R36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57">
        <f>IF(AND(NOT(ISBLANK(ReconciliationData[[#This Row],[Contract_Price]])),ReconciliationData[[#This Row],[Billed_Price]]&lt;&gt;ReconciliationData[[#This Row],[Contract_Price]]),1,0)</f>
        <v>0</v>
      </c>
      <c r="T3657">
        <f>IF(AND(NOT(ISBLANK(ReconciliationData[[#This Row],[End_Date]])),ReconciliationData[[#This Row],[Order_Date]]&gt;ReconciliationData[[#This Row],[End_Date]]),1,0)</f>
        <v>0</v>
      </c>
      <c r="U3657">
        <f>IF(AND(NOT(ISBLANK(ReconciliationData[[#This Row],[last_return_date]])),ReconciliationData[[#This Row],[last_return_date]]&gt;ReconciliationData[[#This Row],[Order_Date]]+60),1,0)</f>
        <v>0</v>
      </c>
      <c r="V3657">
        <f>IF(ReconciliationData[[#This Row],[total_returned_units]]&gt;ReconciliationData[[#This Row],[ordered_units]],1,0)</f>
        <v>0</v>
      </c>
      <c r="W36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57">
        <f>ReconciliationData[[#This Row],[Billed_Units]]*ReconciliationData[[#This Row],[Billed_Price]]</f>
        <v>16655.9035</v>
      </c>
      <c r="Y3657">
        <f>ReconciliationData[[#This Row],[ordered_units]]*ReconciliationData[[#This Row],[List_Price]]</f>
        <v>16655.9035</v>
      </c>
      <c r="Z3657">
        <f>ReconciliationData[[#This Row],[billed_revenue]]-ReconciliationData[[#This Row],[expected_revenue]]</f>
        <v>0</v>
      </c>
      <c r="AA36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57" t="str">
        <f>IF(ReconciliationData[[#This Row],[severity_score]]=0,"LOW",
 IF(ReconciliationData[[#This Row],[severity_score]]&lt;=5,"MEDIUM","HIGH"))</f>
        <v>LOW</v>
      </c>
      <c r="AC3657" t="str">
        <f>TEXT(ReconciliationData[[#This Row],[Order_Date]],"YYYY-MM")</f>
        <v>2023-02</v>
      </c>
    </row>
    <row r="3658" spans="1:29">
      <c r="A3658" t="s">
        <v>8537</v>
      </c>
      <c r="B3658" s="1">
        <v>45532</v>
      </c>
      <c r="C3658" t="s">
        <v>305</v>
      </c>
      <c r="D3658" t="s">
        <v>1142</v>
      </c>
      <c r="E3658">
        <v>100</v>
      </c>
      <c r="F3658" t="s">
        <v>8538</v>
      </c>
      <c r="G3658">
        <v>100</v>
      </c>
      <c r="H3658">
        <v>624.37260000000003</v>
      </c>
      <c r="N3658">
        <v>624.37260000000003</v>
      </c>
      <c r="O3658" s="1">
        <v>44932</v>
      </c>
      <c r="P3658">
        <f>IF(ISBLANK(ReconciliationData[[#This Row],[Invoice_ID]]),1,0)</f>
        <v>0</v>
      </c>
      <c r="Q3658">
        <f>IF(AND(NOT(ISBLANK(ReconciliationData[[#This Row],[Billed_Units]])),ReconciliationData[[#This Row],[ordered_units]]&lt;&gt;ReconciliationData[[#This Row],[Billed_Units]]),1,0)</f>
        <v>0</v>
      </c>
      <c r="R36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58">
        <f>IF(AND(NOT(ISBLANK(ReconciliationData[[#This Row],[Contract_Price]])),ReconciliationData[[#This Row],[Billed_Price]]&lt;&gt;ReconciliationData[[#This Row],[Contract_Price]]),1,0)</f>
        <v>0</v>
      </c>
      <c r="T3658">
        <f>IF(AND(NOT(ISBLANK(ReconciliationData[[#This Row],[End_Date]])),ReconciliationData[[#This Row],[Order_Date]]&gt;ReconciliationData[[#This Row],[End_Date]]),1,0)</f>
        <v>0</v>
      </c>
      <c r="U3658">
        <f>IF(AND(NOT(ISBLANK(ReconciliationData[[#This Row],[last_return_date]])),ReconciliationData[[#This Row],[last_return_date]]&gt;ReconciliationData[[#This Row],[Order_Date]]+60),1,0)</f>
        <v>0</v>
      </c>
      <c r="V3658">
        <f>IF(ReconciliationData[[#This Row],[total_returned_units]]&gt;ReconciliationData[[#This Row],[ordered_units]],1,0)</f>
        <v>0</v>
      </c>
      <c r="W36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58">
        <f>ReconciliationData[[#This Row],[Billed_Units]]*ReconciliationData[[#This Row],[Billed_Price]]</f>
        <v>62437.26</v>
      </c>
      <c r="Y3658">
        <f>ReconciliationData[[#This Row],[ordered_units]]*ReconciliationData[[#This Row],[List_Price]]</f>
        <v>62437.26</v>
      </c>
      <c r="Z3658">
        <f>ReconciliationData[[#This Row],[billed_revenue]]-ReconciliationData[[#This Row],[expected_revenue]]</f>
        <v>0</v>
      </c>
      <c r="AA36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58" t="str">
        <f>IF(ReconciliationData[[#This Row],[severity_score]]=0,"LOW",
 IF(ReconciliationData[[#This Row],[severity_score]]&lt;=5,"MEDIUM","HIGH"))</f>
        <v>LOW</v>
      </c>
      <c r="AC3658" t="str">
        <f>TEXT(ReconciliationData[[#This Row],[Order_Date]],"YYYY-MM")</f>
        <v>2024-08</v>
      </c>
    </row>
    <row r="3659" spans="1:29">
      <c r="A3659" t="s">
        <v>8539</v>
      </c>
      <c r="B3659" s="1">
        <v>45405</v>
      </c>
      <c r="C3659" t="s">
        <v>177</v>
      </c>
      <c r="D3659" t="s">
        <v>4508</v>
      </c>
      <c r="E3659">
        <v>53</v>
      </c>
      <c r="F3659" t="s">
        <v>8540</v>
      </c>
      <c r="G3659">
        <v>53</v>
      </c>
      <c r="H3659">
        <v>750.70520000000022</v>
      </c>
      <c r="N3659">
        <v>750.70520000000022</v>
      </c>
      <c r="O3659" s="1">
        <v>45226</v>
      </c>
      <c r="P3659">
        <f>IF(ISBLANK(ReconciliationData[[#This Row],[Invoice_ID]]),1,0)</f>
        <v>0</v>
      </c>
      <c r="Q3659">
        <f>IF(AND(NOT(ISBLANK(ReconciliationData[[#This Row],[Billed_Units]])),ReconciliationData[[#This Row],[ordered_units]]&lt;&gt;ReconciliationData[[#This Row],[Billed_Units]]),1,0)</f>
        <v>0</v>
      </c>
      <c r="R36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59">
        <f>IF(AND(NOT(ISBLANK(ReconciliationData[[#This Row],[Contract_Price]])),ReconciliationData[[#This Row],[Billed_Price]]&lt;&gt;ReconciliationData[[#This Row],[Contract_Price]]),1,0)</f>
        <v>0</v>
      </c>
      <c r="T3659">
        <f>IF(AND(NOT(ISBLANK(ReconciliationData[[#This Row],[End_Date]])),ReconciliationData[[#This Row],[Order_Date]]&gt;ReconciliationData[[#This Row],[End_Date]]),1,0)</f>
        <v>0</v>
      </c>
      <c r="U3659">
        <f>IF(AND(NOT(ISBLANK(ReconciliationData[[#This Row],[last_return_date]])),ReconciliationData[[#This Row],[last_return_date]]&gt;ReconciliationData[[#This Row],[Order_Date]]+60),1,0)</f>
        <v>0</v>
      </c>
      <c r="V3659">
        <f>IF(ReconciliationData[[#This Row],[total_returned_units]]&gt;ReconciliationData[[#This Row],[ordered_units]],1,0)</f>
        <v>0</v>
      </c>
      <c r="W36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59">
        <f>ReconciliationData[[#This Row],[Billed_Units]]*ReconciliationData[[#This Row],[Billed_Price]]</f>
        <v>39787.375600000014</v>
      </c>
      <c r="Y3659">
        <f>ReconciliationData[[#This Row],[ordered_units]]*ReconciliationData[[#This Row],[List_Price]]</f>
        <v>39787.375600000014</v>
      </c>
      <c r="Z3659">
        <f>ReconciliationData[[#This Row],[billed_revenue]]-ReconciliationData[[#This Row],[expected_revenue]]</f>
        <v>0</v>
      </c>
      <c r="AA36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59" t="str">
        <f>IF(ReconciliationData[[#This Row],[severity_score]]=0,"LOW",
 IF(ReconciliationData[[#This Row],[severity_score]]&lt;=5,"MEDIUM","HIGH"))</f>
        <v>LOW</v>
      </c>
      <c r="AC3659" t="str">
        <f>TEXT(ReconciliationData[[#This Row],[Order_Date]],"YYYY-MM")</f>
        <v>2024-04</v>
      </c>
    </row>
    <row r="3660" spans="1:29">
      <c r="A3660" t="s">
        <v>8541</v>
      </c>
      <c r="B3660" s="1">
        <v>45306</v>
      </c>
      <c r="C3660" t="s">
        <v>623</v>
      </c>
      <c r="D3660" t="s">
        <v>457</v>
      </c>
      <c r="E3660">
        <v>45</v>
      </c>
      <c r="F3660" t="s">
        <v>8542</v>
      </c>
      <c r="G3660">
        <v>45</v>
      </c>
      <c r="H3660">
        <v>492.38400000000001</v>
      </c>
      <c r="N3660">
        <v>492.38400000000001</v>
      </c>
      <c r="O3660" s="1">
        <v>44966</v>
      </c>
      <c r="P3660">
        <f>IF(ISBLANK(ReconciliationData[[#This Row],[Invoice_ID]]),1,0)</f>
        <v>0</v>
      </c>
      <c r="Q3660">
        <f>IF(AND(NOT(ISBLANK(ReconciliationData[[#This Row],[Billed_Units]])),ReconciliationData[[#This Row],[ordered_units]]&lt;&gt;ReconciliationData[[#This Row],[Billed_Units]]),1,0)</f>
        <v>0</v>
      </c>
      <c r="R36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0">
        <f>IF(AND(NOT(ISBLANK(ReconciliationData[[#This Row],[Contract_Price]])),ReconciliationData[[#This Row],[Billed_Price]]&lt;&gt;ReconciliationData[[#This Row],[Contract_Price]]),1,0)</f>
        <v>0</v>
      </c>
      <c r="T3660">
        <f>IF(AND(NOT(ISBLANK(ReconciliationData[[#This Row],[End_Date]])),ReconciliationData[[#This Row],[Order_Date]]&gt;ReconciliationData[[#This Row],[End_Date]]),1,0)</f>
        <v>0</v>
      </c>
      <c r="U3660">
        <f>IF(AND(NOT(ISBLANK(ReconciliationData[[#This Row],[last_return_date]])),ReconciliationData[[#This Row],[last_return_date]]&gt;ReconciliationData[[#This Row],[Order_Date]]+60),1,0)</f>
        <v>0</v>
      </c>
      <c r="V3660">
        <f>IF(ReconciliationData[[#This Row],[total_returned_units]]&gt;ReconciliationData[[#This Row],[ordered_units]],1,0)</f>
        <v>0</v>
      </c>
      <c r="W36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60">
        <f>ReconciliationData[[#This Row],[Billed_Units]]*ReconciliationData[[#This Row],[Billed_Price]]</f>
        <v>22157.279999999999</v>
      </c>
      <c r="Y3660">
        <f>ReconciliationData[[#This Row],[ordered_units]]*ReconciliationData[[#This Row],[List_Price]]</f>
        <v>22157.279999999999</v>
      </c>
      <c r="Z3660">
        <f>ReconciliationData[[#This Row],[billed_revenue]]-ReconciliationData[[#This Row],[expected_revenue]]</f>
        <v>0</v>
      </c>
      <c r="AA36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60" t="str">
        <f>IF(ReconciliationData[[#This Row],[severity_score]]=0,"LOW",
 IF(ReconciliationData[[#This Row],[severity_score]]&lt;=5,"MEDIUM","HIGH"))</f>
        <v>LOW</v>
      </c>
      <c r="AC3660" t="str">
        <f>TEXT(ReconciliationData[[#This Row],[Order_Date]],"YYYY-MM")</f>
        <v>2024-01</v>
      </c>
    </row>
    <row r="3661" spans="1:29">
      <c r="A3661" t="s">
        <v>8543</v>
      </c>
      <c r="B3661" s="1">
        <v>44973</v>
      </c>
      <c r="C3661" t="s">
        <v>2819</v>
      </c>
      <c r="D3661" t="s">
        <v>445</v>
      </c>
      <c r="E3661">
        <v>39</v>
      </c>
      <c r="F3661" t="s">
        <v>8544</v>
      </c>
      <c r="G3661">
        <v>39</v>
      </c>
      <c r="H3661">
        <v>754.02560000000005</v>
      </c>
      <c r="N3661">
        <v>754.02560000000005</v>
      </c>
      <c r="O3661" s="1">
        <v>44949</v>
      </c>
      <c r="P3661">
        <f>IF(ISBLANK(ReconciliationData[[#This Row],[Invoice_ID]]),1,0)</f>
        <v>0</v>
      </c>
      <c r="Q3661">
        <f>IF(AND(NOT(ISBLANK(ReconciliationData[[#This Row],[Billed_Units]])),ReconciliationData[[#This Row],[ordered_units]]&lt;&gt;ReconciliationData[[#This Row],[Billed_Units]]),1,0)</f>
        <v>0</v>
      </c>
      <c r="R36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1">
        <f>IF(AND(NOT(ISBLANK(ReconciliationData[[#This Row],[Contract_Price]])),ReconciliationData[[#This Row],[Billed_Price]]&lt;&gt;ReconciliationData[[#This Row],[Contract_Price]]),1,0)</f>
        <v>0</v>
      </c>
      <c r="T3661">
        <f>IF(AND(NOT(ISBLANK(ReconciliationData[[#This Row],[End_Date]])),ReconciliationData[[#This Row],[Order_Date]]&gt;ReconciliationData[[#This Row],[End_Date]]),1,0)</f>
        <v>0</v>
      </c>
      <c r="U3661">
        <f>IF(AND(NOT(ISBLANK(ReconciliationData[[#This Row],[last_return_date]])),ReconciliationData[[#This Row],[last_return_date]]&gt;ReconciliationData[[#This Row],[Order_Date]]+60),1,0)</f>
        <v>0</v>
      </c>
      <c r="V3661">
        <f>IF(ReconciliationData[[#This Row],[total_returned_units]]&gt;ReconciliationData[[#This Row],[ordered_units]],1,0)</f>
        <v>0</v>
      </c>
      <c r="W36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61">
        <f>ReconciliationData[[#This Row],[Billed_Units]]*ReconciliationData[[#This Row],[Billed_Price]]</f>
        <v>29406.9984</v>
      </c>
      <c r="Y3661">
        <f>ReconciliationData[[#This Row],[ordered_units]]*ReconciliationData[[#This Row],[List_Price]]</f>
        <v>29406.9984</v>
      </c>
      <c r="Z3661">
        <f>ReconciliationData[[#This Row],[billed_revenue]]-ReconciliationData[[#This Row],[expected_revenue]]</f>
        <v>0</v>
      </c>
      <c r="AA36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61" t="str">
        <f>IF(ReconciliationData[[#This Row],[severity_score]]=0,"LOW",
 IF(ReconciliationData[[#This Row],[severity_score]]&lt;=5,"MEDIUM","HIGH"))</f>
        <v>LOW</v>
      </c>
      <c r="AC3661" t="str">
        <f>TEXT(ReconciliationData[[#This Row],[Order_Date]],"YYYY-MM")</f>
        <v>2023-02</v>
      </c>
    </row>
    <row r="3662" spans="1:29">
      <c r="A3662" t="s">
        <v>8545</v>
      </c>
      <c r="B3662" s="1">
        <v>45236</v>
      </c>
      <c r="C3662" t="s">
        <v>1851</v>
      </c>
      <c r="D3662" t="s">
        <v>2563</v>
      </c>
      <c r="E3662">
        <v>125</v>
      </c>
      <c r="F3662" t="s">
        <v>8546</v>
      </c>
      <c r="G3662">
        <v>125</v>
      </c>
      <c r="H3662">
        <v>312.56310000000002</v>
      </c>
      <c r="N3662">
        <v>312.56310000000002</v>
      </c>
      <c r="O3662" s="1">
        <v>45028</v>
      </c>
      <c r="P3662">
        <f>IF(ISBLANK(ReconciliationData[[#This Row],[Invoice_ID]]),1,0)</f>
        <v>0</v>
      </c>
      <c r="Q3662">
        <f>IF(AND(NOT(ISBLANK(ReconciliationData[[#This Row],[Billed_Units]])),ReconciliationData[[#This Row],[ordered_units]]&lt;&gt;ReconciliationData[[#This Row],[Billed_Units]]),1,0)</f>
        <v>0</v>
      </c>
      <c r="R36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2">
        <f>IF(AND(NOT(ISBLANK(ReconciliationData[[#This Row],[Contract_Price]])),ReconciliationData[[#This Row],[Billed_Price]]&lt;&gt;ReconciliationData[[#This Row],[Contract_Price]]),1,0)</f>
        <v>0</v>
      </c>
      <c r="T3662">
        <f>IF(AND(NOT(ISBLANK(ReconciliationData[[#This Row],[End_Date]])),ReconciliationData[[#This Row],[Order_Date]]&gt;ReconciliationData[[#This Row],[End_Date]]),1,0)</f>
        <v>0</v>
      </c>
      <c r="U3662">
        <f>IF(AND(NOT(ISBLANK(ReconciliationData[[#This Row],[last_return_date]])),ReconciliationData[[#This Row],[last_return_date]]&gt;ReconciliationData[[#This Row],[Order_Date]]+60),1,0)</f>
        <v>0</v>
      </c>
      <c r="V3662">
        <f>IF(ReconciliationData[[#This Row],[total_returned_units]]&gt;ReconciliationData[[#This Row],[ordered_units]],1,0)</f>
        <v>0</v>
      </c>
      <c r="W36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62">
        <f>ReconciliationData[[#This Row],[Billed_Units]]*ReconciliationData[[#This Row],[Billed_Price]]</f>
        <v>39070.387500000004</v>
      </c>
      <c r="Y3662">
        <f>ReconciliationData[[#This Row],[ordered_units]]*ReconciliationData[[#This Row],[List_Price]]</f>
        <v>39070.387500000004</v>
      </c>
      <c r="Z3662">
        <f>ReconciliationData[[#This Row],[billed_revenue]]-ReconciliationData[[#This Row],[expected_revenue]]</f>
        <v>0</v>
      </c>
      <c r="AA36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62" t="str">
        <f>IF(ReconciliationData[[#This Row],[severity_score]]=0,"LOW",
 IF(ReconciliationData[[#This Row],[severity_score]]&lt;=5,"MEDIUM","HIGH"))</f>
        <v>LOW</v>
      </c>
      <c r="AC3662" t="str">
        <f>TEXT(ReconciliationData[[#This Row],[Order_Date]],"YYYY-MM")</f>
        <v>2023-11</v>
      </c>
    </row>
    <row r="3663" spans="1:29">
      <c r="A3663" t="s">
        <v>8547</v>
      </c>
      <c r="B3663" s="1">
        <v>45575</v>
      </c>
      <c r="C3663" t="s">
        <v>6612</v>
      </c>
      <c r="D3663" t="s">
        <v>1449</v>
      </c>
      <c r="E3663">
        <v>140</v>
      </c>
      <c r="F3663" t="s">
        <v>8548</v>
      </c>
      <c r="G3663">
        <v>140</v>
      </c>
      <c r="H3663">
        <v>960.85850000000005</v>
      </c>
      <c r="N3663">
        <v>960.85850000000005</v>
      </c>
      <c r="O3663" s="1">
        <v>45049</v>
      </c>
      <c r="P3663">
        <f>IF(ISBLANK(ReconciliationData[[#This Row],[Invoice_ID]]),1,0)</f>
        <v>0</v>
      </c>
      <c r="Q3663">
        <f>IF(AND(NOT(ISBLANK(ReconciliationData[[#This Row],[Billed_Units]])),ReconciliationData[[#This Row],[ordered_units]]&lt;&gt;ReconciliationData[[#This Row],[Billed_Units]]),1,0)</f>
        <v>0</v>
      </c>
      <c r="R36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3">
        <f>IF(AND(NOT(ISBLANK(ReconciliationData[[#This Row],[Contract_Price]])),ReconciliationData[[#This Row],[Billed_Price]]&lt;&gt;ReconciliationData[[#This Row],[Contract_Price]]),1,0)</f>
        <v>0</v>
      </c>
      <c r="T3663">
        <f>IF(AND(NOT(ISBLANK(ReconciliationData[[#This Row],[End_Date]])),ReconciliationData[[#This Row],[Order_Date]]&gt;ReconciliationData[[#This Row],[End_Date]]),1,0)</f>
        <v>0</v>
      </c>
      <c r="U3663">
        <f>IF(AND(NOT(ISBLANK(ReconciliationData[[#This Row],[last_return_date]])),ReconciliationData[[#This Row],[last_return_date]]&gt;ReconciliationData[[#This Row],[Order_Date]]+60),1,0)</f>
        <v>0</v>
      </c>
      <c r="V3663">
        <f>IF(ReconciliationData[[#This Row],[total_returned_units]]&gt;ReconciliationData[[#This Row],[ordered_units]],1,0)</f>
        <v>0</v>
      </c>
      <c r="W36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63">
        <f>ReconciliationData[[#This Row],[Billed_Units]]*ReconciliationData[[#This Row],[Billed_Price]]</f>
        <v>134520.19</v>
      </c>
      <c r="Y3663">
        <f>ReconciliationData[[#This Row],[ordered_units]]*ReconciliationData[[#This Row],[List_Price]]</f>
        <v>134520.19</v>
      </c>
      <c r="Z3663">
        <f>ReconciliationData[[#This Row],[billed_revenue]]-ReconciliationData[[#This Row],[expected_revenue]]</f>
        <v>0</v>
      </c>
      <c r="AA36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63" t="str">
        <f>IF(ReconciliationData[[#This Row],[severity_score]]=0,"LOW",
 IF(ReconciliationData[[#This Row],[severity_score]]&lt;=5,"MEDIUM","HIGH"))</f>
        <v>LOW</v>
      </c>
      <c r="AC3663" t="str">
        <f>TEXT(ReconciliationData[[#This Row],[Order_Date]],"YYYY-MM")</f>
        <v>2024-10</v>
      </c>
    </row>
    <row r="3664" spans="1:29">
      <c r="A3664" t="s">
        <v>8549</v>
      </c>
      <c r="B3664" s="1">
        <v>45432</v>
      </c>
      <c r="C3664" t="s">
        <v>5315</v>
      </c>
      <c r="D3664" t="s">
        <v>1530</v>
      </c>
      <c r="E3664">
        <v>130</v>
      </c>
      <c r="F3664" t="s">
        <v>8550</v>
      </c>
      <c r="G3664">
        <v>130</v>
      </c>
      <c r="H3664">
        <v>1131.7711000000002</v>
      </c>
      <c r="N3664">
        <v>1131.7711000000002</v>
      </c>
      <c r="O3664" s="1">
        <v>45048</v>
      </c>
      <c r="P3664">
        <f>IF(ISBLANK(ReconciliationData[[#This Row],[Invoice_ID]]),1,0)</f>
        <v>0</v>
      </c>
      <c r="Q3664">
        <f>IF(AND(NOT(ISBLANK(ReconciliationData[[#This Row],[Billed_Units]])),ReconciliationData[[#This Row],[ordered_units]]&lt;&gt;ReconciliationData[[#This Row],[Billed_Units]]),1,0)</f>
        <v>0</v>
      </c>
      <c r="R36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4">
        <f>IF(AND(NOT(ISBLANK(ReconciliationData[[#This Row],[Contract_Price]])),ReconciliationData[[#This Row],[Billed_Price]]&lt;&gt;ReconciliationData[[#This Row],[Contract_Price]]),1,0)</f>
        <v>0</v>
      </c>
      <c r="T3664">
        <f>IF(AND(NOT(ISBLANK(ReconciliationData[[#This Row],[End_Date]])),ReconciliationData[[#This Row],[Order_Date]]&gt;ReconciliationData[[#This Row],[End_Date]]),1,0)</f>
        <v>0</v>
      </c>
      <c r="U3664">
        <f>IF(AND(NOT(ISBLANK(ReconciliationData[[#This Row],[last_return_date]])),ReconciliationData[[#This Row],[last_return_date]]&gt;ReconciliationData[[#This Row],[Order_Date]]+60),1,0)</f>
        <v>0</v>
      </c>
      <c r="V3664">
        <f>IF(ReconciliationData[[#This Row],[total_returned_units]]&gt;ReconciliationData[[#This Row],[ordered_units]],1,0)</f>
        <v>0</v>
      </c>
      <c r="W36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64">
        <f>ReconciliationData[[#This Row],[Billed_Units]]*ReconciliationData[[#This Row],[Billed_Price]]</f>
        <v>147130.24300000002</v>
      </c>
      <c r="Y3664">
        <f>ReconciliationData[[#This Row],[ordered_units]]*ReconciliationData[[#This Row],[List_Price]]</f>
        <v>147130.24300000002</v>
      </c>
      <c r="Z3664">
        <f>ReconciliationData[[#This Row],[billed_revenue]]-ReconciliationData[[#This Row],[expected_revenue]]</f>
        <v>0</v>
      </c>
      <c r="AA36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64" t="str">
        <f>IF(ReconciliationData[[#This Row],[severity_score]]=0,"LOW",
 IF(ReconciliationData[[#This Row],[severity_score]]&lt;=5,"MEDIUM","HIGH"))</f>
        <v>LOW</v>
      </c>
      <c r="AC3664" t="str">
        <f>TEXT(ReconciliationData[[#This Row],[Order_Date]],"YYYY-MM")</f>
        <v>2024-05</v>
      </c>
    </row>
    <row r="3665" spans="1:29">
      <c r="A3665" t="s">
        <v>8551</v>
      </c>
      <c r="B3665" s="1">
        <v>44948</v>
      </c>
      <c r="C3665" t="s">
        <v>2005</v>
      </c>
      <c r="D3665" t="s">
        <v>1886</v>
      </c>
      <c r="E3665">
        <v>116</v>
      </c>
      <c r="F3665" t="s">
        <v>8552</v>
      </c>
      <c r="G3665">
        <v>116</v>
      </c>
      <c r="H3665">
        <v>1138.06</v>
      </c>
      <c r="N3665">
        <v>1138.06</v>
      </c>
      <c r="O3665" s="1">
        <v>44763</v>
      </c>
      <c r="P3665">
        <f>IF(ISBLANK(ReconciliationData[[#This Row],[Invoice_ID]]),1,0)</f>
        <v>0</v>
      </c>
      <c r="Q3665">
        <f>IF(AND(NOT(ISBLANK(ReconciliationData[[#This Row],[Billed_Units]])),ReconciliationData[[#This Row],[ordered_units]]&lt;&gt;ReconciliationData[[#This Row],[Billed_Units]]),1,0)</f>
        <v>0</v>
      </c>
      <c r="R36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5">
        <f>IF(AND(NOT(ISBLANK(ReconciliationData[[#This Row],[Contract_Price]])),ReconciliationData[[#This Row],[Billed_Price]]&lt;&gt;ReconciliationData[[#This Row],[Contract_Price]]),1,0)</f>
        <v>0</v>
      </c>
      <c r="T3665">
        <f>IF(AND(NOT(ISBLANK(ReconciliationData[[#This Row],[End_Date]])),ReconciliationData[[#This Row],[Order_Date]]&gt;ReconciliationData[[#This Row],[End_Date]]),1,0)</f>
        <v>0</v>
      </c>
      <c r="U3665">
        <f>IF(AND(NOT(ISBLANK(ReconciliationData[[#This Row],[last_return_date]])),ReconciliationData[[#This Row],[last_return_date]]&gt;ReconciliationData[[#This Row],[Order_Date]]+60),1,0)</f>
        <v>0</v>
      </c>
      <c r="V3665">
        <f>IF(ReconciliationData[[#This Row],[total_returned_units]]&gt;ReconciliationData[[#This Row],[ordered_units]],1,0)</f>
        <v>0</v>
      </c>
      <c r="W36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65">
        <f>ReconciliationData[[#This Row],[Billed_Units]]*ReconciliationData[[#This Row],[Billed_Price]]</f>
        <v>132014.96</v>
      </c>
      <c r="Y3665">
        <f>ReconciliationData[[#This Row],[ordered_units]]*ReconciliationData[[#This Row],[List_Price]]</f>
        <v>132014.96</v>
      </c>
      <c r="Z3665">
        <f>ReconciliationData[[#This Row],[billed_revenue]]-ReconciliationData[[#This Row],[expected_revenue]]</f>
        <v>0</v>
      </c>
      <c r="AA36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65" t="str">
        <f>IF(ReconciliationData[[#This Row],[severity_score]]=0,"LOW",
 IF(ReconciliationData[[#This Row],[severity_score]]&lt;=5,"MEDIUM","HIGH"))</f>
        <v>LOW</v>
      </c>
      <c r="AC3665" t="str">
        <f>TEXT(ReconciliationData[[#This Row],[Order_Date]],"YYYY-MM")</f>
        <v>2023-01</v>
      </c>
    </row>
    <row r="3666" spans="1:29">
      <c r="A3666" t="s">
        <v>8553</v>
      </c>
      <c r="B3666" s="1">
        <v>45327</v>
      </c>
      <c r="C3666" t="s">
        <v>2104</v>
      </c>
      <c r="D3666" t="s">
        <v>166</v>
      </c>
      <c r="E3666">
        <v>31</v>
      </c>
      <c r="F3666" t="s">
        <v>8554</v>
      </c>
      <c r="G3666">
        <v>31</v>
      </c>
      <c r="H3666">
        <v>376.82319999999999</v>
      </c>
      <c r="N3666">
        <v>376.82319999999999</v>
      </c>
      <c r="O3666" s="1">
        <v>45171</v>
      </c>
      <c r="P3666">
        <f>IF(ISBLANK(ReconciliationData[[#This Row],[Invoice_ID]]),1,0)</f>
        <v>0</v>
      </c>
      <c r="Q3666">
        <f>IF(AND(NOT(ISBLANK(ReconciliationData[[#This Row],[Billed_Units]])),ReconciliationData[[#This Row],[ordered_units]]&lt;&gt;ReconciliationData[[#This Row],[Billed_Units]]),1,0)</f>
        <v>0</v>
      </c>
      <c r="R36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6">
        <f>IF(AND(NOT(ISBLANK(ReconciliationData[[#This Row],[Contract_Price]])),ReconciliationData[[#This Row],[Billed_Price]]&lt;&gt;ReconciliationData[[#This Row],[Contract_Price]]),1,0)</f>
        <v>0</v>
      </c>
      <c r="T3666">
        <f>IF(AND(NOT(ISBLANK(ReconciliationData[[#This Row],[End_Date]])),ReconciliationData[[#This Row],[Order_Date]]&gt;ReconciliationData[[#This Row],[End_Date]]),1,0)</f>
        <v>0</v>
      </c>
      <c r="U3666">
        <f>IF(AND(NOT(ISBLANK(ReconciliationData[[#This Row],[last_return_date]])),ReconciliationData[[#This Row],[last_return_date]]&gt;ReconciliationData[[#This Row],[Order_Date]]+60),1,0)</f>
        <v>0</v>
      </c>
      <c r="V3666">
        <f>IF(ReconciliationData[[#This Row],[total_returned_units]]&gt;ReconciliationData[[#This Row],[ordered_units]],1,0)</f>
        <v>0</v>
      </c>
      <c r="W36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66">
        <f>ReconciliationData[[#This Row],[Billed_Units]]*ReconciliationData[[#This Row],[Billed_Price]]</f>
        <v>11681.519199999999</v>
      </c>
      <c r="Y3666">
        <f>ReconciliationData[[#This Row],[ordered_units]]*ReconciliationData[[#This Row],[List_Price]]</f>
        <v>11681.519199999999</v>
      </c>
      <c r="Z3666">
        <f>ReconciliationData[[#This Row],[billed_revenue]]-ReconciliationData[[#This Row],[expected_revenue]]</f>
        <v>0</v>
      </c>
      <c r="AA36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66" t="str">
        <f>IF(ReconciliationData[[#This Row],[severity_score]]=0,"LOW",
 IF(ReconciliationData[[#This Row],[severity_score]]&lt;=5,"MEDIUM","HIGH"))</f>
        <v>LOW</v>
      </c>
      <c r="AC3666" t="str">
        <f>TEXT(ReconciliationData[[#This Row],[Order_Date]],"YYYY-MM")</f>
        <v>2024-02</v>
      </c>
    </row>
    <row r="3667" spans="1:29">
      <c r="A3667" t="s">
        <v>8555</v>
      </c>
      <c r="B3667" s="1">
        <v>45601</v>
      </c>
      <c r="C3667" t="s">
        <v>400</v>
      </c>
      <c r="D3667" t="s">
        <v>1298</v>
      </c>
      <c r="E3667">
        <v>37</v>
      </c>
      <c r="F3667" t="s">
        <v>8556</v>
      </c>
      <c r="G3667">
        <v>37</v>
      </c>
      <c r="H3667">
        <v>1099.82</v>
      </c>
      <c r="N3667">
        <v>1099.82</v>
      </c>
      <c r="O3667" s="1">
        <v>44962</v>
      </c>
      <c r="P3667">
        <f>IF(ISBLANK(ReconciliationData[[#This Row],[Invoice_ID]]),1,0)</f>
        <v>0</v>
      </c>
      <c r="Q3667">
        <f>IF(AND(NOT(ISBLANK(ReconciliationData[[#This Row],[Billed_Units]])),ReconciliationData[[#This Row],[ordered_units]]&lt;&gt;ReconciliationData[[#This Row],[Billed_Units]]),1,0)</f>
        <v>0</v>
      </c>
      <c r="R36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7">
        <f>IF(AND(NOT(ISBLANK(ReconciliationData[[#This Row],[Contract_Price]])),ReconciliationData[[#This Row],[Billed_Price]]&lt;&gt;ReconciliationData[[#This Row],[Contract_Price]]),1,0)</f>
        <v>0</v>
      </c>
      <c r="T3667">
        <f>IF(AND(NOT(ISBLANK(ReconciliationData[[#This Row],[End_Date]])),ReconciliationData[[#This Row],[Order_Date]]&gt;ReconciliationData[[#This Row],[End_Date]]),1,0)</f>
        <v>0</v>
      </c>
      <c r="U3667">
        <f>IF(AND(NOT(ISBLANK(ReconciliationData[[#This Row],[last_return_date]])),ReconciliationData[[#This Row],[last_return_date]]&gt;ReconciliationData[[#This Row],[Order_Date]]+60),1,0)</f>
        <v>0</v>
      </c>
      <c r="V3667">
        <f>IF(ReconciliationData[[#This Row],[total_returned_units]]&gt;ReconciliationData[[#This Row],[ordered_units]],1,0)</f>
        <v>0</v>
      </c>
      <c r="W36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67">
        <f>ReconciliationData[[#This Row],[Billed_Units]]*ReconciliationData[[#This Row],[Billed_Price]]</f>
        <v>40693.339999999997</v>
      </c>
      <c r="Y3667">
        <f>ReconciliationData[[#This Row],[ordered_units]]*ReconciliationData[[#This Row],[List_Price]]</f>
        <v>40693.339999999997</v>
      </c>
      <c r="Z3667">
        <f>ReconciliationData[[#This Row],[billed_revenue]]-ReconciliationData[[#This Row],[expected_revenue]]</f>
        <v>0</v>
      </c>
      <c r="AA36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67" t="str">
        <f>IF(ReconciliationData[[#This Row],[severity_score]]=0,"LOW",
 IF(ReconciliationData[[#This Row],[severity_score]]&lt;=5,"MEDIUM","HIGH"))</f>
        <v>LOW</v>
      </c>
      <c r="AC3667" t="str">
        <f>TEXT(ReconciliationData[[#This Row],[Order_Date]],"YYYY-MM")</f>
        <v>2024-11</v>
      </c>
    </row>
    <row r="3668" spans="1:29">
      <c r="A3668" t="s">
        <v>8557</v>
      </c>
      <c r="B3668" s="1">
        <v>45163</v>
      </c>
      <c r="C3668" t="s">
        <v>486</v>
      </c>
      <c r="D3668" t="s">
        <v>464</v>
      </c>
      <c r="E3668">
        <v>168</v>
      </c>
      <c r="F3668" t="s">
        <v>8558</v>
      </c>
      <c r="G3668">
        <v>168</v>
      </c>
      <c r="H3668">
        <v>798.14160000000004</v>
      </c>
      <c r="N3668">
        <v>798.14160000000004</v>
      </c>
      <c r="O3668" s="1">
        <v>45149</v>
      </c>
      <c r="P3668">
        <f>IF(ISBLANK(ReconciliationData[[#This Row],[Invoice_ID]]),1,0)</f>
        <v>0</v>
      </c>
      <c r="Q3668">
        <f>IF(AND(NOT(ISBLANK(ReconciliationData[[#This Row],[Billed_Units]])),ReconciliationData[[#This Row],[ordered_units]]&lt;&gt;ReconciliationData[[#This Row],[Billed_Units]]),1,0)</f>
        <v>0</v>
      </c>
      <c r="R36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8">
        <f>IF(AND(NOT(ISBLANK(ReconciliationData[[#This Row],[Contract_Price]])),ReconciliationData[[#This Row],[Billed_Price]]&lt;&gt;ReconciliationData[[#This Row],[Contract_Price]]),1,0)</f>
        <v>0</v>
      </c>
      <c r="T3668">
        <f>IF(AND(NOT(ISBLANK(ReconciliationData[[#This Row],[End_Date]])),ReconciliationData[[#This Row],[Order_Date]]&gt;ReconciliationData[[#This Row],[End_Date]]),1,0)</f>
        <v>0</v>
      </c>
      <c r="U3668">
        <f>IF(AND(NOT(ISBLANK(ReconciliationData[[#This Row],[last_return_date]])),ReconciliationData[[#This Row],[last_return_date]]&gt;ReconciliationData[[#This Row],[Order_Date]]+60),1,0)</f>
        <v>0</v>
      </c>
      <c r="V3668">
        <f>IF(ReconciliationData[[#This Row],[total_returned_units]]&gt;ReconciliationData[[#This Row],[ordered_units]],1,0)</f>
        <v>0</v>
      </c>
      <c r="W36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68">
        <f>ReconciliationData[[#This Row],[Billed_Units]]*ReconciliationData[[#This Row],[Billed_Price]]</f>
        <v>134087.78880000001</v>
      </c>
      <c r="Y3668">
        <f>ReconciliationData[[#This Row],[ordered_units]]*ReconciliationData[[#This Row],[List_Price]]</f>
        <v>134087.78880000001</v>
      </c>
      <c r="Z3668">
        <f>ReconciliationData[[#This Row],[billed_revenue]]-ReconciliationData[[#This Row],[expected_revenue]]</f>
        <v>0</v>
      </c>
      <c r="AA36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68" t="str">
        <f>IF(ReconciliationData[[#This Row],[severity_score]]=0,"LOW",
 IF(ReconciliationData[[#This Row],[severity_score]]&lt;=5,"MEDIUM","HIGH"))</f>
        <v>LOW</v>
      </c>
      <c r="AC3668" t="str">
        <f>TEXT(ReconciliationData[[#This Row],[Order_Date]],"YYYY-MM")</f>
        <v>2023-08</v>
      </c>
    </row>
    <row r="3669" spans="1:29">
      <c r="A3669" t="s">
        <v>8559</v>
      </c>
      <c r="B3669" s="1">
        <v>45461</v>
      </c>
      <c r="C3669" t="s">
        <v>2217</v>
      </c>
      <c r="D3669" t="s">
        <v>2682</v>
      </c>
      <c r="E3669">
        <v>89</v>
      </c>
      <c r="F3669" t="s">
        <v>8560</v>
      </c>
      <c r="G3669">
        <v>89</v>
      </c>
      <c r="H3669">
        <v>1032.7408</v>
      </c>
      <c r="N3669">
        <v>1032.7408</v>
      </c>
      <c r="O3669" s="1">
        <v>45077</v>
      </c>
      <c r="P3669">
        <f>IF(ISBLANK(ReconciliationData[[#This Row],[Invoice_ID]]),1,0)</f>
        <v>0</v>
      </c>
      <c r="Q3669">
        <f>IF(AND(NOT(ISBLANK(ReconciliationData[[#This Row],[Billed_Units]])),ReconciliationData[[#This Row],[ordered_units]]&lt;&gt;ReconciliationData[[#This Row],[Billed_Units]]),1,0)</f>
        <v>0</v>
      </c>
      <c r="R36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69">
        <f>IF(AND(NOT(ISBLANK(ReconciliationData[[#This Row],[Contract_Price]])),ReconciliationData[[#This Row],[Billed_Price]]&lt;&gt;ReconciliationData[[#This Row],[Contract_Price]]),1,0)</f>
        <v>0</v>
      </c>
      <c r="T3669">
        <f>IF(AND(NOT(ISBLANK(ReconciliationData[[#This Row],[End_Date]])),ReconciliationData[[#This Row],[Order_Date]]&gt;ReconciliationData[[#This Row],[End_Date]]),1,0)</f>
        <v>0</v>
      </c>
      <c r="U3669">
        <f>IF(AND(NOT(ISBLANK(ReconciliationData[[#This Row],[last_return_date]])),ReconciliationData[[#This Row],[last_return_date]]&gt;ReconciliationData[[#This Row],[Order_Date]]+60),1,0)</f>
        <v>0</v>
      </c>
      <c r="V3669">
        <f>IF(ReconciliationData[[#This Row],[total_returned_units]]&gt;ReconciliationData[[#This Row],[ordered_units]],1,0)</f>
        <v>0</v>
      </c>
      <c r="W36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69">
        <f>ReconciliationData[[#This Row],[Billed_Units]]*ReconciliationData[[#This Row],[Billed_Price]]</f>
        <v>91913.931200000006</v>
      </c>
      <c r="Y3669">
        <f>ReconciliationData[[#This Row],[ordered_units]]*ReconciliationData[[#This Row],[List_Price]]</f>
        <v>91913.931200000006</v>
      </c>
      <c r="Z3669">
        <f>ReconciliationData[[#This Row],[billed_revenue]]-ReconciliationData[[#This Row],[expected_revenue]]</f>
        <v>0</v>
      </c>
      <c r="AA36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69" t="str">
        <f>IF(ReconciliationData[[#This Row],[severity_score]]=0,"LOW",
 IF(ReconciliationData[[#This Row],[severity_score]]&lt;=5,"MEDIUM","HIGH"))</f>
        <v>LOW</v>
      </c>
      <c r="AC3669" t="str">
        <f>TEXT(ReconciliationData[[#This Row],[Order_Date]],"YYYY-MM")</f>
        <v>2024-06</v>
      </c>
    </row>
    <row r="3670" spans="1:29">
      <c r="A3670" t="s">
        <v>8561</v>
      </c>
      <c r="B3670" s="1">
        <v>45513</v>
      </c>
      <c r="C3670" t="s">
        <v>1053</v>
      </c>
      <c r="D3670" t="s">
        <v>973</v>
      </c>
      <c r="E3670">
        <v>9</v>
      </c>
      <c r="F3670" t="s">
        <v>8562</v>
      </c>
      <c r="G3670">
        <v>9</v>
      </c>
      <c r="H3670">
        <v>156.37459999999999</v>
      </c>
      <c r="N3670">
        <v>156.37459999999999</v>
      </c>
      <c r="O3670" s="1">
        <v>45090</v>
      </c>
      <c r="P3670">
        <f>IF(ISBLANK(ReconciliationData[[#This Row],[Invoice_ID]]),1,0)</f>
        <v>0</v>
      </c>
      <c r="Q3670">
        <f>IF(AND(NOT(ISBLANK(ReconciliationData[[#This Row],[Billed_Units]])),ReconciliationData[[#This Row],[ordered_units]]&lt;&gt;ReconciliationData[[#This Row],[Billed_Units]]),1,0)</f>
        <v>0</v>
      </c>
      <c r="R36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0">
        <f>IF(AND(NOT(ISBLANK(ReconciliationData[[#This Row],[Contract_Price]])),ReconciliationData[[#This Row],[Billed_Price]]&lt;&gt;ReconciliationData[[#This Row],[Contract_Price]]),1,0)</f>
        <v>0</v>
      </c>
      <c r="T3670">
        <f>IF(AND(NOT(ISBLANK(ReconciliationData[[#This Row],[End_Date]])),ReconciliationData[[#This Row],[Order_Date]]&gt;ReconciliationData[[#This Row],[End_Date]]),1,0)</f>
        <v>0</v>
      </c>
      <c r="U3670">
        <f>IF(AND(NOT(ISBLANK(ReconciliationData[[#This Row],[last_return_date]])),ReconciliationData[[#This Row],[last_return_date]]&gt;ReconciliationData[[#This Row],[Order_Date]]+60),1,0)</f>
        <v>0</v>
      </c>
      <c r="V3670">
        <f>IF(ReconciliationData[[#This Row],[total_returned_units]]&gt;ReconciliationData[[#This Row],[ordered_units]],1,0)</f>
        <v>0</v>
      </c>
      <c r="W36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70">
        <f>ReconciliationData[[#This Row],[Billed_Units]]*ReconciliationData[[#This Row],[Billed_Price]]</f>
        <v>1407.3714</v>
      </c>
      <c r="Y3670">
        <f>ReconciliationData[[#This Row],[ordered_units]]*ReconciliationData[[#This Row],[List_Price]]</f>
        <v>1407.3714</v>
      </c>
      <c r="Z3670">
        <f>ReconciliationData[[#This Row],[billed_revenue]]-ReconciliationData[[#This Row],[expected_revenue]]</f>
        <v>0</v>
      </c>
      <c r="AA36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70" t="str">
        <f>IF(ReconciliationData[[#This Row],[severity_score]]=0,"LOW",
 IF(ReconciliationData[[#This Row],[severity_score]]&lt;=5,"MEDIUM","HIGH"))</f>
        <v>LOW</v>
      </c>
      <c r="AC3670" t="str">
        <f>TEXT(ReconciliationData[[#This Row],[Order_Date]],"YYYY-MM")</f>
        <v>2024-08</v>
      </c>
    </row>
    <row r="3671" spans="1:29">
      <c r="A3671" t="s">
        <v>8563</v>
      </c>
      <c r="B3671" s="1">
        <v>45451</v>
      </c>
      <c r="C3671" t="s">
        <v>3157</v>
      </c>
      <c r="D3671" t="s">
        <v>1559</v>
      </c>
      <c r="E3671">
        <v>93</v>
      </c>
      <c r="F3671" t="s">
        <v>8564</v>
      </c>
      <c r="G3671">
        <v>93</v>
      </c>
      <c r="H3671">
        <v>1065.7722000000001</v>
      </c>
      <c r="N3671">
        <v>1065.7722000000001</v>
      </c>
      <c r="O3671" s="1">
        <v>44936</v>
      </c>
      <c r="P3671">
        <f>IF(ISBLANK(ReconciliationData[[#This Row],[Invoice_ID]]),1,0)</f>
        <v>0</v>
      </c>
      <c r="Q3671">
        <f>IF(AND(NOT(ISBLANK(ReconciliationData[[#This Row],[Billed_Units]])),ReconciliationData[[#This Row],[ordered_units]]&lt;&gt;ReconciliationData[[#This Row],[Billed_Units]]),1,0)</f>
        <v>0</v>
      </c>
      <c r="R36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1">
        <f>IF(AND(NOT(ISBLANK(ReconciliationData[[#This Row],[Contract_Price]])),ReconciliationData[[#This Row],[Billed_Price]]&lt;&gt;ReconciliationData[[#This Row],[Contract_Price]]),1,0)</f>
        <v>0</v>
      </c>
      <c r="T3671">
        <f>IF(AND(NOT(ISBLANK(ReconciliationData[[#This Row],[End_Date]])),ReconciliationData[[#This Row],[Order_Date]]&gt;ReconciliationData[[#This Row],[End_Date]]),1,0)</f>
        <v>0</v>
      </c>
      <c r="U3671">
        <f>IF(AND(NOT(ISBLANK(ReconciliationData[[#This Row],[last_return_date]])),ReconciliationData[[#This Row],[last_return_date]]&gt;ReconciliationData[[#This Row],[Order_Date]]+60),1,0)</f>
        <v>0</v>
      </c>
      <c r="V3671">
        <f>IF(ReconciliationData[[#This Row],[total_returned_units]]&gt;ReconciliationData[[#This Row],[ordered_units]],1,0)</f>
        <v>0</v>
      </c>
      <c r="W36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71">
        <f>ReconciliationData[[#This Row],[Billed_Units]]*ReconciliationData[[#This Row],[Billed_Price]]</f>
        <v>99116.814600000012</v>
      </c>
      <c r="Y3671">
        <f>ReconciliationData[[#This Row],[ordered_units]]*ReconciliationData[[#This Row],[List_Price]]</f>
        <v>99116.814600000012</v>
      </c>
      <c r="Z3671">
        <f>ReconciliationData[[#This Row],[billed_revenue]]-ReconciliationData[[#This Row],[expected_revenue]]</f>
        <v>0</v>
      </c>
      <c r="AA36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71" t="str">
        <f>IF(ReconciliationData[[#This Row],[severity_score]]=0,"LOW",
 IF(ReconciliationData[[#This Row],[severity_score]]&lt;=5,"MEDIUM","HIGH"))</f>
        <v>LOW</v>
      </c>
      <c r="AC3671" t="str">
        <f>TEXT(ReconciliationData[[#This Row],[Order_Date]],"YYYY-MM")</f>
        <v>2024-06</v>
      </c>
    </row>
    <row r="3672" spans="1:29">
      <c r="A3672" t="s">
        <v>8565</v>
      </c>
      <c r="B3672" s="1">
        <v>45249</v>
      </c>
      <c r="C3672" t="s">
        <v>4212</v>
      </c>
      <c r="D3672" t="s">
        <v>684</v>
      </c>
      <c r="E3672">
        <v>132</v>
      </c>
      <c r="F3672" t="s">
        <v>8566</v>
      </c>
      <c r="G3672">
        <v>132</v>
      </c>
      <c r="H3672">
        <v>75.620999999999995</v>
      </c>
      <c r="N3672">
        <v>75.620999999999995</v>
      </c>
      <c r="O3672" s="1">
        <v>45108</v>
      </c>
      <c r="P3672">
        <f>IF(ISBLANK(ReconciliationData[[#This Row],[Invoice_ID]]),1,0)</f>
        <v>0</v>
      </c>
      <c r="Q3672">
        <f>IF(AND(NOT(ISBLANK(ReconciliationData[[#This Row],[Billed_Units]])),ReconciliationData[[#This Row],[ordered_units]]&lt;&gt;ReconciliationData[[#This Row],[Billed_Units]]),1,0)</f>
        <v>0</v>
      </c>
      <c r="R36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2">
        <f>IF(AND(NOT(ISBLANK(ReconciliationData[[#This Row],[Contract_Price]])),ReconciliationData[[#This Row],[Billed_Price]]&lt;&gt;ReconciliationData[[#This Row],[Contract_Price]]),1,0)</f>
        <v>0</v>
      </c>
      <c r="T3672">
        <f>IF(AND(NOT(ISBLANK(ReconciliationData[[#This Row],[End_Date]])),ReconciliationData[[#This Row],[Order_Date]]&gt;ReconciliationData[[#This Row],[End_Date]]),1,0)</f>
        <v>0</v>
      </c>
      <c r="U3672">
        <f>IF(AND(NOT(ISBLANK(ReconciliationData[[#This Row],[last_return_date]])),ReconciliationData[[#This Row],[last_return_date]]&gt;ReconciliationData[[#This Row],[Order_Date]]+60),1,0)</f>
        <v>0</v>
      </c>
      <c r="V3672">
        <f>IF(ReconciliationData[[#This Row],[total_returned_units]]&gt;ReconciliationData[[#This Row],[ordered_units]],1,0)</f>
        <v>0</v>
      </c>
      <c r="W36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72">
        <f>ReconciliationData[[#This Row],[Billed_Units]]*ReconciliationData[[#This Row],[Billed_Price]]</f>
        <v>9981.9719999999998</v>
      </c>
      <c r="Y3672">
        <f>ReconciliationData[[#This Row],[ordered_units]]*ReconciliationData[[#This Row],[List_Price]]</f>
        <v>9981.9719999999998</v>
      </c>
      <c r="Z3672">
        <f>ReconciliationData[[#This Row],[billed_revenue]]-ReconciliationData[[#This Row],[expected_revenue]]</f>
        <v>0</v>
      </c>
      <c r="AA36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72" t="str">
        <f>IF(ReconciliationData[[#This Row],[severity_score]]=0,"LOW",
 IF(ReconciliationData[[#This Row],[severity_score]]&lt;=5,"MEDIUM","HIGH"))</f>
        <v>LOW</v>
      </c>
      <c r="AC3672" t="str">
        <f>TEXT(ReconciliationData[[#This Row],[Order_Date]],"YYYY-MM")</f>
        <v>2023-11</v>
      </c>
    </row>
    <row r="3673" spans="1:29">
      <c r="A3673" t="s">
        <v>8567</v>
      </c>
      <c r="B3673" s="1">
        <v>45295</v>
      </c>
      <c r="C3673" t="s">
        <v>1108</v>
      </c>
      <c r="D3673" t="s">
        <v>1559</v>
      </c>
      <c r="E3673">
        <v>11</v>
      </c>
      <c r="F3673" t="s">
        <v>8568</v>
      </c>
      <c r="G3673">
        <v>11</v>
      </c>
      <c r="H3673">
        <v>1065.7722000000001</v>
      </c>
      <c r="N3673">
        <v>1065.7722000000001</v>
      </c>
      <c r="O3673" s="1">
        <v>44936</v>
      </c>
      <c r="P3673">
        <f>IF(ISBLANK(ReconciliationData[[#This Row],[Invoice_ID]]),1,0)</f>
        <v>0</v>
      </c>
      <c r="Q3673">
        <f>IF(AND(NOT(ISBLANK(ReconciliationData[[#This Row],[Billed_Units]])),ReconciliationData[[#This Row],[ordered_units]]&lt;&gt;ReconciliationData[[#This Row],[Billed_Units]]),1,0)</f>
        <v>0</v>
      </c>
      <c r="R36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3">
        <f>IF(AND(NOT(ISBLANK(ReconciliationData[[#This Row],[Contract_Price]])),ReconciliationData[[#This Row],[Billed_Price]]&lt;&gt;ReconciliationData[[#This Row],[Contract_Price]]),1,0)</f>
        <v>0</v>
      </c>
      <c r="T3673">
        <f>IF(AND(NOT(ISBLANK(ReconciliationData[[#This Row],[End_Date]])),ReconciliationData[[#This Row],[Order_Date]]&gt;ReconciliationData[[#This Row],[End_Date]]),1,0)</f>
        <v>0</v>
      </c>
      <c r="U3673">
        <f>IF(AND(NOT(ISBLANK(ReconciliationData[[#This Row],[last_return_date]])),ReconciliationData[[#This Row],[last_return_date]]&gt;ReconciliationData[[#This Row],[Order_Date]]+60),1,0)</f>
        <v>0</v>
      </c>
      <c r="V3673">
        <f>IF(ReconciliationData[[#This Row],[total_returned_units]]&gt;ReconciliationData[[#This Row],[ordered_units]],1,0)</f>
        <v>0</v>
      </c>
      <c r="W36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73">
        <f>ReconciliationData[[#This Row],[Billed_Units]]*ReconciliationData[[#This Row],[Billed_Price]]</f>
        <v>11723.494200000001</v>
      </c>
      <c r="Y3673">
        <f>ReconciliationData[[#This Row],[ordered_units]]*ReconciliationData[[#This Row],[List_Price]]</f>
        <v>11723.494200000001</v>
      </c>
      <c r="Z3673">
        <f>ReconciliationData[[#This Row],[billed_revenue]]-ReconciliationData[[#This Row],[expected_revenue]]</f>
        <v>0</v>
      </c>
      <c r="AA36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73" t="str">
        <f>IF(ReconciliationData[[#This Row],[severity_score]]=0,"LOW",
 IF(ReconciliationData[[#This Row],[severity_score]]&lt;=5,"MEDIUM","HIGH"))</f>
        <v>LOW</v>
      </c>
      <c r="AC3673" t="str">
        <f>TEXT(ReconciliationData[[#This Row],[Order_Date]],"YYYY-MM")</f>
        <v>2024-01</v>
      </c>
    </row>
    <row r="3674" spans="1:29">
      <c r="A3674" t="s">
        <v>8569</v>
      </c>
      <c r="B3674" s="1">
        <v>45234</v>
      </c>
      <c r="C3674" t="s">
        <v>1149</v>
      </c>
      <c r="D3674" t="s">
        <v>828</v>
      </c>
      <c r="E3674">
        <v>89</v>
      </c>
      <c r="F3674" t="s">
        <v>8570</v>
      </c>
      <c r="G3674">
        <v>89</v>
      </c>
      <c r="H3674">
        <v>893.8972</v>
      </c>
      <c r="N3674">
        <v>893.8972</v>
      </c>
      <c r="O3674" s="1">
        <v>45049</v>
      </c>
      <c r="P3674">
        <f>IF(ISBLANK(ReconciliationData[[#This Row],[Invoice_ID]]),1,0)</f>
        <v>0</v>
      </c>
      <c r="Q3674">
        <f>IF(AND(NOT(ISBLANK(ReconciliationData[[#This Row],[Billed_Units]])),ReconciliationData[[#This Row],[ordered_units]]&lt;&gt;ReconciliationData[[#This Row],[Billed_Units]]),1,0)</f>
        <v>0</v>
      </c>
      <c r="R36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4">
        <f>IF(AND(NOT(ISBLANK(ReconciliationData[[#This Row],[Contract_Price]])),ReconciliationData[[#This Row],[Billed_Price]]&lt;&gt;ReconciliationData[[#This Row],[Contract_Price]]),1,0)</f>
        <v>0</v>
      </c>
      <c r="T3674">
        <f>IF(AND(NOT(ISBLANK(ReconciliationData[[#This Row],[End_Date]])),ReconciliationData[[#This Row],[Order_Date]]&gt;ReconciliationData[[#This Row],[End_Date]]),1,0)</f>
        <v>0</v>
      </c>
      <c r="U3674">
        <f>IF(AND(NOT(ISBLANK(ReconciliationData[[#This Row],[last_return_date]])),ReconciliationData[[#This Row],[last_return_date]]&gt;ReconciliationData[[#This Row],[Order_Date]]+60),1,0)</f>
        <v>0</v>
      </c>
      <c r="V3674">
        <f>IF(ReconciliationData[[#This Row],[total_returned_units]]&gt;ReconciliationData[[#This Row],[ordered_units]],1,0)</f>
        <v>0</v>
      </c>
      <c r="W36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74">
        <f>ReconciliationData[[#This Row],[Billed_Units]]*ReconciliationData[[#This Row],[Billed_Price]]</f>
        <v>79556.8508</v>
      </c>
      <c r="Y3674">
        <f>ReconciliationData[[#This Row],[ordered_units]]*ReconciliationData[[#This Row],[List_Price]]</f>
        <v>79556.8508</v>
      </c>
      <c r="Z3674">
        <f>ReconciliationData[[#This Row],[billed_revenue]]-ReconciliationData[[#This Row],[expected_revenue]]</f>
        <v>0</v>
      </c>
      <c r="AA36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74" t="str">
        <f>IF(ReconciliationData[[#This Row],[severity_score]]=0,"LOW",
 IF(ReconciliationData[[#This Row],[severity_score]]&lt;=5,"MEDIUM","HIGH"))</f>
        <v>LOW</v>
      </c>
      <c r="AC3674" t="str">
        <f>TEXT(ReconciliationData[[#This Row],[Order_Date]],"YYYY-MM")</f>
        <v>2023-11</v>
      </c>
    </row>
    <row r="3675" spans="1:29">
      <c r="A3675" t="s">
        <v>8571</v>
      </c>
      <c r="B3675" s="1">
        <v>45206</v>
      </c>
      <c r="C3675" t="s">
        <v>2120</v>
      </c>
      <c r="D3675" t="s">
        <v>1333</v>
      </c>
      <c r="E3675">
        <v>126</v>
      </c>
      <c r="F3675" t="s">
        <v>8572</v>
      </c>
      <c r="G3675">
        <v>126</v>
      </c>
      <c r="H3675">
        <v>414.65559999999999</v>
      </c>
      <c r="I3675">
        <v>10</v>
      </c>
      <c r="J3675" s="1">
        <v>45296</v>
      </c>
      <c r="N3675">
        <v>414.65559999999999</v>
      </c>
      <c r="O3675" s="1">
        <v>44924</v>
      </c>
      <c r="P3675">
        <f>IF(ISBLANK(ReconciliationData[[#This Row],[Invoice_ID]]),1,0)</f>
        <v>0</v>
      </c>
      <c r="Q3675">
        <f>IF(AND(NOT(ISBLANK(ReconciliationData[[#This Row],[Billed_Units]])),ReconciliationData[[#This Row],[ordered_units]]&lt;&gt;ReconciliationData[[#This Row],[Billed_Units]]),1,0)</f>
        <v>0</v>
      </c>
      <c r="R36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5">
        <f>IF(AND(NOT(ISBLANK(ReconciliationData[[#This Row],[Contract_Price]])),ReconciliationData[[#This Row],[Billed_Price]]&lt;&gt;ReconciliationData[[#This Row],[Contract_Price]]),1,0)</f>
        <v>0</v>
      </c>
      <c r="T3675">
        <f>IF(AND(NOT(ISBLANK(ReconciliationData[[#This Row],[End_Date]])),ReconciliationData[[#This Row],[Order_Date]]&gt;ReconciliationData[[#This Row],[End_Date]]),1,0)</f>
        <v>0</v>
      </c>
      <c r="U3675">
        <f>IF(AND(NOT(ISBLANK(ReconciliationData[[#This Row],[last_return_date]])),ReconciliationData[[#This Row],[last_return_date]]&gt;ReconciliationData[[#This Row],[Order_Date]]+60),1,0)</f>
        <v>1</v>
      </c>
      <c r="V3675">
        <f>IF(ReconciliationData[[#This Row],[total_returned_units]]&gt;ReconciliationData[[#This Row],[ordered_units]],1,0)</f>
        <v>0</v>
      </c>
      <c r="W36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75">
        <f>ReconciliationData[[#This Row],[Billed_Units]]*ReconciliationData[[#This Row],[Billed_Price]]</f>
        <v>52246.605600000003</v>
      </c>
      <c r="Y3675">
        <f>ReconciliationData[[#This Row],[ordered_units]]*ReconciliationData[[#This Row],[List_Price]]</f>
        <v>52246.605600000003</v>
      </c>
      <c r="Z3675">
        <f>ReconciliationData[[#This Row],[billed_revenue]]-ReconciliationData[[#This Row],[expected_revenue]]</f>
        <v>0</v>
      </c>
      <c r="AA36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675" t="str">
        <f>IF(ReconciliationData[[#This Row],[severity_score]]=0,"LOW",
 IF(ReconciliationData[[#This Row],[severity_score]]&lt;=5,"MEDIUM","HIGH"))</f>
        <v>MEDIUM</v>
      </c>
      <c r="AC3675" t="str">
        <f>TEXT(ReconciliationData[[#This Row],[Order_Date]],"YYYY-MM")</f>
        <v>2023-10</v>
      </c>
    </row>
    <row r="3676" spans="1:29">
      <c r="A3676" t="s">
        <v>8573</v>
      </c>
      <c r="B3676" s="1">
        <v>45569</v>
      </c>
      <c r="C3676" t="s">
        <v>1747</v>
      </c>
      <c r="D3676" t="s">
        <v>150</v>
      </c>
      <c r="E3676">
        <v>112</v>
      </c>
      <c r="F3676" t="s">
        <v>8574</v>
      </c>
      <c r="G3676">
        <v>112</v>
      </c>
      <c r="H3676">
        <v>353.52719999999999</v>
      </c>
      <c r="I3676">
        <v>8</v>
      </c>
      <c r="J3676" s="1">
        <v>45364</v>
      </c>
      <c r="N3676">
        <v>353.52719999999999</v>
      </c>
      <c r="O3676" s="1">
        <v>45182</v>
      </c>
      <c r="P3676">
        <f>IF(ISBLANK(ReconciliationData[[#This Row],[Invoice_ID]]),1,0)</f>
        <v>0</v>
      </c>
      <c r="Q3676">
        <f>IF(AND(NOT(ISBLANK(ReconciliationData[[#This Row],[Billed_Units]])),ReconciliationData[[#This Row],[ordered_units]]&lt;&gt;ReconciliationData[[#This Row],[Billed_Units]]),1,0)</f>
        <v>0</v>
      </c>
      <c r="R36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6">
        <f>IF(AND(NOT(ISBLANK(ReconciliationData[[#This Row],[Contract_Price]])),ReconciliationData[[#This Row],[Billed_Price]]&lt;&gt;ReconciliationData[[#This Row],[Contract_Price]]),1,0)</f>
        <v>0</v>
      </c>
      <c r="T3676">
        <f>IF(AND(NOT(ISBLANK(ReconciliationData[[#This Row],[End_Date]])),ReconciliationData[[#This Row],[Order_Date]]&gt;ReconciliationData[[#This Row],[End_Date]]),1,0)</f>
        <v>0</v>
      </c>
      <c r="U3676">
        <f>IF(AND(NOT(ISBLANK(ReconciliationData[[#This Row],[last_return_date]])),ReconciliationData[[#This Row],[last_return_date]]&gt;ReconciliationData[[#This Row],[Order_Date]]+60),1,0)</f>
        <v>0</v>
      </c>
      <c r="V3676">
        <f>IF(ReconciliationData[[#This Row],[total_returned_units]]&gt;ReconciliationData[[#This Row],[ordered_units]],1,0)</f>
        <v>0</v>
      </c>
      <c r="W36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76">
        <f>ReconciliationData[[#This Row],[Billed_Units]]*ReconciliationData[[#This Row],[Billed_Price]]</f>
        <v>39595.046399999999</v>
      </c>
      <c r="Y3676">
        <f>ReconciliationData[[#This Row],[ordered_units]]*ReconciliationData[[#This Row],[List_Price]]</f>
        <v>39595.046399999999</v>
      </c>
      <c r="Z3676">
        <f>ReconciliationData[[#This Row],[billed_revenue]]-ReconciliationData[[#This Row],[expected_revenue]]</f>
        <v>0</v>
      </c>
      <c r="AA36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76" t="str">
        <f>IF(ReconciliationData[[#This Row],[severity_score]]=0,"LOW",
 IF(ReconciliationData[[#This Row],[severity_score]]&lt;=5,"MEDIUM","HIGH"))</f>
        <v>LOW</v>
      </c>
      <c r="AC3676" t="str">
        <f>TEXT(ReconciliationData[[#This Row],[Order_Date]],"YYYY-MM")</f>
        <v>2024-10</v>
      </c>
    </row>
    <row r="3677" spans="1:29">
      <c r="A3677" t="s">
        <v>8575</v>
      </c>
      <c r="B3677" s="1">
        <v>45046</v>
      </c>
      <c r="C3677" t="s">
        <v>1753</v>
      </c>
      <c r="D3677" t="s">
        <v>1533</v>
      </c>
      <c r="E3677">
        <v>41</v>
      </c>
      <c r="F3677" t="s">
        <v>8576</v>
      </c>
      <c r="G3677">
        <v>41</v>
      </c>
      <c r="H3677">
        <v>942.94</v>
      </c>
      <c r="N3677">
        <v>942.94</v>
      </c>
      <c r="O3677" s="1">
        <v>44666</v>
      </c>
      <c r="P3677">
        <f>IF(ISBLANK(ReconciliationData[[#This Row],[Invoice_ID]]),1,0)</f>
        <v>0</v>
      </c>
      <c r="Q3677">
        <f>IF(AND(NOT(ISBLANK(ReconciliationData[[#This Row],[Billed_Units]])),ReconciliationData[[#This Row],[ordered_units]]&lt;&gt;ReconciliationData[[#This Row],[Billed_Units]]),1,0)</f>
        <v>0</v>
      </c>
      <c r="R36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7">
        <f>IF(AND(NOT(ISBLANK(ReconciliationData[[#This Row],[Contract_Price]])),ReconciliationData[[#This Row],[Billed_Price]]&lt;&gt;ReconciliationData[[#This Row],[Contract_Price]]),1,0)</f>
        <v>0</v>
      </c>
      <c r="T3677">
        <f>IF(AND(NOT(ISBLANK(ReconciliationData[[#This Row],[End_Date]])),ReconciliationData[[#This Row],[Order_Date]]&gt;ReconciliationData[[#This Row],[End_Date]]),1,0)</f>
        <v>0</v>
      </c>
      <c r="U3677">
        <f>IF(AND(NOT(ISBLANK(ReconciliationData[[#This Row],[last_return_date]])),ReconciliationData[[#This Row],[last_return_date]]&gt;ReconciliationData[[#This Row],[Order_Date]]+60),1,0)</f>
        <v>0</v>
      </c>
      <c r="V3677">
        <f>IF(ReconciliationData[[#This Row],[total_returned_units]]&gt;ReconciliationData[[#This Row],[ordered_units]],1,0)</f>
        <v>0</v>
      </c>
      <c r="W36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77">
        <f>ReconciliationData[[#This Row],[Billed_Units]]*ReconciliationData[[#This Row],[Billed_Price]]</f>
        <v>38660.54</v>
      </c>
      <c r="Y3677">
        <f>ReconciliationData[[#This Row],[ordered_units]]*ReconciliationData[[#This Row],[List_Price]]</f>
        <v>38660.54</v>
      </c>
      <c r="Z3677">
        <f>ReconciliationData[[#This Row],[billed_revenue]]-ReconciliationData[[#This Row],[expected_revenue]]</f>
        <v>0</v>
      </c>
      <c r="AA36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77" t="str">
        <f>IF(ReconciliationData[[#This Row],[severity_score]]=0,"LOW",
 IF(ReconciliationData[[#This Row],[severity_score]]&lt;=5,"MEDIUM","HIGH"))</f>
        <v>LOW</v>
      </c>
      <c r="AC3677" t="str">
        <f>TEXT(ReconciliationData[[#This Row],[Order_Date]],"YYYY-MM")</f>
        <v>2023-04</v>
      </c>
    </row>
    <row r="3678" spans="1:29">
      <c r="A3678" t="s">
        <v>8577</v>
      </c>
      <c r="B3678" s="1">
        <v>44964</v>
      </c>
      <c r="C3678" t="s">
        <v>2162</v>
      </c>
      <c r="D3678" t="s">
        <v>997</v>
      </c>
      <c r="E3678">
        <v>69</v>
      </c>
      <c r="F3678" t="s">
        <v>8578</v>
      </c>
      <c r="G3678">
        <v>69</v>
      </c>
      <c r="H3678">
        <v>1153.4984999999999</v>
      </c>
      <c r="N3678">
        <v>1153.4984999999999</v>
      </c>
      <c r="O3678" s="1">
        <v>44962</v>
      </c>
      <c r="P3678">
        <f>IF(ISBLANK(ReconciliationData[[#This Row],[Invoice_ID]]),1,0)</f>
        <v>0</v>
      </c>
      <c r="Q3678">
        <f>IF(AND(NOT(ISBLANK(ReconciliationData[[#This Row],[Billed_Units]])),ReconciliationData[[#This Row],[ordered_units]]&lt;&gt;ReconciliationData[[#This Row],[Billed_Units]]),1,0)</f>
        <v>0</v>
      </c>
      <c r="R36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8">
        <f>IF(AND(NOT(ISBLANK(ReconciliationData[[#This Row],[Contract_Price]])),ReconciliationData[[#This Row],[Billed_Price]]&lt;&gt;ReconciliationData[[#This Row],[Contract_Price]]),1,0)</f>
        <v>0</v>
      </c>
      <c r="T3678">
        <f>IF(AND(NOT(ISBLANK(ReconciliationData[[#This Row],[End_Date]])),ReconciliationData[[#This Row],[Order_Date]]&gt;ReconciliationData[[#This Row],[End_Date]]),1,0)</f>
        <v>0</v>
      </c>
      <c r="U3678">
        <f>IF(AND(NOT(ISBLANK(ReconciliationData[[#This Row],[last_return_date]])),ReconciliationData[[#This Row],[last_return_date]]&gt;ReconciliationData[[#This Row],[Order_Date]]+60),1,0)</f>
        <v>0</v>
      </c>
      <c r="V3678">
        <f>IF(ReconciliationData[[#This Row],[total_returned_units]]&gt;ReconciliationData[[#This Row],[ordered_units]],1,0)</f>
        <v>0</v>
      </c>
      <c r="W36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78">
        <f>ReconciliationData[[#This Row],[Billed_Units]]*ReconciliationData[[#This Row],[Billed_Price]]</f>
        <v>79591.396499999988</v>
      </c>
      <c r="Y3678">
        <f>ReconciliationData[[#This Row],[ordered_units]]*ReconciliationData[[#This Row],[List_Price]]</f>
        <v>79591.396499999988</v>
      </c>
      <c r="Z3678">
        <f>ReconciliationData[[#This Row],[billed_revenue]]-ReconciliationData[[#This Row],[expected_revenue]]</f>
        <v>0</v>
      </c>
      <c r="AA36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78" t="str">
        <f>IF(ReconciliationData[[#This Row],[severity_score]]=0,"LOW",
 IF(ReconciliationData[[#This Row],[severity_score]]&lt;=5,"MEDIUM","HIGH"))</f>
        <v>LOW</v>
      </c>
      <c r="AC3678" t="str">
        <f>TEXT(ReconciliationData[[#This Row],[Order_Date]],"YYYY-MM")</f>
        <v>2023-02</v>
      </c>
    </row>
    <row r="3679" spans="1:29">
      <c r="A3679" t="s">
        <v>8579</v>
      </c>
      <c r="B3679" s="1">
        <v>45157</v>
      </c>
      <c r="C3679" t="s">
        <v>2120</v>
      </c>
      <c r="D3679" t="s">
        <v>461</v>
      </c>
      <c r="E3679">
        <v>150</v>
      </c>
      <c r="F3679" t="s">
        <v>8580</v>
      </c>
      <c r="G3679">
        <v>150</v>
      </c>
      <c r="H3679">
        <v>1114.2336</v>
      </c>
      <c r="N3679">
        <v>1114.2336</v>
      </c>
      <c r="O3679" s="1">
        <v>45141</v>
      </c>
      <c r="P3679">
        <f>IF(ISBLANK(ReconciliationData[[#This Row],[Invoice_ID]]),1,0)</f>
        <v>0</v>
      </c>
      <c r="Q3679">
        <f>IF(AND(NOT(ISBLANK(ReconciliationData[[#This Row],[Billed_Units]])),ReconciliationData[[#This Row],[ordered_units]]&lt;&gt;ReconciliationData[[#This Row],[Billed_Units]]),1,0)</f>
        <v>0</v>
      </c>
      <c r="R36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79">
        <f>IF(AND(NOT(ISBLANK(ReconciliationData[[#This Row],[Contract_Price]])),ReconciliationData[[#This Row],[Billed_Price]]&lt;&gt;ReconciliationData[[#This Row],[Contract_Price]]),1,0)</f>
        <v>0</v>
      </c>
      <c r="T3679">
        <f>IF(AND(NOT(ISBLANK(ReconciliationData[[#This Row],[End_Date]])),ReconciliationData[[#This Row],[Order_Date]]&gt;ReconciliationData[[#This Row],[End_Date]]),1,0)</f>
        <v>0</v>
      </c>
      <c r="U3679">
        <f>IF(AND(NOT(ISBLANK(ReconciliationData[[#This Row],[last_return_date]])),ReconciliationData[[#This Row],[last_return_date]]&gt;ReconciliationData[[#This Row],[Order_Date]]+60),1,0)</f>
        <v>0</v>
      </c>
      <c r="V3679">
        <f>IF(ReconciliationData[[#This Row],[total_returned_units]]&gt;ReconciliationData[[#This Row],[ordered_units]],1,0)</f>
        <v>0</v>
      </c>
      <c r="W36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79">
        <f>ReconciliationData[[#This Row],[Billed_Units]]*ReconciliationData[[#This Row],[Billed_Price]]</f>
        <v>167135.04000000001</v>
      </c>
      <c r="Y3679">
        <f>ReconciliationData[[#This Row],[ordered_units]]*ReconciliationData[[#This Row],[List_Price]]</f>
        <v>167135.04000000001</v>
      </c>
      <c r="Z3679">
        <f>ReconciliationData[[#This Row],[billed_revenue]]-ReconciliationData[[#This Row],[expected_revenue]]</f>
        <v>0</v>
      </c>
      <c r="AA36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79" t="str">
        <f>IF(ReconciliationData[[#This Row],[severity_score]]=0,"LOW",
 IF(ReconciliationData[[#This Row],[severity_score]]&lt;=5,"MEDIUM","HIGH"))</f>
        <v>LOW</v>
      </c>
      <c r="AC3679" t="str">
        <f>TEXT(ReconciliationData[[#This Row],[Order_Date]],"YYYY-MM")</f>
        <v>2023-08</v>
      </c>
    </row>
    <row r="3680" spans="1:29">
      <c r="A3680" t="s">
        <v>8581</v>
      </c>
      <c r="B3680" s="1">
        <v>45310</v>
      </c>
      <c r="C3680" t="s">
        <v>5300</v>
      </c>
      <c r="D3680" t="s">
        <v>1071</v>
      </c>
      <c r="E3680">
        <v>19</v>
      </c>
      <c r="F3680" t="s">
        <v>8582</v>
      </c>
      <c r="G3680">
        <v>19</v>
      </c>
      <c r="H3680">
        <v>335.39150000000001</v>
      </c>
      <c r="N3680">
        <v>335.39150000000001</v>
      </c>
      <c r="O3680" s="1">
        <v>45151</v>
      </c>
      <c r="P3680">
        <f>IF(ISBLANK(ReconciliationData[[#This Row],[Invoice_ID]]),1,0)</f>
        <v>0</v>
      </c>
      <c r="Q3680">
        <f>IF(AND(NOT(ISBLANK(ReconciliationData[[#This Row],[Billed_Units]])),ReconciliationData[[#This Row],[ordered_units]]&lt;&gt;ReconciliationData[[#This Row],[Billed_Units]]),1,0)</f>
        <v>0</v>
      </c>
      <c r="R36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0">
        <f>IF(AND(NOT(ISBLANK(ReconciliationData[[#This Row],[Contract_Price]])),ReconciliationData[[#This Row],[Billed_Price]]&lt;&gt;ReconciliationData[[#This Row],[Contract_Price]]),1,0)</f>
        <v>0</v>
      </c>
      <c r="T3680">
        <f>IF(AND(NOT(ISBLANK(ReconciliationData[[#This Row],[End_Date]])),ReconciliationData[[#This Row],[Order_Date]]&gt;ReconciliationData[[#This Row],[End_Date]]),1,0)</f>
        <v>0</v>
      </c>
      <c r="U3680">
        <f>IF(AND(NOT(ISBLANK(ReconciliationData[[#This Row],[last_return_date]])),ReconciliationData[[#This Row],[last_return_date]]&gt;ReconciliationData[[#This Row],[Order_Date]]+60),1,0)</f>
        <v>0</v>
      </c>
      <c r="V3680">
        <f>IF(ReconciliationData[[#This Row],[total_returned_units]]&gt;ReconciliationData[[#This Row],[ordered_units]],1,0)</f>
        <v>0</v>
      </c>
      <c r="W36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80">
        <f>ReconciliationData[[#This Row],[Billed_Units]]*ReconciliationData[[#This Row],[Billed_Price]]</f>
        <v>6372.4385000000002</v>
      </c>
      <c r="Y3680">
        <f>ReconciliationData[[#This Row],[ordered_units]]*ReconciliationData[[#This Row],[List_Price]]</f>
        <v>6372.4385000000002</v>
      </c>
      <c r="Z3680">
        <f>ReconciliationData[[#This Row],[billed_revenue]]-ReconciliationData[[#This Row],[expected_revenue]]</f>
        <v>0</v>
      </c>
      <c r="AA36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80" t="str">
        <f>IF(ReconciliationData[[#This Row],[severity_score]]=0,"LOW",
 IF(ReconciliationData[[#This Row],[severity_score]]&lt;=5,"MEDIUM","HIGH"))</f>
        <v>LOW</v>
      </c>
      <c r="AC3680" t="str">
        <f>TEXT(ReconciliationData[[#This Row],[Order_Date]],"YYYY-MM")</f>
        <v>2024-01</v>
      </c>
    </row>
    <row r="3681" spans="1:29">
      <c r="A3681" t="s">
        <v>8583</v>
      </c>
      <c r="B3681" s="1">
        <v>45043</v>
      </c>
      <c r="C3681" t="s">
        <v>2094</v>
      </c>
      <c r="D3681" t="s">
        <v>3006</v>
      </c>
      <c r="E3681">
        <v>94</v>
      </c>
      <c r="F3681" t="s">
        <v>8584</v>
      </c>
      <c r="G3681">
        <v>94</v>
      </c>
      <c r="H3681">
        <v>720.47380000000021</v>
      </c>
      <c r="N3681">
        <v>720.47380000000021</v>
      </c>
      <c r="O3681" s="1">
        <v>45026</v>
      </c>
      <c r="P3681">
        <f>IF(ISBLANK(ReconciliationData[[#This Row],[Invoice_ID]]),1,0)</f>
        <v>0</v>
      </c>
      <c r="Q3681">
        <f>IF(AND(NOT(ISBLANK(ReconciliationData[[#This Row],[Billed_Units]])),ReconciliationData[[#This Row],[ordered_units]]&lt;&gt;ReconciliationData[[#This Row],[Billed_Units]]),1,0)</f>
        <v>0</v>
      </c>
      <c r="R36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1">
        <f>IF(AND(NOT(ISBLANK(ReconciliationData[[#This Row],[Contract_Price]])),ReconciliationData[[#This Row],[Billed_Price]]&lt;&gt;ReconciliationData[[#This Row],[Contract_Price]]),1,0)</f>
        <v>0</v>
      </c>
      <c r="T3681">
        <f>IF(AND(NOT(ISBLANK(ReconciliationData[[#This Row],[End_Date]])),ReconciliationData[[#This Row],[Order_Date]]&gt;ReconciliationData[[#This Row],[End_Date]]),1,0)</f>
        <v>0</v>
      </c>
      <c r="U3681">
        <f>IF(AND(NOT(ISBLANK(ReconciliationData[[#This Row],[last_return_date]])),ReconciliationData[[#This Row],[last_return_date]]&gt;ReconciliationData[[#This Row],[Order_Date]]+60),1,0)</f>
        <v>0</v>
      </c>
      <c r="V3681">
        <f>IF(ReconciliationData[[#This Row],[total_returned_units]]&gt;ReconciliationData[[#This Row],[ordered_units]],1,0)</f>
        <v>0</v>
      </c>
      <c r="W36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81">
        <f>ReconciliationData[[#This Row],[Billed_Units]]*ReconciliationData[[#This Row],[Billed_Price]]</f>
        <v>67724.537200000021</v>
      </c>
      <c r="Y3681">
        <f>ReconciliationData[[#This Row],[ordered_units]]*ReconciliationData[[#This Row],[List_Price]]</f>
        <v>67724.537200000021</v>
      </c>
      <c r="Z3681">
        <f>ReconciliationData[[#This Row],[billed_revenue]]-ReconciliationData[[#This Row],[expected_revenue]]</f>
        <v>0</v>
      </c>
      <c r="AA36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81" t="str">
        <f>IF(ReconciliationData[[#This Row],[severity_score]]=0,"LOW",
 IF(ReconciliationData[[#This Row],[severity_score]]&lt;=5,"MEDIUM","HIGH"))</f>
        <v>LOW</v>
      </c>
      <c r="AC3681" t="str">
        <f>TEXT(ReconciliationData[[#This Row],[Order_Date]],"YYYY-MM")</f>
        <v>2023-04</v>
      </c>
    </row>
    <row r="3682" spans="1:29">
      <c r="A3682" t="s">
        <v>8585</v>
      </c>
      <c r="B3682" s="1">
        <v>45450</v>
      </c>
      <c r="C3682" t="s">
        <v>1705</v>
      </c>
      <c r="D3682" t="s">
        <v>389</v>
      </c>
      <c r="E3682">
        <v>2</v>
      </c>
      <c r="F3682" t="s">
        <v>8586</v>
      </c>
      <c r="G3682">
        <v>2</v>
      </c>
      <c r="H3682">
        <v>759.48969999999997</v>
      </c>
      <c r="N3682">
        <v>759.48969999999997</v>
      </c>
      <c r="O3682" s="1">
        <v>45138</v>
      </c>
      <c r="P3682">
        <f>IF(ISBLANK(ReconciliationData[[#This Row],[Invoice_ID]]),1,0)</f>
        <v>0</v>
      </c>
      <c r="Q3682">
        <f>IF(AND(NOT(ISBLANK(ReconciliationData[[#This Row],[Billed_Units]])),ReconciliationData[[#This Row],[ordered_units]]&lt;&gt;ReconciliationData[[#This Row],[Billed_Units]]),1,0)</f>
        <v>0</v>
      </c>
      <c r="R36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2">
        <f>IF(AND(NOT(ISBLANK(ReconciliationData[[#This Row],[Contract_Price]])),ReconciliationData[[#This Row],[Billed_Price]]&lt;&gt;ReconciliationData[[#This Row],[Contract_Price]]),1,0)</f>
        <v>0</v>
      </c>
      <c r="T3682">
        <f>IF(AND(NOT(ISBLANK(ReconciliationData[[#This Row],[End_Date]])),ReconciliationData[[#This Row],[Order_Date]]&gt;ReconciliationData[[#This Row],[End_Date]]),1,0)</f>
        <v>0</v>
      </c>
      <c r="U3682">
        <f>IF(AND(NOT(ISBLANK(ReconciliationData[[#This Row],[last_return_date]])),ReconciliationData[[#This Row],[last_return_date]]&gt;ReconciliationData[[#This Row],[Order_Date]]+60),1,0)</f>
        <v>0</v>
      </c>
      <c r="V3682">
        <f>IF(ReconciliationData[[#This Row],[total_returned_units]]&gt;ReconciliationData[[#This Row],[ordered_units]],1,0)</f>
        <v>0</v>
      </c>
      <c r="W36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82">
        <f>ReconciliationData[[#This Row],[Billed_Units]]*ReconciliationData[[#This Row],[Billed_Price]]</f>
        <v>1518.9793999999999</v>
      </c>
      <c r="Y3682">
        <f>ReconciliationData[[#This Row],[ordered_units]]*ReconciliationData[[#This Row],[List_Price]]</f>
        <v>1518.9793999999999</v>
      </c>
      <c r="Z3682">
        <f>ReconciliationData[[#This Row],[billed_revenue]]-ReconciliationData[[#This Row],[expected_revenue]]</f>
        <v>0</v>
      </c>
      <c r="AA36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82" t="str">
        <f>IF(ReconciliationData[[#This Row],[severity_score]]=0,"LOW",
 IF(ReconciliationData[[#This Row],[severity_score]]&lt;=5,"MEDIUM","HIGH"))</f>
        <v>LOW</v>
      </c>
      <c r="AC3682" t="str">
        <f>TEXT(ReconciliationData[[#This Row],[Order_Date]],"YYYY-MM")</f>
        <v>2024-06</v>
      </c>
    </row>
    <row r="3683" spans="1:29">
      <c r="A3683" t="s">
        <v>8587</v>
      </c>
      <c r="B3683" s="1">
        <v>45132</v>
      </c>
      <c r="C3683" t="s">
        <v>1372</v>
      </c>
      <c r="D3683" t="s">
        <v>635</v>
      </c>
      <c r="E3683">
        <v>113</v>
      </c>
      <c r="F3683" t="s">
        <v>8588</v>
      </c>
      <c r="G3683">
        <v>113</v>
      </c>
      <c r="H3683">
        <v>951.54780000000005</v>
      </c>
      <c r="N3683">
        <v>951.54780000000005</v>
      </c>
      <c r="O3683" s="1">
        <v>44964</v>
      </c>
      <c r="P3683">
        <f>IF(ISBLANK(ReconciliationData[[#This Row],[Invoice_ID]]),1,0)</f>
        <v>0</v>
      </c>
      <c r="Q3683">
        <f>IF(AND(NOT(ISBLANK(ReconciliationData[[#This Row],[Billed_Units]])),ReconciliationData[[#This Row],[ordered_units]]&lt;&gt;ReconciliationData[[#This Row],[Billed_Units]]),1,0)</f>
        <v>0</v>
      </c>
      <c r="R36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3">
        <f>IF(AND(NOT(ISBLANK(ReconciliationData[[#This Row],[Contract_Price]])),ReconciliationData[[#This Row],[Billed_Price]]&lt;&gt;ReconciliationData[[#This Row],[Contract_Price]]),1,0)</f>
        <v>0</v>
      </c>
      <c r="T3683">
        <f>IF(AND(NOT(ISBLANK(ReconciliationData[[#This Row],[End_Date]])),ReconciliationData[[#This Row],[Order_Date]]&gt;ReconciliationData[[#This Row],[End_Date]]),1,0)</f>
        <v>0</v>
      </c>
      <c r="U3683">
        <f>IF(AND(NOT(ISBLANK(ReconciliationData[[#This Row],[last_return_date]])),ReconciliationData[[#This Row],[last_return_date]]&gt;ReconciliationData[[#This Row],[Order_Date]]+60),1,0)</f>
        <v>0</v>
      </c>
      <c r="V3683">
        <f>IF(ReconciliationData[[#This Row],[total_returned_units]]&gt;ReconciliationData[[#This Row],[ordered_units]],1,0)</f>
        <v>0</v>
      </c>
      <c r="W36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83">
        <f>ReconciliationData[[#This Row],[Billed_Units]]*ReconciliationData[[#This Row],[Billed_Price]]</f>
        <v>107524.9014</v>
      </c>
      <c r="Y3683">
        <f>ReconciliationData[[#This Row],[ordered_units]]*ReconciliationData[[#This Row],[List_Price]]</f>
        <v>107524.9014</v>
      </c>
      <c r="Z3683">
        <f>ReconciliationData[[#This Row],[billed_revenue]]-ReconciliationData[[#This Row],[expected_revenue]]</f>
        <v>0</v>
      </c>
      <c r="AA36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83" t="str">
        <f>IF(ReconciliationData[[#This Row],[severity_score]]=0,"LOW",
 IF(ReconciliationData[[#This Row],[severity_score]]&lt;=5,"MEDIUM","HIGH"))</f>
        <v>LOW</v>
      </c>
      <c r="AC3683" t="str">
        <f>TEXT(ReconciliationData[[#This Row],[Order_Date]],"YYYY-MM")</f>
        <v>2023-07</v>
      </c>
    </row>
    <row r="3684" spans="1:29">
      <c r="A3684" t="s">
        <v>8589</v>
      </c>
      <c r="B3684" s="1">
        <v>45524</v>
      </c>
      <c r="C3684" t="s">
        <v>4875</v>
      </c>
      <c r="D3684" t="s">
        <v>178</v>
      </c>
      <c r="E3684">
        <v>89</v>
      </c>
      <c r="F3684" t="s">
        <v>8590</v>
      </c>
      <c r="G3684">
        <v>89</v>
      </c>
      <c r="H3684">
        <v>687.65840000000003</v>
      </c>
      <c r="N3684">
        <v>687.65840000000003</v>
      </c>
      <c r="O3684" s="1">
        <v>45139</v>
      </c>
      <c r="P3684">
        <f>IF(ISBLANK(ReconciliationData[[#This Row],[Invoice_ID]]),1,0)</f>
        <v>0</v>
      </c>
      <c r="Q3684">
        <f>IF(AND(NOT(ISBLANK(ReconciliationData[[#This Row],[Billed_Units]])),ReconciliationData[[#This Row],[ordered_units]]&lt;&gt;ReconciliationData[[#This Row],[Billed_Units]]),1,0)</f>
        <v>0</v>
      </c>
      <c r="R36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4">
        <f>IF(AND(NOT(ISBLANK(ReconciliationData[[#This Row],[Contract_Price]])),ReconciliationData[[#This Row],[Billed_Price]]&lt;&gt;ReconciliationData[[#This Row],[Contract_Price]]),1,0)</f>
        <v>0</v>
      </c>
      <c r="T3684">
        <f>IF(AND(NOT(ISBLANK(ReconciliationData[[#This Row],[End_Date]])),ReconciliationData[[#This Row],[Order_Date]]&gt;ReconciliationData[[#This Row],[End_Date]]),1,0)</f>
        <v>0</v>
      </c>
      <c r="U3684">
        <f>IF(AND(NOT(ISBLANK(ReconciliationData[[#This Row],[last_return_date]])),ReconciliationData[[#This Row],[last_return_date]]&gt;ReconciliationData[[#This Row],[Order_Date]]+60),1,0)</f>
        <v>0</v>
      </c>
      <c r="V3684">
        <f>IF(ReconciliationData[[#This Row],[total_returned_units]]&gt;ReconciliationData[[#This Row],[ordered_units]],1,0)</f>
        <v>0</v>
      </c>
      <c r="W36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84">
        <f>ReconciliationData[[#This Row],[Billed_Units]]*ReconciliationData[[#This Row],[Billed_Price]]</f>
        <v>61201.597600000001</v>
      </c>
      <c r="Y3684">
        <f>ReconciliationData[[#This Row],[ordered_units]]*ReconciliationData[[#This Row],[List_Price]]</f>
        <v>61201.597600000001</v>
      </c>
      <c r="Z3684">
        <f>ReconciliationData[[#This Row],[billed_revenue]]-ReconciliationData[[#This Row],[expected_revenue]]</f>
        <v>0</v>
      </c>
      <c r="AA36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84" t="str">
        <f>IF(ReconciliationData[[#This Row],[severity_score]]=0,"LOW",
 IF(ReconciliationData[[#This Row],[severity_score]]&lt;=5,"MEDIUM","HIGH"))</f>
        <v>LOW</v>
      </c>
      <c r="AC3684" t="str">
        <f>TEXT(ReconciliationData[[#This Row],[Order_Date]],"YYYY-MM")</f>
        <v>2024-08</v>
      </c>
    </row>
    <row r="3685" spans="1:29">
      <c r="A3685" t="s">
        <v>8591</v>
      </c>
      <c r="B3685" s="1">
        <v>45545</v>
      </c>
      <c r="C3685" t="s">
        <v>572</v>
      </c>
      <c r="D3685" t="s">
        <v>1580</v>
      </c>
      <c r="E3685">
        <v>153</v>
      </c>
      <c r="F3685" t="s">
        <v>8592</v>
      </c>
      <c r="G3685">
        <v>153</v>
      </c>
      <c r="H3685">
        <v>708.51900000000001</v>
      </c>
      <c r="N3685">
        <v>708.51900000000001</v>
      </c>
      <c r="O3685" s="1">
        <v>45063</v>
      </c>
      <c r="P3685">
        <f>IF(ISBLANK(ReconciliationData[[#This Row],[Invoice_ID]]),1,0)</f>
        <v>0</v>
      </c>
      <c r="Q3685">
        <f>IF(AND(NOT(ISBLANK(ReconciliationData[[#This Row],[Billed_Units]])),ReconciliationData[[#This Row],[ordered_units]]&lt;&gt;ReconciliationData[[#This Row],[Billed_Units]]),1,0)</f>
        <v>0</v>
      </c>
      <c r="R36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5">
        <f>IF(AND(NOT(ISBLANK(ReconciliationData[[#This Row],[Contract_Price]])),ReconciliationData[[#This Row],[Billed_Price]]&lt;&gt;ReconciliationData[[#This Row],[Contract_Price]]),1,0)</f>
        <v>0</v>
      </c>
      <c r="T3685">
        <f>IF(AND(NOT(ISBLANK(ReconciliationData[[#This Row],[End_Date]])),ReconciliationData[[#This Row],[Order_Date]]&gt;ReconciliationData[[#This Row],[End_Date]]),1,0)</f>
        <v>0</v>
      </c>
      <c r="U3685">
        <f>IF(AND(NOT(ISBLANK(ReconciliationData[[#This Row],[last_return_date]])),ReconciliationData[[#This Row],[last_return_date]]&gt;ReconciliationData[[#This Row],[Order_Date]]+60),1,0)</f>
        <v>0</v>
      </c>
      <c r="V3685">
        <f>IF(ReconciliationData[[#This Row],[total_returned_units]]&gt;ReconciliationData[[#This Row],[ordered_units]],1,0)</f>
        <v>0</v>
      </c>
      <c r="W36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85">
        <f>ReconciliationData[[#This Row],[Billed_Units]]*ReconciliationData[[#This Row],[Billed_Price]]</f>
        <v>108403.40700000001</v>
      </c>
      <c r="Y3685">
        <f>ReconciliationData[[#This Row],[ordered_units]]*ReconciliationData[[#This Row],[List_Price]]</f>
        <v>108403.40700000001</v>
      </c>
      <c r="Z3685">
        <f>ReconciliationData[[#This Row],[billed_revenue]]-ReconciliationData[[#This Row],[expected_revenue]]</f>
        <v>0</v>
      </c>
      <c r="AA36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85" t="str">
        <f>IF(ReconciliationData[[#This Row],[severity_score]]=0,"LOW",
 IF(ReconciliationData[[#This Row],[severity_score]]&lt;=5,"MEDIUM","HIGH"))</f>
        <v>LOW</v>
      </c>
      <c r="AC3685" t="str">
        <f>TEXT(ReconciliationData[[#This Row],[Order_Date]],"YYYY-MM")</f>
        <v>2024-09</v>
      </c>
    </row>
    <row r="3686" spans="1:29">
      <c r="A3686" t="s">
        <v>8593</v>
      </c>
      <c r="B3686" s="1">
        <v>45247</v>
      </c>
      <c r="C3686" t="s">
        <v>714</v>
      </c>
      <c r="D3686" t="s">
        <v>821</v>
      </c>
      <c r="E3686">
        <v>171</v>
      </c>
      <c r="F3686" t="s">
        <v>8594</v>
      </c>
      <c r="G3686">
        <v>171</v>
      </c>
      <c r="H3686">
        <v>785.89</v>
      </c>
      <c r="I3686">
        <v>15</v>
      </c>
      <c r="J3686" s="1">
        <v>45421</v>
      </c>
      <c r="N3686">
        <v>785.89</v>
      </c>
      <c r="O3686" s="1">
        <v>44989</v>
      </c>
      <c r="P3686">
        <f>IF(ISBLANK(ReconciliationData[[#This Row],[Invoice_ID]]),1,0)</f>
        <v>0</v>
      </c>
      <c r="Q3686">
        <f>IF(AND(NOT(ISBLANK(ReconciliationData[[#This Row],[Billed_Units]])),ReconciliationData[[#This Row],[ordered_units]]&lt;&gt;ReconciliationData[[#This Row],[Billed_Units]]),1,0)</f>
        <v>0</v>
      </c>
      <c r="R36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6">
        <f>IF(AND(NOT(ISBLANK(ReconciliationData[[#This Row],[Contract_Price]])),ReconciliationData[[#This Row],[Billed_Price]]&lt;&gt;ReconciliationData[[#This Row],[Contract_Price]]),1,0)</f>
        <v>0</v>
      </c>
      <c r="T3686">
        <f>IF(AND(NOT(ISBLANK(ReconciliationData[[#This Row],[End_Date]])),ReconciliationData[[#This Row],[Order_Date]]&gt;ReconciliationData[[#This Row],[End_Date]]),1,0)</f>
        <v>0</v>
      </c>
      <c r="U3686">
        <f>IF(AND(NOT(ISBLANK(ReconciliationData[[#This Row],[last_return_date]])),ReconciliationData[[#This Row],[last_return_date]]&gt;ReconciliationData[[#This Row],[Order_Date]]+60),1,0)</f>
        <v>1</v>
      </c>
      <c r="V3686">
        <f>IF(ReconciliationData[[#This Row],[total_returned_units]]&gt;ReconciliationData[[#This Row],[ordered_units]],1,0)</f>
        <v>0</v>
      </c>
      <c r="W36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86">
        <f>ReconciliationData[[#This Row],[Billed_Units]]*ReconciliationData[[#This Row],[Billed_Price]]</f>
        <v>134387.19</v>
      </c>
      <c r="Y3686">
        <f>ReconciliationData[[#This Row],[ordered_units]]*ReconciliationData[[#This Row],[List_Price]]</f>
        <v>134387.19</v>
      </c>
      <c r="Z3686">
        <f>ReconciliationData[[#This Row],[billed_revenue]]-ReconciliationData[[#This Row],[expected_revenue]]</f>
        <v>0</v>
      </c>
      <c r="AA36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686" t="str">
        <f>IF(ReconciliationData[[#This Row],[severity_score]]=0,"LOW",
 IF(ReconciliationData[[#This Row],[severity_score]]&lt;=5,"MEDIUM","HIGH"))</f>
        <v>MEDIUM</v>
      </c>
      <c r="AC3686" t="str">
        <f>TEXT(ReconciliationData[[#This Row],[Order_Date]],"YYYY-MM")</f>
        <v>2023-11</v>
      </c>
    </row>
    <row r="3687" spans="1:29">
      <c r="A3687" t="s">
        <v>8595</v>
      </c>
      <c r="B3687" s="1">
        <v>45226</v>
      </c>
      <c r="C3687" t="s">
        <v>1851</v>
      </c>
      <c r="D3687" t="s">
        <v>2370</v>
      </c>
      <c r="E3687">
        <v>176</v>
      </c>
      <c r="F3687" t="s">
        <v>8596</v>
      </c>
      <c r="G3687">
        <v>176</v>
      </c>
      <c r="H3687">
        <v>1247.7911999999999</v>
      </c>
      <c r="N3687">
        <v>1247.7911999999999</v>
      </c>
      <c r="O3687" s="1">
        <v>45213</v>
      </c>
      <c r="P3687">
        <f>IF(ISBLANK(ReconciliationData[[#This Row],[Invoice_ID]]),1,0)</f>
        <v>0</v>
      </c>
      <c r="Q3687">
        <f>IF(AND(NOT(ISBLANK(ReconciliationData[[#This Row],[Billed_Units]])),ReconciliationData[[#This Row],[ordered_units]]&lt;&gt;ReconciliationData[[#This Row],[Billed_Units]]),1,0)</f>
        <v>0</v>
      </c>
      <c r="R36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7">
        <f>IF(AND(NOT(ISBLANK(ReconciliationData[[#This Row],[Contract_Price]])),ReconciliationData[[#This Row],[Billed_Price]]&lt;&gt;ReconciliationData[[#This Row],[Contract_Price]]),1,0)</f>
        <v>0</v>
      </c>
      <c r="T3687">
        <f>IF(AND(NOT(ISBLANK(ReconciliationData[[#This Row],[End_Date]])),ReconciliationData[[#This Row],[Order_Date]]&gt;ReconciliationData[[#This Row],[End_Date]]),1,0)</f>
        <v>0</v>
      </c>
      <c r="U3687">
        <f>IF(AND(NOT(ISBLANK(ReconciliationData[[#This Row],[last_return_date]])),ReconciliationData[[#This Row],[last_return_date]]&gt;ReconciliationData[[#This Row],[Order_Date]]+60),1,0)</f>
        <v>0</v>
      </c>
      <c r="V3687">
        <f>IF(ReconciliationData[[#This Row],[total_returned_units]]&gt;ReconciliationData[[#This Row],[ordered_units]],1,0)</f>
        <v>0</v>
      </c>
      <c r="W36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87">
        <f>ReconciliationData[[#This Row],[Billed_Units]]*ReconciliationData[[#This Row],[Billed_Price]]</f>
        <v>219611.25119999997</v>
      </c>
      <c r="Y3687">
        <f>ReconciliationData[[#This Row],[ordered_units]]*ReconciliationData[[#This Row],[List_Price]]</f>
        <v>219611.25119999997</v>
      </c>
      <c r="Z3687">
        <f>ReconciliationData[[#This Row],[billed_revenue]]-ReconciliationData[[#This Row],[expected_revenue]]</f>
        <v>0</v>
      </c>
      <c r="AA36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87" t="str">
        <f>IF(ReconciliationData[[#This Row],[severity_score]]=0,"LOW",
 IF(ReconciliationData[[#This Row],[severity_score]]&lt;=5,"MEDIUM","HIGH"))</f>
        <v>LOW</v>
      </c>
      <c r="AC3687" t="str">
        <f>TEXT(ReconciliationData[[#This Row],[Order_Date]],"YYYY-MM")</f>
        <v>2023-10</v>
      </c>
    </row>
    <row r="3688" spans="1:29">
      <c r="A3688" t="s">
        <v>8597</v>
      </c>
      <c r="B3688" s="1">
        <v>44957</v>
      </c>
      <c r="C3688" t="s">
        <v>418</v>
      </c>
      <c r="D3688" t="s">
        <v>1424</v>
      </c>
      <c r="E3688">
        <v>150</v>
      </c>
      <c r="F3688" t="s">
        <v>8598</v>
      </c>
      <c r="G3688">
        <v>150</v>
      </c>
      <c r="H3688">
        <v>167.62</v>
      </c>
      <c r="N3688">
        <v>167.62</v>
      </c>
      <c r="O3688" s="1">
        <v>44733</v>
      </c>
      <c r="P3688">
        <f>IF(ISBLANK(ReconciliationData[[#This Row],[Invoice_ID]]),1,0)</f>
        <v>0</v>
      </c>
      <c r="Q3688">
        <f>IF(AND(NOT(ISBLANK(ReconciliationData[[#This Row],[Billed_Units]])),ReconciliationData[[#This Row],[ordered_units]]&lt;&gt;ReconciliationData[[#This Row],[Billed_Units]]),1,0)</f>
        <v>0</v>
      </c>
      <c r="R36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8">
        <f>IF(AND(NOT(ISBLANK(ReconciliationData[[#This Row],[Contract_Price]])),ReconciliationData[[#This Row],[Billed_Price]]&lt;&gt;ReconciliationData[[#This Row],[Contract_Price]]),1,0)</f>
        <v>0</v>
      </c>
      <c r="T3688">
        <f>IF(AND(NOT(ISBLANK(ReconciliationData[[#This Row],[End_Date]])),ReconciliationData[[#This Row],[Order_Date]]&gt;ReconciliationData[[#This Row],[End_Date]]),1,0)</f>
        <v>0</v>
      </c>
      <c r="U3688">
        <f>IF(AND(NOT(ISBLANK(ReconciliationData[[#This Row],[last_return_date]])),ReconciliationData[[#This Row],[last_return_date]]&gt;ReconciliationData[[#This Row],[Order_Date]]+60),1,0)</f>
        <v>0</v>
      </c>
      <c r="V3688">
        <f>IF(ReconciliationData[[#This Row],[total_returned_units]]&gt;ReconciliationData[[#This Row],[ordered_units]],1,0)</f>
        <v>0</v>
      </c>
      <c r="W36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88">
        <f>ReconciliationData[[#This Row],[Billed_Units]]*ReconciliationData[[#This Row],[Billed_Price]]</f>
        <v>25143</v>
      </c>
      <c r="Y3688">
        <f>ReconciliationData[[#This Row],[ordered_units]]*ReconciliationData[[#This Row],[List_Price]]</f>
        <v>25143</v>
      </c>
      <c r="Z3688">
        <f>ReconciliationData[[#This Row],[billed_revenue]]-ReconciliationData[[#This Row],[expected_revenue]]</f>
        <v>0</v>
      </c>
      <c r="AA36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88" t="str">
        <f>IF(ReconciliationData[[#This Row],[severity_score]]=0,"LOW",
 IF(ReconciliationData[[#This Row],[severity_score]]&lt;=5,"MEDIUM","HIGH"))</f>
        <v>LOW</v>
      </c>
      <c r="AC3688" t="str">
        <f>TEXT(ReconciliationData[[#This Row],[Order_Date]],"YYYY-MM")</f>
        <v>2023-01</v>
      </c>
    </row>
    <row r="3689" spans="1:29">
      <c r="A3689" t="s">
        <v>8599</v>
      </c>
      <c r="B3689" s="1">
        <v>45090</v>
      </c>
      <c r="C3689" t="s">
        <v>418</v>
      </c>
      <c r="D3689" t="s">
        <v>345</v>
      </c>
      <c r="E3689">
        <v>175</v>
      </c>
      <c r="F3689" t="s">
        <v>8600</v>
      </c>
      <c r="G3689">
        <v>175</v>
      </c>
      <c r="H3689">
        <v>574.3415</v>
      </c>
      <c r="N3689">
        <v>574.3415</v>
      </c>
      <c r="O3689" s="1">
        <v>44806</v>
      </c>
      <c r="P3689">
        <f>IF(ISBLANK(ReconciliationData[[#This Row],[Invoice_ID]]),1,0)</f>
        <v>0</v>
      </c>
      <c r="Q3689">
        <f>IF(AND(NOT(ISBLANK(ReconciliationData[[#This Row],[Billed_Units]])),ReconciliationData[[#This Row],[ordered_units]]&lt;&gt;ReconciliationData[[#This Row],[Billed_Units]]),1,0)</f>
        <v>0</v>
      </c>
      <c r="R36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89">
        <f>IF(AND(NOT(ISBLANK(ReconciliationData[[#This Row],[Contract_Price]])),ReconciliationData[[#This Row],[Billed_Price]]&lt;&gt;ReconciliationData[[#This Row],[Contract_Price]]),1,0)</f>
        <v>0</v>
      </c>
      <c r="T3689">
        <f>IF(AND(NOT(ISBLANK(ReconciliationData[[#This Row],[End_Date]])),ReconciliationData[[#This Row],[Order_Date]]&gt;ReconciliationData[[#This Row],[End_Date]]),1,0)</f>
        <v>0</v>
      </c>
      <c r="U3689">
        <f>IF(AND(NOT(ISBLANK(ReconciliationData[[#This Row],[last_return_date]])),ReconciliationData[[#This Row],[last_return_date]]&gt;ReconciliationData[[#This Row],[Order_Date]]+60),1,0)</f>
        <v>0</v>
      </c>
      <c r="V3689">
        <f>IF(ReconciliationData[[#This Row],[total_returned_units]]&gt;ReconciliationData[[#This Row],[ordered_units]],1,0)</f>
        <v>0</v>
      </c>
      <c r="W36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89">
        <f>ReconciliationData[[#This Row],[Billed_Units]]*ReconciliationData[[#This Row],[Billed_Price]]</f>
        <v>100509.7625</v>
      </c>
      <c r="Y3689">
        <f>ReconciliationData[[#This Row],[ordered_units]]*ReconciliationData[[#This Row],[List_Price]]</f>
        <v>100509.7625</v>
      </c>
      <c r="Z3689">
        <f>ReconciliationData[[#This Row],[billed_revenue]]-ReconciliationData[[#This Row],[expected_revenue]]</f>
        <v>0</v>
      </c>
      <c r="AA36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89" t="str">
        <f>IF(ReconciliationData[[#This Row],[severity_score]]=0,"LOW",
 IF(ReconciliationData[[#This Row],[severity_score]]&lt;=5,"MEDIUM","HIGH"))</f>
        <v>LOW</v>
      </c>
      <c r="AC3689" t="str">
        <f>TEXT(ReconciliationData[[#This Row],[Order_Date]],"YYYY-MM")</f>
        <v>2023-06</v>
      </c>
    </row>
    <row r="3690" spans="1:29">
      <c r="A3690" t="s">
        <v>8601</v>
      </c>
      <c r="B3690" s="1">
        <v>45513</v>
      </c>
      <c r="C3690" t="s">
        <v>2848</v>
      </c>
      <c r="D3690" t="s">
        <v>1794</v>
      </c>
      <c r="E3690">
        <v>100</v>
      </c>
      <c r="F3690" t="s">
        <v>8602</v>
      </c>
      <c r="G3690">
        <v>100</v>
      </c>
      <c r="H3690">
        <v>491.10239999999999</v>
      </c>
      <c r="N3690">
        <v>491.10239999999999</v>
      </c>
      <c r="O3690" s="1">
        <v>45187</v>
      </c>
      <c r="P3690">
        <f>IF(ISBLANK(ReconciliationData[[#This Row],[Invoice_ID]]),1,0)</f>
        <v>0</v>
      </c>
      <c r="Q3690">
        <f>IF(AND(NOT(ISBLANK(ReconciliationData[[#This Row],[Billed_Units]])),ReconciliationData[[#This Row],[ordered_units]]&lt;&gt;ReconciliationData[[#This Row],[Billed_Units]]),1,0)</f>
        <v>0</v>
      </c>
      <c r="R36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90">
        <f>IF(AND(NOT(ISBLANK(ReconciliationData[[#This Row],[Contract_Price]])),ReconciliationData[[#This Row],[Billed_Price]]&lt;&gt;ReconciliationData[[#This Row],[Contract_Price]]),1,0)</f>
        <v>0</v>
      </c>
      <c r="T3690">
        <f>IF(AND(NOT(ISBLANK(ReconciliationData[[#This Row],[End_Date]])),ReconciliationData[[#This Row],[Order_Date]]&gt;ReconciliationData[[#This Row],[End_Date]]),1,0)</f>
        <v>0</v>
      </c>
      <c r="U3690">
        <f>IF(AND(NOT(ISBLANK(ReconciliationData[[#This Row],[last_return_date]])),ReconciliationData[[#This Row],[last_return_date]]&gt;ReconciliationData[[#This Row],[Order_Date]]+60),1,0)</f>
        <v>0</v>
      </c>
      <c r="V3690">
        <f>IF(ReconciliationData[[#This Row],[total_returned_units]]&gt;ReconciliationData[[#This Row],[ordered_units]],1,0)</f>
        <v>0</v>
      </c>
      <c r="W36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90">
        <f>ReconciliationData[[#This Row],[Billed_Units]]*ReconciliationData[[#This Row],[Billed_Price]]</f>
        <v>49110.239999999998</v>
      </c>
      <c r="Y3690">
        <f>ReconciliationData[[#This Row],[ordered_units]]*ReconciliationData[[#This Row],[List_Price]]</f>
        <v>49110.239999999998</v>
      </c>
      <c r="Z3690">
        <f>ReconciliationData[[#This Row],[billed_revenue]]-ReconciliationData[[#This Row],[expected_revenue]]</f>
        <v>0</v>
      </c>
      <c r="AA36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90" t="str">
        <f>IF(ReconciliationData[[#This Row],[severity_score]]=0,"LOW",
 IF(ReconciliationData[[#This Row],[severity_score]]&lt;=5,"MEDIUM","HIGH"))</f>
        <v>LOW</v>
      </c>
      <c r="AC3690" t="str">
        <f>TEXT(ReconciliationData[[#This Row],[Order_Date]],"YYYY-MM")</f>
        <v>2024-08</v>
      </c>
    </row>
    <row r="3691" spans="1:29">
      <c r="A3691" t="s">
        <v>8603</v>
      </c>
      <c r="B3691" s="1">
        <v>45420</v>
      </c>
      <c r="C3691" t="s">
        <v>3473</v>
      </c>
      <c r="D3691" t="s">
        <v>738</v>
      </c>
      <c r="E3691">
        <v>174</v>
      </c>
      <c r="F3691" t="s">
        <v>8604</v>
      </c>
      <c r="G3691">
        <v>174</v>
      </c>
      <c r="H3691">
        <v>664.8768</v>
      </c>
      <c r="N3691">
        <v>664.8768</v>
      </c>
      <c r="O3691" s="1">
        <v>45116</v>
      </c>
      <c r="P3691">
        <f>IF(ISBLANK(ReconciliationData[[#This Row],[Invoice_ID]]),1,0)</f>
        <v>0</v>
      </c>
      <c r="Q3691">
        <f>IF(AND(NOT(ISBLANK(ReconciliationData[[#This Row],[Billed_Units]])),ReconciliationData[[#This Row],[ordered_units]]&lt;&gt;ReconciliationData[[#This Row],[Billed_Units]]),1,0)</f>
        <v>0</v>
      </c>
      <c r="R36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91">
        <f>IF(AND(NOT(ISBLANK(ReconciliationData[[#This Row],[Contract_Price]])),ReconciliationData[[#This Row],[Billed_Price]]&lt;&gt;ReconciliationData[[#This Row],[Contract_Price]]),1,0)</f>
        <v>0</v>
      </c>
      <c r="T3691">
        <f>IF(AND(NOT(ISBLANK(ReconciliationData[[#This Row],[End_Date]])),ReconciliationData[[#This Row],[Order_Date]]&gt;ReconciliationData[[#This Row],[End_Date]]),1,0)</f>
        <v>0</v>
      </c>
      <c r="U3691">
        <f>IF(AND(NOT(ISBLANK(ReconciliationData[[#This Row],[last_return_date]])),ReconciliationData[[#This Row],[last_return_date]]&gt;ReconciliationData[[#This Row],[Order_Date]]+60),1,0)</f>
        <v>0</v>
      </c>
      <c r="V3691">
        <f>IF(ReconciliationData[[#This Row],[total_returned_units]]&gt;ReconciliationData[[#This Row],[ordered_units]],1,0)</f>
        <v>0</v>
      </c>
      <c r="W36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91">
        <f>ReconciliationData[[#This Row],[Billed_Units]]*ReconciliationData[[#This Row],[Billed_Price]]</f>
        <v>115688.5632</v>
      </c>
      <c r="Y3691">
        <f>ReconciliationData[[#This Row],[ordered_units]]*ReconciliationData[[#This Row],[List_Price]]</f>
        <v>115688.5632</v>
      </c>
      <c r="Z3691">
        <f>ReconciliationData[[#This Row],[billed_revenue]]-ReconciliationData[[#This Row],[expected_revenue]]</f>
        <v>0</v>
      </c>
      <c r="AA36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91" t="str">
        <f>IF(ReconciliationData[[#This Row],[severity_score]]=0,"LOW",
 IF(ReconciliationData[[#This Row],[severity_score]]&lt;=5,"MEDIUM","HIGH"))</f>
        <v>LOW</v>
      </c>
      <c r="AC3691" t="str">
        <f>TEXT(ReconciliationData[[#This Row],[Order_Date]],"YYYY-MM")</f>
        <v>2024-05</v>
      </c>
    </row>
    <row r="3692" spans="1:29">
      <c r="A3692" t="s">
        <v>8605</v>
      </c>
      <c r="B3692" s="1">
        <v>45201</v>
      </c>
      <c r="C3692" t="s">
        <v>1993</v>
      </c>
      <c r="D3692" t="s">
        <v>453</v>
      </c>
      <c r="E3692">
        <v>103</v>
      </c>
      <c r="F3692" t="s">
        <v>8606</v>
      </c>
      <c r="G3692">
        <v>103</v>
      </c>
      <c r="H3692">
        <v>1184.9544000000001</v>
      </c>
      <c r="N3692">
        <v>1184.9544000000001</v>
      </c>
      <c r="O3692" s="1">
        <v>45171</v>
      </c>
      <c r="P3692">
        <f>IF(ISBLANK(ReconciliationData[[#This Row],[Invoice_ID]]),1,0)</f>
        <v>0</v>
      </c>
      <c r="Q3692">
        <f>IF(AND(NOT(ISBLANK(ReconciliationData[[#This Row],[Billed_Units]])),ReconciliationData[[#This Row],[ordered_units]]&lt;&gt;ReconciliationData[[#This Row],[Billed_Units]]),1,0)</f>
        <v>0</v>
      </c>
      <c r="R36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92">
        <f>IF(AND(NOT(ISBLANK(ReconciliationData[[#This Row],[Contract_Price]])),ReconciliationData[[#This Row],[Billed_Price]]&lt;&gt;ReconciliationData[[#This Row],[Contract_Price]]),1,0)</f>
        <v>0</v>
      </c>
      <c r="T3692">
        <f>IF(AND(NOT(ISBLANK(ReconciliationData[[#This Row],[End_Date]])),ReconciliationData[[#This Row],[Order_Date]]&gt;ReconciliationData[[#This Row],[End_Date]]),1,0)</f>
        <v>0</v>
      </c>
      <c r="U3692">
        <f>IF(AND(NOT(ISBLANK(ReconciliationData[[#This Row],[last_return_date]])),ReconciliationData[[#This Row],[last_return_date]]&gt;ReconciliationData[[#This Row],[Order_Date]]+60),1,0)</f>
        <v>0</v>
      </c>
      <c r="V3692">
        <f>IF(ReconciliationData[[#This Row],[total_returned_units]]&gt;ReconciliationData[[#This Row],[ordered_units]],1,0)</f>
        <v>0</v>
      </c>
      <c r="W36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92">
        <f>ReconciliationData[[#This Row],[Billed_Units]]*ReconciliationData[[#This Row],[Billed_Price]]</f>
        <v>122050.30320000001</v>
      </c>
      <c r="Y3692">
        <f>ReconciliationData[[#This Row],[ordered_units]]*ReconciliationData[[#This Row],[List_Price]]</f>
        <v>122050.30320000001</v>
      </c>
      <c r="Z3692">
        <f>ReconciliationData[[#This Row],[billed_revenue]]-ReconciliationData[[#This Row],[expected_revenue]]</f>
        <v>0</v>
      </c>
      <c r="AA36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92" t="str">
        <f>IF(ReconciliationData[[#This Row],[severity_score]]=0,"LOW",
 IF(ReconciliationData[[#This Row],[severity_score]]&lt;=5,"MEDIUM","HIGH"))</f>
        <v>LOW</v>
      </c>
      <c r="AC3692" t="str">
        <f>TEXT(ReconciliationData[[#This Row],[Order_Date]],"YYYY-MM")</f>
        <v>2023-10</v>
      </c>
    </row>
    <row r="3693" spans="1:29">
      <c r="A3693" t="s">
        <v>8607</v>
      </c>
      <c r="B3693" s="1">
        <v>44996</v>
      </c>
      <c r="C3693" t="s">
        <v>5392</v>
      </c>
      <c r="D3693" t="s">
        <v>1533</v>
      </c>
      <c r="E3693">
        <v>1</v>
      </c>
      <c r="F3693" t="s">
        <v>8608</v>
      </c>
      <c r="G3693">
        <v>-4</v>
      </c>
      <c r="H3693">
        <v>942.94</v>
      </c>
      <c r="N3693">
        <v>942.94</v>
      </c>
      <c r="O3693" s="1">
        <v>44666</v>
      </c>
      <c r="P3693">
        <f>IF(ISBLANK(ReconciliationData[[#This Row],[Invoice_ID]]),1,0)</f>
        <v>0</v>
      </c>
      <c r="Q3693">
        <f>IF(AND(NOT(ISBLANK(ReconciliationData[[#This Row],[Billed_Units]])),ReconciliationData[[#This Row],[ordered_units]]&lt;&gt;ReconciliationData[[#This Row],[Billed_Units]]),1,0)</f>
        <v>1</v>
      </c>
      <c r="R36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93">
        <f>IF(AND(NOT(ISBLANK(ReconciliationData[[#This Row],[Contract_Price]])),ReconciliationData[[#This Row],[Billed_Price]]&lt;&gt;ReconciliationData[[#This Row],[Contract_Price]]),1,0)</f>
        <v>0</v>
      </c>
      <c r="T3693">
        <f>IF(AND(NOT(ISBLANK(ReconciliationData[[#This Row],[End_Date]])),ReconciliationData[[#This Row],[Order_Date]]&gt;ReconciliationData[[#This Row],[End_Date]]),1,0)</f>
        <v>0</v>
      </c>
      <c r="U3693">
        <f>IF(AND(NOT(ISBLANK(ReconciliationData[[#This Row],[last_return_date]])),ReconciliationData[[#This Row],[last_return_date]]&gt;ReconciliationData[[#This Row],[Order_Date]]+60),1,0)</f>
        <v>0</v>
      </c>
      <c r="V3693">
        <f>IF(ReconciliationData[[#This Row],[total_returned_units]]&gt;ReconciliationData[[#This Row],[ordered_units]],1,0)</f>
        <v>0</v>
      </c>
      <c r="W36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93">
        <f>ReconciliationData[[#This Row],[Billed_Units]]*ReconciliationData[[#This Row],[Billed_Price]]</f>
        <v>-3771.76</v>
      </c>
      <c r="Y3693">
        <f>ReconciliationData[[#This Row],[ordered_units]]*ReconciliationData[[#This Row],[List_Price]]</f>
        <v>942.94</v>
      </c>
      <c r="Z3693">
        <f>ReconciliationData[[#This Row],[billed_revenue]]-ReconciliationData[[#This Row],[expected_revenue]]</f>
        <v>-4714.7000000000007</v>
      </c>
      <c r="AA36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693" t="str">
        <f>IF(ReconciliationData[[#This Row],[severity_score]]=0,"LOW",
 IF(ReconciliationData[[#This Row],[severity_score]]&lt;=5,"MEDIUM","HIGH"))</f>
        <v>HIGH</v>
      </c>
      <c r="AC3693" t="str">
        <f>TEXT(ReconciliationData[[#This Row],[Order_Date]],"YYYY-MM")</f>
        <v>2023-03</v>
      </c>
    </row>
    <row r="3694" spans="1:29">
      <c r="A3694" t="s">
        <v>8609</v>
      </c>
      <c r="B3694" s="1">
        <v>45099</v>
      </c>
      <c r="C3694" t="s">
        <v>1399</v>
      </c>
      <c r="D3694" t="s">
        <v>1606</v>
      </c>
      <c r="E3694">
        <v>89</v>
      </c>
      <c r="F3694" t="s">
        <v>8610</v>
      </c>
      <c r="G3694">
        <v>89</v>
      </c>
      <c r="H3694">
        <v>580.28646139563534</v>
      </c>
      <c r="N3694">
        <v>579.65</v>
      </c>
      <c r="O3694" s="1">
        <v>44837</v>
      </c>
      <c r="P3694">
        <f>IF(ISBLANK(ReconciliationData[[#This Row],[Invoice_ID]]),1,0)</f>
        <v>0</v>
      </c>
      <c r="Q3694">
        <f>IF(AND(NOT(ISBLANK(ReconciliationData[[#This Row],[Billed_Units]])),ReconciliationData[[#This Row],[ordered_units]]&lt;&gt;ReconciliationData[[#This Row],[Billed_Units]]),1,0)</f>
        <v>0</v>
      </c>
      <c r="R369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694">
        <f>IF(AND(NOT(ISBLANK(ReconciliationData[[#This Row],[Contract_Price]])),ReconciliationData[[#This Row],[Billed_Price]]&lt;&gt;ReconciliationData[[#This Row],[Contract_Price]]),1,0)</f>
        <v>0</v>
      </c>
      <c r="T3694">
        <f>IF(AND(NOT(ISBLANK(ReconciliationData[[#This Row],[End_Date]])),ReconciliationData[[#This Row],[Order_Date]]&gt;ReconciliationData[[#This Row],[End_Date]]),1,0)</f>
        <v>0</v>
      </c>
      <c r="U3694">
        <f>IF(AND(NOT(ISBLANK(ReconciliationData[[#This Row],[last_return_date]])),ReconciliationData[[#This Row],[last_return_date]]&gt;ReconciliationData[[#This Row],[Order_Date]]+60),1,0)</f>
        <v>0</v>
      </c>
      <c r="V3694">
        <f>IF(ReconciliationData[[#This Row],[total_returned_units]]&gt;ReconciliationData[[#This Row],[ordered_units]],1,0)</f>
        <v>0</v>
      </c>
      <c r="W36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694">
        <f>ReconciliationData[[#This Row],[Billed_Units]]*ReconciliationData[[#This Row],[Billed_Price]]</f>
        <v>51645.495064211544</v>
      </c>
      <c r="Y3694">
        <f>ReconciliationData[[#This Row],[ordered_units]]*ReconciliationData[[#This Row],[List_Price]]</f>
        <v>51588.85</v>
      </c>
      <c r="Z3694">
        <f>ReconciliationData[[#This Row],[billed_revenue]]-ReconciliationData[[#This Row],[expected_revenue]]</f>
        <v>56.645064211545105</v>
      </c>
      <c r="AA36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694" t="str">
        <f>IF(ReconciliationData[[#This Row],[severity_score]]=0,"LOW",
 IF(ReconciliationData[[#This Row],[severity_score]]&lt;=5,"MEDIUM","HIGH"))</f>
        <v>MEDIUM</v>
      </c>
      <c r="AC3694" t="str">
        <f>TEXT(ReconciliationData[[#This Row],[Order_Date]],"YYYY-MM")</f>
        <v>2023-06</v>
      </c>
    </row>
    <row r="3695" spans="1:29">
      <c r="A3695" t="s">
        <v>8611</v>
      </c>
      <c r="B3695" s="1">
        <v>45196</v>
      </c>
      <c r="C3695" t="s">
        <v>274</v>
      </c>
      <c r="D3695" t="s">
        <v>512</v>
      </c>
      <c r="E3695">
        <v>98</v>
      </c>
      <c r="F3695" t="s">
        <v>8612</v>
      </c>
      <c r="G3695">
        <v>98</v>
      </c>
      <c r="H3695">
        <v>211.68960000000001</v>
      </c>
      <c r="N3695">
        <v>211.68960000000001</v>
      </c>
      <c r="O3695" s="1">
        <v>45129</v>
      </c>
      <c r="P3695">
        <f>IF(ISBLANK(ReconciliationData[[#This Row],[Invoice_ID]]),1,0)</f>
        <v>0</v>
      </c>
      <c r="Q3695">
        <f>IF(AND(NOT(ISBLANK(ReconciliationData[[#This Row],[Billed_Units]])),ReconciliationData[[#This Row],[ordered_units]]&lt;&gt;ReconciliationData[[#This Row],[Billed_Units]]),1,0)</f>
        <v>0</v>
      </c>
      <c r="R36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95">
        <f>IF(AND(NOT(ISBLANK(ReconciliationData[[#This Row],[Contract_Price]])),ReconciliationData[[#This Row],[Billed_Price]]&lt;&gt;ReconciliationData[[#This Row],[Contract_Price]]),1,0)</f>
        <v>0</v>
      </c>
      <c r="T3695">
        <f>IF(AND(NOT(ISBLANK(ReconciliationData[[#This Row],[End_Date]])),ReconciliationData[[#This Row],[Order_Date]]&gt;ReconciliationData[[#This Row],[End_Date]]),1,0)</f>
        <v>0</v>
      </c>
      <c r="U3695">
        <f>IF(AND(NOT(ISBLANK(ReconciliationData[[#This Row],[last_return_date]])),ReconciliationData[[#This Row],[last_return_date]]&gt;ReconciliationData[[#This Row],[Order_Date]]+60),1,0)</f>
        <v>0</v>
      </c>
      <c r="V3695">
        <f>IF(ReconciliationData[[#This Row],[total_returned_units]]&gt;ReconciliationData[[#This Row],[ordered_units]],1,0)</f>
        <v>0</v>
      </c>
      <c r="W36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95">
        <f>ReconciliationData[[#This Row],[Billed_Units]]*ReconciliationData[[#This Row],[Billed_Price]]</f>
        <v>20745.5808</v>
      </c>
      <c r="Y3695">
        <f>ReconciliationData[[#This Row],[ordered_units]]*ReconciliationData[[#This Row],[List_Price]]</f>
        <v>20745.5808</v>
      </c>
      <c r="Z3695">
        <f>ReconciliationData[[#This Row],[billed_revenue]]-ReconciliationData[[#This Row],[expected_revenue]]</f>
        <v>0</v>
      </c>
      <c r="AA36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95" t="str">
        <f>IF(ReconciliationData[[#This Row],[severity_score]]=0,"LOW",
 IF(ReconciliationData[[#This Row],[severity_score]]&lt;=5,"MEDIUM","HIGH"))</f>
        <v>LOW</v>
      </c>
      <c r="AC3695" t="str">
        <f>TEXT(ReconciliationData[[#This Row],[Order_Date]],"YYYY-MM")</f>
        <v>2023-09</v>
      </c>
    </row>
    <row r="3696" spans="1:29">
      <c r="A3696" t="s">
        <v>8613</v>
      </c>
      <c r="B3696" s="1">
        <v>45333</v>
      </c>
      <c r="C3696" t="s">
        <v>1953</v>
      </c>
      <c r="D3696" t="s">
        <v>916</v>
      </c>
      <c r="E3696">
        <v>46</v>
      </c>
      <c r="F3696" t="s">
        <v>8614</v>
      </c>
      <c r="G3696">
        <v>46</v>
      </c>
      <c r="H3696">
        <v>1158.2643</v>
      </c>
      <c r="N3696">
        <v>1158.2643</v>
      </c>
      <c r="O3696" s="1">
        <v>45119</v>
      </c>
      <c r="P3696">
        <f>IF(ISBLANK(ReconciliationData[[#This Row],[Invoice_ID]]),1,0)</f>
        <v>0</v>
      </c>
      <c r="Q3696">
        <f>IF(AND(NOT(ISBLANK(ReconciliationData[[#This Row],[Billed_Units]])),ReconciliationData[[#This Row],[ordered_units]]&lt;&gt;ReconciliationData[[#This Row],[Billed_Units]]),1,0)</f>
        <v>0</v>
      </c>
      <c r="R36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96">
        <f>IF(AND(NOT(ISBLANK(ReconciliationData[[#This Row],[Contract_Price]])),ReconciliationData[[#This Row],[Billed_Price]]&lt;&gt;ReconciliationData[[#This Row],[Contract_Price]]),1,0)</f>
        <v>0</v>
      </c>
      <c r="T3696">
        <f>IF(AND(NOT(ISBLANK(ReconciliationData[[#This Row],[End_Date]])),ReconciliationData[[#This Row],[Order_Date]]&gt;ReconciliationData[[#This Row],[End_Date]]),1,0)</f>
        <v>0</v>
      </c>
      <c r="U3696">
        <f>IF(AND(NOT(ISBLANK(ReconciliationData[[#This Row],[last_return_date]])),ReconciliationData[[#This Row],[last_return_date]]&gt;ReconciliationData[[#This Row],[Order_Date]]+60),1,0)</f>
        <v>0</v>
      </c>
      <c r="V3696">
        <f>IF(ReconciliationData[[#This Row],[total_returned_units]]&gt;ReconciliationData[[#This Row],[ordered_units]],1,0)</f>
        <v>0</v>
      </c>
      <c r="W36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96">
        <f>ReconciliationData[[#This Row],[Billed_Units]]*ReconciliationData[[#This Row],[Billed_Price]]</f>
        <v>53280.157800000001</v>
      </c>
      <c r="Y3696">
        <f>ReconciliationData[[#This Row],[ordered_units]]*ReconciliationData[[#This Row],[List_Price]]</f>
        <v>53280.157800000001</v>
      </c>
      <c r="Z3696">
        <f>ReconciliationData[[#This Row],[billed_revenue]]-ReconciliationData[[#This Row],[expected_revenue]]</f>
        <v>0</v>
      </c>
      <c r="AA36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96" t="str">
        <f>IF(ReconciliationData[[#This Row],[severity_score]]=0,"LOW",
 IF(ReconciliationData[[#This Row],[severity_score]]&lt;=5,"MEDIUM","HIGH"))</f>
        <v>LOW</v>
      </c>
      <c r="AC3696" t="str">
        <f>TEXT(ReconciliationData[[#This Row],[Order_Date]],"YYYY-MM")</f>
        <v>2024-02</v>
      </c>
    </row>
    <row r="3697" spans="1:29">
      <c r="A3697" t="s">
        <v>8615</v>
      </c>
      <c r="B3697" s="1">
        <v>45410</v>
      </c>
      <c r="C3697" t="s">
        <v>2864</v>
      </c>
      <c r="D3697" t="s">
        <v>569</v>
      </c>
      <c r="E3697">
        <v>198</v>
      </c>
      <c r="F3697" t="s">
        <v>8616</v>
      </c>
      <c r="G3697">
        <v>198</v>
      </c>
      <c r="H3697">
        <v>1231.9933000000001</v>
      </c>
      <c r="N3697">
        <v>1231.9933000000001</v>
      </c>
      <c r="O3697" s="1">
        <v>44934</v>
      </c>
      <c r="P3697">
        <f>IF(ISBLANK(ReconciliationData[[#This Row],[Invoice_ID]]),1,0)</f>
        <v>0</v>
      </c>
      <c r="Q3697">
        <f>IF(AND(NOT(ISBLANK(ReconciliationData[[#This Row],[Billed_Units]])),ReconciliationData[[#This Row],[ordered_units]]&lt;&gt;ReconciliationData[[#This Row],[Billed_Units]]),1,0)</f>
        <v>0</v>
      </c>
      <c r="R36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97">
        <f>IF(AND(NOT(ISBLANK(ReconciliationData[[#This Row],[Contract_Price]])),ReconciliationData[[#This Row],[Billed_Price]]&lt;&gt;ReconciliationData[[#This Row],[Contract_Price]]),1,0)</f>
        <v>0</v>
      </c>
      <c r="T3697">
        <f>IF(AND(NOT(ISBLANK(ReconciliationData[[#This Row],[End_Date]])),ReconciliationData[[#This Row],[Order_Date]]&gt;ReconciliationData[[#This Row],[End_Date]]),1,0)</f>
        <v>0</v>
      </c>
      <c r="U3697">
        <f>IF(AND(NOT(ISBLANK(ReconciliationData[[#This Row],[last_return_date]])),ReconciliationData[[#This Row],[last_return_date]]&gt;ReconciliationData[[#This Row],[Order_Date]]+60),1,0)</f>
        <v>0</v>
      </c>
      <c r="V3697">
        <f>IF(ReconciliationData[[#This Row],[total_returned_units]]&gt;ReconciliationData[[#This Row],[ordered_units]],1,0)</f>
        <v>0</v>
      </c>
      <c r="W36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97">
        <f>ReconciliationData[[#This Row],[Billed_Units]]*ReconciliationData[[#This Row],[Billed_Price]]</f>
        <v>243934.67340000003</v>
      </c>
      <c r="Y3697">
        <f>ReconciliationData[[#This Row],[ordered_units]]*ReconciliationData[[#This Row],[List_Price]]</f>
        <v>243934.67340000003</v>
      </c>
      <c r="Z3697">
        <f>ReconciliationData[[#This Row],[billed_revenue]]-ReconciliationData[[#This Row],[expected_revenue]]</f>
        <v>0</v>
      </c>
      <c r="AA36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97" t="str">
        <f>IF(ReconciliationData[[#This Row],[severity_score]]=0,"LOW",
 IF(ReconciliationData[[#This Row],[severity_score]]&lt;=5,"MEDIUM","HIGH"))</f>
        <v>LOW</v>
      </c>
      <c r="AC3697" t="str">
        <f>TEXT(ReconciliationData[[#This Row],[Order_Date]],"YYYY-MM")</f>
        <v>2024-04</v>
      </c>
    </row>
    <row r="3698" spans="1:29">
      <c r="A3698" t="s">
        <v>8617</v>
      </c>
      <c r="B3698" s="1">
        <v>45262</v>
      </c>
      <c r="C3698" t="s">
        <v>4129</v>
      </c>
      <c r="D3698" t="s">
        <v>1420</v>
      </c>
      <c r="E3698">
        <v>102</v>
      </c>
      <c r="F3698" t="s">
        <v>8618</v>
      </c>
      <c r="G3698">
        <v>102</v>
      </c>
      <c r="H3698">
        <v>77.178600000000003</v>
      </c>
      <c r="N3698">
        <v>77.178600000000003</v>
      </c>
      <c r="O3698" s="1">
        <v>44975</v>
      </c>
      <c r="P3698">
        <f>IF(ISBLANK(ReconciliationData[[#This Row],[Invoice_ID]]),1,0)</f>
        <v>0</v>
      </c>
      <c r="Q3698">
        <f>IF(AND(NOT(ISBLANK(ReconciliationData[[#This Row],[Billed_Units]])),ReconciliationData[[#This Row],[ordered_units]]&lt;&gt;ReconciliationData[[#This Row],[Billed_Units]]),1,0)</f>
        <v>0</v>
      </c>
      <c r="R36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98">
        <f>IF(AND(NOT(ISBLANK(ReconciliationData[[#This Row],[Contract_Price]])),ReconciliationData[[#This Row],[Billed_Price]]&lt;&gt;ReconciliationData[[#This Row],[Contract_Price]]),1,0)</f>
        <v>0</v>
      </c>
      <c r="T3698">
        <f>IF(AND(NOT(ISBLANK(ReconciliationData[[#This Row],[End_Date]])),ReconciliationData[[#This Row],[Order_Date]]&gt;ReconciliationData[[#This Row],[End_Date]]),1,0)</f>
        <v>0</v>
      </c>
      <c r="U3698">
        <f>IF(AND(NOT(ISBLANK(ReconciliationData[[#This Row],[last_return_date]])),ReconciliationData[[#This Row],[last_return_date]]&gt;ReconciliationData[[#This Row],[Order_Date]]+60),1,0)</f>
        <v>0</v>
      </c>
      <c r="V3698">
        <f>IF(ReconciliationData[[#This Row],[total_returned_units]]&gt;ReconciliationData[[#This Row],[ordered_units]],1,0)</f>
        <v>0</v>
      </c>
      <c r="W36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98">
        <f>ReconciliationData[[#This Row],[Billed_Units]]*ReconciliationData[[#This Row],[Billed_Price]]</f>
        <v>7872.2172</v>
      </c>
      <c r="Y3698">
        <f>ReconciliationData[[#This Row],[ordered_units]]*ReconciliationData[[#This Row],[List_Price]]</f>
        <v>7872.2172</v>
      </c>
      <c r="Z3698">
        <f>ReconciliationData[[#This Row],[billed_revenue]]-ReconciliationData[[#This Row],[expected_revenue]]</f>
        <v>0</v>
      </c>
      <c r="AA36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98" t="str">
        <f>IF(ReconciliationData[[#This Row],[severity_score]]=0,"LOW",
 IF(ReconciliationData[[#This Row],[severity_score]]&lt;=5,"MEDIUM","HIGH"))</f>
        <v>LOW</v>
      </c>
      <c r="AC3698" t="str">
        <f>TEXT(ReconciliationData[[#This Row],[Order_Date]],"YYYY-MM")</f>
        <v>2023-12</v>
      </c>
    </row>
    <row r="3699" spans="1:29">
      <c r="A3699" t="s">
        <v>8619</v>
      </c>
      <c r="B3699" s="1">
        <v>45575</v>
      </c>
      <c r="C3699" t="s">
        <v>824</v>
      </c>
      <c r="D3699" t="s">
        <v>1571</v>
      </c>
      <c r="E3699">
        <v>87</v>
      </c>
      <c r="F3699" t="s">
        <v>8620</v>
      </c>
      <c r="G3699">
        <v>87</v>
      </c>
      <c r="H3699">
        <v>1226.9154000000001</v>
      </c>
      <c r="N3699">
        <v>1226.9154000000001</v>
      </c>
      <c r="O3699" s="1">
        <v>45032</v>
      </c>
      <c r="P3699">
        <f>IF(ISBLANK(ReconciliationData[[#This Row],[Invoice_ID]]),1,0)</f>
        <v>0</v>
      </c>
      <c r="Q3699">
        <f>IF(AND(NOT(ISBLANK(ReconciliationData[[#This Row],[Billed_Units]])),ReconciliationData[[#This Row],[ordered_units]]&lt;&gt;ReconciliationData[[#This Row],[Billed_Units]]),1,0)</f>
        <v>0</v>
      </c>
      <c r="R36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699">
        <f>IF(AND(NOT(ISBLANK(ReconciliationData[[#This Row],[Contract_Price]])),ReconciliationData[[#This Row],[Billed_Price]]&lt;&gt;ReconciliationData[[#This Row],[Contract_Price]]),1,0)</f>
        <v>0</v>
      </c>
      <c r="T3699">
        <f>IF(AND(NOT(ISBLANK(ReconciliationData[[#This Row],[End_Date]])),ReconciliationData[[#This Row],[Order_Date]]&gt;ReconciliationData[[#This Row],[End_Date]]),1,0)</f>
        <v>0</v>
      </c>
      <c r="U3699">
        <f>IF(AND(NOT(ISBLANK(ReconciliationData[[#This Row],[last_return_date]])),ReconciliationData[[#This Row],[last_return_date]]&gt;ReconciliationData[[#This Row],[Order_Date]]+60),1,0)</f>
        <v>0</v>
      </c>
      <c r="V3699">
        <f>IF(ReconciliationData[[#This Row],[total_returned_units]]&gt;ReconciliationData[[#This Row],[ordered_units]],1,0)</f>
        <v>0</v>
      </c>
      <c r="W36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699">
        <f>ReconciliationData[[#This Row],[Billed_Units]]*ReconciliationData[[#This Row],[Billed_Price]]</f>
        <v>106741.6398</v>
      </c>
      <c r="Y3699">
        <f>ReconciliationData[[#This Row],[ordered_units]]*ReconciliationData[[#This Row],[List_Price]]</f>
        <v>106741.6398</v>
      </c>
      <c r="Z3699">
        <f>ReconciliationData[[#This Row],[billed_revenue]]-ReconciliationData[[#This Row],[expected_revenue]]</f>
        <v>0</v>
      </c>
      <c r="AA36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699" t="str">
        <f>IF(ReconciliationData[[#This Row],[severity_score]]=0,"LOW",
 IF(ReconciliationData[[#This Row],[severity_score]]&lt;=5,"MEDIUM","HIGH"))</f>
        <v>LOW</v>
      </c>
      <c r="AC3699" t="str">
        <f>TEXT(ReconciliationData[[#This Row],[Order_Date]],"YYYY-MM")</f>
        <v>2024-10</v>
      </c>
    </row>
    <row r="3700" spans="1:29">
      <c r="A3700" t="s">
        <v>8621</v>
      </c>
      <c r="B3700" s="1">
        <v>45016</v>
      </c>
      <c r="C3700" t="s">
        <v>415</v>
      </c>
      <c r="D3700" t="s">
        <v>138</v>
      </c>
      <c r="E3700">
        <v>194</v>
      </c>
      <c r="F3700" t="s">
        <v>8622</v>
      </c>
      <c r="G3700">
        <v>194</v>
      </c>
      <c r="H3700">
        <v>466.43099999999998</v>
      </c>
      <c r="N3700">
        <v>466.43099999999998</v>
      </c>
      <c r="O3700" s="1">
        <v>44882</v>
      </c>
      <c r="P3700">
        <f>IF(ISBLANK(ReconciliationData[[#This Row],[Invoice_ID]]),1,0)</f>
        <v>0</v>
      </c>
      <c r="Q3700">
        <f>IF(AND(NOT(ISBLANK(ReconciliationData[[#This Row],[Billed_Units]])),ReconciliationData[[#This Row],[ordered_units]]&lt;&gt;ReconciliationData[[#This Row],[Billed_Units]]),1,0)</f>
        <v>0</v>
      </c>
      <c r="R37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00">
        <f>IF(AND(NOT(ISBLANK(ReconciliationData[[#This Row],[Contract_Price]])),ReconciliationData[[#This Row],[Billed_Price]]&lt;&gt;ReconciliationData[[#This Row],[Contract_Price]]),1,0)</f>
        <v>0</v>
      </c>
      <c r="T3700">
        <f>IF(AND(NOT(ISBLANK(ReconciliationData[[#This Row],[End_Date]])),ReconciliationData[[#This Row],[Order_Date]]&gt;ReconciliationData[[#This Row],[End_Date]]),1,0)</f>
        <v>0</v>
      </c>
      <c r="U3700">
        <f>IF(AND(NOT(ISBLANK(ReconciliationData[[#This Row],[last_return_date]])),ReconciliationData[[#This Row],[last_return_date]]&gt;ReconciliationData[[#This Row],[Order_Date]]+60),1,0)</f>
        <v>0</v>
      </c>
      <c r="V3700">
        <f>IF(ReconciliationData[[#This Row],[total_returned_units]]&gt;ReconciliationData[[#This Row],[ordered_units]],1,0)</f>
        <v>0</v>
      </c>
      <c r="W37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00">
        <f>ReconciliationData[[#This Row],[Billed_Units]]*ReconciliationData[[#This Row],[Billed_Price]]</f>
        <v>90487.614000000001</v>
      </c>
      <c r="Y3700">
        <f>ReconciliationData[[#This Row],[ordered_units]]*ReconciliationData[[#This Row],[List_Price]]</f>
        <v>90487.614000000001</v>
      </c>
      <c r="Z3700">
        <f>ReconciliationData[[#This Row],[billed_revenue]]-ReconciliationData[[#This Row],[expected_revenue]]</f>
        <v>0</v>
      </c>
      <c r="AA37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00" t="str">
        <f>IF(ReconciliationData[[#This Row],[severity_score]]=0,"LOW",
 IF(ReconciliationData[[#This Row],[severity_score]]&lt;=5,"MEDIUM","HIGH"))</f>
        <v>LOW</v>
      </c>
      <c r="AC3700" t="str">
        <f>TEXT(ReconciliationData[[#This Row],[Order_Date]],"YYYY-MM")</f>
        <v>2023-03</v>
      </c>
    </row>
    <row r="3701" spans="1:29">
      <c r="A3701" t="s">
        <v>8623</v>
      </c>
      <c r="B3701" s="1">
        <v>44935</v>
      </c>
      <c r="C3701" t="s">
        <v>1259</v>
      </c>
      <c r="D3701" t="s">
        <v>441</v>
      </c>
      <c r="E3701">
        <v>61</v>
      </c>
      <c r="F3701" t="s">
        <v>8624</v>
      </c>
      <c r="G3701">
        <v>61</v>
      </c>
      <c r="H3701">
        <v>238.7328</v>
      </c>
      <c r="N3701">
        <v>238.7328</v>
      </c>
      <c r="O3701" s="1">
        <v>44895</v>
      </c>
      <c r="P3701">
        <f>IF(ISBLANK(ReconciliationData[[#This Row],[Invoice_ID]]),1,0)</f>
        <v>0</v>
      </c>
      <c r="Q3701">
        <f>IF(AND(NOT(ISBLANK(ReconciliationData[[#This Row],[Billed_Units]])),ReconciliationData[[#This Row],[ordered_units]]&lt;&gt;ReconciliationData[[#This Row],[Billed_Units]]),1,0)</f>
        <v>0</v>
      </c>
      <c r="R37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01">
        <f>IF(AND(NOT(ISBLANK(ReconciliationData[[#This Row],[Contract_Price]])),ReconciliationData[[#This Row],[Billed_Price]]&lt;&gt;ReconciliationData[[#This Row],[Contract_Price]]),1,0)</f>
        <v>0</v>
      </c>
      <c r="T3701">
        <f>IF(AND(NOT(ISBLANK(ReconciliationData[[#This Row],[End_Date]])),ReconciliationData[[#This Row],[Order_Date]]&gt;ReconciliationData[[#This Row],[End_Date]]),1,0)</f>
        <v>0</v>
      </c>
      <c r="U3701">
        <f>IF(AND(NOT(ISBLANK(ReconciliationData[[#This Row],[last_return_date]])),ReconciliationData[[#This Row],[last_return_date]]&gt;ReconciliationData[[#This Row],[Order_Date]]+60),1,0)</f>
        <v>0</v>
      </c>
      <c r="V3701">
        <f>IF(ReconciliationData[[#This Row],[total_returned_units]]&gt;ReconciliationData[[#This Row],[ordered_units]],1,0)</f>
        <v>0</v>
      </c>
      <c r="W37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01">
        <f>ReconciliationData[[#This Row],[Billed_Units]]*ReconciliationData[[#This Row],[Billed_Price]]</f>
        <v>14562.700800000001</v>
      </c>
      <c r="Y3701">
        <f>ReconciliationData[[#This Row],[ordered_units]]*ReconciliationData[[#This Row],[List_Price]]</f>
        <v>14562.700800000001</v>
      </c>
      <c r="Z3701">
        <f>ReconciliationData[[#This Row],[billed_revenue]]-ReconciliationData[[#This Row],[expected_revenue]]</f>
        <v>0</v>
      </c>
      <c r="AA37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01" t="str">
        <f>IF(ReconciliationData[[#This Row],[severity_score]]=0,"LOW",
 IF(ReconciliationData[[#This Row],[severity_score]]&lt;=5,"MEDIUM","HIGH"))</f>
        <v>LOW</v>
      </c>
      <c r="AC3701" t="str">
        <f>TEXT(ReconciliationData[[#This Row],[Order_Date]],"YYYY-MM")</f>
        <v>2023-01</v>
      </c>
    </row>
    <row r="3702" spans="1:29">
      <c r="A3702" t="s">
        <v>8625</v>
      </c>
      <c r="B3702" s="1">
        <v>45426</v>
      </c>
      <c r="C3702" t="s">
        <v>161</v>
      </c>
      <c r="D3702" t="s">
        <v>1088</v>
      </c>
      <c r="E3702">
        <v>41</v>
      </c>
      <c r="F3702" t="s">
        <v>8626</v>
      </c>
      <c r="G3702">
        <v>45</v>
      </c>
      <c r="H3702">
        <v>72.63</v>
      </c>
      <c r="N3702">
        <v>72.63</v>
      </c>
      <c r="O3702" s="1">
        <v>44956</v>
      </c>
      <c r="P3702">
        <f>IF(ISBLANK(ReconciliationData[[#This Row],[Invoice_ID]]),1,0)</f>
        <v>0</v>
      </c>
      <c r="Q3702">
        <f>IF(AND(NOT(ISBLANK(ReconciliationData[[#This Row],[Billed_Units]])),ReconciliationData[[#This Row],[ordered_units]]&lt;&gt;ReconciliationData[[#This Row],[Billed_Units]]),1,0)</f>
        <v>1</v>
      </c>
      <c r="R37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02">
        <f>IF(AND(NOT(ISBLANK(ReconciliationData[[#This Row],[Contract_Price]])),ReconciliationData[[#This Row],[Billed_Price]]&lt;&gt;ReconciliationData[[#This Row],[Contract_Price]]),1,0)</f>
        <v>0</v>
      </c>
      <c r="T3702">
        <f>IF(AND(NOT(ISBLANK(ReconciliationData[[#This Row],[End_Date]])),ReconciliationData[[#This Row],[Order_Date]]&gt;ReconciliationData[[#This Row],[End_Date]]),1,0)</f>
        <v>0</v>
      </c>
      <c r="U3702">
        <f>IF(AND(NOT(ISBLANK(ReconciliationData[[#This Row],[last_return_date]])),ReconciliationData[[#This Row],[last_return_date]]&gt;ReconciliationData[[#This Row],[Order_Date]]+60),1,0)</f>
        <v>0</v>
      </c>
      <c r="V3702">
        <f>IF(ReconciliationData[[#This Row],[total_returned_units]]&gt;ReconciliationData[[#This Row],[ordered_units]],1,0)</f>
        <v>0</v>
      </c>
      <c r="W37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02">
        <f>ReconciliationData[[#This Row],[Billed_Units]]*ReconciliationData[[#This Row],[Billed_Price]]</f>
        <v>3268.35</v>
      </c>
      <c r="Y3702">
        <f>ReconciliationData[[#This Row],[ordered_units]]*ReconciliationData[[#This Row],[List_Price]]</f>
        <v>2977.83</v>
      </c>
      <c r="Z3702">
        <f>ReconciliationData[[#This Row],[billed_revenue]]-ReconciliationData[[#This Row],[expected_revenue]]</f>
        <v>290.52</v>
      </c>
      <c r="AA37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702" t="str">
        <f>IF(ReconciliationData[[#This Row],[severity_score]]=0,"LOW",
 IF(ReconciliationData[[#This Row],[severity_score]]&lt;=5,"MEDIUM","HIGH"))</f>
        <v>MEDIUM</v>
      </c>
      <c r="AC3702" t="str">
        <f>TEXT(ReconciliationData[[#This Row],[Order_Date]],"YYYY-MM")</f>
        <v>2024-05</v>
      </c>
    </row>
    <row r="3703" spans="1:29">
      <c r="A3703" t="s">
        <v>8627</v>
      </c>
      <c r="B3703" s="1">
        <v>45652</v>
      </c>
      <c r="C3703" t="s">
        <v>1781</v>
      </c>
      <c r="D3703" t="s">
        <v>2853</v>
      </c>
      <c r="E3703">
        <v>132</v>
      </c>
      <c r="F3703" t="s">
        <v>8628</v>
      </c>
      <c r="G3703">
        <v>132</v>
      </c>
      <c r="H3703">
        <v>278.27100000000002</v>
      </c>
      <c r="N3703">
        <v>278.27100000000002</v>
      </c>
      <c r="O3703" s="1">
        <v>45119</v>
      </c>
      <c r="P3703">
        <f>IF(ISBLANK(ReconciliationData[[#This Row],[Invoice_ID]]),1,0)</f>
        <v>0</v>
      </c>
      <c r="Q3703">
        <f>IF(AND(NOT(ISBLANK(ReconciliationData[[#This Row],[Billed_Units]])),ReconciliationData[[#This Row],[ordered_units]]&lt;&gt;ReconciliationData[[#This Row],[Billed_Units]]),1,0)</f>
        <v>0</v>
      </c>
      <c r="R37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03">
        <f>IF(AND(NOT(ISBLANK(ReconciliationData[[#This Row],[Contract_Price]])),ReconciliationData[[#This Row],[Billed_Price]]&lt;&gt;ReconciliationData[[#This Row],[Contract_Price]]),1,0)</f>
        <v>0</v>
      </c>
      <c r="T3703">
        <f>IF(AND(NOT(ISBLANK(ReconciliationData[[#This Row],[End_Date]])),ReconciliationData[[#This Row],[Order_Date]]&gt;ReconciliationData[[#This Row],[End_Date]]),1,0)</f>
        <v>0</v>
      </c>
      <c r="U3703">
        <f>IF(AND(NOT(ISBLANK(ReconciliationData[[#This Row],[last_return_date]])),ReconciliationData[[#This Row],[last_return_date]]&gt;ReconciliationData[[#This Row],[Order_Date]]+60),1,0)</f>
        <v>0</v>
      </c>
      <c r="V3703">
        <f>IF(ReconciliationData[[#This Row],[total_returned_units]]&gt;ReconciliationData[[#This Row],[ordered_units]],1,0)</f>
        <v>0</v>
      </c>
      <c r="W37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03">
        <f>ReconciliationData[[#This Row],[Billed_Units]]*ReconciliationData[[#This Row],[Billed_Price]]</f>
        <v>36731.772000000004</v>
      </c>
      <c r="Y3703">
        <f>ReconciliationData[[#This Row],[ordered_units]]*ReconciliationData[[#This Row],[List_Price]]</f>
        <v>36731.772000000004</v>
      </c>
      <c r="Z3703">
        <f>ReconciliationData[[#This Row],[billed_revenue]]-ReconciliationData[[#This Row],[expected_revenue]]</f>
        <v>0</v>
      </c>
      <c r="AA37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03" t="str">
        <f>IF(ReconciliationData[[#This Row],[severity_score]]=0,"LOW",
 IF(ReconciliationData[[#This Row],[severity_score]]&lt;=5,"MEDIUM","HIGH"))</f>
        <v>LOW</v>
      </c>
      <c r="AC3703" t="str">
        <f>TEXT(ReconciliationData[[#This Row],[Order_Date]],"YYYY-MM")</f>
        <v>2024-12</v>
      </c>
    </row>
    <row r="3704" spans="1:29">
      <c r="A3704" t="s">
        <v>8629</v>
      </c>
      <c r="B3704" s="1">
        <v>45434</v>
      </c>
      <c r="C3704" t="s">
        <v>1458</v>
      </c>
      <c r="D3704" t="s">
        <v>1542</v>
      </c>
      <c r="E3704">
        <v>166</v>
      </c>
      <c r="F3704" t="s">
        <v>8630</v>
      </c>
      <c r="G3704">
        <v>166</v>
      </c>
      <c r="H3704">
        <v>402.05340000000001</v>
      </c>
      <c r="N3704">
        <v>402.05340000000001</v>
      </c>
      <c r="O3704" s="1">
        <v>45214</v>
      </c>
      <c r="P3704">
        <f>IF(ISBLANK(ReconciliationData[[#This Row],[Invoice_ID]]),1,0)</f>
        <v>0</v>
      </c>
      <c r="Q3704">
        <f>IF(AND(NOT(ISBLANK(ReconciliationData[[#This Row],[Billed_Units]])),ReconciliationData[[#This Row],[ordered_units]]&lt;&gt;ReconciliationData[[#This Row],[Billed_Units]]),1,0)</f>
        <v>0</v>
      </c>
      <c r="R37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04">
        <f>IF(AND(NOT(ISBLANK(ReconciliationData[[#This Row],[Contract_Price]])),ReconciliationData[[#This Row],[Billed_Price]]&lt;&gt;ReconciliationData[[#This Row],[Contract_Price]]),1,0)</f>
        <v>0</v>
      </c>
      <c r="T3704">
        <f>IF(AND(NOT(ISBLANK(ReconciliationData[[#This Row],[End_Date]])),ReconciliationData[[#This Row],[Order_Date]]&gt;ReconciliationData[[#This Row],[End_Date]]),1,0)</f>
        <v>0</v>
      </c>
      <c r="U3704">
        <f>IF(AND(NOT(ISBLANK(ReconciliationData[[#This Row],[last_return_date]])),ReconciliationData[[#This Row],[last_return_date]]&gt;ReconciliationData[[#This Row],[Order_Date]]+60),1,0)</f>
        <v>0</v>
      </c>
      <c r="V3704">
        <f>IF(ReconciliationData[[#This Row],[total_returned_units]]&gt;ReconciliationData[[#This Row],[ordered_units]],1,0)</f>
        <v>0</v>
      </c>
      <c r="W37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04">
        <f>ReconciliationData[[#This Row],[Billed_Units]]*ReconciliationData[[#This Row],[Billed_Price]]</f>
        <v>66740.864400000006</v>
      </c>
      <c r="Y3704">
        <f>ReconciliationData[[#This Row],[ordered_units]]*ReconciliationData[[#This Row],[List_Price]]</f>
        <v>66740.864400000006</v>
      </c>
      <c r="Z3704">
        <f>ReconciliationData[[#This Row],[billed_revenue]]-ReconciliationData[[#This Row],[expected_revenue]]</f>
        <v>0</v>
      </c>
      <c r="AA37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04" t="str">
        <f>IF(ReconciliationData[[#This Row],[severity_score]]=0,"LOW",
 IF(ReconciliationData[[#This Row],[severity_score]]&lt;=5,"MEDIUM","HIGH"))</f>
        <v>LOW</v>
      </c>
      <c r="AC3704" t="str">
        <f>TEXT(ReconciliationData[[#This Row],[Order_Date]],"YYYY-MM")</f>
        <v>2024-05</v>
      </c>
    </row>
    <row r="3705" spans="1:29">
      <c r="A3705" t="s">
        <v>8631</v>
      </c>
      <c r="B3705" s="1">
        <v>45008</v>
      </c>
      <c r="C3705" t="s">
        <v>2575</v>
      </c>
      <c r="D3705" t="s">
        <v>643</v>
      </c>
      <c r="E3705">
        <v>102</v>
      </c>
      <c r="F3705" t="s">
        <v>8632</v>
      </c>
      <c r="G3705">
        <v>102</v>
      </c>
      <c r="H3705">
        <v>208.65799999999999</v>
      </c>
      <c r="N3705">
        <v>208.65799999999999</v>
      </c>
      <c r="O3705" s="1">
        <v>44971</v>
      </c>
      <c r="P3705">
        <f>IF(ISBLANK(ReconciliationData[[#This Row],[Invoice_ID]]),1,0)</f>
        <v>0</v>
      </c>
      <c r="Q3705">
        <f>IF(AND(NOT(ISBLANK(ReconciliationData[[#This Row],[Billed_Units]])),ReconciliationData[[#This Row],[ordered_units]]&lt;&gt;ReconciliationData[[#This Row],[Billed_Units]]),1,0)</f>
        <v>0</v>
      </c>
      <c r="R37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05">
        <f>IF(AND(NOT(ISBLANK(ReconciliationData[[#This Row],[Contract_Price]])),ReconciliationData[[#This Row],[Billed_Price]]&lt;&gt;ReconciliationData[[#This Row],[Contract_Price]]),1,0)</f>
        <v>0</v>
      </c>
      <c r="T3705">
        <f>IF(AND(NOT(ISBLANK(ReconciliationData[[#This Row],[End_Date]])),ReconciliationData[[#This Row],[Order_Date]]&gt;ReconciliationData[[#This Row],[End_Date]]),1,0)</f>
        <v>0</v>
      </c>
      <c r="U3705">
        <f>IF(AND(NOT(ISBLANK(ReconciliationData[[#This Row],[last_return_date]])),ReconciliationData[[#This Row],[last_return_date]]&gt;ReconciliationData[[#This Row],[Order_Date]]+60),1,0)</f>
        <v>0</v>
      </c>
      <c r="V3705">
        <f>IF(ReconciliationData[[#This Row],[total_returned_units]]&gt;ReconciliationData[[#This Row],[ordered_units]],1,0)</f>
        <v>0</v>
      </c>
      <c r="W37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05">
        <f>ReconciliationData[[#This Row],[Billed_Units]]*ReconciliationData[[#This Row],[Billed_Price]]</f>
        <v>21283.115999999998</v>
      </c>
      <c r="Y3705">
        <f>ReconciliationData[[#This Row],[ordered_units]]*ReconciliationData[[#This Row],[List_Price]]</f>
        <v>21283.115999999998</v>
      </c>
      <c r="Z3705">
        <f>ReconciliationData[[#This Row],[billed_revenue]]-ReconciliationData[[#This Row],[expected_revenue]]</f>
        <v>0</v>
      </c>
      <c r="AA37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05" t="str">
        <f>IF(ReconciliationData[[#This Row],[severity_score]]=0,"LOW",
 IF(ReconciliationData[[#This Row],[severity_score]]&lt;=5,"MEDIUM","HIGH"))</f>
        <v>LOW</v>
      </c>
      <c r="AC3705" t="str">
        <f>TEXT(ReconciliationData[[#This Row],[Order_Date]],"YYYY-MM")</f>
        <v>2023-03</v>
      </c>
    </row>
    <row r="3706" spans="1:29">
      <c r="A3706" t="s">
        <v>8633</v>
      </c>
      <c r="B3706" s="1">
        <v>45376</v>
      </c>
      <c r="C3706" t="s">
        <v>3744</v>
      </c>
      <c r="D3706" t="s">
        <v>1420</v>
      </c>
      <c r="E3706">
        <v>83</v>
      </c>
      <c r="F3706" t="s">
        <v>8634</v>
      </c>
      <c r="G3706">
        <v>83</v>
      </c>
      <c r="H3706">
        <v>77.178600000000003</v>
      </c>
      <c r="I3706">
        <v>14</v>
      </c>
      <c r="J3706" s="1">
        <v>45192</v>
      </c>
      <c r="N3706">
        <v>77.178600000000003</v>
      </c>
      <c r="O3706" s="1">
        <v>44975</v>
      </c>
      <c r="P3706">
        <f>IF(ISBLANK(ReconciliationData[[#This Row],[Invoice_ID]]),1,0)</f>
        <v>0</v>
      </c>
      <c r="Q3706">
        <f>IF(AND(NOT(ISBLANK(ReconciliationData[[#This Row],[Billed_Units]])),ReconciliationData[[#This Row],[ordered_units]]&lt;&gt;ReconciliationData[[#This Row],[Billed_Units]]),1,0)</f>
        <v>0</v>
      </c>
      <c r="R37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06">
        <f>IF(AND(NOT(ISBLANK(ReconciliationData[[#This Row],[Contract_Price]])),ReconciliationData[[#This Row],[Billed_Price]]&lt;&gt;ReconciliationData[[#This Row],[Contract_Price]]),1,0)</f>
        <v>0</v>
      </c>
      <c r="T3706">
        <f>IF(AND(NOT(ISBLANK(ReconciliationData[[#This Row],[End_Date]])),ReconciliationData[[#This Row],[Order_Date]]&gt;ReconciliationData[[#This Row],[End_Date]]),1,0)</f>
        <v>0</v>
      </c>
      <c r="U3706">
        <f>IF(AND(NOT(ISBLANK(ReconciliationData[[#This Row],[last_return_date]])),ReconciliationData[[#This Row],[last_return_date]]&gt;ReconciliationData[[#This Row],[Order_Date]]+60),1,0)</f>
        <v>0</v>
      </c>
      <c r="V3706">
        <f>IF(ReconciliationData[[#This Row],[total_returned_units]]&gt;ReconciliationData[[#This Row],[ordered_units]],1,0)</f>
        <v>0</v>
      </c>
      <c r="W37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06">
        <f>ReconciliationData[[#This Row],[Billed_Units]]*ReconciliationData[[#This Row],[Billed_Price]]</f>
        <v>6405.8238000000001</v>
      </c>
      <c r="Y3706">
        <f>ReconciliationData[[#This Row],[ordered_units]]*ReconciliationData[[#This Row],[List_Price]]</f>
        <v>6405.8238000000001</v>
      </c>
      <c r="Z3706">
        <f>ReconciliationData[[#This Row],[billed_revenue]]-ReconciliationData[[#This Row],[expected_revenue]]</f>
        <v>0</v>
      </c>
      <c r="AA37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06" t="str">
        <f>IF(ReconciliationData[[#This Row],[severity_score]]=0,"LOW",
 IF(ReconciliationData[[#This Row],[severity_score]]&lt;=5,"MEDIUM","HIGH"))</f>
        <v>LOW</v>
      </c>
      <c r="AC3706" t="str">
        <f>TEXT(ReconciliationData[[#This Row],[Order_Date]],"YYYY-MM")</f>
        <v>2024-03</v>
      </c>
    </row>
    <row r="3707" spans="1:29">
      <c r="A3707" t="s">
        <v>8635</v>
      </c>
      <c r="B3707" s="1">
        <v>45129</v>
      </c>
      <c r="C3707" t="s">
        <v>1367</v>
      </c>
      <c r="D3707" t="s">
        <v>1933</v>
      </c>
      <c r="E3707">
        <v>64</v>
      </c>
      <c r="F3707" t="s">
        <v>8636</v>
      </c>
      <c r="G3707">
        <v>64</v>
      </c>
      <c r="H3707">
        <v>571.49840000000006</v>
      </c>
      <c r="N3707">
        <v>571.49840000000006</v>
      </c>
      <c r="O3707" s="1">
        <v>45071</v>
      </c>
      <c r="P3707">
        <f>IF(ISBLANK(ReconciliationData[[#This Row],[Invoice_ID]]),1,0)</f>
        <v>0</v>
      </c>
      <c r="Q3707">
        <f>IF(AND(NOT(ISBLANK(ReconciliationData[[#This Row],[Billed_Units]])),ReconciliationData[[#This Row],[ordered_units]]&lt;&gt;ReconciliationData[[#This Row],[Billed_Units]]),1,0)</f>
        <v>0</v>
      </c>
      <c r="R37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07">
        <f>IF(AND(NOT(ISBLANK(ReconciliationData[[#This Row],[Contract_Price]])),ReconciliationData[[#This Row],[Billed_Price]]&lt;&gt;ReconciliationData[[#This Row],[Contract_Price]]),1,0)</f>
        <v>0</v>
      </c>
      <c r="T3707">
        <f>IF(AND(NOT(ISBLANK(ReconciliationData[[#This Row],[End_Date]])),ReconciliationData[[#This Row],[Order_Date]]&gt;ReconciliationData[[#This Row],[End_Date]]),1,0)</f>
        <v>0</v>
      </c>
      <c r="U3707">
        <f>IF(AND(NOT(ISBLANK(ReconciliationData[[#This Row],[last_return_date]])),ReconciliationData[[#This Row],[last_return_date]]&gt;ReconciliationData[[#This Row],[Order_Date]]+60),1,0)</f>
        <v>0</v>
      </c>
      <c r="V3707">
        <f>IF(ReconciliationData[[#This Row],[total_returned_units]]&gt;ReconciliationData[[#This Row],[ordered_units]],1,0)</f>
        <v>0</v>
      </c>
      <c r="W37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07">
        <f>ReconciliationData[[#This Row],[Billed_Units]]*ReconciliationData[[#This Row],[Billed_Price]]</f>
        <v>36575.897600000004</v>
      </c>
      <c r="Y3707">
        <f>ReconciliationData[[#This Row],[ordered_units]]*ReconciliationData[[#This Row],[List_Price]]</f>
        <v>36575.897600000004</v>
      </c>
      <c r="Z3707">
        <f>ReconciliationData[[#This Row],[billed_revenue]]-ReconciliationData[[#This Row],[expected_revenue]]</f>
        <v>0</v>
      </c>
      <c r="AA37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07" t="str">
        <f>IF(ReconciliationData[[#This Row],[severity_score]]=0,"LOW",
 IF(ReconciliationData[[#This Row],[severity_score]]&lt;=5,"MEDIUM","HIGH"))</f>
        <v>LOW</v>
      </c>
      <c r="AC3707" t="str">
        <f>TEXT(ReconciliationData[[#This Row],[Order_Date]],"YYYY-MM")</f>
        <v>2023-07</v>
      </c>
    </row>
    <row r="3708" spans="1:29">
      <c r="A3708" t="s">
        <v>8637</v>
      </c>
      <c r="B3708" s="1">
        <v>45594</v>
      </c>
      <c r="C3708" t="s">
        <v>396</v>
      </c>
      <c r="D3708" t="s">
        <v>1869</v>
      </c>
      <c r="E3708">
        <v>22</v>
      </c>
      <c r="F3708" t="s">
        <v>8638</v>
      </c>
      <c r="G3708">
        <v>22</v>
      </c>
      <c r="H3708">
        <v>75.711124968596565</v>
      </c>
      <c r="N3708">
        <v>75.504800000000003</v>
      </c>
      <c r="O3708" s="1">
        <v>45080</v>
      </c>
      <c r="P3708">
        <f>IF(ISBLANK(ReconciliationData[[#This Row],[Invoice_ID]]),1,0)</f>
        <v>0</v>
      </c>
      <c r="Q3708">
        <f>IF(AND(NOT(ISBLANK(ReconciliationData[[#This Row],[Billed_Units]])),ReconciliationData[[#This Row],[ordered_units]]&lt;&gt;ReconciliationData[[#This Row],[Billed_Units]]),1,0)</f>
        <v>0</v>
      </c>
      <c r="R3708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708">
        <f>IF(AND(NOT(ISBLANK(ReconciliationData[[#This Row],[Contract_Price]])),ReconciliationData[[#This Row],[Billed_Price]]&lt;&gt;ReconciliationData[[#This Row],[Contract_Price]]),1,0)</f>
        <v>0</v>
      </c>
      <c r="T3708">
        <f>IF(AND(NOT(ISBLANK(ReconciliationData[[#This Row],[End_Date]])),ReconciliationData[[#This Row],[Order_Date]]&gt;ReconciliationData[[#This Row],[End_Date]]),1,0)</f>
        <v>0</v>
      </c>
      <c r="U3708">
        <f>IF(AND(NOT(ISBLANK(ReconciliationData[[#This Row],[last_return_date]])),ReconciliationData[[#This Row],[last_return_date]]&gt;ReconciliationData[[#This Row],[Order_Date]]+60),1,0)</f>
        <v>0</v>
      </c>
      <c r="V3708">
        <f>IF(ReconciliationData[[#This Row],[total_returned_units]]&gt;ReconciliationData[[#This Row],[ordered_units]],1,0)</f>
        <v>0</v>
      </c>
      <c r="W37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08">
        <f>ReconciliationData[[#This Row],[Billed_Units]]*ReconciliationData[[#This Row],[Billed_Price]]</f>
        <v>1665.6447493091243</v>
      </c>
      <c r="Y3708">
        <f>ReconciliationData[[#This Row],[ordered_units]]*ReconciliationData[[#This Row],[List_Price]]</f>
        <v>1661.1056000000001</v>
      </c>
      <c r="Z3708">
        <f>ReconciliationData[[#This Row],[billed_revenue]]-ReconciliationData[[#This Row],[expected_revenue]]</f>
        <v>4.539149309124241</v>
      </c>
      <c r="AA37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708" t="str">
        <f>IF(ReconciliationData[[#This Row],[severity_score]]=0,"LOW",
 IF(ReconciliationData[[#This Row],[severity_score]]&lt;=5,"MEDIUM","HIGH"))</f>
        <v>MEDIUM</v>
      </c>
      <c r="AC3708" t="str">
        <f>TEXT(ReconciliationData[[#This Row],[Order_Date]],"YYYY-MM")</f>
        <v>2024-10</v>
      </c>
    </row>
    <row r="3709" spans="1:29">
      <c r="A3709" t="s">
        <v>8639</v>
      </c>
      <c r="B3709" s="1">
        <v>45468</v>
      </c>
      <c r="C3709" t="s">
        <v>3903</v>
      </c>
      <c r="D3709" t="s">
        <v>2682</v>
      </c>
      <c r="E3709">
        <v>66</v>
      </c>
      <c r="F3709" t="s">
        <v>8640</v>
      </c>
      <c r="G3709">
        <v>66</v>
      </c>
      <c r="H3709">
        <v>1032.7408</v>
      </c>
      <c r="I3709">
        <v>18</v>
      </c>
      <c r="J3709" s="1">
        <v>45678</v>
      </c>
      <c r="N3709">
        <v>1032.7408</v>
      </c>
      <c r="O3709" s="1">
        <v>45077</v>
      </c>
      <c r="P3709">
        <f>IF(ISBLANK(ReconciliationData[[#This Row],[Invoice_ID]]),1,0)</f>
        <v>0</v>
      </c>
      <c r="Q3709">
        <f>IF(AND(NOT(ISBLANK(ReconciliationData[[#This Row],[Billed_Units]])),ReconciliationData[[#This Row],[ordered_units]]&lt;&gt;ReconciliationData[[#This Row],[Billed_Units]]),1,0)</f>
        <v>0</v>
      </c>
      <c r="R37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09">
        <f>IF(AND(NOT(ISBLANK(ReconciliationData[[#This Row],[Contract_Price]])),ReconciliationData[[#This Row],[Billed_Price]]&lt;&gt;ReconciliationData[[#This Row],[Contract_Price]]),1,0)</f>
        <v>0</v>
      </c>
      <c r="T3709">
        <f>IF(AND(NOT(ISBLANK(ReconciliationData[[#This Row],[End_Date]])),ReconciliationData[[#This Row],[Order_Date]]&gt;ReconciliationData[[#This Row],[End_Date]]),1,0)</f>
        <v>0</v>
      </c>
      <c r="U3709">
        <f>IF(AND(NOT(ISBLANK(ReconciliationData[[#This Row],[last_return_date]])),ReconciliationData[[#This Row],[last_return_date]]&gt;ReconciliationData[[#This Row],[Order_Date]]+60),1,0)</f>
        <v>1</v>
      </c>
      <c r="V3709">
        <f>IF(ReconciliationData[[#This Row],[total_returned_units]]&gt;ReconciliationData[[#This Row],[ordered_units]],1,0)</f>
        <v>0</v>
      </c>
      <c r="W37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09">
        <f>ReconciliationData[[#This Row],[Billed_Units]]*ReconciliationData[[#This Row],[Billed_Price]]</f>
        <v>68160.892800000001</v>
      </c>
      <c r="Y3709">
        <f>ReconciliationData[[#This Row],[ordered_units]]*ReconciliationData[[#This Row],[List_Price]]</f>
        <v>68160.892800000001</v>
      </c>
      <c r="Z3709">
        <f>ReconciliationData[[#This Row],[billed_revenue]]-ReconciliationData[[#This Row],[expected_revenue]]</f>
        <v>0</v>
      </c>
      <c r="AA37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709" t="str">
        <f>IF(ReconciliationData[[#This Row],[severity_score]]=0,"LOW",
 IF(ReconciliationData[[#This Row],[severity_score]]&lt;=5,"MEDIUM","HIGH"))</f>
        <v>MEDIUM</v>
      </c>
      <c r="AC3709" t="str">
        <f>TEXT(ReconciliationData[[#This Row],[Order_Date]],"YYYY-MM")</f>
        <v>2024-06</v>
      </c>
    </row>
    <row r="3710" spans="1:29">
      <c r="A3710" t="s">
        <v>8641</v>
      </c>
      <c r="B3710" s="1">
        <v>45656</v>
      </c>
      <c r="C3710" t="s">
        <v>6401</v>
      </c>
      <c r="D3710" t="s">
        <v>1845</v>
      </c>
      <c r="E3710">
        <v>116</v>
      </c>
      <c r="F3710" t="s">
        <v>8642</v>
      </c>
      <c r="G3710">
        <v>116</v>
      </c>
      <c r="H3710">
        <v>901.84500000000003</v>
      </c>
      <c r="N3710">
        <v>901.84500000000003</v>
      </c>
      <c r="O3710" s="1">
        <v>45216</v>
      </c>
      <c r="P3710">
        <f>IF(ISBLANK(ReconciliationData[[#This Row],[Invoice_ID]]),1,0)</f>
        <v>0</v>
      </c>
      <c r="Q3710">
        <f>IF(AND(NOT(ISBLANK(ReconciliationData[[#This Row],[Billed_Units]])),ReconciliationData[[#This Row],[ordered_units]]&lt;&gt;ReconciliationData[[#This Row],[Billed_Units]]),1,0)</f>
        <v>0</v>
      </c>
      <c r="R37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0">
        <f>IF(AND(NOT(ISBLANK(ReconciliationData[[#This Row],[Contract_Price]])),ReconciliationData[[#This Row],[Billed_Price]]&lt;&gt;ReconciliationData[[#This Row],[Contract_Price]]),1,0)</f>
        <v>0</v>
      </c>
      <c r="T3710">
        <f>IF(AND(NOT(ISBLANK(ReconciliationData[[#This Row],[End_Date]])),ReconciliationData[[#This Row],[Order_Date]]&gt;ReconciliationData[[#This Row],[End_Date]]),1,0)</f>
        <v>0</v>
      </c>
      <c r="U3710">
        <f>IF(AND(NOT(ISBLANK(ReconciliationData[[#This Row],[last_return_date]])),ReconciliationData[[#This Row],[last_return_date]]&gt;ReconciliationData[[#This Row],[Order_Date]]+60),1,0)</f>
        <v>0</v>
      </c>
      <c r="V3710">
        <f>IF(ReconciliationData[[#This Row],[total_returned_units]]&gt;ReconciliationData[[#This Row],[ordered_units]],1,0)</f>
        <v>0</v>
      </c>
      <c r="W37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0">
        <f>ReconciliationData[[#This Row],[Billed_Units]]*ReconciliationData[[#This Row],[Billed_Price]]</f>
        <v>104614.02</v>
      </c>
      <c r="Y3710">
        <f>ReconciliationData[[#This Row],[ordered_units]]*ReconciliationData[[#This Row],[List_Price]]</f>
        <v>104614.02</v>
      </c>
      <c r="Z3710">
        <f>ReconciliationData[[#This Row],[billed_revenue]]-ReconciliationData[[#This Row],[expected_revenue]]</f>
        <v>0</v>
      </c>
      <c r="AA37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0" t="str">
        <f>IF(ReconciliationData[[#This Row],[severity_score]]=0,"LOW",
 IF(ReconciliationData[[#This Row],[severity_score]]&lt;=5,"MEDIUM","HIGH"))</f>
        <v>LOW</v>
      </c>
      <c r="AC3710" t="str">
        <f>TEXT(ReconciliationData[[#This Row],[Order_Date]],"YYYY-MM")</f>
        <v>2024-12</v>
      </c>
    </row>
    <row r="3711" spans="1:29">
      <c r="A3711" t="s">
        <v>8643</v>
      </c>
      <c r="B3711" s="1">
        <v>45309</v>
      </c>
      <c r="C3711" t="s">
        <v>365</v>
      </c>
      <c r="D3711" t="s">
        <v>1717</v>
      </c>
      <c r="E3711">
        <v>98</v>
      </c>
      <c r="F3711" t="s">
        <v>8644</v>
      </c>
      <c r="G3711">
        <v>98</v>
      </c>
      <c r="H3711">
        <v>1166.4765000000002</v>
      </c>
      <c r="N3711">
        <v>1166.4765000000002</v>
      </c>
      <c r="O3711" s="1">
        <v>45114</v>
      </c>
      <c r="P3711">
        <f>IF(ISBLANK(ReconciliationData[[#This Row],[Invoice_ID]]),1,0)</f>
        <v>0</v>
      </c>
      <c r="Q3711">
        <f>IF(AND(NOT(ISBLANK(ReconciliationData[[#This Row],[Billed_Units]])),ReconciliationData[[#This Row],[ordered_units]]&lt;&gt;ReconciliationData[[#This Row],[Billed_Units]]),1,0)</f>
        <v>0</v>
      </c>
      <c r="R37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1">
        <f>IF(AND(NOT(ISBLANK(ReconciliationData[[#This Row],[Contract_Price]])),ReconciliationData[[#This Row],[Billed_Price]]&lt;&gt;ReconciliationData[[#This Row],[Contract_Price]]),1,0)</f>
        <v>0</v>
      </c>
      <c r="T3711">
        <f>IF(AND(NOT(ISBLANK(ReconciliationData[[#This Row],[End_Date]])),ReconciliationData[[#This Row],[Order_Date]]&gt;ReconciliationData[[#This Row],[End_Date]]),1,0)</f>
        <v>0</v>
      </c>
      <c r="U3711">
        <f>IF(AND(NOT(ISBLANK(ReconciliationData[[#This Row],[last_return_date]])),ReconciliationData[[#This Row],[last_return_date]]&gt;ReconciliationData[[#This Row],[Order_Date]]+60),1,0)</f>
        <v>0</v>
      </c>
      <c r="V3711">
        <f>IF(ReconciliationData[[#This Row],[total_returned_units]]&gt;ReconciliationData[[#This Row],[ordered_units]],1,0)</f>
        <v>0</v>
      </c>
      <c r="W37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1">
        <f>ReconciliationData[[#This Row],[Billed_Units]]*ReconciliationData[[#This Row],[Billed_Price]]</f>
        <v>114314.69700000001</v>
      </c>
      <c r="Y3711">
        <f>ReconciliationData[[#This Row],[ordered_units]]*ReconciliationData[[#This Row],[List_Price]]</f>
        <v>114314.69700000001</v>
      </c>
      <c r="Z3711">
        <f>ReconciliationData[[#This Row],[billed_revenue]]-ReconciliationData[[#This Row],[expected_revenue]]</f>
        <v>0</v>
      </c>
      <c r="AA37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1" t="str">
        <f>IF(ReconciliationData[[#This Row],[severity_score]]=0,"LOW",
 IF(ReconciliationData[[#This Row],[severity_score]]&lt;=5,"MEDIUM","HIGH"))</f>
        <v>LOW</v>
      </c>
      <c r="AC3711" t="str">
        <f>TEXT(ReconciliationData[[#This Row],[Order_Date]],"YYYY-MM")</f>
        <v>2024-01</v>
      </c>
    </row>
    <row r="3712" spans="1:29">
      <c r="A3712" t="s">
        <v>8645</v>
      </c>
      <c r="B3712" s="1">
        <v>45525</v>
      </c>
      <c r="C3712" t="s">
        <v>1598</v>
      </c>
      <c r="D3712" t="s">
        <v>404</v>
      </c>
      <c r="E3712">
        <v>95</v>
      </c>
      <c r="F3712" t="s">
        <v>8646</v>
      </c>
      <c r="G3712">
        <v>95</v>
      </c>
      <c r="H3712">
        <v>1129.6166000000001</v>
      </c>
      <c r="N3712">
        <v>1129.6166000000001</v>
      </c>
      <c r="O3712" s="1">
        <v>44960</v>
      </c>
      <c r="P3712">
        <f>IF(ISBLANK(ReconciliationData[[#This Row],[Invoice_ID]]),1,0)</f>
        <v>0</v>
      </c>
      <c r="Q3712">
        <f>IF(AND(NOT(ISBLANK(ReconciliationData[[#This Row],[Billed_Units]])),ReconciliationData[[#This Row],[ordered_units]]&lt;&gt;ReconciliationData[[#This Row],[Billed_Units]]),1,0)</f>
        <v>0</v>
      </c>
      <c r="R37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2">
        <f>IF(AND(NOT(ISBLANK(ReconciliationData[[#This Row],[Contract_Price]])),ReconciliationData[[#This Row],[Billed_Price]]&lt;&gt;ReconciliationData[[#This Row],[Contract_Price]]),1,0)</f>
        <v>0</v>
      </c>
      <c r="T3712">
        <f>IF(AND(NOT(ISBLANK(ReconciliationData[[#This Row],[End_Date]])),ReconciliationData[[#This Row],[Order_Date]]&gt;ReconciliationData[[#This Row],[End_Date]]),1,0)</f>
        <v>0</v>
      </c>
      <c r="U3712">
        <f>IF(AND(NOT(ISBLANK(ReconciliationData[[#This Row],[last_return_date]])),ReconciliationData[[#This Row],[last_return_date]]&gt;ReconciliationData[[#This Row],[Order_Date]]+60),1,0)</f>
        <v>0</v>
      </c>
      <c r="V3712">
        <f>IF(ReconciliationData[[#This Row],[total_returned_units]]&gt;ReconciliationData[[#This Row],[ordered_units]],1,0)</f>
        <v>0</v>
      </c>
      <c r="W37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2">
        <f>ReconciliationData[[#This Row],[Billed_Units]]*ReconciliationData[[#This Row],[Billed_Price]]</f>
        <v>107313.577</v>
      </c>
      <c r="Y3712">
        <f>ReconciliationData[[#This Row],[ordered_units]]*ReconciliationData[[#This Row],[List_Price]]</f>
        <v>107313.577</v>
      </c>
      <c r="Z3712">
        <f>ReconciliationData[[#This Row],[billed_revenue]]-ReconciliationData[[#This Row],[expected_revenue]]</f>
        <v>0</v>
      </c>
      <c r="AA37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2" t="str">
        <f>IF(ReconciliationData[[#This Row],[severity_score]]=0,"LOW",
 IF(ReconciliationData[[#This Row],[severity_score]]&lt;=5,"MEDIUM","HIGH"))</f>
        <v>LOW</v>
      </c>
      <c r="AC3712" t="str">
        <f>TEXT(ReconciliationData[[#This Row],[Order_Date]],"YYYY-MM")</f>
        <v>2024-08</v>
      </c>
    </row>
    <row r="3713" spans="1:29">
      <c r="A3713" t="s">
        <v>8647</v>
      </c>
      <c r="B3713" s="1">
        <v>45172</v>
      </c>
      <c r="C3713" t="s">
        <v>6121</v>
      </c>
      <c r="D3713" t="s">
        <v>732</v>
      </c>
      <c r="E3713">
        <v>55</v>
      </c>
      <c r="F3713" t="s">
        <v>8648</v>
      </c>
      <c r="G3713">
        <v>55</v>
      </c>
      <c r="H3713">
        <v>440.38799999999998</v>
      </c>
      <c r="N3713">
        <v>440.38799999999998</v>
      </c>
      <c r="O3713" s="1">
        <v>45016</v>
      </c>
      <c r="P3713">
        <f>IF(ISBLANK(ReconciliationData[[#This Row],[Invoice_ID]]),1,0)</f>
        <v>0</v>
      </c>
      <c r="Q3713">
        <f>IF(AND(NOT(ISBLANK(ReconciliationData[[#This Row],[Billed_Units]])),ReconciliationData[[#This Row],[ordered_units]]&lt;&gt;ReconciliationData[[#This Row],[Billed_Units]]),1,0)</f>
        <v>0</v>
      </c>
      <c r="R37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3">
        <f>IF(AND(NOT(ISBLANK(ReconciliationData[[#This Row],[Contract_Price]])),ReconciliationData[[#This Row],[Billed_Price]]&lt;&gt;ReconciliationData[[#This Row],[Contract_Price]]),1,0)</f>
        <v>0</v>
      </c>
      <c r="T3713">
        <f>IF(AND(NOT(ISBLANK(ReconciliationData[[#This Row],[End_Date]])),ReconciliationData[[#This Row],[Order_Date]]&gt;ReconciliationData[[#This Row],[End_Date]]),1,0)</f>
        <v>0</v>
      </c>
      <c r="U3713">
        <f>IF(AND(NOT(ISBLANK(ReconciliationData[[#This Row],[last_return_date]])),ReconciliationData[[#This Row],[last_return_date]]&gt;ReconciliationData[[#This Row],[Order_Date]]+60),1,0)</f>
        <v>0</v>
      </c>
      <c r="V3713">
        <f>IF(ReconciliationData[[#This Row],[total_returned_units]]&gt;ReconciliationData[[#This Row],[ordered_units]],1,0)</f>
        <v>0</v>
      </c>
      <c r="W37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3">
        <f>ReconciliationData[[#This Row],[Billed_Units]]*ReconciliationData[[#This Row],[Billed_Price]]</f>
        <v>24221.34</v>
      </c>
      <c r="Y3713">
        <f>ReconciliationData[[#This Row],[ordered_units]]*ReconciliationData[[#This Row],[List_Price]]</f>
        <v>24221.34</v>
      </c>
      <c r="Z3713">
        <f>ReconciliationData[[#This Row],[billed_revenue]]-ReconciliationData[[#This Row],[expected_revenue]]</f>
        <v>0</v>
      </c>
      <c r="AA37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3" t="str">
        <f>IF(ReconciliationData[[#This Row],[severity_score]]=0,"LOW",
 IF(ReconciliationData[[#This Row],[severity_score]]&lt;=5,"MEDIUM","HIGH"))</f>
        <v>LOW</v>
      </c>
      <c r="AC3713" t="str">
        <f>TEXT(ReconciliationData[[#This Row],[Order_Date]],"YYYY-MM")</f>
        <v>2023-09</v>
      </c>
    </row>
    <row r="3714" spans="1:29">
      <c r="A3714" t="s">
        <v>8649</v>
      </c>
      <c r="B3714" s="1">
        <v>45281</v>
      </c>
      <c r="C3714" t="s">
        <v>3473</v>
      </c>
      <c r="D3714" t="s">
        <v>1354</v>
      </c>
      <c r="E3714">
        <v>47</v>
      </c>
      <c r="F3714" t="s">
        <v>8650</v>
      </c>
      <c r="G3714">
        <v>47</v>
      </c>
      <c r="H3714">
        <v>60.239800000000002</v>
      </c>
      <c r="N3714">
        <v>60.239800000000002</v>
      </c>
      <c r="O3714" s="1">
        <v>45145</v>
      </c>
      <c r="P3714">
        <f>IF(ISBLANK(ReconciliationData[[#This Row],[Invoice_ID]]),1,0)</f>
        <v>0</v>
      </c>
      <c r="Q3714">
        <f>IF(AND(NOT(ISBLANK(ReconciliationData[[#This Row],[Billed_Units]])),ReconciliationData[[#This Row],[ordered_units]]&lt;&gt;ReconciliationData[[#This Row],[Billed_Units]]),1,0)</f>
        <v>0</v>
      </c>
      <c r="R37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4">
        <f>IF(AND(NOT(ISBLANK(ReconciliationData[[#This Row],[Contract_Price]])),ReconciliationData[[#This Row],[Billed_Price]]&lt;&gt;ReconciliationData[[#This Row],[Contract_Price]]),1,0)</f>
        <v>0</v>
      </c>
      <c r="T3714">
        <f>IF(AND(NOT(ISBLANK(ReconciliationData[[#This Row],[End_Date]])),ReconciliationData[[#This Row],[Order_Date]]&gt;ReconciliationData[[#This Row],[End_Date]]),1,0)</f>
        <v>0</v>
      </c>
      <c r="U3714">
        <f>IF(AND(NOT(ISBLANK(ReconciliationData[[#This Row],[last_return_date]])),ReconciliationData[[#This Row],[last_return_date]]&gt;ReconciliationData[[#This Row],[Order_Date]]+60),1,0)</f>
        <v>0</v>
      </c>
      <c r="V3714">
        <f>IF(ReconciliationData[[#This Row],[total_returned_units]]&gt;ReconciliationData[[#This Row],[ordered_units]],1,0)</f>
        <v>0</v>
      </c>
      <c r="W37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4">
        <f>ReconciliationData[[#This Row],[Billed_Units]]*ReconciliationData[[#This Row],[Billed_Price]]</f>
        <v>2831.2706000000003</v>
      </c>
      <c r="Y3714">
        <f>ReconciliationData[[#This Row],[ordered_units]]*ReconciliationData[[#This Row],[List_Price]]</f>
        <v>2831.2706000000003</v>
      </c>
      <c r="Z3714">
        <f>ReconciliationData[[#This Row],[billed_revenue]]-ReconciliationData[[#This Row],[expected_revenue]]</f>
        <v>0</v>
      </c>
      <c r="AA37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4" t="str">
        <f>IF(ReconciliationData[[#This Row],[severity_score]]=0,"LOW",
 IF(ReconciliationData[[#This Row],[severity_score]]&lt;=5,"MEDIUM","HIGH"))</f>
        <v>LOW</v>
      </c>
      <c r="AC3714" t="str">
        <f>TEXT(ReconciliationData[[#This Row],[Order_Date]],"YYYY-MM")</f>
        <v>2023-12</v>
      </c>
    </row>
    <row r="3715" spans="1:29">
      <c r="A3715" t="s">
        <v>8651</v>
      </c>
      <c r="B3715" s="1">
        <v>45415</v>
      </c>
      <c r="C3715" t="s">
        <v>2614</v>
      </c>
      <c r="D3715" t="s">
        <v>1436</v>
      </c>
      <c r="E3715">
        <v>146</v>
      </c>
      <c r="F3715" t="s">
        <v>8652</v>
      </c>
      <c r="G3715">
        <v>146</v>
      </c>
      <c r="H3715">
        <v>189.52920000000003</v>
      </c>
      <c r="N3715">
        <v>189.52920000000003</v>
      </c>
      <c r="O3715" s="1">
        <v>45070</v>
      </c>
      <c r="P3715">
        <f>IF(ISBLANK(ReconciliationData[[#This Row],[Invoice_ID]]),1,0)</f>
        <v>0</v>
      </c>
      <c r="Q3715">
        <f>IF(AND(NOT(ISBLANK(ReconciliationData[[#This Row],[Billed_Units]])),ReconciliationData[[#This Row],[ordered_units]]&lt;&gt;ReconciliationData[[#This Row],[Billed_Units]]),1,0)</f>
        <v>0</v>
      </c>
      <c r="R37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5">
        <f>IF(AND(NOT(ISBLANK(ReconciliationData[[#This Row],[Contract_Price]])),ReconciliationData[[#This Row],[Billed_Price]]&lt;&gt;ReconciliationData[[#This Row],[Contract_Price]]),1,0)</f>
        <v>0</v>
      </c>
      <c r="T3715">
        <f>IF(AND(NOT(ISBLANK(ReconciliationData[[#This Row],[End_Date]])),ReconciliationData[[#This Row],[Order_Date]]&gt;ReconciliationData[[#This Row],[End_Date]]),1,0)</f>
        <v>0</v>
      </c>
      <c r="U3715">
        <f>IF(AND(NOT(ISBLANK(ReconciliationData[[#This Row],[last_return_date]])),ReconciliationData[[#This Row],[last_return_date]]&gt;ReconciliationData[[#This Row],[Order_Date]]+60),1,0)</f>
        <v>0</v>
      </c>
      <c r="V3715">
        <f>IF(ReconciliationData[[#This Row],[total_returned_units]]&gt;ReconciliationData[[#This Row],[ordered_units]],1,0)</f>
        <v>0</v>
      </c>
      <c r="W37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5">
        <f>ReconciliationData[[#This Row],[Billed_Units]]*ReconciliationData[[#This Row],[Billed_Price]]</f>
        <v>27671.263200000005</v>
      </c>
      <c r="Y3715">
        <f>ReconciliationData[[#This Row],[ordered_units]]*ReconciliationData[[#This Row],[List_Price]]</f>
        <v>27671.263200000005</v>
      </c>
      <c r="Z3715">
        <f>ReconciliationData[[#This Row],[billed_revenue]]-ReconciliationData[[#This Row],[expected_revenue]]</f>
        <v>0</v>
      </c>
      <c r="AA37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5" t="str">
        <f>IF(ReconciliationData[[#This Row],[severity_score]]=0,"LOW",
 IF(ReconciliationData[[#This Row],[severity_score]]&lt;=5,"MEDIUM","HIGH"))</f>
        <v>LOW</v>
      </c>
      <c r="AC3715" t="str">
        <f>TEXT(ReconciliationData[[#This Row],[Order_Date]],"YYYY-MM")</f>
        <v>2024-05</v>
      </c>
    </row>
    <row r="3716" spans="1:29">
      <c r="A3716" t="s">
        <v>8653</v>
      </c>
      <c r="B3716" s="1">
        <v>45544</v>
      </c>
      <c r="C3716" t="s">
        <v>1016</v>
      </c>
      <c r="D3716" t="s">
        <v>1175</v>
      </c>
      <c r="E3716">
        <v>120</v>
      </c>
      <c r="F3716" t="s">
        <v>8654</v>
      </c>
      <c r="G3716">
        <v>120</v>
      </c>
      <c r="H3716">
        <v>589.66600000000005</v>
      </c>
      <c r="N3716">
        <v>589.66600000000005</v>
      </c>
      <c r="O3716" s="1">
        <v>45218</v>
      </c>
      <c r="P3716">
        <f>IF(ISBLANK(ReconciliationData[[#This Row],[Invoice_ID]]),1,0)</f>
        <v>0</v>
      </c>
      <c r="Q3716">
        <f>IF(AND(NOT(ISBLANK(ReconciliationData[[#This Row],[Billed_Units]])),ReconciliationData[[#This Row],[ordered_units]]&lt;&gt;ReconciliationData[[#This Row],[Billed_Units]]),1,0)</f>
        <v>0</v>
      </c>
      <c r="R37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6">
        <f>IF(AND(NOT(ISBLANK(ReconciliationData[[#This Row],[Contract_Price]])),ReconciliationData[[#This Row],[Billed_Price]]&lt;&gt;ReconciliationData[[#This Row],[Contract_Price]]),1,0)</f>
        <v>0</v>
      </c>
      <c r="T3716">
        <f>IF(AND(NOT(ISBLANK(ReconciliationData[[#This Row],[End_Date]])),ReconciliationData[[#This Row],[Order_Date]]&gt;ReconciliationData[[#This Row],[End_Date]]),1,0)</f>
        <v>0</v>
      </c>
      <c r="U3716">
        <f>IF(AND(NOT(ISBLANK(ReconciliationData[[#This Row],[last_return_date]])),ReconciliationData[[#This Row],[last_return_date]]&gt;ReconciliationData[[#This Row],[Order_Date]]+60),1,0)</f>
        <v>0</v>
      </c>
      <c r="V3716">
        <f>IF(ReconciliationData[[#This Row],[total_returned_units]]&gt;ReconciliationData[[#This Row],[ordered_units]],1,0)</f>
        <v>0</v>
      </c>
      <c r="W37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6">
        <f>ReconciliationData[[#This Row],[Billed_Units]]*ReconciliationData[[#This Row],[Billed_Price]]</f>
        <v>70759.920000000013</v>
      </c>
      <c r="Y3716">
        <f>ReconciliationData[[#This Row],[ordered_units]]*ReconciliationData[[#This Row],[List_Price]]</f>
        <v>70759.920000000013</v>
      </c>
      <c r="Z3716">
        <f>ReconciliationData[[#This Row],[billed_revenue]]-ReconciliationData[[#This Row],[expected_revenue]]</f>
        <v>0</v>
      </c>
      <c r="AA37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6" t="str">
        <f>IF(ReconciliationData[[#This Row],[severity_score]]=0,"LOW",
 IF(ReconciliationData[[#This Row],[severity_score]]&lt;=5,"MEDIUM","HIGH"))</f>
        <v>LOW</v>
      </c>
      <c r="AC3716" t="str">
        <f>TEXT(ReconciliationData[[#This Row],[Order_Date]],"YYYY-MM")</f>
        <v>2024-09</v>
      </c>
    </row>
    <row r="3717" spans="1:29">
      <c r="A3717" t="s">
        <v>8655</v>
      </c>
      <c r="B3717" s="1">
        <v>45242</v>
      </c>
      <c r="C3717" t="s">
        <v>3217</v>
      </c>
      <c r="D3717" t="s">
        <v>880</v>
      </c>
      <c r="E3717">
        <v>153</v>
      </c>
      <c r="F3717" t="s">
        <v>8656</v>
      </c>
      <c r="G3717">
        <v>153</v>
      </c>
      <c r="H3717">
        <v>212.73140000000001</v>
      </c>
      <c r="N3717">
        <v>212.73140000000001</v>
      </c>
      <c r="O3717" s="1">
        <v>45144</v>
      </c>
      <c r="P3717">
        <f>IF(ISBLANK(ReconciliationData[[#This Row],[Invoice_ID]]),1,0)</f>
        <v>0</v>
      </c>
      <c r="Q3717">
        <f>IF(AND(NOT(ISBLANK(ReconciliationData[[#This Row],[Billed_Units]])),ReconciliationData[[#This Row],[ordered_units]]&lt;&gt;ReconciliationData[[#This Row],[Billed_Units]]),1,0)</f>
        <v>0</v>
      </c>
      <c r="R37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7">
        <f>IF(AND(NOT(ISBLANK(ReconciliationData[[#This Row],[Contract_Price]])),ReconciliationData[[#This Row],[Billed_Price]]&lt;&gt;ReconciliationData[[#This Row],[Contract_Price]]),1,0)</f>
        <v>0</v>
      </c>
      <c r="T3717">
        <f>IF(AND(NOT(ISBLANK(ReconciliationData[[#This Row],[End_Date]])),ReconciliationData[[#This Row],[Order_Date]]&gt;ReconciliationData[[#This Row],[End_Date]]),1,0)</f>
        <v>0</v>
      </c>
      <c r="U3717">
        <f>IF(AND(NOT(ISBLANK(ReconciliationData[[#This Row],[last_return_date]])),ReconciliationData[[#This Row],[last_return_date]]&gt;ReconciliationData[[#This Row],[Order_Date]]+60),1,0)</f>
        <v>0</v>
      </c>
      <c r="V3717">
        <f>IF(ReconciliationData[[#This Row],[total_returned_units]]&gt;ReconciliationData[[#This Row],[ordered_units]],1,0)</f>
        <v>0</v>
      </c>
      <c r="W37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7">
        <f>ReconciliationData[[#This Row],[Billed_Units]]*ReconciliationData[[#This Row],[Billed_Price]]</f>
        <v>32547.904200000001</v>
      </c>
      <c r="Y3717">
        <f>ReconciliationData[[#This Row],[ordered_units]]*ReconciliationData[[#This Row],[List_Price]]</f>
        <v>32547.904200000001</v>
      </c>
      <c r="Z3717">
        <f>ReconciliationData[[#This Row],[billed_revenue]]-ReconciliationData[[#This Row],[expected_revenue]]</f>
        <v>0</v>
      </c>
      <c r="AA37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7" t="str">
        <f>IF(ReconciliationData[[#This Row],[severity_score]]=0,"LOW",
 IF(ReconciliationData[[#This Row],[severity_score]]&lt;=5,"MEDIUM","HIGH"))</f>
        <v>LOW</v>
      </c>
      <c r="AC3717" t="str">
        <f>TEXT(ReconciliationData[[#This Row],[Order_Date]],"YYYY-MM")</f>
        <v>2023-11</v>
      </c>
    </row>
    <row r="3718" spans="1:29">
      <c r="A3718" t="s">
        <v>8657</v>
      </c>
      <c r="B3718" s="1">
        <v>45406</v>
      </c>
      <c r="C3718" t="s">
        <v>972</v>
      </c>
      <c r="D3718" t="s">
        <v>291</v>
      </c>
      <c r="E3718">
        <v>192</v>
      </c>
      <c r="F3718" t="s">
        <v>8658</v>
      </c>
      <c r="G3718">
        <v>192</v>
      </c>
      <c r="H3718">
        <v>454.98379999999997</v>
      </c>
      <c r="N3718">
        <v>454.98379999999997</v>
      </c>
      <c r="O3718" s="1">
        <v>45011</v>
      </c>
      <c r="P3718">
        <f>IF(ISBLANK(ReconciliationData[[#This Row],[Invoice_ID]]),1,0)</f>
        <v>0</v>
      </c>
      <c r="Q3718">
        <f>IF(AND(NOT(ISBLANK(ReconciliationData[[#This Row],[Billed_Units]])),ReconciliationData[[#This Row],[ordered_units]]&lt;&gt;ReconciliationData[[#This Row],[Billed_Units]]),1,0)</f>
        <v>0</v>
      </c>
      <c r="R37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8">
        <f>IF(AND(NOT(ISBLANK(ReconciliationData[[#This Row],[Contract_Price]])),ReconciliationData[[#This Row],[Billed_Price]]&lt;&gt;ReconciliationData[[#This Row],[Contract_Price]]),1,0)</f>
        <v>0</v>
      </c>
      <c r="T3718">
        <f>IF(AND(NOT(ISBLANK(ReconciliationData[[#This Row],[End_Date]])),ReconciliationData[[#This Row],[Order_Date]]&gt;ReconciliationData[[#This Row],[End_Date]]),1,0)</f>
        <v>0</v>
      </c>
      <c r="U3718">
        <f>IF(AND(NOT(ISBLANK(ReconciliationData[[#This Row],[last_return_date]])),ReconciliationData[[#This Row],[last_return_date]]&gt;ReconciliationData[[#This Row],[Order_Date]]+60),1,0)</f>
        <v>0</v>
      </c>
      <c r="V3718">
        <f>IF(ReconciliationData[[#This Row],[total_returned_units]]&gt;ReconciliationData[[#This Row],[ordered_units]],1,0)</f>
        <v>0</v>
      </c>
      <c r="W37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8">
        <f>ReconciliationData[[#This Row],[Billed_Units]]*ReconciliationData[[#This Row],[Billed_Price]]</f>
        <v>87356.889599999995</v>
      </c>
      <c r="Y3718">
        <f>ReconciliationData[[#This Row],[ordered_units]]*ReconciliationData[[#This Row],[List_Price]]</f>
        <v>87356.889599999995</v>
      </c>
      <c r="Z3718">
        <f>ReconciliationData[[#This Row],[billed_revenue]]-ReconciliationData[[#This Row],[expected_revenue]]</f>
        <v>0</v>
      </c>
      <c r="AA37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8" t="str">
        <f>IF(ReconciliationData[[#This Row],[severity_score]]=0,"LOW",
 IF(ReconciliationData[[#This Row],[severity_score]]&lt;=5,"MEDIUM","HIGH"))</f>
        <v>LOW</v>
      </c>
      <c r="AC3718" t="str">
        <f>TEXT(ReconciliationData[[#This Row],[Order_Date]],"YYYY-MM")</f>
        <v>2024-04</v>
      </c>
    </row>
    <row r="3719" spans="1:29">
      <c r="A3719" t="s">
        <v>8659</v>
      </c>
      <c r="B3719" s="1">
        <v>45212</v>
      </c>
      <c r="C3719" t="s">
        <v>1202</v>
      </c>
      <c r="D3719" t="s">
        <v>1094</v>
      </c>
      <c r="E3719">
        <v>107</v>
      </c>
      <c r="F3719" t="s">
        <v>8660</v>
      </c>
      <c r="G3719">
        <v>107</v>
      </c>
      <c r="H3719">
        <v>977.22280000000001</v>
      </c>
      <c r="N3719">
        <v>977.22280000000001</v>
      </c>
      <c r="O3719" s="1">
        <v>44984</v>
      </c>
      <c r="P3719">
        <f>IF(ISBLANK(ReconciliationData[[#This Row],[Invoice_ID]]),1,0)</f>
        <v>0</v>
      </c>
      <c r="Q3719">
        <f>IF(AND(NOT(ISBLANK(ReconciliationData[[#This Row],[Billed_Units]])),ReconciliationData[[#This Row],[ordered_units]]&lt;&gt;ReconciliationData[[#This Row],[Billed_Units]]),1,0)</f>
        <v>0</v>
      </c>
      <c r="R37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19">
        <f>IF(AND(NOT(ISBLANK(ReconciliationData[[#This Row],[Contract_Price]])),ReconciliationData[[#This Row],[Billed_Price]]&lt;&gt;ReconciliationData[[#This Row],[Contract_Price]]),1,0)</f>
        <v>0</v>
      </c>
      <c r="T3719">
        <f>IF(AND(NOT(ISBLANK(ReconciliationData[[#This Row],[End_Date]])),ReconciliationData[[#This Row],[Order_Date]]&gt;ReconciliationData[[#This Row],[End_Date]]),1,0)</f>
        <v>0</v>
      </c>
      <c r="U3719">
        <f>IF(AND(NOT(ISBLANK(ReconciliationData[[#This Row],[last_return_date]])),ReconciliationData[[#This Row],[last_return_date]]&gt;ReconciliationData[[#This Row],[Order_Date]]+60),1,0)</f>
        <v>0</v>
      </c>
      <c r="V3719">
        <f>IF(ReconciliationData[[#This Row],[total_returned_units]]&gt;ReconciliationData[[#This Row],[ordered_units]],1,0)</f>
        <v>0</v>
      </c>
      <c r="W37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19">
        <f>ReconciliationData[[#This Row],[Billed_Units]]*ReconciliationData[[#This Row],[Billed_Price]]</f>
        <v>104562.83960000001</v>
      </c>
      <c r="Y3719">
        <f>ReconciliationData[[#This Row],[ordered_units]]*ReconciliationData[[#This Row],[List_Price]]</f>
        <v>104562.83960000001</v>
      </c>
      <c r="Z3719">
        <f>ReconciliationData[[#This Row],[billed_revenue]]-ReconciliationData[[#This Row],[expected_revenue]]</f>
        <v>0</v>
      </c>
      <c r="AA37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19" t="str">
        <f>IF(ReconciliationData[[#This Row],[severity_score]]=0,"LOW",
 IF(ReconciliationData[[#This Row],[severity_score]]&lt;=5,"MEDIUM","HIGH"))</f>
        <v>LOW</v>
      </c>
      <c r="AC3719" t="str">
        <f>TEXT(ReconciliationData[[#This Row],[Order_Date]],"YYYY-MM")</f>
        <v>2023-10</v>
      </c>
    </row>
    <row r="3720" spans="1:29">
      <c r="A3720" t="s">
        <v>8661</v>
      </c>
      <c r="B3720" s="1">
        <v>45355</v>
      </c>
      <c r="C3720" t="s">
        <v>1679</v>
      </c>
      <c r="D3720" t="s">
        <v>849</v>
      </c>
      <c r="E3720">
        <v>45</v>
      </c>
      <c r="F3720" t="s">
        <v>8662</v>
      </c>
      <c r="G3720">
        <v>45</v>
      </c>
      <c r="H3720">
        <v>428.46220000000005</v>
      </c>
      <c r="I3720">
        <v>3</v>
      </c>
      <c r="J3720" s="1">
        <v>45491</v>
      </c>
      <c r="N3720">
        <v>428.46220000000005</v>
      </c>
      <c r="O3720" s="1">
        <v>45102</v>
      </c>
      <c r="P3720">
        <f>IF(ISBLANK(ReconciliationData[[#This Row],[Invoice_ID]]),1,0)</f>
        <v>0</v>
      </c>
      <c r="Q3720">
        <f>IF(AND(NOT(ISBLANK(ReconciliationData[[#This Row],[Billed_Units]])),ReconciliationData[[#This Row],[ordered_units]]&lt;&gt;ReconciliationData[[#This Row],[Billed_Units]]),1,0)</f>
        <v>0</v>
      </c>
      <c r="R37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0">
        <f>IF(AND(NOT(ISBLANK(ReconciliationData[[#This Row],[Contract_Price]])),ReconciliationData[[#This Row],[Billed_Price]]&lt;&gt;ReconciliationData[[#This Row],[Contract_Price]]),1,0)</f>
        <v>0</v>
      </c>
      <c r="T3720">
        <f>IF(AND(NOT(ISBLANK(ReconciliationData[[#This Row],[End_Date]])),ReconciliationData[[#This Row],[Order_Date]]&gt;ReconciliationData[[#This Row],[End_Date]]),1,0)</f>
        <v>0</v>
      </c>
      <c r="U3720">
        <f>IF(AND(NOT(ISBLANK(ReconciliationData[[#This Row],[last_return_date]])),ReconciliationData[[#This Row],[last_return_date]]&gt;ReconciliationData[[#This Row],[Order_Date]]+60),1,0)</f>
        <v>1</v>
      </c>
      <c r="V3720">
        <f>IF(ReconciliationData[[#This Row],[total_returned_units]]&gt;ReconciliationData[[#This Row],[ordered_units]],1,0)</f>
        <v>0</v>
      </c>
      <c r="W37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20">
        <f>ReconciliationData[[#This Row],[Billed_Units]]*ReconciliationData[[#This Row],[Billed_Price]]</f>
        <v>19280.799000000003</v>
      </c>
      <c r="Y3720">
        <f>ReconciliationData[[#This Row],[ordered_units]]*ReconciliationData[[#This Row],[List_Price]]</f>
        <v>19280.799000000003</v>
      </c>
      <c r="Z3720">
        <f>ReconciliationData[[#This Row],[billed_revenue]]-ReconciliationData[[#This Row],[expected_revenue]]</f>
        <v>0</v>
      </c>
      <c r="AA37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720" t="str">
        <f>IF(ReconciliationData[[#This Row],[severity_score]]=0,"LOW",
 IF(ReconciliationData[[#This Row],[severity_score]]&lt;=5,"MEDIUM","HIGH"))</f>
        <v>MEDIUM</v>
      </c>
      <c r="AC3720" t="str">
        <f>TEXT(ReconciliationData[[#This Row],[Order_Date]],"YYYY-MM")</f>
        <v>2024-03</v>
      </c>
    </row>
    <row r="3721" spans="1:29">
      <c r="A3721" t="s">
        <v>8663</v>
      </c>
      <c r="B3721" s="1">
        <v>45562</v>
      </c>
      <c r="C3721" t="s">
        <v>6401</v>
      </c>
      <c r="D3721" t="s">
        <v>1273</v>
      </c>
      <c r="E3721">
        <v>27</v>
      </c>
      <c r="F3721" t="s">
        <v>8664</v>
      </c>
      <c r="G3721">
        <v>27</v>
      </c>
      <c r="H3721">
        <v>1030.7952</v>
      </c>
      <c r="N3721">
        <v>1030.7952</v>
      </c>
      <c r="O3721" s="1">
        <v>45154</v>
      </c>
      <c r="P3721">
        <f>IF(ISBLANK(ReconciliationData[[#This Row],[Invoice_ID]]),1,0)</f>
        <v>0</v>
      </c>
      <c r="Q3721">
        <f>IF(AND(NOT(ISBLANK(ReconciliationData[[#This Row],[Billed_Units]])),ReconciliationData[[#This Row],[ordered_units]]&lt;&gt;ReconciliationData[[#This Row],[Billed_Units]]),1,0)</f>
        <v>0</v>
      </c>
      <c r="R37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1">
        <f>IF(AND(NOT(ISBLANK(ReconciliationData[[#This Row],[Contract_Price]])),ReconciliationData[[#This Row],[Billed_Price]]&lt;&gt;ReconciliationData[[#This Row],[Contract_Price]]),1,0)</f>
        <v>0</v>
      </c>
      <c r="T3721">
        <f>IF(AND(NOT(ISBLANK(ReconciliationData[[#This Row],[End_Date]])),ReconciliationData[[#This Row],[Order_Date]]&gt;ReconciliationData[[#This Row],[End_Date]]),1,0)</f>
        <v>0</v>
      </c>
      <c r="U3721">
        <f>IF(AND(NOT(ISBLANK(ReconciliationData[[#This Row],[last_return_date]])),ReconciliationData[[#This Row],[last_return_date]]&gt;ReconciliationData[[#This Row],[Order_Date]]+60),1,0)</f>
        <v>0</v>
      </c>
      <c r="V3721">
        <f>IF(ReconciliationData[[#This Row],[total_returned_units]]&gt;ReconciliationData[[#This Row],[ordered_units]],1,0)</f>
        <v>0</v>
      </c>
      <c r="W37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21">
        <f>ReconciliationData[[#This Row],[Billed_Units]]*ReconciliationData[[#This Row],[Billed_Price]]</f>
        <v>27831.470400000002</v>
      </c>
      <c r="Y3721">
        <f>ReconciliationData[[#This Row],[ordered_units]]*ReconciliationData[[#This Row],[List_Price]]</f>
        <v>27831.470400000002</v>
      </c>
      <c r="Z3721">
        <f>ReconciliationData[[#This Row],[billed_revenue]]-ReconciliationData[[#This Row],[expected_revenue]]</f>
        <v>0</v>
      </c>
      <c r="AA37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21" t="str">
        <f>IF(ReconciliationData[[#This Row],[severity_score]]=0,"LOW",
 IF(ReconciliationData[[#This Row],[severity_score]]&lt;=5,"MEDIUM","HIGH"))</f>
        <v>LOW</v>
      </c>
      <c r="AC3721" t="str">
        <f>TEXT(ReconciliationData[[#This Row],[Order_Date]],"YYYY-MM")</f>
        <v>2024-09</v>
      </c>
    </row>
    <row r="3722" spans="1:29">
      <c r="A3722" t="s">
        <v>8665</v>
      </c>
      <c r="B3722" s="1">
        <v>45011</v>
      </c>
      <c r="C3722" t="s">
        <v>2768</v>
      </c>
      <c r="D3722" t="s">
        <v>880</v>
      </c>
      <c r="E3722">
        <v>96</v>
      </c>
      <c r="F3722" t="s">
        <v>8666</v>
      </c>
      <c r="G3722">
        <v>96</v>
      </c>
      <c r="H3722">
        <v>200.69</v>
      </c>
      <c r="N3722">
        <v>200.69</v>
      </c>
      <c r="O3722" s="1">
        <v>44616</v>
      </c>
      <c r="P3722">
        <f>IF(ISBLANK(ReconciliationData[[#This Row],[Invoice_ID]]),1,0)</f>
        <v>0</v>
      </c>
      <c r="Q3722">
        <f>IF(AND(NOT(ISBLANK(ReconciliationData[[#This Row],[Billed_Units]])),ReconciliationData[[#This Row],[ordered_units]]&lt;&gt;ReconciliationData[[#This Row],[Billed_Units]]),1,0)</f>
        <v>0</v>
      </c>
      <c r="R37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2">
        <f>IF(AND(NOT(ISBLANK(ReconciliationData[[#This Row],[Contract_Price]])),ReconciliationData[[#This Row],[Billed_Price]]&lt;&gt;ReconciliationData[[#This Row],[Contract_Price]]),1,0)</f>
        <v>0</v>
      </c>
      <c r="T3722">
        <f>IF(AND(NOT(ISBLANK(ReconciliationData[[#This Row],[End_Date]])),ReconciliationData[[#This Row],[Order_Date]]&gt;ReconciliationData[[#This Row],[End_Date]]),1,0)</f>
        <v>0</v>
      </c>
      <c r="U3722">
        <f>IF(AND(NOT(ISBLANK(ReconciliationData[[#This Row],[last_return_date]])),ReconciliationData[[#This Row],[last_return_date]]&gt;ReconciliationData[[#This Row],[Order_Date]]+60),1,0)</f>
        <v>0</v>
      </c>
      <c r="V3722">
        <f>IF(ReconciliationData[[#This Row],[total_returned_units]]&gt;ReconciliationData[[#This Row],[ordered_units]],1,0)</f>
        <v>0</v>
      </c>
      <c r="W37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22">
        <f>ReconciliationData[[#This Row],[Billed_Units]]*ReconciliationData[[#This Row],[Billed_Price]]</f>
        <v>19266.239999999998</v>
      </c>
      <c r="Y3722">
        <f>ReconciliationData[[#This Row],[ordered_units]]*ReconciliationData[[#This Row],[List_Price]]</f>
        <v>19266.239999999998</v>
      </c>
      <c r="Z3722">
        <f>ReconciliationData[[#This Row],[billed_revenue]]-ReconciliationData[[#This Row],[expected_revenue]]</f>
        <v>0</v>
      </c>
      <c r="AA37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22" t="str">
        <f>IF(ReconciliationData[[#This Row],[severity_score]]=0,"LOW",
 IF(ReconciliationData[[#This Row],[severity_score]]&lt;=5,"MEDIUM","HIGH"))</f>
        <v>LOW</v>
      </c>
      <c r="AC3722" t="str">
        <f>TEXT(ReconciliationData[[#This Row],[Order_Date]],"YYYY-MM")</f>
        <v>2023-03</v>
      </c>
    </row>
    <row r="3723" spans="1:29">
      <c r="A3723" t="s">
        <v>8667</v>
      </c>
      <c r="B3723" s="1">
        <v>45262</v>
      </c>
      <c r="C3723" t="s">
        <v>627</v>
      </c>
      <c r="D3723" t="s">
        <v>1414</v>
      </c>
      <c r="E3723">
        <v>75</v>
      </c>
      <c r="F3723" t="s">
        <v>8668</v>
      </c>
      <c r="G3723">
        <v>75</v>
      </c>
      <c r="H3723">
        <v>872.7808</v>
      </c>
      <c r="N3723">
        <v>872.7808</v>
      </c>
      <c r="O3723" s="1">
        <v>45225</v>
      </c>
      <c r="P3723">
        <f>IF(ISBLANK(ReconciliationData[[#This Row],[Invoice_ID]]),1,0)</f>
        <v>0</v>
      </c>
      <c r="Q3723">
        <f>IF(AND(NOT(ISBLANK(ReconciliationData[[#This Row],[Billed_Units]])),ReconciliationData[[#This Row],[ordered_units]]&lt;&gt;ReconciliationData[[#This Row],[Billed_Units]]),1,0)</f>
        <v>0</v>
      </c>
      <c r="R37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3">
        <f>IF(AND(NOT(ISBLANK(ReconciliationData[[#This Row],[Contract_Price]])),ReconciliationData[[#This Row],[Billed_Price]]&lt;&gt;ReconciliationData[[#This Row],[Contract_Price]]),1,0)</f>
        <v>0</v>
      </c>
      <c r="T3723">
        <f>IF(AND(NOT(ISBLANK(ReconciliationData[[#This Row],[End_Date]])),ReconciliationData[[#This Row],[Order_Date]]&gt;ReconciliationData[[#This Row],[End_Date]]),1,0)</f>
        <v>0</v>
      </c>
      <c r="U3723">
        <f>IF(AND(NOT(ISBLANK(ReconciliationData[[#This Row],[last_return_date]])),ReconciliationData[[#This Row],[last_return_date]]&gt;ReconciliationData[[#This Row],[Order_Date]]+60),1,0)</f>
        <v>0</v>
      </c>
      <c r="V3723">
        <f>IF(ReconciliationData[[#This Row],[total_returned_units]]&gt;ReconciliationData[[#This Row],[ordered_units]],1,0)</f>
        <v>0</v>
      </c>
      <c r="W37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23">
        <f>ReconciliationData[[#This Row],[Billed_Units]]*ReconciliationData[[#This Row],[Billed_Price]]</f>
        <v>65458.559999999998</v>
      </c>
      <c r="Y3723">
        <f>ReconciliationData[[#This Row],[ordered_units]]*ReconciliationData[[#This Row],[List_Price]]</f>
        <v>65458.559999999998</v>
      </c>
      <c r="Z3723">
        <f>ReconciliationData[[#This Row],[billed_revenue]]-ReconciliationData[[#This Row],[expected_revenue]]</f>
        <v>0</v>
      </c>
      <c r="AA37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23" t="str">
        <f>IF(ReconciliationData[[#This Row],[severity_score]]=0,"LOW",
 IF(ReconciliationData[[#This Row],[severity_score]]&lt;=5,"MEDIUM","HIGH"))</f>
        <v>LOW</v>
      </c>
      <c r="AC3723" t="str">
        <f>TEXT(ReconciliationData[[#This Row],[Order_Date]],"YYYY-MM")</f>
        <v>2023-12</v>
      </c>
    </row>
    <row r="3724" spans="1:29">
      <c r="A3724" t="s">
        <v>8669</v>
      </c>
      <c r="B3724" s="1">
        <v>45347</v>
      </c>
      <c r="C3724" t="s">
        <v>2359</v>
      </c>
      <c r="D3724" t="s">
        <v>146</v>
      </c>
      <c r="E3724">
        <v>36</v>
      </c>
      <c r="F3724" t="s">
        <v>8670</v>
      </c>
      <c r="G3724">
        <v>36</v>
      </c>
      <c r="H3724">
        <v>849.43949999999995</v>
      </c>
      <c r="I3724">
        <v>36</v>
      </c>
      <c r="J3724" s="1">
        <v>45419</v>
      </c>
      <c r="N3724">
        <v>849.43949999999995</v>
      </c>
      <c r="O3724" s="1">
        <v>45114</v>
      </c>
      <c r="P3724">
        <f>IF(ISBLANK(ReconciliationData[[#This Row],[Invoice_ID]]),1,0)</f>
        <v>0</v>
      </c>
      <c r="Q3724">
        <f>IF(AND(NOT(ISBLANK(ReconciliationData[[#This Row],[Billed_Units]])),ReconciliationData[[#This Row],[ordered_units]]&lt;&gt;ReconciliationData[[#This Row],[Billed_Units]]),1,0)</f>
        <v>0</v>
      </c>
      <c r="R37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4">
        <f>IF(AND(NOT(ISBLANK(ReconciliationData[[#This Row],[Contract_Price]])),ReconciliationData[[#This Row],[Billed_Price]]&lt;&gt;ReconciliationData[[#This Row],[Contract_Price]]),1,0)</f>
        <v>0</v>
      </c>
      <c r="T3724">
        <f>IF(AND(NOT(ISBLANK(ReconciliationData[[#This Row],[End_Date]])),ReconciliationData[[#This Row],[Order_Date]]&gt;ReconciliationData[[#This Row],[End_Date]]),1,0)</f>
        <v>0</v>
      </c>
      <c r="U3724">
        <f>IF(AND(NOT(ISBLANK(ReconciliationData[[#This Row],[last_return_date]])),ReconciliationData[[#This Row],[last_return_date]]&gt;ReconciliationData[[#This Row],[Order_Date]]+60),1,0)</f>
        <v>1</v>
      </c>
      <c r="V3724">
        <f>IF(ReconciliationData[[#This Row],[total_returned_units]]&gt;ReconciliationData[[#This Row],[ordered_units]],1,0)</f>
        <v>0</v>
      </c>
      <c r="W37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24">
        <f>ReconciliationData[[#This Row],[Billed_Units]]*ReconciliationData[[#This Row],[Billed_Price]]</f>
        <v>30579.822</v>
      </c>
      <c r="Y3724">
        <f>ReconciliationData[[#This Row],[ordered_units]]*ReconciliationData[[#This Row],[List_Price]]</f>
        <v>30579.822</v>
      </c>
      <c r="Z3724">
        <f>ReconciliationData[[#This Row],[billed_revenue]]-ReconciliationData[[#This Row],[expected_revenue]]</f>
        <v>0</v>
      </c>
      <c r="AA37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724" t="str">
        <f>IF(ReconciliationData[[#This Row],[severity_score]]=0,"LOW",
 IF(ReconciliationData[[#This Row],[severity_score]]&lt;=5,"MEDIUM","HIGH"))</f>
        <v>MEDIUM</v>
      </c>
      <c r="AC3724" t="str">
        <f>TEXT(ReconciliationData[[#This Row],[Order_Date]],"YYYY-MM")</f>
        <v>2024-02</v>
      </c>
    </row>
    <row r="3725" spans="1:29">
      <c r="A3725" t="s">
        <v>8671</v>
      </c>
      <c r="B3725" s="1">
        <v>45347</v>
      </c>
      <c r="C3725" t="s">
        <v>137</v>
      </c>
      <c r="D3725" t="s">
        <v>423</v>
      </c>
      <c r="E3725">
        <v>178</v>
      </c>
      <c r="F3725" t="s">
        <v>8672</v>
      </c>
      <c r="G3725">
        <v>178</v>
      </c>
      <c r="H3725">
        <v>168.12909999999999</v>
      </c>
      <c r="N3725">
        <v>168.12909999999999</v>
      </c>
      <c r="O3725" s="1">
        <v>45013</v>
      </c>
      <c r="P3725">
        <f>IF(ISBLANK(ReconciliationData[[#This Row],[Invoice_ID]]),1,0)</f>
        <v>0</v>
      </c>
      <c r="Q3725">
        <f>IF(AND(NOT(ISBLANK(ReconciliationData[[#This Row],[Billed_Units]])),ReconciliationData[[#This Row],[ordered_units]]&lt;&gt;ReconciliationData[[#This Row],[Billed_Units]]),1,0)</f>
        <v>0</v>
      </c>
      <c r="R37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5">
        <f>IF(AND(NOT(ISBLANK(ReconciliationData[[#This Row],[Contract_Price]])),ReconciliationData[[#This Row],[Billed_Price]]&lt;&gt;ReconciliationData[[#This Row],[Contract_Price]]),1,0)</f>
        <v>0</v>
      </c>
      <c r="T3725">
        <f>IF(AND(NOT(ISBLANK(ReconciliationData[[#This Row],[End_Date]])),ReconciliationData[[#This Row],[Order_Date]]&gt;ReconciliationData[[#This Row],[End_Date]]),1,0)</f>
        <v>0</v>
      </c>
      <c r="U3725">
        <f>IF(AND(NOT(ISBLANK(ReconciliationData[[#This Row],[last_return_date]])),ReconciliationData[[#This Row],[last_return_date]]&gt;ReconciliationData[[#This Row],[Order_Date]]+60),1,0)</f>
        <v>0</v>
      </c>
      <c r="V3725">
        <f>IF(ReconciliationData[[#This Row],[total_returned_units]]&gt;ReconciliationData[[#This Row],[ordered_units]],1,0)</f>
        <v>0</v>
      </c>
      <c r="W37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25">
        <f>ReconciliationData[[#This Row],[Billed_Units]]*ReconciliationData[[#This Row],[Billed_Price]]</f>
        <v>29926.979799999997</v>
      </c>
      <c r="Y3725">
        <f>ReconciliationData[[#This Row],[ordered_units]]*ReconciliationData[[#This Row],[List_Price]]</f>
        <v>29926.979799999997</v>
      </c>
      <c r="Z3725">
        <f>ReconciliationData[[#This Row],[billed_revenue]]-ReconciliationData[[#This Row],[expected_revenue]]</f>
        <v>0</v>
      </c>
      <c r="AA37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25" t="str">
        <f>IF(ReconciliationData[[#This Row],[severity_score]]=0,"LOW",
 IF(ReconciliationData[[#This Row],[severity_score]]&lt;=5,"MEDIUM","HIGH"))</f>
        <v>LOW</v>
      </c>
      <c r="AC3725" t="str">
        <f>TEXT(ReconciliationData[[#This Row],[Order_Date]],"YYYY-MM")</f>
        <v>2024-02</v>
      </c>
    </row>
    <row r="3726" spans="1:29">
      <c r="A3726" t="s">
        <v>8673</v>
      </c>
      <c r="B3726" s="1">
        <v>45090</v>
      </c>
      <c r="C3726" t="s">
        <v>1631</v>
      </c>
      <c r="D3726" t="s">
        <v>1580</v>
      </c>
      <c r="E3726">
        <v>58</v>
      </c>
      <c r="F3726" t="s">
        <v>8674</v>
      </c>
      <c r="G3726">
        <v>58</v>
      </c>
      <c r="H3726">
        <v>708.51900000000001</v>
      </c>
      <c r="N3726">
        <v>708.51900000000001</v>
      </c>
      <c r="O3726" s="1">
        <v>45063</v>
      </c>
      <c r="P3726">
        <f>IF(ISBLANK(ReconciliationData[[#This Row],[Invoice_ID]]),1,0)</f>
        <v>0</v>
      </c>
      <c r="Q3726">
        <f>IF(AND(NOT(ISBLANK(ReconciliationData[[#This Row],[Billed_Units]])),ReconciliationData[[#This Row],[ordered_units]]&lt;&gt;ReconciliationData[[#This Row],[Billed_Units]]),1,0)</f>
        <v>0</v>
      </c>
      <c r="R37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6">
        <f>IF(AND(NOT(ISBLANK(ReconciliationData[[#This Row],[Contract_Price]])),ReconciliationData[[#This Row],[Billed_Price]]&lt;&gt;ReconciliationData[[#This Row],[Contract_Price]]),1,0)</f>
        <v>0</v>
      </c>
      <c r="T3726">
        <f>IF(AND(NOT(ISBLANK(ReconciliationData[[#This Row],[End_Date]])),ReconciliationData[[#This Row],[Order_Date]]&gt;ReconciliationData[[#This Row],[End_Date]]),1,0)</f>
        <v>0</v>
      </c>
      <c r="U3726">
        <f>IF(AND(NOT(ISBLANK(ReconciliationData[[#This Row],[last_return_date]])),ReconciliationData[[#This Row],[last_return_date]]&gt;ReconciliationData[[#This Row],[Order_Date]]+60),1,0)</f>
        <v>0</v>
      </c>
      <c r="V3726">
        <f>IF(ReconciliationData[[#This Row],[total_returned_units]]&gt;ReconciliationData[[#This Row],[ordered_units]],1,0)</f>
        <v>0</v>
      </c>
      <c r="W37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26">
        <f>ReconciliationData[[#This Row],[Billed_Units]]*ReconciliationData[[#This Row],[Billed_Price]]</f>
        <v>41094.101999999999</v>
      </c>
      <c r="Y3726">
        <f>ReconciliationData[[#This Row],[ordered_units]]*ReconciliationData[[#This Row],[List_Price]]</f>
        <v>41094.101999999999</v>
      </c>
      <c r="Z3726">
        <f>ReconciliationData[[#This Row],[billed_revenue]]-ReconciliationData[[#This Row],[expected_revenue]]</f>
        <v>0</v>
      </c>
      <c r="AA37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26" t="str">
        <f>IF(ReconciliationData[[#This Row],[severity_score]]=0,"LOW",
 IF(ReconciliationData[[#This Row],[severity_score]]&lt;=5,"MEDIUM","HIGH"))</f>
        <v>LOW</v>
      </c>
      <c r="AC3726" t="str">
        <f>TEXT(ReconciliationData[[#This Row],[Order_Date]],"YYYY-MM")</f>
        <v>2023-06</v>
      </c>
    </row>
    <row r="3727" spans="1:29">
      <c r="A3727" t="s">
        <v>8675</v>
      </c>
      <c r="B3727" s="1">
        <v>45337</v>
      </c>
      <c r="C3727" t="s">
        <v>803</v>
      </c>
      <c r="D3727" t="s">
        <v>1945</v>
      </c>
      <c r="E3727">
        <v>73</v>
      </c>
      <c r="F3727" t="s">
        <v>8676</v>
      </c>
      <c r="G3727">
        <v>73</v>
      </c>
      <c r="H3727">
        <v>1178.6880000000001</v>
      </c>
      <c r="N3727">
        <v>1178.6880000000001</v>
      </c>
      <c r="O3727" s="1">
        <v>44930</v>
      </c>
      <c r="P3727">
        <f>IF(ISBLANK(ReconciliationData[[#This Row],[Invoice_ID]]),1,0)</f>
        <v>0</v>
      </c>
      <c r="Q3727">
        <f>IF(AND(NOT(ISBLANK(ReconciliationData[[#This Row],[Billed_Units]])),ReconciliationData[[#This Row],[ordered_units]]&lt;&gt;ReconciliationData[[#This Row],[Billed_Units]]),1,0)</f>
        <v>0</v>
      </c>
      <c r="R37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7">
        <f>IF(AND(NOT(ISBLANK(ReconciliationData[[#This Row],[Contract_Price]])),ReconciliationData[[#This Row],[Billed_Price]]&lt;&gt;ReconciliationData[[#This Row],[Contract_Price]]),1,0)</f>
        <v>0</v>
      </c>
      <c r="T3727">
        <f>IF(AND(NOT(ISBLANK(ReconciliationData[[#This Row],[End_Date]])),ReconciliationData[[#This Row],[Order_Date]]&gt;ReconciliationData[[#This Row],[End_Date]]),1,0)</f>
        <v>0</v>
      </c>
      <c r="U3727">
        <f>IF(AND(NOT(ISBLANK(ReconciliationData[[#This Row],[last_return_date]])),ReconciliationData[[#This Row],[last_return_date]]&gt;ReconciliationData[[#This Row],[Order_Date]]+60),1,0)</f>
        <v>0</v>
      </c>
      <c r="V3727">
        <f>IF(ReconciliationData[[#This Row],[total_returned_units]]&gt;ReconciliationData[[#This Row],[ordered_units]],1,0)</f>
        <v>0</v>
      </c>
      <c r="W37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27">
        <f>ReconciliationData[[#This Row],[Billed_Units]]*ReconciliationData[[#This Row],[Billed_Price]]</f>
        <v>86044.224000000002</v>
      </c>
      <c r="Y3727">
        <f>ReconciliationData[[#This Row],[ordered_units]]*ReconciliationData[[#This Row],[List_Price]]</f>
        <v>86044.224000000002</v>
      </c>
      <c r="Z3727">
        <f>ReconciliationData[[#This Row],[billed_revenue]]-ReconciliationData[[#This Row],[expected_revenue]]</f>
        <v>0</v>
      </c>
      <c r="AA37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27" t="str">
        <f>IF(ReconciliationData[[#This Row],[severity_score]]=0,"LOW",
 IF(ReconciliationData[[#This Row],[severity_score]]&lt;=5,"MEDIUM","HIGH"))</f>
        <v>LOW</v>
      </c>
      <c r="AC3727" t="str">
        <f>TEXT(ReconciliationData[[#This Row],[Order_Date]],"YYYY-MM")</f>
        <v>2024-02</v>
      </c>
    </row>
    <row r="3728" spans="1:29">
      <c r="A3728" t="s">
        <v>8677</v>
      </c>
      <c r="B3728" s="1">
        <v>45524</v>
      </c>
      <c r="C3728" t="s">
        <v>1883</v>
      </c>
      <c r="D3728" t="s">
        <v>490</v>
      </c>
      <c r="E3728">
        <v>72</v>
      </c>
      <c r="F3728" t="s">
        <v>8678</v>
      </c>
      <c r="G3728">
        <v>72</v>
      </c>
      <c r="H3728">
        <v>1157.6343999999999</v>
      </c>
      <c r="N3728">
        <v>1157.6343999999999</v>
      </c>
      <c r="O3728" s="1">
        <v>44959</v>
      </c>
      <c r="P3728">
        <f>IF(ISBLANK(ReconciliationData[[#This Row],[Invoice_ID]]),1,0)</f>
        <v>0</v>
      </c>
      <c r="Q3728">
        <f>IF(AND(NOT(ISBLANK(ReconciliationData[[#This Row],[Billed_Units]])),ReconciliationData[[#This Row],[ordered_units]]&lt;&gt;ReconciliationData[[#This Row],[Billed_Units]]),1,0)</f>
        <v>0</v>
      </c>
      <c r="R37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8">
        <f>IF(AND(NOT(ISBLANK(ReconciliationData[[#This Row],[Contract_Price]])),ReconciliationData[[#This Row],[Billed_Price]]&lt;&gt;ReconciliationData[[#This Row],[Contract_Price]]),1,0)</f>
        <v>0</v>
      </c>
      <c r="T3728">
        <f>IF(AND(NOT(ISBLANK(ReconciliationData[[#This Row],[End_Date]])),ReconciliationData[[#This Row],[Order_Date]]&gt;ReconciliationData[[#This Row],[End_Date]]),1,0)</f>
        <v>0</v>
      </c>
      <c r="U3728">
        <f>IF(AND(NOT(ISBLANK(ReconciliationData[[#This Row],[last_return_date]])),ReconciliationData[[#This Row],[last_return_date]]&gt;ReconciliationData[[#This Row],[Order_Date]]+60),1,0)</f>
        <v>0</v>
      </c>
      <c r="V3728">
        <f>IF(ReconciliationData[[#This Row],[total_returned_units]]&gt;ReconciliationData[[#This Row],[ordered_units]],1,0)</f>
        <v>0</v>
      </c>
      <c r="W37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28">
        <f>ReconciliationData[[#This Row],[Billed_Units]]*ReconciliationData[[#This Row],[Billed_Price]]</f>
        <v>83349.676799999987</v>
      </c>
      <c r="Y3728">
        <f>ReconciliationData[[#This Row],[ordered_units]]*ReconciliationData[[#This Row],[List_Price]]</f>
        <v>83349.676799999987</v>
      </c>
      <c r="Z3728">
        <f>ReconciliationData[[#This Row],[billed_revenue]]-ReconciliationData[[#This Row],[expected_revenue]]</f>
        <v>0</v>
      </c>
      <c r="AA37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28" t="str">
        <f>IF(ReconciliationData[[#This Row],[severity_score]]=0,"LOW",
 IF(ReconciliationData[[#This Row],[severity_score]]&lt;=5,"MEDIUM","HIGH"))</f>
        <v>LOW</v>
      </c>
      <c r="AC3728" t="str">
        <f>TEXT(ReconciliationData[[#This Row],[Order_Date]],"YYYY-MM")</f>
        <v>2024-08</v>
      </c>
    </row>
    <row r="3729" spans="1:29">
      <c r="A3729" t="s">
        <v>8679</v>
      </c>
      <c r="B3729" s="1">
        <v>45094</v>
      </c>
      <c r="C3729" t="s">
        <v>1021</v>
      </c>
      <c r="D3729" t="s">
        <v>1436</v>
      </c>
      <c r="E3729">
        <v>7</v>
      </c>
      <c r="F3729" t="s">
        <v>8680</v>
      </c>
      <c r="G3729">
        <v>7</v>
      </c>
      <c r="H3729">
        <v>189.52920000000003</v>
      </c>
      <c r="N3729">
        <v>189.52920000000003</v>
      </c>
      <c r="O3729" s="1">
        <v>45070</v>
      </c>
      <c r="P3729">
        <f>IF(ISBLANK(ReconciliationData[[#This Row],[Invoice_ID]]),1,0)</f>
        <v>0</v>
      </c>
      <c r="Q3729">
        <f>IF(AND(NOT(ISBLANK(ReconciliationData[[#This Row],[Billed_Units]])),ReconciliationData[[#This Row],[ordered_units]]&lt;&gt;ReconciliationData[[#This Row],[Billed_Units]]),1,0)</f>
        <v>0</v>
      </c>
      <c r="R37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29">
        <f>IF(AND(NOT(ISBLANK(ReconciliationData[[#This Row],[Contract_Price]])),ReconciliationData[[#This Row],[Billed_Price]]&lt;&gt;ReconciliationData[[#This Row],[Contract_Price]]),1,0)</f>
        <v>0</v>
      </c>
      <c r="T3729">
        <f>IF(AND(NOT(ISBLANK(ReconciliationData[[#This Row],[End_Date]])),ReconciliationData[[#This Row],[Order_Date]]&gt;ReconciliationData[[#This Row],[End_Date]]),1,0)</f>
        <v>0</v>
      </c>
      <c r="U3729">
        <f>IF(AND(NOT(ISBLANK(ReconciliationData[[#This Row],[last_return_date]])),ReconciliationData[[#This Row],[last_return_date]]&gt;ReconciliationData[[#This Row],[Order_Date]]+60),1,0)</f>
        <v>0</v>
      </c>
      <c r="V3729">
        <f>IF(ReconciliationData[[#This Row],[total_returned_units]]&gt;ReconciliationData[[#This Row],[ordered_units]],1,0)</f>
        <v>0</v>
      </c>
      <c r="W37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29">
        <f>ReconciliationData[[#This Row],[Billed_Units]]*ReconciliationData[[#This Row],[Billed_Price]]</f>
        <v>1326.7044000000003</v>
      </c>
      <c r="Y3729">
        <f>ReconciliationData[[#This Row],[ordered_units]]*ReconciliationData[[#This Row],[List_Price]]</f>
        <v>1326.7044000000003</v>
      </c>
      <c r="Z3729">
        <f>ReconciliationData[[#This Row],[billed_revenue]]-ReconciliationData[[#This Row],[expected_revenue]]</f>
        <v>0</v>
      </c>
      <c r="AA37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29" t="str">
        <f>IF(ReconciliationData[[#This Row],[severity_score]]=0,"LOW",
 IF(ReconciliationData[[#This Row],[severity_score]]&lt;=5,"MEDIUM","HIGH"))</f>
        <v>LOW</v>
      </c>
      <c r="AC3729" t="str">
        <f>TEXT(ReconciliationData[[#This Row],[Order_Date]],"YYYY-MM")</f>
        <v>2023-06</v>
      </c>
    </row>
    <row r="3730" spans="1:29">
      <c r="A3730" t="s">
        <v>8681</v>
      </c>
      <c r="B3730" s="1">
        <v>45252</v>
      </c>
      <c r="C3730" t="s">
        <v>5606</v>
      </c>
      <c r="D3730" t="s">
        <v>2299</v>
      </c>
      <c r="E3730">
        <v>62</v>
      </c>
      <c r="F3730" t="s">
        <v>8682</v>
      </c>
      <c r="G3730">
        <v>62</v>
      </c>
      <c r="H3730">
        <v>1119.27</v>
      </c>
      <c r="N3730">
        <v>1119.27</v>
      </c>
      <c r="O3730" s="1">
        <v>45127</v>
      </c>
      <c r="P3730">
        <f>IF(ISBLANK(ReconciliationData[[#This Row],[Invoice_ID]]),1,0)</f>
        <v>0</v>
      </c>
      <c r="Q3730">
        <f>IF(AND(NOT(ISBLANK(ReconciliationData[[#This Row],[Billed_Units]])),ReconciliationData[[#This Row],[ordered_units]]&lt;&gt;ReconciliationData[[#This Row],[Billed_Units]]),1,0)</f>
        <v>0</v>
      </c>
      <c r="R37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0">
        <f>IF(AND(NOT(ISBLANK(ReconciliationData[[#This Row],[Contract_Price]])),ReconciliationData[[#This Row],[Billed_Price]]&lt;&gt;ReconciliationData[[#This Row],[Contract_Price]]),1,0)</f>
        <v>0</v>
      </c>
      <c r="T3730">
        <f>IF(AND(NOT(ISBLANK(ReconciliationData[[#This Row],[End_Date]])),ReconciliationData[[#This Row],[Order_Date]]&gt;ReconciliationData[[#This Row],[End_Date]]),1,0)</f>
        <v>0</v>
      </c>
      <c r="U3730">
        <f>IF(AND(NOT(ISBLANK(ReconciliationData[[#This Row],[last_return_date]])),ReconciliationData[[#This Row],[last_return_date]]&gt;ReconciliationData[[#This Row],[Order_Date]]+60),1,0)</f>
        <v>0</v>
      </c>
      <c r="V3730">
        <f>IF(ReconciliationData[[#This Row],[total_returned_units]]&gt;ReconciliationData[[#This Row],[ordered_units]],1,0)</f>
        <v>0</v>
      </c>
      <c r="W37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30">
        <f>ReconciliationData[[#This Row],[Billed_Units]]*ReconciliationData[[#This Row],[Billed_Price]]</f>
        <v>69394.740000000005</v>
      </c>
      <c r="Y3730">
        <f>ReconciliationData[[#This Row],[ordered_units]]*ReconciliationData[[#This Row],[List_Price]]</f>
        <v>69394.740000000005</v>
      </c>
      <c r="Z3730">
        <f>ReconciliationData[[#This Row],[billed_revenue]]-ReconciliationData[[#This Row],[expected_revenue]]</f>
        <v>0</v>
      </c>
      <c r="AA37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30" t="str">
        <f>IF(ReconciliationData[[#This Row],[severity_score]]=0,"LOW",
 IF(ReconciliationData[[#This Row],[severity_score]]&lt;=5,"MEDIUM","HIGH"))</f>
        <v>LOW</v>
      </c>
      <c r="AC3730" t="str">
        <f>TEXT(ReconciliationData[[#This Row],[Order_Date]],"YYYY-MM")</f>
        <v>2023-11</v>
      </c>
    </row>
    <row r="3731" spans="1:29">
      <c r="A3731" t="s">
        <v>8683</v>
      </c>
      <c r="B3731" s="1">
        <v>44934</v>
      </c>
      <c r="C3731" t="s">
        <v>2207</v>
      </c>
      <c r="D3731" t="s">
        <v>585</v>
      </c>
      <c r="E3731">
        <v>112</v>
      </c>
      <c r="F3731" t="s">
        <v>8684</v>
      </c>
      <c r="G3731">
        <v>112</v>
      </c>
      <c r="H3731">
        <v>916.35</v>
      </c>
      <c r="N3731">
        <v>916.35</v>
      </c>
      <c r="O3731" s="1">
        <v>44616</v>
      </c>
      <c r="P3731">
        <f>IF(ISBLANK(ReconciliationData[[#This Row],[Invoice_ID]]),1,0)</f>
        <v>0</v>
      </c>
      <c r="Q3731">
        <f>IF(AND(NOT(ISBLANK(ReconciliationData[[#This Row],[Billed_Units]])),ReconciliationData[[#This Row],[ordered_units]]&lt;&gt;ReconciliationData[[#This Row],[Billed_Units]]),1,0)</f>
        <v>0</v>
      </c>
      <c r="R37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1">
        <f>IF(AND(NOT(ISBLANK(ReconciliationData[[#This Row],[Contract_Price]])),ReconciliationData[[#This Row],[Billed_Price]]&lt;&gt;ReconciliationData[[#This Row],[Contract_Price]]),1,0)</f>
        <v>0</v>
      </c>
      <c r="T3731">
        <f>IF(AND(NOT(ISBLANK(ReconciliationData[[#This Row],[End_Date]])),ReconciliationData[[#This Row],[Order_Date]]&gt;ReconciliationData[[#This Row],[End_Date]]),1,0)</f>
        <v>0</v>
      </c>
      <c r="U3731">
        <f>IF(AND(NOT(ISBLANK(ReconciliationData[[#This Row],[last_return_date]])),ReconciliationData[[#This Row],[last_return_date]]&gt;ReconciliationData[[#This Row],[Order_Date]]+60),1,0)</f>
        <v>0</v>
      </c>
      <c r="V3731">
        <f>IF(ReconciliationData[[#This Row],[total_returned_units]]&gt;ReconciliationData[[#This Row],[ordered_units]],1,0)</f>
        <v>0</v>
      </c>
      <c r="W37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31">
        <f>ReconciliationData[[#This Row],[Billed_Units]]*ReconciliationData[[#This Row],[Billed_Price]]</f>
        <v>102631.2</v>
      </c>
      <c r="Y3731">
        <f>ReconciliationData[[#This Row],[ordered_units]]*ReconciliationData[[#This Row],[List_Price]]</f>
        <v>102631.2</v>
      </c>
      <c r="Z3731">
        <f>ReconciliationData[[#This Row],[billed_revenue]]-ReconciliationData[[#This Row],[expected_revenue]]</f>
        <v>0</v>
      </c>
      <c r="AA37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31" t="str">
        <f>IF(ReconciliationData[[#This Row],[severity_score]]=0,"LOW",
 IF(ReconciliationData[[#This Row],[severity_score]]&lt;=5,"MEDIUM","HIGH"))</f>
        <v>LOW</v>
      </c>
      <c r="AC3731" t="str">
        <f>TEXT(ReconciliationData[[#This Row],[Order_Date]],"YYYY-MM")</f>
        <v>2023-01</v>
      </c>
    </row>
    <row r="3732" spans="1:29">
      <c r="A3732" t="s">
        <v>8685</v>
      </c>
      <c r="B3732" s="1">
        <v>45001</v>
      </c>
      <c r="C3732" t="s">
        <v>3206</v>
      </c>
      <c r="D3732" t="s">
        <v>1735</v>
      </c>
      <c r="E3732">
        <v>160</v>
      </c>
      <c r="F3732" t="s">
        <v>8686</v>
      </c>
      <c r="G3732">
        <v>160</v>
      </c>
      <c r="H3732">
        <v>185.67840000000001</v>
      </c>
      <c r="N3732">
        <v>185.67840000000001</v>
      </c>
      <c r="O3732" s="1">
        <v>44808</v>
      </c>
      <c r="P3732">
        <f>IF(ISBLANK(ReconciliationData[[#This Row],[Invoice_ID]]),1,0)</f>
        <v>0</v>
      </c>
      <c r="Q3732">
        <f>IF(AND(NOT(ISBLANK(ReconciliationData[[#This Row],[Billed_Units]])),ReconciliationData[[#This Row],[ordered_units]]&lt;&gt;ReconciliationData[[#This Row],[Billed_Units]]),1,0)</f>
        <v>0</v>
      </c>
      <c r="R37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2">
        <f>IF(AND(NOT(ISBLANK(ReconciliationData[[#This Row],[Contract_Price]])),ReconciliationData[[#This Row],[Billed_Price]]&lt;&gt;ReconciliationData[[#This Row],[Contract_Price]]),1,0)</f>
        <v>0</v>
      </c>
      <c r="T3732">
        <f>IF(AND(NOT(ISBLANK(ReconciliationData[[#This Row],[End_Date]])),ReconciliationData[[#This Row],[Order_Date]]&gt;ReconciliationData[[#This Row],[End_Date]]),1,0)</f>
        <v>0</v>
      </c>
      <c r="U3732">
        <f>IF(AND(NOT(ISBLANK(ReconciliationData[[#This Row],[last_return_date]])),ReconciliationData[[#This Row],[last_return_date]]&gt;ReconciliationData[[#This Row],[Order_Date]]+60),1,0)</f>
        <v>0</v>
      </c>
      <c r="V3732">
        <f>IF(ReconciliationData[[#This Row],[total_returned_units]]&gt;ReconciliationData[[#This Row],[ordered_units]],1,0)</f>
        <v>0</v>
      </c>
      <c r="W37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32">
        <f>ReconciliationData[[#This Row],[Billed_Units]]*ReconciliationData[[#This Row],[Billed_Price]]</f>
        <v>29708.544000000002</v>
      </c>
      <c r="Y3732">
        <f>ReconciliationData[[#This Row],[ordered_units]]*ReconciliationData[[#This Row],[List_Price]]</f>
        <v>29708.544000000002</v>
      </c>
      <c r="Z3732">
        <f>ReconciliationData[[#This Row],[billed_revenue]]-ReconciliationData[[#This Row],[expected_revenue]]</f>
        <v>0</v>
      </c>
      <c r="AA37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32" t="str">
        <f>IF(ReconciliationData[[#This Row],[severity_score]]=0,"LOW",
 IF(ReconciliationData[[#This Row],[severity_score]]&lt;=5,"MEDIUM","HIGH"))</f>
        <v>LOW</v>
      </c>
      <c r="AC3732" t="str">
        <f>TEXT(ReconciliationData[[#This Row],[Order_Date]],"YYYY-MM")</f>
        <v>2023-03</v>
      </c>
    </row>
    <row r="3733" spans="1:29">
      <c r="A3733" t="s">
        <v>8687</v>
      </c>
      <c r="B3733" s="1">
        <v>45180</v>
      </c>
      <c r="C3733" t="s">
        <v>1196</v>
      </c>
      <c r="D3733" t="s">
        <v>753</v>
      </c>
      <c r="E3733">
        <v>11</v>
      </c>
      <c r="F3733" t="s">
        <v>8688</v>
      </c>
      <c r="G3733">
        <v>11</v>
      </c>
      <c r="H3733">
        <v>741.88620000000003</v>
      </c>
      <c r="N3733">
        <v>741.88620000000003</v>
      </c>
      <c r="O3733" s="1">
        <v>44930</v>
      </c>
      <c r="P3733">
        <f>IF(ISBLANK(ReconciliationData[[#This Row],[Invoice_ID]]),1,0)</f>
        <v>0</v>
      </c>
      <c r="Q3733">
        <f>IF(AND(NOT(ISBLANK(ReconciliationData[[#This Row],[Billed_Units]])),ReconciliationData[[#This Row],[ordered_units]]&lt;&gt;ReconciliationData[[#This Row],[Billed_Units]]),1,0)</f>
        <v>0</v>
      </c>
      <c r="R37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3">
        <f>IF(AND(NOT(ISBLANK(ReconciliationData[[#This Row],[Contract_Price]])),ReconciliationData[[#This Row],[Billed_Price]]&lt;&gt;ReconciliationData[[#This Row],[Contract_Price]]),1,0)</f>
        <v>0</v>
      </c>
      <c r="T3733">
        <f>IF(AND(NOT(ISBLANK(ReconciliationData[[#This Row],[End_Date]])),ReconciliationData[[#This Row],[Order_Date]]&gt;ReconciliationData[[#This Row],[End_Date]]),1,0)</f>
        <v>0</v>
      </c>
      <c r="U3733">
        <f>IF(AND(NOT(ISBLANK(ReconciliationData[[#This Row],[last_return_date]])),ReconciliationData[[#This Row],[last_return_date]]&gt;ReconciliationData[[#This Row],[Order_Date]]+60),1,0)</f>
        <v>0</v>
      </c>
      <c r="V3733">
        <f>IF(ReconciliationData[[#This Row],[total_returned_units]]&gt;ReconciliationData[[#This Row],[ordered_units]],1,0)</f>
        <v>0</v>
      </c>
      <c r="W37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33">
        <f>ReconciliationData[[#This Row],[Billed_Units]]*ReconciliationData[[#This Row],[Billed_Price]]</f>
        <v>8160.7482</v>
      </c>
      <c r="Y3733">
        <f>ReconciliationData[[#This Row],[ordered_units]]*ReconciliationData[[#This Row],[List_Price]]</f>
        <v>8160.7482</v>
      </c>
      <c r="Z3733">
        <f>ReconciliationData[[#This Row],[billed_revenue]]-ReconciliationData[[#This Row],[expected_revenue]]</f>
        <v>0</v>
      </c>
      <c r="AA37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33" t="str">
        <f>IF(ReconciliationData[[#This Row],[severity_score]]=0,"LOW",
 IF(ReconciliationData[[#This Row],[severity_score]]&lt;=5,"MEDIUM","HIGH"))</f>
        <v>LOW</v>
      </c>
      <c r="AC3733" t="str">
        <f>TEXT(ReconciliationData[[#This Row],[Order_Date]],"YYYY-MM")</f>
        <v>2023-09</v>
      </c>
    </row>
    <row r="3734" spans="1:29">
      <c r="A3734" t="s">
        <v>8689</v>
      </c>
      <c r="B3734" s="1">
        <v>45144</v>
      </c>
      <c r="C3734" t="s">
        <v>1304</v>
      </c>
      <c r="D3734" t="s">
        <v>1142</v>
      </c>
      <c r="E3734">
        <v>97</v>
      </c>
      <c r="F3734" t="s">
        <v>8690</v>
      </c>
      <c r="G3734">
        <v>97</v>
      </c>
      <c r="H3734">
        <v>624.37260000000003</v>
      </c>
      <c r="I3734">
        <v>3</v>
      </c>
      <c r="J3734" s="1">
        <v>45237</v>
      </c>
      <c r="N3734">
        <v>624.37260000000003</v>
      </c>
      <c r="O3734" s="1">
        <v>44932</v>
      </c>
      <c r="P3734">
        <f>IF(ISBLANK(ReconciliationData[[#This Row],[Invoice_ID]]),1,0)</f>
        <v>0</v>
      </c>
      <c r="Q3734">
        <f>IF(AND(NOT(ISBLANK(ReconciliationData[[#This Row],[Billed_Units]])),ReconciliationData[[#This Row],[ordered_units]]&lt;&gt;ReconciliationData[[#This Row],[Billed_Units]]),1,0)</f>
        <v>0</v>
      </c>
      <c r="R37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4">
        <f>IF(AND(NOT(ISBLANK(ReconciliationData[[#This Row],[Contract_Price]])),ReconciliationData[[#This Row],[Billed_Price]]&lt;&gt;ReconciliationData[[#This Row],[Contract_Price]]),1,0)</f>
        <v>0</v>
      </c>
      <c r="T3734">
        <f>IF(AND(NOT(ISBLANK(ReconciliationData[[#This Row],[End_Date]])),ReconciliationData[[#This Row],[Order_Date]]&gt;ReconciliationData[[#This Row],[End_Date]]),1,0)</f>
        <v>0</v>
      </c>
      <c r="U3734">
        <f>IF(AND(NOT(ISBLANK(ReconciliationData[[#This Row],[last_return_date]])),ReconciliationData[[#This Row],[last_return_date]]&gt;ReconciliationData[[#This Row],[Order_Date]]+60),1,0)</f>
        <v>1</v>
      </c>
      <c r="V3734">
        <f>IF(ReconciliationData[[#This Row],[total_returned_units]]&gt;ReconciliationData[[#This Row],[ordered_units]],1,0)</f>
        <v>0</v>
      </c>
      <c r="W37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34">
        <f>ReconciliationData[[#This Row],[Billed_Units]]*ReconciliationData[[#This Row],[Billed_Price]]</f>
        <v>60564.142200000002</v>
      </c>
      <c r="Y3734">
        <f>ReconciliationData[[#This Row],[ordered_units]]*ReconciliationData[[#This Row],[List_Price]]</f>
        <v>60564.142200000002</v>
      </c>
      <c r="Z3734">
        <f>ReconciliationData[[#This Row],[billed_revenue]]-ReconciliationData[[#This Row],[expected_revenue]]</f>
        <v>0</v>
      </c>
      <c r="AA37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734" t="str">
        <f>IF(ReconciliationData[[#This Row],[severity_score]]=0,"LOW",
 IF(ReconciliationData[[#This Row],[severity_score]]&lt;=5,"MEDIUM","HIGH"))</f>
        <v>MEDIUM</v>
      </c>
      <c r="AC3734" t="str">
        <f>TEXT(ReconciliationData[[#This Row],[Order_Date]],"YYYY-MM")</f>
        <v>2023-08</v>
      </c>
    </row>
    <row r="3735" spans="1:29">
      <c r="A3735" t="s">
        <v>8691</v>
      </c>
      <c r="B3735" s="1">
        <v>45329</v>
      </c>
      <c r="C3735" t="s">
        <v>7679</v>
      </c>
      <c r="D3735" t="s">
        <v>1209</v>
      </c>
      <c r="E3735">
        <v>10</v>
      </c>
      <c r="F3735" t="s">
        <v>8692</v>
      </c>
      <c r="G3735">
        <v>10</v>
      </c>
      <c r="H3735">
        <v>75.847200000000001</v>
      </c>
      <c r="I3735">
        <v>10</v>
      </c>
      <c r="J3735" s="1">
        <v>45248</v>
      </c>
      <c r="N3735">
        <v>75.847200000000001</v>
      </c>
      <c r="O3735" s="1">
        <v>45082</v>
      </c>
      <c r="P3735">
        <f>IF(ISBLANK(ReconciliationData[[#This Row],[Invoice_ID]]),1,0)</f>
        <v>0</v>
      </c>
      <c r="Q3735">
        <f>IF(AND(NOT(ISBLANK(ReconciliationData[[#This Row],[Billed_Units]])),ReconciliationData[[#This Row],[ordered_units]]&lt;&gt;ReconciliationData[[#This Row],[Billed_Units]]),1,0)</f>
        <v>0</v>
      </c>
      <c r="R37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5">
        <f>IF(AND(NOT(ISBLANK(ReconciliationData[[#This Row],[Contract_Price]])),ReconciliationData[[#This Row],[Billed_Price]]&lt;&gt;ReconciliationData[[#This Row],[Contract_Price]]),1,0)</f>
        <v>0</v>
      </c>
      <c r="T3735">
        <f>IF(AND(NOT(ISBLANK(ReconciliationData[[#This Row],[End_Date]])),ReconciliationData[[#This Row],[Order_Date]]&gt;ReconciliationData[[#This Row],[End_Date]]),1,0)</f>
        <v>0</v>
      </c>
      <c r="U3735">
        <f>IF(AND(NOT(ISBLANK(ReconciliationData[[#This Row],[last_return_date]])),ReconciliationData[[#This Row],[last_return_date]]&gt;ReconciliationData[[#This Row],[Order_Date]]+60),1,0)</f>
        <v>0</v>
      </c>
      <c r="V3735">
        <f>IF(ReconciliationData[[#This Row],[total_returned_units]]&gt;ReconciliationData[[#This Row],[ordered_units]],1,0)</f>
        <v>0</v>
      </c>
      <c r="W37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35">
        <f>ReconciliationData[[#This Row],[Billed_Units]]*ReconciliationData[[#This Row],[Billed_Price]]</f>
        <v>758.47199999999998</v>
      </c>
      <c r="Y3735">
        <f>ReconciliationData[[#This Row],[ordered_units]]*ReconciliationData[[#This Row],[List_Price]]</f>
        <v>758.47199999999998</v>
      </c>
      <c r="Z3735">
        <f>ReconciliationData[[#This Row],[billed_revenue]]-ReconciliationData[[#This Row],[expected_revenue]]</f>
        <v>0</v>
      </c>
      <c r="AA37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35" t="str">
        <f>IF(ReconciliationData[[#This Row],[severity_score]]=0,"LOW",
 IF(ReconciliationData[[#This Row],[severity_score]]&lt;=5,"MEDIUM","HIGH"))</f>
        <v>LOW</v>
      </c>
      <c r="AC3735" t="str">
        <f>TEXT(ReconciliationData[[#This Row],[Order_Date]],"YYYY-MM")</f>
        <v>2024-02</v>
      </c>
    </row>
    <row r="3736" spans="1:29">
      <c r="A3736" t="s">
        <v>8693</v>
      </c>
      <c r="B3736" s="1">
        <v>45056</v>
      </c>
      <c r="C3736" t="s">
        <v>422</v>
      </c>
      <c r="D3736" t="s">
        <v>1030</v>
      </c>
      <c r="E3736">
        <v>132</v>
      </c>
      <c r="F3736" t="s">
        <v>8694</v>
      </c>
      <c r="G3736">
        <v>132</v>
      </c>
      <c r="H3736">
        <v>370.82850000000002</v>
      </c>
      <c r="I3736">
        <v>1</v>
      </c>
      <c r="J3736" s="1">
        <v>45003</v>
      </c>
      <c r="N3736">
        <v>370.82850000000002</v>
      </c>
      <c r="O3736" s="1">
        <v>44986</v>
      </c>
      <c r="P3736">
        <f>IF(ISBLANK(ReconciliationData[[#This Row],[Invoice_ID]]),1,0)</f>
        <v>0</v>
      </c>
      <c r="Q3736">
        <f>IF(AND(NOT(ISBLANK(ReconciliationData[[#This Row],[Billed_Units]])),ReconciliationData[[#This Row],[ordered_units]]&lt;&gt;ReconciliationData[[#This Row],[Billed_Units]]),1,0)</f>
        <v>0</v>
      </c>
      <c r="R37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6">
        <f>IF(AND(NOT(ISBLANK(ReconciliationData[[#This Row],[Contract_Price]])),ReconciliationData[[#This Row],[Billed_Price]]&lt;&gt;ReconciliationData[[#This Row],[Contract_Price]]),1,0)</f>
        <v>0</v>
      </c>
      <c r="T3736">
        <f>IF(AND(NOT(ISBLANK(ReconciliationData[[#This Row],[End_Date]])),ReconciliationData[[#This Row],[Order_Date]]&gt;ReconciliationData[[#This Row],[End_Date]]),1,0)</f>
        <v>0</v>
      </c>
      <c r="U3736">
        <f>IF(AND(NOT(ISBLANK(ReconciliationData[[#This Row],[last_return_date]])),ReconciliationData[[#This Row],[last_return_date]]&gt;ReconciliationData[[#This Row],[Order_Date]]+60),1,0)</f>
        <v>0</v>
      </c>
      <c r="V3736">
        <f>IF(ReconciliationData[[#This Row],[total_returned_units]]&gt;ReconciliationData[[#This Row],[ordered_units]],1,0)</f>
        <v>0</v>
      </c>
      <c r="W37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36">
        <f>ReconciliationData[[#This Row],[Billed_Units]]*ReconciliationData[[#This Row],[Billed_Price]]</f>
        <v>48949.362000000001</v>
      </c>
      <c r="Y3736">
        <f>ReconciliationData[[#This Row],[ordered_units]]*ReconciliationData[[#This Row],[List_Price]]</f>
        <v>48949.362000000001</v>
      </c>
      <c r="Z3736">
        <f>ReconciliationData[[#This Row],[billed_revenue]]-ReconciliationData[[#This Row],[expected_revenue]]</f>
        <v>0</v>
      </c>
      <c r="AA37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36" t="str">
        <f>IF(ReconciliationData[[#This Row],[severity_score]]=0,"LOW",
 IF(ReconciliationData[[#This Row],[severity_score]]&lt;=5,"MEDIUM","HIGH"))</f>
        <v>LOW</v>
      </c>
      <c r="AC3736" t="str">
        <f>TEXT(ReconciliationData[[#This Row],[Order_Date]],"YYYY-MM")</f>
        <v>2023-05</v>
      </c>
    </row>
    <row r="3737" spans="1:29">
      <c r="A3737" t="s">
        <v>8695</v>
      </c>
      <c r="B3737" s="1">
        <v>45433</v>
      </c>
      <c r="C3737" t="s">
        <v>1196</v>
      </c>
      <c r="D3737" t="s">
        <v>283</v>
      </c>
      <c r="E3737">
        <v>101</v>
      </c>
      <c r="F3737" t="s">
        <v>8696</v>
      </c>
      <c r="G3737">
        <v>101</v>
      </c>
      <c r="H3737">
        <v>415.70589999999999</v>
      </c>
      <c r="N3737">
        <v>415.70589999999999</v>
      </c>
      <c r="O3737" s="1">
        <v>44989</v>
      </c>
      <c r="P3737">
        <f>IF(ISBLANK(ReconciliationData[[#This Row],[Invoice_ID]]),1,0)</f>
        <v>0</v>
      </c>
      <c r="Q3737">
        <f>IF(AND(NOT(ISBLANK(ReconciliationData[[#This Row],[Billed_Units]])),ReconciliationData[[#This Row],[ordered_units]]&lt;&gt;ReconciliationData[[#This Row],[Billed_Units]]),1,0)</f>
        <v>0</v>
      </c>
      <c r="R37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7">
        <f>IF(AND(NOT(ISBLANK(ReconciliationData[[#This Row],[Contract_Price]])),ReconciliationData[[#This Row],[Billed_Price]]&lt;&gt;ReconciliationData[[#This Row],[Contract_Price]]),1,0)</f>
        <v>0</v>
      </c>
      <c r="T3737">
        <f>IF(AND(NOT(ISBLANK(ReconciliationData[[#This Row],[End_Date]])),ReconciliationData[[#This Row],[Order_Date]]&gt;ReconciliationData[[#This Row],[End_Date]]),1,0)</f>
        <v>0</v>
      </c>
      <c r="U3737">
        <f>IF(AND(NOT(ISBLANK(ReconciliationData[[#This Row],[last_return_date]])),ReconciliationData[[#This Row],[last_return_date]]&gt;ReconciliationData[[#This Row],[Order_Date]]+60),1,0)</f>
        <v>0</v>
      </c>
      <c r="V3737">
        <f>IF(ReconciliationData[[#This Row],[total_returned_units]]&gt;ReconciliationData[[#This Row],[ordered_units]],1,0)</f>
        <v>0</v>
      </c>
      <c r="W37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37">
        <f>ReconciliationData[[#This Row],[Billed_Units]]*ReconciliationData[[#This Row],[Billed_Price]]</f>
        <v>41986.295899999997</v>
      </c>
      <c r="Y3737">
        <f>ReconciliationData[[#This Row],[ordered_units]]*ReconciliationData[[#This Row],[List_Price]]</f>
        <v>41986.295899999997</v>
      </c>
      <c r="Z3737">
        <f>ReconciliationData[[#This Row],[billed_revenue]]-ReconciliationData[[#This Row],[expected_revenue]]</f>
        <v>0</v>
      </c>
      <c r="AA37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37" t="str">
        <f>IF(ReconciliationData[[#This Row],[severity_score]]=0,"LOW",
 IF(ReconciliationData[[#This Row],[severity_score]]&lt;=5,"MEDIUM","HIGH"))</f>
        <v>LOW</v>
      </c>
      <c r="AC3737" t="str">
        <f>TEXT(ReconciliationData[[#This Row],[Order_Date]],"YYYY-MM")</f>
        <v>2024-05</v>
      </c>
    </row>
    <row r="3738" spans="1:29">
      <c r="A3738" t="s">
        <v>8697</v>
      </c>
      <c r="B3738" s="1">
        <v>45205</v>
      </c>
      <c r="C3738" t="s">
        <v>1120</v>
      </c>
      <c r="D3738" t="s">
        <v>1754</v>
      </c>
      <c r="E3738">
        <v>114</v>
      </c>
      <c r="F3738" t="s">
        <v>8698</v>
      </c>
      <c r="G3738">
        <v>114</v>
      </c>
      <c r="H3738">
        <v>1072.2954</v>
      </c>
      <c r="N3738">
        <v>1072.2954</v>
      </c>
      <c r="O3738" s="1">
        <v>45120</v>
      </c>
      <c r="P3738">
        <f>IF(ISBLANK(ReconciliationData[[#This Row],[Invoice_ID]]),1,0)</f>
        <v>0</v>
      </c>
      <c r="Q3738">
        <f>IF(AND(NOT(ISBLANK(ReconciliationData[[#This Row],[Billed_Units]])),ReconciliationData[[#This Row],[ordered_units]]&lt;&gt;ReconciliationData[[#This Row],[Billed_Units]]),1,0)</f>
        <v>0</v>
      </c>
      <c r="R37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8">
        <f>IF(AND(NOT(ISBLANK(ReconciliationData[[#This Row],[Contract_Price]])),ReconciliationData[[#This Row],[Billed_Price]]&lt;&gt;ReconciliationData[[#This Row],[Contract_Price]]),1,0)</f>
        <v>0</v>
      </c>
      <c r="T3738">
        <f>IF(AND(NOT(ISBLANK(ReconciliationData[[#This Row],[End_Date]])),ReconciliationData[[#This Row],[Order_Date]]&gt;ReconciliationData[[#This Row],[End_Date]]),1,0)</f>
        <v>0</v>
      </c>
      <c r="U3738">
        <f>IF(AND(NOT(ISBLANK(ReconciliationData[[#This Row],[last_return_date]])),ReconciliationData[[#This Row],[last_return_date]]&gt;ReconciliationData[[#This Row],[Order_Date]]+60),1,0)</f>
        <v>0</v>
      </c>
      <c r="V3738">
        <f>IF(ReconciliationData[[#This Row],[total_returned_units]]&gt;ReconciliationData[[#This Row],[ordered_units]],1,0)</f>
        <v>0</v>
      </c>
      <c r="W37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38">
        <f>ReconciliationData[[#This Row],[Billed_Units]]*ReconciliationData[[#This Row],[Billed_Price]]</f>
        <v>122241.6756</v>
      </c>
      <c r="Y3738">
        <f>ReconciliationData[[#This Row],[ordered_units]]*ReconciliationData[[#This Row],[List_Price]]</f>
        <v>122241.6756</v>
      </c>
      <c r="Z3738">
        <f>ReconciliationData[[#This Row],[billed_revenue]]-ReconciliationData[[#This Row],[expected_revenue]]</f>
        <v>0</v>
      </c>
      <c r="AA37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38" t="str">
        <f>IF(ReconciliationData[[#This Row],[severity_score]]=0,"LOW",
 IF(ReconciliationData[[#This Row],[severity_score]]&lt;=5,"MEDIUM","HIGH"))</f>
        <v>LOW</v>
      </c>
      <c r="AC3738" t="str">
        <f>TEXT(ReconciliationData[[#This Row],[Order_Date]],"YYYY-MM")</f>
        <v>2023-10</v>
      </c>
    </row>
    <row r="3739" spans="1:29">
      <c r="A3739" t="s">
        <v>8699</v>
      </c>
      <c r="B3739" s="1">
        <v>45364</v>
      </c>
      <c r="C3739" t="s">
        <v>3157</v>
      </c>
      <c r="D3739" t="s">
        <v>684</v>
      </c>
      <c r="E3739">
        <v>30</v>
      </c>
      <c r="F3739" t="s">
        <v>8700</v>
      </c>
      <c r="G3739">
        <v>31</v>
      </c>
      <c r="H3739">
        <v>75.620999999999995</v>
      </c>
      <c r="N3739">
        <v>75.620999999999995</v>
      </c>
      <c r="O3739" s="1">
        <v>45108</v>
      </c>
      <c r="P3739">
        <f>IF(ISBLANK(ReconciliationData[[#This Row],[Invoice_ID]]),1,0)</f>
        <v>0</v>
      </c>
      <c r="Q3739">
        <f>IF(AND(NOT(ISBLANK(ReconciliationData[[#This Row],[Billed_Units]])),ReconciliationData[[#This Row],[ordered_units]]&lt;&gt;ReconciliationData[[#This Row],[Billed_Units]]),1,0)</f>
        <v>1</v>
      </c>
      <c r="R37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39">
        <f>IF(AND(NOT(ISBLANK(ReconciliationData[[#This Row],[Contract_Price]])),ReconciliationData[[#This Row],[Billed_Price]]&lt;&gt;ReconciliationData[[#This Row],[Contract_Price]]),1,0)</f>
        <v>0</v>
      </c>
      <c r="T3739">
        <f>IF(AND(NOT(ISBLANK(ReconciliationData[[#This Row],[End_Date]])),ReconciliationData[[#This Row],[Order_Date]]&gt;ReconciliationData[[#This Row],[End_Date]]),1,0)</f>
        <v>0</v>
      </c>
      <c r="U3739">
        <f>IF(AND(NOT(ISBLANK(ReconciliationData[[#This Row],[last_return_date]])),ReconciliationData[[#This Row],[last_return_date]]&gt;ReconciliationData[[#This Row],[Order_Date]]+60),1,0)</f>
        <v>0</v>
      </c>
      <c r="V3739">
        <f>IF(ReconciliationData[[#This Row],[total_returned_units]]&gt;ReconciliationData[[#This Row],[ordered_units]],1,0)</f>
        <v>0</v>
      </c>
      <c r="W37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39">
        <f>ReconciliationData[[#This Row],[Billed_Units]]*ReconciliationData[[#This Row],[Billed_Price]]</f>
        <v>2344.2509999999997</v>
      </c>
      <c r="Y3739">
        <f>ReconciliationData[[#This Row],[ordered_units]]*ReconciliationData[[#This Row],[List_Price]]</f>
        <v>2268.6299999999997</v>
      </c>
      <c r="Z3739">
        <f>ReconciliationData[[#This Row],[billed_revenue]]-ReconciliationData[[#This Row],[expected_revenue]]</f>
        <v>75.621000000000095</v>
      </c>
      <c r="AA37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739" t="str">
        <f>IF(ReconciliationData[[#This Row],[severity_score]]=0,"LOW",
 IF(ReconciliationData[[#This Row],[severity_score]]&lt;=5,"MEDIUM","HIGH"))</f>
        <v>MEDIUM</v>
      </c>
      <c r="AC3739" t="str">
        <f>TEXT(ReconciliationData[[#This Row],[Order_Date]],"YYYY-MM")</f>
        <v>2024-03</v>
      </c>
    </row>
    <row r="3740" spans="1:29">
      <c r="A3740" t="s">
        <v>8701</v>
      </c>
      <c r="B3740" s="1">
        <v>45132</v>
      </c>
      <c r="C3740" t="s">
        <v>1395</v>
      </c>
      <c r="D3740" t="s">
        <v>1616</v>
      </c>
      <c r="E3740">
        <v>89</v>
      </c>
      <c r="F3740" t="s">
        <v>8702</v>
      </c>
      <c r="G3740">
        <v>89</v>
      </c>
      <c r="H3740">
        <v>1137.9636</v>
      </c>
      <c r="N3740">
        <v>1137.9636</v>
      </c>
      <c r="O3740" s="1">
        <v>45007</v>
      </c>
      <c r="P3740">
        <f>IF(ISBLANK(ReconciliationData[[#This Row],[Invoice_ID]]),1,0)</f>
        <v>0</v>
      </c>
      <c r="Q3740">
        <f>IF(AND(NOT(ISBLANK(ReconciliationData[[#This Row],[Billed_Units]])),ReconciliationData[[#This Row],[ordered_units]]&lt;&gt;ReconciliationData[[#This Row],[Billed_Units]]),1,0)</f>
        <v>0</v>
      </c>
      <c r="R37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0">
        <f>IF(AND(NOT(ISBLANK(ReconciliationData[[#This Row],[Contract_Price]])),ReconciliationData[[#This Row],[Billed_Price]]&lt;&gt;ReconciliationData[[#This Row],[Contract_Price]]),1,0)</f>
        <v>0</v>
      </c>
      <c r="T3740">
        <f>IF(AND(NOT(ISBLANK(ReconciliationData[[#This Row],[End_Date]])),ReconciliationData[[#This Row],[Order_Date]]&gt;ReconciliationData[[#This Row],[End_Date]]),1,0)</f>
        <v>0</v>
      </c>
      <c r="U3740">
        <f>IF(AND(NOT(ISBLANK(ReconciliationData[[#This Row],[last_return_date]])),ReconciliationData[[#This Row],[last_return_date]]&gt;ReconciliationData[[#This Row],[Order_Date]]+60),1,0)</f>
        <v>0</v>
      </c>
      <c r="V3740">
        <f>IF(ReconciliationData[[#This Row],[total_returned_units]]&gt;ReconciliationData[[#This Row],[ordered_units]],1,0)</f>
        <v>0</v>
      </c>
      <c r="W37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0">
        <f>ReconciliationData[[#This Row],[Billed_Units]]*ReconciliationData[[#This Row],[Billed_Price]]</f>
        <v>101278.7604</v>
      </c>
      <c r="Y3740">
        <f>ReconciliationData[[#This Row],[ordered_units]]*ReconciliationData[[#This Row],[List_Price]]</f>
        <v>101278.7604</v>
      </c>
      <c r="Z3740">
        <f>ReconciliationData[[#This Row],[billed_revenue]]-ReconciliationData[[#This Row],[expected_revenue]]</f>
        <v>0</v>
      </c>
      <c r="AA37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0" t="str">
        <f>IF(ReconciliationData[[#This Row],[severity_score]]=0,"LOW",
 IF(ReconciliationData[[#This Row],[severity_score]]&lt;=5,"MEDIUM","HIGH"))</f>
        <v>LOW</v>
      </c>
      <c r="AC3740" t="str">
        <f>TEXT(ReconciliationData[[#This Row],[Order_Date]],"YYYY-MM")</f>
        <v>2023-07</v>
      </c>
    </row>
    <row r="3741" spans="1:29">
      <c r="A3741" t="s">
        <v>8703</v>
      </c>
      <c r="B3741" s="1">
        <v>45615</v>
      </c>
      <c r="C3741" t="s">
        <v>1378</v>
      </c>
      <c r="D3741" t="s">
        <v>1945</v>
      </c>
      <c r="E3741">
        <v>176</v>
      </c>
      <c r="F3741" t="s">
        <v>8704</v>
      </c>
      <c r="G3741">
        <v>176</v>
      </c>
      <c r="H3741">
        <v>1178.6880000000001</v>
      </c>
      <c r="N3741">
        <v>1178.6880000000001</v>
      </c>
      <c r="O3741" s="1">
        <v>44930</v>
      </c>
      <c r="P3741">
        <f>IF(ISBLANK(ReconciliationData[[#This Row],[Invoice_ID]]),1,0)</f>
        <v>0</v>
      </c>
      <c r="Q3741">
        <f>IF(AND(NOT(ISBLANK(ReconciliationData[[#This Row],[Billed_Units]])),ReconciliationData[[#This Row],[ordered_units]]&lt;&gt;ReconciliationData[[#This Row],[Billed_Units]]),1,0)</f>
        <v>0</v>
      </c>
      <c r="R37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1">
        <f>IF(AND(NOT(ISBLANK(ReconciliationData[[#This Row],[Contract_Price]])),ReconciliationData[[#This Row],[Billed_Price]]&lt;&gt;ReconciliationData[[#This Row],[Contract_Price]]),1,0)</f>
        <v>0</v>
      </c>
      <c r="T3741">
        <f>IF(AND(NOT(ISBLANK(ReconciliationData[[#This Row],[End_Date]])),ReconciliationData[[#This Row],[Order_Date]]&gt;ReconciliationData[[#This Row],[End_Date]]),1,0)</f>
        <v>0</v>
      </c>
      <c r="U3741">
        <f>IF(AND(NOT(ISBLANK(ReconciliationData[[#This Row],[last_return_date]])),ReconciliationData[[#This Row],[last_return_date]]&gt;ReconciliationData[[#This Row],[Order_Date]]+60),1,0)</f>
        <v>0</v>
      </c>
      <c r="V3741">
        <f>IF(ReconciliationData[[#This Row],[total_returned_units]]&gt;ReconciliationData[[#This Row],[ordered_units]],1,0)</f>
        <v>0</v>
      </c>
      <c r="W37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1">
        <f>ReconciliationData[[#This Row],[Billed_Units]]*ReconciliationData[[#This Row],[Billed_Price]]</f>
        <v>207449.08800000002</v>
      </c>
      <c r="Y3741">
        <f>ReconciliationData[[#This Row],[ordered_units]]*ReconciliationData[[#This Row],[List_Price]]</f>
        <v>207449.08800000002</v>
      </c>
      <c r="Z3741">
        <f>ReconciliationData[[#This Row],[billed_revenue]]-ReconciliationData[[#This Row],[expected_revenue]]</f>
        <v>0</v>
      </c>
      <c r="AA37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1" t="str">
        <f>IF(ReconciliationData[[#This Row],[severity_score]]=0,"LOW",
 IF(ReconciliationData[[#This Row],[severity_score]]&lt;=5,"MEDIUM","HIGH"))</f>
        <v>LOW</v>
      </c>
      <c r="AC3741" t="str">
        <f>TEXT(ReconciliationData[[#This Row],[Order_Date]],"YYYY-MM")</f>
        <v>2024-11</v>
      </c>
    </row>
    <row r="3742" spans="1:29">
      <c r="A3742" t="s">
        <v>8705</v>
      </c>
      <c r="B3742" s="1">
        <v>45355</v>
      </c>
      <c r="C3742" t="s">
        <v>1699</v>
      </c>
      <c r="D3742" t="s">
        <v>2187</v>
      </c>
      <c r="E3742">
        <v>126</v>
      </c>
      <c r="F3742" t="s">
        <v>8706</v>
      </c>
      <c r="G3742">
        <v>126</v>
      </c>
      <c r="H3742">
        <v>223.6044</v>
      </c>
      <c r="N3742">
        <v>223.6044</v>
      </c>
      <c r="O3742" s="1">
        <v>45091</v>
      </c>
      <c r="P3742">
        <f>IF(ISBLANK(ReconciliationData[[#This Row],[Invoice_ID]]),1,0)</f>
        <v>0</v>
      </c>
      <c r="Q3742">
        <f>IF(AND(NOT(ISBLANK(ReconciliationData[[#This Row],[Billed_Units]])),ReconciliationData[[#This Row],[ordered_units]]&lt;&gt;ReconciliationData[[#This Row],[Billed_Units]]),1,0)</f>
        <v>0</v>
      </c>
      <c r="R37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2">
        <f>IF(AND(NOT(ISBLANK(ReconciliationData[[#This Row],[Contract_Price]])),ReconciliationData[[#This Row],[Billed_Price]]&lt;&gt;ReconciliationData[[#This Row],[Contract_Price]]),1,0)</f>
        <v>0</v>
      </c>
      <c r="T3742">
        <f>IF(AND(NOT(ISBLANK(ReconciliationData[[#This Row],[End_Date]])),ReconciliationData[[#This Row],[Order_Date]]&gt;ReconciliationData[[#This Row],[End_Date]]),1,0)</f>
        <v>0</v>
      </c>
      <c r="U3742">
        <f>IF(AND(NOT(ISBLANK(ReconciliationData[[#This Row],[last_return_date]])),ReconciliationData[[#This Row],[last_return_date]]&gt;ReconciliationData[[#This Row],[Order_Date]]+60),1,0)</f>
        <v>0</v>
      </c>
      <c r="V3742">
        <f>IF(ReconciliationData[[#This Row],[total_returned_units]]&gt;ReconciliationData[[#This Row],[ordered_units]],1,0)</f>
        <v>0</v>
      </c>
      <c r="W37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2">
        <f>ReconciliationData[[#This Row],[Billed_Units]]*ReconciliationData[[#This Row],[Billed_Price]]</f>
        <v>28174.154399999999</v>
      </c>
      <c r="Y3742">
        <f>ReconciliationData[[#This Row],[ordered_units]]*ReconciliationData[[#This Row],[List_Price]]</f>
        <v>28174.154399999999</v>
      </c>
      <c r="Z3742">
        <f>ReconciliationData[[#This Row],[billed_revenue]]-ReconciliationData[[#This Row],[expected_revenue]]</f>
        <v>0</v>
      </c>
      <c r="AA37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2" t="str">
        <f>IF(ReconciliationData[[#This Row],[severity_score]]=0,"LOW",
 IF(ReconciliationData[[#This Row],[severity_score]]&lt;=5,"MEDIUM","HIGH"))</f>
        <v>LOW</v>
      </c>
      <c r="AC3742" t="str">
        <f>TEXT(ReconciliationData[[#This Row],[Order_Date]],"YYYY-MM")</f>
        <v>2024-03</v>
      </c>
    </row>
    <row r="3743" spans="1:29">
      <c r="A3743" t="s">
        <v>8707</v>
      </c>
      <c r="B3743" s="1">
        <v>45292</v>
      </c>
      <c r="C3743" t="s">
        <v>407</v>
      </c>
      <c r="D3743" t="s">
        <v>2360</v>
      </c>
      <c r="E3743">
        <v>50</v>
      </c>
      <c r="F3743" t="s">
        <v>8708</v>
      </c>
      <c r="G3743">
        <v>50</v>
      </c>
      <c r="H3743">
        <v>852.46560000000011</v>
      </c>
      <c r="N3743">
        <v>852.46560000000011</v>
      </c>
      <c r="O3743" s="1">
        <v>44996</v>
      </c>
      <c r="P3743">
        <f>IF(ISBLANK(ReconciliationData[[#This Row],[Invoice_ID]]),1,0)</f>
        <v>0</v>
      </c>
      <c r="Q3743">
        <f>IF(AND(NOT(ISBLANK(ReconciliationData[[#This Row],[Billed_Units]])),ReconciliationData[[#This Row],[ordered_units]]&lt;&gt;ReconciliationData[[#This Row],[Billed_Units]]),1,0)</f>
        <v>0</v>
      </c>
      <c r="R37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3">
        <f>IF(AND(NOT(ISBLANK(ReconciliationData[[#This Row],[Contract_Price]])),ReconciliationData[[#This Row],[Billed_Price]]&lt;&gt;ReconciliationData[[#This Row],[Contract_Price]]),1,0)</f>
        <v>0</v>
      </c>
      <c r="T3743">
        <f>IF(AND(NOT(ISBLANK(ReconciliationData[[#This Row],[End_Date]])),ReconciliationData[[#This Row],[Order_Date]]&gt;ReconciliationData[[#This Row],[End_Date]]),1,0)</f>
        <v>0</v>
      </c>
      <c r="U3743">
        <f>IF(AND(NOT(ISBLANK(ReconciliationData[[#This Row],[last_return_date]])),ReconciliationData[[#This Row],[last_return_date]]&gt;ReconciliationData[[#This Row],[Order_Date]]+60),1,0)</f>
        <v>0</v>
      </c>
      <c r="V3743">
        <f>IF(ReconciliationData[[#This Row],[total_returned_units]]&gt;ReconciliationData[[#This Row],[ordered_units]],1,0)</f>
        <v>0</v>
      </c>
      <c r="W37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3">
        <f>ReconciliationData[[#This Row],[Billed_Units]]*ReconciliationData[[#This Row],[Billed_Price]]</f>
        <v>42623.280000000006</v>
      </c>
      <c r="Y3743">
        <f>ReconciliationData[[#This Row],[ordered_units]]*ReconciliationData[[#This Row],[List_Price]]</f>
        <v>42623.280000000006</v>
      </c>
      <c r="Z3743">
        <f>ReconciliationData[[#This Row],[billed_revenue]]-ReconciliationData[[#This Row],[expected_revenue]]</f>
        <v>0</v>
      </c>
      <c r="AA37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3" t="str">
        <f>IF(ReconciliationData[[#This Row],[severity_score]]=0,"LOW",
 IF(ReconciliationData[[#This Row],[severity_score]]&lt;=5,"MEDIUM","HIGH"))</f>
        <v>LOW</v>
      </c>
      <c r="AC3743" t="str">
        <f>TEXT(ReconciliationData[[#This Row],[Order_Date]],"YYYY-MM")</f>
        <v>2024-01</v>
      </c>
    </row>
    <row r="3744" spans="1:29">
      <c r="A3744" t="s">
        <v>8709</v>
      </c>
      <c r="B3744" s="1">
        <v>45544</v>
      </c>
      <c r="C3744" t="s">
        <v>3060</v>
      </c>
      <c r="D3744" t="s">
        <v>341</v>
      </c>
      <c r="E3744">
        <v>107</v>
      </c>
      <c r="F3744" t="s">
        <v>8710</v>
      </c>
      <c r="G3744">
        <v>107</v>
      </c>
      <c r="H3744">
        <v>49.450800000000001</v>
      </c>
      <c r="N3744">
        <v>49.450800000000001</v>
      </c>
      <c r="O3744" s="1">
        <v>45168</v>
      </c>
      <c r="P3744">
        <f>IF(ISBLANK(ReconciliationData[[#This Row],[Invoice_ID]]),1,0)</f>
        <v>0</v>
      </c>
      <c r="Q3744">
        <f>IF(AND(NOT(ISBLANK(ReconciliationData[[#This Row],[Billed_Units]])),ReconciliationData[[#This Row],[ordered_units]]&lt;&gt;ReconciliationData[[#This Row],[Billed_Units]]),1,0)</f>
        <v>0</v>
      </c>
      <c r="R37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4">
        <f>IF(AND(NOT(ISBLANK(ReconciliationData[[#This Row],[Contract_Price]])),ReconciliationData[[#This Row],[Billed_Price]]&lt;&gt;ReconciliationData[[#This Row],[Contract_Price]]),1,0)</f>
        <v>0</v>
      </c>
      <c r="T3744">
        <f>IF(AND(NOT(ISBLANK(ReconciliationData[[#This Row],[End_Date]])),ReconciliationData[[#This Row],[Order_Date]]&gt;ReconciliationData[[#This Row],[End_Date]]),1,0)</f>
        <v>0</v>
      </c>
      <c r="U3744">
        <f>IF(AND(NOT(ISBLANK(ReconciliationData[[#This Row],[last_return_date]])),ReconciliationData[[#This Row],[last_return_date]]&gt;ReconciliationData[[#This Row],[Order_Date]]+60),1,0)</f>
        <v>0</v>
      </c>
      <c r="V3744">
        <f>IF(ReconciliationData[[#This Row],[total_returned_units]]&gt;ReconciliationData[[#This Row],[ordered_units]],1,0)</f>
        <v>0</v>
      </c>
      <c r="W37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4">
        <f>ReconciliationData[[#This Row],[Billed_Units]]*ReconciliationData[[#This Row],[Billed_Price]]</f>
        <v>5291.2356</v>
      </c>
      <c r="Y3744">
        <f>ReconciliationData[[#This Row],[ordered_units]]*ReconciliationData[[#This Row],[List_Price]]</f>
        <v>5291.2356</v>
      </c>
      <c r="Z3744">
        <f>ReconciliationData[[#This Row],[billed_revenue]]-ReconciliationData[[#This Row],[expected_revenue]]</f>
        <v>0</v>
      </c>
      <c r="AA37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4" t="str">
        <f>IF(ReconciliationData[[#This Row],[severity_score]]=0,"LOW",
 IF(ReconciliationData[[#This Row],[severity_score]]&lt;=5,"MEDIUM","HIGH"))</f>
        <v>LOW</v>
      </c>
      <c r="AC3744" t="str">
        <f>TEXT(ReconciliationData[[#This Row],[Order_Date]],"YYYY-MM")</f>
        <v>2024-09</v>
      </c>
    </row>
    <row r="3745" spans="1:29">
      <c r="A3745" t="s">
        <v>8711</v>
      </c>
      <c r="B3745" s="1">
        <v>44968</v>
      </c>
      <c r="C3745" t="s">
        <v>7534</v>
      </c>
      <c r="D3745" t="s">
        <v>912</v>
      </c>
      <c r="E3745">
        <v>100</v>
      </c>
      <c r="F3745" t="s">
        <v>8712</v>
      </c>
      <c r="G3745">
        <v>100</v>
      </c>
      <c r="H3745">
        <v>408.07569999999998</v>
      </c>
      <c r="N3745">
        <v>408.07569999999998</v>
      </c>
      <c r="O3745" s="1">
        <v>44820</v>
      </c>
      <c r="P3745">
        <f>IF(ISBLANK(ReconciliationData[[#This Row],[Invoice_ID]]),1,0)</f>
        <v>0</v>
      </c>
      <c r="Q3745">
        <f>IF(AND(NOT(ISBLANK(ReconciliationData[[#This Row],[Billed_Units]])),ReconciliationData[[#This Row],[ordered_units]]&lt;&gt;ReconciliationData[[#This Row],[Billed_Units]]),1,0)</f>
        <v>0</v>
      </c>
      <c r="R37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5">
        <f>IF(AND(NOT(ISBLANK(ReconciliationData[[#This Row],[Contract_Price]])),ReconciliationData[[#This Row],[Billed_Price]]&lt;&gt;ReconciliationData[[#This Row],[Contract_Price]]),1,0)</f>
        <v>0</v>
      </c>
      <c r="T3745">
        <f>IF(AND(NOT(ISBLANK(ReconciliationData[[#This Row],[End_Date]])),ReconciliationData[[#This Row],[Order_Date]]&gt;ReconciliationData[[#This Row],[End_Date]]),1,0)</f>
        <v>0</v>
      </c>
      <c r="U3745">
        <f>IF(AND(NOT(ISBLANK(ReconciliationData[[#This Row],[last_return_date]])),ReconciliationData[[#This Row],[last_return_date]]&gt;ReconciliationData[[#This Row],[Order_Date]]+60),1,0)</f>
        <v>0</v>
      </c>
      <c r="V3745">
        <f>IF(ReconciliationData[[#This Row],[total_returned_units]]&gt;ReconciliationData[[#This Row],[ordered_units]],1,0)</f>
        <v>0</v>
      </c>
      <c r="W37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5">
        <f>ReconciliationData[[#This Row],[Billed_Units]]*ReconciliationData[[#This Row],[Billed_Price]]</f>
        <v>40807.57</v>
      </c>
      <c r="Y3745">
        <f>ReconciliationData[[#This Row],[ordered_units]]*ReconciliationData[[#This Row],[List_Price]]</f>
        <v>40807.57</v>
      </c>
      <c r="Z3745">
        <f>ReconciliationData[[#This Row],[billed_revenue]]-ReconciliationData[[#This Row],[expected_revenue]]</f>
        <v>0</v>
      </c>
      <c r="AA37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5" t="str">
        <f>IF(ReconciliationData[[#This Row],[severity_score]]=0,"LOW",
 IF(ReconciliationData[[#This Row],[severity_score]]&lt;=5,"MEDIUM","HIGH"))</f>
        <v>LOW</v>
      </c>
      <c r="AC3745" t="str">
        <f>TEXT(ReconciliationData[[#This Row],[Order_Date]],"YYYY-MM")</f>
        <v>2023-02</v>
      </c>
    </row>
    <row r="3746" spans="1:29">
      <c r="A3746" t="s">
        <v>8713</v>
      </c>
      <c r="B3746" s="1">
        <v>45378</v>
      </c>
      <c r="C3746" t="s">
        <v>1452</v>
      </c>
      <c r="D3746" t="s">
        <v>1812</v>
      </c>
      <c r="E3746">
        <v>91</v>
      </c>
      <c r="F3746" t="s">
        <v>8714</v>
      </c>
      <c r="G3746">
        <v>91</v>
      </c>
      <c r="H3746">
        <v>226.88399999999999</v>
      </c>
      <c r="N3746">
        <v>226.88399999999999</v>
      </c>
      <c r="O3746" s="1">
        <v>45086</v>
      </c>
      <c r="P3746">
        <f>IF(ISBLANK(ReconciliationData[[#This Row],[Invoice_ID]]),1,0)</f>
        <v>0</v>
      </c>
      <c r="Q3746">
        <f>IF(AND(NOT(ISBLANK(ReconciliationData[[#This Row],[Billed_Units]])),ReconciliationData[[#This Row],[ordered_units]]&lt;&gt;ReconciliationData[[#This Row],[Billed_Units]]),1,0)</f>
        <v>0</v>
      </c>
      <c r="R37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6">
        <f>IF(AND(NOT(ISBLANK(ReconciliationData[[#This Row],[Contract_Price]])),ReconciliationData[[#This Row],[Billed_Price]]&lt;&gt;ReconciliationData[[#This Row],[Contract_Price]]),1,0)</f>
        <v>0</v>
      </c>
      <c r="T3746">
        <f>IF(AND(NOT(ISBLANK(ReconciliationData[[#This Row],[End_Date]])),ReconciliationData[[#This Row],[Order_Date]]&gt;ReconciliationData[[#This Row],[End_Date]]),1,0)</f>
        <v>0</v>
      </c>
      <c r="U3746">
        <f>IF(AND(NOT(ISBLANK(ReconciliationData[[#This Row],[last_return_date]])),ReconciliationData[[#This Row],[last_return_date]]&gt;ReconciliationData[[#This Row],[Order_Date]]+60),1,0)</f>
        <v>0</v>
      </c>
      <c r="V3746">
        <f>IF(ReconciliationData[[#This Row],[total_returned_units]]&gt;ReconciliationData[[#This Row],[ordered_units]],1,0)</f>
        <v>0</v>
      </c>
      <c r="W37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6">
        <f>ReconciliationData[[#This Row],[Billed_Units]]*ReconciliationData[[#This Row],[Billed_Price]]</f>
        <v>20646.444</v>
      </c>
      <c r="Y3746">
        <f>ReconciliationData[[#This Row],[ordered_units]]*ReconciliationData[[#This Row],[List_Price]]</f>
        <v>20646.444</v>
      </c>
      <c r="Z3746">
        <f>ReconciliationData[[#This Row],[billed_revenue]]-ReconciliationData[[#This Row],[expected_revenue]]</f>
        <v>0</v>
      </c>
      <c r="AA37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6" t="str">
        <f>IF(ReconciliationData[[#This Row],[severity_score]]=0,"LOW",
 IF(ReconciliationData[[#This Row],[severity_score]]&lt;=5,"MEDIUM","HIGH"))</f>
        <v>LOW</v>
      </c>
      <c r="AC3746" t="str">
        <f>TEXT(ReconciliationData[[#This Row],[Order_Date]],"YYYY-MM")</f>
        <v>2024-03</v>
      </c>
    </row>
    <row r="3747" spans="1:29">
      <c r="A3747" t="s">
        <v>8715</v>
      </c>
      <c r="B3747" s="1">
        <v>44993</v>
      </c>
      <c r="C3747" t="s">
        <v>234</v>
      </c>
      <c r="D3747" t="s">
        <v>962</v>
      </c>
      <c r="E3747">
        <v>154</v>
      </c>
      <c r="F3747" t="s">
        <v>8716</v>
      </c>
      <c r="G3747">
        <v>154</v>
      </c>
      <c r="H3747">
        <v>709.52</v>
      </c>
      <c r="N3747">
        <v>709.52</v>
      </c>
      <c r="O3747" s="1">
        <v>44952</v>
      </c>
      <c r="P3747">
        <f>IF(ISBLANK(ReconciliationData[[#This Row],[Invoice_ID]]),1,0)</f>
        <v>0</v>
      </c>
      <c r="Q3747">
        <f>IF(AND(NOT(ISBLANK(ReconciliationData[[#This Row],[Billed_Units]])),ReconciliationData[[#This Row],[ordered_units]]&lt;&gt;ReconciliationData[[#This Row],[Billed_Units]]),1,0)</f>
        <v>0</v>
      </c>
      <c r="R37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7">
        <f>IF(AND(NOT(ISBLANK(ReconciliationData[[#This Row],[Contract_Price]])),ReconciliationData[[#This Row],[Billed_Price]]&lt;&gt;ReconciliationData[[#This Row],[Contract_Price]]),1,0)</f>
        <v>0</v>
      </c>
      <c r="T3747">
        <f>IF(AND(NOT(ISBLANK(ReconciliationData[[#This Row],[End_Date]])),ReconciliationData[[#This Row],[Order_Date]]&gt;ReconciliationData[[#This Row],[End_Date]]),1,0)</f>
        <v>0</v>
      </c>
      <c r="U3747">
        <f>IF(AND(NOT(ISBLANK(ReconciliationData[[#This Row],[last_return_date]])),ReconciliationData[[#This Row],[last_return_date]]&gt;ReconciliationData[[#This Row],[Order_Date]]+60),1,0)</f>
        <v>0</v>
      </c>
      <c r="V3747">
        <f>IF(ReconciliationData[[#This Row],[total_returned_units]]&gt;ReconciliationData[[#This Row],[ordered_units]],1,0)</f>
        <v>0</v>
      </c>
      <c r="W37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7">
        <f>ReconciliationData[[#This Row],[Billed_Units]]*ReconciliationData[[#This Row],[Billed_Price]]</f>
        <v>109266.08</v>
      </c>
      <c r="Y3747">
        <f>ReconciliationData[[#This Row],[ordered_units]]*ReconciliationData[[#This Row],[List_Price]]</f>
        <v>109266.08</v>
      </c>
      <c r="Z3747">
        <f>ReconciliationData[[#This Row],[billed_revenue]]-ReconciliationData[[#This Row],[expected_revenue]]</f>
        <v>0</v>
      </c>
      <c r="AA37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7" t="str">
        <f>IF(ReconciliationData[[#This Row],[severity_score]]=0,"LOW",
 IF(ReconciliationData[[#This Row],[severity_score]]&lt;=5,"MEDIUM","HIGH"))</f>
        <v>LOW</v>
      </c>
      <c r="AC3747" t="str">
        <f>TEXT(ReconciliationData[[#This Row],[Order_Date]],"YYYY-MM")</f>
        <v>2023-03</v>
      </c>
    </row>
    <row r="3748" spans="1:29">
      <c r="A3748" t="s">
        <v>8717</v>
      </c>
      <c r="B3748" s="1">
        <v>45563</v>
      </c>
      <c r="C3748" t="s">
        <v>153</v>
      </c>
      <c r="D3748" t="s">
        <v>674</v>
      </c>
      <c r="E3748">
        <v>139</v>
      </c>
      <c r="F3748" t="s">
        <v>8718</v>
      </c>
      <c r="G3748">
        <v>139</v>
      </c>
      <c r="H3748">
        <v>1061.7264</v>
      </c>
      <c r="N3748">
        <v>1061.7264</v>
      </c>
      <c r="O3748" s="1">
        <v>45180</v>
      </c>
      <c r="P3748">
        <f>IF(ISBLANK(ReconciliationData[[#This Row],[Invoice_ID]]),1,0)</f>
        <v>0</v>
      </c>
      <c r="Q3748">
        <f>IF(AND(NOT(ISBLANK(ReconciliationData[[#This Row],[Billed_Units]])),ReconciliationData[[#This Row],[ordered_units]]&lt;&gt;ReconciliationData[[#This Row],[Billed_Units]]),1,0)</f>
        <v>0</v>
      </c>
      <c r="R37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8">
        <f>IF(AND(NOT(ISBLANK(ReconciliationData[[#This Row],[Contract_Price]])),ReconciliationData[[#This Row],[Billed_Price]]&lt;&gt;ReconciliationData[[#This Row],[Contract_Price]]),1,0)</f>
        <v>0</v>
      </c>
      <c r="T3748">
        <f>IF(AND(NOT(ISBLANK(ReconciliationData[[#This Row],[End_Date]])),ReconciliationData[[#This Row],[Order_Date]]&gt;ReconciliationData[[#This Row],[End_Date]]),1,0)</f>
        <v>0</v>
      </c>
      <c r="U3748">
        <f>IF(AND(NOT(ISBLANK(ReconciliationData[[#This Row],[last_return_date]])),ReconciliationData[[#This Row],[last_return_date]]&gt;ReconciliationData[[#This Row],[Order_Date]]+60),1,0)</f>
        <v>0</v>
      </c>
      <c r="V3748">
        <f>IF(ReconciliationData[[#This Row],[total_returned_units]]&gt;ReconciliationData[[#This Row],[ordered_units]],1,0)</f>
        <v>0</v>
      </c>
      <c r="W37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8">
        <f>ReconciliationData[[#This Row],[Billed_Units]]*ReconciliationData[[#This Row],[Billed_Price]]</f>
        <v>147579.96960000001</v>
      </c>
      <c r="Y3748">
        <f>ReconciliationData[[#This Row],[ordered_units]]*ReconciliationData[[#This Row],[List_Price]]</f>
        <v>147579.96960000001</v>
      </c>
      <c r="Z3748">
        <f>ReconciliationData[[#This Row],[billed_revenue]]-ReconciliationData[[#This Row],[expected_revenue]]</f>
        <v>0</v>
      </c>
      <c r="AA37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8" t="str">
        <f>IF(ReconciliationData[[#This Row],[severity_score]]=0,"LOW",
 IF(ReconciliationData[[#This Row],[severity_score]]&lt;=5,"MEDIUM","HIGH"))</f>
        <v>LOW</v>
      </c>
      <c r="AC3748" t="str">
        <f>TEXT(ReconciliationData[[#This Row],[Order_Date]],"YYYY-MM")</f>
        <v>2024-09</v>
      </c>
    </row>
    <row r="3749" spans="1:29">
      <c r="A3749" t="s">
        <v>8719</v>
      </c>
      <c r="B3749" s="1">
        <v>45350</v>
      </c>
      <c r="C3749" t="s">
        <v>1232</v>
      </c>
      <c r="D3749" t="s">
        <v>856</v>
      </c>
      <c r="E3749">
        <v>70</v>
      </c>
      <c r="F3749" t="s">
        <v>8720</v>
      </c>
      <c r="G3749">
        <v>70</v>
      </c>
      <c r="H3749">
        <v>1195.6769999999999</v>
      </c>
      <c r="N3749">
        <v>1195.6769999999999</v>
      </c>
      <c r="O3749" s="1">
        <v>45010</v>
      </c>
      <c r="P3749">
        <f>IF(ISBLANK(ReconciliationData[[#This Row],[Invoice_ID]]),1,0)</f>
        <v>0</v>
      </c>
      <c r="Q3749">
        <f>IF(AND(NOT(ISBLANK(ReconciliationData[[#This Row],[Billed_Units]])),ReconciliationData[[#This Row],[ordered_units]]&lt;&gt;ReconciliationData[[#This Row],[Billed_Units]]),1,0)</f>
        <v>0</v>
      </c>
      <c r="R37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49">
        <f>IF(AND(NOT(ISBLANK(ReconciliationData[[#This Row],[Contract_Price]])),ReconciliationData[[#This Row],[Billed_Price]]&lt;&gt;ReconciliationData[[#This Row],[Contract_Price]]),1,0)</f>
        <v>0</v>
      </c>
      <c r="T3749">
        <f>IF(AND(NOT(ISBLANK(ReconciliationData[[#This Row],[End_Date]])),ReconciliationData[[#This Row],[Order_Date]]&gt;ReconciliationData[[#This Row],[End_Date]]),1,0)</f>
        <v>0</v>
      </c>
      <c r="U3749">
        <f>IF(AND(NOT(ISBLANK(ReconciliationData[[#This Row],[last_return_date]])),ReconciliationData[[#This Row],[last_return_date]]&gt;ReconciliationData[[#This Row],[Order_Date]]+60),1,0)</f>
        <v>0</v>
      </c>
      <c r="V3749">
        <f>IF(ReconciliationData[[#This Row],[total_returned_units]]&gt;ReconciliationData[[#This Row],[ordered_units]],1,0)</f>
        <v>0</v>
      </c>
      <c r="W37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49">
        <f>ReconciliationData[[#This Row],[Billed_Units]]*ReconciliationData[[#This Row],[Billed_Price]]</f>
        <v>83697.39</v>
      </c>
      <c r="Y3749">
        <f>ReconciliationData[[#This Row],[ordered_units]]*ReconciliationData[[#This Row],[List_Price]]</f>
        <v>83697.39</v>
      </c>
      <c r="Z3749">
        <f>ReconciliationData[[#This Row],[billed_revenue]]-ReconciliationData[[#This Row],[expected_revenue]]</f>
        <v>0</v>
      </c>
      <c r="AA37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49" t="str">
        <f>IF(ReconciliationData[[#This Row],[severity_score]]=0,"LOW",
 IF(ReconciliationData[[#This Row],[severity_score]]&lt;=5,"MEDIUM","HIGH"))</f>
        <v>LOW</v>
      </c>
      <c r="AC3749" t="str">
        <f>TEXT(ReconciliationData[[#This Row],[Order_Date]],"YYYY-MM")</f>
        <v>2024-02</v>
      </c>
    </row>
    <row r="3750" spans="1:29">
      <c r="A3750" t="s">
        <v>8721</v>
      </c>
      <c r="B3750" s="1">
        <v>45558</v>
      </c>
      <c r="C3750" t="s">
        <v>1731</v>
      </c>
      <c r="D3750" t="s">
        <v>2622</v>
      </c>
      <c r="E3750">
        <v>104</v>
      </c>
      <c r="F3750" t="s">
        <v>8722</v>
      </c>
      <c r="G3750">
        <v>104</v>
      </c>
      <c r="H3750">
        <v>380.976</v>
      </c>
      <c r="N3750">
        <v>380.976</v>
      </c>
      <c r="O3750" s="1">
        <v>45172</v>
      </c>
      <c r="P3750">
        <f>IF(ISBLANK(ReconciliationData[[#This Row],[Invoice_ID]]),1,0)</f>
        <v>0</v>
      </c>
      <c r="Q3750">
        <f>IF(AND(NOT(ISBLANK(ReconciliationData[[#This Row],[Billed_Units]])),ReconciliationData[[#This Row],[ordered_units]]&lt;&gt;ReconciliationData[[#This Row],[Billed_Units]]),1,0)</f>
        <v>0</v>
      </c>
      <c r="R37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50">
        <f>IF(AND(NOT(ISBLANK(ReconciliationData[[#This Row],[Contract_Price]])),ReconciliationData[[#This Row],[Billed_Price]]&lt;&gt;ReconciliationData[[#This Row],[Contract_Price]]),1,0)</f>
        <v>0</v>
      </c>
      <c r="T3750">
        <f>IF(AND(NOT(ISBLANK(ReconciliationData[[#This Row],[End_Date]])),ReconciliationData[[#This Row],[Order_Date]]&gt;ReconciliationData[[#This Row],[End_Date]]),1,0)</f>
        <v>0</v>
      </c>
      <c r="U3750">
        <f>IF(AND(NOT(ISBLANK(ReconciliationData[[#This Row],[last_return_date]])),ReconciliationData[[#This Row],[last_return_date]]&gt;ReconciliationData[[#This Row],[Order_Date]]+60),1,0)</f>
        <v>0</v>
      </c>
      <c r="V3750">
        <f>IF(ReconciliationData[[#This Row],[total_returned_units]]&gt;ReconciliationData[[#This Row],[ordered_units]],1,0)</f>
        <v>0</v>
      </c>
      <c r="W37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50">
        <f>ReconciliationData[[#This Row],[Billed_Units]]*ReconciliationData[[#This Row],[Billed_Price]]</f>
        <v>39621.504000000001</v>
      </c>
      <c r="Y3750">
        <f>ReconciliationData[[#This Row],[ordered_units]]*ReconciliationData[[#This Row],[List_Price]]</f>
        <v>39621.504000000001</v>
      </c>
      <c r="Z3750">
        <f>ReconciliationData[[#This Row],[billed_revenue]]-ReconciliationData[[#This Row],[expected_revenue]]</f>
        <v>0</v>
      </c>
      <c r="AA37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50" t="str">
        <f>IF(ReconciliationData[[#This Row],[severity_score]]=0,"LOW",
 IF(ReconciliationData[[#This Row],[severity_score]]&lt;=5,"MEDIUM","HIGH"))</f>
        <v>LOW</v>
      </c>
      <c r="AC3750" t="str">
        <f>TEXT(ReconciliationData[[#This Row],[Order_Date]],"YYYY-MM")</f>
        <v>2024-09</v>
      </c>
    </row>
    <row r="3751" spans="1:29">
      <c r="A3751" t="s">
        <v>8723</v>
      </c>
      <c r="B3751" s="1">
        <v>45302</v>
      </c>
      <c r="C3751" t="s">
        <v>2443</v>
      </c>
      <c r="D3751" t="s">
        <v>295</v>
      </c>
      <c r="E3751">
        <v>53</v>
      </c>
      <c r="F3751" t="s">
        <v>8724</v>
      </c>
      <c r="G3751">
        <v>53</v>
      </c>
      <c r="H3751">
        <v>862.83822583543179</v>
      </c>
      <c r="N3751">
        <v>862.73640000000012</v>
      </c>
      <c r="O3751" s="1">
        <v>45223</v>
      </c>
      <c r="P3751">
        <f>IF(ISBLANK(ReconciliationData[[#This Row],[Invoice_ID]]),1,0)</f>
        <v>0</v>
      </c>
      <c r="Q3751">
        <f>IF(AND(NOT(ISBLANK(ReconciliationData[[#This Row],[Billed_Units]])),ReconciliationData[[#This Row],[ordered_units]]&lt;&gt;ReconciliationData[[#This Row],[Billed_Units]]),1,0)</f>
        <v>0</v>
      </c>
      <c r="R3751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751">
        <f>IF(AND(NOT(ISBLANK(ReconciliationData[[#This Row],[Contract_Price]])),ReconciliationData[[#This Row],[Billed_Price]]&lt;&gt;ReconciliationData[[#This Row],[Contract_Price]]),1,0)</f>
        <v>0</v>
      </c>
      <c r="T3751">
        <f>IF(AND(NOT(ISBLANK(ReconciliationData[[#This Row],[End_Date]])),ReconciliationData[[#This Row],[Order_Date]]&gt;ReconciliationData[[#This Row],[End_Date]]),1,0)</f>
        <v>0</v>
      </c>
      <c r="U3751">
        <f>IF(AND(NOT(ISBLANK(ReconciliationData[[#This Row],[last_return_date]])),ReconciliationData[[#This Row],[last_return_date]]&gt;ReconciliationData[[#This Row],[Order_Date]]+60),1,0)</f>
        <v>0</v>
      </c>
      <c r="V3751">
        <f>IF(ReconciliationData[[#This Row],[total_returned_units]]&gt;ReconciliationData[[#This Row],[ordered_units]],1,0)</f>
        <v>0</v>
      </c>
      <c r="W37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51">
        <f>ReconciliationData[[#This Row],[Billed_Units]]*ReconciliationData[[#This Row],[Billed_Price]]</f>
        <v>45730.425969277887</v>
      </c>
      <c r="Y3751">
        <f>ReconciliationData[[#This Row],[ordered_units]]*ReconciliationData[[#This Row],[List_Price]]</f>
        <v>45725.029200000004</v>
      </c>
      <c r="Z3751">
        <f>ReconciliationData[[#This Row],[billed_revenue]]-ReconciliationData[[#This Row],[expected_revenue]]</f>
        <v>5.396769277882413</v>
      </c>
      <c r="AA37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751" t="str">
        <f>IF(ReconciliationData[[#This Row],[severity_score]]=0,"LOW",
 IF(ReconciliationData[[#This Row],[severity_score]]&lt;=5,"MEDIUM","HIGH"))</f>
        <v>MEDIUM</v>
      </c>
      <c r="AC3751" t="str">
        <f>TEXT(ReconciliationData[[#This Row],[Order_Date]],"YYYY-MM")</f>
        <v>2024-01</v>
      </c>
    </row>
    <row r="3752" spans="1:29">
      <c r="A3752" t="s">
        <v>8725</v>
      </c>
      <c r="B3752" s="1">
        <v>45429</v>
      </c>
      <c r="C3752" t="s">
        <v>4848</v>
      </c>
      <c r="D3752" t="s">
        <v>2245</v>
      </c>
      <c r="E3752">
        <v>15</v>
      </c>
      <c r="F3752" t="s">
        <v>8726</v>
      </c>
      <c r="G3752">
        <v>15</v>
      </c>
      <c r="H3752">
        <v>378.91109999999998</v>
      </c>
      <c r="N3752">
        <v>378.91109999999998</v>
      </c>
      <c r="O3752" s="1">
        <v>45117</v>
      </c>
      <c r="P3752">
        <f>IF(ISBLANK(ReconciliationData[[#This Row],[Invoice_ID]]),1,0)</f>
        <v>0</v>
      </c>
      <c r="Q3752">
        <f>IF(AND(NOT(ISBLANK(ReconciliationData[[#This Row],[Billed_Units]])),ReconciliationData[[#This Row],[ordered_units]]&lt;&gt;ReconciliationData[[#This Row],[Billed_Units]]),1,0)</f>
        <v>0</v>
      </c>
      <c r="R37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52">
        <f>IF(AND(NOT(ISBLANK(ReconciliationData[[#This Row],[Contract_Price]])),ReconciliationData[[#This Row],[Billed_Price]]&lt;&gt;ReconciliationData[[#This Row],[Contract_Price]]),1,0)</f>
        <v>0</v>
      </c>
      <c r="T3752">
        <f>IF(AND(NOT(ISBLANK(ReconciliationData[[#This Row],[End_Date]])),ReconciliationData[[#This Row],[Order_Date]]&gt;ReconciliationData[[#This Row],[End_Date]]),1,0)</f>
        <v>0</v>
      </c>
      <c r="U3752">
        <f>IF(AND(NOT(ISBLANK(ReconciliationData[[#This Row],[last_return_date]])),ReconciliationData[[#This Row],[last_return_date]]&gt;ReconciliationData[[#This Row],[Order_Date]]+60),1,0)</f>
        <v>0</v>
      </c>
      <c r="V3752">
        <f>IF(ReconciliationData[[#This Row],[total_returned_units]]&gt;ReconciliationData[[#This Row],[ordered_units]],1,0)</f>
        <v>0</v>
      </c>
      <c r="W37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52">
        <f>ReconciliationData[[#This Row],[Billed_Units]]*ReconciliationData[[#This Row],[Billed_Price]]</f>
        <v>5683.6664999999994</v>
      </c>
      <c r="Y3752">
        <f>ReconciliationData[[#This Row],[ordered_units]]*ReconciliationData[[#This Row],[List_Price]]</f>
        <v>5683.6664999999994</v>
      </c>
      <c r="Z3752">
        <f>ReconciliationData[[#This Row],[billed_revenue]]-ReconciliationData[[#This Row],[expected_revenue]]</f>
        <v>0</v>
      </c>
      <c r="AA37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52" t="str">
        <f>IF(ReconciliationData[[#This Row],[severity_score]]=0,"LOW",
 IF(ReconciliationData[[#This Row],[severity_score]]&lt;=5,"MEDIUM","HIGH"))</f>
        <v>LOW</v>
      </c>
      <c r="AC3752" t="str">
        <f>TEXT(ReconciliationData[[#This Row],[Order_Date]],"YYYY-MM")</f>
        <v>2024-05</v>
      </c>
    </row>
    <row r="3753" spans="1:29">
      <c r="A3753" t="s">
        <v>8727</v>
      </c>
      <c r="B3753" s="1">
        <v>45402</v>
      </c>
      <c r="C3753" t="s">
        <v>1831</v>
      </c>
      <c r="D3753" t="s">
        <v>4607</v>
      </c>
      <c r="E3753">
        <v>82</v>
      </c>
      <c r="F3753" t="s">
        <v>8728</v>
      </c>
      <c r="G3753">
        <v>82</v>
      </c>
      <c r="H3753">
        <v>1005.2222</v>
      </c>
      <c r="N3753">
        <v>1005.2222</v>
      </c>
      <c r="O3753" s="1">
        <v>45143</v>
      </c>
      <c r="P3753">
        <f>IF(ISBLANK(ReconciliationData[[#This Row],[Invoice_ID]]),1,0)</f>
        <v>0</v>
      </c>
      <c r="Q3753">
        <f>IF(AND(NOT(ISBLANK(ReconciliationData[[#This Row],[Billed_Units]])),ReconciliationData[[#This Row],[ordered_units]]&lt;&gt;ReconciliationData[[#This Row],[Billed_Units]]),1,0)</f>
        <v>0</v>
      </c>
      <c r="R37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53">
        <f>IF(AND(NOT(ISBLANK(ReconciliationData[[#This Row],[Contract_Price]])),ReconciliationData[[#This Row],[Billed_Price]]&lt;&gt;ReconciliationData[[#This Row],[Contract_Price]]),1,0)</f>
        <v>0</v>
      </c>
      <c r="T3753">
        <f>IF(AND(NOT(ISBLANK(ReconciliationData[[#This Row],[End_Date]])),ReconciliationData[[#This Row],[Order_Date]]&gt;ReconciliationData[[#This Row],[End_Date]]),1,0)</f>
        <v>0</v>
      </c>
      <c r="U3753">
        <f>IF(AND(NOT(ISBLANK(ReconciliationData[[#This Row],[last_return_date]])),ReconciliationData[[#This Row],[last_return_date]]&gt;ReconciliationData[[#This Row],[Order_Date]]+60),1,0)</f>
        <v>0</v>
      </c>
      <c r="V3753">
        <f>IF(ReconciliationData[[#This Row],[total_returned_units]]&gt;ReconciliationData[[#This Row],[ordered_units]],1,0)</f>
        <v>0</v>
      </c>
      <c r="W37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53">
        <f>ReconciliationData[[#This Row],[Billed_Units]]*ReconciliationData[[#This Row],[Billed_Price]]</f>
        <v>82428.220400000006</v>
      </c>
      <c r="Y3753">
        <f>ReconciliationData[[#This Row],[ordered_units]]*ReconciliationData[[#This Row],[List_Price]]</f>
        <v>82428.220400000006</v>
      </c>
      <c r="Z3753">
        <f>ReconciliationData[[#This Row],[billed_revenue]]-ReconciliationData[[#This Row],[expected_revenue]]</f>
        <v>0</v>
      </c>
      <c r="AA37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53" t="str">
        <f>IF(ReconciliationData[[#This Row],[severity_score]]=0,"LOW",
 IF(ReconciliationData[[#This Row],[severity_score]]&lt;=5,"MEDIUM","HIGH"))</f>
        <v>LOW</v>
      </c>
      <c r="AC3753" t="str">
        <f>TEXT(ReconciliationData[[#This Row],[Order_Date]],"YYYY-MM")</f>
        <v>2024-04</v>
      </c>
    </row>
    <row r="3754" spans="1:29">
      <c r="A3754" t="s">
        <v>8729</v>
      </c>
      <c r="B3754" s="1">
        <v>45353</v>
      </c>
      <c r="C3754" t="s">
        <v>2067</v>
      </c>
      <c r="D3754" t="s">
        <v>821</v>
      </c>
      <c r="E3754">
        <v>55</v>
      </c>
      <c r="F3754" t="s">
        <v>8730</v>
      </c>
      <c r="G3754">
        <v>55</v>
      </c>
      <c r="H3754">
        <v>785.89</v>
      </c>
      <c r="N3754">
        <v>785.89</v>
      </c>
      <c r="O3754" s="1">
        <v>44989</v>
      </c>
      <c r="P3754">
        <f>IF(ISBLANK(ReconciliationData[[#This Row],[Invoice_ID]]),1,0)</f>
        <v>0</v>
      </c>
      <c r="Q3754">
        <f>IF(AND(NOT(ISBLANK(ReconciliationData[[#This Row],[Billed_Units]])),ReconciliationData[[#This Row],[ordered_units]]&lt;&gt;ReconciliationData[[#This Row],[Billed_Units]]),1,0)</f>
        <v>0</v>
      </c>
      <c r="R37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54">
        <f>IF(AND(NOT(ISBLANK(ReconciliationData[[#This Row],[Contract_Price]])),ReconciliationData[[#This Row],[Billed_Price]]&lt;&gt;ReconciliationData[[#This Row],[Contract_Price]]),1,0)</f>
        <v>0</v>
      </c>
      <c r="T3754">
        <f>IF(AND(NOT(ISBLANK(ReconciliationData[[#This Row],[End_Date]])),ReconciliationData[[#This Row],[Order_Date]]&gt;ReconciliationData[[#This Row],[End_Date]]),1,0)</f>
        <v>0</v>
      </c>
      <c r="U3754">
        <f>IF(AND(NOT(ISBLANK(ReconciliationData[[#This Row],[last_return_date]])),ReconciliationData[[#This Row],[last_return_date]]&gt;ReconciliationData[[#This Row],[Order_Date]]+60),1,0)</f>
        <v>0</v>
      </c>
      <c r="V3754">
        <f>IF(ReconciliationData[[#This Row],[total_returned_units]]&gt;ReconciliationData[[#This Row],[ordered_units]],1,0)</f>
        <v>0</v>
      </c>
      <c r="W37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54">
        <f>ReconciliationData[[#This Row],[Billed_Units]]*ReconciliationData[[#This Row],[Billed_Price]]</f>
        <v>43223.95</v>
      </c>
      <c r="Y3754">
        <f>ReconciliationData[[#This Row],[ordered_units]]*ReconciliationData[[#This Row],[List_Price]]</f>
        <v>43223.95</v>
      </c>
      <c r="Z3754">
        <f>ReconciliationData[[#This Row],[billed_revenue]]-ReconciliationData[[#This Row],[expected_revenue]]</f>
        <v>0</v>
      </c>
      <c r="AA37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54" t="str">
        <f>IF(ReconciliationData[[#This Row],[severity_score]]=0,"LOW",
 IF(ReconciliationData[[#This Row],[severity_score]]&lt;=5,"MEDIUM","HIGH"))</f>
        <v>LOW</v>
      </c>
      <c r="AC3754" t="str">
        <f>TEXT(ReconciliationData[[#This Row],[Order_Date]],"YYYY-MM")</f>
        <v>2024-03</v>
      </c>
    </row>
    <row r="3755" spans="1:29">
      <c r="A3755" t="s">
        <v>8731</v>
      </c>
      <c r="B3755" s="1">
        <v>45092</v>
      </c>
      <c r="C3755" t="s">
        <v>426</v>
      </c>
      <c r="D3755" t="s">
        <v>573</v>
      </c>
      <c r="E3755">
        <v>187</v>
      </c>
      <c r="F3755" t="s">
        <v>8732</v>
      </c>
      <c r="G3755">
        <v>187</v>
      </c>
      <c r="H3755">
        <v>1259.9685000000002</v>
      </c>
      <c r="N3755">
        <v>1259.9685000000002</v>
      </c>
      <c r="O3755" s="1">
        <v>44913</v>
      </c>
      <c r="P3755">
        <f>IF(ISBLANK(ReconciliationData[[#This Row],[Invoice_ID]]),1,0)</f>
        <v>0</v>
      </c>
      <c r="Q3755">
        <f>IF(AND(NOT(ISBLANK(ReconciliationData[[#This Row],[Billed_Units]])),ReconciliationData[[#This Row],[ordered_units]]&lt;&gt;ReconciliationData[[#This Row],[Billed_Units]]),1,0)</f>
        <v>0</v>
      </c>
      <c r="R37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55">
        <f>IF(AND(NOT(ISBLANK(ReconciliationData[[#This Row],[Contract_Price]])),ReconciliationData[[#This Row],[Billed_Price]]&lt;&gt;ReconciliationData[[#This Row],[Contract_Price]]),1,0)</f>
        <v>0</v>
      </c>
      <c r="T3755">
        <f>IF(AND(NOT(ISBLANK(ReconciliationData[[#This Row],[End_Date]])),ReconciliationData[[#This Row],[Order_Date]]&gt;ReconciliationData[[#This Row],[End_Date]]),1,0)</f>
        <v>0</v>
      </c>
      <c r="U3755">
        <f>IF(AND(NOT(ISBLANK(ReconciliationData[[#This Row],[last_return_date]])),ReconciliationData[[#This Row],[last_return_date]]&gt;ReconciliationData[[#This Row],[Order_Date]]+60),1,0)</f>
        <v>0</v>
      </c>
      <c r="V3755">
        <f>IF(ReconciliationData[[#This Row],[total_returned_units]]&gt;ReconciliationData[[#This Row],[ordered_units]],1,0)</f>
        <v>0</v>
      </c>
      <c r="W37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55">
        <f>ReconciliationData[[#This Row],[Billed_Units]]*ReconciliationData[[#This Row],[Billed_Price]]</f>
        <v>235614.10950000002</v>
      </c>
      <c r="Y3755">
        <f>ReconciliationData[[#This Row],[ordered_units]]*ReconciliationData[[#This Row],[List_Price]]</f>
        <v>235614.10950000002</v>
      </c>
      <c r="Z3755">
        <f>ReconciliationData[[#This Row],[billed_revenue]]-ReconciliationData[[#This Row],[expected_revenue]]</f>
        <v>0</v>
      </c>
      <c r="AA37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55" t="str">
        <f>IF(ReconciliationData[[#This Row],[severity_score]]=0,"LOW",
 IF(ReconciliationData[[#This Row],[severity_score]]&lt;=5,"MEDIUM","HIGH"))</f>
        <v>LOW</v>
      </c>
      <c r="AC3755" t="str">
        <f>TEXT(ReconciliationData[[#This Row],[Order_Date]],"YYYY-MM")</f>
        <v>2023-06</v>
      </c>
    </row>
    <row r="3756" spans="1:29">
      <c r="A3756" t="s">
        <v>8733</v>
      </c>
      <c r="B3756" s="1">
        <v>45442</v>
      </c>
      <c r="C3756" t="s">
        <v>2005</v>
      </c>
      <c r="D3756" t="s">
        <v>556</v>
      </c>
      <c r="E3756">
        <v>105</v>
      </c>
      <c r="F3756" t="s">
        <v>8734</v>
      </c>
      <c r="G3756">
        <v>105</v>
      </c>
      <c r="H3756">
        <v>664.57040000000006</v>
      </c>
      <c r="N3756">
        <v>664.57040000000006</v>
      </c>
      <c r="O3756" s="1">
        <v>45066</v>
      </c>
      <c r="P3756">
        <f>IF(ISBLANK(ReconciliationData[[#This Row],[Invoice_ID]]),1,0)</f>
        <v>0</v>
      </c>
      <c r="Q3756">
        <f>IF(AND(NOT(ISBLANK(ReconciliationData[[#This Row],[Billed_Units]])),ReconciliationData[[#This Row],[ordered_units]]&lt;&gt;ReconciliationData[[#This Row],[Billed_Units]]),1,0)</f>
        <v>0</v>
      </c>
      <c r="R37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56">
        <f>IF(AND(NOT(ISBLANK(ReconciliationData[[#This Row],[Contract_Price]])),ReconciliationData[[#This Row],[Billed_Price]]&lt;&gt;ReconciliationData[[#This Row],[Contract_Price]]),1,0)</f>
        <v>0</v>
      </c>
      <c r="T3756">
        <f>IF(AND(NOT(ISBLANK(ReconciliationData[[#This Row],[End_Date]])),ReconciliationData[[#This Row],[Order_Date]]&gt;ReconciliationData[[#This Row],[End_Date]]),1,0)</f>
        <v>0</v>
      </c>
      <c r="U3756">
        <f>IF(AND(NOT(ISBLANK(ReconciliationData[[#This Row],[last_return_date]])),ReconciliationData[[#This Row],[last_return_date]]&gt;ReconciliationData[[#This Row],[Order_Date]]+60),1,0)</f>
        <v>0</v>
      </c>
      <c r="V3756">
        <f>IF(ReconciliationData[[#This Row],[total_returned_units]]&gt;ReconciliationData[[#This Row],[ordered_units]],1,0)</f>
        <v>0</v>
      </c>
      <c r="W37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56">
        <f>ReconciliationData[[#This Row],[Billed_Units]]*ReconciliationData[[#This Row],[Billed_Price]]</f>
        <v>69779.892000000007</v>
      </c>
      <c r="Y3756">
        <f>ReconciliationData[[#This Row],[ordered_units]]*ReconciliationData[[#This Row],[List_Price]]</f>
        <v>69779.892000000007</v>
      </c>
      <c r="Z3756">
        <f>ReconciliationData[[#This Row],[billed_revenue]]-ReconciliationData[[#This Row],[expected_revenue]]</f>
        <v>0</v>
      </c>
      <c r="AA37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56" t="str">
        <f>IF(ReconciliationData[[#This Row],[severity_score]]=0,"LOW",
 IF(ReconciliationData[[#This Row],[severity_score]]&lt;=5,"MEDIUM","HIGH"))</f>
        <v>LOW</v>
      </c>
      <c r="AC3756" t="str">
        <f>TEXT(ReconciliationData[[#This Row],[Order_Date]],"YYYY-MM")</f>
        <v>2024-05</v>
      </c>
    </row>
    <row r="3757" spans="1:29">
      <c r="A3757" t="s">
        <v>8735</v>
      </c>
      <c r="B3757" s="1">
        <v>45179</v>
      </c>
      <c r="C3757" t="s">
        <v>1734</v>
      </c>
      <c r="D3757" t="s">
        <v>1333</v>
      </c>
      <c r="E3757">
        <v>196</v>
      </c>
      <c r="F3757" t="s">
        <v>8736</v>
      </c>
      <c r="G3757">
        <v>196</v>
      </c>
      <c r="H3757">
        <v>414.65559999999999</v>
      </c>
      <c r="N3757">
        <v>414.65559999999999</v>
      </c>
      <c r="O3757" s="1">
        <v>44924</v>
      </c>
      <c r="P3757">
        <f>IF(ISBLANK(ReconciliationData[[#This Row],[Invoice_ID]]),1,0)</f>
        <v>0</v>
      </c>
      <c r="Q3757">
        <f>IF(AND(NOT(ISBLANK(ReconciliationData[[#This Row],[Billed_Units]])),ReconciliationData[[#This Row],[ordered_units]]&lt;&gt;ReconciliationData[[#This Row],[Billed_Units]]),1,0)</f>
        <v>0</v>
      </c>
      <c r="R37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57">
        <f>IF(AND(NOT(ISBLANK(ReconciliationData[[#This Row],[Contract_Price]])),ReconciliationData[[#This Row],[Billed_Price]]&lt;&gt;ReconciliationData[[#This Row],[Contract_Price]]),1,0)</f>
        <v>0</v>
      </c>
      <c r="T3757">
        <f>IF(AND(NOT(ISBLANK(ReconciliationData[[#This Row],[End_Date]])),ReconciliationData[[#This Row],[Order_Date]]&gt;ReconciliationData[[#This Row],[End_Date]]),1,0)</f>
        <v>0</v>
      </c>
      <c r="U3757">
        <f>IF(AND(NOT(ISBLANK(ReconciliationData[[#This Row],[last_return_date]])),ReconciliationData[[#This Row],[last_return_date]]&gt;ReconciliationData[[#This Row],[Order_Date]]+60),1,0)</f>
        <v>0</v>
      </c>
      <c r="V3757">
        <f>IF(ReconciliationData[[#This Row],[total_returned_units]]&gt;ReconciliationData[[#This Row],[ordered_units]],1,0)</f>
        <v>0</v>
      </c>
      <c r="W37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57">
        <f>ReconciliationData[[#This Row],[Billed_Units]]*ReconciliationData[[#This Row],[Billed_Price]]</f>
        <v>81272.497600000002</v>
      </c>
      <c r="Y3757">
        <f>ReconciliationData[[#This Row],[ordered_units]]*ReconciliationData[[#This Row],[List_Price]]</f>
        <v>81272.497600000002</v>
      </c>
      <c r="Z3757">
        <f>ReconciliationData[[#This Row],[billed_revenue]]-ReconciliationData[[#This Row],[expected_revenue]]</f>
        <v>0</v>
      </c>
      <c r="AA37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57" t="str">
        <f>IF(ReconciliationData[[#This Row],[severity_score]]=0,"LOW",
 IF(ReconciliationData[[#This Row],[severity_score]]&lt;=5,"MEDIUM","HIGH"))</f>
        <v>LOW</v>
      </c>
      <c r="AC3757" t="str">
        <f>TEXT(ReconciliationData[[#This Row],[Order_Date]],"YYYY-MM")</f>
        <v>2023-09</v>
      </c>
    </row>
    <row r="3758" spans="1:29">
      <c r="A3758" t="s">
        <v>8737</v>
      </c>
      <c r="B3758" s="1">
        <v>45222</v>
      </c>
      <c r="C3758" t="s">
        <v>6156</v>
      </c>
      <c r="D3758" t="s">
        <v>807</v>
      </c>
      <c r="E3758">
        <v>91</v>
      </c>
      <c r="F3758" t="s">
        <v>8738</v>
      </c>
      <c r="G3758">
        <v>91</v>
      </c>
      <c r="H3758">
        <v>383.63</v>
      </c>
      <c r="N3758">
        <v>383.63</v>
      </c>
      <c r="O3758" s="1">
        <v>45200</v>
      </c>
      <c r="P3758">
        <f>IF(ISBLANK(ReconciliationData[[#This Row],[Invoice_ID]]),1,0)</f>
        <v>0</v>
      </c>
      <c r="Q3758">
        <f>IF(AND(NOT(ISBLANK(ReconciliationData[[#This Row],[Billed_Units]])),ReconciliationData[[#This Row],[ordered_units]]&lt;&gt;ReconciliationData[[#This Row],[Billed_Units]]),1,0)</f>
        <v>0</v>
      </c>
      <c r="R37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58">
        <f>IF(AND(NOT(ISBLANK(ReconciliationData[[#This Row],[Contract_Price]])),ReconciliationData[[#This Row],[Billed_Price]]&lt;&gt;ReconciliationData[[#This Row],[Contract_Price]]),1,0)</f>
        <v>0</v>
      </c>
      <c r="T3758">
        <f>IF(AND(NOT(ISBLANK(ReconciliationData[[#This Row],[End_Date]])),ReconciliationData[[#This Row],[Order_Date]]&gt;ReconciliationData[[#This Row],[End_Date]]),1,0)</f>
        <v>0</v>
      </c>
      <c r="U3758">
        <f>IF(AND(NOT(ISBLANK(ReconciliationData[[#This Row],[last_return_date]])),ReconciliationData[[#This Row],[last_return_date]]&gt;ReconciliationData[[#This Row],[Order_Date]]+60),1,0)</f>
        <v>0</v>
      </c>
      <c r="V3758">
        <f>IF(ReconciliationData[[#This Row],[total_returned_units]]&gt;ReconciliationData[[#This Row],[ordered_units]],1,0)</f>
        <v>0</v>
      </c>
      <c r="W37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58">
        <f>ReconciliationData[[#This Row],[Billed_Units]]*ReconciliationData[[#This Row],[Billed_Price]]</f>
        <v>34910.33</v>
      </c>
      <c r="Y3758">
        <f>ReconciliationData[[#This Row],[ordered_units]]*ReconciliationData[[#This Row],[List_Price]]</f>
        <v>34910.33</v>
      </c>
      <c r="Z3758">
        <f>ReconciliationData[[#This Row],[billed_revenue]]-ReconciliationData[[#This Row],[expected_revenue]]</f>
        <v>0</v>
      </c>
      <c r="AA37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58" t="str">
        <f>IF(ReconciliationData[[#This Row],[severity_score]]=0,"LOW",
 IF(ReconciliationData[[#This Row],[severity_score]]&lt;=5,"MEDIUM","HIGH"))</f>
        <v>LOW</v>
      </c>
      <c r="AC3758" t="str">
        <f>TEXT(ReconciliationData[[#This Row],[Order_Date]],"YYYY-MM")</f>
        <v>2023-10</v>
      </c>
    </row>
    <row r="3759" spans="1:29">
      <c r="A3759" t="s">
        <v>8739</v>
      </c>
      <c r="B3759" s="1">
        <v>44999</v>
      </c>
      <c r="C3759" t="s">
        <v>4282</v>
      </c>
      <c r="D3759" t="s">
        <v>1961</v>
      </c>
      <c r="E3759">
        <v>94</v>
      </c>
      <c r="F3759" t="s">
        <v>8740</v>
      </c>
      <c r="G3759">
        <v>94</v>
      </c>
      <c r="H3759">
        <v>717.0471</v>
      </c>
      <c r="N3759">
        <v>717.0471</v>
      </c>
      <c r="O3759" s="1">
        <v>44984</v>
      </c>
      <c r="P3759">
        <f>IF(ISBLANK(ReconciliationData[[#This Row],[Invoice_ID]]),1,0)</f>
        <v>0</v>
      </c>
      <c r="Q3759">
        <f>IF(AND(NOT(ISBLANK(ReconciliationData[[#This Row],[Billed_Units]])),ReconciliationData[[#This Row],[ordered_units]]&lt;&gt;ReconciliationData[[#This Row],[Billed_Units]]),1,0)</f>
        <v>0</v>
      </c>
      <c r="R37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59">
        <f>IF(AND(NOT(ISBLANK(ReconciliationData[[#This Row],[Contract_Price]])),ReconciliationData[[#This Row],[Billed_Price]]&lt;&gt;ReconciliationData[[#This Row],[Contract_Price]]),1,0)</f>
        <v>0</v>
      </c>
      <c r="T3759">
        <f>IF(AND(NOT(ISBLANK(ReconciliationData[[#This Row],[End_Date]])),ReconciliationData[[#This Row],[Order_Date]]&gt;ReconciliationData[[#This Row],[End_Date]]),1,0)</f>
        <v>0</v>
      </c>
      <c r="U3759">
        <f>IF(AND(NOT(ISBLANK(ReconciliationData[[#This Row],[last_return_date]])),ReconciliationData[[#This Row],[last_return_date]]&gt;ReconciliationData[[#This Row],[Order_Date]]+60),1,0)</f>
        <v>0</v>
      </c>
      <c r="V3759">
        <f>IF(ReconciliationData[[#This Row],[total_returned_units]]&gt;ReconciliationData[[#This Row],[ordered_units]],1,0)</f>
        <v>0</v>
      </c>
      <c r="W37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59">
        <f>ReconciliationData[[#This Row],[Billed_Units]]*ReconciliationData[[#This Row],[Billed_Price]]</f>
        <v>67402.4274</v>
      </c>
      <c r="Y3759">
        <f>ReconciliationData[[#This Row],[ordered_units]]*ReconciliationData[[#This Row],[List_Price]]</f>
        <v>67402.4274</v>
      </c>
      <c r="Z3759">
        <f>ReconciliationData[[#This Row],[billed_revenue]]-ReconciliationData[[#This Row],[expected_revenue]]</f>
        <v>0</v>
      </c>
      <c r="AA37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59" t="str">
        <f>IF(ReconciliationData[[#This Row],[severity_score]]=0,"LOW",
 IF(ReconciliationData[[#This Row],[severity_score]]&lt;=5,"MEDIUM","HIGH"))</f>
        <v>LOW</v>
      </c>
      <c r="AC3759" t="str">
        <f>TEXT(ReconciliationData[[#This Row],[Order_Date]],"YYYY-MM")</f>
        <v>2023-03</v>
      </c>
    </row>
    <row r="3760" spans="1:29">
      <c r="A3760" t="s">
        <v>8741</v>
      </c>
      <c r="B3760" s="1">
        <v>45198</v>
      </c>
      <c r="C3760" t="s">
        <v>2143</v>
      </c>
      <c r="D3760" t="s">
        <v>973</v>
      </c>
      <c r="E3760">
        <v>36</v>
      </c>
      <c r="F3760" t="s">
        <v>8742</v>
      </c>
      <c r="G3760">
        <v>36</v>
      </c>
      <c r="H3760">
        <v>156.37459999999999</v>
      </c>
      <c r="N3760">
        <v>156.37459999999999</v>
      </c>
      <c r="O3760" s="1">
        <v>45090</v>
      </c>
      <c r="P3760">
        <f>IF(ISBLANK(ReconciliationData[[#This Row],[Invoice_ID]]),1,0)</f>
        <v>0</v>
      </c>
      <c r="Q3760">
        <f>IF(AND(NOT(ISBLANK(ReconciliationData[[#This Row],[Billed_Units]])),ReconciliationData[[#This Row],[ordered_units]]&lt;&gt;ReconciliationData[[#This Row],[Billed_Units]]),1,0)</f>
        <v>0</v>
      </c>
      <c r="R37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0">
        <f>IF(AND(NOT(ISBLANK(ReconciliationData[[#This Row],[Contract_Price]])),ReconciliationData[[#This Row],[Billed_Price]]&lt;&gt;ReconciliationData[[#This Row],[Contract_Price]]),1,0)</f>
        <v>0</v>
      </c>
      <c r="T3760">
        <f>IF(AND(NOT(ISBLANK(ReconciliationData[[#This Row],[End_Date]])),ReconciliationData[[#This Row],[Order_Date]]&gt;ReconciliationData[[#This Row],[End_Date]]),1,0)</f>
        <v>0</v>
      </c>
      <c r="U3760">
        <f>IF(AND(NOT(ISBLANK(ReconciliationData[[#This Row],[last_return_date]])),ReconciliationData[[#This Row],[last_return_date]]&gt;ReconciliationData[[#This Row],[Order_Date]]+60),1,0)</f>
        <v>0</v>
      </c>
      <c r="V3760">
        <f>IF(ReconciliationData[[#This Row],[total_returned_units]]&gt;ReconciliationData[[#This Row],[ordered_units]],1,0)</f>
        <v>0</v>
      </c>
      <c r="W37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0">
        <f>ReconciliationData[[#This Row],[Billed_Units]]*ReconciliationData[[#This Row],[Billed_Price]]</f>
        <v>5629.4856</v>
      </c>
      <c r="Y3760">
        <f>ReconciliationData[[#This Row],[ordered_units]]*ReconciliationData[[#This Row],[List_Price]]</f>
        <v>5629.4856</v>
      </c>
      <c r="Z3760">
        <f>ReconciliationData[[#This Row],[billed_revenue]]-ReconciliationData[[#This Row],[expected_revenue]]</f>
        <v>0</v>
      </c>
      <c r="AA37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0" t="str">
        <f>IF(ReconciliationData[[#This Row],[severity_score]]=0,"LOW",
 IF(ReconciliationData[[#This Row],[severity_score]]&lt;=5,"MEDIUM","HIGH"))</f>
        <v>LOW</v>
      </c>
      <c r="AC3760" t="str">
        <f>TEXT(ReconciliationData[[#This Row],[Order_Date]],"YYYY-MM")</f>
        <v>2023-09</v>
      </c>
    </row>
    <row r="3761" spans="1:29">
      <c r="A3761" t="s">
        <v>8743</v>
      </c>
      <c r="B3761" s="1">
        <v>45295</v>
      </c>
      <c r="C3761" t="s">
        <v>1318</v>
      </c>
      <c r="D3761" t="s">
        <v>2050</v>
      </c>
      <c r="E3761">
        <v>196</v>
      </c>
      <c r="F3761" t="s">
        <v>8744</v>
      </c>
      <c r="G3761">
        <v>196</v>
      </c>
      <c r="H3761">
        <v>994.85640000000001</v>
      </c>
      <c r="N3761">
        <v>994.85640000000001</v>
      </c>
      <c r="O3761" s="1">
        <v>45149</v>
      </c>
      <c r="P3761">
        <f>IF(ISBLANK(ReconciliationData[[#This Row],[Invoice_ID]]),1,0)</f>
        <v>0</v>
      </c>
      <c r="Q3761">
        <f>IF(AND(NOT(ISBLANK(ReconciliationData[[#This Row],[Billed_Units]])),ReconciliationData[[#This Row],[ordered_units]]&lt;&gt;ReconciliationData[[#This Row],[Billed_Units]]),1,0)</f>
        <v>0</v>
      </c>
      <c r="R37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1">
        <f>IF(AND(NOT(ISBLANK(ReconciliationData[[#This Row],[Contract_Price]])),ReconciliationData[[#This Row],[Billed_Price]]&lt;&gt;ReconciliationData[[#This Row],[Contract_Price]]),1,0)</f>
        <v>0</v>
      </c>
      <c r="T3761">
        <f>IF(AND(NOT(ISBLANK(ReconciliationData[[#This Row],[End_Date]])),ReconciliationData[[#This Row],[Order_Date]]&gt;ReconciliationData[[#This Row],[End_Date]]),1,0)</f>
        <v>0</v>
      </c>
      <c r="U3761">
        <f>IF(AND(NOT(ISBLANK(ReconciliationData[[#This Row],[last_return_date]])),ReconciliationData[[#This Row],[last_return_date]]&gt;ReconciliationData[[#This Row],[Order_Date]]+60),1,0)</f>
        <v>0</v>
      </c>
      <c r="V3761">
        <f>IF(ReconciliationData[[#This Row],[total_returned_units]]&gt;ReconciliationData[[#This Row],[ordered_units]],1,0)</f>
        <v>0</v>
      </c>
      <c r="W37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1">
        <f>ReconciliationData[[#This Row],[Billed_Units]]*ReconciliationData[[#This Row],[Billed_Price]]</f>
        <v>194991.85440000001</v>
      </c>
      <c r="Y3761">
        <f>ReconciliationData[[#This Row],[ordered_units]]*ReconciliationData[[#This Row],[List_Price]]</f>
        <v>194991.85440000001</v>
      </c>
      <c r="Z3761">
        <f>ReconciliationData[[#This Row],[billed_revenue]]-ReconciliationData[[#This Row],[expected_revenue]]</f>
        <v>0</v>
      </c>
      <c r="AA37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1" t="str">
        <f>IF(ReconciliationData[[#This Row],[severity_score]]=0,"LOW",
 IF(ReconciliationData[[#This Row],[severity_score]]&lt;=5,"MEDIUM","HIGH"))</f>
        <v>LOW</v>
      </c>
      <c r="AC3761" t="str">
        <f>TEXT(ReconciliationData[[#This Row],[Order_Date]],"YYYY-MM")</f>
        <v>2024-01</v>
      </c>
    </row>
    <row r="3762" spans="1:29">
      <c r="A3762" t="s">
        <v>8745</v>
      </c>
      <c r="B3762" s="1">
        <v>45528</v>
      </c>
      <c r="C3762" t="s">
        <v>1928</v>
      </c>
      <c r="D3762" t="s">
        <v>2765</v>
      </c>
      <c r="E3762">
        <v>69</v>
      </c>
      <c r="F3762" t="s">
        <v>8746</v>
      </c>
      <c r="G3762">
        <v>69</v>
      </c>
      <c r="H3762">
        <v>1037.4366</v>
      </c>
      <c r="N3762">
        <v>1037.4366</v>
      </c>
      <c r="O3762" s="1">
        <v>45198</v>
      </c>
      <c r="P3762">
        <f>IF(ISBLANK(ReconciliationData[[#This Row],[Invoice_ID]]),1,0)</f>
        <v>0</v>
      </c>
      <c r="Q3762">
        <f>IF(AND(NOT(ISBLANK(ReconciliationData[[#This Row],[Billed_Units]])),ReconciliationData[[#This Row],[ordered_units]]&lt;&gt;ReconciliationData[[#This Row],[Billed_Units]]),1,0)</f>
        <v>0</v>
      </c>
      <c r="R37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2">
        <f>IF(AND(NOT(ISBLANK(ReconciliationData[[#This Row],[Contract_Price]])),ReconciliationData[[#This Row],[Billed_Price]]&lt;&gt;ReconciliationData[[#This Row],[Contract_Price]]),1,0)</f>
        <v>0</v>
      </c>
      <c r="T3762">
        <f>IF(AND(NOT(ISBLANK(ReconciliationData[[#This Row],[End_Date]])),ReconciliationData[[#This Row],[Order_Date]]&gt;ReconciliationData[[#This Row],[End_Date]]),1,0)</f>
        <v>0</v>
      </c>
      <c r="U3762">
        <f>IF(AND(NOT(ISBLANK(ReconciliationData[[#This Row],[last_return_date]])),ReconciliationData[[#This Row],[last_return_date]]&gt;ReconciliationData[[#This Row],[Order_Date]]+60),1,0)</f>
        <v>0</v>
      </c>
      <c r="V3762">
        <f>IF(ReconciliationData[[#This Row],[total_returned_units]]&gt;ReconciliationData[[#This Row],[ordered_units]],1,0)</f>
        <v>0</v>
      </c>
      <c r="W37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2">
        <f>ReconciliationData[[#This Row],[Billed_Units]]*ReconciliationData[[#This Row],[Billed_Price]]</f>
        <v>71583.125400000004</v>
      </c>
      <c r="Y3762">
        <f>ReconciliationData[[#This Row],[ordered_units]]*ReconciliationData[[#This Row],[List_Price]]</f>
        <v>71583.125400000004</v>
      </c>
      <c r="Z3762">
        <f>ReconciliationData[[#This Row],[billed_revenue]]-ReconciliationData[[#This Row],[expected_revenue]]</f>
        <v>0</v>
      </c>
      <c r="AA37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2" t="str">
        <f>IF(ReconciliationData[[#This Row],[severity_score]]=0,"LOW",
 IF(ReconciliationData[[#This Row],[severity_score]]&lt;=5,"MEDIUM","HIGH"))</f>
        <v>LOW</v>
      </c>
      <c r="AC3762" t="str">
        <f>TEXT(ReconciliationData[[#This Row],[Order_Date]],"YYYY-MM")</f>
        <v>2024-08</v>
      </c>
    </row>
    <row r="3763" spans="1:29">
      <c r="A3763" t="s">
        <v>8747</v>
      </c>
      <c r="B3763" s="1">
        <v>45378</v>
      </c>
      <c r="C3763" t="s">
        <v>2692</v>
      </c>
      <c r="D3763" t="s">
        <v>639</v>
      </c>
      <c r="E3763">
        <v>6</v>
      </c>
      <c r="F3763" t="s">
        <v>8748</v>
      </c>
      <c r="G3763">
        <v>6</v>
      </c>
      <c r="H3763">
        <v>945.38850000000002</v>
      </c>
      <c r="N3763">
        <v>945.38850000000002</v>
      </c>
      <c r="O3763" s="1">
        <v>45047</v>
      </c>
      <c r="P3763">
        <f>IF(ISBLANK(ReconciliationData[[#This Row],[Invoice_ID]]),1,0)</f>
        <v>0</v>
      </c>
      <c r="Q3763">
        <f>IF(AND(NOT(ISBLANK(ReconciliationData[[#This Row],[Billed_Units]])),ReconciliationData[[#This Row],[ordered_units]]&lt;&gt;ReconciliationData[[#This Row],[Billed_Units]]),1,0)</f>
        <v>0</v>
      </c>
      <c r="R37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3">
        <f>IF(AND(NOT(ISBLANK(ReconciliationData[[#This Row],[Contract_Price]])),ReconciliationData[[#This Row],[Billed_Price]]&lt;&gt;ReconciliationData[[#This Row],[Contract_Price]]),1,0)</f>
        <v>0</v>
      </c>
      <c r="T3763">
        <f>IF(AND(NOT(ISBLANK(ReconciliationData[[#This Row],[End_Date]])),ReconciliationData[[#This Row],[Order_Date]]&gt;ReconciliationData[[#This Row],[End_Date]]),1,0)</f>
        <v>0</v>
      </c>
      <c r="U3763">
        <f>IF(AND(NOT(ISBLANK(ReconciliationData[[#This Row],[last_return_date]])),ReconciliationData[[#This Row],[last_return_date]]&gt;ReconciliationData[[#This Row],[Order_Date]]+60),1,0)</f>
        <v>0</v>
      </c>
      <c r="V3763">
        <f>IF(ReconciliationData[[#This Row],[total_returned_units]]&gt;ReconciliationData[[#This Row],[ordered_units]],1,0)</f>
        <v>0</v>
      </c>
      <c r="W37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3">
        <f>ReconciliationData[[#This Row],[Billed_Units]]*ReconciliationData[[#This Row],[Billed_Price]]</f>
        <v>5672.3310000000001</v>
      </c>
      <c r="Y3763">
        <f>ReconciliationData[[#This Row],[ordered_units]]*ReconciliationData[[#This Row],[List_Price]]</f>
        <v>5672.3310000000001</v>
      </c>
      <c r="Z3763">
        <f>ReconciliationData[[#This Row],[billed_revenue]]-ReconciliationData[[#This Row],[expected_revenue]]</f>
        <v>0</v>
      </c>
      <c r="AA37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3" t="str">
        <f>IF(ReconciliationData[[#This Row],[severity_score]]=0,"LOW",
 IF(ReconciliationData[[#This Row],[severity_score]]&lt;=5,"MEDIUM","HIGH"))</f>
        <v>LOW</v>
      </c>
      <c r="AC3763" t="str">
        <f>TEXT(ReconciliationData[[#This Row],[Order_Date]],"YYYY-MM")</f>
        <v>2024-03</v>
      </c>
    </row>
    <row r="3764" spans="1:29">
      <c r="A3764" t="s">
        <v>8749</v>
      </c>
      <c r="B3764" s="1">
        <v>45608</v>
      </c>
      <c r="C3764" t="s">
        <v>6401</v>
      </c>
      <c r="D3764" t="s">
        <v>1869</v>
      </c>
      <c r="E3764">
        <v>168</v>
      </c>
      <c r="F3764" t="s">
        <v>8750</v>
      </c>
      <c r="G3764">
        <v>168</v>
      </c>
      <c r="H3764">
        <v>75.504800000000003</v>
      </c>
      <c r="N3764">
        <v>75.504800000000003</v>
      </c>
      <c r="O3764" s="1">
        <v>45080</v>
      </c>
      <c r="P3764">
        <f>IF(ISBLANK(ReconciliationData[[#This Row],[Invoice_ID]]),1,0)</f>
        <v>0</v>
      </c>
      <c r="Q3764">
        <f>IF(AND(NOT(ISBLANK(ReconciliationData[[#This Row],[Billed_Units]])),ReconciliationData[[#This Row],[ordered_units]]&lt;&gt;ReconciliationData[[#This Row],[Billed_Units]]),1,0)</f>
        <v>0</v>
      </c>
      <c r="R37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4">
        <f>IF(AND(NOT(ISBLANK(ReconciliationData[[#This Row],[Contract_Price]])),ReconciliationData[[#This Row],[Billed_Price]]&lt;&gt;ReconciliationData[[#This Row],[Contract_Price]]),1,0)</f>
        <v>0</v>
      </c>
      <c r="T3764">
        <f>IF(AND(NOT(ISBLANK(ReconciliationData[[#This Row],[End_Date]])),ReconciliationData[[#This Row],[Order_Date]]&gt;ReconciliationData[[#This Row],[End_Date]]),1,0)</f>
        <v>0</v>
      </c>
      <c r="U3764">
        <f>IF(AND(NOT(ISBLANK(ReconciliationData[[#This Row],[last_return_date]])),ReconciliationData[[#This Row],[last_return_date]]&gt;ReconciliationData[[#This Row],[Order_Date]]+60),1,0)</f>
        <v>0</v>
      </c>
      <c r="V3764">
        <f>IF(ReconciliationData[[#This Row],[total_returned_units]]&gt;ReconciliationData[[#This Row],[ordered_units]],1,0)</f>
        <v>0</v>
      </c>
      <c r="W37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4">
        <f>ReconciliationData[[#This Row],[Billed_Units]]*ReconciliationData[[#This Row],[Billed_Price]]</f>
        <v>12684.806400000001</v>
      </c>
      <c r="Y3764">
        <f>ReconciliationData[[#This Row],[ordered_units]]*ReconciliationData[[#This Row],[List_Price]]</f>
        <v>12684.806400000001</v>
      </c>
      <c r="Z3764">
        <f>ReconciliationData[[#This Row],[billed_revenue]]-ReconciliationData[[#This Row],[expected_revenue]]</f>
        <v>0</v>
      </c>
      <c r="AA37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4" t="str">
        <f>IF(ReconciliationData[[#This Row],[severity_score]]=0,"LOW",
 IF(ReconciliationData[[#This Row],[severity_score]]&lt;=5,"MEDIUM","HIGH"))</f>
        <v>LOW</v>
      </c>
      <c r="AC3764" t="str">
        <f>TEXT(ReconciliationData[[#This Row],[Order_Date]],"YYYY-MM")</f>
        <v>2024-11</v>
      </c>
    </row>
    <row r="3765" spans="1:29">
      <c r="A3765" t="s">
        <v>8751</v>
      </c>
      <c r="B3765" s="1">
        <v>45027</v>
      </c>
      <c r="C3765" t="s">
        <v>551</v>
      </c>
      <c r="D3765" t="s">
        <v>275</v>
      </c>
      <c r="E3765">
        <v>64</v>
      </c>
      <c r="F3765" t="s">
        <v>8752</v>
      </c>
      <c r="G3765">
        <v>64</v>
      </c>
      <c r="H3765">
        <v>397.19560000000001</v>
      </c>
      <c r="N3765">
        <v>397.19560000000001</v>
      </c>
      <c r="O3765" s="1">
        <v>44932</v>
      </c>
      <c r="P3765">
        <f>IF(ISBLANK(ReconciliationData[[#This Row],[Invoice_ID]]),1,0)</f>
        <v>0</v>
      </c>
      <c r="Q3765">
        <f>IF(AND(NOT(ISBLANK(ReconciliationData[[#This Row],[Billed_Units]])),ReconciliationData[[#This Row],[ordered_units]]&lt;&gt;ReconciliationData[[#This Row],[Billed_Units]]),1,0)</f>
        <v>0</v>
      </c>
      <c r="R37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5">
        <f>IF(AND(NOT(ISBLANK(ReconciliationData[[#This Row],[Contract_Price]])),ReconciliationData[[#This Row],[Billed_Price]]&lt;&gt;ReconciliationData[[#This Row],[Contract_Price]]),1,0)</f>
        <v>0</v>
      </c>
      <c r="T3765">
        <f>IF(AND(NOT(ISBLANK(ReconciliationData[[#This Row],[End_Date]])),ReconciliationData[[#This Row],[Order_Date]]&gt;ReconciliationData[[#This Row],[End_Date]]),1,0)</f>
        <v>0</v>
      </c>
      <c r="U3765">
        <f>IF(AND(NOT(ISBLANK(ReconciliationData[[#This Row],[last_return_date]])),ReconciliationData[[#This Row],[last_return_date]]&gt;ReconciliationData[[#This Row],[Order_Date]]+60),1,0)</f>
        <v>0</v>
      </c>
      <c r="V3765">
        <f>IF(ReconciliationData[[#This Row],[total_returned_units]]&gt;ReconciliationData[[#This Row],[ordered_units]],1,0)</f>
        <v>0</v>
      </c>
      <c r="W37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5">
        <f>ReconciliationData[[#This Row],[Billed_Units]]*ReconciliationData[[#This Row],[Billed_Price]]</f>
        <v>25420.518400000001</v>
      </c>
      <c r="Y3765">
        <f>ReconciliationData[[#This Row],[ordered_units]]*ReconciliationData[[#This Row],[List_Price]]</f>
        <v>25420.518400000001</v>
      </c>
      <c r="Z3765">
        <f>ReconciliationData[[#This Row],[billed_revenue]]-ReconciliationData[[#This Row],[expected_revenue]]</f>
        <v>0</v>
      </c>
      <c r="AA37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5" t="str">
        <f>IF(ReconciliationData[[#This Row],[severity_score]]=0,"LOW",
 IF(ReconciliationData[[#This Row],[severity_score]]&lt;=5,"MEDIUM","HIGH"))</f>
        <v>LOW</v>
      </c>
      <c r="AC3765" t="str">
        <f>TEXT(ReconciliationData[[#This Row],[Order_Date]],"YYYY-MM")</f>
        <v>2023-04</v>
      </c>
    </row>
    <row r="3766" spans="1:29">
      <c r="A3766" t="s">
        <v>8753</v>
      </c>
      <c r="B3766" s="1">
        <v>45576</v>
      </c>
      <c r="C3766" t="s">
        <v>1114</v>
      </c>
      <c r="D3766" t="s">
        <v>1525</v>
      </c>
      <c r="E3766">
        <v>72</v>
      </c>
      <c r="F3766" t="s">
        <v>8754</v>
      </c>
      <c r="G3766">
        <v>72</v>
      </c>
      <c r="H3766">
        <v>1067.6925000000001</v>
      </c>
      <c r="N3766">
        <v>1067.6925000000001</v>
      </c>
      <c r="O3766" s="1">
        <v>44999</v>
      </c>
      <c r="P3766">
        <f>IF(ISBLANK(ReconciliationData[[#This Row],[Invoice_ID]]),1,0)</f>
        <v>0</v>
      </c>
      <c r="Q3766">
        <f>IF(AND(NOT(ISBLANK(ReconciliationData[[#This Row],[Billed_Units]])),ReconciliationData[[#This Row],[ordered_units]]&lt;&gt;ReconciliationData[[#This Row],[Billed_Units]]),1,0)</f>
        <v>0</v>
      </c>
      <c r="R37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6">
        <f>IF(AND(NOT(ISBLANK(ReconciliationData[[#This Row],[Contract_Price]])),ReconciliationData[[#This Row],[Billed_Price]]&lt;&gt;ReconciliationData[[#This Row],[Contract_Price]]),1,0)</f>
        <v>0</v>
      </c>
      <c r="T3766">
        <f>IF(AND(NOT(ISBLANK(ReconciliationData[[#This Row],[End_Date]])),ReconciliationData[[#This Row],[Order_Date]]&gt;ReconciliationData[[#This Row],[End_Date]]),1,0)</f>
        <v>0</v>
      </c>
      <c r="U3766">
        <f>IF(AND(NOT(ISBLANK(ReconciliationData[[#This Row],[last_return_date]])),ReconciliationData[[#This Row],[last_return_date]]&gt;ReconciliationData[[#This Row],[Order_Date]]+60),1,0)</f>
        <v>0</v>
      </c>
      <c r="V3766">
        <f>IF(ReconciliationData[[#This Row],[total_returned_units]]&gt;ReconciliationData[[#This Row],[ordered_units]],1,0)</f>
        <v>0</v>
      </c>
      <c r="W37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6">
        <f>ReconciliationData[[#This Row],[Billed_Units]]*ReconciliationData[[#This Row],[Billed_Price]]</f>
        <v>76873.860000000015</v>
      </c>
      <c r="Y3766">
        <f>ReconciliationData[[#This Row],[ordered_units]]*ReconciliationData[[#This Row],[List_Price]]</f>
        <v>76873.860000000015</v>
      </c>
      <c r="Z3766">
        <f>ReconciliationData[[#This Row],[billed_revenue]]-ReconciliationData[[#This Row],[expected_revenue]]</f>
        <v>0</v>
      </c>
      <c r="AA37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6" t="str">
        <f>IF(ReconciliationData[[#This Row],[severity_score]]=0,"LOW",
 IF(ReconciliationData[[#This Row],[severity_score]]&lt;=5,"MEDIUM","HIGH"))</f>
        <v>LOW</v>
      </c>
      <c r="AC3766" t="str">
        <f>TEXT(ReconciliationData[[#This Row],[Order_Date]],"YYYY-MM")</f>
        <v>2024-10</v>
      </c>
    </row>
    <row r="3767" spans="1:29">
      <c r="A3767" t="s">
        <v>8755</v>
      </c>
      <c r="B3767" s="1">
        <v>45531</v>
      </c>
      <c r="C3767" t="s">
        <v>2251</v>
      </c>
      <c r="D3767" t="s">
        <v>202</v>
      </c>
      <c r="E3767">
        <v>32</v>
      </c>
      <c r="F3767" t="s">
        <v>8756</v>
      </c>
      <c r="G3767">
        <v>32</v>
      </c>
      <c r="H3767">
        <v>761.50400000000002</v>
      </c>
      <c r="N3767">
        <v>761.50400000000002</v>
      </c>
      <c r="O3767" s="1">
        <v>45161</v>
      </c>
      <c r="P3767">
        <f>IF(ISBLANK(ReconciliationData[[#This Row],[Invoice_ID]]),1,0)</f>
        <v>0</v>
      </c>
      <c r="Q3767">
        <f>IF(AND(NOT(ISBLANK(ReconciliationData[[#This Row],[Billed_Units]])),ReconciliationData[[#This Row],[ordered_units]]&lt;&gt;ReconciliationData[[#This Row],[Billed_Units]]),1,0)</f>
        <v>0</v>
      </c>
      <c r="R37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7">
        <f>IF(AND(NOT(ISBLANK(ReconciliationData[[#This Row],[Contract_Price]])),ReconciliationData[[#This Row],[Billed_Price]]&lt;&gt;ReconciliationData[[#This Row],[Contract_Price]]),1,0)</f>
        <v>0</v>
      </c>
      <c r="T3767">
        <f>IF(AND(NOT(ISBLANK(ReconciliationData[[#This Row],[End_Date]])),ReconciliationData[[#This Row],[Order_Date]]&gt;ReconciliationData[[#This Row],[End_Date]]),1,0)</f>
        <v>0</v>
      </c>
      <c r="U3767">
        <f>IF(AND(NOT(ISBLANK(ReconciliationData[[#This Row],[last_return_date]])),ReconciliationData[[#This Row],[last_return_date]]&gt;ReconciliationData[[#This Row],[Order_Date]]+60),1,0)</f>
        <v>0</v>
      </c>
      <c r="V3767">
        <f>IF(ReconciliationData[[#This Row],[total_returned_units]]&gt;ReconciliationData[[#This Row],[ordered_units]],1,0)</f>
        <v>0</v>
      </c>
      <c r="W37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7">
        <f>ReconciliationData[[#This Row],[Billed_Units]]*ReconciliationData[[#This Row],[Billed_Price]]</f>
        <v>24368.128000000001</v>
      </c>
      <c r="Y3767">
        <f>ReconciliationData[[#This Row],[ordered_units]]*ReconciliationData[[#This Row],[List_Price]]</f>
        <v>24368.128000000001</v>
      </c>
      <c r="Z3767">
        <f>ReconciliationData[[#This Row],[billed_revenue]]-ReconciliationData[[#This Row],[expected_revenue]]</f>
        <v>0</v>
      </c>
      <c r="AA37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7" t="str">
        <f>IF(ReconciliationData[[#This Row],[severity_score]]=0,"LOW",
 IF(ReconciliationData[[#This Row],[severity_score]]&lt;=5,"MEDIUM","HIGH"))</f>
        <v>LOW</v>
      </c>
      <c r="AC3767" t="str">
        <f>TEXT(ReconciliationData[[#This Row],[Order_Date]],"YYYY-MM")</f>
        <v>2024-08</v>
      </c>
    </row>
    <row r="3768" spans="1:29">
      <c r="A3768" t="s">
        <v>8757</v>
      </c>
      <c r="B3768" s="1">
        <v>45143</v>
      </c>
      <c r="C3768" t="s">
        <v>1388</v>
      </c>
      <c r="D3768" t="s">
        <v>1525</v>
      </c>
      <c r="E3768">
        <v>130</v>
      </c>
      <c r="F3768" t="s">
        <v>8758</v>
      </c>
      <c r="G3768">
        <v>130</v>
      </c>
      <c r="H3768">
        <v>1067.6925000000001</v>
      </c>
      <c r="N3768">
        <v>1067.6925000000001</v>
      </c>
      <c r="O3768" s="1">
        <v>44999</v>
      </c>
      <c r="P3768">
        <f>IF(ISBLANK(ReconciliationData[[#This Row],[Invoice_ID]]),1,0)</f>
        <v>0</v>
      </c>
      <c r="Q3768">
        <f>IF(AND(NOT(ISBLANK(ReconciliationData[[#This Row],[Billed_Units]])),ReconciliationData[[#This Row],[ordered_units]]&lt;&gt;ReconciliationData[[#This Row],[Billed_Units]]),1,0)</f>
        <v>0</v>
      </c>
      <c r="R37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8">
        <f>IF(AND(NOT(ISBLANK(ReconciliationData[[#This Row],[Contract_Price]])),ReconciliationData[[#This Row],[Billed_Price]]&lt;&gt;ReconciliationData[[#This Row],[Contract_Price]]),1,0)</f>
        <v>0</v>
      </c>
      <c r="T3768">
        <f>IF(AND(NOT(ISBLANK(ReconciliationData[[#This Row],[End_Date]])),ReconciliationData[[#This Row],[Order_Date]]&gt;ReconciliationData[[#This Row],[End_Date]]),1,0)</f>
        <v>0</v>
      </c>
      <c r="U3768">
        <f>IF(AND(NOT(ISBLANK(ReconciliationData[[#This Row],[last_return_date]])),ReconciliationData[[#This Row],[last_return_date]]&gt;ReconciliationData[[#This Row],[Order_Date]]+60),1,0)</f>
        <v>0</v>
      </c>
      <c r="V3768">
        <f>IF(ReconciliationData[[#This Row],[total_returned_units]]&gt;ReconciliationData[[#This Row],[ordered_units]],1,0)</f>
        <v>0</v>
      </c>
      <c r="W37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8">
        <f>ReconciliationData[[#This Row],[Billed_Units]]*ReconciliationData[[#This Row],[Billed_Price]]</f>
        <v>138800.02500000002</v>
      </c>
      <c r="Y3768">
        <f>ReconciliationData[[#This Row],[ordered_units]]*ReconciliationData[[#This Row],[List_Price]]</f>
        <v>138800.02500000002</v>
      </c>
      <c r="Z3768">
        <f>ReconciliationData[[#This Row],[billed_revenue]]-ReconciliationData[[#This Row],[expected_revenue]]</f>
        <v>0</v>
      </c>
      <c r="AA37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8" t="str">
        <f>IF(ReconciliationData[[#This Row],[severity_score]]=0,"LOW",
 IF(ReconciliationData[[#This Row],[severity_score]]&lt;=5,"MEDIUM","HIGH"))</f>
        <v>LOW</v>
      </c>
      <c r="AC3768" t="str">
        <f>TEXT(ReconciliationData[[#This Row],[Order_Date]],"YYYY-MM")</f>
        <v>2023-08</v>
      </c>
    </row>
    <row r="3769" spans="1:29">
      <c r="A3769" t="s">
        <v>8759</v>
      </c>
      <c r="B3769" s="1">
        <v>45208</v>
      </c>
      <c r="C3769" t="s">
        <v>2100</v>
      </c>
      <c r="D3769" t="s">
        <v>182</v>
      </c>
      <c r="E3769">
        <v>133</v>
      </c>
      <c r="F3769" t="s">
        <v>8760</v>
      </c>
      <c r="G3769">
        <v>133</v>
      </c>
      <c r="H3769">
        <v>725.50320000000011</v>
      </c>
      <c r="I3769">
        <v>7</v>
      </c>
      <c r="J3769" s="1">
        <v>45139</v>
      </c>
      <c r="N3769">
        <v>725.50320000000011</v>
      </c>
      <c r="O3769" s="1">
        <v>44858</v>
      </c>
      <c r="P3769">
        <f>IF(ISBLANK(ReconciliationData[[#This Row],[Invoice_ID]]),1,0)</f>
        <v>0</v>
      </c>
      <c r="Q3769">
        <f>IF(AND(NOT(ISBLANK(ReconciliationData[[#This Row],[Billed_Units]])),ReconciliationData[[#This Row],[ordered_units]]&lt;&gt;ReconciliationData[[#This Row],[Billed_Units]]),1,0)</f>
        <v>0</v>
      </c>
      <c r="R37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69">
        <f>IF(AND(NOT(ISBLANK(ReconciliationData[[#This Row],[Contract_Price]])),ReconciliationData[[#This Row],[Billed_Price]]&lt;&gt;ReconciliationData[[#This Row],[Contract_Price]]),1,0)</f>
        <v>0</v>
      </c>
      <c r="T3769">
        <f>IF(AND(NOT(ISBLANK(ReconciliationData[[#This Row],[End_Date]])),ReconciliationData[[#This Row],[Order_Date]]&gt;ReconciliationData[[#This Row],[End_Date]]),1,0)</f>
        <v>0</v>
      </c>
      <c r="U3769">
        <f>IF(AND(NOT(ISBLANK(ReconciliationData[[#This Row],[last_return_date]])),ReconciliationData[[#This Row],[last_return_date]]&gt;ReconciliationData[[#This Row],[Order_Date]]+60),1,0)</f>
        <v>0</v>
      </c>
      <c r="V3769">
        <f>IF(ReconciliationData[[#This Row],[total_returned_units]]&gt;ReconciliationData[[#This Row],[ordered_units]],1,0)</f>
        <v>0</v>
      </c>
      <c r="W37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69">
        <f>ReconciliationData[[#This Row],[Billed_Units]]*ReconciliationData[[#This Row],[Billed_Price]]</f>
        <v>96491.925600000017</v>
      </c>
      <c r="Y3769">
        <f>ReconciliationData[[#This Row],[ordered_units]]*ReconciliationData[[#This Row],[List_Price]]</f>
        <v>96491.925600000017</v>
      </c>
      <c r="Z3769">
        <f>ReconciliationData[[#This Row],[billed_revenue]]-ReconciliationData[[#This Row],[expected_revenue]]</f>
        <v>0</v>
      </c>
      <c r="AA37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69" t="str">
        <f>IF(ReconciliationData[[#This Row],[severity_score]]=0,"LOW",
 IF(ReconciliationData[[#This Row],[severity_score]]&lt;=5,"MEDIUM","HIGH"))</f>
        <v>LOW</v>
      </c>
      <c r="AC3769" t="str">
        <f>TEXT(ReconciliationData[[#This Row],[Order_Date]],"YYYY-MM")</f>
        <v>2023-10</v>
      </c>
    </row>
    <row r="3770" spans="1:29">
      <c r="A3770" t="s">
        <v>8761</v>
      </c>
      <c r="B3770" s="1">
        <v>45013</v>
      </c>
      <c r="C3770" t="s">
        <v>4167</v>
      </c>
      <c r="D3770" t="s">
        <v>267</v>
      </c>
      <c r="E3770">
        <v>37</v>
      </c>
      <c r="F3770" t="s">
        <v>8762</v>
      </c>
      <c r="G3770">
        <v>37</v>
      </c>
      <c r="H3770">
        <v>973.43799999999999</v>
      </c>
      <c r="N3770">
        <v>973.43799999999999</v>
      </c>
      <c r="O3770" s="1">
        <v>45011</v>
      </c>
      <c r="P3770">
        <f>IF(ISBLANK(ReconciliationData[[#This Row],[Invoice_ID]]),1,0)</f>
        <v>0</v>
      </c>
      <c r="Q3770">
        <f>IF(AND(NOT(ISBLANK(ReconciliationData[[#This Row],[Billed_Units]])),ReconciliationData[[#This Row],[ordered_units]]&lt;&gt;ReconciliationData[[#This Row],[Billed_Units]]),1,0)</f>
        <v>0</v>
      </c>
      <c r="R37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0">
        <f>IF(AND(NOT(ISBLANK(ReconciliationData[[#This Row],[Contract_Price]])),ReconciliationData[[#This Row],[Billed_Price]]&lt;&gt;ReconciliationData[[#This Row],[Contract_Price]]),1,0)</f>
        <v>0</v>
      </c>
      <c r="T3770">
        <f>IF(AND(NOT(ISBLANK(ReconciliationData[[#This Row],[End_Date]])),ReconciliationData[[#This Row],[Order_Date]]&gt;ReconciliationData[[#This Row],[End_Date]]),1,0)</f>
        <v>0</v>
      </c>
      <c r="U3770">
        <f>IF(AND(NOT(ISBLANK(ReconciliationData[[#This Row],[last_return_date]])),ReconciliationData[[#This Row],[last_return_date]]&gt;ReconciliationData[[#This Row],[Order_Date]]+60),1,0)</f>
        <v>0</v>
      </c>
      <c r="V3770">
        <f>IF(ReconciliationData[[#This Row],[total_returned_units]]&gt;ReconciliationData[[#This Row],[ordered_units]],1,0)</f>
        <v>0</v>
      </c>
      <c r="W37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70">
        <f>ReconciliationData[[#This Row],[Billed_Units]]*ReconciliationData[[#This Row],[Billed_Price]]</f>
        <v>36017.205999999998</v>
      </c>
      <c r="Y3770">
        <f>ReconciliationData[[#This Row],[ordered_units]]*ReconciliationData[[#This Row],[List_Price]]</f>
        <v>36017.205999999998</v>
      </c>
      <c r="Z3770">
        <f>ReconciliationData[[#This Row],[billed_revenue]]-ReconciliationData[[#This Row],[expected_revenue]]</f>
        <v>0</v>
      </c>
      <c r="AA37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70" t="str">
        <f>IF(ReconciliationData[[#This Row],[severity_score]]=0,"LOW",
 IF(ReconciliationData[[#This Row],[severity_score]]&lt;=5,"MEDIUM","HIGH"))</f>
        <v>LOW</v>
      </c>
      <c r="AC3770" t="str">
        <f>TEXT(ReconciliationData[[#This Row],[Order_Date]],"YYYY-MM")</f>
        <v>2023-03</v>
      </c>
    </row>
    <row r="3771" spans="1:29">
      <c r="A3771" t="s">
        <v>8763</v>
      </c>
      <c r="B3771" s="1">
        <v>45491</v>
      </c>
      <c r="C3771" t="s">
        <v>1191</v>
      </c>
      <c r="D3771" t="s">
        <v>3770</v>
      </c>
      <c r="E3771">
        <v>185</v>
      </c>
      <c r="F3771" t="s">
        <v>8764</v>
      </c>
      <c r="G3771">
        <v>185</v>
      </c>
      <c r="H3771">
        <v>724.16120000000001</v>
      </c>
      <c r="N3771">
        <v>724.16120000000001</v>
      </c>
      <c r="O3771" s="1">
        <v>45044</v>
      </c>
      <c r="P3771">
        <f>IF(ISBLANK(ReconciliationData[[#This Row],[Invoice_ID]]),1,0)</f>
        <v>0</v>
      </c>
      <c r="Q3771">
        <f>IF(AND(NOT(ISBLANK(ReconciliationData[[#This Row],[Billed_Units]])),ReconciliationData[[#This Row],[ordered_units]]&lt;&gt;ReconciliationData[[#This Row],[Billed_Units]]),1,0)</f>
        <v>0</v>
      </c>
      <c r="R37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1">
        <f>IF(AND(NOT(ISBLANK(ReconciliationData[[#This Row],[Contract_Price]])),ReconciliationData[[#This Row],[Billed_Price]]&lt;&gt;ReconciliationData[[#This Row],[Contract_Price]]),1,0)</f>
        <v>0</v>
      </c>
      <c r="T3771">
        <f>IF(AND(NOT(ISBLANK(ReconciliationData[[#This Row],[End_Date]])),ReconciliationData[[#This Row],[Order_Date]]&gt;ReconciliationData[[#This Row],[End_Date]]),1,0)</f>
        <v>0</v>
      </c>
      <c r="U3771">
        <f>IF(AND(NOT(ISBLANK(ReconciliationData[[#This Row],[last_return_date]])),ReconciliationData[[#This Row],[last_return_date]]&gt;ReconciliationData[[#This Row],[Order_Date]]+60),1,0)</f>
        <v>0</v>
      </c>
      <c r="V3771">
        <f>IF(ReconciliationData[[#This Row],[total_returned_units]]&gt;ReconciliationData[[#This Row],[ordered_units]],1,0)</f>
        <v>0</v>
      </c>
      <c r="W37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71">
        <f>ReconciliationData[[#This Row],[Billed_Units]]*ReconciliationData[[#This Row],[Billed_Price]]</f>
        <v>133969.82200000001</v>
      </c>
      <c r="Y3771">
        <f>ReconciliationData[[#This Row],[ordered_units]]*ReconciliationData[[#This Row],[List_Price]]</f>
        <v>133969.82200000001</v>
      </c>
      <c r="Z3771">
        <f>ReconciliationData[[#This Row],[billed_revenue]]-ReconciliationData[[#This Row],[expected_revenue]]</f>
        <v>0</v>
      </c>
      <c r="AA37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71" t="str">
        <f>IF(ReconciliationData[[#This Row],[severity_score]]=0,"LOW",
 IF(ReconciliationData[[#This Row],[severity_score]]&lt;=5,"MEDIUM","HIGH"))</f>
        <v>LOW</v>
      </c>
      <c r="AC3771" t="str">
        <f>TEXT(ReconciliationData[[#This Row],[Order_Date]],"YYYY-MM")</f>
        <v>2024-07</v>
      </c>
    </row>
    <row r="3772" spans="1:29">
      <c r="A3772" t="s">
        <v>8765</v>
      </c>
      <c r="B3772" s="1">
        <v>45234</v>
      </c>
      <c r="C3772" t="s">
        <v>2228</v>
      </c>
      <c r="D3772" t="s">
        <v>732</v>
      </c>
      <c r="E3772">
        <v>74</v>
      </c>
      <c r="F3772" t="s">
        <v>8766</v>
      </c>
      <c r="G3772">
        <v>74</v>
      </c>
      <c r="H3772">
        <v>440.38799999999998</v>
      </c>
      <c r="I3772">
        <v>17</v>
      </c>
      <c r="J3772" s="1">
        <v>45214</v>
      </c>
      <c r="N3772">
        <v>440.38799999999998</v>
      </c>
      <c r="O3772" s="1">
        <v>45016</v>
      </c>
      <c r="P3772">
        <f>IF(ISBLANK(ReconciliationData[[#This Row],[Invoice_ID]]),1,0)</f>
        <v>0</v>
      </c>
      <c r="Q3772">
        <f>IF(AND(NOT(ISBLANK(ReconciliationData[[#This Row],[Billed_Units]])),ReconciliationData[[#This Row],[ordered_units]]&lt;&gt;ReconciliationData[[#This Row],[Billed_Units]]),1,0)</f>
        <v>0</v>
      </c>
      <c r="R37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2">
        <f>IF(AND(NOT(ISBLANK(ReconciliationData[[#This Row],[Contract_Price]])),ReconciliationData[[#This Row],[Billed_Price]]&lt;&gt;ReconciliationData[[#This Row],[Contract_Price]]),1,0)</f>
        <v>0</v>
      </c>
      <c r="T3772">
        <f>IF(AND(NOT(ISBLANK(ReconciliationData[[#This Row],[End_Date]])),ReconciliationData[[#This Row],[Order_Date]]&gt;ReconciliationData[[#This Row],[End_Date]]),1,0)</f>
        <v>0</v>
      </c>
      <c r="U3772">
        <f>IF(AND(NOT(ISBLANK(ReconciliationData[[#This Row],[last_return_date]])),ReconciliationData[[#This Row],[last_return_date]]&gt;ReconciliationData[[#This Row],[Order_Date]]+60),1,0)</f>
        <v>0</v>
      </c>
      <c r="V3772">
        <f>IF(ReconciliationData[[#This Row],[total_returned_units]]&gt;ReconciliationData[[#This Row],[ordered_units]],1,0)</f>
        <v>0</v>
      </c>
      <c r="W37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72">
        <f>ReconciliationData[[#This Row],[Billed_Units]]*ReconciliationData[[#This Row],[Billed_Price]]</f>
        <v>32588.712</v>
      </c>
      <c r="Y3772">
        <f>ReconciliationData[[#This Row],[ordered_units]]*ReconciliationData[[#This Row],[List_Price]]</f>
        <v>32588.712</v>
      </c>
      <c r="Z3772">
        <f>ReconciliationData[[#This Row],[billed_revenue]]-ReconciliationData[[#This Row],[expected_revenue]]</f>
        <v>0</v>
      </c>
      <c r="AA37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72" t="str">
        <f>IF(ReconciliationData[[#This Row],[severity_score]]=0,"LOW",
 IF(ReconciliationData[[#This Row],[severity_score]]&lt;=5,"MEDIUM","HIGH"))</f>
        <v>LOW</v>
      </c>
      <c r="AC3772" t="str">
        <f>TEXT(ReconciliationData[[#This Row],[Order_Date]],"YYYY-MM")</f>
        <v>2023-11</v>
      </c>
    </row>
    <row r="3773" spans="1:29">
      <c r="A3773" t="s">
        <v>8767</v>
      </c>
      <c r="B3773" s="1">
        <v>45548</v>
      </c>
      <c r="C3773" t="s">
        <v>3797</v>
      </c>
      <c r="D3773" t="s">
        <v>651</v>
      </c>
      <c r="E3773">
        <v>145</v>
      </c>
      <c r="F3773" t="s">
        <v>8768</v>
      </c>
      <c r="G3773">
        <v>145</v>
      </c>
      <c r="H3773">
        <v>214.6182</v>
      </c>
      <c r="N3773">
        <v>214.6182</v>
      </c>
      <c r="O3773" s="1">
        <v>45116</v>
      </c>
      <c r="P3773">
        <f>IF(ISBLANK(ReconciliationData[[#This Row],[Invoice_ID]]),1,0)</f>
        <v>0</v>
      </c>
      <c r="Q3773">
        <f>IF(AND(NOT(ISBLANK(ReconciliationData[[#This Row],[Billed_Units]])),ReconciliationData[[#This Row],[ordered_units]]&lt;&gt;ReconciliationData[[#This Row],[Billed_Units]]),1,0)</f>
        <v>0</v>
      </c>
      <c r="R37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3">
        <f>IF(AND(NOT(ISBLANK(ReconciliationData[[#This Row],[Contract_Price]])),ReconciliationData[[#This Row],[Billed_Price]]&lt;&gt;ReconciliationData[[#This Row],[Contract_Price]]),1,0)</f>
        <v>0</v>
      </c>
      <c r="T3773">
        <f>IF(AND(NOT(ISBLANK(ReconciliationData[[#This Row],[End_Date]])),ReconciliationData[[#This Row],[Order_Date]]&gt;ReconciliationData[[#This Row],[End_Date]]),1,0)</f>
        <v>0</v>
      </c>
      <c r="U3773">
        <f>IF(AND(NOT(ISBLANK(ReconciliationData[[#This Row],[last_return_date]])),ReconciliationData[[#This Row],[last_return_date]]&gt;ReconciliationData[[#This Row],[Order_Date]]+60),1,0)</f>
        <v>0</v>
      </c>
      <c r="V3773">
        <f>IF(ReconciliationData[[#This Row],[total_returned_units]]&gt;ReconciliationData[[#This Row],[ordered_units]],1,0)</f>
        <v>0</v>
      </c>
      <c r="W37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73">
        <f>ReconciliationData[[#This Row],[Billed_Units]]*ReconciliationData[[#This Row],[Billed_Price]]</f>
        <v>31119.638999999999</v>
      </c>
      <c r="Y3773">
        <f>ReconciliationData[[#This Row],[ordered_units]]*ReconciliationData[[#This Row],[List_Price]]</f>
        <v>31119.638999999999</v>
      </c>
      <c r="Z3773">
        <f>ReconciliationData[[#This Row],[billed_revenue]]-ReconciliationData[[#This Row],[expected_revenue]]</f>
        <v>0</v>
      </c>
      <c r="AA37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73" t="str">
        <f>IF(ReconciliationData[[#This Row],[severity_score]]=0,"LOW",
 IF(ReconciliationData[[#This Row],[severity_score]]&lt;=5,"MEDIUM","HIGH"))</f>
        <v>LOW</v>
      </c>
      <c r="AC3773" t="str">
        <f>TEXT(ReconciliationData[[#This Row],[Order_Date]],"YYYY-MM")</f>
        <v>2024-09</v>
      </c>
    </row>
    <row r="3774" spans="1:29">
      <c r="A3774" t="s">
        <v>8769</v>
      </c>
      <c r="B3774" s="1">
        <v>45210</v>
      </c>
      <c r="C3774" t="s">
        <v>2864</v>
      </c>
      <c r="D3774" t="s">
        <v>2444</v>
      </c>
      <c r="E3774">
        <v>13</v>
      </c>
      <c r="F3774" t="s">
        <v>8770</v>
      </c>
      <c r="G3774">
        <v>13</v>
      </c>
      <c r="H3774">
        <v>797.23339999999996</v>
      </c>
      <c r="N3774">
        <v>797.23339999999996</v>
      </c>
      <c r="O3774" s="1">
        <v>45085</v>
      </c>
      <c r="P3774">
        <f>IF(ISBLANK(ReconciliationData[[#This Row],[Invoice_ID]]),1,0)</f>
        <v>0</v>
      </c>
      <c r="Q3774">
        <f>IF(AND(NOT(ISBLANK(ReconciliationData[[#This Row],[Billed_Units]])),ReconciliationData[[#This Row],[ordered_units]]&lt;&gt;ReconciliationData[[#This Row],[Billed_Units]]),1,0)</f>
        <v>0</v>
      </c>
      <c r="R37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4">
        <f>IF(AND(NOT(ISBLANK(ReconciliationData[[#This Row],[Contract_Price]])),ReconciliationData[[#This Row],[Billed_Price]]&lt;&gt;ReconciliationData[[#This Row],[Contract_Price]]),1,0)</f>
        <v>0</v>
      </c>
      <c r="T3774">
        <f>IF(AND(NOT(ISBLANK(ReconciliationData[[#This Row],[End_Date]])),ReconciliationData[[#This Row],[Order_Date]]&gt;ReconciliationData[[#This Row],[End_Date]]),1,0)</f>
        <v>0</v>
      </c>
      <c r="U3774">
        <f>IF(AND(NOT(ISBLANK(ReconciliationData[[#This Row],[last_return_date]])),ReconciliationData[[#This Row],[last_return_date]]&gt;ReconciliationData[[#This Row],[Order_Date]]+60),1,0)</f>
        <v>0</v>
      </c>
      <c r="V3774">
        <f>IF(ReconciliationData[[#This Row],[total_returned_units]]&gt;ReconciliationData[[#This Row],[ordered_units]],1,0)</f>
        <v>0</v>
      </c>
      <c r="W37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74">
        <f>ReconciliationData[[#This Row],[Billed_Units]]*ReconciliationData[[#This Row],[Billed_Price]]</f>
        <v>10364.0342</v>
      </c>
      <c r="Y3774">
        <f>ReconciliationData[[#This Row],[ordered_units]]*ReconciliationData[[#This Row],[List_Price]]</f>
        <v>10364.0342</v>
      </c>
      <c r="Z3774">
        <f>ReconciliationData[[#This Row],[billed_revenue]]-ReconciliationData[[#This Row],[expected_revenue]]</f>
        <v>0</v>
      </c>
      <c r="AA37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74" t="str">
        <f>IF(ReconciliationData[[#This Row],[severity_score]]=0,"LOW",
 IF(ReconciliationData[[#This Row],[severity_score]]&lt;=5,"MEDIUM","HIGH"))</f>
        <v>LOW</v>
      </c>
      <c r="AC3774" t="str">
        <f>TEXT(ReconciliationData[[#This Row],[Order_Date]],"YYYY-MM")</f>
        <v>2023-10</v>
      </c>
    </row>
    <row r="3775" spans="1:29">
      <c r="A3775" t="s">
        <v>8771</v>
      </c>
      <c r="B3775" s="1">
        <v>45631</v>
      </c>
      <c r="C3775" t="s">
        <v>3744</v>
      </c>
      <c r="D3775" t="s">
        <v>457</v>
      </c>
      <c r="E3775">
        <v>102</v>
      </c>
      <c r="F3775" t="s">
        <v>8772</v>
      </c>
      <c r="G3775">
        <v>102</v>
      </c>
      <c r="H3775">
        <v>492.38400000000001</v>
      </c>
      <c r="N3775">
        <v>492.38400000000001</v>
      </c>
      <c r="O3775" s="1">
        <v>44966</v>
      </c>
      <c r="P3775">
        <f>IF(ISBLANK(ReconciliationData[[#This Row],[Invoice_ID]]),1,0)</f>
        <v>0</v>
      </c>
      <c r="Q3775">
        <f>IF(AND(NOT(ISBLANK(ReconciliationData[[#This Row],[Billed_Units]])),ReconciliationData[[#This Row],[ordered_units]]&lt;&gt;ReconciliationData[[#This Row],[Billed_Units]]),1,0)</f>
        <v>0</v>
      </c>
      <c r="R37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5">
        <f>IF(AND(NOT(ISBLANK(ReconciliationData[[#This Row],[Contract_Price]])),ReconciliationData[[#This Row],[Billed_Price]]&lt;&gt;ReconciliationData[[#This Row],[Contract_Price]]),1,0)</f>
        <v>0</v>
      </c>
      <c r="T3775">
        <f>IF(AND(NOT(ISBLANK(ReconciliationData[[#This Row],[End_Date]])),ReconciliationData[[#This Row],[Order_Date]]&gt;ReconciliationData[[#This Row],[End_Date]]),1,0)</f>
        <v>0</v>
      </c>
      <c r="U3775">
        <f>IF(AND(NOT(ISBLANK(ReconciliationData[[#This Row],[last_return_date]])),ReconciliationData[[#This Row],[last_return_date]]&gt;ReconciliationData[[#This Row],[Order_Date]]+60),1,0)</f>
        <v>0</v>
      </c>
      <c r="V3775">
        <f>IF(ReconciliationData[[#This Row],[total_returned_units]]&gt;ReconciliationData[[#This Row],[ordered_units]],1,0)</f>
        <v>0</v>
      </c>
      <c r="W37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75">
        <f>ReconciliationData[[#This Row],[Billed_Units]]*ReconciliationData[[#This Row],[Billed_Price]]</f>
        <v>50223.168000000005</v>
      </c>
      <c r="Y3775">
        <f>ReconciliationData[[#This Row],[ordered_units]]*ReconciliationData[[#This Row],[List_Price]]</f>
        <v>50223.168000000005</v>
      </c>
      <c r="Z3775">
        <f>ReconciliationData[[#This Row],[billed_revenue]]-ReconciliationData[[#This Row],[expected_revenue]]</f>
        <v>0</v>
      </c>
      <c r="AA37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75" t="str">
        <f>IF(ReconciliationData[[#This Row],[severity_score]]=0,"LOW",
 IF(ReconciliationData[[#This Row],[severity_score]]&lt;=5,"MEDIUM","HIGH"))</f>
        <v>LOW</v>
      </c>
      <c r="AC3775" t="str">
        <f>TEXT(ReconciliationData[[#This Row],[Order_Date]],"YYYY-MM")</f>
        <v>2024-12</v>
      </c>
    </row>
    <row r="3776" spans="1:29">
      <c r="A3776" t="s">
        <v>8773</v>
      </c>
      <c r="B3776" s="1">
        <v>45055</v>
      </c>
      <c r="C3776" t="s">
        <v>7339</v>
      </c>
      <c r="D3776" t="s">
        <v>1309</v>
      </c>
      <c r="E3776">
        <v>109</v>
      </c>
      <c r="F3776" t="s">
        <v>8774</v>
      </c>
      <c r="G3776">
        <v>109</v>
      </c>
      <c r="H3776">
        <v>906.88919999999996</v>
      </c>
      <c r="N3776">
        <v>906.88919999999996</v>
      </c>
      <c r="O3776" s="1">
        <v>44991</v>
      </c>
      <c r="P3776">
        <f>IF(ISBLANK(ReconciliationData[[#This Row],[Invoice_ID]]),1,0)</f>
        <v>0</v>
      </c>
      <c r="Q3776">
        <f>IF(AND(NOT(ISBLANK(ReconciliationData[[#This Row],[Billed_Units]])),ReconciliationData[[#This Row],[ordered_units]]&lt;&gt;ReconciliationData[[#This Row],[Billed_Units]]),1,0)</f>
        <v>0</v>
      </c>
      <c r="R37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6">
        <f>IF(AND(NOT(ISBLANK(ReconciliationData[[#This Row],[Contract_Price]])),ReconciliationData[[#This Row],[Billed_Price]]&lt;&gt;ReconciliationData[[#This Row],[Contract_Price]]),1,0)</f>
        <v>0</v>
      </c>
      <c r="T3776">
        <f>IF(AND(NOT(ISBLANK(ReconciliationData[[#This Row],[End_Date]])),ReconciliationData[[#This Row],[Order_Date]]&gt;ReconciliationData[[#This Row],[End_Date]]),1,0)</f>
        <v>0</v>
      </c>
      <c r="U3776">
        <f>IF(AND(NOT(ISBLANK(ReconciliationData[[#This Row],[last_return_date]])),ReconciliationData[[#This Row],[last_return_date]]&gt;ReconciliationData[[#This Row],[Order_Date]]+60),1,0)</f>
        <v>0</v>
      </c>
      <c r="V3776">
        <f>IF(ReconciliationData[[#This Row],[total_returned_units]]&gt;ReconciliationData[[#This Row],[ordered_units]],1,0)</f>
        <v>0</v>
      </c>
      <c r="W37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76">
        <f>ReconciliationData[[#This Row],[Billed_Units]]*ReconciliationData[[#This Row],[Billed_Price]]</f>
        <v>98850.9228</v>
      </c>
      <c r="Y3776">
        <f>ReconciliationData[[#This Row],[ordered_units]]*ReconciliationData[[#This Row],[List_Price]]</f>
        <v>98850.9228</v>
      </c>
      <c r="Z3776">
        <f>ReconciliationData[[#This Row],[billed_revenue]]-ReconciliationData[[#This Row],[expected_revenue]]</f>
        <v>0</v>
      </c>
      <c r="AA37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76" t="str">
        <f>IF(ReconciliationData[[#This Row],[severity_score]]=0,"LOW",
 IF(ReconciliationData[[#This Row],[severity_score]]&lt;=5,"MEDIUM","HIGH"))</f>
        <v>LOW</v>
      </c>
      <c r="AC3776" t="str">
        <f>TEXT(ReconciliationData[[#This Row],[Order_Date]],"YYYY-MM")</f>
        <v>2023-05</v>
      </c>
    </row>
    <row r="3777" spans="1:29">
      <c r="A3777" t="s">
        <v>8775</v>
      </c>
      <c r="B3777" s="1">
        <v>45015</v>
      </c>
      <c r="C3777" t="s">
        <v>831</v>
      </c>
      <c r="D3777" t="s">
        <v>775</v>
      </c>
      <c r="E3777">
        <v>52</v>
      </c>
      <c r="F3777" t="s">
        <v>8776</v>
      </c>
      <c r="G3777">
        <v>52</v>
      </c>
      <c r="H3777">
        <v>1173.1600000000001</v>
      </c>
      <c r="N3777">
        <v>1173.1600000000001</v>
      </c>
      <c r="O3777" s="1">
        <v>44692</v>
      </c>
      <c r="P3777">
        <f>IF(ISBLANK(ReconciliationData[[#This Row],[Invoice_ID]]),1,0)</f>
        <v>0</v>
      </c>
      <c r="Q3777">
        <f>IF(AND(NOT(ISBLANK(ReconciliationData[[#This Row],[Billed_Units]])),ReconciliationData[[#This Row],[ordered_units]]&lt;&gt;ReconciliationData[[#This Row],[Billed_Units]]),1,0)</f>
        <v>0</v>
      </c>
      <c r="R37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7">
        <f>IF(AND(NOT(ISBLANK(ReconciliationData[[#This Row],[Contract_Price]])),ReconciliationData[[#This Row],[Billed_Price]]&lt;&gt;ReconciliationData[[#This Row],[Contract_Price]]),1,0)</f>
        <v>0</v>
      </c>
      <c r="T3777">
        <f>IF(AND(NOT(ISBLANK(ReconciliationData[[#This Row],[End_Date]])),ReconciliationData[[#This Row],[Order_Date]]&gt;ReconciliationData[[#This Row],[End_Date]]),1,0)</f>
        <v>0</v>
      </c>
      <c r="U3777">
        <f>IF(AND(NOT(ISBLANK(ReconciliationData[[#This Row],[last_return_date]])),ReconciliationData[[#This Row],[last_return_date]]&gt;ReconciliationData[[#This Row],[Order_Date]]+60),1,0)</f>
        <v>0</v>
      </c>
      <c r="V3777">
        <f>IF(ReconciliationData[[#This Row],[total_returned_units]]&gt;ReconciliationData[[#This Row],[ordered_units]],1,0)</f>
        <v>0</v>
      </c>
      <c r="W37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77">
        <f>ReconciliationData[[#This Row],[Billed_Units]]*ReconciliationData[[#This Row],[Billed_Price]]</f>
        <v>61004.320000000007</v>
      </c>
      <c r="Y3777">
        <f>ReconciliationData[[#This Row],[ordered_units]]*ReconciliationData[[#This Row],[List_Price]]</f>
        <v>61004.320000000007</v>
      </c>
      <c r="Z3777">
        <f>ReconciliationData[[#This Row],[billed_revenue]]-ReconciliationData[[#This Row],[expected_revenue]]</f>
        <v>0</v>
      </c>
      <c r="AA37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77" t="str">
        <f>IF(ReconciliationData[[#This Row],[severity_score]]=0,"LOW",
 IF(ReconciliationData[[#This Row],[severity_score]]&lt;=5,"MEDIUM","HIGH"))</f>
        <v>LOW</v>
      </c>
      <c r="AC3777" t="str">
        <f>TEXT(ReconciliationData[[#This Row],[Order_Date]],"YYYY-MM")</f>
        <v>2023-03</v>
      </c>
    </row>
    <row r="3778" spans="1:29">
      <c r="A3778" t="s">
        <v>8777</v>
      </c>
      <c r="B3778" s="1">
        <v>45295</v>
      </c>
      <c r="C3778" t="s">
        <v>2998</v>
      </c>
      <c r="D3778" t="s">
        <v>1606</v>
      </c>
      <c r="E3778">
        <v>61</v>
      </c>
      <c r="F3778" t="s">
        <v>8778</v>
      </c>
      <c r="G3778">
        <v>61</v>
      </c>
      <c r="H3778">
        <v>620.22550000000001</v>
      </c>
      <c r="N3778">
        <v>620.22550000000001</v>
      </c>
      <c r="O3778" s="1">
        <v>45200</v>
      </c>
      <c r="P3778">
        <f>IF(ISBLANK(ReconciliationData[[#This Row],[Invoice_ID]]),1,0)</f>
        <v>0</v>
      </c>
      <c r="Q3778">
        <f>IF(AND(NOT(ISBLANK(ReconciliationData[[#This Row],[Billed_Units]])),ReconciliationData[[#This Row],[ordered_units]]&lt;&gt;ReconciliationData[[#This Row],[Billed_Units]]),1,0)</f>
        <v>0</v>
      </c>
      <c r="R37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8">
        <f>IF(AND(NOT(ISBLANK(ReconciliationData[[#This Row],[Contract_Price]])),ReconciliationData[[#This Row],[Billed_Price]]&lt;&gt;ReconciliationData[[#This Row],[Contract_Price]]),1,0)</f>
        <v>0</v>
      </c>
      <c r="T3778">
        <f>IF(AND(NOT(ISBLANK(ReconciliationData[[#This Row],[End_Date]])),ReconciliationData[[#This Row],[Order_Date]]&gt;ReconciliationData[[#This Row],[End_Date]]),1,0)</f>
        <v>0</v>
      </c>
      <c r="U3778">
        <f>IF(AND(NOT(ISBLANK(ReconciliationData[[#This Row],[last_return_date]])),ReconciliationData[[#This Row],[last_return_date]]&gt;ReconciliationData[[#This Row],[Order_Date]]+60),1,0)</f>
        <v>0</v>
      </c>
      <c r="V3778">
        <f>IF(ReconciliationData[[#This Row],[total_returned_units]]&gt;ReconciliationData[[#This Row],[ordered_units]],1,0)</f>
        <v>0</v>
      </c>
      <c r="W37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78">
        <f>ReconciliationData[[#This Row],[Billed_Units]]*ReconciliationData[[#This Row],[Billed_Price]]</f>
        <v>37833.755499999999</v>
      </c>
      <c r="Y3778">
        <f>ReconciliationData[[#This Row],[ordered_units]]*ReconciliationData[[#This Row],[List_Price]]</f>
        <v>37833.755499999999</v>
      </c>
      <c r="Z3778">
        <f>ReconciliationData[[#This Row],[billed_revenue]]-ReconciliationData[[#This Row],[expected_revenue]]</f>
        <v>0</v>
      </c>
      <c r="AA37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78" t="str">
        <f>IF(ReconciliationData[[#This Row],[severity_score]]=0,"LOW",
 IF(ReconciliationData[[#This Row],[severity_score]]&lt;=5,"MEDIUM","HIGH"))</f>
        <v>LOW</v>
      </c>
      <c r="AC3778" t="str">
        <f>TEXT(ReconciliationData[[#This Row],[Order_Date]],"YYYY-MM")</f>
        <v>2024-01</v>
      </c>
    </row>
    <row r="3779" spans="1:29">
      <c r="A3779" t="s">
        <v>8779</v>
      </c>
      <c r="B3779" s="1">
        <v>45638</v>
      </c>
      <c r="C3779" t="s">
        <v>3459</v>
      </c>
      <c r="D3779" t="s">
        <v>577</v>
      </c>
      <c r="E3779">
        <v>26</v>
      </c>
      <c r="F3779" t="s">
        <v>8780</v>
      </c>
      <c r="G3779">
        <v>34</v>
      </c>
      <c r="H3779">
        <v>1093.1199999999999</v>
      </c>
      <c r="N3779">
        <v>1093.1199999999999</v>
      </c>
      <c r="O3779" s="1">
        <v>45035</v>
      </c>
      <c r="P3779">
        <f>IF(ISBLANK(ReconciliationData[[#This Row],[Invoice_ID]]),1,0)</f>
        <v>0</v>
      </c>
      <c r="Q3779">
        <f>IF(AND(NOT(ISBLANK(ReconciliationData[[#This Row],[Billed_Units]])),ReconciliationData[[#This Row],[ordered_units]]&lt;&gt;ReconciliationData[[#This Row],[Billed_Units]]),1,0)</f>
        <v>1</v>
      </c>
      <c r="R37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79">
        <f>IF(AND(NOT(ISBLANK(ReconciliationData[[#This Row],[Contract_Price]])),ReconciliationData[[#This Row],[Billed_Price]]&lt;&gt;ReconciliationData[[#This Row],[Contract_Price]]),1,0)</f>
        <v>0</v>
      </c>
      <c r="T3779">
        <f>IF(AND(NOT(ISBLANK(ReconciliationData[[#This Row],[End_Date]])),ReconciliationData[[#This Row],[Order_Date]]&gt;ReconciliationData[[#This Row],[End_Date]]),1,0)</f>
        <v>0</v>
      </c>
      <c r="U3779">
        <f>IF(AND(NOT(ISBLANK(ReconciliationData[[#This Row],[last_return_date]])),ReconciliationData[[#This Row],[last_return_date]]&gt;ReconciliationData[[#This Row],[Order_Date]]+60),1,0)</f>
        <v>0</v>
      </c>
      <c r="V3779">
        <f>IF(ReconciliationData[[#This Row],[total_returned_units]]&gt;ReconciliationData[[#This Row],[ordered_units]],1,0)</f>
        <v>0</v>
      </c>
      <c r="W37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79">
        <f>ReconciliationData[[#This Row],[Billed_Units]]*ReconciliationData[[#This Row],[Billed_Price]]</f>
        <v>37166.079999999994</v>
      </c>
      <c r="Y3779">
        <f>ReconciliationData[[#This Row],[ordered_units]]*ReconciliationData[[#This Row],[List_Price]]</f>
        <v>28421.119999999995</v>
      </c>
      <c r="Z3779">
        <f>ReconciliationData[[#This Row],[billed_revenue]]-ReconciliationData[[#This Row],[expected_revenue]]</f>
        <v>8744.9599999999991</v>
      </c>
      <c r="AA37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779" t="str">
        <f>IF(ReconciliationData[[#This Row],[severity_score]]=0,"LOW",
 IF(ReconciliationData[[#This Row],[severity_score]]&lt;=5,"MEDIUM","HIGH"))</f>
        <v>HIGH</v>
      </c>
      <c r="AC3779" t="str">
        <f>TEXT(ReconciliationData[[#This Row],[Order_Date]],"YYYY-MM")</f>
        <v>2024-12</v>
      </c>
    </row>
    <row r="3780" spans="1:29">
      <c r="A3780" t="s">
        <v>8781</v>
      </c>
      <c r="B3780" s="1">
        <v>45167</v>
      </c>
      <c r="C3780" t="s">
        <v>3293</v>
      </c>
      <c r="D3780" t="s">
        <v>1845</v>
      </c>
      <c r="E3780">
        <v>11</v>
      </c>
      <c r="F3780" t="s">
        <v>8782</v>
      </c>
      <c r="G3780">
        <v>11</v>
      </c>
      <c r="H3780">
        <v>833.13300000000004</v>
      </c>
      <c r="N3780">
        <v>833.13300000000004</v>
      </c>
      <c r="O3780" s="1">
        <v>44920</v>
      </c>
      <c r="P3780">
        <f>IF(ISBLANK(ReconciliationData[[#This Row],[Invoice_ID]]),1,0)</f>
        <v>0</v>
      </c>
      <c r="Q3780">
        <f>IF(AND(NOT(ISBLANK(ReconciliationData[[#This Row],[Billed_Units]])),ReconciliationData[[#This Row],[ordered_units]]&lt;&gt;ReconciliationData[[#This Row],[Billed_Units]]),1,0)</f>
        <v>0</v>
      </c>
      <c r="R37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0">
        <f>IF(AND(NOT(ISBLANK(ReconciliationData[[#This Row],[Contract_Price]])),ReconciliationData[[#This Row],[Billed_Price]]&lt;&gt;ReconciliationData[[#This Row],[Contract_Price]]),1,0)</f>
        <v>0</v>
      </c>
      <c r="T3780">
        <f>IF(AND(NOT(ISBLANK(ReconciliationData[[#This Row],[End_Date]])),ReconciliationData[[#This Row],[Order_Date]]&gt;ReconciliationData[[#This Row],[End_Date]]),1,0)</f>
        <v>0</v>
      </c>
      <c r="U3780">
        <f>IF(AND(NOT(ISBLANK(ReconciliationData[[#This Row],[last_return_date]])),ReconciliationData[[#This Row],[last_return_date]]&gt;ReconciliationData[[#This Row],[Order_Date]]+60),1,0)</f>
        <v>0</v>
      </c>
      <c r="V3780">
        <f>IF(ReconciliationData[[#This Row],[total_returned_units]]&gt;ReconciliationData[[#This Row],[ordered_units]],1,0)</f>
        <v>0</v>
      </c>
      <c r="W37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80">
        <f>ReconciliationData[[#This Row],[Billed_Units]]*ReconciliationData[[#This Row],[Billed_Price]]</f>
        <v>9164.4629999999997</v>
      </c>
      <c r="Y3780">
        <f>ReconciliationData[[#This Row],[ordered_units]]*ReconciliationData[[#This Row],[List_Price]]</f>
        <v>9164.4629999999997</v>
      </c>
      <c r="Z3780">
        <f>ReconciliationData[[#This Row],[billed_revenue]]-ReconciliationData[[#This Row],[expected_revenue]]</f>
        <v>0</v>
      </c>
      <c r="AA37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80" t="str">
        <f>IF(ReconciliationData[[#This Row],[severity_score]]=0,"LOW",
 IF(ReconciliationData[[#This Row],[severity_score]]&lt;=5,"MEDIUM","HIGH"))</f>
        <v>LOW</v>
      </c>
      <c r="AC3780" t="str">
        <f>TEXT(ReconciliationData[[#This Row],[Order_Date]],"YYYY-MM")</f>
        <v>2023-08</v>
      </c>
    </row>
    <row r="3781" spans="1:29">
      <c r="A3781" t="s">
        <v>8783</v>
      </c>
      <c r="B3781" s="1">
        <v>45274</v>
      </c>
      <c r="C3781" t="s">
        <v>6054</v>
      </c>
      <c r="D3781" t="s">
        <v>768</v>
      </c>
      <c r="E3781">
        <v>35</v>
      </c>
      <c r="F3781" t="s">
        <v>8784</v>
      </c>
      <c r="G3781">
        <v>35</v>
      </c>
      <c r="H3781">
        <v>410.02</v>
      </c>
      <c r="N3781">
        <v>410.02</v>
      </c>
      <c r="O3781" s="1">
        <v>45017</v>
      </c>
      <c r="P3781">
        <f>IF(ISBLANK(ReconciliationData[[#This Row],[Invoice_ID]]),1,0)</f>
        <v>0</v>
      </c>
      <c r="Q3781">
        <f>IF(AND(NOT(ISBLANK(ReconciliationData[[#This Row],[Billed_Units]])),ReconciliationData[[#This Row],[ordered_units]]&lt;&gt;ReconciliationData[[#This Row],[Billed_Units]]),1,0)</f>
        <v>0</v>
      </c>
      <c r="R37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1">
        <f>IF(AND(NOT(ISBLANK(ReconciliationData[[#This Row],[Contract_Price]])),ReconciliationData[[#This Row],[Billed_Price]]&lt;&gt;ReconciliationData[[#This Row],[Contract_Price]]),1,0)</f>
        <v>0</v>
      </c>
      <c r="T3781">
        <f>IF(AND(NOT(ISBLANK(ReconciliationData[[#This Row],[End_Date]])),ReconciliationData[[#This Row],[Order_Date]]&gt;ReconciliationData[[#This Row],[End_Date]]),1,0)</f>
        <v>0</v>
      </c>
      <c r="U3781">
        <f>IF(AND(NOT(ISBLANK(ReconciliationData[[#This Row],[last_return_date]])),ReconciliationData[[#This Row],[last_return_date]]&gt;ReconciliationData[[#This Row],[Order_Date]]+60),1,0)</f>
        <v>0</v>
      </c>
      <c r="V3781">
        <f>IF(ReconciliationData[[#This Row],[total_returned_units]]&gt;ReconciliationData[[#This Row],[ordered_units]],1,0)</f>
        <v>0</v>
      </c>
      <c r="W37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81">
        <f>ReconciliationData[[#This Row],[Billed_Units]]*ReconciliationData[[#This Row],[Billed_Price]]</f>
        <v>14350.699999999999</v>
      </c>
      <c r="Y3781">
        <f>ReconciliationData[[#This Row],[ordered_units]]*ReconciliationData[[#This Row],[List_Price]]</f>
        <v>14350.699999999999</v>
      </c>
      <c r="Z3781">
        <f>ReconciliationData[[#This Row],[billed_revenue]]-ReconciliationData[[#This Row],[expected_revenue]]</f>
        <v>0</v>
      </c>
      <c r="AA37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81" t="str">
        <f>IF(ReconciliationData[[#This Row],[severity_score]]=0,"LOW",
 IF(ReconciliationData[[#This Row],[severity_score]]&lt;=5,"MEDIUM","HIGH"))</f>
        <v>LOW</v>
      </c>
      <c r="AC3781" t="str">
        <f>TEXT(ReconciliationData[[#This Row],[Order_Date]],"YYYY-MM")</f>
        <v>2023-12</v>
      </c>
    </row>
    <row r="3782" spans="1:29">
      <c r="A3782" t="s">
        <v>8785</v>
      </c>
      <c r="B3782" s="1">
        <v>45604</v>
      </c>
      <c r="C3782" t="s">
        <v>2723</v>
      </c>
      <c r="D3782" t="s">
        <v>658</v>
      </c>
      <c r="E3782">
        <v>165</v>
      </c>
      <c r="F3782" t="s">
        <v>8786</v>
      </c>
      <c r="G3782">
        <v>161</v>
      </c>
      <c r="H3782">
        <v>88.578000000000003</v>
      </c>
      <c r="N3782">
        <v>88.578000000000003</v>
      </c>
      <c r="O3782" s="1">
        <v>45107</v>
      </c>
      <c r="P3782">
        <f>IF(ISBLANK(ReconciliationData[[#This Row],[Invoice_ID]]),1,0)</f>
        <v>0</v>
      </c>
      <c r="Q3782">
        <f>IF(AND(NOT(ISBLANK(ReconciliationData[[#This Row],[Billed_Units]])),ReconciliationData[[#This Row],[ordered_units]]&lt;&gt;ReconciliationData[[#This Row],[Billed_Units]]),1,0)</f>
        <v>1</v>
      </c>
      <c r="R37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2">
        <f>IF(AND(NOT(ISBLANK(ReconciliationData[[#This Row],[Contract_Price]])),ReconciliationData[[#This Row],[Billed_Price]]&lt;&gt;ReconciliationData[[#This Row],[Contract_Price]]),1,0)</f>
        <v>0</v>
      </c>
      <c r="T3782">
        <f>IF(AND(NOT(ISBLANK(ReconciliationData[[#This Row],[End_Date]])),ReconciliationData[[#This Row],[Order_Date]]&gt;ReconciliationData[[#This Row],[End_Date]]),1,0)</f>
        <v>0</v>
      </c>
      <c r="U3782">
        <f>IF(AND(NOT(ISBLANK(ReconciliationData[[#This Row],[last_return_date]])),ReconciliationData[[#This Row],[last_return_date]]&gt;ReconciliationData[[#This Row],[Order_Date]]+60),1,0)</f>
        <v>0</v>
      </c>
      <c r="V3782">
        <f>IF(ReconciliationData[[#This Row],[total_returned_units]]&gt;ReconciliationData[[#This Row],[ordered_units]],1,0)</f>
        <v>0</v>
      </c>
      <c r="W37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82">
        <f>ReconciliationData[[#This Row],[Billed_Units]]*ReconciliationData[[#This Row],[Billed_Price]]</f>
        <v>14261.058000000001</v>
      </c>
      <c r="Y3782">
        <f>ReconciliationData[[#This Row],[ordered_units]]*ReconciliationData[[#This Row],[List_Price]]</f>
        <v>14615.37</v>
      </c>
      <c r="Z3782">
        <f>ReconciliationData[[#This Row],[billed_revenue]]-ReconciliationData[[#This Row],[expected_revenue]]</f>
        <v>-354.3119999999999</v>
      </c>
      <c r="AA37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782" t="str">
        <f>IF(ReconciliationData[[#This Row],[severity_score]]=0,"LOW",
 IF(ReconciliationData[[#This Row],[severity_score]]&lt;=5,"MEDIUM","HIGH"))</f>
        <v>MEDIUM</v>
      </c>
      <c r="AC3782" t="str">
        <f>TEXT(ReconciliationData[[#This Row],[Order_Date]],"YYYY-MM")</f>
        <v>2024-11</v>
      </c>
    </row>
    <row r="3783" spans="1:29">
      <c r="A3783" t="s">
        <v>8787</v>
      </c>
      <c r="B3783" s="1">
        <v>45613</v>
      </c>
      <c r="C3783" t="s">
        <v>4231</v>
      </c>
      <c r="D3783" t="s">
        <v>1088</v>
      </c>
      <c r="E3783">
        <v>128</v>
      </c>
      <c r="F3783" t="s">
        <v>8788</v>
      </c>
      <c r="G3783">
        <v>128</v>
      </c>
      <c r="H3783">
        <v>72.63</v>
      </c>
      <c r="N3783">
        <v>72.63</v>
      </c>
      <c r="O3783" s="1">
        <v>44956</v>
      </c>
      <c r="P3783">
        <f>IF(ISBLANK(ReconciliationData[[#This Row],[Invoice_ID]]),1,0)</f>
        <v>0</v>
      </c>
      <c r="Q3783">
        <f>IF(AND(NOT(ISBLANK(ReconciliationData[[#This Row],[Billed_Units]])),ReconciliationData[[#This Row],[ordered_units]]&lt;&gt;ReconciliationData[[#This Row],[Billed_Units]]),1,0)</f>
        <v>0</v>
      </c>
      <c r="R37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3">
        <f>IF(AND(NOT(ISBLANK(ReconciliationData[[#This Row],[Contract_Price]])),ReconciliationData[[#This Row],[Billed_Price]]&lt;&gt;ReconciliationData[[#This Row],[Contract_Price]]),1,0)</f>
        <v>0</v>
      </c>
      <c r="T3783">
        <f>IF(AND(NOT(ISBLANK(ReconciliationData[[#This Row],[End_Date]])),ReconciliationData[[#This Row],[Order_Date]]&gt;ReconciliationData[[#This Row],[End_Date]]),1,0)</f>
        <v>0</v>
      </c>
      <c r="U3783">
        <f>IF(AND(NOT(ISBLANK(ReconciliationData[[#This Row],[last_return_date]])),ReconciliationData[[#This Row],[last_return_date]]&gt;ReconciliationData[[#This Row],[Order_Date]]+60),1,0)</f>
        <v>0</v>
      </c>
      <c r="V3783">
        <f>IF(ReconciliationData[[#This Row],[total_returned_units]]&gt;ReconciliationData[[#This Row],[ordered_units]],1,0)</f>
        <v>0</v>
      </c>
      <c r="W37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83">
        <f>ReconciliationData[[#This Row],[Billed_Units]]*ReconciliationData[[#This Row],[Billed_Price]]</f>
        <v>9296.64</v>
      </c>
      <c r="Y3783">
        <f>ReconciliationData[[#This Row],[ordered_units]]*ReconciliationData[[#This Row],[List_Price]]</f>
        <v>9296.64</v>
      </c>
      <c r="Z3783">
        <f>ReconciliationData[[#This Row],[billed_revenue]]-ReconciliationData[[#This Row],[expected_revenue]]</f>
        <v>0</v>
      </c>
      <c r="AA37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83" t="str">
        <f>IF(ReconciliationData[[#This Row],[severity_score]]=0,"LOW",
 IF(ReconciliationData[[#This Row],[severity_score]]&lt;=5,"MEDIUM","HIGH"))</f>
        <v>LOW</v>
      </c>
      <c r="AC3783" t="str">
        <f>TEXT(ReconciliationData[[#This Row],[Order_Date]],"YYYY-MM")</f>
        <v>2024-11</v>
      </c>
    </row>
    <row r="3784" spans="1:29">
      <c r="A3784" t="s">
        <v>8789</v>
      </c>
      <c r="B3784" s="1">
        <v>45223</v>
      </c>
      <c r="C3784" t="s">
        <v>1202</v>
      </c>
      <c r="D3784" t="s">
        <v>1754</v>
      </c>
      <c r="E3784">
        <v>133</v>
      </c>
      <c r="F3784" t="s">
        <v>8790</v>
      </c>
      <c r="G3784">
        <v>133</v>
      </c>
      <c r="H3784">
        <v>1072.2954</v>
      </c>
      <c r="N3784">
        <v>1072.2954</v>
      </c>
      <c r="O3784" s="1">
        <v>45120</v>
      </c>
      <c r="P3784">
        <f>IF(ISBLANK(ReconciliationData[[#This Row],[Invoice_ID]]),1,0)</f>
        <v>0</v>
      </c>
      <c r="Q3784">
        <f>IF(AND(NOT(ISBLANK(ReconciliationData[[#This Row],[Billed_Units]])),ReconciliationData[[#This Row],[ordered_units]]&lt;&gt;ReconciliationData[[#This Row],[Billed_Units]]),1,0)</f>
        <v>0</v>
      </c>
      <c r="R37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4">
        <f>IF(AND(NOT(ISBLANK(ReconciliationData[[#This Row],[Contract_Price]])),ReconciliationData[[#This Row],[Billed_Price]]&lt;&gt;ReconciliationData[[#This Row],[Contract_Price]]),1,0)</f>
        <v>0</v>
      </c>
      <c r="T3784">
        <f>IF(AND(NOT(ISBLANK(ReconciliationData[[#This Row],[End_Date]])),ReconciliationData[[#This Row],[Order_Date]]&gt;ReconciliationData[[#This Row],[End_Date]]),1,0)</f>
        <v>0</v>
      </c>
      <c r="U3784">
        <f>IF(AND(NOT(ISBLANK(ReconciliationData[[#This Row],[last_return_date]])),ReconciliationData[[#This Row],[last_return_date]]&gt;ReconciliationData[[#This Row],[Order_Date]]+60),1,0)</f>
        <v>0</v>
      </c>
      <c r="V3784">
        <f>IF(ReconciliationData[[#This Row],[total_returned_units]]&gt;ReconciliationData[[#This Row],[ordered_units]],1,0)</f>
        <v>0</v>
      </c>
      <c r="W37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84">
        <f>ReconciliationData[[#This Row],[Billed_Units]]*ReconciliationData[[#This Row],[Billed_Price]]</f>
        <v>142615.28820000001</v>
      </c>
      <c r="Y3784">
        <f>ReconciliationData[[#This Row],[ordered_units]]*ReconciliationData[[#This Row],[List_Price]]</f>
        <v>142615.28820000001</v>
      </c>
      <c r="Z3784">
        <f>ReconciliationData[[#This Row],[billed_revenue]]-ReconciliationData[[#This Row],[expected_revenue]]</f>
        <v>0</v>
      </c>
      <c r="AA37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84" t="str">
        <f>IF(ReconciliationData[[#This Row],[severity_score]]=0,"LOW",
 IF(ReconciliationData[[#This Row],[severity_score]]&lt;=5,"MEDIUM","HIGH"))</f>
        <v>LOW</v>
      </c>
      <c r="AC3784" t="str">
        <f>TEXT(ReconciliationData[[#This Row],[Order_Date]],"YYYY-MM")</f>
        <v>2023-10</v>
      </c>
    </row>
    <row r="3785" spans="1:29">
      <c r="A3785" t="s">
        <v>8791</v>
      </c>
      <c r="B3785" s="1">
        <v>45217</v>
      </c>
      <c r="C3785" t="s">
        <v>1158</v>
      </c>
      <c r="D3785" t="s">
        <v>573</v>
      </c>
      <c r="E3785">
        <v>3</v>
      </c>
      <c r="F3785" t="s">
        <v>8792</v>
      </c>
      <c r="G3785">
        <v>3</v>
      </c>
      <c r="H3785">
        <v>1223.9694</v>
      </c>
      <c r="I3785">
        <v>20</v>
      </c>
      <c r="J3785" s="1">
        <v>45369</v>
      </c>
      <c r="N3785">
        <v>1223.9694</v>
      </c>
      <c r="O3785" s="1">
        <v>45154</v>
      </c>
      <c r="P3785">
        <f>IF(ISBLANK(ReconciliationData[[#This Row],[Invoice_ID]]),1,0)</f>
        <v>0</v>
      </c>
      <c r="Q3785">
        <f>IF(AND(NOT(ISBLANK(ReconciliationData[[#This Row],[Billed_Units]])),ReconciliationData[[#This Row],[ordered_units]]&lt;&gt;ReconciliationData[[#This Row],[Billed_Units]]),1,0)</f>
        <v>0</v>
      </c>
      <c r="R37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5">
        <f>IF(AND(NOT(ISBLANK(ReconciliationData[[#This Row],[Contract_Price]])),ReconciliationData[[#This Row],[Billed_Price]]&lt;&gt;ReconciliationData[[#This Row],[Contract_Price]]),1,0)</f>
        <v>0</v>
      </c>
      <c r="T3785">
        <f>IF(AND(NOT(ISBLANK(ReconciliationData[[#This Row],[End_Date]])),ReconciliationData[[#This Row],[Order_Date]]&gt;ReconciliationData[[#This Row],[End_Date]]),1,0)</f>
        <v>0</v>
      </c>
      <c r="U3785">
        <f>IF(AND(NOT(ISBLANK(ReconciliationData[[#This Row],[last_return_date]])),ReconciliationData[[#This Row],[last_return_date]]&gt;ReconciliationData[[#This Row],[Order_Date]]+60),1,0)</f>
        <v>1</v>
      </c>
      <c r="V3785">
        <f>IF(ReconciliationData[[#This Row],[total_returned_units]]&gt;ReconciliationData[[#This Row],[ordered_units]],1,0)</f>
        <v>1</v>
      </c>
      <c r="W37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85">
        <f>ReconciliationData[[#This Row],[Billed_Units]]*ReconciliationData[[#This Row],[Billed_Price]]</f>
        <v>3671.9081999999999</v>
      </c>
      <c r="Y3785">
        <f>ReconciliationData[[#This Row],[ordered_units]]*ReconciliationData[[#This Row],[List_Price]]</f>
        <v>3671.9081999999999</v>
      </c>
      <c r="Z3785">
        <f>ReconciliationData[[#This Row],[billed_revenue]]-ReconciliationData[[#This Row],[expected_revenue]]</f>
        <v>0</v>
      </c>
      <c r="AA37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5</v>
      </c>
      <c r="AB3785" t="str">
        <f>IF(ReconciliationData[[#This Row],[severity_score]]=0,"LOW",
 IF(ReconciliationData[[#This Row],[severity_score]]&lt;=5,"MEDIUM","HIGH"))</f>
        <v>MEDIUM</v>
      </c>
      <c r="AC3785" t="str">
        <f>TEXT(ReconciliationData[[#This Row],[Order_Date]],"YYYY-MM")</f>
        <v>2023-10</v>
      </c>
    </row>
    <row r="3786" spans="1:29">
      <c r="A3786" t="s">
        <v>8793</v>
      </c>
      <c r="B3786" s="1">
        <v>45144</v>
      </c>
      <c r="C3786" t="s">
        <v>2668</v>
      </c>
      <c r="D3786" t="s">
        <v>873</v>
      </c>
      <c r="E3786">
        <v>113</v>
      </c>
      <c r="F3786" t="s">
        <v>8794</v>
      </c>
      <c r="G3786">
        <v>122</v>
      </c>
      <c r="H3786">
        <v>1035.2895000000001</v>
      </c>
      <c r="N3786">
        <v>1035.2895000000001</v>
      </c>
      <c r="O3786" s="1">
        <v>44804</v>
      </c>
      <c r="P3786">
        <f>IF(ISBLANK(ReconciliationData[[#This Row],[Invoice_ID]]),1,0)</f>
        <v>0</v>
      </c>
      <c r="Q3786">
        <f>IF(AND(NOT(ISBLANK(ReconciliationData[[#This Row],[Billed_Units]])),ReconciliationData[[#This Row],[ordered_units]]&lt;&gt;ReconciliationData[[#This Row],[Billed_Units]]),1,0)</f>
        <v>1</v>
      </c>
      <c r="R37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6">
        <f>IF(AND(NOT(ISBLANK(ReconciliationData[[#This Row],[Contract_Price]])),ReconciliationData[[#This Row],[Billed_Price]]&lt;&gt;ReconciliationData[[#This Row],[Contract_Price]]),1,0)</f>
        <v>0</v>
      </c>
      <c r="T3786">
        <f>IF(AND(NOT(ISBLANK(ReconciliationData[[#This Row],[End_Date]])),ReconciliationData[[#This Row],[Order_Date]]&gt;ReconciliationData[[#This Row],[End_Date]]),1,0)</f>
        <v>0</v>
      </c>
      <c r="U3786">
        <f>IF(AND(NOT(ISBLANK(ReconciliationData[[#This Row],[last_return_date]])),ReconciliationData[[#This Row],[last_return_date]]&gt;ReconciliationData[[#This Row],[Order_Date]]+60),1,0)</f>
        <v>0</v>
      </c>
      <c r="V3786">
        <f>IF(ReconciliationData[[#This Row],[total_returned_units]]&gt;ReconciliationData[[#This Row],[ordered_units]],1,0)</f>
        <v>0</v>
      </c>
      <c r="W37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86">
        <f>ReconciliationData[[#This Row],[Billed_Units]]*ReconciliationData[[#This Row],[Billed_Price]]</f>
        <v>126305.31900000002</v>
      </c>
      <c r="Y3786">
        <f>ReconciliationData[[#This Row],[ordered_units]]*ReconciliationData[[#This Row],[List_Price]]</f>
        <v>116987.71350000001</v>
      </c>
      <c r="Z3786">
        <f>ReconciliationData[[#This Row],[billed_revenue]]-ReconciliationData[[#This Row],[expected_revenue]]</f>
        <v>9317.6055000000051</v>
      </c>
      <c r="AA37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786" t="str">
        <f>IF(ReconciliationData[[#This Row],[severity_score]]=0,"LOW",
 IF(ReconciliationData[[#This Row],[severity_score]]&lt;=5,"MEDIUM","HIGH"))</f>
        <v>HIGH</v>
      </c>
      <c r="AC3786" t="str">
        <f>TEXT(ReconciliationData[[#This Row],[Order_Date]],"YYYY-MM")</f>
        <v>2023-08</v>
      </c>
    </row>
    <row r="3787" spans="1:29">
      <c r="A3787" t="s">
        <v>8795</v>
      </c>
      <c r="B3787" s="1">
        <v>45414</v>
      </c>
      <c r="C3787" t="s">
        <v>1321</v>
      </c>
      <c r="D3787" t="s">
        <v>202</v>
      </c>
      <c r="E3787">
        <v>11</v>
      </c>
      <c r="F3787" t="s">
        <v>8796</v>
      </c>
      <c r="G3787">
        <v>11</v>
      </c>
      <c r="H3787">
        <v>761.50400000000002</v>
      </c>
      <c r="N3787">
        <v>761.50400000000002</v>
      </c>
      <c r="O3787" s="1">
        <v>45161</v>
      </c>
      <c r="P3787">
        <f>IF(ISBLANK(ReconciliationData[[#This Row],[Invoice_ID]]),1,0)</f>
        <v>0</v>
      </c>
      <c r="Q3787">
        <f>IF(AND(NOT(ISBLANK(ReconciliationData[[#This Row],[Billed_Units]])),ReconciliationData[[#This Row],[ordered_units]]&lt;&gt;ReconciliationData[[#This Row],[Billed_Units]]),1,0)</f>
        <v>0</v>
      </c>
      <c r="R37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7">
        <f>IF(AND(NOT(ISBLANK(ReconciliationData[[#This Row],[Contract_Price]])),ReconciliationData[[#This Row],[Billed_Price]]&lt;&gt;ReconciliationData[[#This Row],[Contract_Price]]),1,0)</f>
        <v>0</v>
      </c>
      <c r="T3787">
        <f>IF(AND(NOT(ISBLANK(ReconciliationData[[#This Row],[End_Date]])),ReconciliationData[[#This Row],[Order_Date]]&gt;ReconciliationData[[#This Row],[End_Date]]),1,0)</f>
        <v>0</v>
      </c>
      <c r="U3787">
        <f>IF(AND(NOT(ISBLANK(ReconciliationData[[#This Row],[last_return_date]])),ReconciliationData[[#This Row],[last_return_date]]&gt;ReconciliationData[[#This Row],[Order_Date]]+60),1,0)</f>
        <v>0</v>
      </c>
      <c r="V3787">
        <f>IF(ReconciliationData[[#This Row],[total_returned_units]]&gt;ReconciliationData[[#This Row],[ordered_units]],1,0)</f>
        <v>0</v>
      </c>
      <c r="W37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87">
        <f>ReconciliationData[[#This Row],[Billed_Units]]*ReconciliationData[[#This Row],[Billed_Price]]</f>
        <v>8376.5439999999999</v>
      </c>
      <c r="Y3787">
        <f>ReconciliationData[[#This Row],[ordered_units]]*ReconciliationData[[#This Row],[List_Price]]</f>
        <v>8376.5439999999999</v>
      </c>
      <c r="Z3787">
        <f>ReconciliationData[[#This Row],[billed_revenue]]-ReconciliationData[[#This Row],[expected_revenue]]</f>
        <v>0</v>
      </c>
      <c r="AA37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87" t="str">
        <f>IF(ReconciliationData[[#This Row],[severity_score]]=0,"LOW",
 IF(ReconciliationData[[#This Row],[severity_score]]&lt;=5,"MEDIUM","HIGH"))</f>
        <v>LOW</v>
      </c>
      <c r="AC3787" t="str">
        <f>TEXT(ReconciliationData[[#This Row],[Order_Date]],"YYYY-MM")</f>
        <v>2024-05</v>
      </c>
    </row>
    <row r="3788" spans="1:29">
      <c r="A3788" t="s">
        <v>8797</v>
      </c>
      <c r="B3788" s="1">
        <v>45567</v>
      </c>
      <c r="C3788" t="s">
        <v>3900</v>
      </c>
      <c r="D3788" t="s">
        <v>1735</v>
      </c>
      <c r="E3788">
        <v>33</v>
      </c>
      <c r="F3788" t="s">
        <v>8798</v>
      </c>
      <c r="G3788">
        <v>33</v>
      </c>
      <c r="H3788">
        <v>191.1936</v>
      </c>
      <c r="N3788">
        <v>191.1936</v>
      </c>
      <c r="O3788" s="1">
        <v>45026</v>
      </c>
      <c r="P3788">
        <f>IF(ISBLANK(ReconciliationData[[#This Row],[Invoice_ID]]),1,0)</f>
        <v>0</v>
      </c>
      <c r="Q3788">
        <f>IF(AND(NOT(ISBLANK(ReconciliationData[[#This Row],[Billed_Units]])),ReconciliationData[[#This Row],[ordered_units]]&lt;&gt;ReconciliationData[[#This Row],[Billed_Units]]),1,0)</f>
        <v>0</v>
      </c>
      <c r="R37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8">
        <f>IF(AND(NOT(ISBLANK(ReconciliationData[[#This Row],[Contract_Price]])),ReconciliationData[[#This Row],[Billed_Price]]&lt;&gt;ReconciliationData[[#This Row],[Contract_Price]]),1,0)</f>
        <v>0</v>
      </c>
      <c r="T3788">
        <f>IF(AND(NOT(ISBLANK(ReconciliationData[[#This Row],[End_Date]])),ReconciliationData[[#This Row],[Order_Date]]&gt;ReconciliationData[[#This Row],[End_Date]]),1,0)</f>
        <v>0</v>
      </c>
      <c r="U3788">
        <f>IF(AND(NOT(ISBLANK(ReconciliationData[[#This Row],[last_return_date]])),ReconciliationData[[#This Row],[last_return_date]]&gt;ReconciliationData[[#This Row],[Order_Date]]+60),1,0)</f>
        <v>0</v>
      </c>
      <c r="V3788">
        <f>IF(ReconciliationData[[#This Row],[total_returned_units]]&gt;ReconciliationData[[#This Row],[ordered_units]],1,0)</f>
        <v>0</v>
      </c>
      <c r="W37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88">
        <f>ReconciliationData[[#This Row],[Billed_Units]]*ReconciliationData[[#This Row],[Billed_Price]]</f>
        <v>6309.3887999999997</v>
      </c>
      <c r="Y3788">
        <f>ReconciliationData[[#This Row],[ordered_units]]*ReconciliationData[[#This Row],[List_Price]]</f>
        <v>6309.3887999999997</v>
      </c>
      <c r="Z3788">
        <f>ReconciliationData[[#This Row],[billed_revenue]]-ReconciliationData[[#This Row],[expected_revenue]]</f>
        <v>0</v>
      </c>
      <c r="AA37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88" t="str">
        <f>IF(ReconciliationData[[#This Row],[severity_score]]=0,"LOW",
 IF(ReconciliationData[[#This Row],[severity_score]]&lt;=5,"MEDIUM","HIGH"))</f>
        <v>LOW</v>
      </c>
      <c r="AC3788" t="str">
        <f>TEXT(ReconciliationData[[#This Row],[Order_Date]],"YYYY-MM")</f>
        <v>2024-10</v>
      </c>
    </row>
    <row r="3789" spans="1:29">
      <c r="A3789" t="s">
        <v>8799</v>
      </c>
      <c r="B3789" s="1">
        <v>45002</v>
      </c>
      <c r="C3789" t="s">
        <v>1505</v>
      </c>
      <c r="D3789" t="s">
        <v>1845</v>
      </c>
      <c r="E3789">
        <v>68</v>
      </c>
      <c r="F3789" t="s">
        <v>8800</v>
      </c>
      <c r="G3789">
        <v>67</v>
      </c>
      <c r="H3789">
        <v>833.13300000000004</v>
      </c>
      <c r="N3789">
        <v>833.13300000000004</v>
      </c>
      <c r="O3789" s="1">
        <v>44920</v>
      </c>
      <c r="P3789">
        <f>IF(ISBLANK(ReconciliationData[[#This Row],[Invoice_ID]]),1,0)</f>
        <v>0</v>
      </c>
      <c r="Q3789">
        <f>IF(AND(NOT(ISBLANK(ReconciliationData[[#This Row],[Billed_Units]])),ReconciliationData[[#This Row],[ordered_units]]&lt;&gt;ReconciliationData[[#This Row],[Billed_Units]]),1,0)</f>
        <v>1</v>
      </c>
      <c r="R37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89">
        <f>IF(AND(NOT(ISBLANK(ReconciliationData[[#This Row],[Contract_Price]])),ReconciliationData[[#This Row],[Billed_Price]]&lt;&gt;ReconciliationData[[#This Row],[Contract_Price]]),1,0)</f>
        <v>0</v>
      </c>
      <c r="T3789">
        <f>IF(AND(NOT(ISBLANK(ReconciliationData[[#This Row],[End_Date]])),ReconciliationData[[#This Row],[Order_Date]]&gt;ReconciliationData[[#This Row],[End_Date]]),1,0)</f>
        <v>0</v>
      </c>
      <c r="U3789">
        <f>IF(AND(NOT(ISBLANK(ReconciliationData[[#This Row],[last_return_date]])),ReconciliationData[[#This Row],[last_return_date]]&gt;ReconciliationData[[#This Row],[Order_Date]]+60),1,0)</f>
        <v>0</v>
      </c>
      <c r="V3789">
        <f>IF(ReconciliationData[[#This Row],[total_returned_units]]&gt;ReconciliationData[[#This Row],[ordered_units]],1,0)</f>
        <v>0</v>
      </c>
      <c r="W37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89">
        <f>ReconciliationData[[#This Row],[Billed_Units]]*ReconciliationData[[#This Row],[Billed_Price]]</f>
        <v>55819.911</v>
      </c>
      <c r="Y3789">
        <f>ReconciliationData[[#This Row],[ordered_units]]*ReconciliationData[[#This Row],[List_Price]]</f>
        <v>56653.044000000002</v>
      </c>
      <c r="Z3789">
        <f>ReconciliationData[[#This Row],[billed_revenue]]-ReconciliationData[[#This Row],[expected_revenue]]</f>
        <v>-833.13300000000163</v>
      </c>
      <c r="AA37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789" t="str">
        <f>IF(ReconciliationData[[#This Row],[severity_score]]=0,"LOW",
 IF(ReconciliationData[[#This Row],[severity_score]]&lt;=5,"MEDIUM","HIGH"))</f>
        <v>HIGH</v>
      </c>
      <c r="AC3789" t="str">
        <f>TEXT(ReconciliationData[[#This Row],[Order_Date]],"YYYY-MM")</f>
        <v>2023-03</v>
      </c>
    </row>
    <row r="3790" spans="1:29">
      <c r="A3790" t="s">
        <v>8801</v>
      </c>
      <c r="B3790" s="1">
        <v>45464</v>
      </c>
      <c r="C3790" t="s">
        <v>2796</v>
      </c>
      <c r="D3790" t="s">
        <v>647</v>
      </c>
      <c r="E3790">
        <v>16</v>
      </c>
      <c r="F3790" t="s">
        <v>8802</v>
      </c>
      <c r="G3790">
        <v>16</v>
      </c>
      <c r="H3790">
        <v>279.42789999999997</v>
      </c>
      <c r="N3790">
        <v>279.42789999999997</v>
      </c>
      <c r="O3790" s="1">
        <v>45103</v>
      </c>
      <c r="P3790">
        <f>IF(ISBLANK(ReconciliationData[[#This Row],[Invoice_ID]]),1,0)</f>
        <v>0</v>
      </c>
      <c r="Q3790">
        <f>IF(AND(NOT(ISBLANK(ReconciliationData[[#This Row],[Billed_Units]])),ReconciliationData[[#This Row],[ordered_units]]&lt;&gt;ReconciliationData[[#This Row],[Billed_Units]]),1,0)</f>
        <v>0</v>
      </c>
      <c r="R37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0">
        <f>IF(AND(NOT(ISBLANK(ReconciliationData[[#This Row],[Contract_Price]])),ReconciliationData[[#This Row],[Billed_Price]]&lt;&gt;ReconciliationData[[#This Row],[Contract_Price]]),1,0)</f>
        <v>0</v>
      </c>
      <c r="T3790">
        <f>IF(AND(NOT(ISBLANK(ReconciliationData[[#This Row],[End_Date]])),ReconciliationData[[#This Row],[Order_Date]]&gt;ReconciliationData[[#This Row],[End_Date]]),1,0)</f>
        <v>0</v>
      </c>
      <c r="U3790">
        <f>IF(AND(NOT(ISBLANK(ReconciliationData[[#This Row],[last_return_date]])),ReconciliationData[[#This Row],[last_return_date]]&gt;ReconciliationData[[#This Row],[Order_Date]]+60),1,0)</f>
        <v>0</v>
      </c>
      <c r="V3790">
        <f>IF(ReconciliationData[[#This Row],[total_returned_units]]&gt;ReconciliationData[[#This Row],[ordered_units]],1,0)</f>
        <v>0</v>
      </c>
      <c r="W37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90">
        <f>ReconciliationData[[#This Row],[Billed_Units]]*ReconciliationData[[#This Row],[Billed_Price]]</f>
        <v>4470.8463999999994</v>
      </c>
      <c r="Y3790">
        <f>ReconciliationData[[#This Row],[ordered_units]]*ReconciliationData[[#This Row],[List_Price]]</f>
        <v>4470.8463999999994</v>
      </c>
      <c r="Z3790">
        <f>ReconciliationData[[#This Row],[billed_revenue]]-ReconciliationData[[#This Row],[expected_revenue]]</f>
        <v>0</v>
      </c>
      <c r="AA37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90" t="str">
        <f>IF(ReconciliationData[[#This Row],[severity_score]]=0,"LOW",
 IF(ReconciliationData[[#This Row],[severity_score]]&lt;=5,"MEDIUM","HIGH"))</f>
        <v>LOW</v>
      </c>
      <c r="AC3790" t="str">
        <f>TEXT(ReconciliationData[[#This Row],[Order_Date]],"YYYY-MM")</f>
        <v>2024-06</v>
      </c>
    </row>
    <row r="3791" spans="1:29">
      <c r="A3791" t="s">
        <v>8803</v>
      </c>
      <c r="B3791" s="1">
        <v>45356</v>
      </c>
      <c r="C3791" t="s">
        <v>1744</v>
      </c>
      <c r="D3791" t="s">
        <v>2353</v>
      </c>
      <c r="E3791">
        <v>119</v>
      </c>
      <c r="F3791" t="s">
        <v>8804</v>
      </c>
      <c r="G3791">
        <v>119</v>
      </c>
      <c r="H3791">
        <v>358.33919999999995</v>
      </c>
      <c r="N3791">
        <v>358.33919999999995</v>
      </c>
      <c r="O3791" s="1">
        <v>45108</v>
      </c>
      <c r="P3791">
        <f>IF(ISBLANK(ReconciliationData[[#This Row],[Invoice_ID]]),1,0)</f>
        <v>0</v>
      </c>
      <c r="Q3791">
        <f>IF(AND(NOT(ISBLANK(ReconciliationData[[#This Row],[Billed_Units]])),ReconciliationData[[#This Row],[ordered_units]]&lt;&gt;ReconciliationData[[#This Row],[Billed_Units]]),1,0)</f>
        <v>0</v>
      </c>
      <c r="R37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1">
        <f>IF(AND(NOT(ISBLANK(ReconciliationData[[#This Row],[Contract_Price]])),ReconciliationData[[#This Row],[Billed_Price]]&lt;&gt;ReconciliationData[[#This Row],[Contract_Price]]),1,0)</f>
        <v>0</v>
      </c>
      <c r="T3791">
        <f>IF(AND(NOT(ISBLANK(ReconciliationData[[#This Row],[End_Date]])),ReconciliationData[[#This Row],[Order_Date]]&gt;ReconciliationData[[#This Row],[End_Date]]),1,0)</f>
        <v>0</v>
      </c>
      <c r="U3791">
        <f>IF(AND(NOT(ISBLANK(ReconciliationData[[#This Row],[last_return_date]])),ReconciliationData[[#This Row],[last_return_date]]&gt;ReconciliationData[[#This Row],[Order_Date]]+60),1,0)</f>
        <v>0</v>
      </c>
      <c r="V3791">
        <f>IF(ReconciliationData[[#This Row],[total_returned_units]]&gt;ReconciliationData[[#This Row],[ordered_units]],1,0)</f>
        <v>0</v>
      </c>
      <c r="W37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91">
        <f>ReconciliationData[[#This Row],[Billed_Units]]*ReconciliationData[[#This Row],[Billed_Price]]</f>
        <v>42642.364799999996</v>
      </c>
      <c r="Y3791">
        <f>ReconciliationData[[#This Row],[ordered_units]]*ReconciliationData[[#This Row],[List_Price]]</f>
        <v>42642.364799999996</v>
      </c>
      <c r="Z3791">
        <f>ReconciliationData[[#This Row],[billed_revenue]]-ReconciliationData[[#This Row],[expected_revenue]]</f>
        <v>0</v>
      </c>
      <c r="AA37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91" t="str">
        <f>IF(ReconciliationData[[#This Row],[severity_score]]=0,"LOW",
 IF(ReconciliationData[[#This Row],[severity_score]]&lt;=5,"MEDIUM","HIGH"))</f>
        <v>LOW</v>
      </c>
      <c r="AC3791" t="str">
        <f>TEXT(ReconciliationData[[#This Row],[Order_Date]],"YYYY-MM")</f>
        <v>2024-03</v>
      </c>
    </row>
    <row r="3792" spans="1:29">
      <c r="A3792" t="s">
        <v>8805</v>
      </c>
      <c r="B3792" s="1">
        <v>45416</v>
      </c>
      <c r="C3792" t="s">
        <v>369</v>
      </c>
      <c r="D3792" t="s">
        <v>158</v>
      </c>
      <c r="E3792">
        <v>121</v>
      </c>
      <c r="F3792" t="s">
        <v>8806</v>
      </c>
      <c r="G3792">
        <v>121</v>
      </c>
      <c r="H3792">
        <v>700.93560000000002</v>
      </c>
      <c r="I3792">
        <v>3</v>
      </c>
      <c r="J3792" s="1">
        <v>45645</v>
      </c>
      <c r="N3792">
        <v>700.93560000000002</v>
      </c>
      <c r="O3792" s="1">
        <v>45077</v>
      </c>
      <c r="P3792">
        <f>IF(ISBLANK(ReconciliationData[[#This Row],[Invoice_ID]]),1,0)</f>
        <v>0</v>
      </c>
      <c r="Q3792">
        <f>IF(AND(NOT(ISBLANK(ReconciliationData[[#This Row],[Billed_Units]])),ReconciliationData[[#This Row],[ordered_units]]&lt;&gt;ReconciliationData[[#This Row],[Billed_Units]]),1,0)</f>
        <v>0</v>
      </c>
      <c r="R37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2">
        <f>IF(AND(NOT(ISBLANK(ReconciliationData[[#This Row],[Contract_Price]])),ReconciliationData[[#This Row],[Billed_Price]]&lt;&gt;ReconciliationData[[#This Row],[Contract_Price]]),1,0)</f>
        <v>0</v>
      </c>
      <c r="T3792">
        <f>IF(AND(NOT(ISBLANK(ReconciliationData[[#This Row],[End_Date]])),ReconciliationData[[#This Row],[Order_Date]]&gt;ReconciliationData[[#This Row],[End_Date]]),1,0)</f>
        <v>0</v>
      </c>
      <c r="U3792">
        <f>IF(AND(NOT(ISBLANK(ReconciliationData[[#This Row],[last_return_date]])),ReconciliationData[[#This Row],[last_return_date]]&gt;ReconciliationData[[#This Row],[Order_Date]]+60),1,0)</f>
        <v>1</v>
      </c>
      <c r="V3792">
        <f>IF(ReconciliationData[[#This Row],[total_returned_units]]&gt;ReconciliationData[[#This Row],[ordered_units]],1,0)</f>
        <v>0</v>
      </c>
      <c r="W37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792">
        <f>ReconciliationData[[#This Row],[Billed_Units]]*ReconciliationData[[#This Row],[Billed_Price]]</f>
        <v>84813.207600000009</v>
      </c>
      <c r="Y3792">
        <f>ReconciliationData[[#This Row],[ordered_units]]*ReconciliationData[[#This Row],[List_Price]]</f>
        <v>84813.207600000009</v>
      </c>
      <c r="Z3792">
        <f>ReconciliationData[[#This Row],[billed_revenue]]-ReconciliationData[[#This Row],[expected_revenue]]</f>
        <v>0</v>
      </c>
      <c r="AA37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792" t="str">
        <f>IF(ReconciliationData[[#This Row],[severity_score]]=0,"LOW",
 IF(ReconciliationData[[#This Row],[severity_score]]&lt;=5,"MEDIUM","HIGH"))</f>
        <v>MEDIUM</v>
      </c>
      <c r="AC3792" t="str">
        <f>TEXT(ReconciliationData[[#This Row],[Order_Date]],"YYYY-MM")</f>
        <v>2024-05</v>
      </c>
    </row>
    <row r="3793" spans="1:29">
      <c r="A3793" t="s">
        <v>8807</v>
      </c>
      <c r="B3793" s="1">
        <v>45454</v>
      </c>
      <c r="C3793" t="s">
        <v>961</v>
      </c>
      <c r="D3793" t="s">
        <v>1994</v>
      </c>
      <c r="E3793">
        <v>94</v>
      </c>
      <c r="F3793" t="s">
        <v>8808</v>
      </c>
      <c r="G3793">
        <v>94</v>
      </c>
      <c r="H3793">
        <v>296.17460000000005</v>
      </c>
      <c r="N3793">
        <v>296.17460000000005</v>
      </c>
      <c r="O3793" s="1">
        <v>45194</v>
      </c>
      <c r="P3793">
        <f>IF(ISBLANK(ReconciliationData[[#This Row],[Invoice_ID]]),1,0)</f>
        <v>0</v>
      </c>
      <c r="Q3793">
        <f>IF(AND(NOT(ISBLANK(ReconciliationData[[#This Row],[Billed_Units]])),ReconciliationData[[#This Row],[ordered_units]]&lt;&gt;ReconciliationData[[#This Row],[Billed_Units]]),1,0)</f>
        <v>0</v>
      </c>
      <c r="R37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3">
        <f>IF(AND(NOT(ISBLANK(ReconciliationData[[#This Row],[Contract_Price]])),ReconciliationData[[#This Row],[Billed_Price]]&lt;&gt;ReconciliationData[[#This Row],[Contract_Price]]),1,0)</f>
        <v>0</v>
      </c>
      <c r="T3793">
        <f>IF(AND(NOT(ISBLANK(ReconciliationData[[#This Row],[End_Date]])),ReconciliationData[[#This Row],[Order_Date]]&gt;ReconciliationData[[#This Row],[End_Date]]),1,0)</f>
        <v>0</v>
      </c>
      <c r="U3793">
        <f>IF(AND(NOT(ISBLANK(ReconciliationData[[#This Row],[last_return_date]])),ReconciliationData[[#This Row],[last_return_date]]&gt;ReconciliationData[[#This Row],[Order_Date]]+60),1,0)</f>
        <v>0</v>
      </c>
      <c r="V3793">
        <f>IF(ReconciliationData[[#This Row],[total_returned_units]]&gt;ReconciliationData[[#This Row],[ordered_units]],1,0)</f>
        <v>0</v>
      </c>
      <c r="W37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93">
        <f>ReconciliationData[[#This Row],[Billed_Units]]*ReconciliationData[[#This Row],[Billed_Price]]</f>
        <v>27840.412400000005</v>
      </c>
      <c r="Y3793">
        <f>ReconciliationData[[#This Row],[ordered_units]]*ReconciliationData[[#This Row],[List_Price]]</f>
        <v>27840.412400000005</v>
      </c>
      <c r="Z3793">
        <f>ReconciliationData[[#This Row],[billed_revenue]]-ReconciliationData[[#This Row],[expected_revenue]]</f>
        <v>0</v>
      </c>
      <c r="AA37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93" t="str">
        <f>IF(ReconciliationData[[#This Row],[severity_score]]=0,"LOW",
 IF(ReconciliationData[[#This Row],[severity_score]]&lt;=5,"MEDIUM","HIGH"))</f>
        <v>LOW</v>
      </c>
      <c r="AC3793" t="str">
        <f>TEXT(ReconciliationData[[#This Row],[Order_Date]],"YYYY-MM")</f>
        <v>2024-06</v>
      </c>
    </row>
    <row r="3794" spans="1:29">
      <c r="A3794" t="s">
        <v>8809</v>
      </c>
      <c r="B3794" s="1">
        <v>44989</v>
      </c>
      <c r="C3794" t="s">
        <v>7163</v>
      </c>
      <c r="D3794" t="s">
        <v>287</v>
      </c>
      <c r="E3794">
        <v>49</v>
      </c>
      <c r="F3794" t="s">
        <v>8810</v>
      </c>
      <c r="G3794">
        <v>49</v>
      </c>
      <c r="H3794">
        <v>670.72</v>
      </c>
      <c r="N3794">
        <v>670.72</v>
      </c>
      <c r="O3794" s="1">
        <v>44606</v>
      </c>
      <c r="P3794">
        <f>IF(ISBLANK(ReconciliationData[[#This Row],[Invoice_ID]]),1,0)</f>
        <v>0</v>
      </c>
      <c r="Q3794">
        <f>IF(AND(NOT(ISBLANK(ReconciliationData[[#This Row],[Billed_Units]])),ReconciliationData[[#This Row],[ordered_units]]&lt;&gt;ReconciliationData[[#This Row],[Billed_Units]]),1,0)</f>
        <v>0</v>
      </c>
      <c r="R37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4">
        <f>IF(AND(NOT(ISBLANK(ReconciliationData[[#This Row],[Contract_Price]])),ReconciliationData[[#This Row],[Billed_Price]]&lt;&gt;ReconciliationData[[#This Row],[Contract_Price]]),1,0)</f>
        <v>0</v>
      </c>
      <c r="T3794">
        <f>IF(AND(NOT(ISBLANK(ReconciliationData[[#This Row],[End_Date]])),ReconciliationData[[#This Row],[Order_Date]]&gt;ReconciliationData[[#This Row],[End_Date]]),1,0)</f>
        <v>0</v>
      </c>
      <c r="U3794">
        <f>IF(AND(NOT(ISBLANK(ReconciliationData[[#This Row],[last_return_date]])),ReconciliationData[[#This Row],[last_return_date]]&gt;ReconciliationData[[#This Row],[Order_Date]]+60),1,0)</f>
        <v>0</v>
      </c>
      <c r="V3794">
        <f>IF(ReconciliationData[[#This Row],[total_returned_units]]&gt;ReconciliationData[[#This Row],[ordered_units]],1,0)</f>
        <v>0</v>
      </c>
      <c r="W37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94">
        <f>ReconciliationData[[#This Row],[Billed_Units]]*ReconciliationData[[#This Row],[Billed_Price]]</f>
        <v>32865.279999999999</v>
      </c>
      <c r="Y3794">
        <f>ReconciliationData[[#This Row],[ordered_units]]*ReconciliationData[[#This Row],[List_Price]]</f>
        <v>32865.279999999999</v>
      </c>
      <c r="Z3794">
        <f>ReconciliationData[[#This Row],[billed_revenue]]-ReconciliationData[[#This Row],[expected_revenue]]</f>
        <v>0</v>
      </c>
      <c r="AA37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94" t="str">
        <f>IF(ReconciliationData[[#This Row],[severity_score]]=0,"LOW",
 IF(ReconciliationData[[#This Row],[severity_score]]&lt;=5,"MEDIUM","HIGH"))</f>
        <v>LOW</v>
      </c>
      <c r="AC3794" t="str">
        <f>TEXT(ReconciliationData[[#This Row],[Order_Date]],"YYYY-MM")</f>
        <v>2023-03</v>
      </c>
    </row>
    <row r="3795" spans="1:29">
      <c r="A3795" t="s">
        <v>8811</v>
      </c>
      <c r="B3795" s="1">
        <v>45359</v>
      </c>
      <c r="C3795" t="s">
        <v>1801</v>
      </c>
      <c r="D3795" t="s">
        <v>3954</v>
      </c>
      <c r="E3795">
        <v>52</v>
      </c>
      <c r="F3795" t="s">
        <v>8812</v>
      </c>
      <c r="G3795">
        <v>52</v>
      </c>
      <c r="H3795">
        <v>275.19450000000001</v>
      </c>
      <c r="N3795">
        <v>275.19450000000001</v>
      </c>
      <c r="O3795" s="1">
        <v>45218</v>
      </c>
      <c r="P3795">
        <f>IF(ISBLANK(ReconciliationData[[#This Row],[Invoice_ID]]),1,0)</f>
        <v>0</v>
      </c>
      <c r="Q3795">
        <f>IF(AND(NOT(ISBLANK(ReconciliationData[[#This Row],[Billed_Units]])),ReconciliationData[[#This Row],[ordered_units]]&lt;&gt;ReconciliationData[[#This Row],[Billed_Units]]),1,0)</f>
        <v>0</v>
      </c>
      <c r="R37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5">
        <f>IF(AND(NOT(ISBLANK(ReconciliationData[[#This Row],[Contract_Price]])),ReconciliationData[[#This Row],[Billed_Price]]&lt;&gt;ReconciliationData[[#This Row],[Contract_Price]]),1,0)</f>
        <v>0</v>
      </c>
      <c r="T3795">
        <f>IF(AND(NOT(ISBLANK(ReconciliationData[[#This Row],[End_Date]])),ReconciliationData[[#This Row],[Order_Date]]&gt;ReconciliationData[[#This Row],[End_Date]]),1,0)</f>
        <v>0</v>
      </c>
      <c r="U3795">
        <f>IF(AND(NOT(ISBLANK(ReconciliationData[[#This Row],[last_return_date]])),ReconciliationData[[#This Row],[last_return_date]]&gt;ReconciliationData[[#This Row],[Order_Date]]+60),1,0)</f>
        <v>0</v>
      </c>
      <c r="V3795">
        <f>IF(ReconciliationData[[#This Row],[total_returned_units]]&gt;ReconciliationData[[#This Row],[ordered_units]],1,0)</f>
        <v>0</v>
      </c>
      <c r="W37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95">
        <f>ReconciliationData[[#This Row],[Billed_Units]]*ReconciliationData[[#This Row],[Billed_Price]]</f>
        <v>14310.114</v>
      </c>
      <c r="Y3795">
        <f>ReconciliationData[[#This Row],[ordered_units]]*ReconciliationData[[#This Row],[List_Price]]</f>
        <v>14310.114</v>
      </c>
      <c r="Z3795">
        <f>ReconciliationData[[#This Row],[billed_revenue]]-ReconciliationData[[#This Row],[expected_revenue]]</f>
        <v>0</v>
      </c>
      <c r="AA37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95" t="str">
        <f>IF(ReconciliationData[[#This Row],[severity_score]]=0,"LOW",
 IF(ReconciliationData[[#This Row],[severity_score]]&lt;=5,"MEDIUM","HIGH"))</f>
        <v>LOW</v>
      </c>
      <c r="AC3795" t="str">
        <f>TEXT(ReconciliationData[[#This Row],[Order_Date]],"YYYY-MM")</f>
        <v>2024-03</v>
      </c>
    </row>
    <row r="3796" spans="1:29">
      <c r="A3796" t="s">
        <v>8813</v>
      </c>
      <c r="B3796" s="1">
        <v>45431</v>
      </c>
      <c r="C3796" t="s">
        <v>1741</v>
      </c>
      <c r="D3796" t="s">
        <v>1315</v>
      </c>
      <c r="E3796">
        <v>99</v>
      </c>
      <c r="F3796" t="s">
        <v>8814</v>
      </c>
      <c r="G3796">
        <v>99</v>
      </c>
      <c r="H3796">
        <v>334.24649999999997</v>
      </c>
      <c r="N3796">
        <v>334.24649999999997</v>
      </c>
      <c r="O3796" s="1">
        <v>45125</v>
      </c>
      <c r="P3796">
        <f>IF(ISBLANK(ReconciliationData[[#This Row],[Invoice_ID]]),1,0)</f>
        <v>0</v>
      </c>
      <c r="Q3796">
        <f>IF(AND(NOT(ISBLANK(ReconciliationData[[#This Row],[Billed_Units]])),ReconciliationData[[#This Row],[ordered_units]]&lt;&gt;ReconciliationData[[#This Row],[Billed_Units]]),1,0)</f>
        <v>0</v>
      </c>
      <c r="R37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6">
        <f>IF(AND(NOT(ISBLANK(ReconciliationData[[#This Row],[Contract_Price]])),ReconciliationData[[#This Row],[Billed_Price]]&lt;&gt;ReconciliationData[[#This Row],[Contract_Price]]),1,0)</f>
        <v>0</v>
      </c>
      <c r="T3796">
        <f>IF(AND(NOT(ISBLANK(ReconciliationData[[#This Row],[End_Date]])),ReconciliationData[[#This Row],[Order_Date]]&gt;ReconciliationData[[#This Row],[End_Date]]),1,0)</f>
        <v>0</v>
      </c>
      <c r="U3796">
        <f>IF(AND(NOT(ISBLANK(ReconciliationData[[#This Row],[last_return_date]])),ReconciliationData[[#This Row],[last_return_date]]&gt;ReconciliationData[[#This Row],[Order_Date]]+60),1,0)</f>
        <v>0</v>
      </c>
      <c r="V3796">
        <f>IF(ReconciliationData[[#This Row],[total_returned_units]]&gt;ReconciliationData[[#This Row],[ordered_units]],1,0)</f>
        <v>0</v>
      </c>
      <c r="W37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96">
        <f>ReconciliationData[[#This Row],[Billed_Units]]*ReconciliationData[[#This Row],[Billed_Price]]</f>
        <v>33090.4035</v>
      </c>
      <c r="Y3796">
        <f>ReconciliationData[[#This Row],[ordered_units]]*ReconciliationData[[#This Row],[List_Price]]</f>
        <v>33090.4035</v>
      </c>
      <c r="Z3796">
        <f>ReconciliationData[[#This Row],[billed_revenue]]-ReconciliationData[[#This Row],[expected_revenue]]</f>
        <v>0</v>
      </c>
      <c r="AA37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96" t="str">
        <f>IF(ReconciliationData[[#This Row],[severity_score]]=0,"LOW",
 IF(ReconciliationData[[#This Row],[severity_score]]&lt;=5,"MEDIUM","HIGH"))</f>
        <v>LOW</v>
      </c>
      <c r="AC3796" t="str">
        <f>TEXT(ReconciliationData[[#This Row],[Order_Date]],"YYYY-MM")</f>
        <v>2024-05</v>
      </c>
    </row>
    <row r="3797" spans="1:29">
      <c r="A3797" t="s">
        <v>8815</v>
      </c>
      <c r="B3797" s="1">
        <v>45071</v>
      </c>
      <c r="C3797" t="s">
        <v>1361</v>
      </c>
      <c r="D3797" t="s">
        <v>912</v>
      </c>
      <c r="E3797">
        <v>185</v>
      </c>
      <c r="F3797" t="s">
        <v>8816</v>
      </c>
      <c r="G3797">
        <v>185</v>
      </c>
      <c r="H3797">
        <v>376.38049999999998</v>
      </c>
      <c r="N3797">
        <v>376.38049999999998</v>
      </c>
      <c r="O3797" s="1">
        <v>44984</v>
      </c>
      <c r="P3797">
        <f>IF(ISBLANK(ReconciliationData[[#This Row],[Invoice_ID]]),1,0)</f>
        <v>0</v>
      </c>
      <c r="Q3797">
        <f>IF(AND(NOT(ISBLANK(ReconciliationData[[#This Row],[Billed_Units]])),ReconciliationData[[#This Row],[ordered_units]]&lt;&gt;ReconciliationData[[#This Row],[Billed_Units]]),1,0)</f>
        <v>0</v>
      </c>
      <c r="R37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7">
        <f>IF(AND(NOT(ISBLANK(ReconciliationData[[#This Row],[Contract_Price]])),ReconciliationData[[#This Row],[Billed_Price]]&lt;&gt;ReconciliationData[[#This Row],[Contract_Price]]),1,0)</f>
        <v>0</v>
      </c>
      <c r="T3797">
        <f>IF(AND(NOT(ISBLANK(ReconciliationData[[#This Row],[End_Date]])),ReconciliationData[[#This Row],[Order_Date]]&gt;ReconciliationData[[#This Row],[End_Date]]),1,0)</f>
        <v>0</v>
      </c>
      <c r="U3797">
        <f>IF(AND(NOT(ISBLANK(ReconciliationData[[#This Row],[last_return_date]])),ReconciliationData[[#This Row],[last_return_date]]&gt;ReconciliationData[[#This Row],[Order_Date]]+60),1,0)</f>
        <v>0</v>
      </c>
      <c r="V3797">
        <f>IF(ReconciliationData[[#This Row],[total_returned_units]]&gt;ReconciliationData[[#This Row],[ordered_units]],1,0)</f>
        <v>0</v>
      </c>
      <c r="W37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97">
        <f>ReconciliationData[[#This Row],[Billed_Units]]*ReconciliationData[[#This Row],[Billed_Price]]</f>
        <v>69630.392500000002</v>
      </c>
      <c r="Y3797">
        <f>ReconciliationData[[#This Row],[ordered_units]]*ReconciliationData[[#This Row],[List_Price]]</f>
        <v>69630.392500000002</v>
      </c>
      <c r="Z3797">
        <f>ReconciliationData[[#This Row],[billed_revenue]]-ReconciliationData[[#This Row],[expected_revenue]]</f>
        <v>0</v>
      </c>
      <c r="AA37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97" t="str">
        <f>IF(ReconciliationData[[#This Row],[severity_score]]=0,"LOW",
 IF(ReconciliationData[[#This Row],[severity_score]]&lt;=5,"MEDIUM","HIGH"))</f>
        <v>LOW</v>
      </c>
      <c r="AC3797" t="str">
        <f>TEXT(ReconciliationData[[#This Row],[Order_Date]],"YYYY-MM")</f>
        <v>2023-05</v>
      </c>
    </row>
    <row r="3798" spans="1:29">
      <c r="A3798" t="s">
        <v>8817</v>
      </c>
      <c r="B3798" s="1">
        <v>45127</v>
      </c>
      <c r="C3798" t="s">
        <v>4117</v>
      </c>
      <c r="D3798" t="s">
        <v>789</v>
      </c>
      <c r="E3798">
        <v>162</v>
      </c>
      <c r="F3798" t="s">
        <v>8818</v>
      </c>
      <c r="G3798">
        <v>162</v>
      </c>
      <c r="H3798">
        <v>1026.4637</v>
      </c>
      <c r="N3798">
        <v>1026.4637</v>
      </c>
      <c r="O3798" s="1">
        <v>44967</v>
      </c>
      <c r="P3798">
        <f>IF(ISBLANK(ReconciliationData[[#This Row],[Invoice_ID]]),1,0)</f>
        <v>0</v>
      </c>
      <c r="Q3798">
        <f>IF(AND(NOT(ISBLANK(ReconciliationData[[#This Row],[Billed_Units]])),ReconciliationData[[#This Row],[ordered_units]]&lt;&gt;ReconciliationData[[#This Row],[Billed_Units]]),1,0)</f>
        <v>0</v>
      </c>
      <c r="R37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8">
        <f>IF(AND(NOT(ISBLANK(ReconciliationData[[#This Row],[Contract_Price]])),ReconciliationData[[#This Row],[Billed_Price]]&lt;&gt;ReconciliationData[[#This Row],[Contract_Price]]),1,0)</f>
        <v>0</v>
      </c>
      <c r="T3798">
        <f>IF(AND(NOT(ISBLANK(ReconciliationData[[#This Row],[End_Date]])),ReconciliationData[[#This Row],[Order_Date]]&gt;ReconciliationData[[#This Row],[End_Date]]),1,0)</f>
        <v>0</v>
      </c>
      <c r="U3798">
        <f>IF(AND(NOT(ISBLANK(ReconciliationData[[#This Row],[last_return_date]])),ReconciliationData[[#This Row],[last_return_date]]&gt;ReconciliationData[[#This Row],[Order_Date]]+60),1,0)</f>
        <v>0</v>
      </c>
      <c r="V3798">
        <f>IF(ReconciliationData[[#This Row],[total_returned_units]]&gt;ReconciliationData[[#This Row],[ordered_units]],1,0)</f>
        <v>0</v>
      </c>
      <c r="W37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98">
        <f>ReconciliationData[[#This Row],[Billed_Units]]*ReconciliationData[[#This Row],[Billed_Price]]</f>
        <v>166287.1194</v>
      </c>
      <c r="Y3798">
        <f>ReconciliationData[[#This Row],[ordered_units]]*ReconciliationData[[#This Row],[List_Price]]</f>
        <v>166287.1194</v>
      </c>
      <c r="Z3798">
        <f>ReconciliationData[[#This Row],[billed_revenue]]-ReconciliationData[[#This Row],[expected_revenue]]</f>
        <v>0</v>
      </c>
      <c r="AA37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98" t="str">
        <f>IF(ReconciliationData[[#This Row],[severity_score]]=0,"LOW",
 IF(ReconciliationData[[#This Row],[severity_score]]&lt;=5,"MEDIUM","HIGH"))</f>
        <v>LOW</v>
      </c>
      <c r="AC3798" t="str">
        <f>TEXT(ReconciliationData[[#This Row],[Order_Date]],"YYYY-MM")</f>
        <v>2023-07</v>
      </c>
    </row>
    <row r="3799" spans="1:29">
      <c r="A3799" t="s">
        <v>8819</v>
      </c>
      <c r="B3799" s="1">
        <v>45586</v>
      </c>
      <c r="C3799" t="s">
        <v>3553</v>
      </c>
      <c r="D3799" t="s">
        <v>2583</v>
      </c>
      <c r="E3799">
        <v>19</v>
      </c>
      <c r="F3799" t="s">
        <v>8820</v>
      </c>
      <c r="G3799">
        <v>19</v>
      </c>
      <c r="H3799">
        <v>511.96</v>
      </c>
      <c r="N3799">
        <v>511.96</v>
      </c>
      <c r="O3799" s="1">
        <v>45058</v>
      </c>
      <c r="P3799">
        <f>IF(ISBLANK(ReconciliationData[[#This Row],[Invoice_ID]]),1,0)</f>
        <v>0</v>
      </c>
      <c r="Q3799">
        <f>IF(AND(NOT(ISBLANK(ReconciliationData[[#This Row],[Billed_Units]])),ReconciliationData[[#This Row],[ordered_units]]&lt;&gt;ReconciliationData[[#This Row],[Billed_Units]]),1,0)</f>
        <v>0</v>
      </c>
      <c r="R37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799">
        <f>IF(AND(NOT(ISBLANK(ReconciliationData[[#This Row],[Contract_Price]])),ReconciliationData[[#This Row],[Billed_Price]]&lt;&gt;ReconciliationData[[#This Row],[Contract_Price]]),1,0)</f>
        <v>0</v>
      </c>
      <c r="T3799">
        <f>IF(AND(NOT(ISBLANK(ReconciliationData[[#This Row],[End_Date]])),ReconciliationData[[#This Row],[Order_Date]]&gt;ReconciliationData[[#This Row],[End_Date]]),1,0)</f>
        <v>0</v>
      </c>
      <c r="U3799">
        <f>IF(AND(NOT(ISBLANK(ReconciliationData[[#This Row],[last_return_date]])),ReconciliationData[[#This Row],[last_return_date]]&gt;ReconciliationData[[#This Row],[Order_Date]]+60),1,0)</f>
        <v>0</v>
      </c>
      <c r="V3799">
        <f>IF(ReconciliationData[[#This Row],[total_returned_units]]&gt;ReconciliationData[[#This Row],[ordered_units]],1,0)</f>
        <v>0</v>
      </c>
      <c r="W37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799">
        <f>ReconciliationData[[#This Row],[Billed_Units]]*ReconciliationData[[#This Row],[Billed_Price]]</f>
        <v>9727.24</v>
      </c>
      <c r="Y3799">
        <f>ReconciliationData[[#This Row],[ordered_units]]*ReconciliationData[[#This Row],[List_Price]]</f>
        <v>9727.24</v>
      </c>
      <c r="Z3799">
        <f>ReconciliationData[[#This Row],[billed_revenue]]-ReconciliationData[[#This Row],[expected_revenue]]</f>
        <v>0</v>
      </c>
      <c r="AA37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799" t="str">
        <f>IF(ReconciliationData[[#This Row],[severity_score]]=0,"LOW",
 IF(ReconciliationData[[#This Row],[severity_score]]&lt;=5,"MEDIUM","HIGH"))</f>
        <v>LOW</v>
      </c>
      <c r="AC3799" t="str">
        <f>TEXT(ReconciliationData[[#This Row],[Order_Date]],"YYYY-MM")</f>
        <v>2024-10</v>
      </c>
    </row>
    <row r="3800" spans="1:29">
      <c r="A3800" t="s">
        <v>8821</v>
      </c>
      <c r="B3800" s="1">
        <v>45007</v>
      </c>
      <c r="C3800" t="s">
        <v>2611</v>
      </c>
      <c r="D3800" t="s">
        <v>1706</v>
      </c>
      <c r="E3800">
        <v>176</v>
      </c>
      <c r="F3800" t="s">
        <v>8822</v>
      </c>
      <c r="G3800">
        <v>176</v>
      </c>
      <c r="H3800">
        <v>854.74350000000004</v>
      </c>
      <c r="N3800">
        <v>854.74350000000004</v>
      </c>
      <c r="O3800" s="1">
        <v>44984</v>
      </c>
      <c r="P3800">
        <f>IF(ISBLANK(ReconciliationData[[#This Row],[Invoice_ID]]),1,0)</f>
        <v>0</v>
      </c>
      <c r="Q3800">
        <f>IF(AND(NOT(ISBLANK(ReconciliationData[[#This Row],[Billed_Units]])),ReconciliationData[[#This Row],[ordered_units]]&lt;&gt;ReconciliationData[[#This Row],[Billed_Units]]),1,0)</f>
        <v>0</v>
      </c>
      <c r="R38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00">
        <f>IF(AND(NOT(ISBLANK(ReconciliationData[[#This Row],[Contract_Price]])),ReconciliationData[[#This Row],[Billed_Price]]&lt;&gt;ReconciliationData[[#This Row],[Contract_Price]]),1,0)</f>
        <v>0</v>
      </c>
      <c r="T3800">
        <f>IF(AND(NOT(ISBLANK(ReconciliationData[[#This Row],[End_Date]])),ReconciliationData[[#This Row],[Order_Date]]&gt;ReconciliationData[[#This Row],[End_Date]]),1,0)</f>
        <v>0</v>
      </c>
      <c r="U3800">
        <f>IF(AND(NOT(ISBLANK(ReconciliationData[[#This Row],[last_return_date]])),ReconciliationData[[#This Row],[last_return_date]]&gt;ReconciliationData[[#This Row],[Order_Date]]+60),1,0)</f>
        <v>0</v>
      </c>
      <c r="V3800">
        <f>IF(ReconciliationData[[#This Row],[total_returned_units]]&gt;ReconciliationData[[#This Row],[ordered_units]],1,0)</f>
        <v>0</v>
      </c>
      <c r="W38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00">
        <f>ReconciliationData[[#This Row],[Billed_Units]]*ReconciliationData[[#This Row],[Billed_Price]]</f>
        <v>150434.856</v>
      </c>
      <c r="Y3800">
        <f>ReconciliationData[[#This Row],[ordered_units]]*ReconciliationData[[#This Row],[List_Price]]</f>
        <v>150434.856</v>
      </c>
      <c r="Z3800">
        <f>ReconciliationData[[#This Row],[billed_revenue]]-ReconciliationData[[#This Row],[expected_revenue]]</f>
        <v>0</v>
      </c>
      <c r="AA38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00" t="str">
        <f>IF(ReconciliationData[[#This Row],[severity_score]]=0,"LOW",
 IF(ReconciliationData[[#This Row],[severity_score]]&lt;=5,"MEDIUM","HIGH"))</f>
        <v>LOW</v>
      </c>
      <c r="AC3800" t="str">
        <f>TEXT(ReconciliationData[[#This Row],[Order_Date]],"YYYY-MM")</f>
        <v>2023-03</v>
      </c>
    </row>
    <row r="3801" spans="1:29">
      <c r="A3801" t="s">
        <v>8823</v>
      </c>
      <c r="B3801" s="1">
        <v>45299</v>
      </c>
      <c r="C3801" t="s">
        <v>638</v>
      </c>
      <c r="D3801" t="s">
        <v>370</v>
      </c>
      <c r="E3801">
        <v>9</v>
      </c>
      <c r="F3801" t="s">
        <v>8824</v>
      </c>
      <c r="G3801">
        <v>8</v>
      </c>
      <c r="H3801">
        <v>639.91840000000002</v>
      </c>
      <c r="N3801">
        <v>639.91840000000002</v>
      </c>
      <c r="O3801" s="1">
        <v>44930</v>
      </c>
      <c r="P3801">
        <f>IF(ISBLANK(ReconciliationData[[#This Row],[Invoice_ID]]),1,0)</f>
        <v>0</v>
      </c>
      <c r="Q3801">
        <f>IF(AND(NOT(ISBLANK(ReconciliationData[[#This Row],[Billed_Units]])),ReconciliationData[[#This Row],[ordered_units]]&lt;&gt;ReconciliationData[[#This Row],[Billed_Units]]),1,0)</f>
        <v>1</v>
      </c>
      <c r="R38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01">
        <f>IF(AND(NOT(ISBLANK(ReconciliationData[[#This Row],[Contract_Price]])),ReconciliationData[[#This Row],[Billed_Price]]&lt;&gt;ReconciliationData[[#This Row],[Contract_Price]]),1,0)</f>
        <v>0</v>
      </c>
      <c r="T3801">
        <f>IF(AND(NOT(ISBLANK(ReconciliationData[[#This Row],[End_Date]])),ReconciliationData[[#This Row],[Order_Date]]&gt;ReconciliationData[[#This Row],[End_Date]]),1,0)</f>
        <v>0</v>
      </c>
      <c r="U3801">
        <f>IF(AND(NOT(ISBLANK(ReconciliationData[[#This Row],[last_return_date]])),ReconciliationData[[#This Row],[last_return_date]]&gt;ReconciliationData[[#This Row],[Order_Date]]+60),1,0)</f>
        <v>0</v>
      </c>
      <c r="V3801">
        <f>IF(ReconciliationData[[#This Row],[total_returned_units]]&gt;ReconciliationData[[#This Row],[ordered_units]],1,0)</f>
        <v>0</v>
      </c>
      <c r="W38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01">
        <f>ReconciliationData[[#This Row],[Billed_Units]]*ReconciliationData[[#This Row],[Billed_Price]]</f>
        <v>5119.3472000000002</v>
      </c>
      <c r="Y3801">
        <f>ReconciliationData[[#This Row],[ordered_units]]*ReconciliationData[[#This Row],[List_Price]]</f>
        <v>5759.2656000000006</v>
      </c>
      <c r="Z3801">
        <f>ReconciliationData[[#This Row],[billed_revenue]]-ReconciliationData[[#This Row],[expected_revenue]]</f>
        <v>-639.91840000000047</v>
      </c>
      <c r="AA38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801" t="str">
        <f>IF(ReconciliationData[[#This Row],[severity_score]]=0,"LOW",
 IF(ReconciliationData[[#This Row],[severity_score]]&lt;=5,"MEDIUM","HIGH"))</f>
        <v>HIGH</v>
      </c>
      <c r="AC3801" t="str">
        <f>TEXT(ReconciliationData[[#This Row],[Order_Date]],"YYYY-MM")</f>
        <v>2024-01</v>
      </c>
    </row>
    <row r="3802" spans="1:29">
      <c r="A3802" t="s">
        <v>8825</v>
      </c>
      <c r="B3802" s="1">
        <v>45105</v>
      </c>
      <c r="C3802" t="s">
        <v>3171</v>
      </c>
      <c r="D3802" t="s">
        <v>1802</v>
      </c>
      <c r="E3802">
        <v>52</v>
      </c>
      <c r="F3802" t="s">
        <v>8826</v>
      </c>
      <c r="G3802">
        <v>52</v>
      </c>
      <c r="H3802">
        <v>648.86940000000004</v>
      </c>
      <c r="N3802">
        <v>648.86940000000004</v>
      </c>
      <c r="O3802" s="1">
        <v>45064</v>
      </c>
      <c r="P3802">
        <f>IF(ISBLANK(ReconciliationData[[#This Row],[Invoice_ID]]),1,0)</f>
        <v>0</v>
      </c>
      <c r="Q3802">
        <f>IF(AND(NOT(ISBLANK(ReconciliationData[[#This Row],[Billed_Units]])),ReconciliationData[[#This Row],[ordered_units]]&lt;&gt;ReconciliationData[[#This Row],[Billed_Units]]),1,0)</f>
        <v>0</v>
      </c>
      <c r="R38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02">
        <f>IF(AND(NOT(ISBLANK(ReconciliationData[[#This Row],[Contract_Price]])),ReconciliationData[[#This Row],[Billed_Price]]&lt;&gt;ReconciliationData[[#This Row],[Contract_Price]]),1,0)</f>
        <v>0</v>
      </c>
      <c r="T3802">
        <f>IF(AND(NOT(ISBLANK(ReconciliationData[[#This Row],[End_Date]])),ReconciliationData[[#This Row],[Order_Date]]&gt;ReconciliationData[[#This Row],[End_Date]]),1,0)</f>
        <v>0</v>
      </c>
      <c r="U3802">
        <f>IF(AND(NOT(ISBLANK(ReconciliationData[[#This Row],[last_return_date]])),ReconciliationData[[#This Row],[last_return_date]]&gt;ReconciliationData[[#This Row],[Order_Date]]+60),1,0)</f>
        <v>0</v>
      </c>
      <c r="V3802">
        <f>IF(ReconciliationData[[#This Row],[total_returned_units]]&gt;ReconciliationData[[#This Row],[ordered_units]],1,0)</f>
        <v>0</v>
      </c>
      <c r="W38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02">
        <f>ReconciliationData[[#This Row],[Billed_Units]]*ReconciliationData[[#This Row],[Billed_Price]]</f>
        <v>33741.2088</v>
      </c>
      <c r="Y3802">
        <f>ReconciliationData[[#This Row],[ordered_units]]*ReconciliationData[[#This Row],[List_Price]]</f>
        <v>33741.2088</v>
      </c>
      <c r="Z3802">
        <f>ReconciliationData[[#This Row],[billed_revenue]]-ReconciliationData[[#This Row],[expected_revenue]]</f>
        <v>0</v>
      </c>
      <c r="AA38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02" t="str">
        <f>IF(ReconciliationData[[#This Row],[severity_score]]=0,"LOW",
 IF(ReconciliationData[[#This Row],[severity_score]]&lt;=5,"MEDIUM","HIGH"))</f>
        <v>LOW</v>
      </c>
      <c r="AC3802" t="str">
        <f>TEXT(ReconciliationData[[#This Row],[Order_Date]],"YYYY-MM")</f>
        <v>2023-06</v>
      </c>
    </row>
    <row r="3803" spans="1:29">
      <c r="A3803" t="s">
        <v>8827</v>
      </c>
      <c r="B3803" s="1">
        <v>45088</v>
      </c>
      <c r="C3803" t="s">
        <v>673</v>
      </c>
      <c r="D3803" t="s">
        <v>1071</v>
      </c>
      <c r="E3803">
        <v>44</v>
      </c>
      <c r="F3803" t="s">
        <v>8828</v>
      </c>
      <c r="G3803">
        <v>44</v>
      </c>
      <c r="H3803">
        <v>335.39150000000001</v>
      </c>
      <c r="N3803">
        <v>335.39150000000001</v>
      </c>
      <c r="O3803" s="1">
        <v>44986</v>
      </c>
      <c r="P3803">
        <f>IF(ISBLANK(ReconciliationData[[#This Row],[Invoice_ID]]),1,0)</f>
        <v>0</v>
      </c>
      <c r="Q3803">
        <f>IF(AND(NOT(ISBLANK(ReconciliationData[[#This Row],[Billed_Units]])),ReconciliationData[[#This Row],[ordered_units]]&lt;&gt;ReconciliationData[[#This Row],[Billed_Units]]),1,0)</f>
        <v>0</v>
      </c>
      <c r="R38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03">
        <f>IF(AND(NOT(ISBLANK(ReconciliationData[[#This Row],[Contract_Price]])),ReconciliationData[[#This Row],[Billed_Price]]&lt;&gt;ReconciliationData[[#This Row],[Contract_Price]]),1,0)</f>
        <v>0</v>
      </c>
      <c r="T3803">
        <f>IF(AND(NOT(ISBLANK(ReconciliationData[[#This Row],[End_Date]])),ReconciliationData[[#This Row],[Order_Date]]&gt;ReconciliationData[[#This Row],[End_Date]]),1,0)</f>
        <v>0</v>
      </c>
      <c r="U3803">
        <f>IF(AND(NOT(ISBLANK(ReconciliationData[[#This Row],[last_return_date]])),ReconciliationData[[#This Row],[last_return_date]]&gt;ReconciliationData[[#This Row],[Order_Date]]+60),1,0)</f>
        <v>0</v>
      </c>
      <c r="V3803">
        <f>IF(ReconciliationData[[#This Row],[total_returned_units]]&gt;ReconciliationData[[#This Row],[ordered_units]],1,0)</f>
        <v>0</v>
      </c>
      <c r="W38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03">
        <f>ReconciliationData[[#This Row],[Billed_Units]]*ReconciliationData[[#This Row],[Billed_Price]]</f>
        <v>14757.226000000001</v>
      </c>
      <c r="Y3803">
        <f>ReconciliationData[[#This Row],[ordered_units]]*ReconciliationData[[#This Row],[List_Price]]</f>
        <v>14757.226000000001</v>
      </c>
      <c r="Z3803">
        <f>ReconciliationData[[#This Row],[billed_revenue]]-ReconciliationData[[#This Row],[expected_revenue]]</f>
        <v>0</v>
      </c>
      <c r="AA38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03" t="str">
        <f>IF(ReconciliationData[[#This Row],[severity_score]]=0,"LOW",
 IF(ReconciliationData[[#This Row],[severity_score]]&lt;=5,"MEDIUM","HIGH"))</f>
        <v>LOW</v>
      </c>
      <c r="AC3803" t="str">
        <f>TEXT(ReconciliationData[[#This Row],[Order_Date]],"YYYY-MM")</f>
        <v>2023-06</v>
      </c>
    </row>
    <row r="3804" spans="1:29">
      <c r="A3804" t="s">
        <v>8829</v>
      </c>
      <c r="B3804" s="1">
        <v>45365</v>
      </c>
      <c r="C3804" t="s">
        <v>3838</v>
      </c>
      <c r="D3804" t="s">
        <v>1057</v>
      </c>
      <c r="E3804">
        <v>189</v>
      </c>
      <c r="F3804" t="s">
        <v>8830</v>
      </c>
      <c r="G3804">
        <v>189</v>
      </c>
      <c r="H3804">
        <v>212.07900000000001</v>
      </c>
      <c r="N3804">
        <v>212.07900000000001</v>
      </c>
      <c r="O3804" s="1">
        <v>45057</v>
      </c>
      <c r="P3804">
        <f>IF(ISBLANK(ReconciliationData[[#This Row],[Invoice_ID]]),1,0)</f>
        <v>0</v>
      </c>
      <c r="Q3804">
        <f>IF(AND(NOT(ISBLANK(ReconciliationData[[#This Row],[Billed_Units]])),ReconciliationData[[#This Row],[ordered_units]]&lt;&gt;ReconciliationData[[#This Row],[Billed_Units]]),1,0)</f>
        <v>0</v>
      </c>
      <c r="R38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04">
        <f>IF(AND(NOT(ISBLANK(ReconciliationData[[#This Row],[Contract_Price]])),ReconciliationData[[#This Row],[Billed_Price]]&lt;&gt;ReconciliationData[[#This Row],[Contract_Price]]),1,0)</f>
        <v>0</v>
      </c>
      <c r="T3804">
        <f>IF(AND(NOT(ISBLANK(ReconciliationData[[#This Row],[End_Date]])),ReconciliationData[[#This Row],[Order_Date]]&gt;ReconciliationData[[#This Row],[End_Date]]),1,0)</f>
        <v>0</v>
      </c>
      <c r="U3804">
        <f>IF(AND(NOT(ISBLANK(ReconciliationData[[#This Row],[last_return_date]])),ReconciliationData[[#This Row],[last_return_date]]&gt;ReconciliationData[[#This Row],[Order_Date]]+60),1,0)</f>
        <v>0</v>
      </c>
      <c r="V3804">
        <f>IF(ReconciliationData[[#This Row],[total_returned_units]]&gt;ReconciliationData[[#This Row],[ordered_units]],1,0)</f>
        <v>0</v>
      </c>
      <c r="W38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04">
        <f>ReconciliationData[[#This Row],[Billed_Units]]*ReconciliationData[[#This Row],[Billed_Price]]</f>
        <v>40082.931000000004</v>
      </c>
      <c r="Y3804">
        <f>ReconciliationData[[#This Row],[ordered_units]]*ReconciliationData[[#This Row],[List_Price]]</f>
        <v>40082.931000000004</v>
      </c>
      <c r="Z3804">
        <f>ReconciliationData[[#This Row],[billed_revenue]]-ReconciliationData[[#This Row],[expected_revenue]]</f>
        <v>0</v>
      </c>
      <c r="AA38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04" t="str">
        <f>IF(ReconciliationData[[#This Row],[severity_score]]=0,"LOW",
 IF(ReconciliationData[[#This Row],[severity_score]]&lt;=5,"MEDIUM","HIGH"))</f>
        <v>LOW</v>
      </c>
      <c r="AC3804" t="str">
        <f>TEXT(ReconciliationData[[#This Row],[Order_Date]],"YYYY-MM")</f>
        <v>2024-03</v>
      </c>
    </row>
    <row r="3805" spans="1:29">
      <c r="A3805" t="s">
        <v>8831</v>
      </c>
      <c r="B3805" s="1">
        <v>45537</v>
      </c>
      <c r="C3805" t="s">
        <v>746</v>
      </c>
      <c r="D3805" t="s">
        <v>317</v>
      </c>
      <c r="E3805">
        <v>41</v>
      </c>
      <c r="F3805" t="s">
        <v>8832</v>
      </c>
      <c r="G3805">
        <v>41</v>
      </c>
      <c r="H3805">
        <v>1119.3012000000001</v>
      </c>
      <c r="N3805">
        <v>1119.3012000000001</v>
      </c>
      <c r="O3805" s="1">
        <v>45091</v>
      </c>
      <c r="P3805">
        <f>IF(ISBLANK(ReconciliationData[[#This Row],[Invoice_ID]]),1,0)</f>
        <v>0</v>
      </c>
      <c r="Q3805">
        <f>IF(AND(NOT(ISBLANK(ReconciliationData[[#This Row],[Billed_Units]])),ReconciliationData[[#This Row],[ordered_units]]&lt;&gt;ReconciliationData[[#This Row],[Billed_Units]]),1,0)</f>
        <v>0</v>
      </c>
      <c r="R38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05">
        <f>IF(AND(NOT(ISBLANK(ReconciliationData[[#This Row],[Contract_Price]])),ReconciliationData[[#This Row],[Billed_Price]]&lt;&gt;ReconciliationData[[#This Row],[Contract_Price]]),1,0)</f>
        <v>0</v>
      </c>
      <c r="T3805">
        <f>IF(AND(NOT(ISBLANK(ReconciliationData[[#This Row],[End_Date]])),ReconciliationData[[#This Row],[Order_Date]]&gt;ReconciliationData[[#This Row],[End_Date]]),1,0)</f>
        <v>0</v>
      </c>
      <c r="U3805">
        <f>IF(AND(NOT(ISBLANK(ReconciliationData[[#This Row],[last_return_date]])),ReconciliationData[[#This Row],[last_return_date]]&gt;ReconciliationData[[#This Row],[Order_Date]]+60),1,0)</f>
        <v>0</v>
      </c>
      <c r="V3805">
        <f>IF(ReconciliationData[[#This Row],[total_returned_units]]&gt;ReconciliationData[[#This Row],[ordered_units]],1,0)</f>
        <v>0</v>
      </c>
      <c r="W38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05">
        <f>ReconciliationData[[#This Row],[Billed_Units]]*ReconciliationData[[#This Row],[Billed_Price]]</f>
        <v>45891.349200000004</v>
      </c>
      <c r="Y3805">
        <f>ReconciliationData[[#This Row],[ordered_units]]*ReconciliationData[[#This Row],[List_Price]]</f>
        <v>45891.349200000004</v>
      </c>
      <c r="Z3805">
        <f>ReconciliationData[[#This Row],[billed_revenue]]-ReconciliationData[[#This Row],[expected_revenue]]</f>
        <v>0</v>
      </c>
      <c r="AA38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05" t="str">
        <f>IF(ReconciliationData[[#This Row],[severity_score]]=0,"LOW",
 IF(ReconciliationData[[#This Row],[severity_score]]&lt;=5,"MEDIUM","HIGH"))</f>
        <v>LOW</v>
      </c>
      <c r="AC3805" t="str">
        <f>TEXT(ReconciliationData[[#This Row],[Order_Date]],"YYYY-MM")</f>
        <v>2024-09</v>
      </c>
    </row>
    <row r="3806" spans="1:29">
      <c r="A3806" t="s">
        <v>8833</v>
      </c>
      <c r="B3806" s="1">
        <v>45311</v>
      </c>
      <c r="C3806" t="s">
        <v>133</v>
      </c>
      <c r="D3806" t="s">
        <v>1583</v>
      </c>
      <c r="E3806">
        <v>181</v>
      </c>
      <c r="F3806" t="s">
        <v>8834</v>
      </c>
      <c r="G3806">
        <v>181</v>
      </c>
      <c r="H3806">
        <v>1182.1740000000002</v>
      </c>
      <c r="N3806">
        <v>1182.1740000000002</v>
      </c>
      <c r="O3806" s="1">
        <v>45130</v>
      </c>
      <c r="P3806">
        <f>IF(ISBLANK(ReconciliationData[[#This Row],[Invoice_ID]]),1,0)</f>
        <v>0</v>
      </c>
      <c r="Q3806">
        <f>IF(AND(NOT(ISBLANK(ReconciliationData[[#This Row],[Billed_Units]])),ReconciliationData[[#This Row],[ordered_units]]&lt;&gt;ReconciliationData[[#This Row],[Billed_Units]]),1,0)</f>
        <v>0</v>
      </c>
      <c r="R38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06">
        <f>IF(AND(NOT(ISBLANK(ReconciliationData[[#This Row],[Contract_Price]])),ReconciliationData[[#This Row],[Billed_Price]]&lt;&gt;ReconciliationData[[#This Row],[Contract_Price]]),1,0)</f>
        <v>0</v>
      </c>
      <c r="T3806">
        <f>IF(AND(NOT(ISBLANK(ReconciliationData[[#This Row],[End_Date]])),ReconciliationData[[#This Row],[Order_Date]]&gt;ReconciliationData[[#This Row],[End_Date]]),1,0)</f>
        <v>0</v>
      </c>
      <c r="U3806">
        <f>IF(AND(NOT(ISBLANK(ReconciliationData[[#This Row],[last_return_date]])),ReconciliationData[[#This Row],[last_return_date]]&gt;ReconciliationData[[#This Row],[Order_Date]]+60),1,0)</f>
        <v>0</v>
      </c>
      <c r="V3806">
        <f>IF(ReconciliationData[[#This Row],[total_returned_units]]&gt;ReconciliationData[[#This Row],[ordered_units]],1,0)</f>
        <v>0</v>
      </c>
      <c r="W38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06">
        <f>ReconciliationData[[#This Row],[Billed_Units]]*ReconciliationData[[#This Row],[Billed_Price]]</f>
        <v>213973.49400000004</v>
      </c>
      <c r="Y3806">
        <f>ReconciliationData[[#This Row],[ordered_units]]*ReconciliationData[[#This Row],[List_Price]]</f>
        <v>213973.49400000004</v>
      </c>
      <c r="Z3806">
        <f>ReconciliationData[[#This Row],[billed_revenue]]-ReconciliationData[[#This Row],[expected_revenue]]</f>
        <v>0</v>
      </c>
      <c r="AA38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06" t="str">
        <f>IF(ReconciliationData[[#This Row],[severity_score]]=0,"LOW",
 IF(ReconciliationData[[#This Row],[severity_score]]&lt;=5,"MEDIUM","HIGH"))</f>
        <v>LOW</v>
      </c>
      <c r="AC3806" t="str">
        <f>TEXT(ReconciliationData[[#This Row],[Order_Date]],"YYYY-MM")</f>
        <v>2024-01</v>
      </c>
    </row>
    <row r="3807" spans="1:29">
      <c r="A3807" t="s">
        <v>8835</v>
      </c>
      <c r="B3807" s="1">
        <v>45269</v>
      </c>
      <c r="C3807" t="s">
        <v>572</v>
      </c>
      <c r="D3807" t="s">
        <v>2331</v>
      </c>
      <c r="E3807">
        <v>92</v>
      </c>
      <c r="F3807" t="s">
        <v>8836</v>
      </c>
      <c r="G3807">
        <v>92</v>
      </c>
      <c r="H3807">
        <v>983.3949275329536</v>
      </c>
      <c r="N3807">
        <v>983.19460000000004</v>
      </c>
      <c r="O3807" s="1">
        <v>45142</v>
      </c>
      <c r="P3807">
        <f>IF(ISBLANK(ReconciliationData[[#This Row],[Invoice_ID]]),1,0)</f>
        <v>0</v>
      </c>
      <c r="Q3807">
        <f>IF(AND(NOT(ISBLANK(ReconciliationData[[#This Row],[Billed_Units]])),ReconciliationData[[#This Row],[ordered_units]]&lt;&gt;ReconciliationData[[#This Row],[Billed_Units]]),1,0)</f>
        <v>0</v>
      </c>
      <c r="R3807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807">
        <f>IF(AND(NOT(ISBLANK(ReconciliationData[[#This Row],[Contract_Price]])),ReconciliationData[[#This Row],[Billed_Price]]&lt;&gt;ReconciliationData[[#This Row],[Contract_Price]]),1,0)</f>
        <v>0</v>
      </c>
      <c r="T3807">
        <f>IF(AND(NOT(ISBLANK(ReconciliationData[[#This Row],[End_Date]])),ReconciliationData[[#This Row],[Order_Date]]&gt;ReconciliationData[[#This Row],[End_Date]]),1,0)</f>
        <v>0</v>
      </c>
      <c r="U3807">
        <f>IF(AND(NOT(ISBLANK(ReconciliationData[[#This Row],[last_return_date]])),ReconciliationData[[#This Row],[last_return_date]]&gt;ReconciliationData[[#This Row],[Order_Date]]+60),1,0)</f>
        <v>0</v>
      </c>
      <c r="V3807">
        <f>IF(ReconciliationData[[#This Row],[total_returned_units]]&gt;ReconciliationData[[#This Row],[ordered_units]],1,0)</f>
        <v>0</v>
      </c>
      <c r="W38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07">
        <f>ReconciliationData[[#This Row],[Billed_Units]]*ReconciliationData[[#This Row],[Billed_Price]]</f>
        <v>90472.333333031725</v>
      </c>
      <c r="Y3807">
        <f>ReconciliationData[[#This Row],[ordered_units]]*ReconciliationData[[#This Row],[List_Price]]</f>
        <v>90453.903200000001</v>
      </c>
      <c r="Z3807">
        <f>ReconciliationData[[#This Row],[billed_revenue]]-ReconciliationData[[#This Row],[expected_revenue]]</f>
        <v>18.430133031724836</v>
      </c>
      <c r="AA38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807" t="str">
        <f>IF(ReconciliationData[[#This Row],[severity_score]]=0,"LOW",
 IF(ReconciliationData[[#This Row],[severity_score]]&lt;=5,"MEDIUM","HIGH"))</f>
        <v>MEDIUM</v>
      </c>
      <c r="AC3807" t="str">
        <f>TEXT(ReconciliationData[[#This Row],[Order_Date]],"YYYY-MM")</f>
        <v>2023-12</v>
      </c>
    </row>
    <row r="3808" spans="1:29">
      <c r="A3808" t="s">
        <v>8837</v>
      </c>
      <c r="B3808" s="1">
        <v>45213</v>
      </c>
      <c r="C3808" t="s">
        <v>6054</v>
      </c>
      <c r="D3808" t="s">
        <v>2765</v>
      </c>
      <c r="E3808">
        <v>58</v>
      </c>
      <c r="F3808" t="s">
        <v>8838</v>
      </c>
      <c r="G3808">
        <v>58</v>
      </c>
      <c r="H3808">
        <v>1037.4366</v>
      </c>
      <c r="N3808">
        <v>1037.4366</v>
      </c>
      <c r="O3808" s="1">
        <v>45198</v>
      </c>
      <c r="P3808">
        <f>IF(ISBLANK(ReconciliationData[[#This Row],[Invoice_ID]]),1,0)</f>
        <v>0</v>
      </c>
      <c r="Q3808">
        <f>IF(AND(NOT(ISBLANK(ReconciliationData[[#This Row],[Billed_Units]])),ReconciliationData[[#This Row],[ordered_units]]&lt;&gt;ReconciliationData[[#This Row],[Billed_Units]]),1,0)</f>
        <v>0</v>
      </c>
      <c r="R38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08">
        <f>IF(AND(NOT(ISBLANK(ReconciliationData[[#This Row],[Contract_Price]])),ReconciliationData[[#This Row],[Billed_Price]]&lt;&gt;ReconciliationData[[#This Row],[Contract_Price]]),1,0)</f>
        <v>0</v>
      </c>
      <c r="T3808">
        <f>IF(AND(NOT(ISBLANK(ReconciliationData[[#This Row],[End_Date]])),ReconciliationData[[#This Row],[Order_Date]]&gt;ReconciliationData[[#This Row],[End_Date]]),1,0)</f>
        <v>0</v>
      </c>
      <c r="U3808">
        <f>IF(AND(NOT(ISBLANK(ReconciliationData[[#This Row],[last_return_date]])),ReconciliationData[[#This Row],[last_return_date]]&gt;ReconciliationData[[#This Row],[Order_Date]]+60),1,0)</f>
        <v>0</v>
      </c>
      <c r="V3808">
        <f>IF(ReconciliationData[[#This Row],[total_returned_units]]&gt;ReconciliationData[[#This Row],[ordered_units]],1,0)</f>
        <v>0</v>
      </c>
      <c r="W38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08">
        <f>ReconciliationData[[#This Row],[Billed_Units]]*ReconciliationData[[#This Row],[Billed_Price]]</f>
        <v>60171.322800000002</v>
      </c>
      <c r="Y3808">
        <f>ReconciliationData[[#This Row],[ordered_units]]*ReconciliationData[[#This Row],[List_Price]]</f>
        <v>60171.322800000002</v>
      </c>
      <c r="Z3808">
        <f>ReconciliationData[[#This Row],[billed_revenue]]-ReconciliationData[[#This Row],[expected_revenue]]</f>
        <v>0</v>
      </c>
      <c r="AA38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08" t="str">
        <f>IF(ReconciliationData[[#This Row],[severity_score]]=0,"LOW",
 IF(ReconciliationData[[#This Row],[severity_score]]&lt;=5,"MEDIUM","HIGH"))</f>
        <v>LOW</v>
      </c>
      <c r="AC3808" t="str">
        <f>TEXT(ReconciliationData[[#This Row],[Order_Date]],"YYYY-MM")</f>
        <v>2023-10</v>
      </c>
    </row>
    <row r="3809" spans="1:29">
      <c r="A3809" t="s">
        <v>8839</v>
      </c>
      <c r="B3809" s="1">
        <v>45289</v>
      </c>
      <c r="C3809" t="s">
        <v>968</v>
      </c>
      <c r="D3809" t="s">
        <v>2331</v>
      </c>
      <c r="E3809">
        <v>84</v>
      </c>
      <c r="F3809" t="s">
        <v>8840</v>
      </c>
      <c r="G3809">
        <v>84</v>
      </c>
      <c r="H3809">
        <v>983.19460000000004</v>
      </c>
      <c r="N3809">
        <v>983.19460000000004</v>
      </c>
      <c r="O3809" s="1">
        <v>45142</v>
      </c>
      <c r="P3809">
        <f>IF(ISBLANK(ReconciliationData[[#This Row],[Invoice_ID]]),1,0)</f>
        <v>0</v>
      </c>
      <c r="Q3809">
        <f>IF(AND(NOT(ISBLANK(ReconciliationData[[#This Row],[Billed_Units]])),ReconciliationData[[#This Row],[ordered_units]]&lt;&gt;ReconciliationData[[#This Row],[Billed_Units]]),1,0)</f>
        <v>0</v>
      </c>
      <c r="R38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09">
        <f>IF(AND(NOT(ISBLANK(ReconciliationData[[#This Row],[Contract_Price]])),ReconciliationData[[#This Row],[Billed_Price]]&lt;&gt;ReconciliationData[[#This Row],[Contract_Price]]),1,0)</f>
        <v>0</v>
      </c>
      <c r="T3809">
        <f>IF(AND(NOT(ISBLANK(ReconciliationData[[#This Row],[End_Date]])),ReconciliationData[[#This Row],[Order_Date]]&gt;ReconciliationData[[#This Row],[End_Date]]),1,0)</f>
        <v>0</v>
      </c>
      <c r="U3809">
        <f>IF(AND(NOT(ISBLANK(ReconciliationData[[#This Row],[last_return_date]])),ReconciliationData[[#This Row],[last_return_date]]&gt;ReconciliationData[[#This Row],[Order_Date]]+60),1,0)</f>
        <v>0</v>
      </c>
      <c r="V3809">
        <f>IF(ReconciliationData[[#This Row],[total_returned_units]]&gt;ReconciliationData[[#This Row],[ordered_units]],1,0)</f>
        <v>0</v>
      </c>
      <c r="W38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09">
        <f>ReconciliationData[[#This Row],[Billed_Units]]*ReconciliationData[[#This Row],[Billed_Price]]</f>
        <v>82588.346400000009</v>
      </c>
      <c r="Y3809">
        <f>ReconciliationData[[#This Row],[ordered_units]]*ReconciliationData[[#This Row],[List_Price]]</f>
        <v>82588.346400000009</v>
      </c>
      <c r="Z3809">
        <f>ReconciliationData[[#This Row],[billed_revenue]]-ReconciliationData[[#This Row],[expected_revenue]]</f>
        <v>0</v>
      </c>
      <c r="AA38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09" t="str">
        <f>IF(ReconciliationData[[#This Row],[severity_score]]=0,"LOW",
 IF(ReconciliationData[[#This Row],[severity_score]]&lt;=5,"MEDIUM","HIGH"))</f>
        <v>LOW</v>
      </c>
      <c r="AC3809" t="str">
        <f>TEXT(ReconciliationData[[#This Row],[Order_Date]],"YYYY-MM")</f>
        <v>2023-12</v>
      </c>
    </row>
    <row r="3810" spans="1:29">
      <c r="A3810" t="s">
        <v>8841</v>
      </c>
      <c r="B3810" s="1">
        <v>45205</v>
      </c>
      <c r="C3810" t="s">
        <v>1220</v>
      </c>
      <c r="D3810" t="s">
        <v>1305</v>
      </c>
      <c r="E3810">
        <v>151</v>
      </c>
      <c r="F3810" t="s">
        <v>8842</v>
      </c>
      <c r="G3810">
        <v>151</v>
      </c>
      <c r="H3810">
        <v>240.40479999999999</v>
      </c>
      <c r="N3810">
        <v>240.40479999999999</v>
      </c>
      <c r="O3810" s="1">
        <v>44854</v>
      </c>
      <c r="P3810">
        <f>IF(ISBLANK(ReconciliationData[[#This Row],[Invoice_ID]]),1,0)</f>
        <v>0</v>
      </c>
      <c r="Q3810">
        <f>IF(AND(NOT(ISBLANK(ReconciliationData[[#This Row],[Billed_Units]])),ReconciliationData[[#This Row],[ordered_units]]&lt;&gt;ReconciliationData[[#This Row],[Billed_Units]]),1,0)</f>
        <v>0</v>
      </c>
      <c r="R38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10">
        <f>IF(AND(NOT(ISBLANK(ReconciliationData[[#This Row],[Contract_Price]])),ReconciliationData[[#This Row],[Billed_Price]]&lt;&gt;ReconciliationData[[#This Row],[Contract_Price]]),1,0)</f>
        <v>0</v>
      </c>
      <c r="T3810">
        <f>IF(AND(NOT(ISBLANK(ReconciliationData[[#This Row],[End_Date]])),ReconciliationData[[#This Row],[Order_Date]]&gt;ReconciliationData[[#This Row],[End_Date]]),1,0)</f>
        <v>0</v>
      </c>
      <c r="U3810">
        <f>IF(AND(NOT(ISBLANK(ReconciliationData[[#This Row],[last_return_date]])),ReconciliationData[[#This Row],[last_return_date]]&gt;ReconciliationData[[#This Row],[Order_Date]]+60),1,0)</f>
        <v>0</v>
      </c>
      <c r="V3810">
        <f>IF(ReconciliationData[[#This Row],[total_returned_units]]&gt;ReconciliationData[[#This Row],[ordered_units]],1,0)</f>
        <v>0</v>
      </c>
      <c r="W38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10">
        <f>ReconciliationData[[#This Row],[Billed_Units]]*ReconciliationData[[#This Row],[Billed_Price]]</f>
        <v>36301.124799999998</v>
      </c>
      <c r="Y3810">
        <f>ReconciliationData[[#This Row],[ordered_units]]*ReconciliationData[[#This Row],[List_Price]]</f>
        <v>36301.124799999998</v>
      </c>
      <c r="Z3810">
        <f>ReconciliationData[[#This Row],[billed_revenue]]-ReconciliationData[[#This Row],[expected_revenue]]</f>
        <v>0</v>
      </c>
      <c r="AA38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10" t="str">
        <f>IF(ReconciliationData[[#This Row],[severity_score]]=0,"LOW",
 IF(ReconciliationData[[#This Row],[severity_score]]&lt;=5,"MEDIUM","HIGH"))</f>
        <v>LOW</v>
      </c>
      <c r="AC3810" t="str">
        <f>TEXT(ReconciliationData[[#This Row],[Order_Date]],"YYYY-MM")</f>
        <v>2023-10</v>
      </c>
    </row>
    <row r="3811" spans="1:29">
      <c r="A3811" t="s">
        <v>8843</v>
      </c>
      <c r="B3811" s="1">
        <v>45304</v>
      </c>
      <c r="C3811" t="s">
        <v>4060</v>
      </c>
      <c r="D3811" t="s">
        <v>1362</v>
      </c>
      <c r="E3811">
        <v>157</v>
      </c>
      <c r="F3811" t="s">
        <v>8844</v>
      </c>
      <c r="G3811">
        <v>157</v>
      </c>
      <c r="H3811">
        <v>82.749600000000015</v>
      </c>
      <c r="N3811">
        <v>82.749600000000015</v>
      </c>
      <c r="O3811" s="1">
        <v>45068</v>
      </c>
      <c r="P3811">
        <f>IF(ISBLANK(ReconciliationData[[#This Row],[Invoice_ID]]),1,0)</f>
        <v>0</v>
      </c>
      <c r="Q3811">
        <f>IF(AND(NOT(ISBLANK(ReconciliationData[[#This Row],[Billed_Units]])),ReconciliationData[[#This Row],[ordered_units]]&lt;&gt;ReconciliationData[[#This Row],[Billed_Units]]),1,0)</f>
        <v>0</v>
      </c>
      <c r="R38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11">
        <f>IF(AND(NOT(ISBLANK(ReconciliationData[[#This Row],[Contract_Price]])),ReconciliationData[[#This Row],[Billed_Price]]&lt;&gt;ReconciliationData[[#This Row],[Contract_Price]]),1,0)</f>
        <v>0</v>
      </c>
      <c r="T3811">
        <f>IF(AND(NOT(ISBLANK(ReconciliationData[[#This Row],[End_Date]])),ReconciliationData[[#This Row],[Order_Date]]&gt;ReconciliationData[[#This Row],[End_Date]]),1,0)</f>
        <v>0</v>
      </c>
      <c r="U3811">
        <f>IF(AND(NOT(ISBLANK(ReconciliationData[[#This Row],[last_return_date]])),ReconciliationData[[#This Row],[last_return_date]]&gt;ReconciliationData[[#This Row],[Order_Date]]+60),1,0)</f>
        <v>0</v>
      </c>
      <c r="V3811">
        <f>IF(ReconciliationData[[#This Row],[total_returned_units]]&gt;ReconciliationData[[#This Row],[ordered_units]],1,0)</f>
        <v>0</v>
      </c>
      <c r="W38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11">
        <f>ReconciliationData[[#This Row],[Billed_Units]]*ReconciliationData[[#This Row],[Billed_Price]]</f>
        <v>12991.687200000002</v>
      </c>
      <c r="Y3811">
        <f>ReconciliationData[[#This Row],[ordered_units]]*ReconciliationData[[#This Row],[List_Price]]</f>
        <v>12991.687200000002</v>
      </c>
      <c r="Z3811">
        <f>ReconciliationData[[#This Row],[billed_revenue]]-ReconciliationData[[#This Row],[expected_revenue]]</f>
        <v>0</v>
      </c>
      <c r="AA38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11" t="str">
        <f>IF(ReconciliationData[[#This Row],[severity_score]]=0,"LOW",
 IF(ReconciliationData[[#This Row],[severity_score]]&lt;=5,"MEDIUM","HIGH"))</f>
        <v>LOW</v>
      </c>
      <c r="AC3811" t="str">
        <f>TEXT(ReconciliationData[[#This Row],[Order_Date]],"YYYY-MM")</f>
        <v>2024-01</v>
      </c>
    </row>
    <row r="3812" spans="1:29">
      <c r="A3812" t="s">
        <v>8845</v>
      </c>
      <c r="B3812" s="1">
        <v>45004</v>
      </c>
      <c r="C3812" t="s">
        <v>2678</v>
      </c>
      <c r="D3812" t="s">
        <v>494</v>
      </c>
      <c r="E3812">
        <v>92</v>
      </c>
      <c r="F3812" t="s">
        <v>8846</v>
      </c>
      <c r="G3812">
        <v>92</v>
      </c>
      <c r="H3812">
        <v>265.38866814234598</v>
      </c>
      <c r="I3812">
        <v>10</v>
      </c>
      <c r="J3812" s="1">
        <v>45654</v>
      </c>
      <c r="N3812">
        <v>264.84640000000002</v>
      </c>
      <c r="O3812" s="1">
        <v>44870</v>
      </c>
      <c r="P3812">
        <f>IF(ISBLANK(ReconciliationData[[#This Row],[Invoice_ID]]),1,0)</f>
        <v>0</v>
      </c>
      <c r="Q3812">
        <f>IF(AND(NOT(ISBLANK(ReconciliationData[[#This Row],[Billed_Units]])),ReconciliationData[[#This Row],[ordered_units]]&lt;&gt;ReconciliationData[[#This Row],[Billed_Units]]),1,0)</f>
        <v>0</v>
      </c>
      <c r="R3812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812">
        <f>IF(AND(NOT(ISBLANK(ReconciliationData[[#This Row],[Contract_Price]])),ReconciliationData[[#This Row],[Billed_Price]]&lt;&gt;ReconciliationData[[#This Row],[Contract_Price]]),1,0)</f>
        <v>0</v>
      </c>
      <c r="T3812">
        <f>IF(AND(NOT(ISBLANK(ReconciliationData[[#This Row],[End_Date]])),ReconciliationData[[#This Row],[Order_Date]]&gt;ReconciliationData[[#This Row],[End_Date]]),1,0)</f>
        <v>0</v>
      </c>
      <c r="U3812">
        <f>IF(AND(NOT(ISBLANK(ReconciliationData[[#This Row],[last_return_date]])),ReconciliationData[[#This Row],[last_return_date]]&gt;ReconciliationData[[#This Row],[Order_Date]]+60),1,0)</f>
        <v>1</v>
      </c>
      <c r="V3812">
        <f>IF(ReconciliationData[[#This Row],[total_returned_units]]&gt;ReconciliationData[[#This Row],[ordered_units]],1,0)</f>
        <v>0</v>
      </c>
      <c r="W38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12">
        <f>ReconciliationData[[#This Row],[Billed_Units]]*ReconciliationData[[#This Row],[Billed_Price]]</f>
        <v>24415.757469095828</v>
      </c>
      <c r="Y3812">
        <f>ReconciliationData[[#This Row],[ordered_units]]*ReconciliationData[[#This Row],[List_Price]]</f>
        <v>24365.8688</v>
      </c>
      <c r="Z3812">
        <f>ReconciliationData[[#This Row],[billed_revenue]]-ReconciliationData[[#This Row],[expected_revenue]]</f>
        <v>49.888669095827936</v>
      </c>
      <c r="AA38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6</v>
      </c>
      <c r="AB3812" t="str">
        <f>IF(ReconciliationData[[#This Row],[severity_score]]=0,"LOW",
 IF(ReconciliationData[[#This Row],[severity_score]]&lt;=5,"MEDIUM","HIGH"))</f>
        <v>HIGH</v>
      </c>
      <c r="AC3812" t="str">
        <f>TEXT(ReconciliationData[[#This Row],[Order_Date]],"YYYY-MM")</f>
        <v>2023-03</v>
      </c>
    </row>
    <row r="3813" spans="1:29">
      <c r="A3813" t="s">
        <v>8847</v>
      </c>
      <c r="B3813" s="1">
        <v>45269</v>
      </c>
      <c r="C3813" t="s">
        <v>1648</v>
      </c>
      <c r="D3813" t="s">
        <v>807</v>
      </c>
      <c r="E3813">
        <v>129</v>
      </c>
      <c r="F3813" t="s">
        <v>8848</v>
      </c>
      <c r="G3813">
        <v>129</v>
      </c>
      <c r="H3813">
        <v>383.63</v>
      </c>
      <c r="N3813">
        <v>383.63</v>
      </c>
      <c r="O3813" s="1">
        <v>45200</v>
      </c>
      <c r="P3813">
        <f>IF(ISBLANK(ReconciliationData[[#This Row],[Invoice_ID]]),1,0)</f>
        <v>0</v>
      </c>
      <c r="Q3813">
        <f>IF(AND(NOT(ISBLANK(ReconciliationData[[#This Row],[Billed_Units]])),ReconciliationData[[#This Row],[ordered_units]]&lt;&gt;ReconciliationData[[#This Row],[Billed_Units]]),1,0)</f>
        <v>0</v>
      </c>
      <c r="R38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13">
        <f>IF(AND(NOT(ISBLANK(ReconciliationData[[#This Row],[Contract_Price]])),ReconciliationData[[#This Row],[Billed_Price]]&lt;&gt;ReconciliationData[[#This Row],[Contract_Price]]),1,0)</f>
        <v>0</v>
      </c>
      <c r="T3813">
        <f>IF(AND(NOT(ISBLANK(ReconciliationData[[#This Row],[End_Date]])),ReconciliationData[[#This Row],[Order_Date]]&gt;ReconciliationData[[#This Row],[End_Date]]),1,0)</f>
        <v>0</v>
      </c>
      <c r="U3813">
        <f>IF(AND(NOT(ISBLANK(ReconciliationData[[#This Row],[last_return_date]])),ReconciliationData[[#This Row],[last_return_date]]&gt;ReconciliationData[[#This Row],[Order_Date]]+60),1,0)</f>
        <v>0</v>
      </c>
      <c r="V3813">
        <f>IF(ReconciliationData[[#This Row],[total_returned_units]]&gt;ReconciliationData[[#This Row],[ordered_units]],1,0)</f>
        <v>0</v>
      </c>
      <c r="W38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13">
        <f>ReconciliationData[[#This Row],[Billed_Units]]*ReconciliationData[[#This Row],[Billed_Price]]</f>
        <v>49488.27</v>
      </c>
      <c r="Y3813">
        <f>ReconciliationData[[#This Row],[ordered_units]]*ReconciliationData[[#This Row],[List_Price]]</f>
        <v>49488.27</v>
      </c>
      <c r="Z3813">
        <f>ReconciliationData[[#This Row],[billed_revenue]]-ReconciliationData[[#This Row],[expected_revenue]]</f>
        <v>0</v>
      </c>
      <c r="AA38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13" t="str">
        <f>IF(ReconciliationData[[#This Row],[severity_score]]=0,"LOW",
 IF(ReconciliationData[[#This Row],[severity_score]]&lt;=5,"MEDIUM","HIGH"))</f>
        <v>LOW</v>
      </c>
      <c r="AC3813" t="str">
        <f>TEXT(ReconciliationData[[#This Row],[Order_Date]],"YYYY-MM")</f>
        <v>2023-12</v>
      </c>
    </row>
    <row r="3814" spans="1:29">
      <c r="A3814" t="s">
        <v>8849</v>
      </c>
      <c r="B3814" s="1">
        <v>45149</v>
      </c>
      <c r="C3814" t="s">
        <v>683</v>
      </c>
      <c r="D3814" t="s">
        <v>1436</v>
      </c>
      <c r="E3814">
        <v>71</v>
      </c>
      <c r="F3814" t="s">
        <v>8850</v>
      </c>
      <c r="G3814">
        <v>71</v>
      </c>
      <c r="H3814">
        <v>189.52920000000003</v>
      </c>
      <c r="N3814">
        <v>189.52920000000003</v>
      </c>
      <c r="O3814" s="1">
        <v>45070</v>
      </c>
      <c r="P3814">
        <f>IF(ISBLANK(ReconciliationData[[#This Row],[Invoice_ID]]),1,0)</f>
        <v>0</v>
      </c>
      <c r="Q3814">
        <f>IF(AND(NOT(ISBLANK(ReconciliationData[[#This Row],[Billed_Units]])),ReconciliationData[[#This Row],[ordered_units]]&lt;&gt;ReconciliationData[[#This Row],[Billed_Units]]),1,0)</f>
        <v>0</v>
      </c>
      <c r="R38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14">
        <f>IF(AND(NOT(ISBLANK(ReconciliationData[[#This Row],[Contract_Price]])),ReconciliationData[[#This Row],[Billed_Price]]&lt;&gt;ReconciliationData[[#This Row],[Contract_Price]]),1,0)</f>
        <v>0</v>
      </c>
      <c r="T3814">
        <f>IF(AND(NOT(ISBLANK(ReconciliationData[[#This Row],[End_Date]])),ReconciliationData[[#This Row],[Order_Date]]&gt;ReconciliationData[[#This Row],[End_Date]]),1,0)</f>
        <v>0</v>
      </c>
      <c r="U3814">
        <f>IF(AND(NOT(ISBLANK(ReconciliationData[[#This Row],[last_return_date]])),ReconciliationData[[#This Row],[last_return_date]]&gt;ReconciliationData[[#This Row],[Order_Date]]+60),1,0)</f>
        <v>0</v>
      </c>
      <c r="V3814">
        <f>IF(ReconciliationData[[#This Row],[total_returned_units]]&gt;ReconciliationData[[#This Row],[ordered_units]],1,0)</f>
        <v>0</v>
      </c>
      <c r="W38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14">
        <f>ReconciliationData[[#This Row],[Billed_Units]]*ReconciliationData[[#This Row],[Billed_Price]]</f>
        <v>13456.573200000003</v>
      </c>
      <c r="Y3814">
        <f>ReconciliationData[[#This Row],[ordered_units]]*ReconciliationData[[#This Row],[List_Price]]</f>
        <v>13456.573200000003</v>
      </c>
      <c r="Z3814">
        <f>ReconciliationData[[#This Row],[billed_revenue]]-ReconciliationData[[#This Row],[expected_revenue]]</f>
        <v>0</v>
      </c>
      <c r="AA38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14" t="str">
        <f>IF(ReconciliationData[[#This Row],[severity_score]]=0,"LOW",
 IF(ReconciliationData[[#This Row],[severity_score]]&lt;=5,"MEDIUM","HIGH"))</f>
        <v>LOW</v>
      </c>
      <c r="AC3814" t="str">
        <f>TEXT(ReconciliationData[[#This Row],[Order_Date]],"YYYY-MM")</f>
        <v>2023-08</v>
      </c>
    </row>
    <row r="3815" spans="1:29">
      <c r="A3815" t="s">
        <v>8851</v>
      </c>
      <c r="B3815" s="1">
        <v>44947</v>
      </c>
      <c r="C3815" t="s">
        <v>3267</v>
      </c>
      <c r="D3815" t="s">
        <v>468</v>
      </c>
      <c r="E3815">
        <v>93</v>
      </c>
      <c r="F3815" t="s">
        <v>8852</v>
      </c>
      <c r="G3815">
        <v>94</v>
      </c>
      <c r="H3815">
        <v>376.62</v>
      </c>
      <c r="N3815">
        <v>376.62</v>
      </c>
      <c r="O3815" s="1">
        <v>44747</v>
      </c>
      <c r="P3815">
        <f>IF(ISBLANK(ReconciliationData[[#This Row],[Invoice_ID]]),1,0)</f>
        <v>0</v>
      </c>
      <c r="Q3815">
        <f>IF(AND(NOT(ISBLANK(ReconciliationData[[#This Row],[Billed_Units]])),ReconciliationData[[#This Row],[ordered_units]]&lt;&gt;ReconciliationData[[#This Row],[Billed_Units]]),1,0)</f>
        <v>1</v>
      </c>
      <c r="R38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15">
        <f>IF(AND(NOT(ISBLANK(ReconciliationData[[#This Row],[Contract_Price]])),ReconciliationData[[#This Row],[Billed_Price]]&lt;&gt;ReconciliationData[[#This Row],[Contract_Price]]),1,0)</f>
        <v>0</v>
      </c>
      <c r="T3815">
        <f>IF(AND(NOT(ISBLANK(ReconciliationData[[#This Row],[End_Date]])),ReconciliationData[[#This Row],[Order_Date]]&gt;ReconciliationData[[#This Row],[End_Date]]),1,0)</f>
        <v>0</v>
      </c>
      <c r="U3815">
        <f>IF(AND(NOT(ISBLANK(ReconciliationData[[#This Row],[last_return_date]])),ReconciliationData[[#This Row],[last_return_date]]&gt;ReconciliationData[[#This Row],[Order_Date]]+60),1,0)</f>
        <v>0</v>
      </c>
      <c r="V3815">
        <f>IF(ReconciliationData[[#This Row],[total_returned_units]]&gt;ReconciliationData[[#This Row],[ordered_units]],1,0)</f>
        <v>0</v>
      </c>
      <c r="W38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15">
        <f>ReconciliationData[[#This Row],[Billed_Units]]*ReconciliationData[[#This Row],[Billed_Price]]</f>
        <v>35402.28</v>
      </c>
      <c r="Y3815">
        <f>ReconciliationData[[#This Row],[ordered_units]]*ReconciliationData[[#This Row],[List_Price]]</f>
        <v>35025.660000000003</v>
      </c>
      <c r="Z3815">
        <f>ReconciliationData[[#This Row],[billed_revenue]]-ReconciliationData[[#This Row],[expected_revenue]]</f>
        <v>376.61999999999534</v>
      </c>
      <c r="AA38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815" t="str">
        <f>IF(ReconciliationData[[#This Row],[severity_score]]=0,"LOW",
 IF(ReconciliationData[[#This Row],[severity_score]]&lt;=5,"MEDIUM","HIGH"))</f>
        <v>MEDIUM</v>
      </c>
      <c r="AC3815" t="str">
        <f>TEXT(ReconciliationData[[#This Row],[Order_Date]],"YYYY-MM")</f>
        <v>2023-01</v>
      </c>
    </row>
    <row r="3816" spans="1:29">
      <c r="A3816" t="s">
        <v>8853</v>
      </c>
      <c r="B3816" s="1">
        <v>45604</v>
      </c>
      <c r="C3816" t="s">
        <v>778</v>
      </c>
      <c r="D3816" t="s">
        <v>1420</v>
      </c>
      <c r="E3816">
        <v>94</v>
      </c>
      <c r="F3816" t="s">
        <v>8854</v>
      </c>
      <c r="G3816">
        <v>94</v>
      </c>
      <c r="H3816">
        <v>77.178600000000003</v>
      </c>
      <c r="N3816">
        <v>77.178600000000003</v>
      </c>
      <c r="O3816" s="1">
        <v>44975</v>
      </c>
      <c r="P3816">
        <f>IF(ISBLANK(ReconciliationData[[#This Row],[Invoice_ID]]),1,0)</f>
        <v>0</v>
      </c>
      <c r="Q3816">
        <f>IF(AND(NOT(ISBLANK(ReconciliationData[[#This Row],[Billed_Units]])),ReconciliationData[[#This Row],[ordered_units]]&lt;&gt;ReconciliationData[[#This Row],[Billed_Units]]),1,0)</f>
        <v>0</v>
      </c>
      <c r="R38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16">
        <f>IF(AND(NOT(ISBLANK(ReconciliationData[[#This Row],[Contract_Price]])),ReconciliationData[[#This Row],[Billed_Price]]&lt;&gt;ReconciliationData[[#This Row],[Contract_Price]]),1,0)</f>
        <v>0</v>
      </c>
      <c r="T3816">
        <f>IF(AND(NOT(ISBLANK(ReconciliationData[[#This Row],[End_Date]])),ReconciliationData[[#This Row],[Order_Date]]&gt;ReconciliationData[[#This Row],[End_Date]]),1,0)</f>
        <v>0</v>
      </c>
      <c r="U3816">
        <f>IF(AND(NOT(ISBLANK(ReconciliationData[[#This Row],[last_return_date]])),ReconciliationData[[#This Row],[last_return_date]]&gt;ReconciliationData[[#This Row],[Order_Date]]+60),1,0)</f>
        <v>0</v>
      </c>
      <c r="V3816">
        <f>IF(ReconciliationData[[#This Row],[total_returned_units]]&gt;ReconciliationData[[#This Row],[ordered_units]],1,0)</f>
        <v>0</v>
      </c>
      <c r="W38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16">
        <f>ReconciliationData[[#This Row],[Billed_Units]]*ReconciliationData[[#This Row],[Billed_Price]]</f>
        <v>7254.7884000000004</v>
      </c>
      <c r="Y3816">
        <f>ReconciliationData[[#This Row],[ordered_units]]*ReconciliationData[[#This Row],[List_Price]]</f>
        <v>7254.7884000000004</v>
      </c>
      <c r="Z3816">
        <f>ReconciliationData[[#This Row],[billed_revenue]]-ReconciliationData[[#This Row],[expected_revenue]]</f>
        <v>0</v>
      </c>
      <c r="AA38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16" t="str">
        <f>IF(ReconciliationData[[#This Row],[severity_score]]=0,"LOW",
 IF(ReconciliationData[[#This Row],[severity_score]]&lt;=5,"MEDIUM","HIGH"))</f>
        <v>LOW</v>
      </c>
      <c r="AC3816" t="str">
        <f>TEXT(ReconciliationData[[#This Row],[Order_Date]],"YYYY-MM")</f>
        <v>2024-11</v>
      </c>
    </row>
    <row r="3817" spans="1:29">
      <c r="A3817" t="s">
        <v>8855</v>
      </c>
      <c r="B3817" s="1">
        <v>45222</v>
      </c>
      <c r="C3817" t="s">
        <v>901</v>
      </c>
      <c r="D3817" t="s">
        <v>2331</v>
      </c>
      <c r="E3817">
        <v>190</v>
      </c>
      <c r="F3817" t="s">
        <v>8856</v>
      </c>
      <c r="G3817">
        <v>190</v>
      </c>
      <c r="H3817">
        <v>983.19460000000004</v>
      </c>
      <c r="N3817">
        <v>983.19460000000004</v>
      </c>
      <c r="O3817" s="1">
        <v>45142</v>
      </c>
      <c r="P3817">
        <f>IF(ISBLANK(ReconciliationData[[#This Row],[Invoice_ID]]),1,0)</f>
        <v>0</v>
      </c>
      <c r="Q3817">
        <f>IF(AND(NOT(ISBLANK(ReconciliationData[[#This Row],[Billed_Units]])),ReconciliationData[[#This Row],[ordered_units]]&lt;&gt;ReconciliationData[[#This Row],[Billed_Units]]),1,0)</f>
        <v>0</v>
      </c>
      <c r="R38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17">
        <f>IF(AND(NOT(ISBLANK(ReconciliationData[[#This Row],[Contract_Price]])),ReconciliationData[[#This Row],[Billed_Price]]&lt;&gt;ReconciliationData[[#This Row],[Contract_Price]]),1,0)</f>
        <v>0</v>
      </c>
      <c r="T3817">
        <f>IF(AND(NOT(ISBLANK(ReconciliationData[[#This Row],[End_Date]])),ReconciliationData[[#This Row],[Order_Date]]&gt;ReconciliationData[[#This Row],[End_Date]]),1,0)</f>
        <v>0</v>
      </c>
      <c r="U3817">
        <f>IF(AND(NOT(ISBLANK(ReconciliationData[[#This Row],[last_return_date]])),ReconciliationData[[#This Row],[last_return_date]]&gt;ReconciliationData[[#This Row],[Order_Date]]+60),1,0)</f>
        <v>0</v>
      </c>
      <c r="V3817">
        <f>IF(ReconciliationData[[#This Row],[total_returned_units]]&gt;ReconciliationData[[#This Row],[ordered_units]],1,0)</f>
        <v>0</v>
      </c>
      <c r="W38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17">
        <f>ReconciliationData[[#This Row],[Billed_Units]]*ReconciliationData[[#This Row],[Billed_Price]]</f>
        <v>186806.97400000002</v>
      </c>
      <c r="Y3817">
        <f>ReconciliationData[[#This Row],[ordered_units]]*ReconciliationData[[#This Row],[List_Price]]</f>
        <v>186806.97400000002</v>
      </c>
      <c r="Z3817">
        <f>ReconciliationData[[#This Row],[billed_revenue]]-ReconciliationData[[#This Row],[expected_revenue]]</f>
        <v>0</v>
      </c>
      <c r="AA38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17" t="str">
        <f>IF(ReconciliationData[[#This Row],[severity_score]]=0,"LOW",
 IF(ReconciliationData[[#This Row],[severity_score]]&lt;=5,"MEDIUM","HIGH"))</f>
        <v>LOW</v>
      </c>
      <c r="AC3817" t="str">
        <f>TEXT(ReconciliationData[[#This Row],[Order_Date]],"YYYY-MM")</f>
        <v>2023-10</v>
      </c>
    </row>
    <row r="3818" spans="1:29">
      <c r="A3818" t="s">
        <v>8857</v>
      </c>
      <c r="B3818" s="1">
        <v>45272</v>
      </c>
      <c r="C3818" t="s">
        <v>1536</v>
      </c>
      <c r="D3818" t="s">
        <v>2853</v>
      </c>
      <c r="E3818">
        <v>90</v>
      </c>
      <c r="F3818" t="s">
        <v>8858</v>
      </c>
      <c r="G3818">
        <v>90</v>
      </c>
      <c r="H3818">
        <v>278.27100000000002</v>
      </c>
      <c r="N3818">
        <v>278.27100000000002</v>
      </c>
      <c r="O3818" s="1">
        <v>45119</v>
      </c>
      <c r="P3818">
        <f>IF(ISBLANK(ReconciliationData[[#This Row],[Invoice_ID]]),1,0)</f>
        <v>0</v>
      </c>
      <c r="Q3818">
        <f>IF(AND(NOT(ISBLANK(ReconciliationData[[#This Row],[Billed_Units]])),ReconciliationData[[#This Row],[ordered_units]]&lt;&gt;ReconciliationData[[#This Row],[Billed_Units]]),1,0)</f>
        <v>0</v>
      </c>
      <c r="R38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18">
        <f>IF(AND(NOT(ISBLANK(ReconciliationData[[#This Row],[Contract_Price]])),ReconciliationData[[#This Row],[Billed_Price]]&lt;&gt;ReconciliationData[[#This Row],[Contract_Price]]),1,0)</f>
        <v>0</v>
      </c>
      <c r="T3818">
        <f>IF(AND(NOT(ISBLANK(ReconciliationData[[#This Row],[End_Date]])),ReconciliationData[[#This Row],[Order_Date]]&gt;ReconciliationData[[#This Row],[End_Date]]),1,0)</f>
        <v>0</v>
      </c>
      <c r="U3818">
        <f>IF(AND(NOT(ISBLANK(ReconciliationData[[#This Row],[last_return_date]])),ReconciliationData[[#This Row],[last_return_date]]&gt;ReconciliationData[[#This Row],[Order_Date]]+60),1,0)</f>
        <v>0</v>
      </c>
      <c r="V3818">
        <f>IF(ReconciliationData[[#This Row],[total_returned_units]]&gt;ReconciliationData[[#This Row],[ordered_units]],1,0)</f>
        <v>0</v>
      </c>
      <c r="W38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18">
        <f>ReconciliationData[[#This Row],[Billed_Units]]*ReconciliationData[[#This Row],[Billed_Price]]</f>
        <v>25044.390000000003</v>
      </c>
      <c r="Y3818">
        <f>ReconciliationData[[#This Row],[ordered_units]]*ReconciliationData[[#This Row],[List_Price]]</f>
        <v>25044.390000000003</v>
      </c>
      <c r="Z3818">
        <f>ReconciliationData[[#This Row],[billed_revenue]]-ReconciliationData[[#This Row],[expected_revenue]]</f>
        <v>0</v>
      </c>
      <c r="AA38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18" t="str">
        <f>IF(ReconciliationData[[#This Row],[severity_score]]=0,"LOW",
 IF(ReconciliationData[[#This Row],[severity_score]]&lt;=5,"MEDIUM","HIGH"))</f>
        <v>LOW</v>
      </c>
      <c r="AC3818" t="str">
        <f>TEXT(ReconciliationData[[#This Row],[Order_Date]],"YYYY-MM")</f>
        <v>2023-12</v>
      </c>
    </row>
    <row r="3819" spans="1:29">
      <c r="A3819" t="s">
        <v>8859</v>
      </c>
      <c r="B3819" s="1">
        <v>45289</v>
      </c>
      <c r="C3819" t="s">
        <v>3259</v>
      </c>
      <c r="D3819" t="s">
        <v>560</v>
      </c>
      <c r="E3819">
        <v>149</v>
      </c>
      <c r="F3819" t="s">
        <v>8860</v>
      </c>
      <c r="G3819">
        <v>149</v>
      </c>
      <c r="H3819">
        <v>1119.6587000000002</v>
      </c>
      <c r="N3819">
        <v>1119.6587000000002</v>
      </c>
      <c r="O3819" s="1">
        <v>45147</v>
      </c>
      <c r="P3819">
        <f>IF(ISBLANK(ReconciliationData[[#This Row],[Invoice_ID]]),1,0)</f>
        <v>0</v>
      </c>
      <c r="Q3819">
        <f>IF(AND(NOT(ISBLANK(ReconciliationData[[#This Row],[Billed_Units]])),ReconciliationData[[#This Row],[ordered_units]]&lt;&gt;ReconciliationData[[#This Row],[Billed_Units]]),1,0)</f>
        <v>0</v>
      </c>
      <c r="R38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19">
        <f>IF(AND(NOT(ISBLANK(ReconciliationData[[#This Row],[Contract_Price]])),ReconciliationData[[#This Row],[Billed_Price]]&lt;&gt;ReconciliationData[[#This Row],[Contract_Price]]),1,0)</f>
        <v>0</v>
      </c>
      <c r="T3819">
        <f>IF(AND(NOT(ISBLANK(ReconciliationData[[#This Row],[End_Date]])),ReconciliationData[[#This Row],[Order_Date]]&gt;ReconciliationData[[#This Row],[End_Date]]),1,0)</f>
        <v>0</v>
      </c>
      <c r="U3819">
        <f>IF(AND(NOT(ISBLANK(ReconciliationData[[#This Row],[last_return_date]])),ReconciliationData[[#This Row],[last_return_date]]&gt;ReconciliationData[[#This Row],[Order_Date]]+60),1,0)</f>
        <v>0</v>
      </c>
      <c r="V3819">
        <f>IF(ReconciliationData[[#This Row],[total_returned_units]]&gt;ReconciliationData[[#This Row],[ordered_units]],1,0)</f>
        <v>0</v>
      </c>
      <c r="W38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19">
        <f>ReconciliationData[[#This Row],[Billed_Units]]*ReconciliationData[[#This Row],[Billed_Price]]</f>
        <v>166829.14630000002</v>
      </c>
      <c r="Y3819">
        <f>ReconciliationData[[#This Row],[ordered_units]]*ReconciliationData[[#This Row],[List_Price]]</f>
        <v>166829.14630000002</v>
      </c>
      <c r="Z3819">
        <f>ReconciliationData[[#This Row],[billed_revenue]]-ReconciliationData[[#This Row],[expected_revenue]]</f>
        <v>0</v>
      </c>
      <c r="AA38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19" t="str">
        <f>IF(ReconciliationData[[#This Row],[severity_score]]=0,"LOW",
 IF(ReconciliationData[[#This Row],[severity_score]]&lt;=5,"MEDIUM","HIGH"))</f>
        <v>LOW</v>
      </c>
      <c r="AC3819" t="str">
        <f>TEXT(ReconciliationData[[#This Row],[Order_Date]],"YYYY-MM")</f>
        <v>2023-12</v>
      </c>
    </row>
    <row r="3820" spans="1:29">
      <c r="A3820" t="s">
        <v>8861</v>
      </c>
      <c r="B3820" s="1">
        <v>45005</v>
      </c>
      <c r="C3820" t="s">
        <v>661</v>
      </c>
      <c r="D3820" t="s">
        <v>1030</v>
      </c>
      <c r="E3820">
        <v>143</v>
      </c>
      <c r="F3820" t="s">
        <v>8862</v>
      </c>
      <c r="G3820">
        <v>143</v>
      </c>
      <c r="H3820">
        <v>370.82850000000002</v>
      </c>
      <c r="N3820">
        <v>370.82850000000002</v>
      </c>
      <c r="O3820" s="1">
        <v>44986</v>
      </c>
      <c r="P3820">
        <f>IF(ISBLANK(ReconciliationData[[#This Row],[Invoice_ID]]),1,0)</f>
        <v>0</v>
      </c>
      <c r="Q3820">
        <f>IF(AND(NOT(ISBLANK(ReconciliationData[[#This Row],[Billed_Units]])),ReconciliationData[[#This Row],[ordered_units]]&lt;&gt;ReconciliationData[[#This Row],[Billed_Units]]),1,0)</f>
        <v>0</v>
      </c>
      <c r="R38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0">
        <f>IF(AND(NOT(ISBLANK(ReconciliationData[[#This Row],[Contract_Price]])),ReconciliationData[[#This Row],[Billed_Price]]&lt;&gt;ReconciliationData[[#This Row],[Contract_Price]]),1,0)</f>
        <v>0</v>
      </c>
      <c r="T3820">
        <f>IF(AND(NOT(ISBLANK(ReconciliationData[[#This Row],[End_Date]])),ReconciliationData[[#This Row],[Order_Date]]&gt;ReconciliationData[[#This Row],[End_Date]]),1,0)</f>
        <v>0</v>
      </c>
      <c r="U3820">
        <f>IF(AND(NOT(ISBLANK(ReconciliationData[[#This Row],[last_return_date]])),ReconciliationData[[#This Row],[last_return_date]]&gt;ReconciliationData[[#This Row],[Order_Date]]+60),1,0)</f>
        <v>0</v>
      </c>
      <c r="V3820">
        <f>IF(ReconciliationData[[#This Row],[total_returned_units]]&gt;ReconciliationData[[#This Row],[ordered_units]],1,0)</f>
        <v>0</v>
      </c>
      <c r="W38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20">
        <f>ReconciliationData[[#This Row],[Billed_Units]]*ReconciliationData[[#This Row],[Billed_Price]]</f>
        <v>53028.4755</v>
      </c>
      <c r="Y3820">
        <f>ReconciliationData[[#This Row],[ordered_units]]*ReconciliationData[[#This Row],[List_Price]]</f>
        <v>53028.4755</v>
      </c>
      <c r="Z3820">
        <f>ReconciliationData[[#This Row],[billed_revenue]]-ReconciliationData[[#This Row],[expected_revenue]]</f>
        <v>0</v>
      </c>
      <c r="AA38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20" t="str">
        <f>IF(ReconciliationData[[#This Row],[severity_score]]=0,"LOW",
 IF(ReconciliationData[[#This Row],[severity_score]]&lt;=5,"MEDIUM","HIGH"))</f>
        <v>LOW</v>
      </c>
      <c r="AC3820" t="str">
        <f>TEXT(ReconciliationData[[#This Row],[Order_Date]],"YYYY-MM")</f>
        <v>2023-03</v>
      </c>
    </row>
    <row r="3821" spans="1:29">
      <c r="A3821" t="s">
        <v>8863</v>
      </c>
      <c r="B3821" s="1">
        <v>45292</v>
      </c>
      <c r="C3821" t="s">
        <v>8864</v>
      </c>
      <c r="D3821" t="s">
        <v>1305</v>
      </c>
      <c r="E3821">
        <v>61</v>
      </c>
      <c r="F3821" t="s">
        <v>8865</v>
      </c>
      <c r="G3821">
        <v>61</v>
      </c>
      <c r="H3821">
        <v>250.3184</v>
      </c>
      <c r="N3821">
        <v>250.3184</v>
      </c>
      <c r="O3821" s="1">
        <v>45212</v>
      </c>
      <c r="P3821">
        <f>IF(ISBLANK(ReconciliationData[[#This Row],[Invoice_ID]]),1,0)</f>
        <v>0</v>
      </c>
      <c r="Q3821">
        <f>IF(AND(NOT(ISBLANK(ReconciliationData[[#This Row],[Billed_Units]])),ReconciliationData[[#This Row],[ordered_units]]&lt;&gt;ReconciliationData[[#This Row],[Billed_Units]]),1,0)</f>
        <v>0</v>
      </c>
      <c r="R38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1">
        <f>IF(AND(NOT(ISBLANK(ReconciliationData[[#This Row],[Contract_Price]])),ReconciliationData[[#This Row],[Billed_Price]]&lt;&gt;ReconciliationData[[#This Row],[Contract_Price]]),1,0)</f>
        <v>0</v>
      </c>
      <c r="T3821">
        <f>IF(AND(NOT(ISBLANK(ReconciliationData[[#This Row],[End_Date]])),ReconciliationData[[#This Row],[Order_Date]]&gt;ReconciliationData[[#This Row],[End_Date]]),1,0)</f>
        <v>0</v>
      </c>
      <c r="U3821">
        <f>IF(AND(NOT(ISBLANK(ReconciliationData[[#This Row],[last_return_date]])),ReconciliationData[[#This Row],[last_return_date]]&gt;ReconciliationData[[#This Row],[Order_Date]]+60),1,0)</f>
        <v>0</v>
      </c>
      <c r="V3821">
        <f>IF(ReconciliationData[[#This Row],[total_returned_units]]&gt;ReconciliationData[[#This Row],[ordered_units]],1,0)</f>
        <v>0</v>
      </c>
      <c r="W38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21">
        <f>ReconciliationData[[#This Row],[Billed_Units]]*ReconciliationData[[#This Row],[Billed_Price]]</f>
        <v>15269.422399999999</v>
      </c>
      <c r="Y3821">
        <f>ReconciliationData[[#This Row],[ordered_units]]*ReconciliationData[[#This Row],[List_Price]]</f>
        <v>15269.422399999999</v>
      </c>
      <c r="Z3821">
        <f>ReconciliationData[[#This Row],[billed_revenue]]-ReconciliationData[[#This Row],[expected_revenue]]</f>
        <v>0</v>
      </c>
      <c r="AA38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21" t="str">
        <f>IF(ReconciliationData[[#This Row],[severity_score]]=0,"LOW",
 IF(ReconciliationData[[#This Row],[severity_score]]&lt;=5,"MEDIUM","HIGH"))</f>
        <v>LOW</v>
      </c>
      <c r="AC3821" t="str">
        <f>TEXT(ReconciliationData[[#This Row],[Order_Date]],"YYYY-MM")</f>
        <v>2024-01</v>
      </c>
    </row>
    <row r="3822" spans="1:29">
      <c r="A3822" t="s">
        <v>8866</v>
      </c>
      <c r="B3822" s="1">
        <v>45431</v>
      </c>
      <c r="C3822" t="s">
        <v>460</v>
      </c>
      <c r="D3822" t="s">
        <v>325</v>
      </c>
      <c r="E3822">
        <v>92</v>
      </c>
      <c r="F3822" t="s">
        <v>8867</v>
      </c>
      <c r="G3822">
        <v>92</v>
      </c>
      <c r="H3822">
        <v>509.36320000000001</v>
      </c>
      <c r="N3822">
        <v>509.36320000000001</v>
      </c>
      <c r="O3822" s="1">
        <v>45171</v>
      </c>
      <c r="P3822">
        <f>IF(ISBLANK(ReconciliationData[[#This Row],[Invoice_ID]]),1,0)</f>
        <v>0</v>
      </c>
      <c r="Q3822">
        <f>IF(AND(NOT(ISBLANK(ReconciliationData[[#This Row],[Billed_Units]])),ReconciliationData[[#This Row],[ordered_units]]&lt;&gt;ReconciliationData[[#This Row],[Billed_Units]]),1,0)</f>
        <v>0</v>
      </c>
      <c r="R38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2">
        <f>IF(AND(NOT(ISBLANK(ReconciliationData[[#This Row],[Contract_Price]])),ReconciliationData[[#This Row],[Billed_Price]]&lt;&gt;ReconciliationData[[#This Row],[Contract_Price]]),1,0)</f>
        <v>0</v>
      </c>
      <c r="T3822">
        <f>IF(AND(NOT(ISBLANK(ReconciliationData[[#This Row],[End_Date]])),ReconciliationData[[#This Row],[Order_Date]]&gt;ReconciliationData[[#This Row],[End_Date]]),1,0)</f>
        <v>0</v>
      </c>
      <c r="U3822">
        <f>IF(AND(NOT(ISBLANK(ReconciliationData[[#This Row],[last_return_date]])),ReconciliationData[[#This Row],[last_return_date]]&gt;ReconciliationData[[#This Row],[Order_Date]]+60),1,0)</f>
        <v>0</v>
      </c>
      <c r="V3822">
        <f>IF(ReconciliationData[[#This Row],[total_returned_units]]&gt;ReconciliationData[[#This Row],[ordered_units]],1,0)</f>
        <v>0</v>
      </c>
      <c r="W38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22">
        <f>ReconciliationData[[#This Row],[Billed_Units]]*ReconciliationData[[#This Row],[Billed_Price]]</f>
        <v>46861.414400000001</v>
      </c>
      <c r="Y3822">
        <f>ReconciliationData[[#This Row],[ordered_units]]*ReconciliationData[[#This Row],[List_Price]]</f>
        <v>46861.414400000001</v>
      </c>
      <c r="Z3822">
        <f>ReconciliationData[[#This Row],[billed_revenue]]-ReconciliationData[[#This Row],[expected_revenue]]</f>
        <v>0</v>
      </c>
      <c r="AA38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22" t="str">
        <f>IF(ReconciliationData[[#This Row],[severity_score]]=0,"LOW",
 IF(ReconciliationData[[#This Row],[severity_score]]&lt;=5,"MEDIUM","HIGH"))</f>
        <v>LOW</v>
      </c>
      <c r="AC3822" t="str">
        <f>TEXT(ReconciliationData[[#This Row],[Order_Date]],"YYYY-MM")</f>
        <v>2024-05</v>
      </c>
    </row>
    <row r="3823" spans="1:29">
      <c r="A3823" t="s">
        <v>8868</v>
      </c>
      <c r="B3823" s="1">
        <v>45216</v>
      </c>
      <c r="C3823" t="s">
        <v>3033</v>
      </c>
      <c r="D3823" t="s">
        <v>2421</v>
      </c>
      <c r="E3823">
        <v>120</v>
      </c>
      <c r="F3823" t="s">
        <v>8869</v>
      </c>
      <c r="G3823">
        <v>120</v>
      </c>
      <c r="H3823">
        <v>631.83420000000012</v>
      </c>
      <c r="N3823">
        <v>631.83420000000012</v>
      </c>
      <c r="O3823" s="1">
        <v>45172</v>
      </c>
      <c r="P3823">
        <f>IF(ISBLANK(ReconciliationData[[#This Row],[Invoice_ID]]),1,0)</f>
        <v>0</v>
      </c>
      <c r="Q3823">
        <f>IF(AND(NOT(ISBLANK(ReconciliationData[[#This Row],[Billed_Units]])),ReconciliationData[[#This Row],[ordered_units]]&lt;&gt;ReconciliationData[[#This Row],[Billed_Units]]),1,0)</f>
        <v>0</v>
      </c>
      <c r="R38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3">
        <f>IF(AND(NOT(ISBLANK(ReconciliationData[[#This Row],[Contract_Price]])),ReconciliationData[[#This Row],[Billed_Price]]&lt;&gt;ReconciliationData[[#This Row],[Contract_Price]]),1,0)</f>
        <v>0</v>
      </c>
      <c r="T3823">
        <f>IF(AND(NOT(ISBLANK(ReconciliationData[[#This Row],[End_Date]])),ReconciliationData[[#This Row],[Order_Date]]&gt;ReconciliationData[[#This Row],[End_Date]]),1,0)</f>
        <v>0</v>
      </c>
      <c r="U3823">
        <f>IF(AND(NOT(ISBLANK(ReconciliationData[[#This Row],[last_return_date]])),ReconciliationData[[#This Row],[last_return_date]]&gt;ReconciliationData[[#This Row],[Order_Date]]+60),1,0)</f>
        <v>0</v>
      </c>
      <c r="V3823">
        <f>IF(ReconciliationData[[#This Row],[total_returned_units]]&gt;ReconciliationData[[#This Row],[ordered_units]],1,0)</f>
        <v>0</v>
      </c>
      <c r="W38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23">
        <f>ReconciliationData[[#This Row],[Billed_Units]]*ReconciliationData[[#This Row],[Billed_Price]]</f>
        <v>75820.104000000021</v>
      </c>
      <c r="Y3823">
        <f>ReconciliationData[[#This Row],[ordered_units]]*ReconciliationData[[#This Row],[List_Price]]</f>
        <v>75820.104000000021</v>
      </c>
      <c r="Z3823">
        <f>ReconciliationData[[#This Row],[billed_revenue]]-ReconciliationData[[#This Row],[expected_revenue]]</f>
        <v>0</v>
      </c>
      <c r="AA38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23" t="str">
        <f>IF(ReconciliationData[[#This Row],[severity_score]]=0,"LOW",
 IF(ReconciliationData[[#This Row],[severity_score]]&lt;=5,"MEDIUM","HIGH"))</f>
        <v>LOW</v>
      </c>
      <c r="AC3823" t="str">
        <f>TEXT(ReconciliationData[[#This Row],[Order_Date]],"YYYY-MM")</f>
        <v>2023-10</v>
      </c>
    </row>
    <row r="3824" spans="1:29">
      <c r="A3824" t="s">
        <v>8870</v>
      </c>
      <c r="B3824" s="1">
        <v>45217</v>
      </c>
      <c r="C3824" t="s">
        <v>1591</v>
      </c>
      <c r="D3824" t="s">
        <v>775</v>
      </c>
      <c r="E3824">
        <v>118</v>
      </c>
      <c r="F3824" t="s">
        <v>8871</v>
      </c>
      <c r="G3824">
        <v>118</v>
      </c>
      <c r="H3824">
        <v>1231.8180000000002</v>
      </c>
      <c r="N3824">
        <v>1231.8180000000002</v>
      </c>
      <c r="O3824" s="1">
        <v>45048</v>
      </c>
      <c r="P3824">
        <f>IF(ISBLANK(ReconciliationData[[#This Row],[Invoice_ID]]),1,0)</f>
        <v>0</v>
      </c>
      <c r="Q3824">
        <f>IF(AND(NOT(ISBLANK(ReconciliationData[[#This Row],[Billed_Units]])),ReconciliationData[[#This Row],[ordered_units]]&lt;&gt;ReconciliationData[[#This Row],[Billed_Units]]),1,0)</f>
        <v>0</v>
      </c>
      <c r="R38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4">
        <f>IF(AND(NOT(ISBLANK(ReconciliationData[[#This Row],[Contract_Price]])),ReconciliationData[[#This Row],[Billed_Price]]&lt;&gt;ReconciliationData[[#This Row],[Contract_Price]]),1,0)</f>
        <v>0</v>
      </c>
      <c r="T3824">
        <f>IF(AND(NOT(ISBLANK(ReconciliationData[[#This Row],[End_Date]])),ReconciliationData[[#This Row],[Order_Date]]&gt;ReconciliationData[[#This Row],[End_Date]]),1,0)</f>
        <v>0</v>
      </c>
      <c r="U3824">
        <f>IF(AND(NOT(ISBLANK(ReconciliationData[[#This Row],[last_return_date]])),ReconciliationData[[#This Row],[last_return_date]]&gt;ReconciliationData[[#This Row],[Order_Date]]+60),1,0)</f>
        <v>0</v>
      </c>
      <c r="V3824">
        <f>IF(ReconciliationData[[#This Row],[total_returned_units]]&gt;ReconciliationData[[#This Row],[ordered_units]],1,0)</f>
        <v>0</v>
      </c>
      <c r="W38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24">
        <f>ReconciliationData[[#This Row],[Billed_Units]]*ReconciliationData[[#This Row],[Billed_Price]]</f>
        <v>145354.52400000003</v>
      </c>
      <c r="Y3824">
        <f>ReconciliationData[[#This Row],[ordered_units]]*ReconciliationData[[#This Row],[List_Price]]</f>
        <v>145354.52400000003</v>
      </c>
      <c r="Z3824">
        <f>ReconciliationData[[#This Row],[billed_revenue]]-ReconciliationData[[#This Row],[expected_revenue]]</f>
        <v>0</v>
      </c>
      <c r="AA38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24" t="str">
        <f>IF(ReconciliationData[[#This Row],[severity_score]]=0,"LOW",
 IF(ReconciliationData[[#This Row],[severity_score]]&lt;=5,"MEDIUM","HIGH"))</f>
        <v>LOW</v>
      </c>
      <c r="AC3824" t="str">
        <f>TEXT(ReconciliationData[[#This Row],[Order_Date]],"YYYY-MM")</f>
        <v>2023-10</v>
      </c>
    </row>
    <row r="3825" spans="1:29">
      <c r="A3825" t="s">
        <v>8872</v>
      </c>
      <c r="B3825" s="1">
        <v>45079</v>
      </c>
      <c r="C3825" t="s">
        <v>3820</v>
      </c>
      <c r="D3825" t="s">
        <v>1961</v>
      </c>
      <c r="E3825">
        <v>141</v>
      </c>
      <c r="F3825" t="s">
        <v>8873</v>
      </c>
      <c r="G3825">
        <v>141</v>
      </c>
      <c r="H3825">
        <v>717.0471</v>
      </c>
      <c r="N3825">
        <v>717.0471</v>
      </c>
      <c r="O3825" s="1">
        <v>44984</v>
      </c>
      <c r="P3825">
        <f>IF(ISBLANK(ReconciliationData[[#This Row],[Invoice_ID]]),1,0)</f>
        <v>0</v>
      </c>
      <c r="Q3825">
        <f>IF(AND(NOT(ISBLANK(ReconciliationData[[#This Row],[Billed_Units]])),ReconciliationData[[#This Row],[ordered_units]]&lt;&gt;ReconciliationData[[#This Row],[Billed_Units]]),1,0)</f>
        <v>0</v>
      </c>
      <c r="R38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5">
        <f>IF(AND(NOT(ISBLANK(ReconciliationData[[#This Row],[Contract_Price]])),ReconciliationData[[#This Row],[Billed_Price]]&lt;&gt;ReconciliationData[[#This Row],[Contract_Price]]),1,0)</f>
        <v>0</v>
      </c>
      <c r="T3825">
        <f>IF(AND(NOT(ISBLANK(ReconciliationData[[#This Row],[End_Date]])),ReconciliationData[[#This Row],[Order_Date]]&gt;ReconciliationData[[#This Row],[End_Date]]),1,0)</f>
        <v>0</v>
      </c>
      <c r="U3825">
        <f>IF(AND(NOT(ISBLANK(ReconciliationData[[#This Row],[last_return_date]])),ReconciliationData[[#This Row],[last_return_date]]&gt;ReconciliationData[[#This Row],[Order_Date]]+60),1,0)</f>
        <v>0</v>
      </c>
      <c r="V3825">
        <f>IF(ReconciliationData[[#This Row],[total_returned_units]]&gt;ReconciliationData[[#This Row],[ordered_units]],1,0)</f>
        <v>0</v>
      </c>
      <c r="W38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25">
        <f>ReconciliationData[[#This Row],[Billed_Units]]*ReconciliationData[[#This Row],[Billed_Price]]</f>
        <v>101103.64109999999</v>
      </c>
      <c r="Y3825">
        <f>ReconciliationData[[#This Row],[ordered_units]]*ReconciliationData[[#This Row],[List_Price]]</f>
        <v>101103.64109999999</v>
      </c>
      <c r="Z3825">
        <f>ReconciliationData[[#This Row],[billed_revenue]]-ReconciliationData[[#This Row],[expected_revenue]]</f>
        <v>0</v>
      </c>
      <c r="AA38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25" t="str">
        <f>IF(ReconciliationData[[#This Row],[severity_score]]=0,"LOW",
 IF(ReconciliationData[[#This Row],[severity_score]]&lt;=5,"MEDIUM","HIGH"))</f>
        <v>LOW</v>
      </c>
      <c r="AC3825" t="str">
        <f>TEXT(ReconciliationData[[#This Row],[Order_Date]],"YYYY-MM")</f>
        <v>2023-06</v>
      </c>
    </row>
    <row r="3826" spans="1:29">
      <c r="A3826" t="s">
        <v>8874</v>
      </c>
      <c r="B3826" s="1">
        <v>45009</v>
      </c>
      <c r="C3826" t="s">
        <v>6737</v>
      </c>
      <c r="D3826" t="s">
        <v>366</v>
      </c>
      <c r="E3826">
        <v>49</v>
      </c>
      <c r="F3826" t="s">
        <v>8875</v>
      </c>
      <c r="G3826">
        <v>49</v>
      </c>
      <c r="H3826">
        <v>525.45000000000005</v>
      </c>
      <c r="N3826">
        <v>525.45000000000005</v>
      </c>
      <c r="O3826" s="1">
        <v>44623</v>
      </c>
      <c r="P3826">
        <f>IF(ISBLANK(ReconciliationData[[#This Row],[Invoice_ID]]),1,0)</f>
        <v>0</v>
      </c>
      <c r="Q3826">
        <f>IF(AND(NOT(ISBLANK(ReconciliationData[[#This Row],[Billed_Units]])),ReconciliationData[[#This Row],[ordered_units]]&lt;&gt;ReconciliationData[[#This Row],[Billed_Units]]),1,0)</f>
        <v>0</v>
      </c>
      <c r="R38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6">
        <f>IF(AND(NOT(ISBLANK(ReconciliationData[[#This Row],[Contract_Price]])),ReconciliationData[[#This Row],[Billed_Price]]&lt;&gt;ReconciliationData[[#This Row],[Contract_Price]]),1,0)</f>
        <v>0</v>
      </c>
      <c r="T3826">
        <f>IF(AND(NOT(ISBLANK(ReconciliationData[[#This Row],[End_Date]])),ReconciliationData[[#This Row],[Order_Date]]&gt;ReconciliationData[[#This Row],[End_Date]]),1,0)</f>
        <v>0</v>
      </c>
      <c r="U3826">
        <f>IF(AND(NOT(ISBLANK(ReconciliationData[[#This Row],[last_return_date]])),ReconciliationData[[#This Row],[last_return_date]]&gt;ReconciliationData[[#This Row],[Order_Date]]+60),1,0)</f>
        <v>0</v>
      </c>
      <c r="V3826">
        <f>IF(ReconciliationData[[#This Row],[total_returned_units]]&gt;ReconciliationData[[#This Row],[ordered_units]],1,0)</f>
        <v>0</v>
      </c>
      <c r="W38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26">
        <f>ReconciliationData[[#This Row],[Billed_Units]]*ReconciliationData[[#This Row],[Billed_Price]]</f>
        <v>25747.050000000003</v>
      </c>
      <c r="Y3826">
        <f>ReconciliationData[[#This Row],[ordered_units]]*ReconciliationData[[#This Row],[List_Price]]</f>
        <v>25747.050000000003</v>
      </c>
      <c r="Z3826">
        <f>ReconciliationData[[#This Row],[billed_revenue]]-ReconciliationData[[#This Row],[expected_revenue]]</f>
        <v>0</v>
      </c>
      <c r="AA38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26" t="str">
        <f>IF(ReconciliationData[[#This Row],[severity_score]]=0,"LOW",
 IF(ReconciliationData[[#This Row],[severity_score]]&lt;=5,"MEDIUM","HIGH"))</f>
        <v>LOW</v>
      </c>
      <c r="AC3826" t="str">
        <f>TEXT(ReconciliationData[[#This Row],[Order_Date]],"YYYY-MM")</f>
        <v>2023-03</v>
      </c>
    </row>
    <row r="3827" spans="1:29">
      <c r="A3827" t="s">
        <v>8876</v>
      </c>
      <c r="B3827" s="1">
        <v>45173</v>
      </c>
      <c r="C3827" t="s">
        <v>817</v>
      </c>
      <c r="D3827" t="s">
        <v>313</v>
      </c>
      <c r="E3827">
        <v>14</v>
      </c>
      <c r="F3827" t="s">
        <v>8877</v>
      </c>
      <c r="G3827">
        <v>9</v>
      </c>
      <c r="H3827">
        <v>1190.6054999999999</v>
      </c>
      <c r="N3827">
        <v>1190.6054999999999</v>
      </c>
      <c r="O3827" s="1">
        <v>44984</v>
      </c>
      <c r="P3827">
        <f>IF(ISBLANK(ReconciliationData[[#This Row],[Invoice_ID]]),1,0)</f>
        <v>0</v>
      </c>
      <c r="Q3827">
        <f>IF(AND(NOT(ISBLANK(ReconciliationData[[#This Row],[Billed_Units]])),ReconciliationData[[#This Row],[ordered_units]]&lt;&gt;ReconciliationData[[#This Row],[Billed_Units]]),1,0)</f>
        <v>1</v>
      </c>
      <c r="R38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7">
        <f>IF(AND(NOT(ISBLANK(ReconciliationData[[#This Row],[Contract_Price]])),ReconciliationData[[#This Row],[Billed_Price]]&lt;&gt;ReconciliationData[[#This Row],[Contract_Price]]),1,0)</f>
        <v>0</v>
      </c>
      <c r="T3827">
        <f>IF(AND(NOT(ISBLANK(ReconciliationData[[#This Row],[End_Date]])),ReconciliationData[[#This Row],[Order_Date]]&gt;ReconciliationData[[#This Row],[End_Date]]),1,0)</f>
        <v>0</v>
      </c>
      <c r="U3827">
        <f>IF(AND(NOT(ISBLANK(ReconciliationData[[#This Row],[last_return_date]])),ReconciliationData[[#This Row],[last_return_date]]&gt;ReconciliationData[[#This Row],[Order_Date]]+60),1,0)</f>
        <v>0</v>
      </c>
      <c r="V3827">
        <f>IF(ReconciliationData[[#This Row],[total_returned_units]]&gt;ReconciliationData[[#This Row],[ordered_units]],1,0)</f>
        <v>0</v>
      </c>
      <c r="W38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27">
        <f>ReconciliationData[[#This Row],[Billed_Units]]*ReconciliationData[[#This Row],[Billed_Price]]</f>
        <v>10715.449499999999</v>
      </c>
      <c r="Y3827">
        <f>ReconciliationData[[#This Row],[ordered_units]]*ReconciliationData[[#This Row],[List_Price]]</f>
        <v>16668.476999999999</v>
      </c>
      <c r="Z3827">
        <f>ReconciliationData[[#This Row],[billed_revenue]]-ReconciliationData[[#This Row],[expected_revenue]]</f>
        <v>-5953.0275000000001</v>
      </c>
      <c r="AA38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827" t="str">
        <f>IF(ReconciliationData[[#This Row],[severity_score]]=0,"LOW",
 IF(ReconciliationData[[#This Row],[severity_score]]&lt;=5,"MEDIUM","HIGH"))</f>
        <v>HIGH</v>
      </c>
      <c r="AC3827" t="str">
        <f>TEXT(ReconciliationData[[#This Row],[Order_Date]],"YYYY-MM")</f>
        <v>2023-09</v>
      </c>
    </row>
    <row r="3828" spans="1:29">
      <c r="A3828" t="s">
        <v>8878</v>
      </c>
      <c r="B3828" s="1">
        <v>45166</v>
      </c>
      <c r="C3828" t="s">
        <v>2535</v>
      </c>
      <c r="D3828" t="s">
        <v>1309</v>
      </c>
      <c r="E3828">
        <v>147</v>
      </c>
      <c r="F3828" t="s">
        <v>8879</v>
      </c>
      <c r="G3828">
        <v>147</v>
      </c>
      <c r="H3828">
        <v>906.88919999999996</v>
      </c>
      <c r="N3828">
        <v>906.88919999999996</v>
      </c>
      <c r="O3828" s="1">
        <v>44991</v>
      </c>
      <c r="P3828">
        <f>IF(ISBLANK(ReconciliationData[[#This Row],[Invoice_ID]]),1,0)</f>
        <v>0</v>
      </c>
      <c r="Q3828">
        <f>IF(AND(NOT(ISBLANK(ReconciliationData[[#This Row],[Billed_Units]])),ReconciliationData[[#This Row],[ordered_units]]&lt;&gt;ReconciliationData[[#This Row],[Billed_Units]]),1,0)</f>
        <v>0</v>
      </c>
      <c r="R38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8">
        <f>IF(AND(NOT(ISBLANK(ReconciliationData[[#This Row],[Contract_Price]])),ReconciliationData[[#This Row],[Billed_Price]]&lt;&gt;ReconciliationData[[#This Row],[Contract_Price]]),1,0)</f>
        <v>0</v>
      </c>
      <c r="T3828">
        <f>IF(AND(NOT(ISBLANK(ReconciliationData[[#This Row],[End_Date]])),ReconciliationData[[#This Row],[Order_Date]]&gt;ReconciliationData[[#This Row],[End_Date]]),1,0)</f>
        <v>0</v>
      </c>
      <c r="U3828">
        <f>IF(AND(NOT(ISBLANK(ReconciliationData[[#This Row],[last_return_date]])),ReconciliationData[[#This Row],[last_return_date]]&gt;ReconciliationData[[#This Row],[Order_Date]]+60),1,0)</f>
        <v>0</v>
      </c>
      <c r="V3828">
        <f>IF(ReconciliationData[[#This Row],[total_returned_units]]&gt;ReconciliationData[[#This Row],[ordered_units]],1,0)</f>
        <v>0</v>
      </c>
      <c r="W38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28">
        <f>ReconciliationData[[#This Row],[Billed_Units]]*ReconciliationData[[#This Row],[Billed_Price]]</f>
        <v>133312.71239999999</v>
      </c>
      <c r="Y3828">
        <f>ReconciliationData[[#This Row],[ordered_units]]*ReconciliationData[[#This Row],[List_Price]]</f>
        <v>133312.71239999999</v>
      </c>
      <c r="Z3828">
        <f>ReconciliationData[[#This Row],[billed_revenue]]-ReconciliationData[[#This Row],[expected_revenue]]</f>
        <v>0</v>
      </c>
      <c r="AA38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28" t="str">
        <f>IF(ReconciliationData[[#This Row],[severity_score]]=0,"LOW",
 IF(ReconciliationData[[#This Row],[severity_score]]&lt;=5,"MEDIUM","HIGH"))</f>
        <v>LOW</v>
      </c>
      <c r="AC3828" t="str">
        <f>TEXT(ReconciliationData[[#This Row],[Order_Date]],"YYYY-MM")</f>
        <v>2023-08</v>
      </c>
    </row>
    <row r="3829" spans="1:29">
      <c r="A3829" t="s">
        <v>8880</v>
      </c>
      <c r="B3829" s="1">
        <v>45091</v>
      </c>
      <c r="C3829" t="s">
        <v>4991</v>
      </c>
      <c r="D3829" t="s">
        <v>3220</v>
      </c>
      <c r="E3829">
        <v>139</v>
      </c>
      <c r="F3829" t="s">
        <v>8881</v>
      </c>
      <c r="G3829">
        <v>139</v>
      </c>
      <c r="H3829">
        <v>361.47840000000002</v>
      </c>
      <c r="N3829">
        <v>361.47840000000002</v>
      </c>
      <c r="O3829" s="1">
        <v>44909</v>
      </c>
      <c r="P3829">
        <f>IF(ISBLANK(ReconciliationData[[#This Row],[Invoice_ID]]),1,0)</f>
        <v>0</v>
      </c>
      <c r="Q3829">
        <f>IF(AND(NOT(ISBLANK(ReconciliationData[[#This Row],[Billed_Units]])),ReconciliationData[[#This Row],[ordered_units]]&lt;&gt;ReconciliationData[[#This Row],[Billed_Units]]),1,0)</f>
        <v>0</v>
      </c>
      <c r="R38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29">
        <f>IF(AND(NOT(ISBLANK(ReconciliationData[[#This Row],[Contract_Price]])),ReconciliationData[[#This Row],[Billed_Price]]&lt;&gt;ReconciliationData[[#This Row],[Contract_Price]]),1,0)</f>
        <v>0</v>
      </c>
      <c r="T3829">
        <f>IF(AND(NOT(ISBLANK(ReconciliationData[[#This Row],[End_Date]])),ReconciliationData[[#This Row],[Order_Date]]&gt;ReconciliationData[[#This Row],[End_Date]]),1,0)</f>
        <v>0</v>
      </c>
      <c r="U3829">
        <f>IF(AND(NOT(ISBLANK(ReconciliationData[[#This Row],[last_return_date]])),ReconciliationData[[#This Row],[last_return_date]]&gt;ReconciliationData[[#This Row],[Order_Date]]+60),1,0)</f>
        <v>0</v>
      </c>
      <c r="V3829">
        <f>IF(ReconciliationData[[#This Row],[total_returned_units]]&gt;ReconciliationData[[#This Row],[ordered_units]],1,0)</f>
        <v>0</v>
      </c>
      <c r="W38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29">
        <f>ReconciliationData[[#This Row],[Billed_Units]]*ReconciliationData[[#This Row],[Billed_Price]]</f>
        <v>50245.497600000002</v>
      </c>
      <c r="Y3829">
        <f>ReconciliationData[[#This Row],[ordered_units]]*ReconciliationData[[#This Row],[List_Price]]</f>
        <v>50245.497600000002</v>
      </c>
      <c r="Z3829">
        <f>ReconciliationData[[#This Row],[billed_revenue]]-ReconciliationData[[#This Row],[expected_revenue]]</f>
        <v>0</v>
      </c>
      <c r="AA38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29" t="str">
        <f>IF(ReconciliationData[[#This Row],[severity_score]]=0,"LOW",
 IF(ReconciliationData[[#This Row],[severity_score]]&lt;=5,"MEDIUM","HIGH"))</f>
        <v>LOW</v>
      </c>
      <c r="AC3829" t="str">
        <f>TEXT(ReconciliationData[[#This Row],[Order_Date]],"YYYY-MM")</f>
        <v>2023-06</v>
      </c>
    </row>
    <row r="3830" spans="1:29">
      <c r="A3830" t="s">
        <v>8882</v>
      </c>
      <c r="B3830" s="1">
        <v>45329</v>
      </c>
      <c r="C3830" t="s">
        <v>2478</v>
      </c>
      <c r="D3830" t="s">
        <v>306</v>
      </c>
      <c r="E3830">
        <v>39</v>
      </c>
      <c r="F3830" t="s">
        <v>8883</v>
      </c>
      <c r="G3830">
        <v>39</v>
      </c>
      <c r="H3830">
        <v>1211.7708</v>
      </c>
      <c r="N3830">
        <v>1211.7708</v>
      </c>
      <c r="O3830" s="1">
        <v>45193</v>
      </c>
      <c r="P3830">
        <f>IF(ISBLANK(ReconciliationData[[#This Row],[Invoice_ID]]),1,0)</f>
        <v>0</v>
      </c>
      <c r="Q3830">
        <f>IF(AND(NOT(ISBLANK(ReconciliationData[[#This Row],[Billed_Units]])),ReconciliationData[[#This Row],[ordered_units]]&lt;&gt;ReconciliationData[[#This Row],[Billed_Units]]),1,0)</f>
        <v>0</v>
      </c>
      <c r="R38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0">
        <f>IF(AND(NOT(ISBLANK(ReconciliationData[[#This Row],[Contract_Price]])),ReconciliationData[[#This Row],[Billed_Price]]&lt;&gt;ReconciliationData[[#This Row],[Contract_Price]]),1,0)</f>
        <v>0</v>
      </c>
      <c r="T3830">
        <f>IF(AND(NOT(ISBLANK(ReconciliationData[[#This Row],[End_Date]])),ReconciliationData[[#This Row],[Order_Date]]&gt;ReconciliationData[[#This Row],[End_Date]]),1,0)</f>
        <v>0</v>
      </c>
      <c r="U3830">
        <f>IF(AND(NOT(ISBLANK(ReconciliationData[[#This Row],[last_return_date]])),ReconciliationData[[#This Row],[last_return_date]]&gt;ReconciliationData[[#This Row],[Order_Date]]+60),1,0)</f>
        <v>0</v>
      </c>
      <c r="V3830">
        <f>IF(ReconciliationData[[#This Row],[total_returned_units]]&gt;ReconciliationData[[#This Row],[ordered_units]],1,0)</f>
        <v>0</v>
      </c>
      <c r="W38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30">
        <f>ReconciliationData[[#This Row],[Billed_Units]]*ReconciliationData[[#This Row],[Billed_Price]]</f>
        <v>47259.061200000004</v>
      </c>
      <c r="Y3830">
        <f>ReconciliationData[[#This Row],[ordered_units]]*ReconciliationData[[#This Row],[List_Price]]</f>
        <v>47259.061200000004</v>
      </c>
      <c r="Z3830">
        <f>ReconciliationData[[#This Row],[billed_revenue]]-ReconciliationData[[#This Row],[expected_revenue]]</f>
        <v>0</v>
      </c>
      <c r="AA38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30" t="str">
        <f>IF(ReconciliationData[[#This Row],[severity_score]]=0,"LOW",
 IF(ReconciliationData[[#This Row],[severity_score]]&lt;=5,"MEDIUM","HIGH"))</f>
        <v>LOW</v>
      </c>
      <c r="AC3830" t="str">
        <f>TEXT(ReconciliationData[[#This Row],[Order_Date]],"YYYY-MM")</f>
        <v>2024-02</v>
      </c>
    </row>
    <row r="3831" spans="1:29">
      <c r="A3831" t="s">
        <v>8884</v>
      </c>
      <c r="B3831" s="1">
        <v>45276</v>
      </c>
      <c r="C3831" t="s">
        <v>4195</v>
      </c>
      <c r="D3831" t="s">
        <v>667</v>
      </c>
      <c r="E3831">
        <v>69</v>
      </c>
      <c r="F3831" t="s">
        <v>8885</v>
      </c>
      <c r="G3831">
        <v>69</v>
      </c>
      <c r="H3831">
        <v>989.96579999999994</v>
      </c>
      <c r="N3831">
        <v>989.96579999999994</v>
      </c>
      <c r="O3831" s="1">
        <v>44975</v>
      </c>
      <c r="P3831">
        <f>IF(ISBLANK(ReconciliationData[[#This Row],[Invoice_ID]]),1,0)</f>
        <v>0</v>
      </c>
      <c r="Q3831">
        <f>IF(AND(NOT(ISBLANK(ReconciliationData[[#This Row],[Billed_Units]])),ReconciliationData[[#This Row],[ordered_units]]&lt;&gt;ReconciliationData[[#This Row],[Billed_Units]]),1,0)</f>
        <v>0</v>
      </c>
      <c r="R38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1">
        <f>IF(AND(NOT(ISBLANK(ReconciliationData[[#This Row],[Contract_Price]])),ReconciliationData[[#This Row],[Billed_Price]]&lt;&gt;ReconciliationData[[#This Row],[Contract_Price]]),1,0)</f>
        <v>0</v>
      </c>
      <c r="T3831">
        <f>IF(AND(NOT(ISBLANK(ReconciliationData[[#This Row],[End_Date]])),ReconciliationData[[#This Row],[Order_Date]]&gt;ReconciliationData[[#This Row],[End_Date]]),1,0)</f>
        <v>0</v>
      </c>
      <c r="U3831">
        <f>IF(AND(NOT(ISBLANK(ReconciliationData[[#This Row],[last_return_date]])),ReconciliationData[[#This Row],[last_return_date]]&gt;ReconciliationData[[#This Row],[Order_Date]]+60),1,0)</f>
        <v>0</v>
      </c>
      <c r="V3831">
        <f>IF(ReconciliationData[[#This Row],[total_returned_units]]&gt;ReconciliationData[[#This Row],[ordered_units]],1,0)</f>
        <v>0</v>
      </c>
      <c r="W38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31">
        <f>ReconciliationData[[#This Row],[Billed_Units]]*ReconciliationData[[#This Row],[Billed_Price]]</f>
        <v>68307.640199999994</v>
      </c>
      <c r="Y3831">
        <f>ReconciliationData[[#This Row],[ordered_units]]*ReconciliationData[[#This Row],[List_Price]]</f>
        <v>68307.640199999994</v>
      </c>
      <c r="Z3831">
        <f>ReconciliationData[[#This Row],[billed_revenue]]-ReconciliationData[[#This Row],[expected_revenue]]</f>
        <v>0</v>
      </c>
      <c r="AA38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31" t="str">
        <f>IF(ReconciliationData[[#This Row],[severity_score]]=0,"LOW",
 IF(ReconciliationData[[#This Row],[severity_score]]&lt;=5,"MEDIUM","HIGH"))</f>
        <v>LOW</v>
      </c>
      <c r="AC3831" t="str">
        <f>TEXT(ReconciliationData[[#This Row],[Order_Date]],"YYYY-MM")</f>
        <v>2023-12</v>
      </c>
    </row>
    <row r="3832" spans="1:29">
      <c r="A3832" t="s">
        <v>8886</v>
      </c>
      <c r="B3832" s="1">
        <v>45226</v>
      </c>
      <c r="C3832" t="s">
        <v>4896</v>
      </c>
      <c r="D3832" t="s">
        <v>1933</v>
      </c>
      <c r="E3832">
        <v>8</v>
      </c>
      <c r="F3832" t="s">
        <v>8887</v>
      </c>
      <c r="G3832">
        <v>8</v>
      </c>
      <c r="H3832">
        <v>571.49840000000006</v>
      </c>
      <c r="N3832">
        <v>571.49840000000006</v>
      </c>
      <c r="O3832" s="1">
        <v>45071</v>
      </c>
      <c r="P3832">
        <f>IF(ISBLANK(ReconciliationData[[#This Row],[Invoice_ID]]),1,0)</f>
        <v>0</v>
      </c>
      <c r="Q3832">
        <f>IF(AND(NOT(ISBLANK(ReconciliationData[[#This Row],[Billed_Units]])),ReconciliationData[[#This Row],[ordered_units]]&lt;&gt;ReconciliationData[[#This Row],[Billed_Units]]),1,0)</f>
        <v>0</v>
      </c>
      <c r="R38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2">
        <f>IF(AND(NOT(ISBLANK(ReconciliationData[[#This Row],[Contract_Price]])),ReconciliationData[[#This Row],[Billed_Price]]&lt;&gt;ReconciliationData[[#This Row],[Contract_Price]]),1,0)</f>
        <v>0</v>
      </c>
      <c r="T3832">
        <f>IF(AND(NOT(ISBLANK(ReconciliationData[[#This Row],[End_Date]])),ReconciliationData[[#This Row],[Order_Date]]&gt;ReconciliationData[[#This Row],[End_Date]]),1,0)</f>
        <v>0</v>
      </c>
      <c r="U3832">
        <f>IF(AND(NOT(ISBLANK(ReconciliationData[[#This Row],[last_return_date]])),ReconciliationData[[#This Row],[last_return_date]]&gt;ReconciliationData[[#This Row],[Order_Date]]+60),1,0)</f>
        <v>0</v>
      </c>
      <c r="V3832">
        <f>IF(ReconciliationData[[#This Row],[total_returned_units]]&gt;ReconciliationData[[#This Row],[ordered_units]],1,0)</f>
        <v>0</v>
      </c>
      <c r="W38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32">
        <f>ReconciliationData[[#This Row],[Billed_Units]]*ReconciliationData[[#This Row],[Billed_Price]]</f>
        <v>4571.9872000000005</v>
      </c>
      <c r="Y3832">
        <f>ReconciliationData[[#This Row],[ordered_units]]*ReconciliationData[[#This Row],[List_Price]]</f>
        <v>4571.9872000000005</v>
      </c>
      <c r="Z3832">
        <f>ReconciliationData[[#This Row],[billed_revenue]]-ReconciliationData[[#This Row],[expected_revenue]]</f>
        <v>0</v>
      </c>
      <c r="AA38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32" t="str">
        <f>IF(ReconciliationData[[#This Row],[severity_score]]=0,"LOW",
 IF(ReconciliationData[[#This Row],[severity_score]]&lt;=5,"MEDIUM","HIGH"))</f>
        <v>LOW</v>
      </c>
      <c r="AC3832" t="str">
        <f>TEXT(ReconciliationData[[#This Row],[Order_Date]],"YYYY-MM")</f>
        <v>2023-10</v>
      </c>
    </row>
    <row r="3833" spans="1:29">
      <c r="A3833" t="s">
        <v>8888</v>
      </c>
      <c r="B3833" s="1">
        <v>44951</v>
      </c>
      <c r="C3833" t="s">
        <v>173</v>
      </c>
      <c r="D3833" t="s">
        <v>775</v>
      </c>
      <c r="E3833">
        <v>109</v>
      </c>
      <c r="F3833" t="s">
        <v>8889</v>
      </c>
      <c r="G3833">
        <v>109</v>
      </c>
      <c r="H3833">
        <v>1173.1600000000001</v>
      </c>
      <c r="N3833">
        <v>1173.1600000000001</v>
      </c>
      <c r="O3833" s="1">
        <v>44692</v>
      </c>
      <c r="P3833">
        <f>IF(ISBLANK(ReconciliationData[[#This Row],[Invoice_ID]]),1,0)</f>
        <v>0</v>
      </c>
      <c r="Q3833">
        <f>IF(AND(NOT(ISBLANK(ReconciliationData[[#This Row],[Billed_Units]])),ReconciliationData[[#This Row],[ordered_units]]&lt;&gt;ReconciliationData[[#This Row],[Billed_Units]]),1,0)</f>
        <v>0</v>
      </c>
      <c r="R38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3">
        <f>IF(AND(NOT(ISBLANK(ReconciliationData[[#This Row],[Contract_Price]])),ReconciliationData[[#This Row],[Billed_Price]]&lt;&gt;ReconciliationData[[#This Row],[Contract_Price]]),1,0)</f>
        <v>0</v>
      </c>
      <c r="T3833">
        <f>IF(AND(NOT(ISBLANK(ReconciliationData[[#This Row],[End_Date]])),ReconciliationData[[#This Row],[Order_Date]]&gt;ReconciliationData[[#This Row],[End_Date]]),1,0)</f>
        <v>0</v>
      </c>
      <c r="U3833">
        <f>IF(AND(NOT(ISBLANK(ReconciliationData[[#This Row],[last_return_date]])),ReconciliationData[[#This Row],[last_return_date]]&gt;ReconciliationData[[#This Row],[Order_Date]]+60),1,0)</f>
        <v>0</v>
      </c>
      <c r="V3833">
        <f>IF(ReconciliationData[[#This Row],[total_returned_units]]&gt;ReconciliationData[[#This Row],[ordered_units]],1,0)</f>
        <v>0</v>
      </c>
      <c r="W38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33">
        <f>ReconciliationData[[#This Row],[Billed_Units]]*ReconciliationData[[#This Row],[Billed_Price]]</f>
        <v>127874.44</v>
      </c>
      <c r="Y3833">
        <f>ReconciliationData[[#This Row],[ordered_units]]*ReconciliationData[[#This Row],[List_Price]]</f>
        <v>127874.44</v>
      </c>
      <c r="Z3833">
        <f>ReconciliationData[[#This Row],[billed_revenue]]-ReconciliationData[[#This Row],[expected_revenue]]</f>
        <v>0</v>
      </c>
      <c r="AA38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33" t="str">
        <f>IF(ReconciliationData[[#This Row],[severity_score]]=0,"LOW",
 IF(ReconciliationData[[#This Row],[severity_score]]&lt;=5,"MEDIUM","HIGH"))</f>
        <v>LOW</v>
      </c>
      <c r="AC3833" t="str">
        <f>TEXT(ReconciliationData[[#This Row],[Order_Date]],"YYYY-MM")</f>
        <v>2023-01</v>
      </c>
    </row>
    <row r="3834" spans="1:29">
      <c r="A3834" t="s">
        <v>8890</v>
      </c>
      <c r="B3834" s="1">
        <v>45388</v>
      </c>
      <c r="C3834" t="s">
        <v>6121</v>
      </c>
      <c r="D3834" t="s">
        <v>573</v>
      </c>
      <c r="E3834">
        <v>3</v>
      </c>
      <c r="F3834" t="s">
        <v>8891</v>
      </c>
      <c r="G3834">
        <v>3</v>
      </c>
      <c r="H3834">
        <v>1223.9694</v>
      </c>
      <c r="N3834">
        <v>1223.9694</v>
      </c>
      <c r="O3834" s="1">
        <v>45154</v>
      </c>
      <c r="P3834">
        <f>IF(ISBLANK(ReconciliationData[[#This Row],[Invoice_ID]]),1,0)</f>
        <v>0</v>
      </c>
      <c r="Q3834">
        <f>IF(AND(NOT(ISBLANK(ReconciliationData[[#This Row],[Billed_Units]])),ReconciliationData[[#This Row],[ordered_units]]&lt;&gt;ReconciliationData[[#This Row],[Billed_Units]]),1,0)</f>
        <v>0</v>
      </c>
      <c r="R38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4">
        <f>IF(AND(NOT(ISBLANK(ReconciliationData[[#This Row],[Contract_Price]])),ReconciliationData[[#This Row],[Billed_Price]]&lt;&gt;ReconciliationData[[#This Row],[Contract_Price]]),1,0)</f>
        <v>0</v>
      </c>
      <c r="T3834">
        <f>IF(AND(NOT(ISBLANK(ReconciliationData[[#This Row],[End_Date]])),ReconciliationData[[#This Row],[Order_Date]]&gt;ReconciliationData[[#This Row],[End_Date]]),1,0)</f>
        <v>0</v>
      </c>
      <c r="U3834">
        <f>IF(AND(NOT(ISBLANK(ReconciliationData[[#This Row],[last_return_date]])),ReconciliationData[[#This Row],[last_return_date]]&gt;ReconciliationData[[#This Row],[Order_Date]]+60),1,0)</f>
        <v>0</v>
      </c>
      <c r="V3834">
        <f>IF(ReconciliationData[[#This Row],[total_returned_units]]&gt;ReconciliationData[[#This Row],[ordered_units]],1,0)</f>
        <v>0</v>
      </c>
      <c r="W38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34">
        <f>ReconciliationData[[#This Row],[Billed_Units]]*ReconciliationData[[#This Row],[Billed_Price]]</f>
        <v>3671.9081999999999</v>
      </c>
      <c r="Y3834">
        <f>ReconciliationData[[#This Row],[ordered_units]]*ReconciliationData[[#This Row],[List_Price]]</f>
        <v>3671.9081999999999</v>
      </c>
      <c r="Z3834">
        <f>ReconciliationData[[#This Row],[billed_revenue]]-ReconciliationData[[#This Row],[expected_revenue]]</f>
        <v>0</v>
      </c>
      <c r="AA38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34" t="str">
        <f>IF(ReconciliationData[[#This Row],[severity_score]]=0,"LOW",
 IF(ReconciliationData[[#This Row],[severity_score]]&lt;=5,"MEDIUM","HIGH"))</f>
        <v>LOW</v>
      </c>
      <c r="AC3834" t="str">
        <f>TEXT(ReconciliationData[[#This Row],[Order_Date]],"YYYY-MM")</f>
        <v>2024-04</v>
      </c>
    </row>
    <row r="3835" spans="1:29">
      <c r="A3835" t="s">
        <v>8892</v>
      </c>
      <c r="B3835" s="1">
        <v>45334</v>
      </c>
      <c r="C3835" t="s">
        <v>1936</v>
      </c>
      <c r="D3835" t="s">
        <v>1309</v>
      </c>
      <c r="E3835">
        <v>34</v>
      </c>
      <c r="F3835" t="s">
        <v>8893</v>
      </c>
      <c r="G3835">
        <v>33</v>
      </c>
      <c r="H3835">
        <v>906.88919999999996</v>
      </c>
      <c r="N3835">
        <v>906.88919999999996</v>
      </c>
      <c r="O3835" s="1">
        <v>44991</v>
      </c>
      <c r="P3835">
        <f>IF(ISBLANK(ReconciliationData[[#This Row],[Invoice_ID]]),1,0)</f>
        <v>0</v>
      </c>
      <c r="Q3835">
        <f>IF(AND(NOT(ISBLANK(ReconciliationData[[#This Row],[Billed_Units]])),ReconciliationData[[#This Row],[ordered_units]]&lt;&gt;ReconciliationData[[#This Row],[Billed_Units]]),1,0)</f>
        <v>1</v>
      </c>
      <c r="R38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5">
        <f>IF(AND(NOT(ISBLANK(ReconciliationData[[#This Row],[Contract_Price]])),ReconciliationData[[#This Row],[Billed_Price]]&lt;&gt;ReconciliationData[[#This Row],[Contract_Price]]),1,0)</f>
        <v>0</v>
      </c>
      <c r="T3835">
        <f>IF(AND(NOT(ISBLANK(ReconciliationData[[#This Row],[End_Date]])),ReconciliationData[[#This Row],[Order_Date]]&gt;ReconciliationData[[#This Row],[End_Date]]),1,0)</f>
        <v>0</v>
      </c>
      <c r="U3835">
        <f>IF(AND(NOT(ISBLANK(ReconciliationData[[#This Row],[last_return_date]])),ReconciliationData[[#This Row],[last_return_date]]&gt;ReconciliationData[[#This Row],[Order_Date]]+60),1,0)</f>
        <v>0</v>
      </c>
      <c r="V3835">
        <f>IF(ReconciliationData[[#This Row],[total_returned_units]]&gt;ReconciliationData[[#This Row],[ordered_units]],1,0)</f>
        <v>0</v>
      </c>
      <c r="W38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35">
        <f>ReconciliationData[[#This Row],[Billed_Units]]*ReconciliationData[[#This Row],[Billed_Price]]</f>
        <v>29927.3436</v>
      </c>
      <c r="Y3835">
        <f>ReconciliationData[[#This Row],[ordered_units]]*ReconciliationData[[#This Row],[List_Price]]</f>
        <v>30834.232799999998</v>
      </c>
      <c r="Z3835">
        <f>ReconciliationData[[#This Row],[billed_revenue]]-ReconciliationData[[#This Row],[expected_revenue]]</f>
        <v>-906.8891999999978</v>
      </c>
      <c r="AA38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835" t="str">
        <f>IF(ReconciliationData[[#This Row],[severity_score]]=0,"LOW",
 IF(ReconciliationData[[#This Row],[severity_score]]&lt;=5,"MEDIUM","HIGH"))</f>
        <v>HIGH</v>
      </c>
      <c r="AC3835" t="str">
        <f>TEXT(ReconciliationData[[#This Row],[Order_Date]],"YYYY-MM")</f>
        <v>2024-02</v>
      </c>
    </row>
    <row r="3836" spans="1:29">
      <c r="A3836" t="s">
        <v>8894</v>
      </c>
      <c r="B3836" s="1">
        <v>45088</v>
      </c>
      <c r="C3836" t="s">
        <v>197</v>
      </c>
      <c r="D3836" t="s">
        <v>1491</v>
      </c>
      <c r="E3836">
        <v>172</v>
      </c>
      <c r="F3836" t="s">
        <v>8895</v>
      </c>
      <c r="G3836">
        <v>172</v>
      </c>
      <c r="H3836">
        <v>901.83</v>
      </c>
      <c r="N3836">
        <v>901.83</v>
      </c>
      <c r="O3836" s="1">
        <v>44946</v>
      </c>
      <c r="P3836">
        <f>IF(ISBLANK(ReconciliationData[[#This Row],[Invoice_ID]]),1,0)</f>
        <v>0</v>
      </c>
      <c r="Q3836">
        <f>IF(AND(NOT(ISBLANK(ReconciliationData[[#This Row],[Billed_Units]])),ReconciliationData[[#This Row],[ordered_units]]&lt;&gt;ReconciliationData[[#This Row],[Billed_Units]]),1,0)</f>
        <v>0</v>
      </c>
      <c r="R38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6">
        <f>IF(AND(NOT(ISBLANK(ReconciliationData[[#This Row],[Contract_Price]])),ReconciliationData[[#This Row],[Billed_Price]]&lt;&gt;ReconciliationData[[#This Row],[Contract_Price]]),1,0)</f>
        <v>0</v>
      </c>
      <c r="T3836">
        <f>IF(AND(NOT(ISBLANK(ReconciliationData[[#This Row],[End_Date]])),ReconciliationData[[#This Row],[Order_Date]]&gt;ReconciliationData[[#This Row],[End_Date]]),1,0)</f>
        <v>0</v>
      </c>
      <c r="U3836">
        <f>IF(AND(NOT(ISBLANK(ReconciliationData[[#This Row],[last_return_date]])),ReconciliationData[[#This Row],[last_return_date]]&gt;ReconciliationData[[#This Row],[Order_Date]]+60),1,0)</f>
        <v>0</v>
      </c>
      <c r="V3836">
        <f>IF(ReconciliationData[[#This Row],[total_returned_units]]&gt;ReconciliationData[[#This Row],[ordered_units]],1,0)</f>
        <v>0</v>
      </c>
      <c r="W38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36">
        <f>ReconciliationData[[#This Row],[Billed_Units]]*ReconciliationData[[#This Row],[Billed_Price]]</f>
        <v>155114.76</v>
      </c>
      <c r="Y3836">
        <f>ReconciliationData[[#This Row],[ordered_units]]*ReconciliationData[[#This Row],[List_Price]]</f>
        <v>155114.76</v>
      </c>
      <c r="Z3836">
        <f>ReconciliationData[[#This Row],[billed_revenue]]-ReconciliationData[[#This Row],[expected_revenue]]</f>
        <v>0</v>
      </c>
      <c r="AA38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36" t="str">
        <f>IF(ReconciliationData[[#This Row],[severity_score]]=0,"LOW",
 IF(ReconciliationData[[#This Row],[severity_score]]&lt;=5,"MEDIUM","HIGH"))</f>
        <v>LOW</v>
      </c>
      <c r="AC3836" t="str">
        <f>TEXT(ReconciliationData[[#This Row],[Order_Date]],"YYYY-MM")</f>
        <v>2023-06</v>
      </c>
    </row>
    <row r="3837" spans="1:29">
      <c r="A3837" t="s">
        <v>8896</v>
      </c>
      <c r="B3837" s="1">
        <v>45006</v>
      </c>
      <c r="C3837" t="s">
        <v>547</v>
      </c>
      <c r="D3837" t="s">
        <v>279</v>
      </c>
      <c r="E3837">
        <v>12</v>
      </c>
      <c r="F3837" t="s">
        <v>8897</v>
      </c>
      <c r="G3837">
        <v>12</v>
      </c>
      <c r="H3837">
        <v>1131.7511999999999</v>
      </c>
      <c r="N3837">
        <v>1131.7511999999999</v>
      </c>
      <c r="O3837" s="1">
        <v>44806</v>
      </c>
      <c r="P3837">
        <f>IF(ISBLANK(ReconciliationData[[#This Row],[Invoice_ID]]),1,0)</f>
        <v>0</v>
      </c>
      <c r="Q3837">
        <f>IF(AND(NOT(ISBLANK(ReconciliationData[[#This Row],[Billed_Units]])),ReconciliationData[[#This Row],[ordered_units]]&lt;&gt;ReconciliationData[[#This Row],[Billed_Units]]),1,0)</f>
        <v>0</v>
      </c>
      <c r="R38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7">
        <f>IF(AND(NOT(ISBLANK(ReconciliationData[[#This Row],[Contract_Price]])),ReconciliationData[[#This Row],[Billed_Price]]&lt;&gt;ReconciliationData[[#This Row],[Contract_Price]]),1,0)</f>
        <v>0</v>
      </c>
      <c r="T3837">
        <f>IF(AND(NOT(ISBLANK(ReconciliationData[[#This Row],[End_Date]])),ReconciliationData[[#This Row],[Order_Date]]&gt;ReconciliationData[[#This Row],[End_Date]]),1,0)</f>
        <v>0</v>
      </c>
      <c r="U3837">
        <f>IF(AND(NOT(ISBLANK(ReconciliationData[[#This Row],[last_return_date]])),ReconciliationData[[#This Row],[last_return_date]]&gt;ReconciliationData[[#This Row],[Order_Date]]+60),1,0)</f>
        <v>0</v>
      </c>
      <c r="V3837">
        <f>IF(ReconciliationData[[#This Row],[total_returned_units]]&gt;ReconciliationData[[#This Row],[ordered_units]],1,0)</f>
        <v>0</v>
      </c>
      <c r="W38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37">
        <f>ReconciliationData[[#This Row],[Billed_Units]]*ReconciliationData[[#This Row],[Billed_Price]]</f>
        <v>13581.0144</v>
      </c>
      <c r="Y3837">
        <f>ReconciliationData[[#This Row],[ordered_units]]*ReconciliationData[[#This Row],[List_Price]]</f>
        <v>13581.0144</v>
      </c>
      <c r="Z3837">
        <f>ReconciliationData[[#This Row],[billed_revenue]]-ReconciliationData[[#This Row],[expected_revenue]]</f>
        <v>0</v>
      </c>
      <c r="AA38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37" t="str">
        <f>IF(ReconciliationData[[#This Row],[severity_score]]=0,"LOW",
 IF(ReconciliationData[[#This Row],[severity_score]]&lt;=5,"MEDIUM","HIGH"))</f>
        <v>LOW</v>
      </c>
      <c r="AC3837" t="str">
        <f>TEXT(ReconciliationData[[#This Row],[Order_Date]],"YYYY-MM")</f>
        <v>2023-03</v>
      </c>
    </row>
    <row r="3838" spans="1:29">
      <c r="A3838" t="s">
        <v>8898</v>
      </c>
      <c r="B3838" s="1">
        <v>44987</v>
      </c>
      <c r="C3838" t="s">
        <v>1232</v>
      </c>
      <c r="D3838" t="s">
        <v>1487</v>
      </c>
      <c r="E3838">
        <v>164</v>
      </c>
      <c r="F3838" t="s">
        <v>8899</v>
      </c>
      <c r="G3838">
        <v>164</v>
      </c>
      <c r="H3838">
        <v>257.77999999999997</v>
      </c>
      <c r="N3838">
        <v>257.77999999999997</v>
      </c>
      <c r="O3838" s="1">
        <v>44725</v>
      </c>
      <c r="P3838">
        <f>IF(ISBLANK(ReconciliationData[[#This Row],[Invoice_ID]]),1,0)</f>
        <v>0</v>
      </c>
      <c r="Q3838">
        <f>IF(AND(NOT(ISBLANK(ReconciliationData[[#This Row],[Billed_Units]])),ReconciliationData[[#This Row],[ordered_units]]&lt;&gt;ReconciliationData[[#This Row],[Billed_Units]]),1,0)</f>
        <v>0</v>
      </c>
      <c r="R38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8">
        <f>IF(AND(NOT(ISBLANK(ReconciliationData[[#This Row],[Contract_Price]])),ReconciliationData[[#This Row],[Billed_Price]]&lt;&gt;ReconciliationData[[#This Row],[Contract_Price]]),1,0)</f>
        <v>0</v>
      </c>
      <c r="T3838">
        <f>IF(AND(NOT(ISBLANK(ReconciliationData[[#This Row],[End_Date]])),ReconciliationData[[#This Row],[Order_Date]]&gt;ReconciliationData[[#This Row],[End_Date]]),1,0)</f>
        <v>0</v>
      </c>
      <c r="U3838">
        <f>IF(AND(NOT(ISBLANK(ReconciliationData[[#This Row],[last_return_date]])),ReconciliationData[[#This Row],[last_return_date]]&gt;ReconciliationData[[#This Row],[Order_Date]]+60),1,0)</f>
        <v>0</v>
      </c>
      <c r="V3838">
        <f>IF(ReconciliationData[[#This Row],[total_returned_units]]&gt;ReconciliationData[[#This Row],[ordered_units]],1,0)</f>
        <v>0</v>
      </c>
      <c r="W38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38">
        <f>ReconciliationData[[#This Row],[Billed_Units]]*ReconciliationData[[#This Row],[Billed_Price]]</f>
        <v>42275.92</v>
      </c>
      <c r="Y3838">
        <f>ReconciliationData[[#This Row],[ordered_units]]*ReconciliationData[[#This Row],[List_Price]]</f>
        <v>42275.92</v>
      </c>
      <c r="Z3838">
        <f>ReconciliationData[[#This Row],[billed_revenue]]-ReconciliationData[[#This Row],[expected_revenue]]</f>
        <v>0</v>
      </c>
      <c r="AA38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38" t="str">
        <f>IF(ReconciliationData[[#This Row],[severity_score]]=0,"LOW",
 IF(ReconciliationData[[#This Row],[severity_score]]&lt;=5,"MEDIUM","HIGH"))</f>
        <v>LOW</v>
      </c>
      <c r="AC3838" t="str">
        <f>TEXT(ReconciliationData[[#This Row],[Order_Date]],"YYYY-MM")</f>
        <v>2023-03</v>
      </c>
    </row>
    <row r="3839" spans="1:29">
      <c r="A3839" t="s">
        <v>8900</v>
      </c>
      <c r="B3839" s="1">
        <v>45646</v>
      </c>
      <c r="C3839" t="s">
        <v>3063</v>
      </c>
      <c r="D3839" t="s">
        <v>381</v>
      </c>
      <c r="E3839">
        <v>60</v>
      </c>
      <c r="F3839" t="s">
        <v>8901</v>
      </c>
      <c r="G3839">
        <v>58</v>
      </c>
      <c r="H3839">
        <v>942.54840000000013</v>
      </c>
      <c r="N3839">
        <v>942.54840000000013</v>
      </c>
      <c r="O3839" s="1">
        <v>45086</v>
      </c>
      <c r="P3839">
        <f>IF(ISBLANK(ReconciliationData[[#This Row],[Invoice_ID]]),1,0)</f>
        <v>0</v>
      </c>
      <c r="Q3839">
        <f>IF(AND(NOT(ISBLANK(ReconciliationData[[#This Row],[Billed_Units]])),ReconciliationData[[#This Row],[ordered_units]]&lt;&gt;ReconciliationData[[#This Row],[Billed_Units]]),1,0)</f>
        <v>1</v>
      </c>
      <c r="R38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39">
        <f>IF(AND(NOT(ISBLANK(ReconciliationData[[#This Row],[Contract_Price]])),ReconciliationData[[#This Row],[Billed_Price]]&lt;&gt;ReconciliationData[[#This Row],[Contract_Price]]),1,0)</f>
        <v>0</v>
      </c>
      <c r="T3839">
        <f>IF(AND(NOT(ISBLANK(ReconciliationData[[#This Row],[End_Date]])),ReconciliationData[[#This Row],[Order_Date]]&gt;ReconciliationData[[#This Row],[End_Date]]),1,0)</f>
        <v>0</v>
      </c>
      <c r="U3839">
        <f>IF(AND(NOT(ISBLANK(ReconciliationData[[#This Row],[last_return_date]])),ReconciliationData[[#This Row],[last_return_date]]&gt;ReconciliationData[[#This Row],[Order_Date]]+60),1,0)</f>
        <v>0</v>
      </c>
      <c r="V3839">
        <f>IF(ReconciliationData[[#This Row],[total_returned_units]]&gt;ReconciliationData[[#This Row],[ordered_units]],1,0)</f>
        <v>0</v>
      </c>
      <c r="W38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39">
        <f>ReconciliationData[[#This Row],[Billed_Units]]*ReconciliationData[[#This Row],[Billed_Price]]</f>
        <v>54667.80720000001</v>
      </c>
      <c r="Y3839">
        <f>ReconciliationData[[#This Row],[ordered_units]]*ReconciliationData[[#This Row],[List_Price]]</f>
        <v>56552.90400000001</v>
      </c>
      <c r="Z3839">
        <f>ReconciliationData[[#This Row],[billed_revenue]]-ReconciliationData[[#This Row],[expected_revenue]]</f>
        <v>-1885.0967999999993</v>
      </c>
      <c r="AA38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839" t="str">
        <f>IF(ReconciliationData[[#This Row],[severity_score]]=0,"LOW",
 IF(ReconciliationData[[#This Row],[severity_score]]&lt;=5,"MEDIUM","HIGH"))</f>
        <v>HIGH</v>
      </c>
      <c r="AC3839" t="str">
        <f>TEXT(ReconciliationData[[#This Row],[Order_Date]],"YYYY-MM")</f>
        <v>2024-12</v>
      </c>
    </row>
    <row r="3840" spans="1:29">
      <c r="A3840" t="s">
        <v>8902</v>
      </c>
      <c r="B3840" s="1">
        <v>44977</v>
      </c>
      <c r="C3840" t="s">
        <v>6251</v>
      </c>
      <c r="D3840" t="s">
        <v>385</v>
      </c>
      <c r="E3840">
        <v>86</v>
      </c>
      <c r="F3840" t="s">
        <v>8903</v>
      </c>
      <c r="G3840">
        <v>86</v>
      </c>
      <c r="H3840">
        <v>1087.8191999999999</v>
      </c>
      <c r="N3840">
        <v>1087.8191999999999</v>
      </c>
      <c r="O3840" s="1">
        <v>44844</v>
      </c>
      <c r="P3840">
        <f>IF(ISBLANK(ReconciliationData[[#This Row],[Invoice_ID]]),1,0)</f>
        <v>0</v>
      </c>
      <c r="Q3840">
        <f>IF(AND(NOT(ISBLANK(ReconciliationData[[#This Row],[Billed_Units]])),ReconciliationData[[#This Row],[ordered_units]]&lt;&gt;ReconciliationData[[#This Row],[Billed_Units]]),1,0)</f>
        <v>0</v>
      </c>
      <c r="R38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40">
        <f>IF(AND(NOT(ISBLANK(ReconciliationData[[#This Row],[Contract_Price]])),ReconciliationData[[#This Row],[Billed_Price]]&lt;&gt;ReconciliationData[[#This Row],[Contract_Price]]),1,0)</f>
        <v>0</v>
      </c>
      <c r="T3840">
        <f>IF(AND(NOT(ISBLANK(ReconciliationData[[#This Row],[End_Date]])),ReconciliationData[[#This Row],[Order_Date]]&gt;ReconciliationData[[#This Row],[End_Date]]),1,0)</f>
        <v>0</v>
      </c>
      <c r="U3840">
        <f>IF(AND(NOT(ISBLANK(ReconciliationData[[#This Row],[last_return_date]])),ReconciliationData[[#This Row],[last_return_date]]&gt;ReconciliationData[[#This Row],[Order_Date]]+60),1,0)</f>
        <v>0</v>
      </c>
      <c r="V3840">
        <f>IF(ReconciliationData[[#This Row],[total_returned_units]]&gt;ReconciliationData[[#This Row],[ordered_units]],1,0)</f>
        <v>0</v>
      </c>
      <c r="W38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40">
        <f>ReconciliationData[[#This Row],[Billed_Units]]*ReconciliationData[[#This Row],[Billed_Price]]</f>
        <v>93552.451199999996</v>
      </c>
      <c r="Y3840">
        <f>ReconciliationData[[#This Row],[ordered_units]]*ReconciliationData[[#This Row],[List_Price]]</f>
        <v>93552.451199999996</v>
      </c>
      <c r="Z3840">
        <f>ReconciliationData[[#This Row],[billed_revenue]]-ReconciliationData[[#This Row],[expected_revenue]]</f>
        <v>0</v>
      </c>
      <c r="AA38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40" t="str">
        <f>IF(ReconciliationData[[#This Row],[severity_score]]=0,"LOW",
 IF(ReconciliationData[[#This Row],[severity_score]]&lt;=5,"MEDIUM","HIGH"))</f>
        <v>LOW</v>
      </c>
      <c r="AC3840" t="str">
        <f>TEXT(ReconciliationData[[#This Row],[Order_Date]],"YYYY-MM")</f>
        <v>2023-02</v>
      </c>
    </row>
    <row r="3841" spans="1:29">
      <c r="A3841" t="s">
        <v>8904</v>
      </c>
      <c r="B3841" s="1">
        <v>45422</v>
      </c>
      <c r="C3841" t="s">
        <v>609</v>
      </c>
      <c r="D3841" t="s">
        <v>651</v>
      </c>
      <c r="E3841">
        <v>124</v>
      </c>
      <c r="F3841" t="s">
        <v>8905</v>
      </c>
      <c r="G3841">
        <v>124</v>
      </c>
      <c r="H3841">
        <v>214.6182</v>
      </c>
      <c r="N3841">
        <v>214.6182</v>
      </c>
      <c r="O3841" s="1">
        <v>45116</v>
      </c>
      <c r="P3841">
        <f>IF(ISBLANK(ReconciliationData[[#This Row],[Invoice_ID]]),1,0)</f>
        <v>0</v>
      </c>
      <c r="Q3841">
        <f>IF(AND(NOT(ISBLANK(ReconciliationData[[#This Row],[Billed_Units]])),ReconciliationData[[#This Row],[ordered_units]]&lt;&gt;ReconciliationData[[#This Row],[Billed_Units]]),1,0)</f>
        <v>0</v>
      </c>
      <c r="R38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41">
        <f>IF(AND(NOT(ISBLANK(ReconciliationData[[#This Row],[Contract_Price]])),ReconciliationData[[#This Row],[Billed_Price]]&lt;&gt;ReconciliationData[[#This Row],[Contract_Price]]),1,0)</f>
        <v>0</v>
      </c>
      <c r="T3841">
        <f>IF(AND(NOT(ISBLANK(ReconciliationData[[#This Row],[End_Date]])),ReconciliationData[[#This Row],[Order_Date]]&gt;ReconciliationData[[#This Row],[End_Date]]),1,0)</f>
        <v>0</v>
      </c>
      <c r="U3841">
        <f>IF(AND(NOT(ISBLANK(ReconciliationData[[#This Row],[last_return_date]])),ReconciliationData[[#This Row],[last_return_date]]&gt;ReconciliationData[[#This Row],[Order_Date]]+60),1,0)</f>
        <v>0</v>
      </c>
      <c r="V3841">
        <f>IF(ReconciliationData[[#This Row],[total_returned_units]]&gt;ReconciliationData[[#This Row],[ordered_units]],1,0)</f>
        <v>0</v>
      </c>
      <c r="W38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41">
        <f>ReconciliationData[[#This Row],[Billed_Units]]*ReconciliationData[[#This Row],[Billed_Price]]</f>
        <v>26612.656800000001</v>
      </c>
      <c r="Y3841">
        <f>ReconciliationData[[#This Row],[ordered_units]]*ReconciliationData[[#This Row],[List_Price]]</f>
        <v>26612.656800000001</v>
      </c>
      <c r="Z3841">
        <f>ReconciliationData[[#This Row],[billed_revenue]]-ReconciliationData[[#This Row],[expected_revenue]]</f>
        <v>0</v>
      </c>
      <c r="AA38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41" t="str">
        <f>IF(ReconciliationData[[#This Row],[severity_score]]=0,"LOW",
 IF(ReconciliationData[[#This Row],[severity_score]]&lt;=5,"MEDIUM","HIGH"))</f>
        <v>LOW</v>
      </c>
      <c r="AC3841" t="str">
        <f>TEXT(ReconciliationData[[#This Row],[Order_Date]],"YYYY-MM")</f>
        <v>2024-05</v>
      </c>
    </row>
    <row r="3842" spans="1:29">
      <c r="A3842" t="s">
        <v>8906</v>
      </c>
      <c r="B3842" s="1">
        <v>45111</v>
      </c>
      <c r="C3842" t="s">
        <v>1010</v>
      </c>
      <c r="D3842" t="s">
        <v>134</v>
      </c>
      <c r="E3842">
        <v>48</v>
      </c>
      <c r="F3842" t="s">
        <v>8907</v>
      </c>
      <c r="G3842">
        <v>48</v>
      </c>
      <c r="H3842">
        <v>502.88930000000011</v>
      </c>
      <c r="N3842">
        <v>502.88930000000011</v>
      </c>
      <c r="O3842" s="1">
        <v>44922</v>
      </c>
      <c r="P3842">
        <f>IF(ISBLANK(ReconciliationData[[#This Row],[Invoice_ID]]),1,0)</f>
        <v>0</v>
      </c>
      <c r="Q3842">
        <f>IF(AND(NOT(ISBLANK(ReconciliationData[[#This Row],[Billed_Units]])),ReconciliationData[[#This Row],[ordered_units]]&lt;&gt;ReconciliationData[[#This Row],[Billed_Units]]),1,0)</f>
        <v>0</v>
      </c>
      <c r="R38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42">
        <f>IF(AND(NOT(ISBLANK(ReconciliationData[[#This Row],[Contract_Price]])),ReconciliationData[[#This Row],[Billed_Price]]&lt;&gt;ReconciliationData[[#This Row],[Contract_Price]]),1,0)</f>
        <v>0</v>
      </c>
      <c r="T3842">
        <f>IF(AND(NOT(ISBLANK(ReconciliationData[[#This Row],[End_Date]])),ReconciliationData[[#This Row],[Order_Date]]&gt;ReconciliationData[[#This Row],[End_Date]]),1,0)</f>
        <v>0</v>
      </c>
      <c r="U3842">
        <f>IF(AND(NOT(ISBLANK(ReconciliationData[[#This Row],[last_return_date]])),ReconciliationData[[#This Row],[last_return_date]]&gt;ReconciliationData[[#This Row],[Order_Date]]+60),1,0)</f>
        <v>0</v>
      </c>
      <c r="V3842">
        <f>IF(ReconciliationData[[#This Row],[total_returned_units]]&gt;ReconciliationData[[#This Row],[ordered_units]],1,0)</f>
        <v>0</v>
      </c>
      <c r="W38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42">
        <f>ReconciliationData[[#This Row],[Billed_Units]]*ReconciliationData[[#This Row],[Billed_Price]]</f>
        <v>24138.686400000006</v>
      </c>
      <c r="Y3842">
        <f>ReconciliationData[[#This Row],[ordered_units]]*ReconciliationData[[#This Row],[List_Price]]</f>
        <v>24138.686400000006</v>
      </c>
      <c r="Z3842">
        <f>ReconciliationData[[#This Row],[billed_revenue]]-ReconciliationData[[#This Row],[expected_revenue]]</f>
        <v>0</v>
      </c>
      <c r="AA38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42" t="str">
        <f>IF(ReconciliationData[[#This Row],[severity_score]]=0,"LOW",
 IF(ReconciliationData[[#This Row],[severity_score]]&lt;=5,"MEDIUM","HIGH"))</f>
        <v>LOW</v>
      </c>
      <c r="AC3842" t="str">
        <f>TEXT(ReconciliationData[[#This Row],[Order_Date]],"YYYY-MM")</f>
        <v>2023-07</v>
      </c>
    </row>
    <row r="3843" spans="1:29">
      <c r="A3843" t="s">
        <v>8908</v>
      </c>
      <c r="B3843" s="1">
        <v>44990</v>
      </c>
      <c r="C3843" t="s">
        <v>810</v>
      </c>
      <c r="D3843" t="s">
        <v>1961</v>
      </c>
      <c r="E3843">
        <v>131</v>
      </c>
      <c r="F3843" t="s">
        <v>8909</v>
      </c>
      <c r="G3843">
        <v>131</v>
      </c>
      <c r="H3843">
        <v>717.16189753954166</v>
      </c>
      <c r="N3843">
        <v>717.0471</v>
      </c>
      <c r="O3843" s="1">
        <v>44984</v>
      </c>
      <c r="P3843">
        <f>IF(ISBLANK(ReconciliationData[[#This Row],[Invoice_ID]]),1,0)</f>
        <v>0</v>
      </c>
      <c r="Q3843">
        <f>IF(AND(NOT(ISBLANK(ReconciliationData[[#This Row],[Billed_Units]])),ReconciliationData[[#This Row],[ordered_units]]&lt;&gt;ReconciliationData[[#This Row],[Billed_Units]]),1,0)</f>
        <v>0</v>
      </c>
      <c r="R384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843">
        <f>IF(AND(NOT(ISBLANK(ReconciliationData[[#This Row],[Contract_Price]])),ReconciliationData[[#This Row],[Billed_Price]]&lt;&gt;ReconciliationData[[#This Row],[Contract_Price]]),1,0)</f>
        <v>0</v>
      </c>
      <c r="T3843">
        <f>IF(AND(NOT(ISBLANK(ReconciliationData[[#This Row],[End_Date]])),ReconciliationData[[#This Row],[Order_Date]]&gt;ReconciliationData[[#This Row],[End_Date]]),1,0)</f>
        <v>0</v>
      </c>
      <c r="U3843">
        <f>IF(AND(NOT(ISBLANK(ReconciliationData[[#This Row],[last_return_date]])),ReconciliationData[[#This Row],[last_return_date]]&gt;ReconciliationData[[#This Row],[Order_Date]]+60),1,0)</f>
        <v>0</v>
      </c>
      <c r="V3843">
        <f>IF(ReconciliationData[[#This Row],[total_returned_units]]&gt;ReconciliationData[[#This Row],[ordered_units]],1,0)</f>
        <v>0</v>
      </c>
      <c r="W38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43">
        <f>ReconciliationData[[#This Row],[Billed_Units]]*ReconciliationData[[#This Row],[Billed_Price]]</f>
        <v>93948.20857767995</v>
      </c>
      <c r="Y3843">
        <f>ReconciliationData[[#This Row],[ordered_units]]*ReconciliationData[[#This Row],[List_Price]]</f>
        <v>93933.170100000003</v>
      </c>
      <c r="Z3843">
        <f>ReconciliationData[[#This Row],[billed_revenue]]-ReconciliationData[[#This Row],[expected_revenue]]</f>
        <v>15.038477679947391</v>
      </c>
      <c r="AA38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843" t="str">
        <f>IF(ReconciliationData[[#This Row],[severity_score]]=0,"LOW",
 IF(ReconciliationData[[#This Row],[severity_score]]&lt;=5,"MEDIUM","HIGH"))</f>
        <v>MEDIUM</v>
      </c>
      <c r="AC3843" t="str">
        <f>TEXT(ReconciliationData[[#This Row],[Order_Date]],"YYYY-MM")</f>
        <v>2023-03</v>
      </c>
    </row>
    <row r="3844" spans="1:29">
      <c r="A3844" t="s">
        <v>8910</v>
      </c>
      <c r="B3844" s="1">
        <v>45349</v>
      </c>
      <c r="C3844" t="s">
        <v>813</v>
      </c>
      <c r="D3844" t="s">
        <v>397</v>
      </c>
      <c r="E3844">
        <v>185</v>
      </c>
      <c r="F3844" t="s">
        <v>8911</v>
      </c>
      <c r="G3844">
        <v>185</v>
      </c>
      <c r="H3844">
        <v>96.6</v>
      </c>
      <c r="N3844">
        <v>96.6</v>
      </c>
      <c r="O3844" s="1">
        <v>45105</v>
      </c>
      <c r="P3844">
        <f>IF(ISBLANK(ReconciliationData[[#This Row],[Invoice_ID]]),1,0)</f>
        <v>0</v>
      </c>
      <c r="Q3844">
        <f>IF(AND(NOT(ISBLANK(ReconciliationData[[#This Row],[Billed_Units]])),ReconciliationData[[#This Row],[ordered_units]]&lt;&gt;ReconciliationData[[#This Row],[Billed_Units]]),1,0)</f>
        <v>0</v>
      </c>
      <c r="R38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44">
        <f>IF(AND(NOT(ISBLANK(ReconciliationData[[#This Row],[Contract_Price]])),ReconciliationData[[#This Row],[Billed_Price]]&lt;&gt;ReconciliationData[[#This Row],[Contract_Price]]),1,0)</f>
        <v>0</v>
      </c>
      <c r="T3844">
        <f>IF(AND(NOT(ISBLANK(ReconciliationData[[#This Row],[End_Date]])),ReconciliationData[[#This Row],[Order_Date]]&gt;ReconciliationData[[#This Row],[End_Date]]),1,0)</f>
        <v>0</v>
      </c>
      <c r="U3844">
        <f>IF(AND(NOT(ISBLANK(ReconciliationData[[#This Row],[last_return_date]])),ReconciliationData[[#This Row],[last_return_date]]&gt;ReconciliationData[[#This Row],[Order_Date]]+60),1,0)</f>
        <v>0</v>
      </c>
      <c r="V3844">
        <f>IF(ReconciliationData[[#This Row],[total_returned_units]]&gt;ReconciliationData[[#This Row],[ordered_units]],1,0)</f>
        <v>0</v>
      </c>
      <c r="W38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44">
        <f>ReconciliationData[[#This Row],[Billed_Units]]*ReconciliationData[[#This Row],[Billed_Price]]</f>
        <v>17871</v>
      </c>
      <c r="Y3844">
        <f>ReconciliationData[[#This Row],[ordered_units]]*ReconciliationData[[#This Row],[List_Price]]</f>
        <v>17871</v>
      </c>
      <c r="Z3844">
        <f>ReconciliationData[[#This Row],[billed_revenue]]-ReconciliationData[[#This Row],[expected_revenue]]</f>
        <v>0</v>
      </c>
      <c r="AA38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44" t="str">
        <f>IF(ReconciliationData[[#This Row],[severity_score]]=0,"LOW",
 IF(ReconciliationData[[#This Row],[severity_score]]&lt;=5,"MEDIUM","HIGH"))</f>
        <v>LOW</v>
      </c>
      <c r="AC3844" t="str">
        <f>TEXT(ReconciliationData[[#This Row],[Order_Date]],"YYYY-MM")</f>
        <v>2024-02</v>
      </c>
    </row>
    <row r="3845" spans="1:29">
      <c r="A3845" t="s">
        <v>8912</v>
      </c>
      <c r="B3845" s="1">
        <v>45352</v>
      </c>
      <c r="C3845" t="s">
        <v>638</v>
      </c>
      <c r="D3845" t="s">
        <v>2489</v>
      </c>
      <c r="E3845">
        <v>157</v>
      </c>
      <c r="F3845" t="s">
        <v>8913</v>
      </c>
      <c r="G3845">
        <v>157</v>
      </c>
      <c r="H3845">
        <v>544.5</v>
      </c>
      <c r="N3845">
        <v>544.5</v>
      </c>
      <c r="O3845" s="1">
        <v>45159</v>
      </c>
      <c r="P3845">
        <f>IF(ISBLANK(ReconciliationData[[#This Row],[Invoice_ID]]),1,0)</f>
        <v>0</v>
      </c>
      <c r="Q3845">
        <f>IF(AND(NOT(ISBLANK(ReconciliationData[[#This Row],[Billed_Units]])),ReconciliationData[[#This Row],[ordered_units]]&lt;&gt;ReconciliationData[[#This Row],[Billed_Units]]),1,0)</f>
        <v>0</v>
      </c>
      <c r="R38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45">
        <f>IF(AND(NOT(ISBLANK(ReconciliationData[[#This Row],[Contract_Price]])),ReconciliationData[[#This Row],[Billed_Price]]&lt;&gt;ReconciliationData[[#This Row],[Contract_Price]]),1,0)</f>
        <v>0</v>
      </c>
      <c r="T3845">
        <f>IF(AND(NOT(ISBLANK(ReconciliationData[[#This Row],[End_Date]])),ReconciliationData[[#This Row],[Order_Date]]&gt;ReconciliationData[[#This Row],[End_Date]]),1,0)</f>
        <v>0</v>
      </c>
      <c r="U3845">
        <f>IF(AND(NOT(ISBLANK(ReconciliationData[[#This Row],[last_return_date]])),ReconciliationData[[#This Row],[last_return_date]]&gt;ReconciliationData[[#This Row],[Order_Date]]+60),1,0)</f>
        <v>0</v>
      </c>
      <c r="V3845">
        <f>IF(ReconciliationData[[#This Row],[total_returned_units]]&gt;ReconciliationData[[#This Row],[ordered_units]],1,0)</f>
        <v>0</v>
      </c>
      <c r="W38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45">
        <f>ReconciliationData[[#This Row],[Billed_Units]]*ReconciliationData[[#This Row],[Billed_Price]]</f>
        <v>85486.5</v>
      </c>
      <c r="Y3845">
        <f>ReconciliationData[[#This Row],[ordered_units]]*ReconciliationData[[#This Row],[List_Price]]</f>
        <v>85486.5</v>
      </c>
      <c r="Z3845">
        <f>ReconciliationData[[#This Row],[billed_revenue]]-ReconciliationData[[#This Row],[expected_revenue]]</f>
        <v>0</v>
      </c>
      <c r="AA38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45" t="str">
        <f>IF(ReconciliationData[[#This Row],[severity_score]]=0,"LOW",
 IF(ReconciliationData[[#This Row],[severity_score]]&lt;=5,"MEDIUM","HIGH"))</f>
        <v>LOW</v>
      </c>
      <c r="AC3845" t="str">
        <f>TEXT(ReconciliationData[[#This Row],[Order_Date]],"YYYY-MM")</f>
        <v>2024-03</v>
      </c>
    </row>
    <row r="3846" spans="1:29">
      <c r="A3846" t="s">
        <v>8914</v>
      </c>
      <c r="B3846" s="1">
        <v>45447</v>
      </c>
      <c r="C3846" t="s">
        <v>3148</v>
      </c>
      <c r="D3846" t="s">
        <v>951</v>
      </c>
      <c r="E3846">
        <v>74</v>
      </c>
      <c r="F3846" t="s">
        <v>8915</v>
      </c>
      <c r="G3846">
        <v>74</v>
      </c>
      <c r="H3846">
        <v>571.32999999999993</v>
      </c>
      <c r="N3846">
        <v>571.32999999999993</v>
      </c>
      <c r="O3846" s="1">
        <v>45206</v>
      </c>
      <c r="P3846">
        <f>IF(ISBLANK(ReconciliationData[[#This Row],[Invoice_ID]]),1,0)</f>
        <v>0</v>
      </c>
      <c r="Q3846">
        <f>IF(AND(NOT(ISBLANK(ReconciliationData[[#This Row],[Billed_Units]])),ReconciliationData[[#This Row],[ordered_units]]&lt;&gt;ReconciliationData[[#This Row],[Billed_Units]]),1,0)</f>
        <v>0</v>
      </c>
      <c r="R38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46">
        <f>IF(AND(NOT(ISBLANK(ReconciliationData[[#This Row],[Contract_Price]])),ReconciliationData[[#This Row],[Billed_Price]]&lt;&gt;ReconciliationData[[#This Row],[Contract_Price]]),1,0)</f>
        <v>0</v>
      </c>
      <c r="T3846">
        <f>IF(AND(NOT(ISBLANK(ReconciliationData[[#This Row],[End_Date]])),ReconciliationData[[#This Row],[Order_Date]]&gt;ReconciliationData[[#This Row],[End_Date]]),1,0)</f>
        <v>0</v>
      </c>
      <c r="U3846">
        <f>IF(AND(NOT(ISBLANK(ReconciliationData[[#This Row],[last_return_date]])),ReconciliationData[[#This Row],[last_return_date]]&gt;ReconciliationData[[#This Row],[Order_Date]]+60),1,0)</f>
        <v>0</v>
      </c>
      <c r="V3846">
        <f>IF(ReconciliationData[[#This Row],[total_returned_units]]&gt;ReconciliationData[[#This Row],[ordered_units]],1,0)</f>
        <v>0</v>
      </c>
      <c r="W38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46">
        <f>ReconciliationData[[#This Row],[Billed_Units]]*ReconciliationData[[#This Row],[Billed_Price]]</f>
        <v>42278.42</v>
      </c>
      <c r="Y3846">
        <f>ReconciliationData[[#This Row],[ordered_units]]*ReconciliationData[[#This Row],[List_Price]]</f>
        <v>42278.42</v>
      </c>
      <c r="Z3846">
        <f>ReconciliationData[[#This Row],[billed_revenue]]-ReconciliationData[[#This Row],[expected_revenue]]</f>
        <v>0</v>
      </c>
      <c r="AA38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46" t="str">
        <f>IF(ReconciliationData[[#This Row],[severity_score]]=0,"LOW",
 IF(ReconciliationData[[#This Row],[severity_score]]&lt;=5,"MEDIUM","HIGH"))</f>
        <v>LOW</v>
      </c>
      <c r="AC3846" t="str">
        <f>TEXT(ReconciliationData[[#This Row],[Order_Date]],"YYYY-MM")</f>
        <v>2024-06</v>
      </c>
    </row>
    <row r="3847" spans="1:29">
      <c r="A3847" t="s">
        <v>8916</v>
      </c>
      <c r="B3847" s="1">
        <v>45466</v>
      </c>
      <c r="C3847" t="s">
        <v>1270</v>
      </c>
      <c r="D3847" t="s">
        <v>667</v>
      </c>
      <c r="E3847">
        <v>37</v>
      </c>
      <c r="F3847" t="s">
        <v>8917</v>
      </c>
      <c r="G3847">
        <v>37</v>
      </c>
      <c r="H3847">
        <v>989.96579999999994</v>
      </c>
      <c r="N3847">
        <v>989.96579999999994</v>
      </c>
      <c r="O3847" s="1">
        <v>44975</v>
      </c>
      <c r="P3847">
        <f>IF(ISBLANK(ReconciliationData[[#This Row],[Invoice_ID]]),1,0)</f>
        <v>0</v>
      </c>
      <c r="Q3847">
        <f>IF(AND(NOT(ISBLANK(ReconciliationData[[#This Row],[Billed_Units]])),ReconciliationData[[#This Row],[ordered_units]]&lt;&gt;ReconciliationData[[#This Row],[Billed_Units]]),1,0)</f>
        <v>0</v>
      </c>
      <c r="R38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47">
        <f>IF(AND(NOT(ISBLANK(ReconciliationData[[#This Row],[Contract_Price]])),ReconciliationData[[#This Row],[Billed_Price]]&lt;&gt;ReconciliationData[[#This Row],[Contract_Price]]),1,0)</f>
        <v>0</v>
      </c>
      <c r="T3847">
        <f>IF(AND(NOT(ISBLANK(ReconciliationData[[#This Row],[End_Date]])),ReconciliationData[[#This Row],[Order_Date]]&gt;ReconciliationData[[#This Row],[End_Date]]),1,0)</f>
        <v>0</v>
      </c>
      <c r="U3847">
        <f>IF(AND(NOT(ISBLANK(ReconciliationData[[#This Row],[last_return_date]])),ReconciliationData[[#This Row],[last_return_date]]&gt;ReconciliationData[[#This Row],[Order_Date]]+60),1,0)</f>
        <v>0</v>
      </c>
      <c r="V3847">
        <f>IF(ReconciliationData[[#This Row],[total_returned_units]]&gt;ReconciliationData[[#This Row],[ordered_units]],1,0)</f>
        <v>0</v>
      </c>
      <c r="W38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47">
        <f>ReconciliationData[[#This Row],[Billed_Units]]*ReconciliationData[[#This Row],[Billed_Price]]</f>
        <v>36628.734599999996</v>
      </c>
      <c r="Y3847">
        <f>ReconciliationData[[#This Row],[ordered_units]]*ReconciliationData[[#This Row],[List_Price]]</f>
        <v>36628.734599999996</v>
      </c>
      <c r="Z3847">
        <f>ReconciliationData[[#This Row],[billed_revenue]]-ReconciliationData[[#This Row],[expected_revenue]]</f>
        <v>0</v>
      </c>
      <c r="AA38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47" t="str">
        <f>IF(ReconciliationData[[#This Row],[severity_score]]=0,"LOW",
 IF(ReconciliationData[[#This Row],[severity_score]]&lt;=5,"MEDIUM","HIGH"))</f>
        <v>LOW</v>
      </c>
      <c r="AC3847" t="str">
        <f>TEXT(ReconciliationData[[#This Row],[Order_Date]],"YYYY-MM")</f>
        <v>2024-06</v>
      </c>
    </row>
    <row r="3848" spans="1:29">
      <c r="A3848" t="s">
        <v>8918</v>
      </c>
      <c r="B3848" s="1">
        <v>45280</v>
      </c>
      <c r="C3848" t="s">
        <v>1765</v>
      </c>
      <c r="D3848" t="s">
        <v>2321</v>
      </c>
      <c r="E3848">
        <v>94</v>
      </c>
      <c r="F3848" t="s">
        <v>8919</v>
      </c>
      <c r="G3848">
        <v>94</v>
      </c>
      <c r="H3848">
        <v>153.69479999999999</v>
      </c>
      <c r="N3848">
        <v>153.69479999999999</v>
      </c>
      <c r="O3848" s="1">
        <v>44960</v>
      </c>
      <c r="P3848">
        <f>IF(ISBLANK(ReconciliationData[[#This Row],[Invoice_ID]]),1,0)</f>
        <v>0</v>
      </c>
      <c r="Q3848">
        <f>IF(AND(NOT(ISBLANK(ReconciliationData[[#This Row],[Billed_Units]])),ReconciliationData[[#This Row],[ordered_units]]&lt;&gt;ReconciliationData[[#This Row],[Billed_Units]]),1,0)</f>
        <v>0</v>
      </c>
      <c r="R38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48">
        <f>IF(AND(NOT(ISBLANK(ReconciliationData[[#This Row],[Contract_Price]])),ReconciliationData[[#This Row],[Billed_Price]]&lt;&gt;ReconciliationData[[#This Row],[Contract_Price]]),1,0)</f>
        <v>0</v>
      </c>
      <c r="T3848">
        <f>IF(AND(NOT(ISBLANK(ReconciliationData[[#This Row],[End_Date]])),ReconciliationData[[#This Row],[Order_Date]]&gt;ReconciliationData[[#This Row],[End_Date]]),1,0)</f>
        <v>0</v>
      </c>
      <c r="U3848">
        <f>IF(AND(NOT(ISBLANK(ReconciliationData[[#This Row],[last_return_date]])),ReconciliationData[[#This Row],[last_return_date]]&gt;ReconciliationData[[#This Row],[Order_Date]]+60),1,0)</f>
        <v>0</v>
      </c>
      <c r="V3848">
        <f>IF(ReconciliationData[[#This Row],[total_returned_units]]&gt;ReconciliationData[[#This Row],[ordered_units]],1,0)</f>
        <v>0</v>
      </c>
      <c r="W38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48">
        <f>ReconciliationData[[#This Row],[Billed_Units]]*ReconciliationData[[#This Row],[Billed_Price]]</f>
        <v>14447.311199999998</v>
      </c>
      <c r="Y3848">
        <f>ReconciliationData[[#This Row],[ordered_units]]*ReconciliationData[[#This Row],[List_Price]]</f>
        <v>14447.311199999998</v>
      </c>
      <c r="Z3848">
        <f>ReconciliationData[[#This Row],[billed_revenue]]-ReconciliationData[[#This Row],[expected_revenue]]</f>
        <v>0</v>
      </c>
      <c r="AA38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48" t="str">
        <f>IF(ReconciliationData[[#This Row],[severity_score]]=0,"LOW",
 IF(ReconciliationData[[#This Row],[severity_score]]&lt;=5,"MEDIUM","HIGH"))</f>
        <v>LOW</v>
      </c>
      <c r="AC3848" t="str">
        <f>TEXT(ReconciliationData[[#This Row],[Order_Date]],"YYYY-MM")</f>
        <v>2023-12</v>
      </c>
    </row>
    <row r="3849" spans="1:29">
      <c r="A3849" t="s">
        <v>8920</v>
      </c>
      <c r="B3849" s="1">
        <v>45018</v>
      </c>
      <c r="C3849" t="s">
        <v>936</v>
      </c>
      <c r="D3849" t="s">
        <v>832</v>
      </c>
      <c r="E3849">
        <v>63</v>
      </c>
      <c r="F3849" t="s">
        <v>8921</v>
      </c>
      <c r="G3849">
        <v>63</v>
      </c>
      <c r="H3849">
        <v>309.07</v>
      </c>
      <c r="N3849">
        <v>309.07</v>
      </c>
      <c r="O3849" s="1">
        <v>44675</v>
      </c>
      <c r="P3849">
        <f>IF(ISBLANK(ReconciliationData[[#This Row],[Invoice_ID]]),1,0)</f>
        <v>0</v>
      </c>
      <c r="Q3849">
        <f>IF(AND(NOT(ISBLANK(ReconciliationData[[#This Row],[Billed_Units]])),ReconciliationData[[#This Row],[ordered_units]]&lt;&gt;ReconciliationData[[#This Row],[Billed_Units]]),1,0)</f>
        <v>0</v>
      </c>
      <c r="R38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49">
        <f>IF(AND(NOT(ISBLANK(ReconciliationData[[#This Row],[Contract_Price]])),ReconciliationData[[#This Row],[Billed_Price]]&lt;&gt;ReconciliationData[[#This Row],[Contract_Price]]),1,0)</f>
        <v>0</v>
      </c>
      <c r="T3849">
        <f>IF(AND(NOT(ISBLANK(ReconciliationData[[#This Row],[End_Date]])),ReconciliationData[[#This Row],[Order_Date]]&gt;ReconciliationData[[#This Row],[End_Date]]),1,0)</f>
        <v>0</v>
      </c>
      <c r="U3849">
        <f>IF(AND(NOT(ISBLANK(ReconciliationData[[#This Row],[last_return_date]])),ReconciliationData[[#This Row],[last_return_date]]&gt;ReconciliationData[[#This Row],[Order_Date]]+60),1,0)</f>
        <v>0</v>
      </c>
      <c r="V3849">
        <f>IF(ReconciliationData[[#This Row],[total_returned_units]]&gt;ReconciliationData[[#This Row],[ordered_units]],1,0)</f>
        <v>0</v>
      </c>
      <c r="W38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49">
        <f>ReconciliationData[[#This Row],[Billed_Units]]*ReconciliationData[[#This Row],[Billed_Price]]</f>
        <v>19471.41</v>
      </c>
      <c r="Y3849">
        <f>ReconciliationData[[#This Row],[ordered_units]]*ReconciliationData[[#This Row],[List_Price]]</f>
        <v>19471.41</v>
      </c>
      <c r="Z3849">
        <f>ReconciliationData[[#This Row],[billed_revenue]]-ReconciliationData[[#This Row],[expected_revenue]]</f>
        <v>0</v>
      </c>
      <c r="AA38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49" t="str">
        <f>IF(ReconciliationData[[#This Row],[severity_score]]=0,"LOW",
 IF(ReconciliationData[[#This Row],[severity_score]]&lt;=5,"MEDIUM","HIGH"))</f>
        <v>LOW</v>
      </c>
      <c r="AC3849" t="str">
        <f>TEXT(ReconciliationData[[#This Row],[Order_Date]],"YYYY-MM")</f>
        <v>2023-04</v>
      </c>
    </row>
    <row r="3850" spans="1:29">
      <c r="A3850" t="s">
        <v>8922</v>
      </c>
      <c r="B3850" s="1">
        <v>45410</v>
      </c>
      <c r="C3850" t="s">
        <v>1182</v>
      </c>
      <c r="D3850" t="s">
        <v>1945</v>
      </c>
      <c r="E3850">
        <v>69</v>
      </c>
      <c r="F3850" t="s">
        <v>8923</v>
      </c>
      <c r="G3850">
        <v>69</v>
      </c>
      <c r="H3850">
        <v>1178.6880000000001</v>
      </c>
      <c r="N3850">
        <v>1178.6880000000001</v>
      </c>
      <c r="O3850" s="1">
        <v>44930</v>
      </c>
      <c r="P3850">
        <f>IF(ISBLANK(ReconciliationData[[#This Row],[Invoice_ID]]),1,0)</f>
        <v>0</v>
      </c>
      <c r="Q3850">
        <f>IF(AND(NOT(ISBLANK(ReconciliationData[[#This Row],[Billed_Units]])),ReconciliationData[[#This Row],[ordered_units]]&lt;&gt;ReconciliationData[[#This Row],[Billed_Units]]),1,0)</f>
        <v>0</v>
      </c>
      <c r="R38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0">
        <f>IF(AND(NOT(ISBLANK(ReconciliationData[[#This Row],[Contract_Price]])),ReconciliationData[[#This Row],[Billed_Price]]&lt;&gt;ReconciliationData[[#This Row],[Contract_Price]]),1,0)</f>
        <v>0</v>
      </c>
      <c r="T3850">
        <f>IF(AND(NOT(ISBLANK(ReconciliationData[[#This Row],[End_Date]])),ReconciliationData[[#This Row],[Order_Date]]&gt;ReconciliationData[[#This Row],[End_Date]]),1,0)</f>
        <v>0</v>
      </c>
      <c r="U3850">
        <f>IF(AND(NOT(ISBLANK(ReconciliationData[[#This Row],[last_return_date]])),ReconciliationData[[#This Row],[last_return_date]]&gt;ReconciliationData[[#This Row],[Order_Date]]+60),1,0)</f>
        <v>0</v>
      </c>
      <c r="V3850">
        <f>IF(ReconciliationData[[#This Row],[total_returned_units]]&gt;ReconciliationData[[#This Row],[ordered_units]],1,0)</f>
        <v>0</v>
      </c>
      <c r="W38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50">
        <f>ReconciliationData[[#This Row],[Billed_Units]]*ReconciliationData[[#This Row],[Billed_Price]]</f>
        <v>81329.472000000009</v>
      </c>
      <c r="Y3850">
        <f>ReconciliationData[[#This Row],[ordered_units]]*ReconciliationData[[#This Row],[List_Price]]</f>
        <v>81329.472000000009</v>
      </c>
      <c r="Z3850">
        <f>ReconciliationData[[#This Row],[billed_revenue]]-ReconciliationData[[#This Row],[expected_revenue]]</f>
        <v>0</v>
      </c>
      <c r="AA38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50" t="str">
        <f>IF(ReconciliationData[[#This Row],[severity_score]]=0,"LOW",
 IF(ReconciliationData[[#This Row],[severity_score]]&lt;=5,"MEDIUM","HIGH"))</f>
        <v>LOW</v>
      </c>
      <c r="AC3850" t="str">
        <f>TEXT(ReconciliationData[[#This Row],[Order_Date]],"YYYY-MM")</f>
        <v>2024-04</v>
      </c>
    </row>
    <row r="3851" spans="1:29">
      <c r="A3851" t="s">
        <v>8924</v>
      </c>
      <c r="B3851" s="1">
        <v>45636</v>
      </c>
      <c r="C3851" t="s">
        <v>403</v>
      </c>
      <c r="D3851" t="s">
        <v>1671</v>
      </c>
      <c r="E3851">
        <v>181</v>
      </c>
      <c r="F3851" t="s">
        <v>8925</v>
      </c>
      <c r="G3851">
        <v>181</v>
      </c>
      <c r="H3851">
        <v>488.43360000000007</v>
      </c>
      <c r="I3851">
        <v>1</v>
      </c>
      <c r="J3851" s="1">
        <v>45458</v>
      </c>
      <c r="N3851">
        <v>488.43360000000007</v>
      </c>
      <c r="O3851" s="1">
        <v>45107</v>
      </c>
      <c r="P3851">
        <f>IF(ISBLANK(ReconciliationData[[#This Row],[Invoice_ID]]),1,0)</f>
        <v>0</v>
      </c>
      <c r="Q3851">
        <f>IF(AND(NOT(ISBLANK(ReconciliationData[[#This Row],[Billed_Units]])),ReconciliationData[[#This Row],[ordered_units]]&lt;&gt;ReconciliationData[[#This Row],[Billed_Units]]),1,0)</f>
        <v>0</v>
      </c>
      <c r="R38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1">
        <f>IF(AND(NOT(ISBLANK(ReconciliationData[[#This Row],[Contract_Price]])),ReconciliationData[[#This Row],[Billed_Price]]&lt;&gt;ReconciliationData[[#This Row],[Contract_Price]]),1,0)</f>
        <v>0</v>
      </c>
      <c r="T3851">
        <f>IF(AND(NOT(ISBLANK(ReconciliationData[[#This Row],[End_Date]])),ReconciliationData[[#This Row],[Order_Date]]&gt;ReconciliationData[[#This Row],[End_Date]]),1,0)</f>
        <v>0</v>
      </c>
      <c r="U3851">
        <f>IF(AND(NOT(ISBLANK(ReconciliationData[[#This Row],[last_return_date]])),ReconciliationData[[#This Row],[last_return_date]]&gt;ReconciliationData[[#This Row],[Order_Date]]+60),1,0)</f>
        <v>0</v>
      </c>
      <c r="V3851">
        <f>IF(ReconciliationData[[#This Row],[total_returned_units]]&gt;ReconciliationData[[#This Row],[ordered_units]],1,0)</f>
        <v>0</v>
      </c>
      <c r="W38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51">
        <f>ReconciliationData[[#This Row],[Billed_Units]]*ReconciliationData[[#This Row],[Billed_Price]]</f>
        <v>88406.481600000014</v>
      </c>
      <c r="Y3851">
        <f>ReconciliationData[[#This Row],[ordered_units]]*ReconciliationData[[#This Row],[List_Price]]</f>
        <v>88406.481600000014</v>
      </c>
      <c r="Z3851">
        <f>ReconciliationData[[#This Row],[billed_revenue]]-ReconciliationData[[#This Row],[expected_revenue]]</f>
        <v>0</v>
      </c>
      <c r="AA38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51" t="str">
        <f>IF(ReconciliationData[[#This Row],[severity_score]]=0,"LOW",
 IF(ReconciliationData[[#This Row],[severity_score]]&lt;=5,"MEDIUM","HIGH"))</f>
        <v>LOW</v>
      </c>
      <c r="AC3851" t="str">
        <f>TEXT(ReconciliationData[[#This Row],[Order_Date]],"YYYY-MM")</f>
        <v>2024-12</v>
      </c>
    </row>
    <row r="3852" spans="1:29">
      <c r="A3852" t="s">
        <v>8926</v>
      </c>
      <c r="B3852" s="1">
        <v>45193</v>
      </c>
      <c r="C3852" t="s">
        <v>3196</v>
      </c>
      <c r="D3852" t="s">
        <v>1315</v>
      </c>
      <c r="E3852">
        <v>7</v>
      </c>
      <c r="F3852" t="s">
        <v>8927</v>
      </c>
      <c r="G3852">
        <v>7</v>
      </c>
      <c r="H3852">
        <v>334.24649999999997</v>
      </c>
      <c r="N3852">
        <v>334.24649999999997</v>
      </c>
      <c r="O3852" s="1">
        <v>45125</v>
      </c>
      <c r="P3852">
        <f>IF(ISBLANK(ReconciliationData[[#This Row],[Invoice_ID]]),1,0)</f>
        <v>0</v>
      </c>
      <c r="Q3852">
        <f>IF(AND(NOT(ISBLANK(ReconciliationData[[#This Row],[Billed_Units]])),ReconciliationData[[#This Row],[ordered_units]]&lt;&gt;ReconciliationData[[#This Row],[Billed_Units]]),1,0)</f>
        <v>0</v>
      </c>
      <c r="R38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2">
        <f>IF(AND(NOT(ISBLANK(ReconciliationData[[#This Row],[Contract_Price]])),ReconciliationData[[#This Row],[Billed_Price]]&lt;&gt;ReconciliationData[[#This Row],[Contract_Price]]),1,0)</f>
        <v>0</v>
      </c>
      <c r="T3852">
        <f>IF(AND(NOT(ISBLANK(ReconciliationData[[#This Row],[End_Date]])),ReconciliationData[[#This Row],[Order_Date]]&gt;ReconciliationData[[#This Row],[End_Date]]),1,0)</f>
        <v>0</v>
      </c>
      <c r="U3852">
        <f>IF(AND(NOT(ISBLANK(ReconciliationData[[#This Row],[last_return_date]])),ReconciliationData[[#This Row],[last_return_date]]&gt;ReconciliationData[[#This Row],[Order_Date]]+60),1,0)</f>
        <v>0</v>
      </c>
      <c r="V3852">
        <f>IF(ReconciliationData[[#This Row],[total_returned_units]]&gt;ReconciliationData[[#This Row],[ordered_units]],1,0)</f>
        <v>0</v>
      </c>
      <c r="W38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52">
        <f>ReconciliationData[[#This Row],[Billed_Units]]*ReconciliationData[[#This Row],[Billed_Price]]</f>
        <v>2339.7254999999996</v>
      </c>
      <c r="Y3852">
        <f>ReconciliationData[[#This Row],[ordered_units]]*ReconciliationData[[#This Row],[List_Price]]</f>
        <v>2339.7254999999996</v>
      </c>
      <c r="Z3852">
        <f>ReconciliationData[[#This Row],[billed_revenue]]-ReconciliationData[[#This Row],[expected_revenue]]</f>
        <v>0</v>
      </c>
      <c r="AA38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52" t="str">
        <f>IF(ReconciliationData[[#This Row],[severity_score]]=0,"LOW",
 IF(ReconciliationData[[#This Row],[severity_score]]&lt;=5,"MEDIUM","HIGH"))</f>
        <v>LOW</v>
      </c>
      <c r="AC3852" t="str">
        <f>TEXT(ReconciliationData[[#This Row],[Order_Date]],"YYYY-MM")</f>
        <v>2023-09</v>
      </c>
    </row>
    <row r="3853" spans="1:29">
      <c r="A3853" t="s">
        <v>8928</v>
      </c>
      <c r="B3853" s="1">
        <v>45242</v>
      </c>
      <c r="C3853" t="s">
        <v>760</v>
      </c>
      <c r="D3853" t="s">
        <v>259</v>
      </c>
      <c r="E3853">
        <v>88</v>
      </c>
      <c r="F3853" t="s">
        <v>8929</v>
      </c>
      <c r="G3853">
        <v>88</v>
      </c>
      <c r="H3853">
        <v>360.68479999999994</v>
      </c>
      <c r="N3853">
        <v>360.68479999999994</v>
      </c>
      <c r="O3853" s="1">
        <v>45072</v>
      </c>
      <c r="P3853">
        <f>IF(ISBLANK(ReconciliationData[[#This Row],[Invoice_ID]]),1,0)</f>
        <v>0</v>
      </c>
      <c r="Q3853">
        <f>IF(AND(NOT(ISBLANK(ReconciliationData[[#This Row],[Billed_Units]])),ReconciliationData[[#This Row],[ordered_units]]&lt;&gt;ReconciliationData[[#This Row],[Billed_Units]]),1,0)</f>
        <v>0</v>
      </c>
      <c r="R385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3">
        <f>IF(AND(NOT(ISBLANK(ReconciliationData[[#This Row],[Contract_Price]])),ReconciliationData[[#This Row],[Billed_Price]]&lt;&gt;ReconciliationData[[#This Row],[Contract_Price]]),1,0)</f>
        <v>0</v>
      </c>
      <c r="T3853">
        <f>IF(AND(NOT(ISBLANK(ReconciliationData[[#This Row],[End_Date]])),ReconciliationData[[#This Row],[Order_Date]]&gt;ReconciliationData[[#This Row],[End_Date]]),1,0)</f>
        <v>0</v>
      </c>
      <c r="U3853">
        <f>IF(AND(NOT(ISBLANK(ReconciliationData[[#This Row],[last_return_date]])),ReconciliationData[[#This Row],[last_return_date]]&gt;ReconciliationData[[#This Row],[Order_Date]]+60),1,0)</f>
        <v>0</v>
      </c>
      <c r="V3853">
        <f>IF(ReconciliationData[[#This Row],[total_returned_units]]&gt;ReconciliationData[[#This Row],[ordered_units]],1,0)</f>
        <v>0</v>
      </c>
      <c r="W38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53">
        <f>ReconciliationData[[#This Row],[Billed_Units]]*ReconciliationData[[#This Row],[Billed_Price]]</f>
        <v>31740.262399999996</v>
      </c>
      <c r="Y3853">
        <f>ReconciliationData[[#This Row],[ordered_units]]*ReconciliationData[[#This Row],[List_Price]]</f>
        <v>31740.262399999996</v>
      </c>
      <c r="Z3853">
        <f>ReconciliationData[[#This Row],[billed_revenue]]-ReconciliationData[[#This Row],[expected_revenue]]</f>
        <v>0</v>
      </c>
      <c r="AA38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53" t="str">
        <f>IF(ReconciliationData[[#This Row],[severity_score]]=0,"LOW",
 IF(ReconciliationData[[#This Row],[severity_score]]&lt;=5,"MEDIUM","HIGH"))</f>
        <v>LOW</v>
      </c>
      <c r="AC3853" t="str">
        <f>TEXT(ReconciliationData[[#This Row],[Order_Date]],"YYYY-MM")</f>
        <v>2023-11</v>
      </c>
    </row>
    <row r="3854" spans="1:29">
      <c r="A3854" t="s">
        <v>8930</v>
      </c>
      <c r="B3854" s="1">
        <v>45070</v>
      </c>
      <c r="C3854" t="s">
        <v>6153</v>
      </c>
      <c r="D3854" t="s">
        <v>1385</v>
      </c>
      <c r="E3854">
        <v>135</v>
      </c>
      <c r="F3854" t="s">
        <v>8931</v>
      </c>
      <c r="G3854">
        <v>135</v>
      </c>
      <c r="H3854">
        <v>296.2912</v>
      </c>
      <c r="I3854">
        <v>20</v>
      </c>
      <c r="J3854" s="1">
        <v>45606</v>
      </c>
      <c r="N3854">
        <v>296.2912</v>
      </c>
      <c r="O3854" s="1">
        <v>44921</v>
      </c>
      <c r="P3854">
        <f>IF(ISBLANK(ReconciliationData[[#This Row],[Invoice_ID]]),1,0)</f>
        <v>0</v>
      </c>
      <c r="Q3854">
        <f>IF(AND(NOT(ISBLANK(ReconciliationData[[#This Row],[Billed_Units]])),ReconciliationData[[#This Row],[ordered_units]]&lt;&gt;ReconciliationData[[#This Row],[Billed_Units]]),1,0)</f>
        <v>0</v>
      </c>
      <c r="R38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4">
        <f>IF(AND(NOT(ISBLANK(ReconciliationData[[#This Row],[Contract_Price]])),ReconciliationData[[#This Row],[Billed_Price]]&lt;&gt;ReconciliationData[[#This Row],[Contract_Price]]),1,0)</f>
        <v>0</v>
      </c>
      <c r="T3854">
        <f>IF(AND(NOT(ISBLANK(ReconciliationData[[#This Row],[End_Date]])),ReconciliationData[[#This Row],[Order_Date]]&gt;ReconciliationData[[#This Row],[End_Date]]),1,0)</f>
        <v>0</v>
      </c>
      <c r="U3854">
        <f>IF(AND(NOT(ISBLANK(ReconciliationData[[#This Row],[last_return_date]])),ReconciliationData[[#This Row],[last_return_date]]&gt;ReconciliationData[[#This Row],[Order_Date]]+60),1,0)</f>
        <v>1</v>
      </c>
      <c r="V3854">
        <f>IF(ReconciliationData[[#This Row],[total_returned_units]]&gt;ReconciliationData[[#This Row],[ordered_units]],1,0)</f>
        <v>0</v>
      </c>
      <c r="W38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54">
        <f>ReconciliationData[[#This Row],[Billed_Units]]*ReconciliationData[[#This Row],[Billed_Price]]</f>
        <v>39999.311999999998</v>
      </c>
      <c r="Y3854">
        <f>ReconciliationData[[#This Row],[ordered_units]]*ReconciliationData[[#This Row],[List_Price]]</f>
        <v>39999.311999999998</v>
      </c>
      <c r="Z3854">
        <f>ReconciliationData[[#This Row],[billed_revenue]]-ReconciliationData[[#This Row],[expected_revenue]]</f>
        <v>0</v>
      </c>
      <c r="AA38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854" t="str">
        <f>IF(ReconciliationData[[#This Row],[severity_score]]=0,"LOW",
 IF(ReconciliationData[[#This Row],[severity_score]]&lt;=5,"MEDIUM","HIGH"))</f>
        <v>MEDIUM</v>
      </c>
      <c r="AC3854" t="str">
        <f>TEXT(ReconciliationData[[#This Row],[Order_Date]],"YYYY-MM")</f>
        <v>2023-05</v>
      </c>
    </row>
    <row r="3855" spans="1:29">
      <c r="A3855" t="s">
        <v>8932</v>
      </c>
      <c r="B3855" s="1">
        <v>45409</v>
      </c>
      <c r="C3855" t="s">
        <v>2632</v>
      </c>
      <c r="D3855" t="s">
        <v>3770</v>
      </c>
      <c r="E3855">
        <v>7</v>
      </c>
      <c r="F3855" t="s">
        <v>8933</v>
      </c>
      <c r="G3855">
        <v>7</v>
      </c>
      <c r="H3855">
        <v>724.16120000000001</v>
      </c>
      <c r="N3855">
        <v>724.16120000000001</v>
      </c>
      <c r="O3855" s="1">
        <v>45044</v>
      </c>
      <c r="P3855">
        <f>IF(ISBLANK(ReconciliationData[[#This Row],[Invoice_ID]]),1,0)</f>
        <v>0</v>
      </c>
      <c r="Q3855">
        <f>IF(AND(NOT(ISBLANK(ReconciliationData[[#This Row],[Billed_Units]])),ReconciliationData[[#This Row],[ordered_units]]&lt;&gt;ReconciliationData[[#This Row],[Billed_Units]]),1,0)</f>
        <v>0</v>
      </c>
      <c r="R38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5">
        <f>IF(AND(NOT(ISBLANK(ReconciliationData[[#This Row],[Contract_Price]])),ReconciliationData[[#This Row],[Billed_Price]]&lt;&gt;ReconciliationData[[#This Row],[Contract_Price]]),1,0)</f>
        <v>0</v>
      </c>
      <c r="T3855">
        <f>IF(AND(NOT(ISBLANK(ReconciliationData[[#This Row],[End_Date]])),ReconciliationData[[#This Row],[Order_Date]]&gt;ReconciliationData[[#This Row],[End_Date]]),1,0)</f>
        <v>0</v>
      </c>
      <c r="U3855">
        <f>IF(AND(NOT(ISBLANK(ReconciliationData[[#This Row],[last_return_date]])),ReconciliationData[[#This Row],[last_return_date]]&gt;ReconciliationData[[#This Row],[Order_Date]]+60),1,0)</f>
        <v>0</v>
      </c>
      <c r="V3855">
        <f>IF(ReconciliationData[[#This Row],[total_returned_units]]&gt;ReconciliationData[[#This Row],[ordered_units]],1,0)</f>
        <v>0</v>
      </c>
      <c r="W38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55">
        <f>ReconciliationData[[#This Row],[Billed_Units]]*ReconciliationData[[#This Row],[Billed_Price]]</f>
        <v>5069.1283999999996</v>
      </c>
      <c r="Y3855">
        <f>ReconciliationData[[#This Row],[ordered_units]]*ReconciliationData[[#This Row],[List_Price]]</f>
        <v>5069.1283999999996</v>
      </c>
      <c r="Z3855">
        <f>ReconciliationData[[#This Row],[billed_revenue]]-ReconciliationData[[#This Row],[expected_revenue]]</f>
        <v>0</v>
      </c>
      <c r="AA38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55" t="str">
        <f>IF(ReconciliationData[[#This Row],[severity_score]]=0,"LOW",
 IF(ReconciliationData[[#This Row],[severity_score]]&lt;=5,"MEDIUM","HIGH"))</f>
        <v>LOW</v>
      </c>
      <c r="AC3855" t="str">
        <f>TEXT(ReconciliationData[[#This Row],[Order_Date]],"YYYY-MM")</f>
        <v>2024-04</v>
      </c>
    </row>
    <row r="3856" spans="1:29">
      <c r="A3856" t="s">
        <v>8934</v>
      </c>
      <c r="B3856" s="1">
        <v>45588</v>
      </c>
      <c r="C3856" t="s">
        <v>5193</v>
      </c>
      <c r="D3856" t="s">
        <v>404</v>
      </c>
      <c r="E3856">
        <v>10</v>
      </c>
      <c r="F3856" t="s">
        <v>8935</v>
      </c>
      <c r="G3856">
        <v>10</v>
      </c>
      <c r="H3856">
        <v>1129.6166000000001</v>
      </c>
      <c r="N3856">
        <v>1129.6166000000001</v>
      </c>
      <c r="O3856" s="1">
        <v>44960</v>
      </c>
      <c r="P3856">
        <f>IF(ISBLANK(ReconciliationData[[#This Row],[Invoice_ID]]),1,0)</f>
        <v>0</v>
      </c>
      <c r="Q3856">
        <f>IF(AND(NOT(ISBLANK(ReconciliationData[[#This Row],[Billed_Units]])),ReconciliationData[[#This Row],[ordered_units]]&lt;&gt;ReconciliationData[[#This Row],[Billed_Units]]),1,0)</f>
        <v>0</v>
      </c>
      <c r="R38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6">
        <f>IF(AND(NOT(ISBLANK(ReconciliationData[[#This Row],[Contract_Price]])),ReconciliationData[[#This Row],[Billed_Price]]&lt;&gt;ReconciliationData[[#This Row],[Contract_Price]]),1,0)</f>
        <v>0</v>
      </c>
      <c r="T3856">
        <f>IF(AND(NOT(ISBLANK(ReconciliationData[[#This Row],[End_Date]])),ReconciliationData[[#This Row],[Order_Date]]&gt;ReconciliationData[[#This Row],[End_Date]]),1,0)</f>
        <v>0</v>
      </c>
      <c r="U3856">
        <f>IF(AND(NOT(ISBLANK(ReconciliationData[[#This Row],[last_return_date]])),ReconciliationData[[#This Row],[last_return_date]]&gt;ReconciliationData[[#This Row],[Order_Date]]+60),1,0)</f>
        <v>0</v>
      </c>
      <c r="V3856">
        <f>IF(ReconciliationData[[#This Row],[total_returned_units]]&gt;ReconciliationData[[#This Row],[ordered_units]],1,0)</f>
        <v>0</v>
      </c>
      <c r="W38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56">
        <f>ReconciliationData[[#This Row],[Billed_Units]]*ReconciliationData[[#This Row],[Billed_Price]]</f>
        <v>11296.166000000001</v>
      </c>
      <c r="Y3856">
        <f>ReconciliationData[[#This Row],[ordered_units]]*ReconciliationData[[#This Row],[List_Price]]</f>
        <v>11296.166000000001</v>
      </c>
      <c r="Z3856">
        <f>ReconciliationData[[#This Row],[billed_revenue]]-ReconciliationData[[#This Row],[expected_revenue]]</f>
        <v>0</v>
      </c>
      <c r="AA38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56" t="str">
        <f>IF(ReconciliationData[[#This Row],[severity_score]]=0,"LOW",
 IF(ReconciliationData[[#This Row],[severity_score]]&lt;=5,"MEDIUM","HIGH"))</f>
        <v>LOW</v>
      </c>
      <c r="AC3856" t="str">
        <f>TEXT(ReconciliationData[[#This Row],[Order_Date]],"YYYY-MM")</f>
        <v>2024-10</v>
      </c>
    </row>
    <row r="3857" spans="1:29">
      <c r="A3857" t="s">
        <v>8936</v>
      </c>
      <c r="B3857" s="1">
        <v>45468</v>
      </c>
      <c r="C3857" t="s">
        <v>2692</v>
      </c>
      <c r="D3857" t="s">
        <v>525</v>
      </c>
      <c r="E3857">
        <v>131</v>
      </c>
      <c r="F3857" t="s">
        <v>8937</v>
      </c>
      <c r="G3857">
        <v>131</v>
      </c>
      <c r="H3857">
        <v>249.1748</v>
      </c>
      <c r="N3857">
        <v>249.1748</v>
      </c>
      <c r="O3857" s="1">
        <v>45141</v>
      </c>
      <c r="P3857">
        <f>IF(ISBLANK(ReconciliationData[[#This Row],[Invoice_ID]]),1,0)</f>
        <v>0</v>
      </c>
      <c r="Q3857">
        <f>IF(AND(NOT(ISBLANK(ReconciliationData[[#This Row],[Billed_Units]])),ReconciliationData[[#This Row],[ordered_units]]&lt;&gt;ReconciliationData[[#This Row],[Billed_Units]]),1,0)</f>
        <v>0</v>
      </c>
      <c r="R38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7">
        <f>IF(AND(NOT(ISBLANK(ReconciliationData[[#This Row],[Contract_Price]])),ReconciliationData[[#This Row],[Billed_Price]]&lt;&gt;ReconciliationData[[#This Row],[Contract_Price]]),1,0)</f>
        <v>0</v>
      </c>
      <c r="T3857">
        <f>IF(AND(NOT(ISBLANK(ReconciliationData[[#This Row],[End_Date]])),ReconciliationData[[#This Row],[Order_Date]]&gt;ReconciliationData[[#This Row],[End_Date]]),1,0)</f>
        <v>0</v>
      </c>
      <c r="U3857">
        <f>IF(AND(NOT(ISBLANK(ReconciliationData[[#This Row],[last_return_date]])),ReconciliationData[[#This Row],[last_return_date]]&gt;ReconciliationData[[#This Row],[Order_Date]]+60),1,0)</f>
        <v>0</v>
      </c>
      <c r="V3857">
        <f>IF(ReconciliationData[[#This Row],[total_returned_units]]&gt;ReconciliationData[[#This Row],[ordered_units]],1,0)</f>
        <v>0</v>
      </c>
      <c r="W38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57">
        <f>ReconciliationData[[#This Row],[Billed_Units]]*ReconciliationData[[#This Row],[Billed_Price]]</f>
        <v>32641.898799999999</v>
      </c>
      <c r="Y3857">
        <f>ReconciliationData[[#This Row],[ordered_units]]*ReconciliationData[[#This Row],[List_Price]]</f>
        <v>32641.898799999999</v>
      </c>
      <c r="Z3857">
        <f>ReconciliationData[[#This Row],[billed_revenue]]-ReconciliationData[[#This Row],[expected_revenue]]</f>
        <v>0</v>
      </c>
      <c r="AA38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57" t="str">
        <f>IF(ReconciliationData[[#This Row],[severity_score]]=0,"LOW",
 IF(ReconciliationData[[#This Row],[severity_score]]&lt;=5,"MEDIUM","HIGH"))</f>
        <v>LOW</v>
      </c>
      <c r="AC3857" t="str">
        <f>TEXT(ReconciliationData[[#This Row],[Order_Date]],"YYYY-MM")</f>
        <v>2024-06</v>
      </c>
    </row>
    <row r="3858" spans="1:29">
      <c r="A3858" t="s">
        <v>8938</v>
      </c>
      <c r="B3858" s="1">
        <v>45220</v>
      </c>
      <c r="C3858" t="s">
        <v>1967</v>
      </c>
      <c r="D3858" t="s">
        <v>1050</v>
      </c>
      <c r="E3858">
        <v>199</v>
      </c>
      <c r="F3858" t="s">
        <v>8939</v>
      </c>
      <c r="G3858">
        <v>199</v>
      </c>
      <c r="H3858">
        <v>575.53650000000005</v>
      </c>
      <c r="N3858">
        <v>575.53650000000005</v>
      </c>
      <c r="O3858" s="1">
        <v>45181</v>
      </c>
      <c r="P3858">
        <f>IF(ISBLANK(ReconciliationData[[#This Row],[Invoice_ID]]),1,0)</f>
        <v>0</v>
      </c>
      <c r="Q3858">
        <f>IF(AND(NOT(ISBLANK(ReconciliationData[[#This Row],[Billed_Units]])),ReconciliationData[[#This Row],[ordered_units]]&lt;&gt;ReconciliationData[[#This Row],[Billed_Units]]),1,0)</f>
        <v>0</v>
      </c>
      <c r="R38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8">
        <f>IF(AND(NOT(ISBLANK(ReconciliationData[[#This Row],[Contract_Price]])),ReconciliationData[[#This Row],[Billed_Price]]&lt;&gt;ReconciliationData[[#This Row],[Contract_Price]]),1,0)</f>
        <v>0</v>
      </c>
      <c r="T3858">
        <f>IF(AND(NOT(ISBLANK(ReconciliationData[[#This Row],[End_Date]])),ReconciliationData[[#This Row],[Order_Date]]&gt;ReconciliationData[[#This Row],[End_Date]]),1,0)</f>
        <v>0</v>
      </c>
      <c r="U3858">
        <f>IF(AND(NOT(ISBLANK(ReconciliationData[[#This Row],[last_return_date]])),ReconciliationData[[#This Row],[last_return_date]]&gt;ReconciliationData[[#This Row],[Order_Date]]+60),1,0)</f>
        <v>0</v>
      </c>
      <c r="V3858">
        <f>IF(ReconciliationData[[#This Row],[total_returned_units]]&gt;ReconciliationData[[#This Row],[ordered_units]],1,0)</f>
        <v>0</v>
      </c>
      <c r="W38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58">
        <f>ReconciliationData[[#This Row],[Billed_Units]]*ReconciliationData[[#This Row],[Billed_Price]]</f>
        <v>114531.76350000002</v>
      </c>
      <c r="Y3858">
        <f>ReconciliationData[[#This Row],[ordered_units]]*ReconciliationData[[#This Row],[List_Price]]</f>
        <v>114531.76350000002</v>
      </c>
      <c r="Z3858">
        <f>ReconciliationData[[#This Row],[billed_revenue]]-ReconciliationData[[#This Row],[expected_revenue]]</f>
        <v>0</v>
      </c>
      <c r="AA38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58" t="str">
        <f>IF(ReconciliationData[[#This Row],[severity_score]]=0,"LOW",
 IF(ReconciliationData[[#This Row],[severity_score]]&lt;=5,"MEDIUM","HIGH"))</f>
        <v>LOW</v>
      </c>
      <c r="AC3858" t="str">
        <f>TEXT(ReconciliationData[[#This Row],[Order_Date]],"YYYY-MM")</f>
        <v>2023-10</v>
      </c>
    </row>
    <row r="3859" spans="1:29">
      <c r="A3859" t="s">
        <v>8940</v>
      </c>
      <c r="B3859" s="1">
        <v>45230</v>
      </c>
      <c r="C3859" t="s">
        <v>2242</v>
      </c>
      <c r="D3859" t="s">
        <v>1436</v>
      </c>
      <c r="E3859">
        <v>185</v>
      </c>
      <c r="F3859" t="s">
        <v>8941</v>
      </c>
      <c r="G3859">
        <v>185</v>
      </c>
      <c r="H3859">
        <v>189.52920000000003</v>
      </c>
      <c r="N3859">
        <v>189.52920000000003</v>
      </c>
      <c r="O3859" s="1">
        <v>45070</v>
      </c>
      <c r="P3859">
        <f>IF(ISBLANK(ReconciliationData[[#This Row],[Invoice_ID]]),1,0)</f>
        <v>0</v>
      </c>
      <c r="Q3859">
        <f>IF(AND(NOT(ISBLANK(ReconciliationData[[#This Row],[Billed_Units]])),ReconciliationData[[#This Row],[ordered_units]]&lt;&gt;ReconciliationData[[#This Row],[Billed_Units]]),1,0)</f>
        <v>0</v>
      </c>
      <c r="R38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59">
        <f>IF(AND(NOT(ISBLANK(ReconciliationData[[#This Row],[Contract_Price]])),ReconciliationData[[#This Row],[Billed_Price]]&lt;&gt;ReconciliationData[[#This Row],[Contract_Price]]),1,0)</f>
        <v>0</v>
      </c>
      <c r="T3859">
        <f>IF(AND(NOT(ISBLANK(ReconciliationData[[#This Row],[End_Date]])),ReconciliationData[[#This Row],[Order_Date]]&gt;ReconciliationData[[#This Row],[End_Date]]),1,0)</f>
        <v>0</v>
      </c>
      <c r="U3859">
        <f>IF(AND(NOT(ISBLANK(ReconciliationData[[#This Row],[last_return_date]])),ReconciliationData[[#This Row],[last_return_date]]&gt;ReconciliationData[[#This Row],[Order_Date]]+60),1,0)</f>
        <v>0</v>
      </c>
      <c r="V3859">
        <f>IF(ReconciliationData[[#This Row],[total_returned_units]]&gt;ReconciliationData[[#This Row],[ordered_units]],1,0)</f>
        <v>0</v>
      </c>
      <c r="W38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59">
        <f>ReconciliationData[[#This Row],[Billed_Units]]*ReconciliationData[[#This Row],[Billed_Price]]</f>
        <v>35062.902000000009</v>
      </c>
      <c r="Y3859">
        <f>ReconciliationData[[#This Row],[ordered_units]]*ReconciliationData[[#This Row],[List_Price]]</f>
        <v>35062.902000000009</v>
      </c>
      <c r="Z3859">
        <f>ReconciliationData[[#This Row],[billed_revenue]]-ReconciliationData[[#This Row],[expected_revenue]]</f>
        <v>0</v>
      </c>
      <c r="AA38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59" t="str">
        <f>IF(ReconciliationData[[#This Row],[severity_score]]=0,"LOW",
 IF(ReconciliationData[[#This Row],[severity_score]]&lt;=5,"MEDIUM","HIGH"))</f>
        <v>LOW</v>
      </c>
      <c r="AC3859" t="str">
        <f>TEXT(ReconciliationData[[#This Row],[Order_Date]],"YYYY-MM")</f>
        <v>2023-10</v>
      </c>
    </row>
    <row r="3860" spans="1:29">
      <c r="A3860" t="s">
        <v>8942</v>
      </c>
      <c r="B3860" s="1">
        <v>45373</v>
      </c>
      <c r="C3860" t="s">
        <v>631</v>
      </c>
      <c r="D3860" t="s">
        <v>313</v>
      </c>
      <c r="E3860">
        <v>103</v>
      </c>
      <c r="F3860" t="s">
        <v>8943</v>
      </c>
      <c r="G3860">
        <v>103</v>
      </c>
      <c r="H3860">
        <v>1190.6054999999999</v>
      </c>
      <c r="N3860">
        <v>1190.6054999999999</v>
      </c>
      <c r="O3860" s="1">
        <v>44984</v>
      </c>
      <c r="P3860">
        <f>IF(ISBLANK(ReconciliationData[[#This Row],[Invoice_ID]]),1,0)</f>
        <v>0</v>
      </c>
      <c r="Q3860">
        <f>IF(AND(NOT(ISBLANK(ReconciliationData[[#This Row],[Billed_Units]])),ReconciliationData[[#This Row],[ordered_units]]&lt;&gt;ReconciliationData[[#This Row],[Billed_Units]]),1,0)</f>
        <v>0</v>
      </c>
      <c r="R38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0">
        <f>IF(AND(NOT(ISBLANK(ReconciliationData[[#This Row],[Contract_Price]])),ReconciliationData[[#This Row],[Billed_Price]]&lt;&gt;ReconciliationData[[#This Row],[Contract_Price]]),1,0)</f>
        <v>0</v>
      </c>
      <c r="T3860">
        <f>IF(AND(NOT(ISBLANK(ReconciliationData[[#This Row],[End_Date]])),ReconciliationData[[#This Row],[Order_Date]]&gt;ReconciliationData[[#This Row],[End_Date]]),1,0)</f>
        <v>0</v>
      </c>
      <c r="U3860">
        <f>IF(AND(NOT(ISBLANK(ReconciliationData[[#This Row],[last_return_date]])),ReconciliationData[[#This Row],[last_return_date]]&gt;ReconciliationData[[#This Row],[Order_Date]]+60),1,0)</f>
        <v>0</v>
      </c>
      <c r="V3860">
        <f>IF(ReconciliationData[[#This Row],[total_returned_units]]&gt;ReconciliationData[[#This Row],[ordered_units]],1,0)</f>
        <v>0</v>
      </c>
      <c r="W38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60">
        <f>ReconciliationData[[#This Row],[Billed_Units]]*ReconciliationData[[#This Row],[Billed_Price]]</f>
        <v>122632.36649999999</v>
      </c>
      <c r="Y3860">
        <f>ReconciliationData[[#This Row],[ordered_units]]*ReconciliationData[[#This Row],[List_Price]]</f>
        <v>122632.36649999999</v>
      </c>
      <c r="Z3860">
        <f>ReconciliationData[[#This Row],[billed_revenue]]-ReconciliationData[[#This Row],[expected_revenue]]</f>
        <v>0</v>
      </c>
      <c r="AA38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60" t="str">
        <f>IF(ReconciliationData[[#This Row],[severity_score]]=0,"LOW",
 IF(ReconciliationData[[#This Row],[severity_score]]&lt;=5,"MEDIUM","HIGH"))</f>
        <v>LOW</v>
      </c>
      <c r="AC3860" t="str">
        <f>TEXT(ReconciliationData[[#This Row],[Order_Date]],"YYYY-MM")</f>
        <v>2024-03</v>
      </c>
    </row>
    <row r="3861" spans="1:29">
      <c r="A3861" t="s">
        <v>8944</v>
      </c>
      <c r="B3861" s="1">
        <v>45476</v>
      </c>
      <c r="C3861" t="s">
        <v>1579</v>
      </c>
      <c r="D3861" t="s">
        <v>1298</v>
      </c>
      <c r="E3861">
        <v>46</v>
      </c>
      <c r="F3861" t="s">
        <v>8945</v>
      </c>
      <c r="G3861">
        <v>50</v>
      </c>
      <c r="H3861">
        <v>1099.82</v>
      </c>
      <c r="I3861">
        <v>4</v>
      </c>
      <c r="J3861" s="1">
        <v>45378</v>
      </c>
      <c r="N3861">
        <v>1099.82</v>
      </c>
      <c r="O3861" s="1">
        <v>44962</v>
      </c>
      <c r="P3861">
        <f>IF(ISBLANK(ReconciliationData[[#This Row],[Invoice_ID]]),1,0)</f>
        <v>0</v>
      </c>
      <c r="Q3861">
        <f>IF(AND(NOT(ISBLANK(ReconciliationData[[#This Row],[Billed_Units]])),ReconciliationData[[#This Row],[ordered_units]]&lt;&gt;ReconciliationData[[#This Row],[Billed_Units]]),1,0)</f>
        <v>1</v>
      </c>
      <c r="R38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1">
        <f>IF(AND(NOT(ISBLANK(ReconciliationData[[#This Row],[Contract_Price]])),ReconciliationData[[#This Row],[Billed_Price]]&lt;&gt;ReconciliationData[[#This Row],[Contract_Price]]),1,0)</f>
        <v>0</v>
      </c>
      <c r="T3861">
        <f>IF(AND(NOT(ISBLANK(ReconciliationData[[#This Row],[End_Date]])),ReconciliationData[[#This Row],[Order_Date]]&gt;ReconciliationData[[#This Row],[End_Date]]),1,0)</f>
        <v>0</v>
      </c>
      <c r="U3861">
        <f>IF(AND(NOT(ISBLANK(ReconciliationData[[#This Row],[last_return_date]])),ReconciliationData[[#This Row],[last_return_date]]&gt;ReconciliationData[[#This Row],[Order_Date]]+60),1,0)</f>
        <v>0</v>
      </c>
      <c r="V3861">
        <f>IF(ReconciliationData[[#This Row],[total_returned_units]]&gt;ReconciliationData[[#This Row],[ordered_units]],1,0)</f>
        <v>0</v>
      </c>
      <c r="W38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61">
        <f>ReconciliationData[[#This Row],[Billed_Units]]*ReconciliationData[[#This Row],[Billed_Price]]</f>
        <v>54991</v>
      </c>
      <c r="Y3861">
        <f>ReconciliationData[[#This Row],[ordered_units]]*ReconciliationData[[#This Row],[List_Price]]</f>
        <v>50591.719999999994</v>
      </c>
      <c r="Z3861">
        <f>ReconciliationData[[#This Row],[billed_revenue]]-ReconciliationData[[#This Row],[expected_revenue]]</f>
        <v>4399.2800000000061</v>
      </c>
      <c r="AA38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861" t="str">
        <f>IF(ReconciliationData[[#This Row],[severity_score]]=0,"LOW",
 IF(ReconciliationData[[#This Row],[severity_score]]&lt;=5,"MEDIUM","HIGH"))</f>
        <v>HIGH</v>
      </c>
      <c r="AC3861" t="str">
        <f>TEXT(ReconciliationData[[#This Row],[Order_Date]],"YYYY-MM")</f>
        <v>2024-07</v>
      </c>
    </row>
    <row r="3862" spans="1:29">
      <c r="A3862" t="s">
        <v>8946</v>
      </c>
      <c r="B3862" s="1">
        <v>45429</v>
      </c>
      <c r="C3862" t="s">
        <v>5876</v>
      </c>
      <c r="D3862" t="s">
        <v>1414</v>
      </c>
      <c r="E3862">
        <v>98</v>
      </c>
      <c r="F3862" t="s">
        <v>8947</v>
      </c>
      <c r="G3862">
        <v>98</v>
      </c>
      <c r="H3862">
        <v>872.7808</v>
      </c>
      <c r="N3862">
        <v>872.7808</v>
      </c>
      <c r="O3862" s="1">
        <v>45225</v>
      </c>
      <c r="P3862">
        <f>IF(ISBLANK(ReconciliationData[[#This Row],[Invoice_ID]]),1,0)</f>
        <v>0</v>
      </c>
      <c r="Q3862">
        <f>IF(AND(NOT(ISBLANK(ReconciliationData[[#This Row],[Billed_Units]])),ReconciliationData[[#This Row],[ordered_units]]&lt;&gt;ReconciliationData[[#This Row],[Billed_Units]]),1,0)</f>
        <v>0</v>
      </c>
      <c r="R38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2">
        <f>IF(AND(NOT(ISBLANK(ReconciliationData[[#This Row],[Contract_Price]])),ReconciliationData[[#This Row],[Billed_Price]]&lt;&gt;ReconciliationData[[#This Row],[Contract_Price]]),1,0)</f>
        <v>0</v>
      </c>
      <c r="T3862">
        <f>IF(AND(NOT(ISBLANK(ReconciliationData[[#This Row],[End_Date]])),ReconciliationData[[#This Row],[Order_Date]]&gt;ReconciliationData[[#This Row],[End_Date]]),1,0)</f>
        <v>0</v>
      </c>
      <c r="U3862">
        <f>IF(AND(NOT(ISBLANK(ReconciliationData[[#This Row],[last_return_date]])),ReconciliationData[[#This Row],[last_return_date]]&gt;ReconciliationData[[#This Row],[Order_Date]]+60),1,0)</f>
        <v>0</v>
      </c>
      <c r="V3862">
        <f>IF(ReconciliationData[[#This Row],[total_returned_units]]&gt;ReconciliationData[[#This Row],[ordered_units]],1,0)</f>
        <v>0</v>
      </c>
      <c r="W38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62">
        <f>ReconciliationData[[#This Row],[Billed_Units]]*ReconciliationData[[#This Row],[Billed_Price]]</f>
        <v>85532.518400000001</v>
      </c>
      <c r="Y3862">
        <f>ReconciliationData[[#This Row],[ordered_units]]*ReconciliationData[[#This Row],[List_Price]]</f>
        <v>85532.518400000001</v>
      </c>
      <c r="Z3862">
        <f>ReconciliationData[[#This Row],[billed_revenue]]-ReconciliationData[[#This Row],[expected_revenue]]</f>
        <v>0</v>
      </c>
      <c r="AA38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62" t="str">
        <f>IF(ReconciliationData[[#This Row],[severity_score]]=0,"LOW",
 IF(ReconciliationData[[#This Row],[severity_score]]&lt;=5,"MEDIUM","HIGH"))</f>
        <v>LOW</v>
      </c>
      <c r="AC3862" t="str">
        <f>TEXT(ReconciliationData[[#This Row],[Order_Date]],"YYYY-MM")</f>
        <v>2024-05</v>
      </c>
    </row>
    <row r="3863" spans="1:29">
      <c r="A3863" t="s">
        <v>8948</v>
      </c>
      <c r="B3863" s="1">
        <v>45392</v>
      </c>
      <c r="C3863" t="s">
        <v>493</v>
      </c>
      <c r="D3863" t="s">
        <v>722</v>
      </c>
      <c r="E3863">
        <v>143</v>
      </c>
      <c r="F3863" t="s">
        <v>8949</v>
      </c>
      <c r="G3863">
        <v>144</v>
      </c>
      <c r="H3863">
        <v>343.34190000000001</v>
      </c>
      <c r="I3863">
        <v>4</v>
      </c>
      <c r="J3863" s="1">
        <v>45385</v>
      </c>
      <c r="N3863">
        <v>343.34190000000001</v>
      </c>
      <c r="O3863" s="1">
        <v>45126</v>
      </c>
      <c r="P3863">
        <f>IF(ISBLANK(ReconciliationData[[#This Row],[Invoice_ID]]),1,0)</f>
        <v>0</v>
      </c>
      <c r="Q3863">
        <f>IF(AND(NOT(ISBLANK(ReconciliationData[[#This Row],[Billed_Units]])),ReconciliationData[[#This Row],[ordered_units]]&lt;&gt;ReconciliationData[[#This Row],[Billed_Units]]),1,0)</f>
        <v>1</v>
      </c>
      <c r="R38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3">
        <f>IF(AND(NOT(ISBLANK(ReconciliationData[[#This Row],[Contract_Price]])),ReconciliationData[[#This Row],[Billed_Price]]&lt;&gt;ReconciliationData[[#This Row],[Contract_Price]]),1,0)</f>
        <v>0</v>
      </c>
      <c r="T3863">
        <f>IF(AND(NOT(ISBLANK(ReconciliationData[[#This Row],[End_Date]])),ReconciliationData[[#This Row],[Order_Date]]&gt;ReconciliationData[[#This Row],[End_Date]]),1,0)</f>
        <v>0</v>
      </c>
      <c r="U3863">
        <f>IF(AND(NOT(ISBLANK(ReconciliationData[[#This Row],[last_return_date]])),ReconciliationData[[#This Row],[last_return_date]]&gt;ReconciliationData[[#This Row],[Order_Date]]+60),1,0)</f>
        <v>0</v>
      </c>
      <c r="V3863">
        <f>IF(ReconciliationData[[#This Row],[total_returned_units]]&gt;ReconciliationData[[#This Row],[ordered_units]],1,0)</f>
        <v>0</v>
      </c>
      <c r="W38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63">
        <f>ReconciliationData[[#This Row],[Billed_Units]]*ReconciliationData[[#This Row],[Billed_Price]]</f>
        <v>49441.2336</v>
      </c>
      <c r="Y3863">
        <f>ReconciliationData[[#This Row],[ordered_units]]*ReconciliationData[[#This Row],[List_Price]]</f>
        <v>49097.8917</v>
      </c>
      <c r="Z3863">
        <f>ReconciliationData[[#This Row],[billed_revenue]]-ReconciliationData[[#This Row],[expected_revenue]]</f>
        <v>343.34189999999944</v>
      </c>
      <c r="AA38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863" t="str">
        <f>IF(ReconciliationData[[#This Row],[severity_score]]=0,"LOW",
 IF(ReconciliationData[[#This Row],[severity_score]]&lt;=5,"MEDIUM","HIGH"))</f>
        <v>MEDIUM</v>
      </c>
      <c r="AC3863" t="str">
        <f>TEXT(ReconciliationData[[#This Row],[Order_Date]],"YYYY-MM")</f>
        <v>2024-04</v>
      </c>
    </row>
    <row r="3864" spans="1:29">
      <c r="A3864" t="s">
        <v>8950</v>
      </c>
      <c r="B3864" s="1">
        <v>45264</v>
      </c>
      <c r="C3864" t="s">
        <v>3949</v>
      </c>
      <c r="D3864" t="s">
        <v>552</v>
      </c>
      <c r="E3864">
        <v>84</v>
      </c>
      <c r="F3864" t="s">
        <v>8951</v>
      </c>
      <c r="G3864">
        <v>84</v>
      </c>
      <c r="H3864">
        <v>497.4264</v>
      </c>
      <c r="N3864">
        <v>497.4264</v>
      </c>
      <c r="O3864" s="1">
        <v>45212</v>
      </c>
      <c r="P3864">
        <f>IF(ISBLANK(ReconciliationData[[#This Row],[Invoice_ID]]),1,0)</f>
        <v>0</v>
      </c>
      <c r="Q3864">
        <f>IF(AND(NOT(ISBLANK(ReconciliationData[[#This Row],[Billed_Units]])),ReconciliationData[[#This Row],[ordered_units]]&lt;&gt;ReconciliationData[[#This Row],[Billed_Units]]),1,0)</f>
        <v>0</v>
      </c>
      <c r="R38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4">
        <f>IF(AND(NOT(ISBLANK(ReconciliationData[[#This Row],[Contract_Price]])),ReconciliationData[[#This Row],[Billed_Price]]&lt;&gt;ReconciliationData[[#This Row],[Contract_Price]]),1,0)</f>
        <v>0</v>
      </c>
      <c r="T3864">
        <f>IF(AND(NOT(ISBLANK(ReconciliationData[[#This Row],[End_Date]])),ReconciliationData[[#This Row],[Order_Date]]&gt;ReconciliationData[[#This Row],[End_Date]]),1,0)</f>
        <v>0</v>
      </c>
      <c r="U3864">
        <f>IF(AND(NOT(ISBLANK(ReconciliationData[[#This Row],[last_return_date]])),ReconciliationData[[#This Row],[last_return_date]]&gt;ReconciliationData[[#This Row],[Order_Date]]+60),1,0)</f>
        <v>0</v>
      </c>
      <c r="V3864">
        <f>IF(ReconciliationData[[#This Row],[total_returned_units]]&gt;ReconciliationData[[#This Row],[ordered_units]],1,0)</f>
        <v>0</v>
      </c>
      <c r="W38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64">
        <f>ReconciliationData[[#This Row],[Billed_Units]]*ReconciliationData[[#This Row],[Billed_Price]]</f>
        <v>41783.817600000002</v>
      </c>
      <c r="Y3864">
        <f>ReconciliationData[[#This Row],[ordered_units]]*ReconciliationData[[#This Row],[List_Price]]</f>
        <v>41783.817600000002</v>
      </c>
      <c r="Z3864">
        <f>ReconciliationData[[#This Row],[billed_revenue]]-ReconciliationData[[#This Row],[expected_revenue]]</f>
        <v>0</v>
      </c>
      <c r="AA38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64" t="str">
        <f>IF(ReconciliationData[[#This Row],[severity_score]]=0,"LOW",
 IF(ReconciliationData[[#This Row],[severity_score]]&lt;=5,"MEDIUM","HIGH"))</f>
        <v>LOW</v>
      </c>
      <c r="AC3864" t="str">
        <f>TEXT(ReconciliationData[[#This Row],[Order_Date]],"YYYY-MM")</f>
        <v>2023-12</v>
      </c>
    </row>
    <row r="3865" spans="1:29">
      <c r="A3865" t="s">
        <v>8952</v>
      </c>
      <c r="B3865" s="1">
        <v>45152</v>
      </c>
      <c r="C3865" t="s">
        <v>2197</v>
      </c>
      <c r="D3865" t="s">
        <v>997</v>
      </c>
      <c r="E3865">
        <v>18</v>
      </c>
      <c r="F3865" t="s">
        <v>8953</v>
      </c>
      <c r="G3865">
        <v>18</v>
      </c>
      <c r="H3865">
        <v>1153.4984999999999</v>
      </c>
      <c r="N3865">
        <v>1153.4984999999999</v>
      </c>
      <c r="O3865" s="1">
        <v>44962</v>
      </c>
      <c r="P3865">
        <f>IF(ISBLANK(ReconciliationData[[#This Row],[Invoice_ID]]),1,0)</f>
        <v>0</v>
      </c>
      <c r="Q3865">
        <f>IF(AND(NOT(ISBLANK(ReconciliationData[[#This Row],[Billed_Units]])),ReconciliationData[[#This Row],[ordered_units]]&lt;&gt;ReconciliationData[[#This Row],[Billed_Units]]),1,0)</f>
        <v>0</v>
      </c>
      <c r="R38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5">
        <f>IF(AND(NOT(ISBLANK(ReconciliationData[[#This Row],[Contract_Price]])),ReconciliationData[[#This Row],[Billed_Price]]&lt;&gt;ReconciliationData[[#This Row],[Contract_Price]]),1,0)</f>
        <v>0</v>
      </c>
      <c r="T3865">
        <f>IF(AND(NOT(ISBLANK(ReconciliationData[[#This Row],[End_Date]])),ReconciliationData[[#This Row],[Order_Date]]&gt;ReconciliationData[[#This Row],[End_Date]]),1,0)</f>
        <v>0</v>
      </c>
      <c r="U3865">
        <f>IF(AND(NOT(ISBLANK(ReconciliationData[[#This Row],[last_return_date]])),ReconciliationData[[#This Row],[last_return_date]]&gt;ReconciliationData[[#This Row],[Order_Date]]+60),1,0)</f>
        <v>0</v>
      </c>
      <c r="V3865">
        <f>IF(ReconciliationData[[#This Row],[total_returned_units]]&gt;ReconciliationData[[#This Row],[ordered_units]],1,0)</f>
        <v>0</v>
      </c>
      <c r="W38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65">
        <f>ReconciliationData[[#This Row],[Billed_Units]]*ReconciliationData[[#This Row],[Billed_Price]]</f>
        <v>20762.972999999998</v>
      </c>
      <c r="Y3865">
        <f>ReconciliationData[[#This Row],[ordered_units]]*ReconciliationData[[#This Row],[List_Price]]</f>
        <v>20762.972999999998</v>
      </c>
      <c r="Z3865">
        <f>ReconciliationData[[#This Row],[billed_revenue]]-ReconciliationData[[#This Row],[expected_revenue]]</f>
        <v>0</v>
      </c>
      <c r="AA38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65" t="str">
        <f>IF(ReconciliationData[[#This Row],[severity_score]]=0,"LOW",
 IF(ReconciliationData[[#This Row],[severity_score]]&lt;=5,"MEDIUM","HIGH"))</f>
        <v>LOW</v>
      </c>
      <c r="AC3865" t="str">
        <f>TEXT(ReconciliationData[[#This Row],[Order_Date]],"YYYY-MM")</f>
        <v>2023-08</v>
      </c>
    </row>
    <row r="3866" spans="1:29">
      <c r="A3866" t="s">
        <v>8954</v>
      </c>
      <c r="B3866" s="1">
        <v>45490</v>
      </c>
      <c r="C3866" t="s">
        <v>710</v>
      </c>
      <c r="D3866" t="s">
        <v>1245</v>
      </c>
      <c r="E3866">
        <v>118</v>
      </c>
      <c r="F3866" t="s">
        <v>8955</v>
      </c>
      <c r="G3866">
        <v>118</v>
      </c>
      <c r="H3866">
        <v>247.48920000000001</v>
      </c>
      <c r="N3866">
        <v>247.48920000000001</v>
      </c>
      <c r="O3866" s="1">
        <v>45088</v>
      </c>
      <c r="P3866">
        <f>IF(ISBLANK(ReconciliationData[[#This Row],[Invoice_ID]]),1,0)</f>
        <v>0</v>
      </c>
      <c r="Q3866">
        <f>IF(AND(NOT(ISBLANK(ReconciliationData[[#This Row],[Billed_Units]])),ReconciliationData[[#This Row],[ordered_units]]&lt;&gt;ReconciliationData[[#This Row],[Billed_Units]]),1,0)</f>
        <v>0</v>
      </c>
      <c r="R38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6">
        <f>IF(AND(NOT(ISBLANK(ReconciliationData[[#This Row],[Contract_Price]])),ReconciliationData[[#This Row],[Billed_Price]]&lt;&gt;ReconciliationData[[#This Row],[Contract_Price]]),1,0)</f>
        <v>0</v>
      </c>
      <c r="T3866">
        <f>IF(AND(NOT(ISBLANK(ReconciliationData[[#This Row],[End_Date]])),ReconciliationData[[#This Row],[Order_Date]]&gt;ReconciliationData[[#This Row],[End_Date]]),1,0)</f>
        <v>0</v>
      </c>
      <c r="U3866">
        <f>IF(AND(NOT(ISBLANK(ReconciliationData[[#This Row],[last_return_date]])),ReconciliationData[[#This Row],[last_return_date]]&gt;ReconciliationData[[#This Row],[Order_Date]]+60),1,0)</f>
        <v>0</v>
      </c>
      <c r="V3866">
        <f>IF(ReconciliationData[[#This Row],[total_returned_units]]&gt;ReconciliationData[[#This Row],[ordered_units]],1,0)</f>
        <v>0</v>
      </c>
      <c r="W38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66">
        <f>ReconciliationData[[#This Row],[Billed_Units]]*ReconciliationData[[#This Row],[Billed_Price]]</f>
        <v>29203.725600000002</v>
      </c>
      <c r="Y3866">
        <f>ReconciliationData[[#This Row],[ordered_units]]*ReconciliationData[[#This Row],[List_Price]]</f>
        <v>29203.725600000002</v>
      </c>
      <c r="Z3866">
        <f>ReconciliationData[[#This Row],[billed_revenue]]-ReconciliationData[[#This Row],[expected_revenue]]</f>
        <v>0</v>
      </c>
      <c r="AA38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66" t="str">
        <f>IF(ReconciliationData[[#This Row],[severity_score]]=0,"LOW",
 IF(ReconciliationData[[#This Row],[severity_score]]&lt;=5,"MEDIUM","HIGH"))</f>
        <v>LOW</v>
      </c>
      <c r="AC3866" t="str">
        <f>TEXT(ReconciliationData[[#This Row],[Order_Date]],"YYYY-MM")</f>
        <v>2024-07</v>
      </c>
    </row>
    <row r="3867" spans="1:29">
      <c r="A3867" t="s">
        <v>8956</v>
      </c>
      <c r="B3867" s="1">
        <v>44937</v>
      </c>
      <c r="C3867" t="s">
        <v>2280</v>
      </c>
      <c r="D3867" t="s">
        <v>2064</v>
      </c>
      <c r="E3867">
        <v>135</v>
      </c>
      <c r="F3867" t="s">
        <v>8957</v>
      </c>
      <c r="G3867">
        <v>135</v>
      </c>
      <c r="H3867">
        <v>249.22</v>
      </c>
      <c r="N3867">
        <v>249.22</v>
      </c>
      <c r="O3867" s="1">
        <v>44837</v>
      </c>
      <c r="P3867">
        <f>IF(ISBLANK(ReconciliationData[[#This Row],[Invoice_ID]]),1,0)</f>
        <v>0</v>
      </c>
      <c r="Q3867">
        <f>IF(AND(NOT(ISBLANK(ReconciliationData[[#This Row],[Billed_Units]])),ReconciliationData[[#This Row],[ordered_units]]&lt;&gt;ReconciliationData[[#This Row],[Billed_Units]]),1,0)</f>
        <v>0</v>
      </c>
      <c r="R38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7">
        <f>IF(AND(NOT(ISBLANK(ReconciliationData[[#This Row],[Contract_Price]])),ReconciliationData[[#This Row],[Billed_Price]]&lt;&gt;ReconciliationData[[#This Row],[Contract_Price]]),1,0)</f>
        <v>0</v>
      </c>
      <c r="T3867">
        <f>IF(AND(NOT(ISBLANK(ReconciliationData[[#This Row],[End_Date]])),ReconciliationData[[#This Row],[Order_Date]]&gt;ReconciliationData[[#This Row],[End_Date]]),1,0)</f>
        <v>0</v>
      </c>
      <c r="U3867">
        <f>IF(AND(NOT(ISBLANK(ReconciliationData[[#This Row],[last_return_date]])),ReconciliationData[[#This Row],[last_return_date]]&gt;ReconciliationData[[#This Row],[Order_Date]]+60),1,0)</f>
        <v>0</v>
      </c>
      <c r="V3867">
        <f>IF(ReconciliationData[[#This Row],[total_returned_units]]&gt;ReconciliationData[[#This Row],[ordered_units]],1,0)</f>
        <v>0</v>
      </c>
      <c r="W38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67">
        <f>ReconciliationData[[#This Row],[Billed_Units]]*ReconciliationData[[#This Row],[Billed_Price]]</f>
        <v>33644.699999999997</v>
      </c>
      <c r="Y3867">
        <f>ReconciliationData[[#This Row],[ordered_units]]*ReconciliationData[[#This Row],[List_Price]]</f>
        <v>33644.699999999997</v>
      </c>
      <c r="Z3867">
        <f>ReconciliationData[[#This Row],[billed_revenue]]-ReconciliationData[[#This Row],[expected_revenue]]</f>
        <v>0</v>
      </c>
      <c r="AA38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67" t="str">
        <f>IF(ReconciliationData[[#This Row],[severity_score]]=0,"LOW",
 IF(ReconciliationData[[#This Row],[severity_score]]&lt;=5,"MEDIUM","HIGH"))</f>
        <v>LOW</v>
      </c>
      <c r="AC3867" t="str">
        <f>TEXT(ReconciliationData[[#This Row],[Order_Date]],"YYYY-MM")</f>
        <v>2023-01</v>
      </c>
    </row>
    <row r="3868" spans="1:29">
      <c r="A3868" t="s">
        <v>8958</v>
      </c>
      <c r="B3868" s="1">
        <v>45201</v>
      </c>
      <c r="C3868" t="s">
        <v>3728</v>
      </c>
      <c r="D3868" t="s">
        <v>337</v>
      </c>
      <c r="E3868">
        <v>178</v>
      </c>
      <c r="F3868" t="s">
        <v>8959</v>
      </c>
      <c r="G3868">
        <v>178</v>
      </c>
      <c r="H3868">
        <v>1040.9412</v>
      </c>
      <c r="N3868">
        <v>1040.9412</v>
      </c>
      <c r="O3868" s="1">
        <v>44983</v>
      </c>
      <c r="P3868">
        <f>IF(ISBLANK(ReconciliationData[[#This Row],[Invoice_ID]]),1,0)</f>
        <v>0</v>
      </c>
      <c r="Q3868">
        <f>IF(AND(NOT(ISBLANK(ReconciliationData[[#This Row],[Billed_Units]])),ReconciliationData[[#This Row],[ordered_units]]&lt;&gt;ReconciliationData[[#This Row],[Billed_Units]]),1,0)</f>
        <v>0</v>
      </c>
      <c r="R38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8">
        <f>IF(AND(NOT(ISBLANK(ReconciliationData[[#This Row],[Contract_Price]])),ReconciliationData[[#This Row],[Billed_Price]]&lt;&gt;ReconciliationData[[#This Row],[Contract_Price]]),1,0)</f>
        <v>0</v>
      </c>
      <c r="T3868">
        <f>IF(AND(NOT(ISBLANK(ReconciliationData[[#This Row],[End_Date]])),ReconciliationData[[#This Row],[Order_Date]]&gt;ReconciliationData[[#This Row],[End_Date]]),1,0)</f>
        <v>0</v>
      </c>
      <c r="U3868">
        <f>IF(AND(NOT(ISBLANK(ReconciliationData[[#This Row],[last_return_date]])),ReconciliationData[[#This Row],[last_return_date]]&gt;ReconciliationData[[#This Row],[Order_Date]]+60),1,0)</f>
        <v>0</v>
      </c>
      <c r="V3868">
        <f>IF(ReconciliationData[[#This Row],[total_returned_units]]&gt;ReconciliationData[[#This Row],[ordered_units]],1,0)</f>
        <v>0</v>
      </c>
      <c r="W38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68">
        <f>ReconciliationData[[#This Row],[Billed_Units]]*ReconciliationData[[#This Row],[Billed_Price]]</f>
        <v>185287.5336</v>
      </c>
      <c r="Y3868">
        <f>ReconciliationData[[#This Row],[ordered_units]]*ReconciliationData[[#This Row],[List_Price]]</f>
        <v>185287.5336</v>
      </c>
      <c r="Z3868">
        <f>ReconciliationData[[#This Row],[billed_revenue]]-ReconciliationData[[#This Row],[expected_revenue]]</f>
        <v>0</v>
      </c>
      <c r="AA38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68" t="str">
        <f>IF(ReconciliationData[[#This Row],[severity_score]]=0,"LOW",
 IF(ReconciliationData[[#This Row],[severity_score]]&lt;=5,"MEDIUM","HIGH"))</f>
        <v>LOW</v>
      </c>
      <c r="AC3868" t="str">
        <f>TEXT(ReconciliationData[[#This Row],[Order_Date]],"YYYY-MM")</f>
        <v>2023-10</v>
      </c>
    </row>
    <row r="3869" spans="1:29">
      <c r="A3869" t="s">
        <v>8960</v>
      </c>
      <c r="B3869" s="1">
        <v>45084</v>
      </c>
      <c r="C3869" t="s">
        <v>2134</v>
      </c>
      <c r="D3869" t="s">
        <v>1555</v>
      </c>
      <c r="E3869">
        <v>180</v>
      </c>
      <c r="F3869" t="s">
        <v>8961</v>
      </c>
      <c r="G3869">
        <v>180</v>
      </c>
      <c r="H3869">
        <v>874.92399999999998</v>
      </c>
      <c r="N3869">
        <v>874.92399999999998</v>
      </c>
      <c r="O3869" s="1">
        <v>44966</v>
      </c>
      <c r="P3869">
        <f>IF(ISBLANK(ReconciliationData[[#This Row],[Invoice_ID]]),1,0)</f>
        <v>0</v>
      </c>
      <c r="Q3869">
        <f>IF(AND(NOT(ISBLANK(ReconciliationData[[#This Row],[Billed_Units]])),ReconciliationData[[#This Row],[ordered_units]]&lt;&gt;ReconciliationData[[#This Row],[Billed_Units]]),1,0)</f>
        <v>0</v>
      </c>
      <c r="R38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69">
        <f>IF(AND(NOT(ISBLANK(ReconciliationData[[#This Row],[Contract_Price]])),ReconciliationData[[#This Row],[Billed_Price]]&lt;&gt;ReconciliationData[[#This Row],[Contract_Price]]),1,0)</f>
        <v>0</v>
      </c>
      <c r="T3869">
        <f>IF(AND(NOT(ISBLANK(ReconciliationData[[#This Row],[End_Date]])),ReconciliationData[[#This Row],[Order_Date]]&gt;ReconciliationData[[#This Row],[End_Date]]),1,0)</f>
        <v>0</v>
      </c>
      <c r="U3869">
        <f>IF(AND(NOT(ISBLANK(ReconciliationData[[#This Row],[last_return_date]])),ReconciliationData[[#This Row],[last_return_date]]&gt;ReconciliationData[[#This Row],[Order_Date]]+60),1,0)</f>
        <v>0</v>
      </c>
      <c r="V3869">
        <f>IF(ReconciliationData[[#This Row],[total_returned_units]]&gt;ReconciliationData[[#This Row],[ordered_units]],1,0)</f>
        <v>0</v>
      </c>
      <c r="W38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69">
        <f>ReconciliationData[[#This Row],[Billed_Units]]*ReconciliationData[[#This Row],[Billed_Price]]</f>
        <v>157486.32</v>
      </c>
      <c r="Y3869">
        <f>ReconciliationData[[#This Row],[ordered_units]]*ReconciliationData[[#This Row],[List_Price]]</f>
        <v>157486.32</v>
      </c>
      <c r="Z3869">
        <f>ReconciliationData[[#This Row],[billed_revenue]]-ReconciliationData[[#This Row],[expected_revenue]]</f>
        <v>0</v>
      </c>
      <c r="AA38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69" t="str">
        <f>IF(ReconciliationData[[#This Row],[severity_score]]=0,"LOW",
 IF(ReconciliationData[[#This Row],[severity_score]]&lt;=5,"MEDIUM","HIGH"))</f>
        <v>LOW</v>
      </c>
      <c r="AC3869" t="str">
        <f>TEXT(ReconciliationData[[#This Row],[Order_Date]],"YYYY-MM")</f>
        <v>2023-06</v>
      </c>
    </row>
    <row r="3870" spans="1:29">
      <c r="A3870" t="s">
        <v>8962</v>
      </c>
      <c r="B3870" s="1">
        <v>45458</v>
      </c>
      <c r="C3870" t="s">
        <v>467</v>
      </c>
      <c r="D3870" t="s">
        <v>600</v>
      </c>
      <c r="E3870">
        <v>179</v>
      </c>
      <c r="F3870" t="s">
        <v>8963</v>
      </c>
      <c r="G3870">
        <v>179</v>
      </c>
      <c r="H3870">
        <v>52.185000000000002</v>
      </c>
      <c r="N3870">
        <v>52.185000000000002</v>
      </c>
      <c r="O3870" s="1">
        <v>44998</v>
      </c>
      <c r="P3870">
        <f>IF(ISBLANK(ReconciliationData[[#This Row],[Invoice_ID]]),1,0)</f>
        <v>0</v>
      </c>
      <c r="Q3870">
        <f>IF(AND(NOT(ISBLANK(ReconciliationData[[#This Row],[Billed_Units]])),ReconciliationData[[#This Row],[ordered_units]]&lt;&gt;ReconciliationData[[#This Row],[Billed_Units]]),1,0)</f>
        <v>0</v>
      </c>
      <c r="R38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0">
        <f>IF(AND(NOT(ISBLANK(ReconciliationData[[#This Row],[Contract_Price]])),ReconciliationData[[#This Row],[Billed_Price]]&lt;&gt;ReconciliationData[[#This Row],[Contract_Price]]),1,0)</f>
        <v>0</v>
      </c>
      <c r="T3870">
        <f>IF(AND(NOT(ISBLANK(ReconciliationData[[#This Row],[End_Date]])),ReconciliationData[[#This Row],[Order_Date]]&gt;ReconciliationData[[#This Row],[End_Date]]),1,0)</f>
        <v>0</v>
      </c>
      <c r="U3870">
        <f>IF(AND(NOT(ISBLANK(ReconciliationData[[#This Row],[last_return_date]])),ReconciliationData[[#This Row],[last_return_date]]&gt;ReconciliationData[[#This Row],[Order_Date]]+60),1,0)</f>
        <v>0</v>
      </c>
      <c r="V3870">
        <f>IF(ReconciliationData[[#This Row],[total_returned_units]]&gt;ReconciliationData[[#This Row],[ordered_units]],1,0)</f>
        <v>0</v>
      </c>
      <c r="W38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0">
        <f>ReconciliationData[[#This Row],[Billed_Units]]*ReconciliationData[[#This Row],[Billed_Price]]</f>
        <v>9341.1149999999998</v>
      </c>
      <c r="Y3870">
        <f>ReconciliationData[[#This Row],[ordered_units]]*ReconciliationData[[#This Row],[List_Price]]</f>
        <v>9341.1149999999998</v>
      </c>
      <c r="Z3870">
        <f>ReconciliationData[[#This Row],[billed_revenue]]-ReconciliationData[[#This Row],[expected_revenue]]</f>
        <v>0</v>
      </c>
      <c r="AA38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0" t="str">
        <f>IF(ReconciliationData[[#This Row],[severity_score]]=0,"LOW",
 IF(ReconciliationData[[#This Row],[severity_score]]&lt;=5,"MEDIUM","HIGH"))</f>
        <v>LOW</v>
      </c>
      <c r="AC3870" t="str">
        <f>TEXT(ReconciliationData[[#This Row],[Order_Date]],"YYYY-MM")</f>
        <v>2024-06</v>
      </c>
    </row>
    <row r="3871" spans="1:29">
      <c r="A3871" t="s">
        <v>8964</v>
      </c>
      <c r="B3871" s="1">
        <v>45415</v>
      </c>
      <c r="C3871" t="s">
        <v>254</v>
      </c>
      <c r="D3871" t="s">
        <v>1414</v>
      </c>
      <c r="E3871">
        <v>83</v>
      </c>
      <c r="F3871" t="s">
        <v>8965</v>
      </c>
      <c r="G3871">
        <v>83</v>
      </c>
      <c r="H3871">
        <v>872.7808</v>
      </c>
      <c r="N3871">
        <v>872.7808</v>
      </c>
      <c r="O3871" s="1">
        <v>45225</v>
      </c>
      <c r="P3871">
        <f>IF(ISBLANK(ReconciliationData[[#This Row],[Invoice_ID]]),1,0)</f>
        <v>0</v>
      </c>
      <c r="Q3871">
        <f>IF(AND(NOT(ISBLANK(ReconciliationData[[#This Row],[Billed_Units]])),ReconciliationData[[#This Row],[ordered_units]]&lt;&gt;ReconciliationData[[#This Row],[Billed_Units]]),1,0)</f>
        <v>0</v>
      </c>
      <c r="R38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1">
        <f>IF(AND(NOT(ISBLANK(ReconciliationData[[#This Row],[Contract_Price]])),ReconciliationData[[#This Row],[Billed_Price]]&lt;&gt;ReconciliationData[[#This Row],[Contract_Price]]),1,0)</f>
        <v>0</v>
      </c>
      <c r="T3871">
        <f>IF(AND(NOT(ISBLANK(ReconciliationData[[#This Row],[End_Date]])),ReconciliationData[[#This Row],[Order_Date]]&gt;ReconciliationData[[#This Row],[End_Date]]),1,0)</f>
        <v>0</v>
      </c>
      <c r="U3871">
        <f>IF(AND(NOT(ISBLANK(ReconciliationData[[#This Row],[last_return_date]])),ReconciliationData[[#This Row],[last_return_date]]&gt;ReconciliationData[[#This Row],[Order_Date]]+60),1,0)</f>
        <v>0</v>
      </c>
      <c r="V3871">
        <f>IF(ReconciliationData[[#This Row],[total_returned_units]]&gt;ReconciliationData[[#This Row],[ordered_units]],1,0)</f>
        <v>0</v>
      </c>
      <c r="W38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1">
        <f>ReconciliationData[[#This Row],[Billed_Units]]*ReconciliationData[[#This Row],[Billed_Price]]</f>
        <v>72440.806400000001</v>
      </c>
      <c r="Y3871">
        <f>ReconciliationData[[#This Row],[ordered_units]]*ReconciliationData[[#This Row],[List_Price]]</f>
        <v>72440.806400000001</v>
      </c>
      <c r="Z3871">
        <f>ReconciliationData[[#This Row],[billed_revenue]]-ReconciliationData[[#This Row],[expected_revenue]]</f>
        <v>0</v>
      </c>
      <c r="AA38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1" t="str">
        <f>IF(ReconciliationData[[#This Row],[severity_score]]=0,"LOW",
 IF(ReconciliationData[[#This Row],[severity_score]]&lt;=5,"MEDIUM","HIGH"))</f>
        <v>LOW</v>
      </c>
      <c r="AC3871" t="str">
        <f>TEXT(ReconciliationData[[#This Row],[Order_Date]],"YYYY-MM")</f>
        <v>2024-05</v>
      </c>
    </row>
    <row r="3872" spans="1:29">
      <c r="A3872" t="s">
        <v>8966</v>
      </c>
      <c r="B3872" s="1">
        <v>45561</v>
      </c>
      <c r="C3872" t="s">
        <v>1997</v>
      </c>
      <c r="D3872" t="s">
        <v>146</v>
      </c>
      <c r="E3872">
        <v>198</v>
      </c>
      <c r="F3872" t="s">
        <v>8967</v>
      </c>
      <c r="G3872">
        <v>198</v>
      </c>
      <c r="H3872">
        <v>849.43949999999995</v>
      </c>
      <c r="N3872">
        <v>849.43949999999995</v>
      </c>
      <c r="O3872" s="1">
        <v>45114</v>
      </c>
      <c r="P3872">
        <f>IF(ISBLANK(ReconciliationData[[#This Row],[Invoice_ID]]),1,0)</f>
        <v>0</v>
      </c>
      <c r="Q3872">
        <f>IF(AND(NOT(ISBLANK(ReconciliationData[[#This Row],[Billed_Units]])),ReconciliationData[[#This Row],[ordered_units]]&lt;&gt;ReconciliationData[[#This Row],[Billed_Units]]),1,0)</f>
        <v>0</v>
      </c>
      <c r="R38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2">
        <f>IF(AND(NOT(ISBLANK(ReconciliationData[[#This Row],[Contract_Price]])),ReconciliationData[[#This Row],[Billed_Price]]&lt;&gt;ReconciliationData[[#This Row],[Contract_Price]]),1,0)</f>
        <v>0</v>
      </c>
      <c r="T3872">
        <f>IF(AND(NOT(ISBLANK(ReconciliationData[[#This Row],[End_Date]])),ReconciliationData[[#This Row],[Order_Date]]&gt;ReconciliationData[[#This Row],[End_Date]]),1,0)</f>
        <v>0</v>
      </c>
      <c r="U3872">
        <f>IF(AND(NOT(ISBLANK(ReconciliationData[[#This Row],[last_return_date]])),ReconciliationData[[#This Row],[last_return_date]]&gt;ReconciliationData[[#This Row],[Order_Date]]+60),1,0)</f>
        <v>0</v>
      </c>
      <c r="V3872">
        <f>IF(ReconciliationData[[#This Row],[total_returned_units]]&gt;ReconciliationData[[#This Row],[ordered_units]],1,0)</f>
        <v>0</v>
      </c>
      <c r="W38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2">
        <f>ReconciliationData[[#This Row],[Billed_Units]]*ReconciliationData[[#This Row],[Billed_Price]]</f>
        <v>168189.02099999998</v>
      </c>
      <c r="Y3872">
        <f>ReconciliationData[[#This Row],[ordered_units]]*ReconciliationData[[#This Row],[List_Price]]</f>
        <v>168189.02099999998</v>
      </c>
      <c r="Z3872">
        <f>ReconciliationData[[#This Row],[billed_revenue]]-ReconciliationData[[#This Row],[expected_revenue]]</f>
        <v>0</v>
      </c>
      <c r="AA38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2" t="str">
        <f>IF(ReconciliationData[[#This Row],[severity_score]]=0,"LOW",
 IF(ReconciliationData[[#This Row],[severity_score]]&lt;=5,"MEDIUM","HIGH"))</f>
        <v>LOW</v>
      </c>
      <c r="AC3872" t="str">
        <f>TEXT(ReconciliationData[[#This Row],[Order_Date]],"YYYY-MM")</f>
        <v>2024-09</v>
      </c>
    </row>
    <row r="3873" spans="1:29">
      <c r="A3873" t="s">
        <v>8968</v>
      </c>
      <c r="B3873" s="1">
        <v>44931</v>
      </c>
      <c r="C3873" t="s">
        <v>4896</v>
      </c>
      <c r="D3873" t="s">
        <v>259</v>
      </c>
      <c r="E3873">
        <v>148</v>
      </c>
      <c r="F3873" t="s">
        <v>8969</v>
      </c>
      <c r="G3873">
        <v>148</v>
      </c>
      <c r="H3873">
        <v>364.40320000000003</v>
      </c>
      <c r="N3873">
        <v>364.40320000000003</v>
      </c>
      <c r="O3873" s="1">
        <v>44766</v>
      </c>
      <c r="P3873">
        <f>IF(ISBLANK(ReconciliationData[[#This Row],[Invoice_ID]]),1,0)</f>
        <v>0</v>
      </c>
      <c r="Q3873">
        <f>IF(AND(NOT(ISBLANK(ReconciliationData[[#This Row],[Billed_Units]])),ReconciliationData[[#This Row],[ordered_units]]&lt;&gt;ReconciliationData[[#This Row],[Billed_Units]]),1,0)</f>
        <v>0</v>
      </c>
      <c r="R38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3">
        <f>IF(AND(NOT(ISBLANK(ReconciliationData[[#This Row],[Contract_Price]])),ReconciliationData[[#This Row],[Billed_Price]]&lt;&gt;ReconciliationData[[#This Row],[Contract_Price]]),1,0)</f>
        <v>0</v>
      </c>
      <c r="T3873">
        <f>IF(AND(NOT(ISBLANK(ReconciliationData[[#This Row],[End_Date]])),ReconciliationData[[#This Row],[Order_Date]]&gt;ReconciliationData[[#This Row],[End_Date]]),1,0)</f>
        <v>0</v>
      </c>
      <c r="U3873">
        <f>IF(AND(NOT(ISBLANK(ReconciliationData[[#This Row],[last_return_date]])),ReconciliationData[[#This Row],[last_return_date]]&gt;ReconciliationData[[#This Row],[Order_Date]]+60),1,0)</f>
        <v>0</v>
      </c>
      <c r="V3873">
        <f>IF(ReconciliationData[[#This Row],[total_returned_units]]&gt;ReconciliationData[[#This Row],[ordered_units]],1,0)</f>
        <v>0</v>
      </c>
      <c r="W38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3">
        <f>ReconciliationData[[#This Row],[Billed_Units]]*ReconciliationData[[#This Row],[Billed_Price]]</f>
        <v>53931.673600000002</v>
      </c>
      <c r="Y3873">
        <f>ReconciliationData[[#This Row],[ordered_units]]*ReconciliationData[[#This Row],[List_Price]]</f>
        <v>53931.673600000002</v>
      </c>
      <c r="Z3873">
        <f>ReconciliationData[[#This Row],[billed_revenue]]-ReconciliationData[[#This Row],[expected_revenue]]</f>
        <v>0</v>
      </c>
      <c r="AA38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3" t="str">
        <f>IF(ReconciliationData[[#This Row],[severity_score]]=0,"LOW",
 IF(ReconciliationData[[#This Row],[severity_score]]&lt;=5,"MEDIUM","HIGH"))</f>
        <v>LOW</v>
      </c>
      <c r="AC3873" t="str">
        <f>TEXT(ReconciliationData[[#This Row],[Order_Date]],"YYYY-MM")</f>
        <v>2023-01</v>
      </c>
    </row>
    <row r="3874" spans="1:29">
      <c r="A3874" t="s">
        <v>8970</v>
      </c>
      <c r="B3874" s="1">
        <v>44955</v>
      </c>
      <c r="C3874" t="s">
        <v>352</v>
      </c>
      <c r="D3874" t="s">
        <v>581</v>
      </c>
      <c r="E3874">
        <v>124</v>
      </c>
      <c r="F3874" t="s">
        <v>8971</v>
      </c>
      <c r="G3874">
        <v>124</v>
      </c>
      <c r="H3874">
        <v>770.54579999999999</v>
      </c>
      <c r="N3874">
        <v>770.54579999999999</v>
      </c>
      <c r="O3874" s="1">
        <v>44869</v>
      </c>
      <c r="P3874">
        <f>IF(ISBLANK(ReconciliationData[[#This Row],[Invoice_ID]]),1,0)</f>
        <v>0</v>
      </c>
      <c r="Q3874">
        <f>IF(AND(NOT(ISBLANK(ReconciliationData[[#This Row],[Billed_Units]])),ReconciliationData[[#This Row],[ordered_units]]&lt;&gt;ReconciliationData[[#This Row],[Billed_Units]]),1,0)</f>
        <v>0</v>
      </c>
      <c r="R38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4">
        <f>IF(AND(NOT(ISBLANK(ReconciliationData[[#This Row],[Contract_Price]])),ReconciliationData[[#This Row],[Billed_Price]]&lt;&gt;ReconciliationData[[#This Row],[Contract_Price]]),1,0)</f>
        <v>0</v>
      </c>
      <c r="T3874">
        <f>IF(AND(NOT(ISBLANK(ReconciliationData[[#This Row],[End_Date]])),ReconciliationData[[#This Row],[Order_Date]]&gt;ReconciliationData[[#This Row],[End_Date]]),1,0)</f>
        <v>0</v>
      </c>
      <c r="U3874">
        <f>IF(AND(NOT(ISBLANK(ReconciliationData[[#This Row],[last_return_date]])),ReconciliationData[[#This Row],[last_return_date]]&gt;ReconciliationData[[#This Row],[Order_Date]]+60),1,0)</f>
        <v>0</v>
      </c>
      <c r="V3874">
        <f>IF(ReconciliationData[[#This Row],[total_returned_units]]&gt;ReconciliationData[[#This Row],[ordered_units]],1,0)</f>
        <v>0</v>
      </c>
      <c r="W38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4">
        <f>ReconciliationData[[#This Row],[Billed_Units]]*ReconciliationData[[#This Row],[Billed_Price]]</f>
        <v>95547.679199999999</v>
      </c>
      <c r="Y3874">
        <f>ReconciliationData[[#This Row],[ordered_units]]*ReconciliationData[[#This Row],[List_Price]]</f>
        <v>95547.679199999999</v>
      </c>
      <c r="Z3874">
        <f>ReconciliationData[[#This Row],[billed_revenue]]-ReconciliationData[[#This Row],[expected_revenue]]</f>
        <v>0</v>
      </c>
      <c r="AA38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4" t="str">
        <f>IF(ReconciliationData[[#This Row],[severity_score]]=0,"LOW",
 IF(ReconciliationData[[#This Row],[severity_score]]&lt;=5,"MEDIUM","HIGH"))</f>
        <v>LOW</v>
      </c>
      <c r="AC3874" t="str">
        <f>TEXT(ReconciliationData[[#This Row],[Order_Date]],"YYYY-MM")</f>
        <v>2023-01</v>
      </c>
    </row>
    <row r="3875" spans="1:29">
      <c r="A3875" t="s">
        <v>8972</v>
      </c>
      <c r="B3875" s="1">
        <v>45483</v>
      </c>
      <c r="C3875" t="s">
        <v>1053</v>
      </c>
      <c r="D3875" t="s">
        <v>1007</v>
      </c>
      <c r="E3875">
        <v>159</v>
      </c>
      <c r="F3875" t="s">
        <v>8973</v>
      </c>
      <c r="G3875">
        <v>159</v>
      </c>
      <c r="H3875">
        <v>115.0735</v>
      </c>
      <c r="N3875">
        <v>115.0735</v>
      </c>
      <c r="O3875" s="1">
        <v>45227</v>
      </c>
      <c r="P3875">
        <f>IF(ISBLANK(ReconciliationData[[#This Row],[Invoice_ID]]),1,0)</f>
        <v>0</v>
      </c>
      <c r="Q3875">
        <f>IF(AND(NOT(ISBLANK(ReconciliationData[[#This Row],[Billed_Units]])),ReconciliationData[[#This Row],[ordered_units]]&lt;&gt;ReconciliationData[[#This Row],[Billed_Units]]),1,0)</f>
        <v>0</v>
      </c>
      <c r="R38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5">
        <f>IF(AND(NOT(ISBLANK(ReconciliationData[[#This Row],[Contract_Price]])),ReconciliationData[[#This Row],[Billed_Price]]&lt;&gt;ReconciliationData[[#This Row],[Contract_Price]]),1,0)</f>
        <v>0</v>
      </c>
      <c r="T3875">
        <f>IF(AND(NOT(ISBLANK(ReconciliationData[[#This Row],[End_Date]])),ReconciliationData[[#This Row],[Order_Date]]&gt;ReconciliationData[[#This Row],[End_Date]]),1,0)</f>
        <v>0</v>
      </c>
      <c r="U3875">
        <f>IF(AND(NOT(ISBLANK(ReconciliationData[[#This Row],[last_return_date]])),ReconciliationData[[#This Row],[last_return_date]]&gt;ReconciliationData[[#This Row],[Order_Date]]+60),1,0)</f>
        <v>0</v>
      </c>
      <c r="V3875">
        <f>IF(ReconciliationData[[#This Row],[total_returned_units]]&gt;ReconciliationData[[#This Row],[ordered_units]],1,0)</f>
        <v>0</v>
      </c>
      <c r="W38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5">
        <f>ReconciliationData[[#This Row],[Billed_Units]]*ReconciliationData[[#This Row],[Billed_Price]]</f>
        <v>18296.6865</v>
      </c>
      <c r="Y3875">
        <f>ReconciliationData[[#This Row],[ordered_units]]*ReconciliationData[[#This Row],[List_Price]]</f>
        <v>18296.6865</v>
      </c>
      <c r="Z3875">
        <f>ReconciliationData[[#This Row],[billed_revenue]]-ReconciliationData[[#This Row],[expected_revenue]]</f>
        <v>0</v>
      </c>
      <c r="AA38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5" t="str">
        <f>IF(ReconciliationData[[#This Row],[severity_score]]=0,"LOW",
 IF(ReconciliationData[[#This Row],[severity_score]]&lt;=5,"MEDIUM","HIGH"))</f>
        <v>LOW</v>
      </c>
      <c r="AC3875" t="str">
        <f>TEXT(ReconciliationData[[#This Row],[Order_Date]],"YYYY-MM")</f>
        <v>2024-07</v>
      </c>
    </row>
    <row r="3876" spans="1:29">
      <c r="A3876" t="s">
        <v>8974</v>
      </c>
      <c r="B3876" s="1">
        <v>45225</v>
      </c>
      <c r="C3876" t="s">
        <v>7482</v>
      </c>
      <c r="D3876" t="s">
        <v>573</v>
      </c>
      <c r="E3876">
        <v>38</v>
      </c>
      <c r="F3876" t="s">
        <v>8975</v>
      </c>
      <c r="G3876">
        <v>38</v>
      </c>
      <c r="H3876">
        <v>1223.9694</v>
      </c>
      <c r="N3876">
        <v>1223.9694</v>
      </c>
      <c r="O3876" s="1">
        <v>45154</v>
      </c>
      <c r="P3876">
        <f>IF(ISBLANK(ReconciliationData[[#This Row],[Invoice_ID]]),1,0)</f>
        <v>0</v>
      </c>
      <c r="Q3876">
        <f>IF(AND(NOT(ISBLANK(ReconciliationData[[#This Row],[Billed_Units]])),ReconciliationData[[#This Row],[ordered_units]]&lt;&gt;ReconciliationData[[#This Row],[Billed_Units]]),1,0)</f>
        <v>0</v>
      </c>
      <c r="R38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6">
        <f>IF(AND(NOT(ISBLANK(ReconciliationData[[#This Row],[Contract_Price]])),ReconciliationData[[#This Row],[Billed_Price]]&lt;&gt;ReconciliationData[[#This Row],[Contract_Price]]),1,0)</f>
        <v>0</v>
      </c>
      <c r="T3876">
        <f>IF(AND(NOT(ISBLANK(ReconciliationData[[#This Row],[End_Date]])),ReconciliationData[[#This Row],[Order_Date]]&gt;ReconciliationData[[#This Row],[End_Date]]),1,0)</f>
        <v>0</v>
      </c>
      <c r="U3876">
        <f>IF(AND(NOT(ISBLANK(ReconciliationData[[#This Row],[last_return_date]])),ReconciliationData[[#This Row],[last_return_date]]&gt;ReconciliationData[[#This Row],[Order_Date]]+60),1,0)</f>
        <v>0</v>
      </c>
      <c r="V3876">
        <f>IF(ReconciliationData[[#This Row],[total_returned_units]]&gt;ReconciliationData[[#This Row],[ordered_units]],1,0)</f>
        <v>0</v>
      </c>
      <c r="W38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6">
        <f>ReconciliationData[[#This Row],[Billed_Units]]*ReconciliationData[[#This Row],[Billed_Price]]</f>
        <v>46510.837199999994</v>
      </c>
      <c r="Y3876">
        <f>ReconciliationData[[#This Row],[ordered_units]]*ReconciliationData[[#This Row],[List_Price]]</f>
        <v>46510.837199999994</v>
      </c>
      <c r="Z3876">
        <f>ReconciliationData[[#This Row],[billed_revenue]]-ReconciliationData[[#This Row],[expected_revenue]]</f>
        <v>0</v>
      </c>
      <c r="AA38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6" t="str">
        <f>IF(ReconciliationData[[#This Row],[severity_score]]=0,"LOW",
 IF(ReconciliationData[[#This Row],[severity_score]]&lt;=5,"MEDIUM","HIGH"))</f>
        <v>LOW</v>
      </c>
      <c r="AC3876" t="str">
        <f>TEXT(ReconciliationData[[#This Row],[Order_Date]],"YYYY-MM")</f>
        <v>2023-10</v>
      </c>
    </row>
    <row r="3877" spans="1:29">
      <c r="A3877" t="s">
        <v>8976</v>
      </c>
      <c r="B3877" s="1">
        <v>45488</v>
      </c>
      <c r="C3877" t="s">
        <v>3140</v>
      </c>
      <c r="D3877" t="s">
        <v>589</v>
      </c>
      <c r="E3877">
        <v>127</v>
      </c>
      <c r="F3877" t="s">
        <v>8977</v>
      </c>
      <c r="G3877">
        <v>127</v>
      </c>
      <c r="H3877">
        <v>1085.8974999999998</v>
      </c>
      <c r="N3877">
        <v>1085.8974999999998</v>
      </c>
      <c r="O3877" s="1">
        <v>45147</v>
      </c>
      <c r="P3877">
        <f>IF(ISBLANK(ReconciliationData[[#This Row],[Invoice_ID]]),1,0)</f>
        <v>0</v>
      </c>
      <c r="Q3877">
        <f>IF(AND(NOT(ISBLANK(ReconciliationData[[#This Row],[Billed_Units]])),ReconciliationData[[#This Row],[ordered_units]]&lt;&gt;ReconciliationData[[#This Row],[Billed_Units]]),1,0)</f>
        <v>0</v>
      </c>
      <c r="R38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7">
        <f>IF(AND(NOT(ISBLANK(ReconciliationData[[#This Row],[Contract_Price]])),ReconciliationData[[#This Row],[Billed_Price]]&lt;&gt;ReconciliationData[[#This Row],[Contract_Price]]),1,0)</f>
        <v>0</v>
      </c>
      <c r="T3877">
        <f>IF(AND(NOT(ISBLANK(ReconciliationData[[#This Row],[End_Date]])),ReconciliationData[[#This Row],[Order_Date]]&gt;ReconciliationData[[#This Row],[End_Date]]),1,0)</f>
        <v>0</v>
      </c>
      <c r="U3877">
        <f>IF(AND(NOT(ISBLANK(ReconciliationData[[#This Row],[last_return_date]])),ReconciliationData[[#This Row],[last_return_date]]&gt;ReconciliationData[[#This Row],[Order_Date]]+60),1,0)</f>
        <v>0</v>
      </c>
      <c r="V3877">
        <f>IF(ReconciliationData[[#This Row],[total_returned_units]]&gt;ReconciliationData[[#This Row],[ordered_units]],1,0)</f>
        <v>0</v>
      </c>
      <c r="W38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7">
        <f>ReconciliationData[[#This Row],[Billed_Units]]*ReconciliationData[[#This Row],[Billed_Price]]</f>
        <v>137908.98249999998</v>
      </c>
      <c r="Y3877">
        <f>ReconciliationData[[#This Row],[ordered_units]]*ReconciliationData[[#This Row],[List_Price]]</f>
        <v>137908.98249999998</v>
      </c>
      <c r="Z3877">
        <f>ReconciliationData[[#This Row],[billed_revenue]]-ReconciliationData[[#This Row],[expected_revenue]]</f>
        <v>0</v>
      </c>
      <c r="AA38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7" t="str">
        <f>IF(ReconciliationData[[#This Row],[severity_score]]=0,"LOW",
 IF(ReconciliationData[[#This Row],[severity_score]]&lt;=5,"MEDIUM","HIGH"))</f>
        <v>LOW</v>
      </c>
      <c r="AC3877" t="str">
        <f>TEXT(ReconciliationData[[#This Row],[Order_Date]],"YYYY-MM")</f>
        <v>2024-07</v>
      </c>
    </row>
    <row r="3878" spans="1:29">
      <c r="A3878" t="s">
        <v>8978</v>
      </c>
      <c r="B3878" s="1">
        <v>44979</v>
      </c>
      <c r="C3878" t="s">
        <v>6251</v>
      </c>
      <c r="D3878" t="s">
        <v>832</v>
      </c>
      <c r="E3878">
        <v>179</v>
      </c>
      <c r="F3878" t="s">
        <v>8979</v>
      </c>
      <c r="G3878">
        <v>179</v>
      </c>
      <c r="H3878">
        <v>309.07</v>
      </c>
      <c r="N3878">
        <v>309.07</v>
      </c>
      <c r="O3878" s="1">
        <v>44675</v>
      </c>
      <c r="P3878">
        <f>IF(ISBLANK(ReconciliationData[[#This Row],[Invoice_ID]]),1,0)</f>
        <v>0</v>
      </c>
      <c r="Q3878">
        <f>IF(AND(NOT(ISBLANK(ReconciliationData[[#This Row],[Billed_Units]])),ReconciliationData[[#This Row],[ordered_units]]&lt;&gt;ReconciliationData[[#This Row],[Billed_Units]]),1,0)</f>
        <v>0</v>
      </c>
      <c r="R38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8">
        <f>IF(AND(NOT(ISBLANK(ReconciliationData[[#This Row],[Contract_Price]])),ReconciliationData[[#This Row],[Billed_Price]]&lt;&gt;ReconciliationData[[#This Row],[Contract_Price]]),1,0)</f>
        <v>0</v>
      </c>
      <c r="T3878">
        <f>IF(AND(NOT(ISBLANK(ReconciliationData[[#This Row],[End_Date]])),ReconciliationData[[#This Row],[Order_Date]]&gt;ReconciliationData[[#This Row],[End_Date]]),1,0)</f>
        <v>0</v>
      </c>
      <c r="U3878">
        <f>IF(AND(NOT(ISBLANK(ReconciliationData[[#This Row],[last_return_date]])),ReconciliationData[[#This Row],[last_return_date]]&gt;ReconciliationData[[#This Row],[Order_Date]]+60),1,0)</f>
        <v>0</v>
      </c>
      <c r="V3878">
        <f>IF(ReconciliationData[[#This Row],[total_returned_units]]&gt;ReconciliationData[[#This Row],[ordered_units]],1,0)</f>
        <v>0</v>
      </c>
      <c r="W38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8">
        <f>ReconciliationData[[#This Row],[Billed_Units]]*ReconciliationData[[#This Row],[Billed_Price]]</f>
        <v>55323.53</v>
      </c>
      <c r="Y3878">
        <f>ReconciliationData[[#This Row],[ordered_units]]*ReconciliationData[[#This Row],[List_Price]]</f>
        <v>55323.53</v>
      </c>
      <c r="Z3878">
        <f>ReconciliationData[[#This Row],[billed_revenue]]-ReconciliationData[[#This Row],[expected_revenue]]</f>
        <v>0</v>
      </c>
      <c r="AA38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8" t="str">
        <f>IF(ReconciliationData[[#This Row],[severity_score]]=0,"LOW",
 IF(ReconciliationData[[#This Row],[severity_score]]&lt;=5,"MEDIUM","HIGH"))</f>
        <v>LOW</v>
      </c>
      <c r="AC3878" t="str">
        <f>TEXT(ReconciliationData[[#This Row],[Order_Date]],"YYYY-MM")</f>
        <v>2023-02</v>
      </c>
    </row>
    <row r="3879" spans="1:29">
      <c r="A3879" t="s">
        <v>8980</v>
      </c>
      <c r="B3879" s="1">
        <v>45279</v>
      </c>
      <c r="C3879" t="s">
        <v>5082</v>
      </c>
      <c r="D3879" t="s">
        <v>2489</v>
      </c>
      <c r="E3879">
        <v>17</v>
      </c>
      <c r="F3879" t="s">
        <v>8981</v>
      </c>
      <c r="G3879">
        <v>17</v>
      </c>
      <c r="H3879">
        <v>544.5</v>
      </c>
      <c r="N3879">
        <v>544.5</v>
      </c>
      <c r="O3879" s="1">
        <v>45159</v>
      </c>
      <c r="P3879">
        <f>IF(ISBLANK(ReconciliationData[[#This Row],[Invoice_ID]]),1,0)</f>
        <v>0</v>
      </c>
      <c r="Q3879">
        <f>IF(AND(NOT(ISBLANK(ReconciliationData[[#This Row],[Billed_Units]])),ReconciliationData[[#This Row],[ordered_units]]&lt;&gt;ReconciliationData[[#This Row],[Billed_Units]]),1,0)</f>
        <v>0</v>
      </c>
      <c r="R38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79">
        <f>IF(AND(NOT(ISBLANK(ReconciliationData[[#This Row],[Contract_Price]])),ReconciliationData[[#This Row],[Billed_Price]]&lt;&gt;ReconciliationData[[#This Row],[Contract_Price]]),1,0)</f>
        <v>0</v>
      </c>
      <c r="T3879">
        <f>IF(AND(NOT(ISBLANK(ReconciliationData[[#This Row],[End_Date]])),ReconciliationData[[#This Row],[Order_Date]]&gt;ReconciliationData[[#This Row],[End_Date]]),1,0)</f>
        <v>0</v>
      </c>
      <c r="U3879">
        <f>IF(AND(NOT(ISBLANK(ReconciliationData[[#This Row],[last_return_date]])),ReconciliationData[[#This Row],[last_return_date]]&gt;ReconciliationData[[#This Row],[Order_Date]]+60),1,0)</f>
        <v>0</v>
      </c>
      <c r="V3879">
        <f>IF(ReconciliationData[[#This Row],[total_returned_units]]&gt;ReconciliationData[[#This Row],[ordered_units]],1,0)</f>
        <v>0</v>
      </c>
      <c r="W38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79">
        <f>ReconciliationData[[#This Row],[Billed_Units]]*ReconciliationData[[#This Row],[Billed_Price]]</f>
        <v>9256.5</v>
      </c>
      <c r="Y3879">
        <f>ReconciliationData[[#This Row],[ordered_units]]*ReconciliationData[[#This Row],[List_Price]]</f>
        <v>9256.5</v>
      </c>
      <c r="Z3879">
        <f>ReconciliationData[[#This Row],[billed_revenue]]-ReconciliationData[[#This Row],[expected_revenue]]</f>
        <v>0</v>
      </c>
      <c r="AA38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79" t="str">
        <f>IF(ReconciliationData[[#This Row],[severity_score]]=0,"LOW",
 IF(ReconciliationData[[#This Row],[severity_score]]&lt;=5,"MEDIUM","HIGH"))</f>
        <v>LOW</v>
      </c>
      <c r="AC3879" t="str">
        <f>TEXT(ReconciliationData[[#This Row],[Order_Date]],"YYYY-MM")</f>
        <v>2023-12</v>
      </c>
    </row>
    <row r="3880" spans="1:29">
      <c r="A3880" t="s">
        <v>8982</v>
      </c>
      <c r="B3880" s="1">
        <v>45436</v>
      </c>
      <c r="C3880" t="s">
        <v>2005</v>
      </c>
      <c r="D3880" t="s">
        <v>271</v>
      </c>
      <c r="E3880">
        <v>195</v>
      </c>
      <c r="F3880" t="s">
        <v>8983</v>
      </c>
      <c r="G3880">
        <v>195</v>
      </c>
      <c r="H3880">
        <v>54.580199999999998</v>
      </c>
      <c r="N3880">
        <v>54.580199999999998</v>
      </c>
      <c r="O3880" s="1">
        <v>44984</v>
      </c>
      <c r="P3880">
        <f>IF(ISBLANK(ReconciliationData[[#This Row],[Invoice_ID]]),1,0)</f>
        <v>0</v>
      </c>
      <c r="Q3880">
        <f>IF(AND(NOT(ISBLANK(ReconciliationData[[#This Row],[Billed_Units]])),ReconciliationData[[#This Row],[ordered_units]]&lt;&gt;ReconciliationData[[#This Row],[Billed_Units]]),1,0)</f>
        <v>0</v>
      </c>
      <c r="R38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0">
        <f>IF(AND(NOT(ISBLANK(ReconciliationData[[#This Row],[Contract_Price]])),ReconciliationData[[#This Row],[Billed_Price]]&lt;&gt;ReconciliationData[[#This Row],[Contract_Price]]),1,0)</f>
        <v>0</v>
      </c>
      <c r="T3880">
        <f>IF(AND(NOT(ISBLANK(ReconciliationData[[#This Row],[End_Date]])),ReconciliationData[[#This Row],[Order_Date]]&gt;ReconciliationData[[#This Row],[End_Date]]),1,0)</f>
        <v>0</v>
      </c>
      <c r="U3880">
        <f>IF(AND(NOT(ISBLANK(ReconciliationData[[#This Row],[last_return_date]])),ReconciliationData[[#This Row],[last_return_date]]&gt;ReconciliationData[[#This Row],[Order_Date]]+60),1,0)</f>
        <v>0</v>
      </c>
      <c r="V3880">
        <f>IF(ReconciliationData[[#This Row],[total_returned_units]]&gt;ReconciliationData[[#This Row],[ordered_units]],1,0)</f>
        <v>0</v>
      </c>
      <c r="W38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80">
        <f>ReconciliationData[[#This Row],[Billed_Units]]*ReconciliationData[[#This Row],[Billed_Price]]</f>
        <v>10643.138999999999</v>
      </c>
      <c r="Y3880">
        <f>ReconciliationData[[#This Row],[ordered_units]]*ReconciliationData[[#This Row],[List_Price]]</f>
        <v>10643.138999999999</v>
      </c>
      <c r="Z3880">
        <f>ReconciliationData[[#This Row],[billed_revenue]]-ReconciliationData[[#This Row],[expected_revenue]]</f>
        <v>0</v>
      </c>
      <c r="AA38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80" t="str">
        <f>IF(ReconciliationData[[#This Row],[severity_score]]=0,"LOW",
 IF(ReconciliationData[[#This Row],[severity_score]]&lt;=5,"MEDIUM","HIGH"))</f>
        <v>LOW</v>
      </c>
      <c r="AC3880" t="str">
        <f>TEXT(ReconciliationData[[#This Row],[Order_Date]],"YYYY-MM")</f>
        <v>2024-05</v>
      </c>
    </row>
    <row r="3881" spans="1:29">
      <c r="A3881" t="s">
        <v>8984</v>
      </c>
      <c r="B3881" s="1">
        <v>44935</v>
      </c>
      <c r="C3881" t="s">
        <v>746</v>
      </c>
      <c r="D3881" t="s">
        <v>1285</v>
      </c>
      <c r="E3881">
        <v>179</v>
      </c>
      <c r="F3881" t="s">
        <v>8985</v>
      </c>
      <c r="G3881">
        <v>179</v>
      </c>
      <c r="H3881">
        <v>411.77</v>
      </c>
      <c r="N3881">
        <v>411.77</v>
      </c>
      <c r="O3881" s="1">
        <v>44611</v>
      </c>
      <c r="P3881">
        <f>IF(ISBLANK(ReconciliationData[[#This Row],[Invoice_ID]]),1,0)</f>
        <v>0</v>
      </c>
      <c r="Q3881">
        <f>IF(AND(NOT(ISBLANK(ReconciliationData[[#This Row],[Billed_Units]])),ReconciliationData[[#This Row],[ordered_units]]&lt;&gt;ReconciliationData[[#This Row],[Billed_Units]]),1,0)</f>
        <v>0</v>
      </c>
      <c r="R38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1">
        <f>IF(AND(NOT(ISBLANK(ReconciliationData[[#This Row],[Contract_Price]])),ReconciliationData[[#This Row],[Billed_Price]]&lt;&gt;ReconciliationData[[#This Row],[Contract_Price]]),1,0)</f>
        <v>0</v>
      </c>
      <c r="T3881">
        <f>IF(AND(NOT(ISBLANK(ReconciliationData[[#This Row],[End_Date]])),ReconciliationData[[#This Row],[Order_Date]]&gt;ReconciliationData[[#This Row],[End_Date]]),1,0)</f>
        <v>0</v>
      </c>
      <c r="U3881">
        <f>IF(AND(NOT(ISBLANK(ReconciliationData[[#This Row],[last_return_date]])),ReconciliationData[[#This Row],[last_return_date]]&gt;ReconciliationData[[#This Row],[Order_Date]]+60),1,0)</f>
        <v>0</v>
      </c>
      <c r="V3881">
        <f>IF(ReconciliationData[[#This Row],[total_returned_units]]&gt;ReconciliationData[[#This Row],[ordered_units]],1,0)</f>
        <v>0</v>
      </c>
      <c r="W38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81">
        <f>ReconciliationData[[#This Row],[Billed_Units]]*ReconciliationData[[#This Row],[Billed_Price]]</f>
        <v>73706.83</v>
      </c>
      <c r="Y3881">
        <f>ReconciliationData[[#This Row],[ordered_units]]*ReconciliationData[[#This Row],[List_Price]]</f>
        <v>73706.83</v>
      </c>
      <c r="Z3881">
        <f>ReconciliationData[[#This Row],[billed_revenue]]-ReconciliationData[[#This Row],[expected_revenue]]</f>
        <v>0</v>
      </c>
      <c r="AA38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81" t="str">
        <f>IF(ReconciliationData[[#This Row],[severity_score]]=0,"LOW",
 IF(ReconciliationData[[#This Row],[severity_score]]&lt;=5,"MEDIUM","HIGH"))</f>
        <v>LOW</v>
      </c>
      <c r="AC3881" t="str">
        <f>TEXT(ReconciliationData[[#This Row],[Order_Date]],"YYYY-MM")</f>
        <v>2023-01</v>
      </c>
    </row>
    <row r="3882" spans="1:29">
      <c r="A3882" t="s">
        <v>8986</v>
      </c>
      <c r="B3882" s="1">
        <v>44994</v>
      </c>
      <c r="C3882" t="s">
        <v>1301</v>
      </c>
      <c r="D3882" t="s">
        <v>1358</v>
      </c>
      <c r="E3882">
        <v>194</v>
      </c>
      <c r="F3882" t="s">
        <v>8987</v>
      </c>
      <c r="G3882">
        <v>194</v>
      </c>
      <c r="H3882">
        <v>921.76</v>
      </c>
      <c r="N3882">
        <v>921.76</v>
      </c>
      <c r="O3882" s="1">
        <v>44662</v>
      </c>
      <c r="P3882">
        <f>IF(ISBLANK(ReconciliationData[[#This Row],[Invoice_ID]]),1,0)</f>
        <v>0</v>
      </c>
      <c r="Q3882">
        <f>IF(AND(NOT(ISBLANK(ReconciliationData[[#This Row],[Billed_Units]])),ReconciliationData[[#This Row],[ordered_units]]&lt;&gt;ReconciliationData[[#This Row],[Billed_Units]]),1,0)</f>
        <v>0</v>
      </c>
      <c r="R38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2">
        <f>IF(AND(NOT(ISBLANK(ReconciliationData[[#This Row],[Contract_Price]])),ReconciliationData[[#This Row],[Billed_Price]]&lt;&gt;ReconciliationData[[#This Row],[Contract_Price]]),1,0)</f>
        <v>0</v>
      </c>
      <c r="T3882">
        <f>IF(AND(NOT(ISBLANK(ReconciliationData[[#This Row],[End_Date]])),ReconciliationData[[#This Row],[Order_Date]]&gt;ReconciliationData[[#This Row],[End_Date]]),1,0)</f>
        <v>0</v>
      </c>
      <c r="U3882">
        <f>IF(AND(NOT(ISBLANK(ReconciliationData[[#This Row],[last_return_date]])),ReconciliationData[[#This Row],[last_return_date]]&gt;ReconciliationData[[#This Row],[Order_Date]]+60),1,0)</f>
        <v>0</v>
      </c>
      <c r="V3882">
        <f>IF(ReconciliationData[[#This Row],[total_returned_units]]&gt;ReconciliationData[[#This Row],[ordered_units]],1,0)</f>
        <v>0</v>
      </c>
      <c r="W38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82">
        <f>ReconciliationData[[#This Row],[Billed_Units]]*ReconciliationData[[#This Row],[Billed_Price]]</f>
        <v>178821.44</v>
      </c>
      <c r="Y3882">
        <f>ReconciliationData[[#This Row],[ordered_units]]*ReconciliationData[[#This Row],[List_Price]]</f>
        <v>178821.44</v>
      </c>
      <c r="Z3882">
        <f>ReconciliationData[[#This Row],[billed_revenue]]-ReconciliationData[[#This Row],[expected_revenue]]</f>
        <v>0</v>
      </c>
      <c r="AA38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82" t="str">
        <f>IF(ReconciliationData[[#This Row],[severity_score]]=0,"LOW",
 IF(ReconciliationData[[#This Row],[severity_score]]&lt;=5,"MEDIUM","HIGH"))</f>
        <v>LOW</v>
      </c>
      <c r="AC3882" t="str">
        <f>TEXT(ReconciliationData[[#This Row],[Order_Date]],"YYYY-MM")</f>
        <v>2023-03</v>
      </c>
    </row>
    <row r="3883" spans="1:29">
      <c r="A3883" t="s">
        <v>8988</v>
      </c>
      <c r="B3883" s="1">
        <v>45328</v>
      </c>
      <c r="C3883" t="s">
        <v>1539</v>
      </c>
      <c r="D3883" t="s">
        <v>1385</v>
      </c>
      <c r="E3883">
        <v>82</v>
      </c>
      <c r="F3883" t="s">
        <v>8989</v>
      </c>
      <c r="G3883">
        <v>82</v>
      </c>
      <c r="H3883">
        <v>287.90559999999999</v>
      </c>
      <c r="N3883">
        <v>287.90559999999999</v>
      </c>
      <c r="O3883" s="1">
        <v>45224</v>
      </c>
      <c r="P3883">
        <f>IF(ISBLANK(ReconciliationData[[#This Row],[Invoice_ID]]),1,0)</f>
        <v>0</v>
      </c>
      <c r="Q3883">
        <f>IF(AND(NOT(ISBLANK(ReconciliationData[[#This Row],[Billed_Units]])),ReconciliationData[[#This Row],[ordered_units]]&lt;&gt;ReconciliationData[[#This Row],[Billed_Units]]),1,0)</f>
        <v>0</v>
      </c>
      <c r="R38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3">
        <f>IF(AND(NOT(ISBLANK(ReconciliationData[[#This Row],[Contract_Price]])),ReconciliationData[[#This Row],[Billed_Price]]&lt;&gt;ReconciliationData[[#This Row],[Contract_Price]]),1,0)</f>
        <v>0</v>
      </c>
      <c r="T3883">
        <f>IF(AND(NOT(ISBLANK(ReconciliationData[[#This Row],[End_Date]])),ReconciliationData[[#This Row],[Order_Date]]&gt;ReconciliationData[[#This Row],[End_Date]]),1,0)</f>
        <v>0</v>
      </c>
      <c r="U3883">
        <f>IF(AND(NOT(ISBLANK(ReconciliationData[[#This Row],[last_return_date]])),ReconciliationData[[#This Row],[last_return_date]]&gt;ReconciliationData[[#This Row],[Order_Date]]+60),1,0)</f>
        <v>0</v>
      </c>
      <c r="V3883">
        <f>IF(ReconciliationData[[#This Row],[total_returned_units]]&gt;ReconciliationData[[#This Row],[ordered_units]],1,0)</f>
        <v>0</v>
      </c>
      <c r="W38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83">
        <f>ReconciliationData[[#This Row],[Billed_Units]]*ReconciliationData[[#This Row],[Billed_Price]]</f>
        <v>23608.2592</v>
      </c>
      <c r="Y3883">
        <f>ReconciliationData[[#This Row],[ordered_units]]*ReconciliationData[[#This Row],[List_Price]]</f>
        <v>23608.2592</v>
      </c>
      <c r="Z3883">
        <f>ReconciliationData[[#This Row],[billed_revenue]]-ReconciliationData[[#This Row],[expected_revenue]]</f>
        <v>0</v>
      </c>
      <c r="AA38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83" t="str">
        <f>IF(ReconciliationData[[#This Row],[severity_score]]=0,"LOW",
 IF(ReconciliationData[[#This Row],[severity_score]]&lt;=5,"MEDIUM","HIGH"))</f>
        <v>LOW</v>
      </c>
      <c r="AC3883" t="str">
        <f>TEXT(ReconciliationData[[#This Row],[Order_Date]],"YYYY-MM")</f>
        <v>2024-02</v>
      </c>
    </row>
    <row r="3884" spans="1:29">
      <c r="A3884" t="s">
        <v>8990</v>
      </c>
      <c r="B3884" s="1">
        <v>45589</v>
      </c>
      <c r="C3884" t="s">
        <v>978</v>
      </c>
      <c r="D3884" t="s">
        <v>2583</v>
      </c>
      <c r="E3884">
        <v>18</v>
      </c>
      <c r="F3884" t="s">
        <v>8991</v>
      </c>
      <c r="G3884">
        <v>18</v>
      </c>
      <c r="H3884">
        <v>511.96</v>
      </c>
      <c r="I3884">
        <v>4</v>
      </c>
      <c r="J3884" s="1">
        <v>45713</v>
      </c>
      <c r="N3884">
        <v>511.96</v>
      </c>
      <c r="O3884" s="1">
        <v>45058</v>
      </c>
      <c r="P3884">
        <f>IF(ISBLANK(ReconciliationData[[#This Row],[Invoice_ID]]),1,0)</f>
        <v>0</v>
      </c>
      <c r="Q3884">
        <f>IF(AND(NOT(ISBLANK(ReconciliationData[[#This Row],[Billed_Units]])),ReconciliationData[[#This Row],[ordered_units]]&lt;&gt;ReconciliationData[[#This Row],[Billed_Units]]),1,0)</f>
        <v>0</v>
      </c>
      <c r="R388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4">
        <f>IF(AND(NOT(ISBLANK(ReconciliationData[[#This Row],[Contract_Price]])),ReconciliationData[[#This Row],[Billed_Price]]&lt;&gt;ReconciliationData[[#This Row],[Contract_Price]]),1,0)</f>
        <v>0</v>
      </c>
      <c r="T3884">
        <f>IF(AND(NOT(ISBLANK(ReconciliationData[[#This Row],[End_Date]])),ReconciliationData[[#This Row],[Order_Date]]&gt;ReconciliationData[[#This Row],[End_Date]]),1,0)</f>
        <v>0</v>
      </c>
      <c r="U3884">
        <f>IF(AND(NOT(ISBLANK(ReconciliationData[[#This Row],[last_return_date]])),ReconciliationData[[#This Row],[last_return_date]]&gt;ReconciliationData[[#This Row],[Order_Date]]+60),1,0)</f>
        <v>1</v>
      </c>
      <c r="V3884">
        <f>IF(ReconciliationData[[#This Row],[total_returned_units]]&gt;ReconciliationData[[#This Row],[ordered_units]],1,0)</f>
        <v>0</v>
      </c>
      <c r="W38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884">
        <f>ReconciliationData[[#This Row],[Billed_Units]]*ReconciliationData[[#This Row],[Billed_Price]]</f>
        <v>9215.2799999999988</v>
      </c>
      <c r="Y3884">
        <f>ReconciliationData[[#This Row],[ordered_units]]*ReconciliationData[[#This Row],[List_Price]]</f>
        <v>9215.2799999999988</v>
      </c>
      <c r="Z3884">
        <f>ReconciliationData[[#This Row],[billed_revenue]]-ReconciliationData[[#This Row],[expected_revenue]]</f>
        <v>0</v>
      </c>
      <c r="AA38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884" t="str">
        <f>IF(ReconciliationData[[#This Row],[severity_score]]=0,"LOW",
 IF(ReconciliationData[[#This Row],[severity_score]]&lt;=5,"MEDIUM","HIGH"))</f>
        <v>MEDIUM</v>
      </c>
      <c r="AC3884" t="str">
        <f>TEXT(ReconciliationData[[#This Row],[Order_Date]],"YYYY-MM")</f>
        <v>2024-10</v>
      </c>
    </row>
    <row r="3885" spans="1:29">
      <c r="A3885" t="s">
        <v>8992</v>
      </c>
      <c r="B3885" s="1">
        <v>45115</v>
      </c>
      <c r="C3885" t="s">
        <v>2920</v>
      </c>
      <c r="D3885" t="s">
        <v>3256</v>
      </c>
      <c r="E3885">
        <v>104</v>
      </c>
      <c r="F3885" t="s">
        <v>8993</v>
      </c>
      <c r="G3885">
        <v>104</v>
      </c>
      <c r="H3885">
        <v>1159.732</v>
      </c>
      <c r="I3885">
        <v>4</v>
      </c>
      <c r="J3885" s="1">
        <v>45120</v>
      </c>
      <c r="N3885">
        <v>1159.732</v>
      </c>
      <c r="O3885" s="1">
        <v>45032</v>
      </c>
      <c r="P3885">
        <f>IF(ISBLANK(ReconciliationData[[#This Row],[Invoice_ID]]),1,0)</f>
        <v>0</v>
      </c>
      <c r="Q3885">
        <f>IF(AND(NOT(ISBLANK(ReconciliationData[[#This Row],[Billed_Units]])),ReconciliationData[[#This Row],[ordered_units]]&lt;&gt;ReconciliationData[[#This Row],[Billed_Units]]),1,0)</f>
        <v>0</v>
      </c>
      <c r="R38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5">
        <f>IF(AND(NOT(ISBLANK(ReconciliationData[[#This Row],[Contract_Price]])),ReconciliationData[[#This Row],[Billed_Price]]&lt;&gt;ReconciliationData[[#This Row],[Contract_Price]]),1,0)</f>
        <v>0</v>
      </c>
      <c r="T3885">
        <f>IF(AND(NOT(ISBLANK(ReconciliationData[[#This Row],[End_Date]])),ReconciliationData[[#This Row],[Order_Date]]&gt;ReconciliationData[[#This Row],[End_Date]]),1,0)</f>
        <v>0</v>
      </c>
      <c r="U3885">
        <f>IF(AND(NOT(ISBLANK(ReconciliationData[[#This Row],[last_return_date]])),ReconciliationData[[#This Row],[last_return_date]]&gt;ReconciliationData[[#This Row],[Order_Date]]+60),1,0)</f>
        <v>0</v>
      </c>
      <c r="V3885">
        <f>IF(ReconciliationData[[#This Row],[total_returned_units]]&gt;ReconciliationData[[#This Row],[ordered_units]],1,0)</f>
        <v>0</v>
      </c>
      <c r="W38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85">
        <f>ReconciliationData[[#This Row],[Billed_Units]]*ReconciliationData[[#This Row],[Billed_Price]]</f>
        <v>120612.128</v>
      </c>
      <c r="Y3885">
        <f>ReconciliationData[[#This Row],[ordered_units]]*ReconciliationData[[#This Row],[List_Price]]</f>
        <v>120612.128</v>
      </c>
      <c r="Z3885">
        <f>ReconciliationData[[#This Row],[billed_revenue]]-ReconciliationData[[#This Row],[expected_revenue]]</f>
        <v>0</v>
      </c>
      <c r="AA38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85" t="str">
        <f>IF(ReconciliationData[[#This Row],[severity_score]]=0,"LOW",
 IF(ReconciliationData[[#This Row],[severity_score]]&lt;=5,"MEDIUM","HIGH"))</f>
        <v>LOW</v>
      </c>
      <c r="AC3885" t="str">
        <f>TEXT(ReconciliationData[[#This Row],[Order_Date]],"YYYY-MM")</f>
        <v>2023-07</v>
      </c>
    </row>
    <row r="3886" spans="1:29">
      <c r="A3886" t="s">
        <v>8994</v>
      </c>
      <c r="B3886" s="1">
        <v>45337</v>
      </c>
      <c r="C3886" t="s">
        <v>2228</v>
      </c>
      <c r="D3886" t="s">
        <v>898</v>
      </c>
      <c r="E3886">
        <v>106</v>
      </c>
      <c r="F3886" t="s">
        <v>8995</v>
      </c>
      <c r="G3886">
        <v>106</v>
      </c>
      <c r="H3886">
        <v>744.98490000000004</v>
      </c>
      <c r="N3886">
        <v>744.98490000000004</v>
      </c>
      <c r="O3886" s="1">
        <v>45138</v>
      </c>
      <c r="P3886">
        <f>IF(ISBLANK(ReconciliationData[[#This Row],[Invoice_ID]]),1,0)</f>
        <v>0</v>
      </c>
      <c r="Q3886">
        <f>IF(AND(NOT(ISBLANK(ReconciliationData[[#This Row],[Billed_Units]])),ReconciliationData[[#This Row],[ordered_units]]&lt;&gt;ReconciliationData[[#This Row],[Billed_Units]]),1,0)</f>
        <v>0</v>
      </c>
      <c r="R38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6">
        <f>IF(AND(NOT(ISBLANK(ReconciliationData[[#This Row],[Contract_Price]])),ReconciliationData[[#This Row],[Billed_Price]]&lt;&gt;ReconciliationData[[#This Row],[Contract_Price]]),1,0)</f>
        <v>0</v>
      </c>
      <c r="T3886">
        <f>IF(AND(NOT(ISBLANK(ReconciliationData[[#This Row],[End_Date]])),ReconciliationData[[#This Row],[Order_Date]]&gt;ReconciliationData[[#This Row],[End_Date]]),1,0)</f>
        <v>0</v>
      </c>
      <c r="U3886">
        <f>IF(AND(NOT(ISBLANK(ReconciliationData[[#This Row],[last_return_date]])),ReconciliationData[[#This Row],[last_return_date]]&gt;ReconciliationData[[#This Row],[Order_Date]]+60),1,0)</f>
        <v>0</v>
      </c>
      <c r="V3886">
        <f>IF(ReconciliationData[[#This Row],[total_returned_units]]&gt;ReconciliationData[[#This Row],[ordered_units]],1,0)</f>
        <v>0</v>
      </c>
      <c r="W38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86">
        <f>ReconciliationData[[#This Row],[Billed_Units]]*ReconciliationData[[#This Row],[Billed_Price]]</f>
        <v>78968.399400000009</v>
      </c>
      <c r="Y3886">
        <f>ReconciliationData[[#This Row],[ordered_units]]*ReconciliationData[[#This Row],[List_Price]]</f>
        <v>78968.399400000009</v>
      </c>
      <c r="Z3886">
        <f>ReconciliationData[[#This Row],[billed_revenue]]-ReconciliationData[[#This Row],[expected_revenue]]</f>
        <v>0</v>
      </c>
      <c r="AA38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86" t="str">
        <f>IF(ReconciliationData[[#This Row],[severity_score]]=0,"LOW",
 IF(ReconciliationData[[#This Row],[severity_score]]&lt;=5,"MEDIUM","HIGH"))</f>
        <v>LOW</v>
      </c>
      <c r="AC3886" t="str">
        <f>TEXT(ReconciliationData[[#This Row],[Order_Date]],"YYYY-MM")</f>
        <v>2024-02</v>
      </c>
    </row>
    <row r="3887" spans="1:29">
      <c r="A3887" t="s">
        <v>8996</v>
      </c>
      <c r="B3887" s="1">
        <v>45645</v>
      </c>
      <c r="C3887" t="s">
        <v>1838</v>
      </c>
      <c r="D3887" t="s">
        <v>212</v>
      </c>
      <c r="E3887">
        <v>108</v>
      </c>
      <c r="F3887" t="s">
        <v>8997</v>
      </c>
      <c r="G3887">
        <v>108</v>
      </c>
      <c r="H3887">
        <v>833.41650000000004</v>
      </c>
      <c r="I3887">
        <v>11</v>
      </c>
      <c r="J3887" s="1">
        <v>45665</v>
      </c>
      <c r="N3887">
        <v>833.41650000000004</v>
      </c>
      <c r="O3887" s="1">
        <v>45194</v>
      </c>
      <c r="P3887">
        <f>IF(ISBLANK(ReconciliationData[[#This Row],[Invoice_ID]]),1,0)</f>
        <v>0</v>
      </c>
      <c r="Q3887">
        <f>IF(AND(NOT(ISBLANK(ReconciliationData[[#This Row],[Billed_Units]])),ReconciliationData[[#This Row],[ordered_units]]&lt;&gt;ReconciliationData[[#This Row],[Billed_Units]]),1,0)</f>
        <v>0</v>
      </c>
      <c r="R38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7">
        <f>IF(AND(NOT(ISBLANK(ReconciliationData[[#This Row],[Contract_Price]])),ReconciliationData[[#This Row],[Billed_Price]]&lt;&gt;ReconciliationData[[#This Row],[Contract_Price]]),1,0)</f>
        <v>0</v>
      </c>
      <c r="T3887">
        <f>IF(AND(NOT(ISBLANK(ReconciliationData[[#This Row],[End_Date]])),ReconciliationData[[#This Row],[Order_Date]]&gt;ReconciliationData[[#This Row],[End_Date]]),1,0)</f>
        <v>0</v>
      </c>
      <c r="U3887">
        <f>IF(AND(NOT(ISBLANK(ReconciliationData[[#This Row],[last_return_date]])),ReconciliationData[[#This Row],[last_return_date]]&gt;ReconciliationData[[#This Row],[Order_Date]]+60),1,0)</f>
        <v>0</v>
      </c>
      <c r="V3887">
        <f>IF(ReconciliationData[[#This Row],[total_returned_units]]&gt;ReconciliationData[[#This Row],[ordered_units]],1,0)</f>
        <v>0</v>
      </c>
      <c r="W38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87">
        <f>ReconciliationData[[#This Row],[Billed_Units]]*ReconciliationData[[#This Row],[Billed_Price]]</f>
        <v>90008.982000000004</v>
      </c>
      <c r="Y3887">
        <f>ReconciliationData[[#This Row],[ordered_units]]*ReconciliationData[[#This Row],[List_Price]]</f>
        <v>90008.982000000004</v>
      </c>
      <c r="Z3887">
        <f>ReconciliationData[[#This Row],[billed_revenue]]-ReconciliationData[[#This Row],[expected_revenue]]</f>
        <v>0</v>
      </c>
      <c r="AA38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87" t="str">
        <f>IF(ReconciliationData[[#This Row],[severity_score]]=0,"LOW",
 IF(ReconciliationData[[#This Row],[severity_score]]&lt;=5,"MEDIUM","HIGH"))</f>
        <v>LOW</v>
      </c>
      <c r="AC3887" t="str">
        <f>TEXT(ReconciliationData[[#This Row],[Order_Date]],"YYYY-MM")</f>
        <v>2024-12</v>
      </c>
    </row>
    <row r="3888" spans="1:29">
      <c r="A3888" t="s">
        <v>8998</v>
      </c>
      <c r="B3888" s="1">
        <v>45292</v>
      </c>
      <c r="C3888" t="s">
        <v>1138</v>
      </c>
      <c r="D3888" t="s">
        <v>1449</v>
      </c>
      <c r="E3888">
        <v>129</v>
      </c>
      <c r="F3888" t="s">
        <v>8999</v>
      </c>
      <c r="G3888">
        <v>129</v>
      </c>
      <c r="H3888">
        <v>960.85850000000005</v>
      </c>
      <c r="N3888">
        <v>960.85850000000005</v>
      </c>
      <c r="O3888" s="1">
        <v>45049</v>
      </c>
      <c r="P3888">
        <f>IF(ISBLANK(ReconciliationData[[#This Row],[Invoice_ID]]),1,0)</f>
        <v>0</v>
      </c>
      <c r="Q3888">
        <f>IF(AND(NOT(ISBLANK(ReconciliationData[[#This Row],[Billed_Units]])),ReconciliationData[[#This Row],[ordered_units]]&lt;&gt;ReconciliationData[[#This Row],[Billed_Units]]),1,0)</f>
        <v>0</v>
      </c>
      <c r="R38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8">
        <f>IF(AND(NOT(ISBLANK(ReconciliationData[[#This Row],[Contract_Price]])),ReconciliationData[[#This Row],[Billed_Price]]&lt;&gt;ReconciliationData[[#This Row],[Contract_Price]]),1,0)</f>
        <v>0</v>
      </c>
      <c r="T3888">
        <f>IF(AND(NOT(ISBLANK(ReconciliationData[[#This Row],[End_Date]])),ReconciliationData[[#This Row],[Order_Date]]&gt;ReconciliationData[[#This Row],[End_Date]]),1,0)</f>
        <v>0</v>
      </c>
      <c r="U3888">
        <f>IF(AND(NOT(ISBLANK(ReconciliationData[[#This Row],[last_return_date]])),ReconciliationData[[#This Row],[last_return_date]]&gt;ReconciliationData[[#This Row],[Order_Date]]+60),1,0)</f>
        <v>0</v>
      </c>
      <c r="V3888">
        <f>IF(ReconciliationData[[#This Row],[total_returned_units]]&gt;ReconciliationData[[#This Row],[ordered_units]],1,0)</f>
        <v>0</v>
      </c>
      <c r="W38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88">
        <f>ReconciliationData[[#This Row],[Billed_Units]]*ReconciliationData[[#This Row],[Billed_Price]]</f>
        <v>123950.74650000001</v>
      </c>
      <c r="Y3888">
        <f>ReconciliationData[[#This Row],[ordered_units]]*ReconciliationData[[#This Row],[List_Price]]</f>
        <v>123950.74650000001</v>
      </c>
      <c r="Z3888">
        <f>ReconciliationData[[#This Row],[billed_revenue]]-ReconciliationData[[#This Row],[expected_revenue]]</f>
        <v>0</v>
      </c>
      <c r="AA38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88" t="str">
        <f>IF(ReconciliationData[[#This Row],[severity_score]]=0,"LOW",
 IF(ReconciliationData[[#This Row],[severity_score]]&lt;=5,"MEDIUM","HIGH"))</f>
        <v>LOW</v>
      </c>
      <c r="AC3888" t="str">
        <f>TEXT(ReconciliationData[[#This Row],[Order_Date]],"YYYY-MM")</f>
        <v>2024-01</v>
      </c>
    </row>
    <row r="3889" spans="1:29">
      <c r="A3889" t="s">
        <v>9000</v>
      </c>
      <c r="B3889" s="1">
        <v>45430</v>
      </c>
      <c r="C3889" t="s">
        <v>1223</v>
      </c>
      <c r="D3889" t="s">
        <v>2097</v>
      </c>
      <c r="E3889">
        <v>84</v>
      </c>
      <c r="F3889" t="s">
        <v>9001</v>
      </c>
      <c r="G3889">
        <v>84</v>
      </c>
      <c r="H3889">
        <v>599.90620000000001</v>
      </c>
      <c r="I3889">
        <v>10</v>
      </c>
      <c r="J3889" s="1">
        <v>45329</v>
      </c>
      <c r="N3889">
        <v>599.90620000000001</v>
      </c>
      <c r="O3889" s="1">
        <v>45060</v>
      </c>
      <c r="P3889">
        <f>IF(ISBLANK(ReconciliationData[[#This Row],[Invoice_ID]]),1,0)</f>
        <v>0</v>
      </c>
      <c r="Q3889">
        <f>IF(AND(NOT(ISBLANK(ReconciliationData[[#This Row],[Billed_Units]])),ReconciliationData[[#This Row],[ordered_units]]&lt;&gt;ReconciliationData[[#This Row],[Billed_Units]]),1,0)</f>
        <v>0</v>
      </c>
      <c r="R38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89">
        <f>IF(AND(NOT(ISBLANK(ReconciliationData[[#This Row],[Contract_Price]])),ReconciliationData[[#This Row],[Billed_Price]]&lt;&gt;ReconciliationData[[#This Row],[Contract_Price]]),1,0)</f>
        <v>0</v>
      </c>
      <c r="T3889">
        <f>IF(AND(NOT(ISBLANK(ReconciliationData[[#This Row],[End_Date]])),ReconciliationData[[#This Row],[Order_Date]]&gt;ReconciliationData[[#This Row],[End_Date]]),1,0)</f>
        <v>0</v>
      </c>
      <c r="U3889">
        <f>IF(AND(NOT(ISBLANK(ReconciliationData[[#This Row],[last_return_date]])),ReconciliationData[[#This Row],[last_return_date]]&gt;ReconciliationData[[#This Row],[Order_Date]]+60),1,0)</f>
        <v>0</v>
      </c>
      <c r="V3889">
        <f>IF(ReconciliationData[[#This Row],[total_returned_units]]&gt;ReconciliationData[[#This Row],[ordered_units]],1,0)</f>
        <v>0</v>
      </c>
      <c r="W38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89">
        <f>ReconciliationData[[#This Row],[Billed_Units]]*ReconciliationData[[#This Row],[Billed_Price]]</f>
        <v>50392.120800000004</v>
      </c>
      <c r="Y3889">
        <f>ReconciliationData[[#This Row],[ordered_units]]*ReconciliationData[[#This Row],[List_Price]]</f>
        <v>50392.120800000004</v>
      </c>
      <c r="Z3889">
        <f>ReconciliationData[[#This Row],[billed_revenue]]-ReconciliationData[[#This Row],[expected_revenue]]</f>
        <v>0</v>
      </c>
      <c r="AA38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89" t="str">
        <f>IF(ReconciliationData[[#This Row],[severity_score]]=0,"LOW",
 IF(ReconciliationData[[#This Row],[severity_score]]&lt;=5,"MEDIUM","HIGH"))</f>
        <v>LOW</v>
      </c>
      <c r="AC3889" t="str">
        <f>TEXT(ReconciliationData[[#This Row],[Order_Date]],"YYYY-MM")</f>
        <v>2024-05</v>
      </c>
    </row>
    <row r="3890" spans="1:29">
      <c r="A3890" t="s">
        <v>9002</v>
      </c>
      <c r="B3890" s="1">
        <v>45108</v>
      </c>
      <c r="C3890" t="s">
        <v>6631</v>
      </c>
      <c r="D3890" t="s">
        <v>309</v>
      </c>
      <c r="E3890">
        <v>186</v>
      </c>
      <c r="F3890" t="s">
        <v>9003</v>
      </c>
      <c r="G3890">
        <v>186</v>
      </c>
      <c r="H3890">
        <v>946.74860000000001</v>
      </c>
      <c r="N3890">
        <v>946.74860000000001</v>
      </c>
      <c r="O3890" s="1">
        <v>45038</v>
      </c>
      <c r="P3890">
        <f>IF(ISBLANK(ReconciliationData[[#This Row],[Invoice_ID]]),1,0)</f>
        <v>0</v>
      </c>
      <c r="Q3890">
        <f>IF(AND(NOT(ISBLANK(ReconciliationData[[#This Row],[Billed_Units]])),ReconciliationData[[#This Row],[ordered_units]]&lt;&gt;ReconciliationData[[#This Row],[Billed_Units]]),1,0)</f>
        <v>0</v>
      </c>
      <c r="R38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0">
        <f>IF(AND(NOT(ISBLANK(ReconciliationData[[#This Row],[Contract_Price]])),ReconciliationData[[#This Row],[Billed_Price]]&lt;&gt;ReconciliationData[[#This Row],[Contract_Price]]),1,0)</f>
        <v>0</v>
      </c>
      <c r="T3890">
        <f>IF(AND(NOT(ISBLANK(ReconciliationData[[#This Row],[End_Date]])),ReconciliationData[[#This Row],[Order_Date]]&gt;ReconciliationData[[#This Row],[End_Date]]),1,0)</f>
        <v>0</v>
      </c>
      <c r="U3890">
        <f>IF(AND(NOT(ISBLANK(ReconciliationData[[#This Row],[last_return_date]])),ReconciliationData[[#This Row],[last_return_date]]&gt;ReconciliationData[[#This Row],[Order_Date]]+60),1,0)</f>
        <v>0</v>
      </c>
      <c r="V3890">
        <f>IF(ReconciliationData[[#This Row],[total_returned_units]]&gt;ReconciliationData[[#This Row],[ordered_units]],1,0)</f>
        <v>0</v>
      </c>
      <c r="W38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0">
        <f>ReconciliationData[[#This Row],[Billed_Units]]*ReconciliationData[[#This Row],[Billed_Price]]</f>
        <v>176095.2396</v>
      </c>
      <c r="Y3890">
        <f>ReconciliationData[[#This Row],[ordered_units]]*ReconciliationData[[#This Row],[List_Price]]</f>
        <v>176095.2396</v>
      </c>
      <c r="Z3890">
        <f>ReconciliationData[[#This Row],[billed_revenue]]-ReconciliationData[[#This Row],[expected_revenue]]</f>
        <v>0</v>
      </c>
      <c r="AA38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0" t="str">
        <f>IF(ReconciliationData[[#This Row],[severity_score]]=0,"LOW",
 IF(ReconciliationData[[#This Row],[severity_score]]&lt;=5,"MEDIUM","HIGH"))</f>
        <v>LOW</v>
      </c>
      <c r="AC3890" t="str">
        <f>TEXT(ReconciliationData[[#This Row],[Order_Date]],"YYYY-MM")</f>
        <v>2023-07</v>
      </c>
    </row>
    <row r="3891" spans="1:29">
      <c r="A3891" t="s">
        <v>9004</v>
      </c>
      <c r="B3891" s="1">
        <v>45169</v>
      </c>
      <c r="C3891" t="s">
        <v>448</v>
      </c>
      <c r="D3891" t="s">
        <v>1061</v>
      </c>
      <c r="E3891">
        <v>167</v>
      </c>
      <c r="F3891" t="s">
        <v>9005</v>
      </c>
      <c r="G3891">
        <v>167</v>
      </c>
      <c r="H3891">
        <v>78.298400000000001</v>
      </c>
      <c r="N3891">
        <v>78.298400000000001</v>
      </c>
      <c r="O3891" s="1">
        <v>44919</v>
      </c>
      <c r="P3891">
        <f>IF(ISBLANK(ReconciliationData[[#This Row],[Invoice_ID]]),1,0)</f>
        <v>0</v>
      </c>
      <c r="Q3891">
        <f>IF(AND(NOT(ISBLANK(ReconciliationData[[#This Row],[Billed_Units]])),ReconciliationData[[#This Row],[ordered_units]]&lt;&gt;ReconciliationData[[#This Row],[Billed_Units]]),1,0)</f>
        <v>0</v>
      </c>
      <c r="R38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1">
        <f>IF(AND(NOT(ISBLANK(ReconciliationData[[#This Row],[Contract_Price]])),ReconciliationData[[#This Row],[Billed_Price]]&lt;&gt;ReconciliationData[[#This Row],[Contract_Price]]),1,0)</f>
        <v>0</v>
      </c>
      <c r="T3891">
        <f>IF(AND(NOT(ISBLANK(ReconciliationData[[#This Row],[End_Date]])),ReconciliationData[[#This Row],[Order_Date]]&gt;ReconciliationData[[#This Row],[End_Date]]),1,0)</f>
        <v>0</v>
      </c>
      <c r="U3891">
        <f>IF(AND(NOT(ISBLANK(ReconciliationData[[#This Row],[last_return_date]])),ReconciliationData[[#This Row],[last_return_date]]&gt;ReconciliationData[[#This Row],[Order_Date]]+60),1,0)</f>
        <v>0</v>
      </c>
      <c r="V3891">
        <f>IF(ReconciliationData[[#This Row],[total_returned_units]]&gt;ReconciliationData[[#This Row],[ordered_units]],1,0)</f>
        <v>0</v>
      </c>
      <c r="W38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1">
        <f>ReconciliationData[[#This Row],[Billed_Units]]*ReconciliationData[[#This Row],[Billed_Price]]</f>
        <v>13075.8328</v>
      </c>
      <c r="Y3891">
        <f>ReconciliationData[[#This Row],[ordered_units]]*ReconciliationData[[#This Row],[List_Price]]</f>
        <v>13075.8328</v>
      </c>
      <c r="Z3891">
        <f>ReconciliationData[[#This Row],[billed_revenue]]-ReconciliationData[[#This Row],[expected_revenue]]</f>
        <v>0</v>
      </c>
      <c r="AA38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1" t="str">
        <f>IF(ReconciliationData[[#This Row],[severity_score]]=0,"LOW",
 IF(ReconciliationData[[#This Row],[severity_score]]&lt;=5,"MEDIUM","HIGH"))</f>
        <v>LOW</v>
      </c>
      <c r="AC3891" t="str">
        <f>TEXT(ReconciliationData[[#This Row],[Order_Date]],"YYYY-MM")</f>
        <v>2023-08</v>
      </c>
    </row>
    <row r="3892" spans="1:29">
      <c r="A3892" t="s">
        <v>9006</v>
      </c>
      <c r="B3892" s="1">
        <v>45338</v>
      </c>
      <c r="C3892" t="s">
        <v>1043</v>
      </c>
      <c r="D3892" t="s">
        <v>1285</v>
      </c>
      <c r="E3892">
        <v>167</v>
      </c>
      <c r="F3892" t="s">
        <v>9007</v>
      </c>
      <c r="G3892">
        <v>167</v>
      </c>
      <c r="H3892">
        <v>415.8877</v>
      </c>
      <c r="N3892">
        <v>415.8877</v>
      </c>
      <c r="O3892" s="1">
        <v>45146</v>
      </c>
      <c r="P3892">
        <f>IF(ISBLANK(ReconciliationData[[#This Row],[Invoice_ID]]),1,0)</f>
        <v>0</v>
      </c>
      <c r="Q3892">
        <f>IF(AND(NOT(ISBLANK(ReconciliationData[[#This Row],[Billed_Units]])),ReconciliationData[[#This Row],[ordered_units]]&lt;&gt;ReconciliationData[[#This Row],[Billed_Units]]),1,0)</f>
        <v>0</v>
      </c>
      <c r="R38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2">
        <f>IF(AND(NOT(ISBLANK(ReconciliationData[[#This Row],[Contract_Price]])),ReconciliationData[[#This Row],[Billed_Price]]&lt;&gt;ReconciliationData[[#This Row],[Contract_Price]]),1,0)</f>
        <v>0</v>
      </c>
      <c r="T3892">
        <f>IF(AND(NOT(ISBLANK(ReconciliationData[[#This Row],[End_Date]])),ReconciliationData[[#This Row],[Order_Date]]&gt;ReconciliationData[[#This Row],[End_Date]]),1,0)</f>
        <v>0</v>
      </c>
      <c r="U3892">
        <f>IF(AND(NOT(ISBLANK(ReconciliationData[[#This Row],[last_return_date]])),ReconciliationData[[#This Row],[last_return_date]]&gt;ReconciliationData[[#This Row],[Order_Date]]+60),1,0)</f>
        <v>0</v>
      </c>
      <c r="V3892">
        <f>IF(ReconciliationData[[#This Row],[total_returned_units]]&gt;ReconciliationData[[#This Row],[ordered_units]],1,0)</f>
        <v>0</v>
      </c>
      <c r="W38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2">
        <f>ReconciliationData[[#This Row],[Billed_Units]]*ReconciliationData[[#This Row],[Billed_Price]]</f>
        <v>69453.245899999994</v>
      </c>
      <c r="Y3892">
        <f>ReconciliationData[[#This Row],[ordered_units]]*ReconciliationData[[#This Row],[List_Price]]</f>
        <v>69453.245899999994</v>
      </c>
      <c r="Z3892">
        <f>ReconciliationData[[#This Row],[billed_revenue]]-ReconciliationData[[#This Row],[expected_revenue]]</f>
        <v>0</v>
      </c>
      <c r="AA38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2" t="str">
        <f>IF(ReconciliationData[[#This Row],[severity_score]]=0,"LOW",
 IF(ReconciliationData[[#This Row],[severity_score]]&lt;=5,"MEDIUM","HIGH"))</f>
        <v>LOW</v>
      </c>
      <c r="AC3892" t="str">
        <f>TEXT(ReconciliationData[[#This Row],[Order_Date]],"YYYY-MM")</f>
        <v>2024-02</v>
      </c>
    </row>
    <row r="3893" spans="1:29">
      <c r="A3893" t="s">
        <v>9008</v>
      </c>
      <c r="B3893" s="1">
        <v>45207</v>
      </c>
      <c r="C3893" t="s">
        <v>933</v>
      </c>
      <c r="D3893" t="s">
        <v>287</v>
      </c>
      <c r="E3893">
        <v>194</v>
      </c>
      <c r="F3893" t="s">
        <v>9009</v>
      </c>
      <c r="G3893">
        <v>194</v>
      </c>
      <c r="H3893">
        <v>637.18399999999997</v>
      </c>
      <c r="N3893">
        <v>637.18399999999997</v>
      </c>
      <c r="O3893" s="1">
        <v>45175</v>
      </c>
      <c r="P3893">
        <f>IF(ISBLANK(ReconciliationData[[#This Row],[Invoice_ID]]),1,0)</f>
        <v>0</v>
      </c>
      <c r="Q3893">
        <f>IF(AND(NOT(ISBLANK(ReconciliationData[[#This Row],[Billed_Units]])),ReconciliationData[[#This Row],[ordered_units]]&lt;&gt;ReconciliationData[[#This Row],[Billed_Units]]),1,0)</f>
        <v>0</v>
      </c>
      <c r="R38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3">
        <f>IF(AND(NOT(ISBLANK(ReconciliationData[[#This Row],[Contract_Price]])),ReconciliationData[[#This Row],[Billed_Price]]&lt;&gt;ReconciliationData[[#This Row],[Contract_Price]]),1,0)</f>
        <v>0</v>
      </c>
      <c r="T3893">
        <f>IF(AND(NOT(ISBLANK(ReconciliationData[[#This Row],[End_Date]])),ReconciliationData[[#This Row],[Order_Date]]&gt;ReconciliationData[[#This Row],[End_Date]]),1,0)</f>
        <v>0</v>
      </c>
      <c r="U3893">
        <f>IF(AND(NOT(ISBLANK(ReconciliationData[[#This Row],[last_return_date]])),ReconciliationData[[#This Row],[last_return_date]]&gt;ReconciliationData[[#This Row],[Order_Date]]+60),1,0)</f>
        <v>0</v>
      </c>
      <c r="V3893">
        <f>IF(ReconciliationData[[#This Row],[total_returned_units]]&gt;ReconciliationData[[#This Row],[ordered_units]],1,0)</f>
        <v>0</v>
      </c>
      <c r="W38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3">
        <f>ReconciliationData[[#This Row],[Billed_Units]]*ReconciliationData[[#This Row],[Billed_Price]]</f>
        <v>123613.696</v>
      </c>
      <c r="Y3893">
        <f>ReconciliationData[[#This Row],[ordered_units]]*ReconciliationData[[#This Row],[List_Price]]</f>
        <v>123613.696</v>
      </c>
      <c r="Z3893">
        <f>ReconciliationData[[#This Row],[billed_revenue]]-ReconciliationData[[#This Row],[expected_revenue]]</f>
        <v>0</v>
      </c>
      <c r="AA38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3" t="str">
        <f>IF(ReconciliationData[[#This Row],[severity_score]]=0,"LOW",
 IF(ReconciliationData[[#This Row],[severity_score]]&lt;=5,"MEDIUM","HIGH"))</f>
        <v>LOW</v>
      </c>
      <c r="AC3893" t="str">
        <f>TEXT(ReconciliationData[[#This Row],[Order_Date]],"YYYY-MM")</f>
        <v>2023-10</v>
      </c>
    </row>
    <row r="3894" spans="1:29">
      <c r="A3894" t="s">
        <v>9010</v>
      </c>
      <c r="B3894" s="1">
        <v>44954</v>
      </c>
      <c r="C3894" t="s">
        <v>1223</v>
      </c>
      <c r="D3894" t="s">
        <v>983</v>
      </c>
      <c r="E3894">
        <v>15</v>
      </c>
      <c r="F3894" t="s">
        <v>9011</v>
      </c>
      <c r="G3894">
        <v>15</v>
      </c>
      <c r="H3894">
        <v>230.78</v>
      </c>
      <c r="N3894">
        <v>230.78</v>
      </c>
      <c r="O3894" s="1">
        <v>44633</v>
      </c>
      <c r="P3894">
        <f>IF(ISBLANK(ReconciliationData[[#This Row],[Invoice_ID]]),1,0)</f>
        <v>0</v>
      </c>
      <c r="Q3894">
        <f>IF(AND(NOT(ISBLANK(ReconciliationData[[#This Row],[Billed_Units]])),ReconciliationData[[#This Row],[ordered_units]]&lt;&gt;ReconciliationData[[#This Row],[Billed_Units]]),1,0)</f>
        <v>0</v>
      </c>
      <c r="R38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4">
        <f>IF(AND(NOT(ISBLANK(ReconciliationData[[#This Row],[Contract_Price]])),ReconciliationData[[#This Row],[Billed_Price]]&lt;&gt;ReconciliationData[[#This Row],[Contract_Price]]),1,0)</f>
        <v>0</v>
      </c>
      <c r="T3894">
        <f>IF(AND(NOT(ISBLANK(ReconciliationData[[#This Row],[End_Date]])),ReconciliationData[[#This Row],[Order_Date]]&gt;ReconciliationData[[#This Row],[End_Date]]),1,0)</f>
        <v>0</v>
      </c>
      <c r="U3894">
        <f>IF(AND(NOT(ISBLANK(ReconciliationData[[#This Row],[last_return_date]])),ReconciliationData[[#This Row],[last_return_date]]&gt;ReconciliationData[[#This Row],[Order_Date]]+60),1,0)</f>
        <v>0</v>
      </c>
      <c r="V3894">
        <f>IF(ReconciliationData[[#This Row],[total_returned_units]]&gt;ReconciliationData[[#This Row],[ordered_units]],1,0)</f>
        <v>0</v>
      </c>
      <c r="W38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4">
        <f>ReconciliationData[[#This Row],[Billed_Units]]*ReconciliationData[[#This Row],[Billed_Price]]</f>
        <v>3461.7</v>
      </c>
      <c r="Y3894">
        <f>ReconciliationData[[#This Row],[ordered_units]]*ReconciliationData[[#This Row],[List_Price]]</f>
        <v>3461.7</v>
      </c>
      <c r="Z3894">
        <f>ReconciliationData[[#This Row],[billed_revenue]]-ReconciliationData[[#This Row],[expected_revenue]]</f>
        <v>0</v>
      </c>
      <c r="AA38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4" t="str">
        <f>IF(ReconciliationData[[#This Row],[severity_score]]=0,"LOW",
 IF(ReconciliationData[[#This Row],[severity_score]]&lt;=5,"MEDIUM","HIGH"))</f>
        <v>LOW</v>
      </c>
      <c r="AC3894" t="str">
        <f>TEXT(ReconciliationData[[#This Row],[Order_Date]],"YYYY-MM")</f>
        <v>2023-01</v>
      </c>
    </row>
    <row r="3895" spans="1:29">
      <c r="A3895" t="s">
        <v>9012</v>
      </c>
      <c r="B3895" s="1">
        <v>45654</v>
      </c>
      <c r="C3895" t="s">
        <v>5032</v>
      </c>
      <c r="D3895" t="s">
        <v>1432</v>
      </c>
      <c r="E3895">
        <v>177</v>
      </c>
      <c r="F3895" t="s">
        <v>9013</v>
      </c>
      <c r="G3895">
        <v>177</v>
      </c>
      <c r="H3895">
        <v>828.36189999999999</v>
      </c>
      <c r="N3895">
        <v>828.36189999999999</v>
      </c>
      <c r="O3895" s="1">
        <v>45137</v>
      </c>
      <c r="P3895">
        <f>IF(ISBLANK(ReconciliationData[[#This Row],[Invoice_ID]]),1,0)</f>
        <v>0</v>
      </c>
      <c r="Q3895">
        <f>IF(AND(NOT(ISBLANK(ReconciliationData[[#This Row],[Billed_Units]])),ReconciliationData[[#This Row],[ordered_units]]&lt;&gt;ReconciliationData[[#This Row],[Billed_Units]]),1,0)</f>
        <v>0</v>
      </c>
      <c r="R38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5">
        <f>IF(AND(NOT(ISBLANK(ReconciliationData[[#This Row],[Contract_Price]])),ReconciliationData[[#This Row],[Billed_Price]]&lt;&gt;ReconciliationData[[#This Row],[Contract_Price]]),1,0)</f>
        <v>0</v>
      </c>
      <c r="T3895">
        <f>IF(AND(NOT(ISBLANK(ReconciliationData[[#This Row],[End_Date]])),ReconciliationData[[#This Row],[Order_Date]]&gt;ReconciliationData[[#This Row],[End_Date]]),1,0)</f>
        <v>0</v>
      </c>
      <c r="U3895">
        <f>IF(AND(NOT(ISBLANK(ReconciliationData[[#This Row],[last_return_date]])),ReconciliationData[[#This Row],[last_return_date]]&gt;ReconciliationData[[#This Row],[Order_Date]]+60),1,0)</f>
        <v>0</v>
      </c>
      <c r="V3895">
        <f>IF(ReconciliationData[[#This Row],[total_returned_units]]&gt;ReconciliationData[[#This Row],[ordered_units]],1,0)</f>
        <v>0</v>
      </c>
      <c r="W38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5">
        <f>ReconciliationData[[#This Row],[Billed_Units]]*ReconciliationData[[#This Row],[Billed_Price]]</f>
        <v>146620.0563</v>
      </c>
      <c r="Y3895">
        <f>ReconciliationData[[#This Row],[ordered_units]]*ReconciliationData[[#This Row],[List_Price]]</f>
        <v>146620.0563</v>
      </c>
      <c r="Z3895">
        <f>ReconciliationData[[#This Row],[billed_revenue]]-ReconciliationData[[#This Row],[expected_revenue]]</f>
        <v>0</v>
      </c>
      <c r="AA38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5" t="str">
        <f>IF(ReconciliationData[[#This Row],[severity_score]]=0,"LOW",
 IF(ReconciliationData[[#This Row],[severity_score]]&lt;=5,"MEDIUM","HIGH"))</f>
        <v>LOW</v>
      </c>
      <c r="AC3895" t="str">
        <f>TEXT(ReconciliationData[[#This Row],[Order_Date]],"YYYY-MM")</f>
        <v>2024-12</v>
      </c>
    </row>
    <row r="3896" spans="1:29">
      <c r="A3896" t="s">
        <v>9014</v>
      </c>
      <c r="B3896" s="1">
        <v>45026</v>
      </c>
      <c r="C3896" t="s">
        <v>584</v>
      </c>
      <c r="D3896" t="s">
        <v>552</v>
      </c>
      <c r="E3896">
        <v>183</v>
      </c>
      <c r="F3896" t="s">
        <v>9015</v>
      </c>
      <c r="G3896">
        <v>183</v>
      </c>
      <c r="H3896">
        <v>442.15679999999998</v>
      </c>
      <c r="N3896">
        <v>442.15679999999998</v>
      </c>
      <c r="O3896" s="1">
        <v>44832</v>
      </c>
      <c r="P3896">
        <f>IF(ISBLANK(ReconciliationData[[#This Row],[Invoice_ID]]),1,0)</f>
        <v>0</v>
      </c>
      <c r="Q3896">
        <f>IF(AND(NOT(ISBLANK(ReconciliationData[[#This Row],[Billed_Units]])),ReconciliationData[[#This Row],[ordered_units]]&lt;&gt;ReconciliationData[[#This Row],[Billed_Units]]),1,0)</f>
        <v>0</v>
      </c>
      <c r="R38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6">
        <f>IF(AND(NOT(ISBLANK(ReconciliationData[[#This Row],[Contract_Price]])),ReconciliationData[[#This Row],[Billed_Price]]&lt;&gt;ReconciliationData[[#This Row],[Contract_Price]]),1,0)</f>
        <v>0</v>
      </c>
      <c r="T3896">
        <f>IF(AND(NOT(ISBLANK(ReconciliationData[[#This Row],[End_Date]])),ReconciliationData[[#This Row],[Order_Date]]&gt;ReconciliationData[[#This Row],[End_Date]]),1,0)</f>
        <v>0</v>
      </c>
      <c r="U3896">
        <f>IF(AND(NOT(ISBLANK(ReconciliationData[[#This Row],[last_return_date]])),ReconciliationData[[#This Row],[last_return_date]]&gt;ReconciliationData[[#This Row],[Order_Date]]+60),1,0)</f>
        <v>0</v>
      </c>
      <c r="V3896">
        <f>IF(ReconciliationData[[#This Row],[total_returned_units]]&gt;ReconciliationData[[#This Row],[ordered_units]],1,0)</f>
        <v>0</v>
      </c>
      <c r="W38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6">
        <f>ReconciliationData[[#This Row],[Billed_Units]]*ReconciliationData[[#This Row],[Billed_Price]]</f>
        <v>80914.694399999993</v>
      </c>
      <c r="Y3896">
        <f>ReconciliationData[[#This Row],[ordered_units]]*ReconciliationData[[#This Row],[List_Price]]</f>
        <v>80914.694399999993</v>
      </c>
      <c r="Z3896">
        <f>ReconciliationData[[#This Row],[billed_revenue]]-ReconciliationData[[#This Row],[expected_revenue]]</f>
        <v>0</v>
      </c>
      <c r="AA38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6" t="str">
        <f>IF(ReconciliationData[[#This Row],[severity_score]]=0,"LOW",
 IF(ReconciliationData[[#This Row],[severity_score]]&lt;=5,"MEDIUM","HIGH"))</f>
        <v>LOW</v>
      </c>
      <c r="AC3896" t="str">
        <f>TEXT(ReconciliationData[[#This Row],[Order_Date]],"YYYY-MM")</f>
        <v>2023-04</v>
      </c>
    </row>
    <row r="3897" spans="1:29">
      <c r="A3897" t="s">
        <v>9016</v>
      </c>
      <c r="B3897" s="1">
        <v>45553</v>
      </c>
      <c r="C3897" t="s">
        <v>576</v>
      </c>
      <c r="D3897" t="s">
        <v>1094</v>
      </c>
      <c r="E3897">
        <v>50</v>
      </c>
      <c r="F3897" t="s">
        <v>9017</v>
      </c>
      <c r="G3897">
        <v>50</v>
      </c>
      <c r="H3897">
        <v>977.22280000000001</v>
      </c>
      <c r="N3897">
        <v>977.22280000000001</v>
      </c>
      <c r="O3897" s="1">
        <v>44984</v>
      </c>
      <c r="P3897">
        <f>IF(ISBLANK(ReconciliationData[[#This Row],[Invoice_ID]]),1,0)</f>
        <v>0</v>
      </c>
      <c r="Q3897">
        <f>IF(AND(NOT(ISBLANK(ReconciliationData[[#This Row],[Billed_Units]])),ReconciliationData[[#This Row],[ordered_units]]&lt;&gt;ReconciliationData[[#This Row],[Billed_Units]]),1,0)</f>
        <v>0</v>
      </c>
      <c r="R38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7">
        <f>IF(AND(NOT(ISBLANK(ReconciliationData[[#This Row],[Contract_Price]])),ReconciliationData[[#This Row],[Billed_Price]]&lt;&gt;ReconciliationData[[#This Row],[Contract_Price]]),1,0)</f>
        <v>0</v>
      </c>
      <c r="T3897">
        <f>IF(AND(NOT(ISBLANK(ReconciliationData[[#This Row],[End_Date]])),ReconciliationData[[#This Row],[Order_Date]]&gt;ReconciliationData[[#This Row],[End_Date]]),1,0)</f>
        <v>0</v>
      </c>
      <c r="U3897">
        <f>IF(AND(NOT(ISBLANK(ReconciliationData[[#This Row],[last_return_date]])),ReconciliationData[[#This Row],[last_return_date]]&gt;ReconciliationData[[#This Row],[Order_Date]]+60),1,0)</f>
        <v>0</v>
      </c>
      <c r="V3897">
        <f>IF(ReconciliationData[[#This Row],[total_returned_units]]&gt;ReconciliationData[[#This Row],[ordered_units]],1,0)</f>
        <v>0</v>
      </c>
      <c r="W38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7">
        <f>ReconciliationData[[#This Row],[Billed_Units]]*ReconciliationData[[#This Row],[Billed_Price]]</f>
        <v>48861.14</v>
      </c>
      <c r="Y3897">
        <f>ReconciliationData[[#This Row],[ordered_units]]*ReconciliationData[[#This Row],[List_Price]]</f>
        <v>48861.14</v>
      </c>
      <c r="Z3897">
        <f>ReconciliationData[[#This Row],[billed_revenue]]-ReconciliationData[[#This Row],[expected_revenue]]</f>
        <v>0</v>
      </c>
      <c r="AA38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7" t="str">
        <f>IF(ReconciliationData[[#This Row],[severity_score]]=0,"LOW",
 IF(ReconciliationData[[#This Row],[severity_score]]&lt;=5,"MEDIUM","HIGH"))</f>
        <v>LOW</v>
      </c>
      <c r="AC3897" t="str">
        <f>TEXT(ReconciliationData[[#This Row],[Order_Date]],"YYYY-MM")</f>
        <v>2024-09</v>
      </c>
    </row>
    <row r="3898" spans="1:29">
      <c r="A3898" t="s">
        <v>9018</v>
      </c>
      <c r="B3898" s="1">
        <v>45388</v>
      </c>
      <c r="C3898" t="s">
        <v>2000</v>
      </c>
      <c r="D3898" t="s">
        <v>651</v>
      </c>
      <c r="E3898">
        <v>191</v>
      </c>
      <c r="F3898" t="s">
        <v>9019</v>
      </c>
      <c r="G3898">
        <v>191</v>
      </c>
      <c r="H3898">
        <v>214.6182</v>
      </c>
      <c r="N3898">
        <v>214.6182</v>
      </c>
      <c r="O3898" s="1">
        <v>45116</v>
      </c>
      <c r="P3898">
        <f>IF(ISBLANK(ReconciliationData[[#This Row],[Invoice_ID]]),1,0)</f>
        <v>0</v>
      </c>
      <c r="Q3898">
        <f>IF(AND(NOT(ISBLANK(ReconciliationData[[#This Row],[Billed_Units]])),ReconciliationData[[#This Row],[ordered_units]]&lt;&gt;ReconciliationData[[#This Row],[Billed_Units]]),1,0)</f>
        <v>0</v>
      </c>
      <c r="R38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8">
        <f>IF(AND(NOT(ISBLANK(ReconciliationData[[#This Row],[Contract_Price]])),ReconciliationData[[#This Row],[Billed_Price]]&lt;&gt;ReconciliationData[[#This Row],[Contract_Price]]),1,0)</f>
        <v>0</v>
      </c>
      <c r="T3898">
        <f>IF(AND(NOT(ISBLANK(ReconciliationData[[#This Row],[End_Date]])),ReconciliationData[[#This Row],[Order_Date]]&gt;ReconciliationData[[#This Row],[End_Date]]),1,0)</f>
        <v>0</v>
      </c>
      <c r="U3898">
        <f>IF(AND(NOT(ISBLANK(ReconciliationData[[#This Row],[last_return_date]])),ReconciliationData[[#This Row],[last_return_date]]&gt;ReconciliationData[[#This Row],[Order_Date]]+60),1,0)</f>
        <v>0</v>
      </c>
      <c r="V3898">
        <f>IF(ReconciliationData[[#This Row],[total_returned_units]]&gt;ReconciliationData[[#This Row],[ordered_units]],1,0)</f>
        <v>0</v>
      </c>
      <c r="W38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8">
        <f>ReconciliationData[[#This Row],[Billed_Units]]*ReconciliationData[[#This Row],[Billed_Price]]</f>
        <v>40992.076200000003</v>
      </c>
      <c r="Y3898">
        <f>ReconciliationData[[#This Row],[ordered_units]]*ReconciliationData[[#This Row],[List_Price]]</f>
        <v>40992.076200000003</v>
      </c>
      <c r="Z3898">
        <f>ReconciliationData[[#This Row],[billed_revenue]]-ReconciliationData[[#This Row],[expected_revenue]]</f>
        <v>0</v>
      </c>
      <c r="AA38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8" t="str">
        <f>IF(ReconciliationData[[#This Row],[severity_score]]=0,"LOW",
 IF(ReconciliationData[[#This Row],[severity_score]]&lt;=5,"MEDIUM","HIGH"))</f>
        <v>LOW</v>
      </c>
      <c r="AC3898" t="str">
        <f>TEXT(ReconciliationData[[#This Row],[Order_Date]],"YYYY-MM")</f>
        <v>2024-04</v>
      </c>
    </row>
    <row r="3899" spans="1:29">
      <c r="A3899" t="s">
        <v>9020</v>
      </c>
      <c r="B3899" s="1">
        <v>45547</v>
      </c>
      <c r="C3899" t="s">
        <v>2920</v>
      </c>
      <c r="D3899" t="s">
        <v>2568</v>
      </c>
      <c r="E3899">
        <v>67</v>
      </c>
      <c r="F3899" t="s">
        <v>9021</v>
      </c>
      <c r="G3899">
        <v>67</v>
      </c>
      <c r="H3899">
        <v>461.00940000000003</v>
      </c>
      <c r="N3899">
        <v>461.00940000000003</v>
      </c>
      <c r="O3899" s="1">
        <v>45036</v>
      </c>
      <c r="P3899">
        <f>IF(ISBLANK(ReconciliationData[[#This Row],[Invoice_ID]]),1,0)</f>
        <v>0</v>
      </c>
      <c r="Q3899">
        <f>IF(AND(NOT(ISBLANK(ReconciliationData[[#This Row],[Billed_Units]])),ReconciliationData[[#This Row],[ordered_units]]&lt;&gt;ReconciliationData[[#This Row],[Billed_Units]]),1,0)</f>
        <v>0</v>
      </c>
      <c r="R38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899">
        <f>IF(AND(NOT(ISBLANK(ReconciliationData[[#This Row],[Contract_Price]])),ReconciliationData[[#This Row],[Billed_Price]]&lt;&gt;ReconciliationData[[#This Row],[Contract_Price]]),1,0)</f>
        <v>0</v>
      </c>
      <c r="T3899">
        <f>IF(AND(NOT(ISBLANK(ReconciliationData[[#This Row],[End_Date]])),ReconciliationData[[#This Row],[Order_Date]]&gt;ReconciliationData[[#This Row],[End_Date]]),1,0)</f>
        <v>0</v>
      </c>
      <c r="U3899">
        <f>IF(AND(NOT(ISBLANK(ReconciliationData[[#This Row],[last_return_date]])),ReconciliationData[[#This Row],[last_return_date]]&gt;ReconciliationData[[#This Row],[Order_Date]]+60),1,0)</f>
        <v>0</v>
      </c>
      <c r="V3899">
        <f>IF(ReconciliationData[[#This Row],[total_returned_units]]&gt;ReconciliationData[[#This Row],[ordered_units]],1,0)</f>
        <v>0</v>
      </c>
      <c r="W38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899">
        <f>ReconciliationData[[#This Row],[Billed_Units]]*ReconciliationData[[#This Row],[Billed_Price]]</f>
        <v>30887.629800000002</v>
      </c>
      <c r="Y3899">
        <f>ReconciliationData[[#This Row],[ordered_units]]*ReconciliationData[[#This Row],[List_Price]]</f>
        <v>30887.629800000002</v>
      </c>
      <c r="Z3899">
        <f>ReconciliationData[[#This Row],[billed_revenue]]-ReconciliationData[[#This Row],[expected_revenue]]</f>
        <v>0</v>
      </c>
      <c r="AA38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899" t="str">
        <f>IF(ReconciliationData[[#This Row],[severity_score]]=0,"LOW",
 IF(ReconciliationData[[#This Row],[severity_score]]&lt;=5,"MEDIUM","HIGH"))</f>
        <v>LOW</v>
      </c>
      <c r="AC3899" t="str">
        <f>TEXT(ReconciliationData[[#This Row],[Order_Date]],"YYYY-MM")</f>
        <v>2024-09</v>
      </c>
    </row>
    <row r="3900" spans="1:29">
      <c r="A3900" t="s">
        <v>9022</v>
      </c>
      <c r="B3900" s="1">
        <v>45348</v>
      </c>
      <c r="C3900" t="s">
        <v>298</v>
      </c>
      <c r="D3900" t="s">
        <v>1542</v>
      </c>
      <c r="E3900">
        <v>4</v>
      </c>
      <c r="F3900" t="s">
        <v>9023</v>
      </c>
      <c r="G3900">
        <v>4</v>
      </c>
      <c r="H3900">
        <v>402.05340000000001</v>
      </c>
      <c r="N3900">
        <v>402.05340000000001</v>
      </c>
      <c r="O3900" s="1">
        <v>45214</v>
      </c>
      <c r="P3900">
        <f>IF(ISBLANK(ReconciliationData[[#This Row],[Invoice_ID]]),1,0)</f>
        <v>0</v>
      </c>
      <c r="Q3900">
        <f>IF(AND(NOT(ISBLANK(ReconciliationData[[#This Row],[Billed_Units]])),ReconciliationData[[#This Row],[ordered_units]]&lt;&gt;ReconciliationData[[#This Row],[Billed_Units]]),1,0)</f>
        <v>0</v>
      </c>
      <c r="R39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0">
        <f>IF(AND(NOT(ISBLANK(ReconciliationData[[#This Row],[Contract_Price]])),ReconciliationData[[#This Row],[Billed_Price]]&lt;&gt;ReconciliationData[[#This Row],[Contract_Price]]),1,0)</f>
        <v>0</v>
      </c>
      <c r="T3900">
        <f>IF(AND(NOT(ISBLANK(ReconciliationData[[#This Row],[End_Date]])),ReconciliationData[[#This Row],[Order_Date]]&gt;ReconciliationData[[#This Row],[End_Date]]),1,0)</f>
        <v>0</v>
      </c>
      <c r="U3900">
        <f>IF(AND(NOT(ISBLANK(ReconciliationData[[#This Row],[last_return_date]])),ReconciliationData[[#This Row],[last_return_date]]&gt;ReconciliationData[[#This Row],[Order_Date]]+60),1,0)</f>
        <v>0</v>
      </c>
      <c r="V3900">
        <f>IF(ReconciliationData[[#This Row],[total_returned_units]]&gt;ReconciliationData[[#This Row],[ordered_units]],1,0)</f>
        <v>0</v>
      </c>
      <c r="W39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00">
        <f>ReconciliationData[[#This Row],[Billed_Units]]*ReconciliationData[[#This Row],[Billed_Price]]</f>
        <v>1608.2136</v>
      </c>
      <c r="Y3900">
        <f>ReconciliationData[[#This Row],[ordered_units]]*ReconciliationData[[#This Row],[List_Price]]</f>
        <v>1608.2136</v>
      </c>
      <c r="Z3900">
        <f>ReconciliationData[[#This Row],[billed_revenue]]-ReconciliationData[[#This Row],[expected_revenue]]</f>
        <v>0</v>
      </c>
      <c r="AA39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00" t="str">
        <f>IF(ReconciliationData[[#This Row],[severity_score]]=0,"LOW",
 IF(ReconciliationData[[#This Row],[severity_score]]&lt;=5,"MEDIUM","HIGH"))</f>
        <v>LOW</v>
      </c>
      <c r="AC3900" t="str">
        <f>TEXT(ReconciliationData[[#This Row],[Order_Date]],"YYYY-MM")</f>
        <v>2024-02</v>
      </c>
    </row>
    <row r="3901" spans="1:29">
      <c r="A3901" t="s">
        <v>9024</v>
      </c>
      <c r="B3901" s="1">
        <v>45352</v>
      </c>
      <c r="C3901" t="s">
        <v>4875</v>
      </c>
      <c r="D3901" t="s">
        <v>883</v>
      </c>
      <c r="E3901">
        <v>140</v>
      </c>
      <c r="F3901" t="s">
        <v>9025</v>
      </c>
      <c r="G3901">
        <v>140</v>
      </c>
      <c r="H3901">
        <v>403.01909999999998</v>
      </c>
      <c r="N3901">
        <v>403.01909999999998</v>
      </c>
      <c r="O3901" s="1">
        <v>45056</v>
      </c>
      <c r="P3901">
        <f>IF(ISBLANK(ReconciliationData[[#This Row],[Invoice_ID]]),1,0)</f>
        <v>0</v>
      </c>
      <c r="Q3901">
        <f>IF(AND(NOT(ISBLANK(ReconciliationData[[#This Row],[Billed_Units]])),ReconciliationData[[#This Row],[ordered_units]]&lt;&gt;ReconciliationData[[#This Row],[Billed_Units]]),1,0)</f>
        <v>0</v>
      </c>
      <c r="R390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1">
        <f>IF(AND(NOT(ISBLANK(ReconciliationData[[#This Row],[Contract_Price]])),ReconciliationData[[#This Row],[Billed_Price]]&lt;&gt;ReconciliationData[[#This Row],[Contract_Price]]),1,0)</f>
        <v>0</v>
      </c>
      <c r="T3901">
        <f>IF(AND(NOT(ISBLANK(ReconciliationData[[#This Row],[End_Date]])),ReconciliationData[[#This Row],[Order_Date]]&gt;ReconciliationData[[#This Row],[End_Date]]),1,0)</f>
        <v>0</v>
      </c>
      <c r="U3901">
        <f>IF(AND(NOT(ISBLANK(ReconciliationData[[#This Row],[last_return_date]])),ReconciliationData[[#This Row],[last_return_date]]&gt;ReconciliationData[[#This Row],[Order_Date]]+60),1,0)</f>
        <v>0</v>
      </c>
      <c r="V3901">
        <f>IF(ReconciliationData[[#This Row],[total_returned_units]]&gt;ReconciliationData[[#This Row],[ordered_units]],1,0)</f>
        <v>0</v>
      </c>
      <c r="W39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01">
        <f>ReconciliationData[[#This Row],[Billed_Units]]*ReconciliationData[[#This Row],[Billed_Price]]</f>
        <v>56422.673999999999</v>
      </c>
      <c r="Y3901">
        <f>ReconciliationData[[#This Row],[ordered_units]]*ReconciliationData[[#This Row],[List_Price]]</f>
        <v>56422.673999999999</v>
      </c>
      <c r="Z3901">
        <f>ReconciliationData[[#This Row],[billed_revenue]]-ReconciliationData[[#This Row],[expected_revenue]]</f>
        <v>0</v>
      </c>
      <c r="AA39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01" t="str">
        <f>IF(ReconciliationData[[#This Row],[severity_score]]=0,"LOW",
 IF(ReconciliationData[[#This Row],[severity_score]]&lt;=5,"MEDIUM","HIGH"))</f>
        <v>LOW</v>
      </c>
      <c r="AC3901" t="str">
        <f>TEXT(ReconciliationData[[#This Row],[Order_Date]],"YYYY-MM")</f>
        <v>2024-03</v>
      </c>
    </row>
    <row r="3902" spans="1:29">
      <c r="A3902" t="s">
        <v>9026</v>
      </c>
      <c r="B3902" s="1">
        <v>45638</v>
      </c>
      <c r="C3902" t="s">
        <v>3203</v>
      </c>
      <c r="D3902" t="s">
        <v>393</v>
      </c>
      <c r="E3902">
        <v>87</v>
      </c>
      <c r="F3902" t="s">
        <v>9027</v>
      </c>
      <c r="G3902">
        <v>87</v>
      </c>
      <c r="H3902">
        <v>1080.0740000000001</v>
      </c>
      <c r="N3902">
        <v>1080.0740000000001</v>
      </c>
      <c r="O3902" s="1">
        <v>45058</v>
      </c>
      <c r="P3902">
        <f>IF(ISBLANK(ReconciliationData[[#This Row],[Invoice_ID]]),1,0)</f>
        <v>0</v>
      </c>
      <c r="Q3902">
        <f>IF(AND(NOT(ISBLANK(ReconciliationData[[#This Row],[Billed_Units]])),ReconciliationData[[#This Row],[ordered_units]]&lt;&gt;ReconciliationData[[#This Row],[Billed_Units]]),1,0)</f>
        <v>0</v>
      </c>
      <c r="R390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2">
        <f>IF(AND(NOT(ISBLANK(ReconciliationData[[#This Row],[Contract_Price]])),ReconciliationData[[#This Row],[Billed_Price]]&lt;&gt;ReconciliationData[[#This Row],[Contract_Price]]),1,0)</f>
        <v>0</v>
      </c>
      <c r="T3902">
        <f>IF(AND(NOT(ISBLANK(ReconciliationData[[#This Row],[End_Date]])),ReconciliationData[[#This Row],[Order_Date]]&gt;ReconciliationData[[#This Row],[End_Date]]),1,0)</f>
        <v>0</v>
      </c>
      <c r="U3902">
        <f>IF(AND(NOT(ISBLANK(ReconciliationData[[#This Row],[last_return_date]])),ReconciliationData[[#This Row],[last_return_date]]&gt;ReconciliationData[[#This Row],[Order_Date]]+60),1,0)</f>
        <v>0</v>
      </c>
      <c r="V3902">
        <f>IF(ReconciliationData[[#This Row],[total_returned_units]]&gt;ReconciliationData[[#This Row],[ordered_units]],1,0)</f>
        <v>0</v>
      </c>
      <c r="W390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02">
        <f>ReconciliationData[[#This Row],[Billed_Units]]*ReconciliationData[[#This Row],[Billed_Price]]</f>
        <v>93966.438000000009</v>
      </c>
      <c r="Y3902">
        <f>ReconciliationData[[#This Row],[ordered_units]]*ReconciliationData[[#This Row],[List_Price]]</f>
        <v>93966.438000000009</v>
      </c>
      <c r="Z3902">
        <f>ReconciliationData[[#This Row],[billed_revenue]]-ReconciliationData[[#This Row],[expected_revenue]]</f>
        <v>0</v>
      </c>
      <c r="AA390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02" t="str">
        <f>IF(ReconciliationData[[#This Row],[severity_score]]=0,"LOW",
 IF(ReconciliationData[[#This Row],[severity_score]]&lt;=5,"MEDIUM","HIGH"))</f>
        <v>LOW</v>
      </c>
      <c r="AC3902" t="str">
        <f>TEXT(ReconciliationData[[#This Row],[Order_Date]],"YYYY-MM")</f>
        <v>2024-12</v>
      </c>
    </row>
    <row r="3903" spans="1:29">
      <c r="A3903" t="s">
        <v>9028</v>
      </c>
      <c r="B3903" s="1">
        <v>45047</v>
      </c>
      <c r="C3903" t="s">
        <v>1566</v>
      </c>
      <c r="D3903" t="s">
        <v>1298</v>
      </c>
      <c r="E3903">
        <v>76</v>
      </c>
      <c r="F3903" t="s">
        <v>9029</v>
      </c>
      <c r="G3903">
        <v>76</v>
      </c>
      <c r="H3903">
        <v>1099.82</v>
      </c>
      <c r="N3903">
        <v>1099.82</v>
      </c>
      <c r="O3903" s="1">
        <v>44962</v>
      </c>
      <c r="P3903">
        <f>IF(ISBLANK(ReconciliationData[[#This Row],[Invoice_ID]]),1,0)</f>
        <v>0</v>
      </c>
      <c r="Q3903">
        <f>IF(AND(NOT(ISBLANK(ReconciliationData[[#This Row],[Billed_Units]])),ReconciliationData[[#This Row],[ordered_units]]&lt;&gt;ReconciliationData[[#This Row],[Billed_Units]]),1,0)</f>
        <v>0</v>
      </c>
      <c r="R390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3">
        <f>IF(AND(NOT(ISBLANK(ReconciliationData[[#This Row],[Contract_Price]])),ReconciliationData[[#This Row],[Billed_Price]]&lt;&gt;ReconciliationData[[#This Row],[Contract_Price]]),1,0)</f>
        <v>0</v>
      </c>
      <c r="T3903">
        <f>IF(AND(NOT(ISBLANK(ReconciliationData[[#This Row],[End_Date]])),ReconciliationData[[#This Row],[Order_Date]]&gt;ReconciliationData[[#This Row],[End_Date]]),1,0)</f>
        <v>0</v>
      </c>
      <c r="U3903">
        <f>IF(AND(NOT(ISBLANK(ReconciliationData[[#This Row],[last_return_date]])),ReconciliationData[[#This Row],[last_return_date]]&gt;ReconciliationData[[#This Row],[Order_Date]]+60),1,0)</f>
        <v>0</v>
      </c>
      <c r="V3903">
        <f>IF(ReconciliationData[[#This Row],[total_returned_units]]&gt;ReconciliationData[[#This Row],[ordered_units]],1,0)</f>
        <v>0</v>
      </c>
      <c r="W390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03">
        <f>ReconciliationData[[#This Row],[Billed_Units]]*ReconciliationData[[#This Row],[Billed_Price]]</f>
        <v>83586.319999999992</v>
      </c>
      <c r="Y3903">
        <f>ReconciliationData[[#This Row],[ordered_units]]*ReconciliationData[[#This Row],[List_Price]]</f>
        <v>83586.319999999992</v>
      </c>
      <c r="Z3903">
        <f>ReconciliationData[[#This Row],[billed_revenue]]-ReconciliationData[[#This Row],[expected_revenue]]</f>
        <v>0</v>
      </c>
      <c r="AA390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03" t="str">
        <f>IF(ReconciliationData[[#This Row],[severity_score]]=0,"LOW",
 IF(ReconciliationData[[#This Row],[severity_score]]&lt;=5,"MEDIUM","HIGH"))</f>
        <v>LOW</v>
      </c>
      <c r="AC3903" t="str">
        <f>TEXT(ReconciliationData[[#This Row],[Order_Date]],"YYYY-MM")</f>
        <v>2023-05</v>
      </c>
    </row>
    <row r="3904" spans="1:29">
      <c r="A3904" t="s">
        <v>9030</v>
      </c>
      <c r="B3904" s="1">
        <v>45050</v>
      </c>
      <c r="C3904" t="s">
        <v>690</v>
      </c>
      <c r="D3904" t="s">
        <v>958</v>
      </c>
      <c r="E3904">
        <v>157</v>
      </c>
      <c r="F3904" t="s">
        <v>9031</v>
      </c>
      <c r="G3904">
        <v>155</v>
      </c>
      <c r="H3904">
        <v>147.87150000000003</v>
      </c>
      <c r="N3904">
        <v>147.87150000000003</v>
      </c>
      <c r="O3904" s="1">
        <v>44972</v>
      </c>
      <c r="P3904">
        <f>IF(ISBLANK(ReconciliationData[[#This Row],[Invoice_ID]]),1,0)</f>
        <v>0</v>
      </c>
      <c r="Q3904">
        <f>IF(AND(NOT(ISBLANK(ReconciliationData[[#This Row],[Billed_Units]])),ReconciliationData[[#This Row],[ordered_units]]&lt;&gt;ReconciliationData[[#This Row],[Billed_Units]]),1,0)</f>
        <v>1</v>
      </c>
      <c r="R390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4">
        <f>IF(AND(NOT(ISBLANK(ReconciliationData[[#This Row],[Contract_Price]])),ReconciliationData[[#This Row],[Billed_Price]]&lt;&gt;ReconciliationData[[#This Row],[Contract_Price]]),1,0)</f>
        <v>0</v>
      </c>
      <c r="T3904">
        <f>IF(AND(NOT(ISBLANK(ReconciliationData[[#This Row],[End_Date]])),ReconciliationData[[#This Row],[Order_Date]]&gt;ReconciliationData[[#This Row],[End_Date]]),1,0)</f>
        <v>0</v>
      </c>
      <c r="U3904">
        <f>IF(AND(NOT(ISBLANK(ReconciliationData[[#This Row],[last_return_date]])),ReconciliationData[[#This Row],[last_return_date]]&gt;ReconciliationData[[#This Row],[Order_Date]]+60),1,0)</f>
        <v>0</v>
      </c>
      <c r="V3904">
        <f>IF(ReconciliationData[[#This Row],[total_returned_units]]&gt;ReconciliationData[[#This Row],[ordered_units]],1,0)</f>
        <v>0</v>
      </c>
      <c r="W390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904">
        <f>ReconciliationData[[#This Row],[Billed_Units]]*ReconciliationData[[#This Row],[Billed_Price]]</f>
        <v>22920.082500000004</v>
      </c>
      <c r="Y3904">
        <f>ReconciliationData[[#This Row],[ordered_units]]*ReconciliationData[[#This Row],[List_Price]]</f>
        <v>23215.825500000003</v>
      </c>
      <c r="Z3904">
        <f>ReconciliationData[[#This Row],[billed_revenue]]-ReconciliationData[[#This Row],[expected_revenue]]</f>
        <v>-295.74299999999857</v>
      </c>
      <c r="AA390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3</v>
      </c>
      <c r="AB3904" t="str">
        <f>IF(ReconciliationData[[#This Row],[severity_score]]=0,"LOW",
 IF(ReconciliationData[[#This Row],[severity_score]]&lt;=5,"MEDIUM","HIGH"))</f>
        <v>MEDIUM</v>
      </c>
      <c r="AC3904" t="str">
        <f>TEXT(ReconciliationData[[#This Row],[Order_Date]],"YYYY-MM")</f>
        <v>2023-05</v>
      </c>
    </row>
    <row r="3905" spans="1:29">
      <c r="A3905" t="s">
        <v>9032</v>
      </c>
      <c r="B3905" s="1">
        <v>45088</v>
      </c>
      <c r="C3905" t="s">
        <v>750</v>
      </c>
      <c r="D3905" t="s">
        <v>247</v>
      </c>
      <c r="E3905">
        <v>182</v>
      </c>
      <c r="F3905" t="s">
        <v>9033</v>
      </c>
      <c r="G3905">
        <v>182</v>
      </c>
      <c r="H3905">
        <v>723.1</v>
      </c>
      <c r="N3905">
        <v>723.1</v>
      </c>
      <c r="O3905" s="1">
        <v>44970</v>
      </c>
      <c r="P3905">
        <f>IF(ISBLANK(ReconciliationData[[#This Row],[Invoice_ID]]),1,0)</f>
        <v>0</v>
      </c>
      <c r="Q3905">
        <f>IF(AND(NOT(ISBLANK(ReconciliationData[[#This Row],[Billed_Units]])),ReconciliationData[[#This Row],[ordered_units]]&lt;&gt;ReconciliationData[[#This Row],[Billed_Units]]),1,0)</f>
        <v>0</v>
      </c>
      <c r="R390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5">
        <f>IF(AND(NOT(ISBLANK(ReconciliationData[[#This Row],[Contract_Price]])),ReconciliationData[[#This Row],[Billed_Price]]&lt;&gt;ReconciliationData[[#This Row],[Contract_Price]]),1,0)</f>
        <v>0</v>
      </c>
      <c r="T3905">
        <f>IF(AND(NOT(ISBLANK(ReconciliationData[[#This Row],[End_Date]])),ReconciliationData[[#This Row],[Order_Date]]&gt;ReconciliationData[[#This Row],[End_Date]]),1,0)</f>
        <v>0</v>
      </c>
      <c r="U3905">
        <f>IF(AND(NOT(ISBLANK(ReconciliationData[[#This Row],[last_return_date]])),ReconciliationData[[#This Row],[last_return_date]]&gt;ReconciliationData[[#This Row],[Order_Date]]+60),1,0)</f>
        <v>0</v>
      </c>
      <c r="V3905">
        <f>IF(ReconciliationData[[#This Row],[total_returned_units]]&gt;ReconciliationData[[#This Row],[ordered_units]],1,0)</f>
        <v>0</v>
      </c>
      <c r="W390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05">
        <f>ReconciliationData[[#This Row],[Billed_Units]]*ReconciliationData[[#This Row],[Billed_Price]]</f>
        <v>131604.20000000001</v>
      </c>
      <c r="Y3905">
        <f>ReconciliationData[[#This Row],[ordered_units]]*ReconciliationData[[#This Row],[List_Price]]</f>
        <v>131604.20000000001</v>
      </c>
      <c r="Z3905">
        <f>ReconciliationData[[#This Row],[billed_revenue]]-ReconciliationData[[#This Row],[expected_revenue]]</f>
        <v>0</v>
      </c>
      <c r="AA390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05" t="str">
        <f>IF(ReconciliationData[[#This Row],[severity_score]]=0,"LOW",
 IF(ReconciliationData[[#This Row],[severity_score]]&lt;=5,"MEDIUM","HIGH"))</f>
        <v>LOW</v>
      </c>
      <c r="AC3905" t="str">
        <f>TEXT(ReconciliationData[[#This Row],[Order_Date]],"YYYY-MM")</f>
        <v>2023-06</v>
      </c>
    </row>
    <row r="3906" spans="1:29">
      <c r="A3906" t="s">
        <v>9034</v>
      </c>
      <c r="B3906" s="1">
        <v>45225</v>
      </c>
      <c r="C3906" t="s">
        <v>634</v>
      </c>
      <c r="D3906" t="s">
        <v>333</v>
      </c>
      <c r="E3906">
        <v>174</v>
      </c>
      <c r="F3906" t="s">
        <v>9035</v>
      </c>
      <c r="G3906">
        <v>174</v>
      </c>
      <c r="H3906">
        <v>1144.1684</v>
      </c>
      <c r="N3906">
        <v>1144.1684</v>
      </c>
      <c r="O3906" s="1">
        <v>44955</v>
      </c>
      <c r="P3906">
        <f>IF(ISBLANK(ReconciliationData[[#This Row],[Invoice_ID]]),1,0)</f>
        <v>0</v>
      </c>
      <c r="Q3906">
        <f>IF(AND(NOT(ISBLANK(ReconciliationData[[#This Row],[Billed_Units]])),ReconciliationData[[#This Row],[ordered_units]]&lt;&gt;ReconciliationData[[#This Row],[Billed_Units]]),1,0)</f>
        <v>0</v>
      </c>
      <c r="R390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6">
        <f>IF(AND(NOT(ISBLANK(ReconciliationData[[#This Row],[Contract_Price]])),ReconciliationData[[#This Row],[Billed_Price]]&lt;&gt;ReconciliationData[[#This Row],[Contract_Price]]),1,0)</f>
        <v>0</v>
      </c>
      <c r="T3906">
        <f>IF(AND(NOT(ISBLANK(ReconciliationData[[#This Row],[End_Date]])),ReconciliationData[[#This Row],[Order_Date]]&gt;ReconciliationData[[#This Row],[End_Date]]),1,0)</f>
        <v>0</v>
      </c>
      <c r="U3906">
        <f>IF(AND(NOT(ISBLANK(ReconciliationData[[#This Row],[last_return_date]])),ReconciliationData[[#This Row],[last_return_date]]&gt;ReconciliationData[[#This Row],[Order_Date]]+60),1,0)</f>
        <v>0</v>
      </c>
      <c r="V3906">
        <f>IF(ReconciliationData[[#This Row],[total_returned_units]]&gt;ReconciliationData[[#This Row],[ordered_units]],1,0)</f>
        <v>0</v>
      </c>
      <c r="W390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06">
        <f>ReconciliationData[[#This Row],[Billed_Units]]*ReconciliationData[[#This Row],[Billed_Price]]</f>
        <v>199085.30160000001</v>
      </c>
      <c r="Y3906">
        <f>ReconciliationData[[#This Row],[ordered_units]]*ReconciliationData[[#This Row],[List_Price]]</f>
        <v>199085.30160000001</v>
      </c>
      <c r="Z3906">
        <f>ReconciliationData[[#This Row],[billed_revenue]]-ReconciliationData[[#This Row],[expected_revenue]]</f>
        <v>0</v>
      </c>
      <c r="AA390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06" t="str">
        <f>IF(ReconciliationData[[#This Row],[severity_score]]=0,"LOW",
 IF(ReconciliationData[[#This Row],[severity_score]]&lt;=5,"MEDIUM","HIGH"))</f>
        <v>LOW</v>
      </c>
      <c r="AC3906" t="str">
        <f>TEXT(ReconciliationData[[#This Row],[Order_Date]],"YYYY-MM")</f>
        <v>2023-10</v>
      </c>
    </row>
    <row r="3907" spans="1:29">
      <c r="A3907" t="s">
        <v>9036</v>
      </c>
      <c r="B3907" s="1">
        <v>44996</v>
      </c>
      <c r="C3907" t="s">
        <v>274</v>
      </c>
      <c r="D3907" t="s">
        <v>283</v>
      </c>
      <c r="E3907">
        <v>173</v>
      </c>
      <c r="F3907" t="s">
        <v>9037</v>
      </c>
      <c r="G3907">
        <v>173</v>
      </c>
      <c r="H3907">
        <v>415.70589999999999</v>
      </c>
      <c r="N3907">
        <v>415.70589999999999</v>
      </c>
      <c r="O3907" s="1">
        <v>44989</v>
      </c>
      <c r="P3907">
        <f>IF(ISBLANK(ReconciliationData[[#This Row],[Invoice_ID]]),1,0)</f>
        <v>0</v>
      </c>
      <c r="Q3907">
        <f>IF(AND(NOT(ISBLANK(ReconciliationData[[#This Row],[Billed_Units]])),ReconciliationData[[#This Row],[ordered_units]]&lt;&gt;ReconciliationData[[#This Row],[Billed_Units]]),1,0)</f>
        <v>0</v>
      </c>
      <c r="R390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7">
        <f>IF(AND(NOT(ISBLANK(ReconciliationData[[#This Row],[Contract_Price]])),ReconciliationData[[#This Row],[Billed_Price]]&lt;&gt;ReconciliationData[[#This Row],[Contract_Price]]),1,0)</f>
        <v>0</v>
      </c>
      <c r="T3907">
        <f>IF(AND(NOT(ISBLANK(ReconciliationData[[#This Row],[End_Date]])),ReconciliationData[[#This Row],[Order_Date]]&gt;ReconciliationData[[#This Row],[End_Date]]),1,0)</f>
        <v>0</v>
      </c>
      <c r="U3907">
        <f>IF(AND(NOT(ISBLANK(ReconciliationData[[#This Row],[last_return_date]])),ReconciliationData[[#This Row],[last_return_date]]&gt;ReconciliationData[[#This Row],[Order_Date]]+60),1,0)</f>
        <v>0</v>
      </c>
      <c r="V3907">
        <f>IF(ReconciliationData[[#This Row],[total_returned_units]]&gt;ReconciliationData[[#This Row],[ordered_units]],1,0)</f>
        <v>0</v>
      </c>
      <c r="W390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07">
        <f>ReconciliationData[[#This Row],[Billed_Units]]*ReconciliationData[[#This Row],[Billed_Price]]</f>
        <v>71917.120699999999</v>
      </c>
      <c r="Y3907">
        <f>ReconciliationData[[#This Row],[ordered_units]]*ReconciliationData[[#This Row],[List_Price]]</f>
        <v>71917.120699999999</v>
      </c>
      <c r="Z3907">
        <f>ReconciliationData[[#This Row],[billed_revenue]]-ReconciliationData[[#This Row],[expected_revenue]]</f>
        <v>0</v>
      </c>
      <c r="AA390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07" t="str">
        <f>IF(ReconciliationData[[#This Row],[severity_score]]=0,"LOW",
 IF(ReconciliationData[[#This Row],[severity_score]]&lt;=5,"MEDIUM","HIGH"))</f>
        <v>LOW</v>
      </c>
      <c r="AC3907" t="str">
        <f>TEXT(ReconciliationData[[#This Row],[Order_Date]],"YYYY-MM")</f>
        <v>2023-03</v>
      </c>
    </row>
    <row r="3908" spans="1:29">
      <c r="A3908" t="s">
        <v>9038</v>
      </c>
      <c r="B3908" s="1">
        <v>45252</v>
      </c>
      <c r="C3908" t="s">
        <v>1060</v>
      </c>
      <c r="D3908" t="s">
        <v>3006</v>
      </c>
      <c r="E3908">
        <v>107</v>
      </c>
      <c r="F3908" t="s">
        <v>9039</v>
      </c>
      <c r="G3908">
        <v>107</v>
      </c>
      <c r="H3908">
        <v>720.47380000000021</v>
      </c>
      <c r="N3908">
        <v>720.47380000000021</v>
      </c>
      <c r="O3908" s="1">
        <v>45026</v>
      </c>
      <c r="P3908">
        <f>IF(ISBLANK(ReconciliationData[[#This Row],[Invoice_ID]]),1,0)</f>
        <v>0</v>
      </c>
      <c r="Q3908">
        <f>IF(AND(NOT(ISBLANK(ReconciliationData[[#This Row],[Billed_Units]])),ReconciliationData[[#This Row],[ordered_units]]&lt;&gt;ReconciliationData[[#This Row],[Billed_Units]]),1,0)</f>
        <v>0</v>
      </c>
      <c r="R390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8">
        <f>IF(AND(NOT(ISBLANK(ReconciliationData[[#This Row],[Contract_Price]])),ReconciliationData[[#This Row],[Billed_Price]]&lt;&gt;ReconciliationData[[#This Row],[Contract_Price]]),1,0)</f>
        <v>0</v>
      </c>
      <c r="T3908">
        <f>IF(AND(NOT(ISBLANK(ReconciliationData[[#This Row],[End_Date]])),ReconciliationData[[#This Row],[Order_Date]]&gt;ReconciliationData[[#This Row],[End_Date]]),1,0)</f>
        <v>0</v>
      </c>
      <c r="U3908">
        <f>IF(AND(NOT(ISBLANK(ReconciliationData[[#This Row],[last_return_date]])),ReconciliationData[[#This Row],[last_return_date]]&gt;ReconciliationData[[#This Row],[Order_Date]]+60),1,0)</f>
        <v>0</v>
      </c>
      <c r="V3908">
        <f>IF(ReconciliationData[[#This Row],[total_returned_units]]&gt;ReconciliationData[[#This Row],[ordered_units]],1,0)</f>
        <v>0</v>
      </c>
      <c r="W390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08">
        <f>ReconciliationData[[#This Row],[Billed_Units]]*ReconciliationData[[#This Row],[Billed_Price]]</f>
        <v>77090.696600000025</v>
      </c>
      <c r="Y3908">
        <f>ReconciliationData[[#This Row],[ordered_units]]*ReconciliationData[[#This Row],[List_Price]]</f>
        <v>77090.696600000025</v>
      </c>
      <c r="Z3908">
        <f>ReconciliationData[[#This Row],[billed_revenue]]-ReconciliationData[[#This Row],[expected_revenue]]</f>
        <v>0</v>
      </c>
      <c r="AA390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08" t="str">
        <f>IF(ReconciliationData[[#This Row],[severity_score]]=0,"LOW",
 IF(ReconciliationData[[#This Row],[severity_score]]&lt;=5,"MEDIUM","HIGH"))</f>
        <v>LOW</v>
      </c>
      <c r="AC3908" t="str">
        <f>TEXT(ReconciliationData[[#This Row],[Order_Date]],"YYYY-MM")</f>
        <v>2023-11</v>
      </c>
    </row>
    <row r="3909" spans="1:29">
      <c r="A3909" t="s">
        <v>9040</v>
      </c>
      <c r="B3909" s="1">
        <v>44972</v>
      </c>
      <c r="C3909" t="s">
        <v>1407</v>
      </c>
      <c r="D3909" t="s">
        <v>441</v>
      </c>
      <c r="E3909">
        <v>90</v>
      </c>
      <c r="F3909" t="s">
        <v>9041</v>
      </c>
      <c r="G3909">
        <v>90</v>
      </c>
      <c r="H3909">
        <v>238.7328</v>
      </c>
      <c r="N3909">
        <v>238.7328</v>
      </c>
      <c r="O3909" s="1">
        <v>44895</v>
      </c>
      <c r="P3909">
        <f>IF(ISBLANK(ReconciliationData[[#This Row],[Invoice_ID]]),1,0)</f>
        <v>0</v>
      </c>
      <c r="Q3909">
        <f>IF(AND(NOT(ISBLANK(ReconciliationData[[#This Row],[Billed_Units]])),ReconciliationData[[#This Row],[ordered_units]]&lt;&gt;ReconciliationData[[#This Row],[Billed_Units]]),1,0)</f>
        <v>0</v>
      </c>
      <c r="R390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09">
        <f>IF(AND(NOT(ISBLANK(ReconciliationData[[#This Row],[Contract_Price]])),ReconciliationData[[#This Row],[Billed_Price]]&lt;&gt;ReconciliationData[[#This Row],[Contract_Price]]),1,0)</f>
        <v>0</v>
      </c>
      <c r="T3909">
        <f>IF(AND(NOT(ISBLANK(ReconciliationData[[#This Row],[End_Date]])),ReconciliationData[[#This Row],[Order_Date]]&gt;ReconciliationData[[#This Row],[End_Date]]),1,0)</f>
        <v>0</v>
      </c>
      <c r="U3909">
        <f>IF(AND(NOT(ISBLANK(ReconciliationData[[#This Row],[last_return_date]])),ReconciliationData[[#This Row],[last_return_date]]&gt;ReconciliationData[[#This Row],[Order_Date]]+60),1,0)</f>
        <v>0</v>
      </c>
      <c r="V3909">
        <f>IF(ReconciliationData[[#This Row],[total_returned_units]]&gt;ReconciliationData[[#This Row],[ordered_units]],1,0)</f>
        <v>0</v>
      </c>
      <c r="W390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09">
        <f>ReconciliationData[[#This Row],[Billed_Units]]*ReconciliationData[[#This Row],[Billed_Price]]</f>
        <v>21485.952000000001</v>
      </c>
      <c r="Y3909">
        <f>ReconciliationData[[#This Row],[ordered_units]]*ReconciliationData[[#This Row],[List_Price]]</f>
        <v>21485.952000000001</v>
      </c>
      <c r="Z3909">
        <f>ReconciliationData[[#This Row],[billed_revenue]]-ReconciliationData[[#This Row],[expected_revenue]]</f>
        <v>0</v>
      </c>
      <c r="AA390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09" t="str">
        <f>IF(ReconciliationData[[#This Row],[severity_score]]=0,"LOW",
 IF(ReconciliationData[[#This Row],[severity_score]]&lt;=5,"MEDIUM","HIGH"))</f>
        <v>LOW</v>
      </c>
      <c r="AC3909" t="str">
        <f>TEXT(ReconciliationData[[#This Row],[Order_Date]],"YYYY-MM")</f>
        <v>2023-02</v>
      </c>
    </row>
    <row r="3910" spans="1:29">
      <c r="A3910" t="s">
        <v>9042</v>
      </c>
      <c r="B3910" s="1">
        <v>45227</v>
      </c>
      <c r="C3910" t="s">
        <v>5392</v>
      </c>
      <c r="D3910" t="s">
        <v>2444</v>
      </c>
      <c r="E3910">
        <v>104</v>
      </c>
      <c r="F3910" t="s">
        <v>9043</v>
      </c>
      <c r="G3910">
        <v>104</v>
      </c>
      <c r="H3910">
        <v>797.23339999999996</v>
      </c>
      <c r="N3910">
        <v>797.23339999999996</v>
      </c>
      <c r="O3910" s="1">
        <v>45085</v>
      </c>
      <c r="P3910">
        <f>IF(ISBLANK(ReconciliationData[[#This Row],[Invoice_ID]]),1,0)</f>
        <v>0</v>
      </c>
      <c r="Q3910">
        <f>IF(AND(NOT(ISBLANK(ReconciliationData[[#This Row],[Billed_Units]])),ReconciliationData[[#This Row],[ordered_units]]&lt;&gt;ReconciliationData[[#This Row],[Billed_Units]]),1,0)</f>
        <v>0</v>
      </c>
      <c r="R391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0">
        <f>IF(AND(NOT(ISBLANK(ReconciliationData[[#This Row],[Contract_Price]])),ReconciliationData[[#This Row],[Billed_Price]]&lt;&gt;ReconciliationData[[#This Row],[Contract_Price]]),1,0)</f>
        <v>0</v>
      </c>
      <c r="T3910">
        <f>IF(AND(NOT(ISBLANK(ReconciliationData[[#This Row],[End_Date]])),ReconciliationData[[#This Row],[Order_Date]]&gt;ReconciliationData[[#This Row],[End_Date]]),1,0)</f>
        <v>0</v>
      </c>
      <c r="U3910">
        <f>IF(AND(NOT(ISBLANK(ReconciliationData[[#This Row],[last_return_date]])),ReconciliationData[[#This Row],[last_return_date]]&gt;ReconciliationData[[#This Row],[Order_Date]]+60),1,0)</f>
        <v>0</v>
      </c>
      <c r="V3910">
        <f>IF(ReconciliationData[[#This Row],[total_returned_units]]&gt;ReconciliationData[[#This Row],[ordered_units]],1,0)</f>
        <v>0</v>
      </c>
      <c r="W391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10">
        <f>ReconciliationData[[#This Row],[Billed_Units]]*ReconciliationData[[#This Row],[Billed_Price]]</f>
        <v>82912.2736</v>
      </c>
      <c r="Y3910">
        <f>ReconciliationData[[#This Row],[ordered_units]]*ReconciliationData[[#This Row],[List_Price]]</f>
        <v>82912.2736</v>
      </c>
      <c r="Z3910">
        <f>ReconciliationData[[#This Row],[billed_revenue]]-ReconciliationData[[#This Row],[expected_revenue]]</f>
        <v>0</v>
      </c>
      <c r="AA391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10" t="str">
        <f>IF(ReconciliationData[[#This Row],[severity_score]]=0,"LOW",
 IF(ReconciliationData[[#This Row],[severity_score]]&lt;=5,"MEDIUM","HIGH"))</f>
        <v>LOW</v>
      </c>
      <c r="AC3910" t="str">
        <f>TEXT(ReconciliationData[[#This Row],[Order_Date]],"YYYY-MM")</f>
        <v>2023-10</v>
      </c>
    </row>
    <row r="3911" spans="1:29">
      <c r="A3911" t="s">
        <v>9044</v>
      </c>
      <c r="B3911" s="1">
        <v>44971</v>
      </c>
      <c r="C3911" t="s">
        <v>2768</v>
      </c>
      <c r="D3911" t="s">
        <v>223</v>
      </c>
      <c r="E3911">
        <v>49</v>
      </c>
      <c r="F3911" t="s">
        <v>9045</v>
      </c>
      <c r="G3911">
        <v>49</v>
      </c>
      <c r="H3911">
        <v>514.18639999999994</v>
      </c>
      <c r="N3911">
        <v>514.18639999999994</v>
      </c>
      <c r="O3911" s="1">
        <v>44936</v>
      </c>
      <c r="P3911">
        <f>IF(ISBLANK(ReconciliationData[[#This Row],[Invoice_ID]]),1,0)</f>
        <v>0</v>
      </c>
      <c r="Q3911">
        <f>IF(AND(NOT(ISBLANK(ReconciliationData[[#This Row],[Billed_Units]])),ReconciliationData[[#This Row],[ordered_units]]&lt;&gt;ReconciliationData[[#This Row],[Billed_Units]]),1,0)</f>
        <v>0</v>
      </c>
      <c r="R391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1">
        <f>IF(AND(NOT(ISBLANK(ReconciliationData[[#This Row],[Contract_Price]])),ReconciliationData[[#This Row],[Billed_Price]]&lt;&gt;ReconciliationData[[#This Row],[Contract_Price]]),1,0)</f>
        <v>0</v>
      </c>
      <c r="T3911">
        <f>IF(AND(NOT(ISBLANK(ReconciliationData[[#This Row],[End_Date]])),ReconciliationData[[#This Row],[Order_Date]]&gt;ReconciliationData[[#This Row],[End_Date]]),1,0)</f>
        <v>0</v>
      </c>
      <c r="U3911">
        <f>IF(AND(NOT(ISBLANK(ReconciliationData[[#This Row],[last_return_date]])),ReconciliationData[[#This Row],[last_return_date]]&gt;ReconciliationData[[#This Row],[Order_Date]]+60),1,0)</f>
        <v>0</v>
      </c>
      <c r="V3911">
        <f>IF(ReconciliationData[[#This Row],[total_returned_units]]&gt;ReconciliationData[[#This Row],[ordered_units]],1,0)</f>
        <v>0</v>
      </c>
      <c r="W391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11">
        <f>ReconciliationData[[#This Row],[Billed_Units]]*ReconciliationData[[#This Row],[Billed_Price]]</f>
        <v>25195.133599999997</v>
      </c>
      <c r="Y3911">
        <f>ReconciliationData[[#This Row],[ordered_units]]*ReconciliationData[[#This Row],[List_Price]]</f>
        <v>25195.133599999997</v>
      </c>
      <c r="Z3911">
        <f>ReconciliationData[[#This Row],[billed_revenue]]-ReconciliationData[[#This Row],[expected_revenue]]</f>
        <v>0</v>
      </c>
      <c r="AA391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11" t="str">
        <f>IF(ReconciliationData[[#This Row],[severity_score]]=0,"LOW",
 IF(ReconciliationData[[#This Row],[severity_score]]&lt;=5,"MEDIUM","HIGH"))</f>
        <v>LOW</v>
      </c>
      <c r="AC3911" t="str">
        <f>TEXT(ReconciliationData[[#This Row],[Order_Date]],"YYYY-MM")</f>
        <v>2023-02</v>
      </c>
    </row>
    <row r="3912" spans="1:29">
      <c r="A3912" t="s">
        <v>9046</v>
      </c>
      <c r="B3912" s="1">
        <v>45302</v>
      </c>
      <c r="C3912" t="s">
        <v>429</v>
      </c>
      <c r="D3912" t="s">
        <v>1449</v>
      </c>
      <c r="E3912">
        <v>118</v>
      </c>
      <c r="F3912" t="s">
        <v>9047</v>
      </c>
      <c r="G3912">
        <v>118</v>
      </c>
      <c r="H3912">
        <v>960.85850000000005</v>
      </c>
      <c r="N3912">
        <v>960.85850000000005</v>
      </c>
      <c r="O3912" s="1">
        <v>45049</v>
      </c>
      <c r="P3912">
        <f>IF(ISBLANK(ReconciliationData[[#This Row],[Invoice_ID]]),1,0)</f>
        <v>0</v>
      </c>
      <c r="Q3912">
        <f>IF(AND(NOT(ISBLANK(ReconciliationData[[#This Row],[Billed_Units]])),ReconciliationData[[#This Row],[ordered_units]]&lt;&gt;ReconciliationData[[#This Row],[Billed_Units]]),1,0)</f>
        <v>0</v>
      </c>
      <c r="R391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2">
        <f>IF(AND(NOT(ISBLANK(ReconciliationData[[#This Row],[Contract_Price]])),ReconciliationData[[#This Row],[Billed_Price]]&lt;&gt;ReconciliationData[[#This Row],[Contract_Price]]),1,0)</f>
        <v>0</v>
      </c>
      <c r="T3912">
        <f>IF(AND(NOT(ISBLANK(ReconciliationData[[#This Row],[End_Date]])),ReconciliationData[[#This Row],[Order_Date]]&gt;ReconciliationData[[#This Row],[End_Date]]),1,0)</f>
        <v>0</v>
      </c>
      <c r="U3912">
        <f>IF(AND(NOT(ISBLANK(ReconciliationData[[#This Row],[last_return_date]])),ReconciliationData[[#This Row],[last_return_date]]&gt;ReconciliationData[[#This Row],[Order_Date]]+60),1,0)</f>
        <v>0</v>
      </c>
      <c r="V3912">
        <f>IF(ReconciliationData[[#This Row],[total_returned_units]]&gt;ReconciliationData[[#This Row],[ordered_units]],1,0)</f>
        <v>0</v>
      </c>
      <c r="W391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12">
        <f>ReconciliationData[[#This Row],[Billed_Units]]*ReconciliationData[[#This Row],[Billed_Price]]</f>
        <v>113381.303</v>
      </c>
      <c r="Y3912">
        <f>ReconciliationData[[#This Row],[ordered_units]]*ReconciliationData[[#This Row],[List_Price]]</f>
        <v>113381.303</v>
      </c>
      <c r="Z3912">
        <f>ReconciliationData[[#This Row],[billed_revenue]]-ReconciliationData[[#This Row],[expected_revenue]]</f>
        <v>0</v>
      </c>
      <c r="AA391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12" t="str">
        <f>IF(ReconciliationData[[#This Row],[severity_score]]=0,"LOW",
 IF(ReconciliationData[[#This Row],[severity_score]]&lt;=5,"MEDIUM","HIGH"))</f>
        <v>LOW</v>
      </c>
      <c r="AC3912" t="str">
        <f>TEXT(ReconciliationData[[#This Row],[Order_Date]],"YYYY-MM")</f>
        <v>2024-01</v>
      </c>
    </row>
    <row r="3913" spans="1:29">
      <c r="A3913" t="s">
        <v>9048</v>
      </c>
      <c r="B3913" s="1">
        <v>45591</v>
      </c>
      <c r="C3913" t="s">
        <v>1709</v>
      </c>
      <c r="D3913" t="s">
        <v>600</v>
      </c>
      <c r="E3913">
        <v>80</v>
      </c>
      <c r="F3913" t="s">
        <v>9049</v>
      </c>
      <c r="G3913">
        <v>80</v>
      </c>
      <c r="H3913">
        <v>52.185000000000002</v>
      </c>
      <c r="N3913">
        <v>52.185000000000002</v>
      </c>
      <c r="O3913" s="1">
        <v>44998</v>
      </c>
      <c r="P3913">
        <f>IF(ISBLANK(ReconciliationData[[#This Row],[Invoice_ID]]),1,0)</f>
        <v>0</v>
      </c>
      <c r="Q3913">
        <f>IF(AND(NOT(ISBLANK(ReconciliationData[[#This Row],[Billed_Units]])),ReconciliationData[[#This Row],[ordered_units]]&lt;&gt;ReconciliationData[[#This Row],[Billed_Units]]),1,0)</f>
        <v>0</v>
      </c>
      <c r="R391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3">
        <f>IF(AND(NOT(ISBLANK(ReconciliationData[[#This Row],[Contract_Price]])),ReconciliationData[[#This Row],[Billed_Price]]&lt;&gt;ReconciliationData[[#This Row],[Contract_Price]]),1,0)</f>
        <v>0</v>
      </c>
      <c r="T3913">
        <f>IF(AND(NOT(ISBLANK(ReconciliationData[[#This Row],[End_Date]])),ReconciliationData[[#This Row],[Order_Date]]&gt;ReconciliationData[[#This Row],[End_Date]]),1,0)</f>
        <v>0</v>
      </c>
      <c r="U3913">
        <f>IF(AND(NOT(ISBLANK(ReconciliationData[[#This Row],[last_return_date]])),ReconciliationData[[#This Row],[last_return_date]]&gt;ReconciliationData[[#This Row],[Order_Date]]+60),1,0)</f>
        <v>0</v>
      </c>
      <c r="V3913">
        <f>IF(ReconciliationData[[#This Row],[total_returned_units]]&gt;ReconciliationData[[#This Row],[ordered_units]],1,0)</f>
        <v>0</v>
      </c>
      <c r="W391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13">
        <f>ReconciliationData[[#This Row],[Billed_Units]]*ReconciliationData[[#This Row],[Billed_Price]]</f>
        <v>4174.8</v>
      </c>
      <c r="Y3913">
        <f>ReconciliationData[[#This Row],[ordered_units]]*ReconciliationData[[#This Row],[List_Price]]</f>
        <v>4174.8</v>
      </c>
      <c r="Z3913">
        <f>ReconciliationData[[#This Row],[billed_revenue]]-ReconciliationData[[#This Row],[expected_revenue]]</f>
        <v>0</v>
      </c>
      <c r="AA391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13" t="str">
        <f>IF(ReconciliationData[[#This Row],[severity_score]]=0,"LOW",
 IF(ReconciliationData[[#This Row],[severity_score]]&lt;=5,"MEDIUM","HIGH"))</f>
        <v>LOW</v>
      </c>
      <c r="AC3913" t="str">
        <f>TEXT(ReconciliationData[[#This Row],[Order_Date]],"YYYY-MM")</f>
        <v>2024-10</v>
      </c>
    </row>
    <row r="3914" spans="1:29">
      <c r="A3914" t="s">
        <v>9050</v>
      </c>
      <c r="B3914" s="1">
        <v>44932</v>
      </c>
      <c r="C3914" t="s">
        <v>486</v>
      </c>
      <c r="D3914" t="s">
        <v>345</v>
      </c>
      <c r="E3914">
        <v>190</v>
      </c>
      <c r="F3914" t="s">
        <v>9051</v>
      </c>
      <c r="G3914">
        <v>190</v>
      </c>
      <c r="H3914">
        <v>574.3415</v>
      </c>
      <c r="N3914">
        <v>574.3415</v>
      </c>
      <c r="O3914" s="1">
        <v>44806</v>
      </c>
      <c r="P3914">
        <f>IF(ISBLANK(ReconciliationData[[#This Row],[Invoice_ID]]),1,0)</f>
        <v>0</v>
      </c>
      <c r="Q3914">
        <f>IF(AND(NOT(ISBLANK(ReconciliationData[[#This Row],[Billed_Units]])),ReconciliationData[[#This Row],[ordered_units]]&lt;&gt;ReconciliationData[[#This Row],[Billed_Units]]),1,0)</f>
        <v>0</v>
      </c>
      <c r="R391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4">
        <f>IF(AND(NOT(ISBLANK(ReconciliationData[[#This Row],[Contract_Price]])),ReconciliationData[[#This Row],[Billed_Price]]&lt;&gt;ReconciliationData[[#This Row],[Contract_Price]]),1,0)</f>
        <v>0</v>
      </c>
      <c r="T3914">
        <f>IF(AND(NOT(ISBLANK(ReconciliationData[[#This Row],[End_Date]])),ReconciliationData[[#This Row],[Order_Date]]&gt;ReconciliationData[[#This Row],[End_Date]]),1,0)</f>
        <v>0</v>
      </c>
      <c r="U3914">
        <f>IF(AND(NOT(ISBLANK(ReconciliationData[[#This Row],[last_return_date]])),ReconciliationData[[#This Row],[last_return_date]]&gt;ReconciliationData[[#This Row],[Order_Date]]+60),1,0)</f>
        <v>0</v>
      </c>
      <c r="V3914">
        <f>IF(ReconciliationData[[#This Row],[total_returned_units]]&gt;ReconciliationData[[#This Row],[ordered_units]],1,0)</f>
        <v>0</v>
      </c>
      <c r="W391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14">
        <f>ReconciliationData[[#This Row],[Billed_Units]]*ReconciliationData[[#This Row],[Billed_Price]]</f>
        <v>109124.88499999999</v>
      </c>
      <c r="Y3914">
        <f>ReconciliationData[[#This Row],[ordered_units]]*ReconciliationData[[#This Row],[List_Price]]</f>
        <v>109124.88499999999</v>
      </c>
      <c r="Z3914">
        <f>ReconciliationData[[#This Row],[billed_revenue]]-ReconciliationData[[#This Row],[expected_revenue]]</f>
        <v>0</v>
      </c>
      <c r="AA391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14" t="str">
        <f>IF(ReconciliationData[[#This Row],[severity_score]]=0,"LOW",
 IF(ReconciliationData[[#This Row],[severity_score]]&lt;=5,"MEDIUM","HIGH"))</f>
        <v>LOW</v>
      </c>
      <c r="AC3914" t="str">
        <f>TEXT(ReconciliationData[[#This Row],[Order_Date]],"YYYY-MM")</f>
        <v>2023-01</v>
      </c>
    </row>
    <row r="3915" spans="1:29">
      <c r="A3915" t="s">
        <v>9052</v>
      </c>
      <c r="B3915" s="1">
        <v>45272</v>
      </c>
      <c r="C3915" t="s">
        <v>3450</v>
      </c>
      <c r="D3915" t="s">
        <v>3256</v>
      </c>
      <c r="E3915">
        <v>197</v>
      </c>
      <c r="F3915" t="s">
        <v>9053</v>
      </c>
      <c r="G3915">
        <v>197</v>
      </c>
      <c r="H3915">
        <v>1159.732</v>
      </c>
      <c r="N3915">
        <v>1159.732</v>
      </c>
      <c r="O3915" s="1">
        <v>45032</v>
      </c>
      <c r="P3915">
        <f>IF(ISBLANK(ReconciliationData[[#This Row],[Invoice_ID]]),1,0)</f>
        <v>0</v>
      </c>
      <c r="Q3915">
        <f>IF(AND(NOT(ISBLANK(ReconciliationData[[#This Row],[Billed_Units]])),ReconciliationData[[#This Row],[ordered_units]]&lt;&gt;ReconciliationData[[#This Row],[Billed_Units]]),1,0)</f>
        <v>0</v>
      </c>
      <c r="R391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5">
        <f>IF(AND(NOT(ISBLANK(ReconciliationData[[#This Row],[Contract_Price]])),ReconciliationData[[#This Row],[Billed_Price]]&lt;&gt;ReconciliationData[[#This Row],[Contract_Price]]),1,0)</f>
        <v>0</v>
      </c>
      <c r="T3915">
        <f>IF(AND(NOT(ISBLANK(ReconciliationData[[#This Row],[End_Date]])),ReconciliationData[[#This Row],[Order_Date]]&gt;ReconciliationData[[#This Row],[End_Date]]),1,0)</f>
        <v>0</v>
      </c>
      <c r="U3915">
        <f>IF(AND(NOT(ISBLANK(ReconciliationData[[#This Row],[last_return_date]])),ReconciliationData[[#This Row],[last_return_date]]&gt;ReconciliationData[[#This Row],[Order_Date]]+60),1,0)</f>
        <v>0</v>
      </c>
      <c r="V3915">
        <f>IF(ReconciliationData[[#This Row],[total_returned_units]]&gt;ReconciliationData[[#This Row],[ordered_units]],1,0)</f>
        <v>0</v>
      </c>
      <c r="W391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15">
        <f>ReconciliationData[[#This Row],[Billed_Units]]*ReconciliationData[[#This Row],[Billed_Price]]</f>
        <v>228467.204</v>
      </c>
      <c r="Y3915">
        <f>ReconciliationData[[#This Row],[ordered_units]]*ReconciliationData[[#This Row],[List_Price]]</f>
        <v>228467.204</v>
      </c>
      <c r="Z3915">
        <f>ReconciliationData[[#This Row],[billed_revenue]]-ReconciliationData[[#This Row],[expected_revenue]]</f>
        <v>0</v>
      </c>
      <c r="AA391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15" t="str">
        <f>IF(ReconciliationData[[#This Row],[severity_score]]=0,"LOW",
 IF(ReconciliationData[[#This Row],[severity_score]]&lt;=5,"MEDIUM","HIGH"))</f>
        <v>LOW</v>
      </c>
      <c r="AC3915" t="str">
        <f>TEXT(ReconciliationData[[#This Row],[Order_Date]],"YYYY-MM")</f>
        <v>2023-12</v>
      </c>
    </row>
    <row r="3916" spans="1:29">
      <c r="A3916" t="s">
        <v>9054</v>
      </c>
      <c r="B3916" s="1">
        <v>45442</v>
      </c>
      <c r="C3916" t="s">
        <v>540</v>
      </c>
      <c r="D3916" t="s">
        <v>4508</v>
      </c>
      <c r="E3916">
        <v>152</v>
      </c>
      <c r="F3916" t="s">
        <v>9055</v>
      </c>
      <c r="G3916">
        <v>152</v>
      </c>
      <c r="H3916">
        <v>750.70520000000022</v>
      </c>
      <c r="N3916">
        <v>750.70520000000022</v>
      </c>
      <c r="O3916" s="1">
        <v>45226</v>
      </c>
      <c r="P3916">
        <f>IF(ISBLANK(ReconciliationData[[#This Row],[Invoice_ID]]),1,0)</f>
        <v>0</v>
      </c>
      <c r="Q3916">
        <f>IF(AND(NOT(ISBLANK(ReconciliationData[[#This Row],[Billed_Units]])),ReconciliationData[[#This Row],[ordered_units]]&lt;&gt;ReconciliationData[[#This Row],[Billed_Units]]),1,0)</f>
        <v>0</v>
      </c>
      <c r="R391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6">
        <f>IF(AND(NOT(ISBLANK(ReconciliationData[[#This Row],[Contract_Price]])),ReconciliationData[[#This Row],[Billed_Price]]&lt;&gt;ReconciliationData[[#This Row],[Contract_Price]]),1,0)</f>
        <v>0</v>
      </c>
      <c r="T3916">
        <f>IF(AND(NOT(ISBLANK(ReconciliationData[[#This Row],[End_Date]])),ReconciliationData[[#This Row],[Order_Date]]&gt;ReconciliationData[[#This Row],[End_Date]]),1,0)</f>
        <v>0</v>
      </c>
      <c r="U3916">
        <f>IF(AND(NOT(ISBLANK(ReconciliationData[[#This Row],[last_return_date]])),ReconciliationData[[#This Row],[last_return_date]]&gt;ReconciliationData[[#This Row],[Order_Date]]+60),1,0)</f>
        <v>0</v>
      </c>
      <c r="V3916">
        <f>IF(ReconciliationData[[#This Row],[total_returned_units]]&gt;ReconciliationData[[#This Row],[ordered_units]],1,0)</f>
        <v>0</v>
      </c>
      <c r="W391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16">
        <f>ReconciliationData[[#This Row],[Billed_Units]]*ReconciliationData[[#This Row],[Billed_Price]]</f>
        <v>114107.19040000004</v>
      </c>
      <c r="Y3916">
        <f>ReconciliationData[[#This Row],[ordered_units]]*ReconciliationData[[#This Row],[List_Price]]</f>
        <v>114107.19040000004</v>
      </c>
      <c r="Z3916">
        <f>ReconciliationData[[#This Row],[billed_revenue]]-ReconciliationData[[#This Row],[expected_revenue]]</f>
        <v>0</v>
      </c>
      <c r="AA391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16" t="str">
        <f>IF(ReconciliationData[[#This Row],[severity_score]]=0,"LOW",
 IF(ReconciliationData[[#This Row],[severity_score]]&lt;=5,"MEDIUM","HIGH"))</f>
        <v>LOW</v>
      </c>
      <c r="AC3916" t="str">
        <f>TEXT(ReconciliationData[[#This Row],[Order_Date]],"YYYY-MM")</f>
        <v>2024-05</v>
      </c>
    </row>
    <row r="3917" spans="1:29">
      <c r="A3917" t="s">
        <v>9056</v>
      </c>
      <c r="B3917" s="1">
        <v>44950</v>
      </c>
      <c r="C3917" t="s">
        <v>3148</v>
      </c>
      <c r="D3917" t="s">
        <v>182</v>
      </c>
      <c r="E3917">
        <v>176</v>
      </c>
      <c r="F3917" t="s">
        <v>9057</v>
      </c>
      <c r="G3917">
        <v>173</v>
      </c>
      <c r="H3917">
        <v>725.50320000000011</v>
      </c>
      <c r="N3917">
        <v>725.50320000000011</v>
      </c>
      <c r="O3917" s="1">
        <v>44858</v>
      </c>
      <c r="P3917">
        <f>IF(ISBLANK(ReconciliationData[[#This Row],[Invoice_ID]]),1,0)</f>
        <v>0</v>
      </c>
      <c r="Q3917">
        <f>IF(AND(NOT(ISBLANK(ReconciliationData[[#This Row],[Billed_Units]])),ReconciliationData[[#This Row],[ordered_units]]&lt;&gt;ReconciliationData[[#This Row],[Billed_Units]]),1,0)</f>
        <v>1</v>
      </c>
      <c r="R391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7">
        <f>IF(AND(NOT(ISBLANK(ReconciliationData[[#This Row],[Contract_Price]])),ReconciliationData[[#This Row],[Billed_Price]]&lt;&gt;ReconciliationData[[#This Row],[Contract_Price]]),1,0)</f>
        <v>0</v>
      </c>
      <c r="T3917">
        <f>IF(AND(NOT(ISBLANK(ReconciliationData[[#This Row],[End_Date]])),ReconciliationData[[#This Row],[Order_Date]]&gt;ReconciliationData[[#This Row],[End_Date]]),1,0)</f>
        <v>0</v>
      </c>
      <c r="U3917">
        <f>IF(AND(NOT(ISBLANK(ReconciliationData[[#This Row],[last_return_date]])),ReconciliationData[[#This Row],[last_return_date]]&gt;ReconciliationData[[#This Row],[Order_Date]]+60),1,0)</f>
        <v>0</v>
      </c>
      <c r="V3917">
        <f>IF(ReconciliationData[[#This Row],[total_returned_units]]&gt;ReconciliationData[[#This Row],[ordered_units]],1,0)</f>
        <v>0</v>
      </c>
      <c r="W391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917">
        <f>ReconciliationData[[#This Row],[Billed_Units]]*ReconciliationData[[#This Row],[Billed_Price]]</f>
        <v>125512.05360000001</v>
      </c>
      <c r="Y3917">
        <f>ReconciliationData[[#This Row],[ordered_units]]*ReconciliationData[[#This Row],[List_Price]]</f>
        <v>127688.56320000002</v>
      </c>
      <c r="Z3917">
        <f>ReconciliationData[[#This Row],[billed_revenue]]-ReconciliationData[[#This Row],[expected_revenue]]</f>
        <v>-2176.5096000000049</v>
      </c>
      <c r="AA391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917" t="str">
        <f>IF(ReconciliationData[[#This Row],[severity_score]]=0,"LOW",
 IF(ReconciliationData[[#This Row],[severity_score]]&lt;=5,"MEDIUM","HIGH"))</f>
        <v>HIGH</v>
      </c>
      <c r="AC3917" t="str">
        <f>TEXT(ReconciliationData[[#This Row],[Order_Date]],"YYYY-MM")</f>
        <v>2023-01</v>
      </c>
    </row>
    <row r="3918" spans="1:29">
      <c r="A3918" t="s">
        <v>9058</v>
      </c>
      <c r="B3918" s="1">
        <v>44969</v>
      </c>
      <c r="C3918" t="s">
        <v>2086</v>
      </c>
      <c r="D3918" t="s">
        <v>908</v>
      </c>
      <c r="E3918">
        <v>54</v>
      </c>
      <c r="F3918" t="s">
        <v>9059</v>
      </c>
      <c r="G3918">
        <v>54</v>
      </c>
      <c r="H3918">
        <v>560.10919999999999</v>
      </c>
      <c r="N3918">
        <v>560.10919999999999</v>
      </c>
      <c r="O3918" s="1">
        <v>44851</v>
      </c>
      <c r="P3918">
        <f>IF(ISBLANK(ReconciliationData[[#This Row],[Invoice_ID]]),1,0)</f>
        <v>0</v>
      </c>
      <c r="Q3918">
        <f>IF(AND(NOT(ISBLANK(ReconciliationData[[#This Row],[Billed_Units]])),ReconciliationData[[#This Row],[ordered_units]]&lt;&gt;ReconciliationData[[#This Row],[Billed_Units]]),1,0)</f>
        <v>0</v>
      </c>
      <c r="R391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8">
        <f>IF(AND(NOT(ISBLANK(ReconciliationData[[#This Row],[Contract_Price]])),ReconciliationData[[#This Row],[Billed_Price]]&lt;&gt;ReconciliationData[[#This Row],[Contract_Price]]),1,0)</f>
        <v>0</v>
      </c>
      <c r="T3918">
        <f>IF(AND(NOT(ISBLANK(ReconciliationData[[#This Row],[End_Date]])),ReconciliationData[[#This Row],[Order_Date]]&gt;ReconciliationData[[#This Row],[End_Date]]),1,0)</f>
        <v>0</v>
      </c>
      <c r="U3918">
        <f>IF(AND(NOT(ISBLANK(ReconciliationData[[#This Row],[last_return_date]])),ReconciliationData[[#This Row],[last_return_date]]&gt;ReconciliationData[[#This Row],[Order_Date]]+60),1,0)</f>
        <v>0</v>
      </c>
      <c r="V3918">
        <f>IF(ReconciliationData[[#This Row],[total_returned_units]]&gt;ReconciliationData[[#This Row],[ordered_units]],1,0)</f>
        <v>0</v>
      </c>
      <c r="W391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18">
        <f>ReconciliationData[[#This Row],[Billed_Units]]*ReconciliationData[[#This Row],[Billed_Price]]</f>
        <v>30245.896799999999</v>
      </c>
      <c r="Y3918">
        <f>ReconciliationData[[#This Row],[ordered_units]]*ReconciliationData[[#This Row],[List_Price]]</f>
        <v>30245.896799999999</v>
      </c>
      <c r="Z3918">
        <f>ReconciliationData[[#This Row],[billed_revenue]]-ReconciliationData[[#This Row],[expected_revenue]]</f>
        <v>0</v>
      </c>
      <c r="AA391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18" t="str">
        <f>IF(ReconciliationData[[#This Row],[severity_score]]=0,"LOW",
 IF(ReconciliationData[[#This Row],[severity_score]]&lt;=5,"MEDIUM","HIGH"))</f>
        <v>LOW</v>
      </c>
      <c r="AC3918" t="str">
        <f>TEXT(ReconciliationData[[#This Row],[Order_Date]],"YYYY-MM")</f>
        <v>2023-02</v>
      </c>
    </row>
    <row r="3919" spans="1:29">
      <c r="A3919" t="s">
        <v>9060</v>
      </c>
      <c r="B3919" s="1">
        <v>45572</v>
      </c>
      <c r="C3919" t="s">
        <v>2280</v>
      </c>
      <c r="D3919" t="s">
        <v>718</v>
      </c>
      <c r="E3919">
        <v>70</v>
      </c>
      <c r="F3919" t="s">
        <v>9061</v>
      </c>
      <c r="G3919">
        <v>70</v>
      </c>
      <c r="H3919">
        <v>287.14</v>
      </c>
      <c r="N3919">
        <v>287.14</v>
      </c>
      <c r="O3919" s="1">
        <v>44977</v>
      </c>
      <c r="P3919">
        <f>IF(ISBLANK(ReconciliationData[[#This Row],[Invoice_ID]]),1,0)</f>
        <v>0</v>
      </c>
      <c r="Q3919">
        <f>IF(AND(NOT(ISBLANK(ReconciliationData[[#This Row],[Billed_Units]])),ReconciliationData[[#This Row],[ordered_units]]&lt;&gt;ReconciliationData[[#This Row],[Billed_Units]]),1,0)</f>
        <v>0</v>
      </c>
      <c r="R391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19">
        <f>IF(AND(NOT(ISBLANK(ReconciliationData[[#This Row],[Contract_Price]])),ReconciliationData[[#This Row],[Billed_Price]]&lt;&gt;ReconciliationData[[#This Row],[Contract_Price]]),1,0)</f>
        <v>0</v>
      </c>
      <c r="T3919">
        <f>IF(AND(NOT(ISBLANK(ReconciliationData[[#This Row],[End_Date]])),ReconciliationData[[#This Row],[Order_Date]]&gt;ReconciliationData[[#This Row],[End_Date]]),1,0)</f>
        <v>0</v>
      </c>
      <c r="U3919">
        <f>IF(AND(NOT(ISBLANK(ReconciliationData[[#This Row],[last_return_date]])),ReconciliationData[[#This Row],[last_return_date]]&gt;ReconciliationData[[#This Row],[Order_Date]]+60),1,0)</f>
        <v>0</v>
      </c>
      <c r="V3919">
        <f>IF(ReconciliationData[[#This Row],[total_returned_units]]&gt;ReconciliationData[[#This Row],[ordered_units]],1,0)</f>
        <v>0</v>
      </c>
      <c r="W391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19">
        <f>ReconciliationData[[#This Row],[Billed_Units]]*ReconciliationData[[#This Row],[Billed_Price]]</f>
        <v>20099.8</v>
      </c>
      <c r="Y3919">
        <f>ReconciliationData[[#This Row],[ordered_units]]*ReconciliationData[[#This Row],[List_Price]]</f>
        <v>20099.8</v>
      </c>
      <c r="Z3919">
        <f>ReconciliationData[[#This Row],[billed_revenue]]-ReconciliationData[[#This Row],[expected_revenue]]</f>
        <v>0</v>
      </c>
      <c r="AA391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19" t="str">
        <f>IF(ReconciliationData[[#This Row],[severity_score]]=0,"LOW",
 IF(ReconciliationData[[#This Row],[severity_score]]&lt;=5,"MEDIUM","HIGH"))</f>
        <v>LOW</v>
      </c>
      <c r="AC3919" t="str">
        <f>TEXT(ReconciliationData[[#This Row],[Order_Date]],"YYYY-MM")</f>
        <v>2024-10</v>
      </c>
    </row>
    <row r="3920" spans="1:29">
      <c r="A3920" t="s">
        <v>9062</v>
      </c>
      <c r="B3920" s="1">
        <v>45256</v>
      </c>
      <c r="C3920" t="s">
        <v>3653</v>
      </c>
      <c r="D3920" t="s">
        <v>635</v>
      </c>
      <c r="E3920">
        <v>80</v>
      </c>
      <c r="F3920" t="s">
        <v>9063</v>
      </c>
      <c r="G3920">
        <v>80</v>
      </c>
      <c r="H3920">
        <v>951.54780000000005</v>
      </c>
      <c r="N3920">
        <v>951.54780000000005</v>
      </c>
      <c r="O3920" s="1">
        <v>44964</v>
      </c>
      <c r="P3920">
        <f>IF(ISBLANK(ReconciliationData[[#This Row],[Invoice_ID]]),1,0)</f>
        <v>0</v>
      </c>
      <c r="Q3920">
        <f>IF(AND(NOT(ISBLANK(ReconciliationData[[#This Row],[Billed_Units]])),ReconciliationData[[#This Row],[ordered_units]]&lt;&gt;ReconciliationData[[#This Row],[Billed_Units]]),1,0)</f>
        <v>0</v>
      </c>
      <c r="R392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0">
        <f>IF(AND(NOT(ISBLANK(ReconciliationData[[#This Row],[Contract_Price]])),ReconciliationData[[#This Row],[Billed_Price]]&lt;&gt;ReconciliationData[[#This Row],[Contract_Price]]),1,0)</f>
        <v>0</v>
      </c>
      <c r="T3920">
        <f>IF(AND(NOT(ISBLANK(ReconciliationData[[#This Row],[End_Date]])),ReconciliationData[[#This Row],[Order_Date]]&gt;ReconciliationData[[#This Row],[End_Date]]),1,0)</f>
        <v>0</v>
      </c>
      <c r="U3920">
        <f>IF(AND(NOT(ISBLANK(ReconciliationData[[#This Row],[last_return_date]])),ReconciliationData[[#This Row],[last_return_date]]&gt;ReconciliationData[[#This Row],[Order_Date]]+60),1,0)</f>
        <v>0</v>
      </c>
      <c r="V3920">
        <f>IF(ReconciliationData[[#This Row],[total_returned_units]]&gt;ReconciliationData[[#This Row],[ordered_units]],1,0)</f>
        <v>0</v>
      </c>
      <c r="W392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0">
        <f>ReconciliationData[[#This Row],[Billed_Units]]*ReconciliationData[[#This Row],[Billed_Price]]</f>
        <v>76123.824000000008</v>
      </c>
      <c r="Y3920">
        <f>ReconciliationData[[#This Row],[ordered_units]]*ReconciliationData[[#This Row],[List_Price]]</f>
        <v>76123.824000000008</v>
      </c>
      <c r="Z3920">
        <f>ReconciliationData[[#This Row],[billed_revenue]]-ReconciliationData[[#This Row],[expected_revenue]]</f>
        <v>0</v>
      </c>
      <c r="AA392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0" t="str">
        <f>IF(ReconciliationData[[#This Row],[severity_score]]=0,"LOW",
 IF(ReconciliationData[[#This Row],[severity_score]]&lt;=5,"MEDIUM","HIGH"))</f>
        <v>LOW</v>
      </c>
      <c r="AC3920" t="str">
        <f>TEXT(ReconciliationData[[#This Row],[Order_Date]],"YYYY-MM")</f>
        <v>2023-11</v>
      </c>
    </row>
    <row r="3921" spans="1:29">
      <c r="A3921" t="s">
        <v>9064</v>
      </c>
      <c r="B3921" s="1">
        <v>45423</v>
      </c>
      <c r="C3921" t="s">
        <v>5686</v>
      </c>
      <c r="D3921" t="s">
        <v>1238</v>
      </c>
      <c r="E3921">
        <v>24</v>
      </c>
      <c r="F3921" t="s">
        <v>9065</v>
      </c>
      <c r="G3921">
        <v>24</v>
      </c>
      <c r="H3921">
        <v>355.32000000000005</v>
      </c>
      <c r="N3921">
        <v>355.32000000000005</v>
      </c>
      <c r="O3921" s="1">
        <v>45058</v>
      </c>
      <c r="P3921">
        <f>IF(ISBLANK(ReconciliationData[[#This Row],[Invoice_ID]]),1,0)</f>
        <v>0</v>
      </c>
      <c r="Q3921">
        <f>IF(AND(NOT(ISBLANK(ReconciliationData[[#This Row],[Billed_Units]])),ReconciliationData[[#This Row],[ordered_units]]&lt;&gt;ReconciliationData[[#This Row],[Billed_Units]]),1,0)</f>
        <v>0</v>
      </c>
      <c r="R392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1">
        <f>IF(AND(NOT(ISBLANK(ReconciliationData[[#This Row],[Contract_Price]])),ReconciliationData[[#This Row],[Billed_Price]]&lt;&gt;ReconciliationData[[#This Row],[Contract_Price]]),1,0)</f>
        <v>0</v>
      </c>
      <c r="T3921">
        <f>IF(AND(NOT(ISBLANK(ReconciliationData[[#This Row],[End_Date]])),ReconciliationData[[#This Row],[Order_Date]]&gt;ReconciliationData[[#This Row],[End_Date]]),1,0)</f>
        <v>0</v>
      </c>
      <c r="U3921">
        <f>IF(AND(NOT(ISBLANK(ReconciliationData[[#This Row],[last_return_date]])),ReconciliationData[[#This Row],[last_return_date]]&gt;ReconciliationData[[#This Row],[Order_Date]]+60),1,0)</f>
        <v>0</v>
      </c>
      <c r="V3921">
        <f>IF(ReconciliationData[[#This Row],[total_returned_units]]&gt;ReconciliationData[[#This Row],[ordered_units]],1,0)</f>
        <v>0</v>
      </c>
      <c r="W392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1">
        <f>ReconciliationData[[#This Row],[Billed_Units]]*ReconciliationData[[#This Row],[Billed_Price]]</f>
        <v>8527.68</v>
      </c>
      <c r="Y3921">
        <f>ReconciliationData[[#This Row],[ordered_units]]*ReconciliationData[[#This Row],[List_Price]]</f>
        <v>8527.68</v>
      </c>
      <c r="Z3921">
        <f>ReconciliationData[[#This Row],[billed_revenue]]-ReconciliationData[[#This Row],[expected_revenue]]</f>
        <v>0</v>
      </c>
      <c r="AA392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1" t="str">
        <f>IF(ReconciliationData[[#This Row],[severity_score]]=0,"LOW",
 IF(ReconciliationData[[#This Row],[severity_score]]&lt;=5,"MEDIUM","HIGH"))</f>
        <v>LOW</v>
      </c>
      <c r="AC3921" t="str">
        <f>TEXT(ReconciliationData[[#This Row],[Order_Date]],"YYYY-MM")</f>
        <v>2024-05</v>
      </c>
    </row>
    <row r="3922" spans="1:29">
      <c r="A3922" t="s">
        <v>9066</v>
      </c>
      <c r="B3922" s="1">
        <v>44957</v>
      </c>
      <c r="C3922" t="s">
        <v>859</v>
      </c>
      <c r="D3922" t="s">
        <v>1671</v>
      </c>
      <c r="E3922">
        <v>128</v>
      </c>
      <c r="F3922" t="s">
        <v>9067</v>
      </c>
      <c r="G3922">
        <v>128</v>
      </c>
      <c r="H3922">
        <v>465.6096</v>
      </c>
      <c r="N3922">
        <v>465.6096</v>
      </c>
      <c r="O3922" s="1">
        <v>44810</v>
      </c>
      <c r="P3922">
        <f>IF(ISBLANK(ReconciliationData[[#This Row],[Invoice_ID]]),1,0)</f>
        <v>0</v>
      </c>
      <c r="Q3922">
        <f>IF(AND(NOT(ISBLANK(ReconciliationData[[#This Row],[Billed_Units]])),ReconciliationData[[#This Row],[ordered_units]]&lt;&gt;ReconciliationData[[#This Row],[Billed_Units]]),1,0)</f>
        <v>0</v>
      </c>
      <c r="R392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2">
        <f>IF(AND(NOT(ISBLANK(ReconciliationData[[#This Row],[Contract_Price]])),ReconciliationData[[#This Row],[Billed_Price]]&lt;&gt;ReconciliationData[[#This Row],[Contract_Price]]),1,0)</f>
        <v>0</v>
      </c>
      <c r="T3922">
        <f>IF(AND(NOT(ISBLANK(ReconciliationData[[#This Row],[End_Date]])),ReconciliationData[[#This Row],[Order_Date]]&gt;ReconciliationData[[#This Row],[End_Date]]),1,0)</f>
        <v>0</v>
      </c>
      <c r="U3922">
        <f>IF(AND(NOT(ISBLANK(ReconciliationData[[#This Row],[last_return_date]])),ReconciliationData[[#This Row],[last_return_date]]&gt;ReconciliationData[[#This Row],[Order_Date]]+60),1,0)</f>
        <v>0</v>
      </c>
      <c r="V3922">
        <f>IF(ReconciliationData[[#This Row],[total_returned_units]]&gt;ReconciliationData[[#This Row],[ordered_units]],1,0)</f>
        <v>0</v>
      </c>
      <c r="W392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2">
        <f>ReconciliationData[[#This Row],[Billed_Units]]*ReconciliationData[[#This Row],[Billed_Price]]</f>
        <v>59598.0288</v>
      </c>
      <c r="Y3922">
        <f>ReconciliationData[[#This Row],[ordered_units]]*ReconciliationData[[#This Row],[List_Price]]</f>
        <v>59598.0288</v>
      </c>
      <c r="Z3922">
        <f>ReconciliationData[[#This Row],[billed_revenue]]-ReconciliationData[[#This Row],[expected_revenue]]</f>
        <v>0</v>
      </c>
      <c r="AA392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2" t="str">
        <f>IF(ReconciliationData[[#This Row],[severity_score]]=0,"LOW",
 IF(ReconciliationData[[#This Row],[severity_score]]&lt;=5,"MEDIUM","HIGH"))</f>
        <v>LOW</v>
      </c>
      <c r="AC3922" t="str">
        <f>TEXT(ReconciliationData[[#This Row],[Order_Date]],"YYYY-MM")</f>
        <v>2023-01</v>
      </c>
    </row>
    <row r="3923" spans="1:29">
      <c r="A3923" t="s">
        <v>9068</v>
      </c>
      <c r="B3923" s="1">
        <v>45552</v>
      </c>
      <c r="C3923" t="s">
        <v>2809</v>
      </c>
      <c r="D3923" t="s">
        <v>930</v>
      </c>
      <c r="E3923">
        <v>146</v>
      </c>
      <c r="F3923" t="s">
        <v>9069</v>
      </c>
      <c r="G3923">
        <v>146</v>
      </c>
      <c r="H3923">
        <v>159.06059999999999</v>
      </c>
      <c r="N3923">
        <v>159.06059999999999</v>
      </c>
      <c r="O3923" s="1">
        <v>44944</v>
      </c>
      <c r="P3923">
        <f>IF(ISBLANK(ReconciliationData[[#This Row],[Invoice_ID]]),1,0)</f>
        <v>0</v>
      </c>
      <c r="Q3923">
        <f>IF(AND(NOT(ISBLANK(ReconciliationData[[#This Row],[Billed_Units]])),ReconciliationData[[#This Row],[ordered_units]]&lt;&gt;ReconciliationData[[#This Row],[Billed_Units]]),1,0)</f>
        <v>0</v>
      </c>
      <c r="R392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3">
        <f>IF(AND(NOT(ISBLANK(ReconciliationData[[#This Row],[Contract_Price]])),ReconciliationData[[#This Row],[Billed_Price]]&lt;&gt;ReconciliationData[[#This Row],[Contract_Price]]),1,0)</f>
        <v>0</v>
      </c>
      <c r="T3923">
        <f>IF(AND(NOT(ISBLANK(ReconciliationData[[#This Row],[End_Date]])),ReconciliationData[[#This Row],[Order_Date]]&gt;ReconciliationData[[#This Row],[End_Date]]),1,0)</f>
        <v>0</v>
      </c>
      <c r="U3923">
        <f>IF(AND(NOT(ISBLANK(ReconciliationData[[#This Row],[last_return_date]])),ReconciliationData[[#This Row],[last_return_date]]&gt;ReconciliationData[[#This Row],[Order_Date]]+60),1,0)</f>
        <v>0</v>
      </c>
      <c r="V3923">
        <f>IF(ReconciliationData[[#This Row],[total_returned_units]]&gt;ReconciliationData[[#This Row],[ordered_units]],1,0)</f>
        <v>0</v>
      </c>
      <c r="W392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3">
        <f>ReconciliationData[[#This Row],[Billed_Units]]*ReconciliationData[[#This Row],[Billed_Price]]</f>
        <v>23222.847599999997</v>
      </c>
      <c r="Y3923">
        <f>ReconciliationData[[#This Row],[ordered_units]]*ReconciliationData[[#This Row],[List_Price]]</f>
        <v>23222.847599999997</v>
      </c>
      <c r="Z3923">
        <f>ReconciliationData[[#This Row],[billed_revenue]]-ReconciliationData[[#This Row],[expected_revenue]]</f>
        <v>0</v>
      </c>
      <c r="AA392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3" t="str">
        <f>IF(ReconciliationData[[#This Row],[severity_score]]=0,"LOW",
 IF(ReconciliationData[[#This Row],[severity_score]]&lt;=5,"MEDIUM","HIGH"))</f>
        <v>LOW</v>
      </c>
      <c r="AC3923" t="str">
        <f>TEXT(ReconciliationData[[#This Row],[Order_Date]],"YYYY-MM")</f>
        <v>2024-09</v>
      </c>
    </row>
    <row r="3924" spans="1:29">
      <c r="A3924" t="s">
        <v>9070</v>
      </c>
      <c r="B3924" s="1">
        <v>45597</v>
      </c>
      <c r="C3924" t="s">
        <v>710</v>
      </c>
      <c r="D3924" t="s">
        <v>916</v>
      </c>
      <c r="E3924">
        <v>9</v>
      </c>
      <c r="F3924" t="s">
        <v>9071</v>
      </c>
      <c r="G3924">
        <v>9</v>
      </c>
      <c r="H3924">
        <v>1158.2643</v>
      </c>
      <c r="N3924">
        <v>1158.2643</v>
      </c>
      <c r="O3924" s="1">
        <v>45119</v>
      </c>
      <c r="P3924">
        <f>IF(ISBLANK(ReconciliationData[[#This Row],[Invoice_ID]]),1,0)</f>
        <v>0</v>
      </c>
      <c r="Q3924">
        <f>IF(AND(NOT(ISBLANK(ReconciliationData[[#This Row],[Billed_Units]])),ReconciliationData[[#This Row],[ordered_units]]&lt;&gt;ReconciliationData[[#This Row],[Billed_Units]]),1,0)</f>
        <v>0</v>
      </c>
      <c r="R392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4">
        <f>IF(AND(NOT(ISBLANK(ReconciliationData[[#This Row],[Contract_Price]])),ReconciliationData[[#This Row],[Billed_Price]]&lt;&gt;ReconciliationData[[#This Row],[Contract_Price]]),1,0)</f>
        <v>0</v>
      </c>
      <c r="T3924">
        <f>IF(AND(NOT(ISBLANK(ReconciliationData[[#This Row],[End_Date]])),ReconciliationData[[#This Row],[Order_Date]]&gt;ReconciliationData[[#This Row],[End_Date]]),1,0)</f>
        <v>0</v>
      </c>
      <c r="U3924">
        <f>IF(AND(NOT(ISBLANK(ReconciliationData[[#This Row],[last_return_date]])),ReconciliationData[[#This Row],[last_return_date]]&gt;ReconciliationData[[#This Row],[Order_Date]]+60),1,0)</f>
        <v>0</v>
      </c>
      <c r="V3924">
        <f>IF(ReconciliationData[[#This Row],[total_returned_units]]&gt;ReconciliationData[[#This Row],[ordered_units]],1,0)</f>
        <v>0</v>
      </c>
      <c r="W392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4">
        <f>ReconciliationData[[#This Row],[Billed_Units]]*ReconciliationData[[#This Row],[Billed_Price]]</f>
        <v>10424.378700000001</v>
      </c>
      <c r="Y3924">
        <f>ReconciliationData[[#This Row],[ordered_units]]*ReconciliationData[[#This Row],[List_Price]]</f>
        <v>10424.378700000001</v>
      </c>
      <c r="Z3924">
        <f>ReconciliationData[[#This Row],[billed_revenue]]-ReconciliationData[[#This Row],[expected_revenue]]</f>
        <v>0</v>
      </c>
      <c r="AA392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4" t="str">
        <f>IF(ReconciliationData[[#This Row],[severity_score]]=0,"LOW",
 IF(ReconciliationData[[#This Row],[severity_score]]&lt;=5,"MEDIUM","HIGH"))</f>
        <v>LOW</v>
      </c>
      <c r="AC3924" t="str">
        <f>TEXT(ReconciliationData[[#This Row],[Order_Date]],"YYYY-MM")</f>
        <v>2024-11</v>
      </c>
    </row>
    <row r="3925" spans="1:29">
      <c r="A3925" t="s">
        <v>9072</v>
      </c>
      <c r="B3925" s="1">
        <v>45393</v>
      </c>
      <c r="C3925" t="s">
        <v>4453</v>
      </c>
      <c r="D3925" t="s">
        <v>807</v>
      </c>
      <c r="E3925">
        <v>152</v>
      </c>
      <c r="F3925" t="s">
        <v>9073</v>
      </c>
      <c r="G3925">
        <v>152</v>
      </c>
      <c r="H3925">
        <v>383.63</v>
      </c>
      <c r="N3925">
        <v>383.63</v>
      </c>
      <c r="O3925" s="1">
        <v>45200</v>
      </c>
      <c r="P3925">
        <f>IF(ISBLANK(ReconciliationData[[#This Row],[Invoice_ID]]),1,0)</f>
        <v>0</v>
      </c>
      <c r="Q3925">
        <f>IF(AND(NOT(ISBLANK(ReconciliationData[[#This Row],[Billed_Units]])),ReconciliationData[[#This Row],[ordered_units]]&lt;&gt;ReconciliationData[[#This Row],[Billed_Units]]),1,0)</f>
        <v>0</v>
      </c>
      <c r="R392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5">
        <f>IF(AND(NOT(ISBLANK(ReconciliationData[[#This Row],[Contract_Price]])),ReconciliationData[[#This Row],[Billed_Price]]&lt;&gt;ReconciliationData[[#This Row],[Contract_Price]]),1,0)</f>
        <v>0</v>
      </c>
      <c r="T3925">
        <f>IF(AND(NOT(ISBLANK(ReconciliationData[[#This Row],[End_Date]])),ReconciliationData[[#This Row],[Order_Date]]&gt;ReconciliationData[[#This Row],[End_Date]]),1,0)</f>
        <v>0</v>
      </c>
      <c r="U3925">
        <f>IF(AND(NOT(ISBLANK(ReconciliationData[[#This Row],[last_return_date]])),ReconciliationData[[#This Row],[last_return_date]]&gt;ReconciliationData[[#This Row],[Order_Date]]+60),1,0)</f>
        <v>0</v>
      </c>
      <c r="V3925">
        <f>IF(ReconciliationData[[#This Row],[total_returned_units]]&gt;ReconciliationData[[#This Row],[ordered_units]],1,0)</f>
        <v>0</v>
      </c>
      <c r="W392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5">
        <f>ReconciliationData[[#This Row],[Billed_Units]]*ReconciliationData[[#This Row],[Billed_Price]]</f>
        <v>58311.76</v>
      </c>
      <c r="Y3925">
        <f>ReconciliationData[[#This Row],[ordered_units]]*ReconciliationData[[#This Row],[List_Price]]</f>
        <v>58311.76</v>
      </c>
      <c r="Z3925">
        <f>ReconciliationData[[#This Row],[billed_revenue]]-ReconciliationData[[#This Row],[expected_revenue]]</f>
        <v>0</v>
      </c>
      <c r="AA392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5" t="str">
        <f>IF(ReconciliationData[[#This Row],[severity_score]]=0,"LOW",
 IF(ReconciliationData[[#This Row],[severity_score]]&lt;=5,"MEDIUM","HIGH"))</f>
        <v>LOW</v>
      </c>
      <c r="AC3925" t="str">
        <f>TEXT(ReconciliationData[[#This Row],[Order_Date]],"YYYY-MM")</f>
        <v>2024-04</v>
      </c>
    </row>
    <row r="3926" spans="1:29">
      <c r="A3926" t="s">
        <v>9074</v>
      </c>
      <c r="B3926" s="1">
        <v>45159</v>
      </c>
      <c r="C3926" t="s">
        <v>3039</v>
      </c>
      <c r="D3926" t="s">
        <v>789</v>
      </c>
      <c r="E3926">
        <v>71</v>
      </c>
      <c r="F3926" t="s">
        <v>9075</v>
      </c>
      <c r="G3926">
        <v>71</v>
      </c>
      <c r="H3926">
        <v>1026.4637</v>
      </c>
      <c r="N3926">
        <v>1026.4637</v>
      </c>
      <c r="O3926" s="1">
        <v>44967</v>
      </c>
      <c r="P3926">
        <f>IF(ISBLANK(ReconciliationData[[#This Row],[Invoice_ID]]),1,0)</f>
        <v>0</v>
      </c>
      <c r="Q3926">
        <f>IF(AND(NOT(ISBLANK(ReconciliationData[[#This Row],[Billed_Units]])),ReconciliationData[[#This Row],[ordered_units]]&lt;&gt;ReconciliationData[[#This Row],[Billed_Units]]),1,0)</f>
        <v>0</v>
      </c>
      <c r="R392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6">
        <f>IF(AND(NOT(ISBLANK(ReconciliationData[[#This Row],[Contract_Price]])),ReconciliationData[[#This Row],[Billed_Price]]&lt;&gt;ReconciliationData[[#This Row],[Contract_Price]]),1,0)</f>
        <v>0</v>
      </c>
      <c r="T3926">
        <f>IF(AND(NOT(ISBLANK(ReconciliationData[[#This Row],[End_Date]])),ReconciliationData[[#This Row],[Order_Date]]&gt;ReconciliationData[[#This Row],[End_Date]]),1,0)</f>
        <v>0</v>
      </c>
      <c r="U3926">
        <f>IF(AND(NOT(ISBLANK(ReconciliationData[[#This Row],[last_return_date]])),ReconciliationData[[#This Row],[last_return_date]]&gt;ReconciliationData[[#This Row],[Order_Date]]+60),1,0)</f>
        <v>0</v>
      </c>
      <c r="V3926">
        <f>IF(ReconciliationData[[#This Row],[total_returned_units]]&gt;ReconciliationData[[#This Row],[ordered_units]],1,0)</f>
        <v>0</v>
      </c>
      <c r="W392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6">
        <f>ReconciliationData[[#This Row],[Billed_Units]]*ReconciliationData[[#This Row],[Billed_Price]]</f>
        <v>72878.922699999996</v>
      </c>
      <c r="Y3926">
        <f>ReconciliationData[[#This Row],[ordered_units]]*ReconciliationData[[#This Row],[List_Price]]</f>
        <v>72878.922699999996</v>
      </c>
      <c r="Z3926">
        <f>ReconciliationData[[#This Row],[billed_revenue]]-ReconciliationData[[#This Row],[expected_revenue]]</f>
        <v>0</v>
      </c>
      <c r="AA392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6" t="str">
        <f>IF(ReconciliationData[[#This Row],[severity_score]]=0,"LOW",
 IF(ReconciliationData[[#This Row],[severity_score]]&lt;=5,"MEDIUM","HIGH"))</f>
        <v>LOW</v>
      </c>
      <c r="AC3926" t="str">
        <f>TEXT(ReconciliationData[[#This Row],[Order_Date]],"YYYY-MM")</f>
        <v>2023-08</v>
      </c>
    </row>
    <row r="3927" spans="1:29">
      <c r="A3927" t="s">
        <v>9076</v>
      </c>
      <c r="B3927" s="1">
        <v>44963</v>
      </c>
      <c r="C3927" t="s">
        <v>1679</v>
      </c>
      <c r="D3927" t="s">
        <v>1775</v>
      </c>
      <c r="E3927">
        <v>110</v>
      </c>
      <c r="F3927" t="s">
        <v>9077</v>
      </c>
      <c r="G3927">
        <v>110</v>
      </c>
      <c r="H3927">
        <v>899.13</v>
      </c>
      <c r="N3927">
        <v>899.13</v>
      </c>
      <c r="O3927" s="1">
        <v>44564</v>
      </c>
      <c r="P3927">
        <f>IF(ISBLANK(ReconciliationData[[#This Row],[Invoice_ID]]),1,0)</f>
        <v>0</v>
      </c>
      <c r="Q3927">
        <f>IF(AND(NOT(ISBLANK(ReconciliationData[[#This Row],[Billed_Units]])),ReconciliationData[[#This Row],[ordered_units]]&lt;&gt;ReconciliationData[[#This Row],[Billed_Units]]),1,0)</f>
        <v>0</v>
      </c>
      <c r="R392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7">
        <f>IF(AND(NOT(ISBLANK(ReconciliationData[[#This Row],[Contract_Price]])),ReconciliationData[[#This Row],[Billed_Price]]&lt;&gt;ReconciliationData[[#This Row],[Contract_Price]]),1,0)</f>
        <v>0</v>
      </c>
      <c r="T3927">
        <f>IF(AND(NOT(ISBLANK(ReconciliationData[[#This Row],[End_Date]])),ReconciliationData[[#This Row],[Order_Date]]&gt;ReconciliationData[[#This Row],[End_Date]]),1,0)</f>
        <v>0</v>
      </c>
      <c r="U3927">
        <f>IF(AND(NOT(ISBLANK(ReconciliationData[[#This Row],[last_return_date]])),ReconciliationData[[#This Row],[last_return_date]]&gt;ReconciliationData[[#This Row],[Order_Date]]+60),1,0)</f>
        <v>0</v>
      </c>
      <c r="V3927">
        <f>IF(ReconciliationData[[#This Row],[total_returned_units]]&gt;ReconciliationData[[#This Row],[ordered_units]],1,0)</f>
        <v>0</v>
      </c>
      <c r="W392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7">
        <f>ReconciliationData[[#This Row],[Billed_Units]]*ReconciliationData[[#This Row],[Billed_Price]]</f>
        <v>98904.3</v>
      </c>
      <c r="Y3927">
        <f>ReconciliationData[[#This Row],[ordered_units]]*ReconciliationData[[#This Row],[List_Price]]</f>
        <v>98904.3</v>
      </c>
      <c r="Z3927">
        <f>ReconciliationData[[#This Row],[billed_revenue]]-ReconciliationData[[#This Row],[expected_revenue]]</f>
        <v>0</v>
      </c>
      <c r="AA392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7" t="str">
        <f>IF(ReconciliationData[[#This Row],[severity_score]]=0,"LOW",
 IF(ReconciliationData[[#This Row],[severity_score]]&lt;=5,"MEDIUM","HIGH"))</f>
        <v>LOW</v>
      </c>
      <c r="AC3927" t="str">
        <f>TEXT(ReconciliationData[[#This Row],[Order_Date]],"YYYY-MM")</f>
        <v>2023-02</v>
      </c>
    </row>
    <row r="3928" spans="1:29">
      <c r="A3928" t="s">
        <v>9078</v>
      </c>
      <c r="B3928" s="1">
        <v>45175</v>
      </c>
      <c r="C3928" t="s">
        <v>5118</v>
      </c>
      <c r="D3928" t="s">
        <v>1322</v>
      </c>
      <c r="E3928">
        <v>101</v>
      </c>
      <c r="F3928" t="s">
        <v>9079</v>
      </c>
      <c r="G3928">
        <v>101</v>
      </c>
      <c r="H3928">
        <v>69.45</v>
      </c>
      <c r="N3928">
        <v>69.45</v>
      </c>
      <c r="O3928" s="1">
        <v>45169</v>
      </c>
      <c r="P3928">
        <f>IF(ISBLANK(ReconciliationData[[#This Row],[Invoice_ID]]),1,0)</f>
        <v>0</v>
      </c>
      <c r="Q3928">
        <f>IF(AND(NOT(ISBLANK(ReconciliationData[[#This Row],[Billed_Units]])),ReconciliationData[[#This Row],[ordered_units]]&lt;&gt;ReconciliationData[[#This Row],[Billed_Units]]),1,0)</f>
        <v>0</v>
      </c>
      <c r="R392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8">
        <f>IF(AND(NOT(ISBLANK(ReconciliationData[[#This Row],[Contract_Price]])),ReconciliationData[[#This Row],[Billed_Price]]&lt;&gt;ReconciliationData[[#This Row],[Contract_Price]]),1,0)</f>
        <v>0</v>
      </c>
      <c r="T3928">
        <f>IF(AND(NOT(ISBLANK(ReconciliationData[[#This Row],[End_Date]])),ReconciliationData[[#This Row],[Order_Date]]&gt;ReconciliationData[[#This Row],[End_Date]]),1,0)</f>
        <v>0</v>
      </c>
      <c r="U3928">
        <f>IF(AND(NOT(ISBLANK(ReconciliationData[[#This Row],[last_return_date]])),ReconciliationData[[#This Row],[last_return_date]]&gt;ReconciliationData[[#This Row],[Order_Date]]+60),1,0)</f>
        <v>0</v>
      </c>
      <c r="V3928">
        <f>IF(ReconciliationData[[#This Row],[total_returned_units]]&gt;ReconciliationData[[#This Row],[ordered_units]],1,0)</f>
        <v>0</v>
      </c>
      <c r="W392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8">
        <f>ReconciliationData[[#This Row],[Billed_Units]]*ReconciliationData[[#This Row],[Billed_Price]]</f>
        <v>7014.4500000000007</v>
      </c>
      <c r="Y3928">
        <f>ReconciliationData[[#This Row],[ordered_units]]*ReconciliationData[[#This Row],[List_Price]]</f>
        <v>7014.4500000000007</v>
      </c>
      <c r="Z3928">
        <f>ReconciliationData[[#This Row],[billed_revenue]]-ReconciliationData[[#This Row],[expected_revenue]]</f>
        <v>0</v>
      </c>
      <c r="AA392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8" t="str">
        <f>IF(ReconciliationData[[#This Row],[severity_score]]=0,"LOW",
 IF(ReconciliationData[[#This Row],[severity_score]]&lt;=5,"MEDIUM","HIGH"))</f>
        <v>LOW</v>
      </c>
      <c r="AC3928" t="str">
        <f>TEXT(ReconciliationData[[#This Row],[Order_Date]],"YYYY-MM")</f>
        <v>2023-09</v>
      </c>
    </row>
    <row r="3929" spans="1:29">
      <c r="A3929" t="s">
        <v>9080</v>
      </c>
      <c r="B3929" s="1">
        <v>45407</v>
      </c>
      <c r="C3929" t="s">
        <v>2578</v>
      </c>
      <c r="D3929" t="s">
        <v>667</v>
      </c>
      <c r="E3929">
        <v>92</v>
      </c>
      <c r="F3929" t="s">
        <v>9081</v>
      </c>
      <c r="G3929">
        <v>92</v>
      </c>
      <c r="H3929">
        <v>989.96579999999994</v>
      </c>
      <c r="N3929">
        <v>989.96579999999994</v>
      </c>
      <c r="O3929" s="1">
        <v>44975</v>
      </c>
      <c r="P3929">
        <f>IF(ISBLANK(ReconciliationData[[#This Row],[Invoice_ID]]),1,0)</f>
        <v>0</v>
      </c>
      <c r="Q3929">
        <f>IF(AND(NOT(ISBLANK(ReconciliationData[[#This Row],[Billed_Units]])),ReconciliationData[[#This Row],[ordered_units]]&lt;&gt;ReconciliationData[[#This Row],[Billed_Units]]),1,0)</f>
        <v>0</v>
      </c>
      <c r="R392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29">
        <f>IF(AND(NOT(ISBLANK(ReconciliationData[[#This Row],[Contract_Price]])),ReconciliationData[[#This Row],[Billed_Price]]&lt;&gt;ReconciliationData[[#This Row],[Contract_Price]]),1,0)</f>
        <v>0</v>
      </c>
      <c r="T3929">
        <f>IF(AND(NOT(ISBLANK(ReconciliationData[[#This Row],[End_Date]])),ReconciliationData[[#This Row],[Order_Date]]&gt;ReconciliationData[[#This Row],[End_Date]]),1,0)</f>
        <v>0</v>
      </c>
      <c r="U3929">
        <f>IF(AND(NOT(ISBLANK(ReconciliationData[[#This Row],[last_return_date]])),ReconciliationData[[#This Row],[last_return_date]]&gt;ReconciliationData[[#This Row],[Order_Date]]+60),1,0)</f>
        <v>0</v>
      </c>
      <c r="V3929">
        <f>IF(ReconciliationData[[#This Row],[total_returned_units]]&gt;ReconciliationData[[#This Row],[ordered_units]],1,0)</f>
        <v>0</v>
      </c>
      <c r="W392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29">
        <f>ReconciliationData[[#This Row],[Billed_Units]]*ReconciliationData[[#This Row],[Billed_Price]]</f>
        <v>91076.853600000002</v>
      </c>
      <c r="Y3929">
        <f>ReconciliationData[[#This Row],[ordered_units]]*ReconciliationData[[#This Row],[List_Price]]</f>
        <v>91076.853600000002</v>
      </c>
      <c r="Z3929">
        <f>ReconciliationData[[#This Row],[billed_revenue]]-ReconciliationData[[#This Row],[expected_revenue]]</f>
        <v>0</v>
      </c>
      <c r="AA392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29" t="str">
        <f>IF(ReconciliationData[[#This Row],[severity_score]]=0,"LOW",
 IF(ReconciliationData[[#This Row],[severity_score]]&lt;=5,"MEDIUM","HIGH"))</f>
        <v>LOW</v>
      </c>
      <c r="AC3929" t="str">
        <f>TEXT(ReconciliationData[[#This Row],[Order_Date]],"YYYY-MM")</f>
        <v>2024-04</v>
      </c>
    </row>
    <row r="3930" spans="1:29">
      <c r="A3930" t="s">
        <v>9082</v>
      </c>
      <c r="B3930" s="1">
        <v>45012</v>
      </c>
      <c r="C3930" t="s">
        <v>1280</v>
      </c>
      <c r="D3930" t="s">
        <v>533</v>
      </c>
      <c r="E3930">
        <v>90</v>
      </c>
      <c r="F3930" t="s">
        <v>9083</v>
      </c>
      <c r="G3930">
        <v>90</v>
      </c>
      <c r="H3930">
        <v>859.25750000000005</v>
      </c>
      <c r="N3930">
        <v>859.25750000000005</v>
      </c>
      <c r="O3930" s="1">
        <v>44782</v>
      </c>
      <c r="P3930">
        <f>IF(ISBLANK(ReconciliationData[[#This Row],[Invoice_ID]]),1,0)</f>
        <v>0</v>
      </c>
      <c r="Q3930">
        <f>IF(AND(NOT(ISBLANK(ReconciliationData[[#This Row],[Billed_Units]])),ReconciliationData[[#This Row],[ordered_units]]&lt;&gt;ReconciliationData[[#This Row],[Billed_Units]]),1,0)</f>
        <v>0</v>
      </c>
      <c r="R393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0">
        <f>IF(AND(NOT(ISBLANK(ReconciliationData[[#This Row],[Contract_Price]])),ReconciliationData[[#This Row],[Billed_Price]]&lt;&gt;ReconciliationData[[#This Row],[Contract_Price]]),1,0)</f>
        <v>0</v>
      </c>
      <c r="T3930">
        <f>IF(AND(NOT(ISBLANK(ReconciliationData[[#This Row],[End_Date]])),ReconciliationData[[#This Row],[Order_Date]]&gt;ReconciliationData[[#This Row],[End_Date]]),1,0)</f>
        <v>0</v>
      </c>
      <c r="U3930">
        <f>IF(AND(NOT(ISBLANK(ReconciliationData[[#This Row],[last_return_date]])),ReconciliationData[[#This Row],[last_return_date]]&gt;ReconciliationData[[#This Row],[Order_Date]]+60),1,0)</f>
        <v>0</v>
      </c>
      <c r="V3930">
        <f>IF(ReconciliationData[[#This Row],[total_returned_units]]&gt;ReconciliationData[[#This Row],[ordered_units]],1,0)</f>
        <v>0</v>
      </c>
      <c r="W393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30">
        <f>ReconciliationData[[#This Row],[Billed_Units]]*ReconciliationData[[#This Row],[Billed_Price]]</f>
        <v>77333.175000000003</v>
      </c>
      <c r="Y3930">
        <f>ReconciliationData[[#This Row],[ordered_units]]*ReconciliationData[[#This Row],[List_Price]]</f>
        <v>77333.175000000003</v>
      </c>
      <c r="Z3930">
        <f>ReconciliationData[[#This Row],[billed_revenue]]-ReconciliationData[[#This Row],[expected_revenue]]</f>
        <v>0</v>
      </c>
      <c r="AA393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30" t="str">
        <f>IF(ReconciliationData[[#This Row],[severity_score]]=0,"LOW",
 IF(ReconciliationData[[#This Row],[severity_score]]&lt;=5,"MEDIUM","HIGH"))</f>
        <v>LOW</v>
      </c>
      <c r="AC3930" t="str">
        <f>TEXT(ReconciliationData[[#This Row],[Order_Date]],"YYYY-MM")</f>
        <v>2023-03</v>
      </c>
    </row>
    <row r="3931" spans="1:29">
      <c r="A3931" t="s">
        <v>9084</v>
      </c>
      <c r="B3931" s="1">
        <v>45440</v>
      </c>
      <c r="C3931" t="s">
        <v>4848</v>
      </c>
      <c r="D3931" t="s">
        <v>873</v>
      </c>
      <c r="E3931">
        <v>29</v>
      </c>
      <c r="F3931" t="s">
        <v>9085</v>
      </c>
      <c r="G3931">
        <v>39</v>
      </c>
      <c r="H3931">
        <v>956.41030000000001</v>
      </c>
      <c r="N3931">
        <v>956.41030000000001</v>
      </c>
      <c r="O3931" s="1">
        <v>45168</v>
      </c>
      <c r="P3931">
        <f>IF(ISBLANK(ReconciliationData[[#This Row],[Invoice_ID]]),1,0)</f>
        <v>0</v>
      </c>
      <c r="Q3931">
        <f>IF(AND(NOT(ISBLANK(ReconciliationData[[#This Row],[Billed_Units]])),ReconciliationData[[#This Row],[ordered_units]]&lt;&gt;ReconciliationData[[#This Row],[Billed_Units]]),1,0)</f>
        <v>1</v>
      </c>
      <c r="R393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1">
        <f>IF(AND(NOT(ISBLANK(ReconciliationData[[#This Row],[Contract_Price]])),ReconciliationData[[#This Row],[Billed_Price]]&lt;&gt;ReconciliationData[[#This Row],[Contract_Price]]),1,0)</f>
        <v>0</v>
      </c>
      <c r="T3931">
        <f>IF(AND(NOT(ISBLANK(ReconciliationData[[#This Row],[End_Date]])),ReconciliationData[[#This Row],[Order_Date]]&gt;ReconciliationData[[#This Row],[End_Date]]),1,0)</f>
        <v>0</v>
      </c>
      <c r="U3931">
        <f>IF(AND(NOT(ISBLANK(ReconciliationData[[#This Row],[last_return_date]])),ReconciliationData[[#This Row],[last_return_date]]&gt;ReconciliationData[[#This Row],[Order_Date]]+60),1,0)</f>
        <v>0</v>
      </c>
      <c r="V3931">
        <f>IF(ReconciliationData[[#This Row],[total_returned_units]]&gt;ReconciliationData[[#This Row],[ordered_units]],1,0)</f>
        <v>0</v>
      </c>
      <c r="W393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931">
        <f>ReconciliationData[[#This Row],[Billed_Units]]*ReconciliationData[[#This Row],[Billed_Price]]</f>
        <v>37300.001700000001</v>
      </c>
      <c r="Y3931">
        <f>ReconciliationData[[#This Row],[ordered_units]]*ReconciliationData[[#This Row],[List_Price]]</f>
        <v>27735.898700000002</v>
      </c>
      <c r="Z3931">
        <f>ReconciliationData[[#This Row],[billed_revenue]]-ReconciliationData[[#This Row],[expected_revenue]]</f>
        <v>9564.1029999999992</v>
      </c>
      <c r="AA393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931" t="str">
        <f>IF(ReconciliationData[[#This Row],[severity_score]]=0,"LOW",
 IF(ReconciliationData[[#This Row],[severity_score]]&lt;=5,"MEDIUM","HIGH"))</f>
        <v>HIGH</v>
      </c>
      <c r="AC3931" t="str">
        <f>TEXT(ReconciliationData[[#This Row],[Order_Date]],"YYYY-MM")</f>
        <v>2024-05</v>
      </c>
    </row>
    <row r="3932" spans="1:29">
      <c r="A3932" t="s">
        <v>9086</v>
      </c>
      <c r="B3932" s="1">
        <v>45145</v>
      </c>
      <c r="C3932" t="s">
        <v>592</v>
      </c>
      <c r="D3932" t="s">
        <v>337</v>
      </c>
      <c r="E3932">
        <v>108</v>
      </c>
      <c r="F3932" t="s">
        <v>9087</v>
      </c>
      <c r="G3932">
        <v>108</v>
      </c>
      <c r="H3932">
        <v>1040.9412</v>
      </c>
      <c r="N3932">
        <v>1040.9412</v>
      </c>
      <c r="O3932" s="1">
        <v>44983</v>
      </c>
      <c r="P3932">
        <f>IF(ISBLANK(ReconciliationData[[#This Row],[Invoice_ID]]),1,0)</f>
        <v>0</v>
      </c>
      <c r="Q3932">
        <f>IF(AND(NOT(ISBLANK(ReconciliationData[[#This Row],[Billed_Units]])),ReconciliationData[[#This Row],[ordered_units]]&lt;&gt;ReconciliationData[[#This Row],[Billed_Units]]),1,0)</f>
        <v>0</v>
      </c>
      <c r="R393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2">
        <f>IF(AND(NOT(ISBLANK(ReconciliationData[[#This Row],[Contract_Price]])),ReconciliationData[[#This Row],[Billed_Price]]&lt;&gt;ReconciliationData[[#This Row],[Contract_Price]]),1,0)</f>
        <v>0</v>
      </c>
      <c r="T3932">
        <f>IF(AND(NOT(ISBLANK(ReconciliationData[[#This Row],[End_Date]])),ReconciliationData[[#This Row],[Order_Date]]&gt;ReconciliationData[[#This Row],[End_Date]]),1,0)</f>
        <v>0</v>
      </c>
      <c r="U3932">
        <f>IF(AND(NOT(ISBLANK(ReconciliationData[[#This Row],[last_return_date]])),ReconciliationData[[#This Row],[last_return_date]]&gt;ReconciliationData[[#This Row],[Order_Date]]+60),1,0)</f>
        <v>0</v>
      </c>
      <c r="V3932">
        <f>IF(ReconciliationData[[#This Row],[total_returned_units]]&gt;ReconciliationData[[#This Row],[ordered_units]],1,0)</f>
        <v>0</v>
      </c>
      <c r="W393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32">
        <f>ReconciliationData[[#This Row],[Billed_Units]]*ReconciliationData[[#This Row],[Billed_Price]]</f>
        <v>112421.6496</v>
      </c>
      <c r="Y3932">
        <f>ReconciliationData[[#This Row],[ordered_units]]*ReconciliationData[[#This Row],[List_Price]]</f>
        <v>112421.6496</v>
      </c>
      <c r="Z3932">
        <f>ReconciliationData[[#This Row],[billed_revenue]]-ReconciliationData[[#This Row],[expected_revenue]]</f>
        <v>0</v>
      </c>
      <c r="AA393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32" t="str">
        <f>IF(ReconciliationData[[#This Row],[severity_score]]=0,"LOW",
 IF(ReconciliationData[[#This Row],[severity_score]]&lt;=5,"MEDIUM","HIGH"))</f>
        <v>LOW</v>
      </c>
      <c r="AC3932" t="str">
        <f>TEXT(ReconciliationData[[#This Row],[Order_Date]],"YYYY-MM")</f>
        <v>2023-08</v>
      </c>
    </row>
    <row r="3933" spans="1:29">
      <c r="A3933" t="s">
        <v>9088</v>
      </c>
      <c r="B3933" s="1">
        <v>45368</v>
      </c>
      <c r="C3933" t="s">
        <v>803</v>
      </c>
      <c r="D3933" t="s">
        <v>512</v>
      </c>
      <c r="E3933">
        <v>80</v>
      </c>
      <c r="F3933" t="s">
        <v>9089</v>
      </c>
      <c r="G3933">
        <v>80</v>
      </c>
      <c r="H3933">
        <v>211.68960000000001</v>
      </c>
      <c r="N3933">
        <v>211.68960000000001</v>
      </c>
      <c r="O3933" s="1">
        <v>45129</v>
      </c>
      <c r="P3933">
        <f>IF(ISBLANK(ReconciliationData[[#This Row],[Invoice_ID]]),1,0)</f>
        <v>0</v>
      </c>
      <c r="Q3933">
        <f>IF(AND(NOT(ISBLANK(ReconciliationData[[#This Row],[Billed_Units]])),ReconciliationData[[#This Row],[ordered_units]]&lt;&gt;ReconciliationData[[#This Row],[Billed_Units]]),1,0)</f>
        <v>0</v>
      </c>
      <c r="R393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3">
        <f>IF(AND(NOT(ISBLANK(ReconciliationData[[#This Row],[Contract_Price]])),ReconciliationData[[#This Row],[Billed_Price]]&lt;&gt;ReconciliationData[[#This Row],[Contract_Price]]),1,0)</f>
        <v>0</v>
      </c>
      <c r="T3933">
        <f>IF(AND(NOT(ISBLANK(ReconciliationData[[#This Row],[End_Date]])),ReconciliationData[[#This Row],[Order_Date]]&gt;ReconciliationData[[#This Row],[End_Date]]),1,0)</f>
        <v>0</v>
      </c>
      <c r="U3933">
        <f>IF(AND(NOT(ISBLANK(ReconciliationData[[#This Row],[last_return_date]])),ReconciliationData[[#This Row],[last_return_date]]&gt;ReconciliationData[[#This Row],[Order_Date]]+60),1,0)</f>
        <v>0</v>
      </c>
      <c r="V3933">
        <f>IF(ReconciliationData[[#This Row],[total_returned_units]]&gt;ReconciliationData[[#This Row],[ordered_units]],1,0)</f>
        <v>0</v>
      </c>
      <c r="W393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33">
        <f>ReconciliationData[[#This Row],[Billed_Units]]*ReconciliationData[[#This Row],[Billed_Price]]</f>
        <v>16935.168000000001</v>
      </c>
      <c r="Y3933">
        <f>ReconciliationData[[#This Row],[ordered_units]]*ReconciliationData[[#This Row],[List_Price]]</f>
        <v>16935.168000000001</v>
      </c>
      <c r="Z3933">
        <f>ReconciliationData[[#This Row],[billed_revenue]]-ReconciliationData[[#This Row],[expected_revenue]]</f>
        <v>0</v>
      </c>
      <c r="AA393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33" t="str">
        <f>IF(ReconciliationData[[#This Row],[severity_score]]=0,"LOW",
 IF(ReconciliationData[[#This Row],[severity_score]]&lt;=5,"MEDIUM","HIGH"))</f>
        <v>LOW</v>
      </c>
      <c r="AC3933" t="str">
        <f>TEXT(ReconciliationData[[#This Row],[Order_Date]],"YYYY-MM")</f>
        <v>2024-03</v>
      </c>
    </row>
    <row r="3934" spans="1:29">
      <c r="A3934" t="s">
        <v>9090</v>
      </c>
      <c r="B3934" s="1">
        <v>45510</v>
      </c>
      <c r="C3934" t="s">
        <v>3632</v>
      </c>
      <c r="D3934" t="s">
        <v>494</v>
      </c>
      <c r="E3934">
        <v>109</v>
      </c>
      <c r="F3934" t="s">
        <v>9091</v>
      </c>
      <c r="G3934">
        <v>109</v>
      </c>
      <c r="H3934">
        <v>262.37120000000004</v>
      </c>
      <c r="N3934">
        <v>262.37120000000004</v>
      </c>
      <c r="O3934" s="1">
        <v>45105</v>
      </c>
      <c r="P3934">
        <f>IF(ISBLANK(ReconciliationData[[#This Row],[Invoice_ID]]),1,0)</f>
        <v>0</v>
      </c>
      <c r="Q3934">
        <f>IF(AND(NOT(ISBLANK(ReconciliationData[[#This Row],[Billed_Units]])),ReconciliationData[[#This Row],[ordered_units]]&lt;&gt;ReconciliationData[[#This Row],[Billed_Units]]),1,0)</f>
        <v>0</v>
      </c>
      <c r="R393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4">
        <f>IF(AND(NOT(ISBLANK(ReconciliationData[[#This Row],[Contract_Price]])),ReconciliationData[[#This Row],[Billed_Price]]&lt;&gt;ReconciliationData[[#This Row],[Contract_Price]]),1,0)</f>
        <v>0</v>
      </c>
      <c r="T3934">
        <f>IF(AND(NOT(ISBLANK(ReconciliationData[[#This Row],[End_Date]])),ReconciliationData[[#This Row],[Order_Date]]&gt;ReconciliationData[[#This Row],[End_Date]]),1,0)</f>
        <v>0</v>
      </c>
      <c r="U3934">
        <f>IF(AND(NOT(ISBLANK(ReconciliationData[[#This Row],[last_return_date]])),ReconciliationData[[#This Row],[last_return_date]]&gt;ReconciliationData[[#This Row],[Order_Date]]+60),1,0)</f>
        <v>0</v>
      </c>
      <c r="V3934">
        <f>IF(ReconciliationData[[#This Row],[total_returned_units]]&gt;ReconciliationData[[#This Row],[ordered_units]],1,0)</f>
        <v>0</v>
      </c>
      <c r="W393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34">
        <f>ReconciliationData[[#This Row],[Billed_Units]]*ReconciliationData[[#This Row],[Billed_Price]]</f>
        <v>28598.460800000004</v>
      </c>
      <c r="Y3934">
        <f>ReconciliationData[[#This Row],[ordered_units]]*ReconciliationData[[#This Row],[List_Price]]</f>
        <v>28598.460800000004</v>
      </c>
      <c r="Z3934">
        <f>ReconciliationData[[#This Row],[billed_revenue]]-ReconciliationData[[#This Row],[expected_revenue]]</f>
        <v>0</v>
      </c>
      <c r="AA393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34" t="str">
        <f>IF(ReconciliationData[[#This Row],[severity_score]]=0,"LOW",
 IF(ReconciliationData[[#This Row],[severity_score]]&lt;=5,"MEDIUM","HIGH"))</f>
        <v>LOW</v>
      </c>
      <c r="AC3934" t="str">
        <f>TEXT(ReconciliationData[[#This Row],[Order_Date]],"YYYY-MM")</f>
        <v>2024-08</v>
      </c>
    </row>
    <row r="3935" spans="1:29">
      <c r="A3935" t="s">
        <v>9092</v>
      </c>
      <c r="B3935" s="1">
        <v>45143</v>
      </c>
      <c r="C3935" t="s">
        <v>1220</v>
      </c>
      <c r="D3935" t="s">
        <v>694</v>
      </c>
      <c r="E3935">
        <v>190</v>
      </c>
      <c r="F3935" t="s">
        <v>9093</v>
      </c>
      <c r="G3935">
        <v>190</v>
      </c>
      <c r="H3935">
        <v>618.375</v>
      </c>
      <c r="N3935">
        <v>618.375</v>
      </c>
      <c r="O3935" s="1">
        <v>45124</v>
      </c>
      <c r="P3935">
        <f>IF(ISBLANK(ReconciliationData[[#This Row],[Invoice_ID]]),1,0)</f>
        <v>0</v>
      </c>
      <c r="Q3935">
        <f>IF(AND(NOT(ISBLANK(ReconciliationData[[#This Row],[Billed_Units]])),ReconciliationData[[#This Row],[ordered_units]]&lt;&gt;ReconciliationData[[#This Row],[Billed_Units]]),1,0)</f>
        <v>0</v>
      </c>
      <c r="R393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5">
        <f>IF(AND(NOT(ISBLANK(ReconciliationData[[#This Row],[Contract_Price]])),ReconciliationData[[#This Row],[Billed_Price]]&lt;&gt;ReconciliationData[[#This Row],[Contract_Price]]),1,0)</f>
        <v>0</v>
      </c>
      <c r="T3935">
        <f>IF(AND(NOT(ISBLANK(ReconciliationData[[#This Row],[End_Date]])),ReconciliationData[[#This Row],[Order_Date]]&gt;ReconciliationData[[#This Row],[End_Date]]),1,0)</f>
        <v>0</v>
      </c>
      <c r="U3935">
        <f>IF(AND(NOT(ISBLANK(ReconciliationData[[#This Row],[last_return_date]])),ReconciliationData[[#This Row],[last_return_date]]&gt;ReconciliationData[[#This Row],[Order_Date]]+60),1,0)</f>
        <v>0</v>
      </c>
      <c r="V3935">
        <f>IF(ReconciliationData[[#This Row],[total_returned_units]]&gt;ReconciliationData[[#This Row],[ordered_units]],1,0)</f>
        <v>0</v>
      </c>
      <c r="W393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35">
        <f>ReconciliationData[[#This Row],[Billed_Units]]*ReconciliationData[[#This Row],[Billed_Price]]</f>
        <v>117491.25</v>
      </c>
      <c r="Y3935">
        <f>ReconciliationData[[#This Row],[ordered_units]]*ReconciliationData[[#This Row],[List_Price]]</f>
        <v>117491.25</v>
      </c>
      <c r="Z3935">
        <f>ReconciliationData[[#This Row],[billed_revenue]]-ReconciliationData[[#This Row],[expected_revenue]]</f>
        <v>0</v>
      </c>
      <c r="AA393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35" t="str">
        <f>IF(ReconciliationData[[#This Row],[severity_score]]=0,"LOW",
 IF(ReconciliationData[[#This Row],[severity_score]]&lt;=5,"MEDIUM","HIGH"))</f>
        <v>LOW</v>
      </c>
      <c r="AC3935" t="str">
        <f>TEXT(ReconciliationData[[#This Row],[Order_Date]],"YYYY-MM")</f>
        <v>2023-08</v>
      </c>
    </row>
    <row r="3936" spans="1:29">
      <c r="A3936" t="s">
        <v>9094</v>
      </c>
      <c r="B3936" s="1">
        <v>45343</v>
      </c>
      <c r="C3936" t="s">
        <v>3206</v>
      </c>
      <c r="D3936" t="s">
        <v>684</v>
      </c>
      <c r="E3936">
        <v>98</v>
      </c>
      <c r="F3936" t="s">
        <v>9095</v>
      </c>
      <c r="G3936">
        <v>98</v>
      </c>
      <c r="H3936">
        <v>75.620999999999995</v>
      </c>
      <c r="N3936">
        <v>75.620999999999995</v>
      </c>
      <c r="O3936" s="1">
        <v>45108</v>
      </c>
      <c r="P3936">
        <f>IF(ISBLANK(ReconciliationData[[#This Row],[Invoice_ID]]),1,0)</f>
        <v>0</v>
      </c>
      <c r="Q3936">
        <f>IF(AND(NOT(ISBLANK(ReconciliationData[[#This Row],[Billed_Units]])),ReconciliationData[[#This Row],[ordered_units]]&lt;&gt;ReconciliationData[[#This Row],[Billed_Units]]),1,0)</f>
        <v>0</v>
      </c>
      <c r="R393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6">
        <f>IF(AND(NOT(ISBLANK(ReconciliationData[[#This Row],[Contract_Price]])),ReconciliationData[[#This Row],[Billed_Price]]&lt;&gt;ReconciliationData[[#This Row],[Contract_Price]]),1,0)</f>
        <v>0</v>
      </c>
      <c r="T3936">
        <f>IF(AND(NOT(ISBLANK(ReconciliationData[[#This Row],[End_Date]])),ReconciliationData[[#This Row],[Order_Date]]&gt;ReconciliationData[[#This Row],[End_Date]]),1,0)</f>
        <v>0</v>
      </c>
      <c r="U3936">
        <f>IF(AND(NOT(ISBLANK(ReconciliationData[[#This Row],[last_return_date]])),ReconciliationData[[#This Row],[last_return_date]]&gt;ReconciliationData[[#This Row],[Order_Date]]+60),1,0)</f>
        <v>0</v>
      </c>
      <c r="V3936">
        <f>IF(ReconciliationData[[#This Row],[total_returned_units]]&gt;ReconciliationData[[#This Row],[ordered_units]],1,0)</f>
        <v>0</v>
      </c>
      <c r="W393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36">
        <f>ReconciliationData[[#This Row],[Billed_Units]]*ReconciliationData[[#This Row],[Billed_Price]]</f>
        <v>7410.8579999999993</v>
      </c>
      <c r="Y3936">
        <f>ReconciliationData[[#This Row],[ordered_units]]*ReconciliationData[[#This Row],[List_Price]]</f>
        <v>7410.8579999999993</v>
      </c>
      <c r="Z3936">
        <f>ReconciliationData[[#This Row],[billed_revenue]]-ReconciliationData[[#This Row],[expected_revenue]]</f>
        <v>0</v>
      </c>
      <c r="AA393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36" t="str">
        <f>IF(ReconciliationData[[#This Row],[severity_score]]=0,"LOW",
 IF(ReconciliationData[[#This Row],[severity_score]]&lt;=5,"MEDIUM","HIGH"))</f>
        <v>LOW</v>
      </c>
      <c r="AC3936" t="str">
        <f>TEXT(ReconciliationData[[#This Row],[Order_Date]],"YYYY-MM")</f>
        <v>2024-02</v>
      </c>
    </row>
    <row r="3937" spans="1:29">
      <c r="A3937" t="s">
        <v>9096</v>
      </c>
      <c r="B3937" s="1">
        <v>45285</v>
      </c>
      <c r="C3937" t="s">
        <v>1215</v>
      </c>
      <c r="D3937" t="s">
        <v>349</v>
      </c>
      <c r="E3937">
        <v>83</v>
      </c>
      <c r="F3937" t="s">
        <v>9097</v>
      </c>
      <c r="G3937">
        <v>83</v>
      </c>
      <c r="H3937">
        <v>61.845300000000002</v>
      </c>
      <c r="N3937">
        <v>61.845300000000002</v>
      </c>
      <c r="O3937" s="1">
        <v>45226</v>
      </c>
      <c r="P3937">
        <f>IF(ISBLANK(ReconciliationData[[#This Row],[Invoice_ID]]),1,0)</f>
        <v>0</v>
      </c>
      <c r="Q3937">
        <f>IF(AND(NOT(ISBLANK(ReconciliationData[[#This Row],[Billed_Units]])),ReconciliationData[[#This Row],[ordered_units]]&lt;&gt;ReconciliationData[[#This Row],[Billed_Units]]),1,0)</f>
        <v>0</v>
      </c>
      <c r="R393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7">
        <f>IF(AND(NOT(ISBLANK(ReconciliationData[[#This Row],[Contract_Price]])),ReconciliationData[[#This Row],[Billed_Price]]&lt;&gt;ReconciliationData[[#This Row],[Contract_Price]]),1,0)</f>
        <v>0</v>
      </c>
      <c r="T3937">
        <f>IF(AND(NOT(ISBLANK(ReconciliationData[[#This Row],[End_Date]])),ReconciliationData[[#This Row],[Order_Date]]&gt;ReconciliationData[[#This Row],[End_Date]]),1,0)</f>
        <v>0</v>
      </c>
      <c r="U3937">
        <f>IF(AND(NOT(ISBLANK(ReconciliationData[[#This Row],[last_return_date]])),ReconciliationData[[#This Row],[last_return_date]]&gt;ReconciliationData[[#This Row],[Order_Date]]+60),1,0)</f>
        <v>0</v>
      </c>
      <c r="V3937">
        <f>IF(ReconciliationData[[#This Row],[total_returned_units]]&gt;ReconciliationData[[#This Row],[ordered_units]],1,0)</f>
        <v>0</v>
      </c>
      <c r="W393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37">
        <f>ReconciliationData[[#This Row],[Billed_Units]]*ReconciliationData[[#This Row],[Billed_Price]]</f>
        <v>5133.1599000000006</v>
      </c>
      <c r="Y3937">
        <f>ReconciliationData[[#This Row],[ordered_units]]*ReconciliationData[[#This Row],[List_Price]]</f>
        <v>5133.1599000000006</v>
      </c>
      <c r="Z3937">
        <f>ReconciliationData[[#This Row],[billed_revenue]]-ReconciliationData[[#This Row],[expected_revenue]]</f>
        <v>0</v>
      </c>
      <c r="AA393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37" t="str">
        <f>IF(ReconciliationData[[#This Row],[severity_score]]=0,"LOW",
 IF(ReconciliationData[[#This Row],[severity_score]]&lt;=5,"MEDIUM","HIGH"))</f>
        <v>LOW</v>
      </c>
      <c r="AC3937" t="str">
        <f>TEXT(ReconciliationData[[#This Row],[Order_Date]],"YYYY-MM")</f>
        <v>2023-12</v>
      </c>
    </row>
    <row r="3938" spans="1:29">
      <c r="A3938" t="s">
        <v>9098</v>
      </c>
      <c r="B3938" s="1">
        <v>45069</v>
      </c>
      <c r="C3938" t="s">
        <v>5193</v>
      </c>
      <c r="D3938" t="s">
        <v>1470</v>
      </c>
      <c r="E3938">
        <v>11</v>
      </c>
      <c r="F3938" t="s">
        <v>9099</v>
      </c>
      <c r="G3938">
        <v>11</v>
      </c>
      <c r="H3938">
        <v>690.05370000000005</v>
      </c>
      <c r="N3938">
        <v>690.05370000000005</v>
      </c>
      <c r="O3938" s="1">
        <v>44976</v>
      </c>
      <c r="P3938">
        <f>IF(ISBLANK(ReconciliationData[[#This Row],[Invoice_ID]]),1,0)</f>
        <v>0</v>
      </c>
      <c r="Q3938">
        <f>IF(AND(NOT(ISBLANK(ReconciliationData[[#This Row],[Billed_Units]])),ReconciliationData[[#This Row],[ordered_units]]&lt;&gt;ReconciliationData[[#This Row],[Billed_Units]]),1,0)</f>
        <v>0</v>
      </c>
      <c r="R393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8">
        <f>IF(AND(NOT(ISBLANK(ReconciliationData[[#This Row],[Contract_Price]])),ReconciliationData[[#This Row],[Billed_Price]]&lt;&gt;ReconciliationData[[#This Row],[Contract_Price]]),1,0)</f>
        <v>0</v>
      </c>
      <c r="T3938">
        <f>IF(AND(NOT(ISBLANK(ReconciliationData[[#This Row],[End_Date]])),ReconciliationData[[#This Row],[Order_Date]]&gt;ReconciliationData[[#This Row],[End_Date]]),1,0)</f>
        <v>0</v>
      </c>
      <c r="U3938">
        <f>IF(AND(NOT(ISBLANK(ReconciliationData[[#This Row],[last_return_date]])),ReconciliationData[[#This Row],[last_return_date]]&gt;ReconciliationData[[#This Row],[Order_Date]]+60),1,0)</f>
        <v>0</v>
      </c>
      <c r="V3938">
        <f>IF(ReconciliationData[[#This Row],[total_returned_units]]&gt;ReconciliationData[[#This Row],[ordered_units]],1,0)</f>
        <v>0</v>
      </c>
      <c r="W393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38">
        <f>ReconciliationData[[#This Row],[Billed_Units]]*ReconciliationData[[#This Row],[Billed_Price]]</f>
        <v>7590.5907000000007</v>
      </c>
      <c r="Y3938">
        <f>ReconciliationData[[#This Row],[ordered_units]]*ReconciliationData[[#This Row],[List_Price]]</f>
        <v>7590.5907000000007</v>
      </c>
      <c r="Z3938">
        <f>ReconciliationData[[#This Row],[billed_revenue]]-ReconciliationData[[#This Row],[expected_revenue]]</f>
        <v>0</v>
      </c>
      <c r="AA393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38" t="str">
        <f>IF(ReconciliationData[[#This Row],[severity_score]]=0,"LOW",
 IF(ReconciliationData[[#This Row],[severity_score]]&lt;=5,"MEDIUM","HIGH"))</f>
        <v>LOW</v>
      </c>
      <c r="AC3938" t="str">
        <f>TEXT(ReconciliationData[[#This Row],[Order_Date]],"YYYY-MM")</f>
        <v>2023-05</v>
      </c>
    </row>
    <row r="3939" spans="1:29">
      <c r="A3939" t="s">
        <v>9100</v>
      </c>
      <c r="B3939" s="1">
        <v>45389</v>
      </c>
      <c r="C3939" t="s">
        <v>2611</v>
      </c>
      <c r="D3939" t="s">
        <v>768</v>
      </c>
      <c r="E3939">
        <v>129</v>
      </c>
      <c r="F3939" t="s">
        <v>9101</v>
      </c>
      <c r="G3939">
        <v>129</v>
      </c>
      <c r="H3939">
        <v>410.02</v>
      </c>
      <c r="I3939">
        <v>4</v>
      </c>
      <c r="J3939" s="1">
        <v>45512</v>
      </c>
      <c r="N3939">
        <v>410.02</v>
      </c>
      <c r="O3939" s="1">
        <v>45017</v>
      </c>
      <c r="P3939">
        <f>IF(ISBLANK(ReconciliationData[[#This Row],[Invoice_ID]]),1,0)</f>
        <v>0</v>
      </c>
      <c r="Q3939">
        <f>IF(AND(NOT(ISBLANK(ReconciliationData[[#This Row],[Billed_Units]])),ReconciliationData[[#This Row],[ordered_units]]&lt;&gt;ReconciliationData[[#This Row],[Billed_Units]]),1,0)</f>
        <v>0</v>
      </c>
      <c r="R393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39">
        <f>IF(AND(NOT(ISBLANK(ReconciliationData[[#This Row],[Contract_Price]])),ReconciliationData[[#This Row],[Billed_Price]]&lt;&gt;ReconciliationData[[#This Row],[Contract_Price]]),1,0)</f>
        <v>0</v>
      </c>
      <c r="T3939">
        <f>IF(AND(NOT(ISBLANK(ReconciliationData[[#This Row],[End_Date]])),ReconciliationData[[#This Row],[Order_Date]]&gt;ReconciliationData[[#This Row],[End_Date]]),1,0)</f>
        <v>0</v>
      </c>
      <c r="U3939">
        <f>IF(AND(NOT(ISBLANK(ReconciliationData[[#This Row],[last_return_date]])),ReconciliationData[[#This Row],[last_return_date]]&gt;ReconciliationData[[#This Row],[Order_Date]]+60),1,0)</f>
        <v>1</v>
      </c>
      <c r="V3939">
        <f>IF(ReconciliationData[[#This Row],[total_returned_units]]&gt;ReconciliationData[[#This Row],[ordered_units]],1,0)</f>
        <v>0</v>
      </c>
      <c r="W393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939">
        <f>ReconciliationData[[#This Row],[Billed_Units]]*ReconciliationData[[#This Row],[Billed_Price]]</f>
        <v>52892.579999999994</v>
      </c>
      <c r="Y3939">
        <f>ReconciliationData[[#This Row],[ordered_units]]*ReconciliationData[[#This Row],[List_Price]]</f>
        <v>52892.579999999994</v>
      </c>
      <c r="Z3939">
        <f>ReconciliationData[[#This Row],[billed_revenue]]-ReconciliationData[[#This Row],[expected_revenue]]</f>
        <v>0</v>
      </c>
      <c r="AA393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939" t="str">
        <f>IF(ReconciliationData[[#This Row],[severity_score]]=0,"LOW",
 IF(ReconciliationData[[#This Row],[severity_score]]&lt;=5,"MEDIUM","HIGH"))</f>
        <v>MEDIUM</v>
      </c>
      <c r="AC3939" t="str">
        <f>TEXT(ReconciliationData[[#This Row],[Order_Date]],"YYYY-MM")</f>
        <v>2024-04</v>
      </c>
    </row>
    <row r="3940" spans="1:29">
      <c r="A3940" t="s">
        <v>9102</v>
      </c>
      <c r="B3940" s="1">
        <v>44980</v>
      </c>
      <c r="C3940" t="s">
        <v>2575</v>
      </c>
      <c r="D3940" t="s">
        <v>397</v>
      </c>
      <c r="E3940">
        <v>44</v>
      </c>
      <c r="F3940" t="s">
        <v>9103</v>
      </c>
      <c r="G3940">
        <v>44</v>
      </c>
      <c r="H3940">
        <v>97.565999999999988</v>
      </c>
      <c r="N3940">
        <v>97.565999999999988</v>
      </c>
      <c r="O3940" s="1">
        <v>44778</v>
      </c>
      <c r="P3940">
        <f>IF(ISBLANK(ReconciliationData[[#This Row],[Invoice_ID]]),1,0)</f>
        <v>0</v>
      </c>
      <c r="Q3940">
        <f>IF(AND(NOT(ISBLANK(ReconciliationData[[#This Row],[Billed_Units]])),ReconciliationData[[#This Row],[ordered_units]]&lt;&gt;ReconciliationData[[#This Row],[Billed_Units]]),1,0)</f>
        <v>0</v>
      </c>
      <c r="R394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0">
        <f>IF(AND(NOT(ISBLANK(ReconciliationData[[#This Row],[Contract_Price]])),ReconciliationData[[#This Row],[Billed_Price]]&lt;&gt;ReconciliationData[[#This Row],[Contract_Price]]),1,0)</f>
        <v>0</v>
      </c>
      <c r="T3940">
        <f>IF(AND(NOT(ISBLANK(ReconciliationData[[#This Row],[End_Date]])),ReconciliationData[[#This Row],[Order_Date]]&gt;ReconciliationData[[#This Row],[End_Date]]),1,0)</f>
        <v>0</v>
      </c>
      <c r="U3940">
        <f>IF(AND(NOT(ISBLANK(ReconciliationData[[#This Row],[last_return_date]])),ReconciliationData[[#This Row],[last_return_date]]&gt;ReconciliationData[[#This Row],[Order_Date]]+60),1,0)</f>
        <v>0</v>
      </c>
      <c r="V3940">
        <f>IF(ReconciliationData[[#This Row],[total_returned_units]]&gt;ReconciliationData[[#This Row],[ordered_units]],1,0)</f>
        <v>0</v>
      </c>
      <c r="W394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40">
        <f>ReconciliationData[[#This Row],[Billed_Units]]*ReconciliationData[[#This Row],[Billed_Price]]</f>
        <v>4292.9039999999995</v>
      </c>
      <c r="Y3940">
        <f>ReconciliationData[[#This Row],[ordered_units]]*ReconciliationData[[#This Row],[List_Price]]</f>
        <v>4292.9039999999995</v>
      </c>
      <c r="Z3940">
        <f>ReconciliationData[[#This Row],[billed_revenue]]-ReconciliationData[[#This Row],[expected_revenue]]</f>
        <v>0</v>
      </c>
      <c r="AA394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40" t="str">
        <f>IF(ReconciliationData[[#This Row],[severity_score]]=0,"LOW",
 IF(ReconciliationData[[#This Row],[severity_score]]&lt;=5,"MEDIUM","HIGH"))</f>
        <v>LOW</v>
      </c>
      <c r="AC3940" t="str">
        <f>TEXT(ReconciliationData[[#This Row],[Order_Date]],"YYYY-MM")</f>
        <v>2023-02</v>
      </c>
    </row>
    <row r="3941" spans="1:29">
      <c r="A3941" t="s">
        <v>9104</v>
      </c>
      <c r="B3941" s="1">
        <v>45042</v>
      </c>
      <c r="C3941" t="s">
        <v>2549</v>
      </c>
      <c r="D3941" t="s">
        <v>2489</v>
      </c>
      <c r="E3941">
        <v>181</v>
      </c>
      <c r="F3941" t="s">
        <v>9105</v>
      </c>
      <c r="G3941">
        <v>181</v>
      </c>
      <c r="H3941">
        <v>517.27499999999998</v>
      </c>
      <c r="N3941">
        <v>517.27499999999998</v>
      </c>
      <c r="O3941" s="1">
        <v>44769</v>
      </c>
      <c r="P3941">
        <f>IF(ISBLANK(ReconciliationData[[#This Row],[Invoice_ID]]),1,0)</f>
        <v>0</v>
      </c>
      <c r="Q3941">
        <f>IF(AND(NOT(ISBLANK(ReconciliationData[[#This Row],[Billed_Units]])),ReconciliationData[[#This Row],[ordered_units]]&lt;&gt;ReconciliationData[[#This Row],[Billed_Units]]),1,0)</f>
        <v>0</v>
      </c>
      <c r="R394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1">
        <f>IF(AND(NOT(ISBLANK(ReconciliationData[[#This Row],[Contract_Price]])),ReconciliationData[[#This Row],[Billed_Price]]&lt;&gt;ReconciliationData[[#This Row],[Contract_Price]]),1,0)</f>
        <v>0</v>
      </c>
      <c r="T3941">
        <f>IF(AND(NOT(ISBLANK(ReconciliationData[[#This Row],[End_Date]])),ReconciliationData[[#This Row],[Order_Date]]&gt;ReconciliationData[[#This Row],[End_Date]]),1,0)</f>
        <v>0</v>
      </c>
      <c r="U3941">
        <f>IF(AND(NOT(ISBLANK(ReconciliationData[[#This Row],[last_return_date]])),ReconciliationData[[#This Row],[last_return_date]]&gt;ReconciliationData[[#This Row],[Order_Date]]+60),1,0)</f>
        <v>0</v>
      </c>
      <c r="V3941">
        <f>IF(ReconciliationData[[#This Row],[total_returned_units]]&gt;ReconciliationData[[#This Row],[ordered_units]],1,0)</f>
        <v>0</v>
      </c>
      <c r="W394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41">
        <f>ReconciliationData[[#This Row],[Billed_Units]]*ReconciliationData[[#This Row],[Billed_Price]]</f>
        <v>93626.774999999994</v>
      </c>
      <c r="Y3941">
        <f>ReconciliationData[[#This Row],[ordered_units]]*ReconciliationData[[#This Row],[List_Price]]</f>
        <v>93626.774999999994</v>
      </c>
      <c r="Z3941">
        <f>ReconciliationData[[#This Row],[billed_revenue]]-ReconciliationData[[#This Row],[expected_revenue]]</f>
        <v>0</v>
      </c>
      <c r="AA394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41" t="str">
        <f>IF(ReconciliationData[[#This Row],[severity_score]]=0,"LOW",
 IF(ReconciliationData[[#This Row],[severity_score]]&lt;=5,"MEDIUM","HIGH"))</f>
        <v>LOW</v>
      </c>
      <c r="AC3941" t="str">
        <f>TEXT(ReconciliationData[[#This Row],[Order_Date]],"YYYY-MM")</f>
        <v>2023-04</v>
      </c>
    </row>
    <row r="3942" spans="1:29">
      <c r="A3942" t="s">
        <v>9106</v>
      </c>
      <c r="B3942" s="1">
        <v>45610</v>
      </c>
      <c r="C3942" t="s">
        <v>3314</v>
      </c>
      <c r="D3942" t="s">
        <v>404</v>
      </c>
      <c r="E3942">
        <v>59</v>
      </c>
      <c r="F3942" t="s">
        <v>9107</v>
      </c>
      <c r="G3942">
        <v>59</v>
      </c>
      <c r="H3942">
        <v>1129.6166000000001</v>
      </c>
      <c r="N3942">
        <v>1129.6166000000001</v>
      </c>
      <c r="O3942" s="1">
        <v>44960</v>
      </c>
      <c r="P3942">
        <f>IF(ISBLANK(ReconciliationData[[#This Row],[Invoice_ID]]),1,0)</f>
        <v>0</v>
      </c>
      <c r="Q3942">
        <f>IF(AND(NOT(ISBLANK(ReconciliationData[[#This Row],[Billed_Units]])),ReconciliationData[[#This Row],[ordered_units]]&lt;&gt;ReconciliationData[[#This Row],[Billed_Units]]),1,0)</f>
        <v>0</v>
      </c>
      <c r="R394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2">
        <f>IF(AND(NOT(ISBLANK(ReconciliationData[[#This Row],[Contract_Price]])),ReconciliationData[[#This Row],[Billed_Price]]&lt;&gt;ReconciliationData[[#This Row],[Contract_Price]]),1,0)</f>
        <v>0</v>
      </c>
      <c r="T3942">
        <f>IF(AND(NOT(ISBLANK(ReconciliationData[[#This Row],[End_Date]])),ReconciliationData[[#This Row],[Order_Date]]&gt;ReconciliationData[[#This Row],[End_Date]]),1,0)</f>
        <v>0</v>
      </c>
      <c r="U3942">
        <f>IF(AND(NOT(ISBLANK(ReconciliationData[[#This Row],[last_return_date]])),ReconciliationData[[#This Row],[last_return_date]]&gt;ReconciliationData[[#This Row],[Order_Date]]+60),1,0)</f>
        <v>0</v>
      </c>
      <c r="V3942">
        <f>IF(ReconciliationData[[#This Row],[total_returned_units]]&gt;ReconciliationData[[#This Row],[ordered_units]],1,0)</f>
        <v>0</v>
      </c>
      <c r="W394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42">
        <f>ReconciliationData[[#This Row],[Billed_Units]]*ReconciliationData[[#This Row],[Billed_Price]]</f>
        <v>66647.379400000005</v>
      </c>
      <c r="Y3942">
        <f>ReconciliationData[[#This Row],[ordered_units]]*ReconciliationData[[#This Row],[List_Price]]</f>
        <v>66647.379400000005</v>
      </c>
      <c r="Z3942">
        <f>ReconciliationData[[#This Row],[billed_revenue]]-ReconciliationData[[#This Row],[expected_revenue]]</f>
        <v>0</v>
      </c>
      <c r="AA394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42" t="str">
        <f>IF(ReconciliationData[[#This Row],[severity_score]]=0,"LOW",
 IF(ReconciliationData[[#This Row],[severity_score]]&lt;=5,"MEDIUM","HIGH"))</f>
        <v>LOW</v>
      </c>
      <c r="AC3942" t="str">
        <f>TEXT(ReconciliationData[[#This Row],[Order_Date]],"YYYY-MM")</f>
        <v>2024-11</v>
      </c>
    </row>
    <row r="3943" spans="1:29">
      <c r="A3943" t="s">
        <v>9108</v>
      </c>
      <c r="B3943" s="1">
        <v>45126</v>
      </c>
      <c r="C3943" t="s">
        <v>1182</v>
      </c>
      <c r="D3943" t="s">
        <v>1961</v>
      </c>
      <c r="E3943">
        <v>85</v>
      </c>
      <c r="F3943" t="s">
        <v>9109</v>
      </c>
      <c r="G3943">
        <v>85</v>
      </c>
      <c r="H3943">
        <v>717.0471</v>
      </c>
      <c r="I3943">
        <v>9</v>
      </c>
      <c r="J3943" s="1">
        <v>45564</v>
      </c>
      <c r="N3943">
        <v>717.0471</v>
      </c>
      <c r="O3943" s="1">
        <v>44984</v>
      </c>
      <c r="P3943">
        <f>IF(ISBLANK(ReconciliationData[[#This Row],[Invoice_ID]]),1,0)</f>
        <v>0</v>
      </c>
      <c r="Q3943">
        <f>IF(AND(NOT(ISBLANK(ReconciliationData[[#This Row],[Billed_Units]])),ReconciliationData[[#This Row],[ordered_units]]&lt;&gt;ReconciliationData[[#This Row],[Billed_Units]]),1,0)</f>
        <v>0</v>
      </c>
      <c r="R394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3">
        <f>IF(AND(NOT(ISBLANK(ReconciliationData[[#This Row],[Contract_Price]])),ReconciliationData[[#This Row],[Billed_Price]]&lt;&gt;ReconciliationData[[#This Row],[Contract_Price]]),1,0)</f>
        <v>0</v>
      </c>
      <c r="T3943">
        <f>IF(AND(NOT(ISBLANK(ReconciliationData[[#This Row],[End_Date]])),ReconciliationData[[#This Row],[Order_Date]]&gt;ReconciliationData[[#This Row],[End_Date]]),1,0)</f>
        <v>0</v>
      </c>
      <c r="U3943">
        <f>IF(AND(NOT(ISBLANK(ReconciliationData[[#This Row],[last_return_date]])),ReconciliationData[[#This Row],[last_return_date]]&gt;ReconciliationData[[#This Row],[Order_Date]]+60),1,0)</f>
        <v>1</v>
      </c>
      <c r="V3943">
        <f>IF(ReconciliationData[[#This Row],[total_returned_units]]&gt;ReconciliationData[[#This Row],[ordered_units]],1,0)</f>
        <v>0</v>
      </c>
      <c r="W394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943">
        <f>ReconciliationData[[#This Row],[Billed_Units]]*ReconciliationData[[#This Row],[Billed_Price]]</f>
        <v>60949.003499999999</v>
      </c>
      <c r="Y3943">
        <f>ReconciliationData[[#This Row],[ordered_units]]*ReconciliationData[[#This Row],[List_Price]]</f>
        <v>60949.003499999999</v>
      </c>
      <c r="Z3943">
        <f>ReconciliationData[[#This Row],[billed_revenue]]-ReconciliationData[[#This Row],[expected_revenue]]</f>
        <v>0</v>
      </c>
      <c r="AA394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943" t="str">
        <f>IF(ReconciliationData[[#This Row],[severity_score]]=0,"LOW",
 IF(ReconciliationData[[#This Row],[severity_score]]&lt;=5,"MEDIUM","HIGH"))</f>
        <v>MEDIUM</v>
      </c>
      <c r="AC3943" t="str">
        <f>TEXT(ReconciliationData[[#This Row],[Order_Date]],"YYYY-MM")</f>
        <v>2023-07</v>
      </c>
    </row>
    <row r="3944" spans="1:29">
      <c r="A3944" t="s">
        <v>9110</v>
      </c>
      <c r="B3944" s="1">
        <v>45180</v>
      </c>
      <c r="C3944" t="s">
        <v>1953</v>
      </c>
      <c r="D3944" t="s">
        <v>2605</v>
      </c>
      <c r="E3944">
        <v>85</v>
      </c>
      <c r="F3944" t="s">
        <v>9111</v>
      </c>
      <c r="G3944">
        <v>85</v>
      </c>
      <c r="H3944">
        <v>696.93029999999999</v>
      </c>
      <c r="N3944">
        <v>696.93029999999999</v>
      </c>
      <c r="O3944" s="1">
        <v>45150</v>
      </c>
      <c r="P3944">
        <f>IF(ISBLANK(ReconciliationData[[#This Row],[Invoice_ID]]),1,0)</f>
        <v>0</v>
      </c>
      <c r="Q3944">
        <f>IF(AND(NOT(ISBLANK(ReconciliationData[[#This Row],[Billed_Units]])),ReconciliationData[[#This Row],[ordered_units]]&lt;&gt;ReconciliationData[[#This Row],[Billed_Units]]),1,0)</f>
        <v>0</v>
      </c>
      <c r="R394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4">
        <f>IF(AND(NOT(ISBLANK(ReconciliationData[[#This Row],[Contract_Price]])),ReconciliationData[[#This Row],[Billed_Price]]&lt;&gt;ReconciliationData[[#This Row],[Contract_Price]]),1,0)</f>
        <v>0</v>
      </c>
      <c r="T3944">
        <f>IF(AND(NOT(ISBLANK(ReconciliationData[[#This Row],[End_Date]])),ReconciliationData[[#This Row],[Order_Date]]&gt;ReconciliationData[[#This Row],[End_Date]]),1,0)</f>
        <v>0</v>
      </c>
      <c r="U3944">
        <f>IF(AND(NOT(ISBLANK(ReconciliationData[[#This Row],[last_return_date]])),ReconciliationData[[#This Row],[last_return_date]]&gt;ReconciliationData[[#This Row],[Order_Date]]+60),1,0)</f>
        <v>0</v>
      </c>
      <c r="V3944">
        <f>IF(ReconciliationData[[#This Row],[total_returned_units]]&gt;ReconciliationData[[#This Row],[ordered_units]],1,0)</f>
        <v>0</v>
      </c>
      <c r="W394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44">
        <f>ReconciliationData[[#This Row],[Billed_Units]]*ReconciliationData[[#This Row],[Billed_Price]]</f>
        <v>59239.075499999999</v>
      </c>
      <c r="Y3944">
        <f>ReconciliationData[[#This Row],[ordered_units]]*ReconciliationData[[#This Row],[List_Price]]</f>
        <v>59239.075499999999</v>
      </c>
      <c r="Z3944">
        <f>ReconciliationData[[#This Row],[billed_revenue]]-ReconciliationData[[#This Row],[expected_revenue]]</f>
        <v>0</v>
      </c>
      <c r="AA394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44" t="str">
        <f>IF(ReconciliationData[[#This Row],[severity_score]]=0,"LOW",
 IF(ReconciliationData[[#This Row],[severity_score]]&lt;=5,"MEDIUM","HIGH"))</f>
        <v>LOW</v>
      </c>
      <c r="AC3944" t="str">
        <f>TEXT(ReconciliationData[[#This Row],[Order_Date]],"YYYY-MM")</f>
        <v>2023-09</v>
      </c>
    </row>
    <row r="3945" spans="1:29">
      <c r="A3945" t="s">
        <v>9112</v>
      </c>
      <c r="B3945" s="1">
        <v>45204</v>
      </c>
      <c r="C3945" t="s">
        <v>340</v>
      </c>
      <c r="D3945" t="s">
        <v>321</v>
      </c>
      <c r="E3945">
        <v>125</v>
      </c>
      <c r="F3945" t="s">
        <v>9113</v>
      </c>
      <c r="G3945">
        <v>125</v>
      </c>
      <c r="H3945">
        <v>169.22900000000001</v>
      </c>
      <c r="N3945">
        <v>169.22900000000001</v>
      </c>
      <c r="O3945" s="1">
        <v>45039</v>
      </c>
      <c r="P3945">
        <f>IF(ISBLANK(ReconciliationData[[#This Row],[Invoice_ID]]),1,0)</f>
        <v>0</v>
      </c>
      <c r="Q3945">
        <f>IF(AND(NOT(ISBLANK(ReconciliationData[[#This Row],[Billed_Units]])),ReconciliationData[[#This Row],[ordered_units]]&lt;&gt;ReconciliationData[[#This Row],[Billed_Units]]),1,0)</f>
        <v>0</v>
      </c>
      <c r="R394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5">
        <f>IF(AND(NOT(ISBLANK(ReconciliationData[[#This Row],[Contract_Price]])),ReconciliationData[[#This Row],[Billed_Price]]&lt;&gt;ReconciliationData[[#This Row],[Contract_Price]]),1,0)</f>
        <v>0</v>
      </c>
      <c r="T3945">
        <f>IF(AND(NOT(ISBLANK(ReconciliationData[[#This Row],[End_Date]])),ReconciliationData[[#This Row],[Order_Date]]&gt;ReconciliationData[[#This Row],[End_Date]]),1,0)</f>
        <v>0</v>
      </c>
      <c r="U3945">
        <f>IF(AND(NOT(ISBLANK(ReconciliationData[[#This Row],[last_return_date]])),ReconciliationData[[#This Row],[last_return_date]]&gt;ReconciliationData[[#This Row],[Order_Date]]+60),1,0)</f>
        <v>0</v>
      </c>
      <c r="V3945">
        <f>IF(ReconciliationData[[#This Row],[total_returned_units]]&gt;ReconciliationData[[#This Row],[ordered_units]],1,0)</f>
        <v>0</v>
      </c>
      <c r="W394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45">
        <f>ReconciliationData[[#This Row],[Billed_Units]]*ReconciliationData[[#This Row],[Billed_Price]]</f>
        <v>21153.625</v>
      </c>
      <c r="Y3945">
        <f>ReconciliationData[[#This Row],[ordered_units]]*ReconciliationData[[#This Row],[List_Price]]</f>
        <v>21153.625</v>
      </c>
      <c r="Z3945">
        <f>ReconciliationData[[#This Row],[billed_revenue]]-ReconciliationData[[#This Row],[expected_revenue]]</f>
        <v>0</v>
      </c>
      <c r="AA394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45" t="str">
        <f>IF(ReconciliationData[[#This Row],[severity_score]]=0,"LOW",
 IF(ReconciliationData[[#This Row],[severity_score]]&lt;=5,"MEDIUM","HIGH"))</f>
        <v>LOW</v>
      </c>
      <c r="AC3945" t="str">
        <f>TEXT(ReconciliationData[[#This Row],[Order_Date]],"YYYY-MM")</f>
        <v>2023-10</v>
      </c>
    </row>
    <row r="3946" spans="1:29">
      <c r="A3946" t="s">
        <v>9114</v>
      </c>
      <c r="B3946" s="1">
        <v>45129</v>
      </c>
      <c r="C3946" t="s">
        <v>1067</v>
      </c>
      <c r="D3946" t="s">
        <v>614</v>
      </c>
      <c r="E3946">
        <v>173</v>
      </c>
      <c r="F3946" t="s">
        <v>9115</v>
      </c>
      <c r="G3946">
        <v>173</v>
      </c>
      <c r="H3946">
        <v>1021.8869999999999</v>
      </c>
      <c r="N3946">
        <v>1021.8869999999999</v>
      </c>
      <c r="O3946" s="1">
        <v>45020</v>
      </c>
      <c r="P3946">
        <f>IF(ISBLANK(ReconciliationData[[#This Row],[Invoice_ID]]),1,0)</f>
        <v>0</v>
      </c>
      <c r="Q3946">
        <f>IF(AND(NOT(ISBLANK(ReconciliationData[[#This Row],[Billed_Units]])),ReconciliationData[[#This Row],[ordered_units]]&lt;&gt;ReconciliationData[[#This Row],[Billed_Units]]),1,0)</f>
        <v>0</v>
      </c>
      <c r="R394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6">
        <f>IF(AND(NOT(ISBLANK(ReconciliationData[[#This Row],[Contract_Price]])),ReconciliationData[[#This Row],[Billed_Price]]&lt;&gt;ReconciliationData[[#This Row],[Contract_Price]]),1,0)</f>
        <v>0</v>
      </c>
      <c r="T3946">
        <f>IF(AND(NOT(ISBLANK(ReconciliationData[[#This Row],[End_Date]])),ReconciliationData[[#This Row],[Order_Date]]&gt;ReconciliationData[[#This Row],[End_Date]]),1,0)</f>
        <v>0</v>
      </c>
      <c r="U3946">
        <f>IF(AND(NOT(ISBLANK(ReconciliationData[[#This Row],[last_return_date]])),ReconciliationData[[#This Row],[last_return_date]]&gt;ReconciliationData[[#This Row],[Order_Date]]+60),1,0)</f>
        <v>0</v>
      </c>
      <c r="V3946">
        <f>IF(ReconciliationData[[#This Row],[total_returned_units]]&gt;ReconciliationData[[#This Row],[ordered_units]],1,0)</f>
        <v>0</v>
      </c>
      <c r="W394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46">
        <f>ReconciliationData[[#This Row],[Billed_Units]]*ReconciliationData[[#This Row],[Billed_Price]]</f>
        <v>176786.451</v>
      </c>
      <c r="Y3946">
        <f>ReconciliationData[[#This Row],[ordered_units]]*ReconciliationData[[#This Row],[List_Price]]</f>
        <v>176786.451</v>
      </c>
      <c r="Z3946">
        <f>ReconciliationData[[#This Row],[billed_revenue]]-ReconciliationData[[#This Row],[expected_revenue]]</f>
        <v>0</v>
      </c>
      <c r="AA394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46" t="str">
        <f>IF(ReconciliationData[[#This Row],[severity_score]]=0,"LOW",
 IF(ReconciliationData[[#This Row],[severity_score]]&lt;=5,"MEDIUM","HIGH"))</f>
        <v>LOW</v>
      </c>
      <c r="AC3946" t="str">
        <f>TEXT(ReconciliationData[[#This Row],[Order_Date]],"YYYY-MM")</f>
        <v>2023-07</v>
      </c>
    </row>
    <row r="3947" spans="1:29">
      <c r="A3947" t="s">
        <v>9116</v>
      </c>
      <c r="B3947" s="1">
        <v>45421</v>
      </c>
      <c r="C3947" t="s">
        <v>613</v>
      </c>
      <c r="D3947" t="s">
        <v>2765</v>
      </c>
      <c r="E3947">
        <v>76</v>
      </c>
      <c r="F3947" t="s">
        <v>9117</v>
      </c>
      <c r="G3947">
        <v>76</v>
      </c>
      <c r="H3947">
        <v>1037.4366</v>
      </c>
      <c r="N3947">
        <v>1037.4366</v>
      </c>
      <c r="O3947" s="1">
        <v>45198</v>
      </c>
      <c r="P3947">
        <f>IF(ISBLANK(ReconciliationData[[#This Row],[Invoice_ID]]),1,0)</f>
        <v>0</v>
      </c>
      <c r="Q3947">
        <f>IF(AND(NOT(ISBLANK(ReconciliationData[[#This Row],[Billed_Units]])),ReconciliationData[[#This Row],[ordered_units]]&lt;&gt;ReconciliationData[[#This Row],[Billed_Units]]),1,0)</f>
        <v>0</v>
      </c>
      <c r="R394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7">
        <f>IF(AND(NOT(ISBLANK(ReconciliationData[[#This Row],[Contract_Price]])),ReconciliationData[[#This Row],[Billed_Price]]&lt;&gt;ReconciliationData[[#This Row],[Contract_Price]]),1,0)</f>
        <v>0</v>
      </c>
      <c r="T3947">
        <f>IF(AND(NOT(ISBLANK(ReconciliationData[[#This Row],[End_Date]])),ReconciliationData[[#This Row],[Order_Date]]&gt;ReconciliationData[[#This Row],[End_Date]]),1,0)</f>
        <v>0</v>
      </c>
      <c r="U3947">
        <f>IF(AND(NOT(ISBLANK(ReconciliationData[[#This Row],[last_return_date]])),ReconciliationData[[#This Row],[last_return_date]]&gt;ReconciliationData[[#This Row],[Order_Date]]+60),1,0)</f>
        <v>0</v>
      </c>
      <c r="V3947">
        <f>IF(ReconciliationData[[#This Row],[total_returned_units]]&gt;ReconciliationData[[#This Row],[ordered_units]],1,0)</f>
        <v>0</v>
      </c>
      <c r="W394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47">
        <f>ReconciliationData[[#This Row],[Billed_Units]]*ReconciliationData[[#This Row],[Billed_Price]]</f>
        <v>78845.181599999996</v>
      </c>
      <c r="Y3947">
        <f>ReconciliationData[[#This Row],[ordered_units]]*ReconciliationData[[#This Row],[List_Price]]</f>
        <v>78845.181599999996</v>
      </c>
      <c r="Z3947">
        <f>ReconciliationData[[#This Row],[billed_revenue]]-ReconciliationData[[#This Row],[expected_revenue]]</f>
        <v>0</v>
      </c>
      <c r="AA394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47" t="str">
        <f>IF(ReconciliationData[[#This Row],[severity_score]]=0,"LOW",
 IF(ReconciliationData[[#This Row],[severity_score]]&lt;=5,"MEDIUM","HIGH"))</f>
        <v>LOW</v>
      </c>
      <c r="AC3947" t="str">
        <f>TEXT(ReconciliationData[[#This Row],[Order_Date]],"YYYY-MM")</f>
        <v>2024-05</v>
      </c>
    </row>
    <row r="3948" spans="1:29">
      <c r="A3948" t="s">
        <v>9118</v>
      </c>
      <c r="B3948" s="1">
        <v>45104</v>
      </c>
      <c r="C3948" t="s">
        <v>888</v>
      </c>
      <c r="D3948" t="s">
        <v>658</v>
      </c>
      <c r="E3948">
        <v>44</v>
      </c>
      <c r="F3948" t="s">
        <v>9119</v>
      </c>
      <c r="G3948">
        <v>44</v>
      </c>
      <c r="H3948">
        <v>80.141999999999996</v>
      </c>
      <c r="N3948">
        <v>80.141999999999996</v>
      </c>
      <c r="O3948" s="1">
        <v>44870</v>
      </c>
      <c r="P3948">
        <f>IF(ISBLANK(ReconciliationData[[#This Row],[Invoice_ID]]),1,0)</f>
        <v>0</v>
      </c>
      <c r="Q3948">
        <f>IF(AND(NOT(ISBLANK(ReconciliationData[[#This Row],[Billed_Units]])),ReconciliationData[[#This Row],[ordered_units]]&lt;&gt;ReconciliationData[[#This Row],[Billed_Units]]),1,0)</f>
        <v>0</v>
      </c>
      <c r="R394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8">
        <f>IF(AND(NOT(ISBLANK(ReconciliationData[[#This Row],[Contract_Price]])),ReconciliationData[[#This Row],[Billed_Price]]&lt;&gt;ReconciliationData[[#This Row],[Contract_Price]]),1,0)</f>
        <v>0</v>
      </c>
      <c r="T3948">
        <f>IF(AND(NOT(ISBLANK(ReconciliationData[[#This Row],[End_Date]])),ReconciliationData[[#This Row],[Order_Date]]&gt;ReconciliationData[[#This Row],[End_Date]]),1,0)</f>
        <v>0</v>
      </c>
      <c r="U3948">
        <f>IF(AND(NOT(ISBLANK(ReconciliationData[[#This Row],[last_return_date]])),ReconciliationData[[#This Row],[last_return_date]]&gt;ReconciliationData[[#This Row],[Order_Date]]+60),1,0)</f>
        <v>0</v>
      </c>
      <c r="V3948">
        <f>IF(ReconciliationData[[#This Row],[total_returned_units]]&gt;ReconciliationData[[#This Row],[ordered_units]],1,0)</f>
        <v>0</v>
      </c>
      <c r="W394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48">
        <f>ReconciliationData[[#This Row],[Billed_Units]]*ReconciliationData[[#This Row],[Billed_Price]]</f>
        <v>3526.2479999999996</v>
      </c>
      <c r="Y3948">
        <f>ReconciliationData[[#This Row],[ordered_units]]*ReconciliationData[[#This Row],[List_Price]]</f>
        <v>3526.2479999999996</v>
      </c>
      <c r="Z3948">
        <f>ReconciliationData[[#This Row],[billed_revenue]]-ReconciliationData[[#This Row],[expected_revenue]]</f>
        <v>0</v>
      </c>
      <c r="AA394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48" t="str">
        <f>IF(ReconciliationData[[#This Row],[severity_score]]=0,"LOW",
 IF(ReconciliationData[[#This Row],[severity_score]]&lt;=5,"MEDIUM","HIGH"))</f>
        <v>LOW</v>
      </c>
      <c r="AC3948" t="str">
        <f>TEXT(ReconciliationData[[#This Row],[Order_Date]],"YYYY-MM")</f>
        <v>2023-06</v>
      </c>
    </row>
    <row r="3949" spans="1:29">
      <c r="A3949" t="s">
        <v>9120</v>
      </c>
      <c r="B3949" s="1">
        <v>45211</v>
      </c>
      <c r="C3949" t="s">
        <v>1665</v>
      </c>
      <c r="D3949" t="s">
        <v>134</v>
      </c>
      <c r="E3949">
        <v>192</v>
      </c>
      <c r="F3949" t="s">
        <v>9121</v>
      </c>
      <c r="G3949">
        <v>192</v>
      </c>
      <c r="H3949">
        <v>446.4905</v>
      </c>
      <c r="N3949">
        <v>446.4905</v>
      </c>
      <c r="O3949" s="1">
        <v>45161</v>
      </c>
      <c r="P3949">
        <f>IF(ISBLANK(ReconciliationData[[#This Row],[Invoice_ID]]),1,0)</f>
        <v>0</v>
      </c>
      <c r="Q3949">
        <f>IF(AND(NOT(ISBLANK(ReconciliationData[[#This Row],[Billed_Units]])),ReconciliationData[[#This Row],[ordered_units]]&lt;&gt;ReconciliationData[[#This Row],[Billed_Units]]),1,0)</f>
        <v>0</v>
      </c>
      <c r="R394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49">
        <f>IF(AND(NOT(ISBLANK(ReconciliationData[[#This Row],[Contract_Price]])),ReconciliationData[[#This Row],[Billed_Price]]&lt;&gt;ReconciliationData[[#This Row],[Contract_Price]]),1,0)</f>
        <v>0</v>
      </c>
      <c r="T3949">
        <f>IF(AND(NOT(ISBLANK(ReconciliationData[[#This Row],[End_Date]])),ReconciliationData[[#This Row],[Order_Date]]&gt;ReconciliationData[[#This Row],[End_Date]]),1,0)</f>
        <v>0</v>
      </c>
      <c r="U3949">
        <f>IF(AND(NOT(ISBLANK(ReconciliationData[[#This Row],[last_return_date]])),ReconciliationData[[#This Row],[last_return_date]]&gt;ReconciliationData[[#This Row],[Order_Date]]+60),1,0)</f>
        <v>0</v>
      </c>
      <c r="V3949">
        <f>IF(ReconciliationData[[#This Row],[total_returned_units]]&gt;ReconciliationData[[#This Row],[ordered_units]],1,0)</f>
        <v>0</v>
      </c>
      <c r="W394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49">
        <f>ReconciliationData[[#This Row],[Billed_Units]]*ReconciliationData[[#This Row],[Billed_Price]]</f>
        <v>85726.176000000007</v>
      </c>
      <c r="Y3949">
        <f>ReconciliationData[[#This Row],[ordered_units]]*ReconciliationData[[#This Row],[List_Price]]</f>
        <v>85726.176000000007</v>
      </c>
      <c r="Z3949">
        <f>ReconciliationData[[#This Row],[billed_revenue]]-ReconciliationData[[#This Row],[expected_revenue]]</f>
        <v>0</v>
      </c>
      <c r="AA394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49" t="str">
        <f>IF(ReconciliationData[[#This Row],[severity_score]]=0,"LOW",
 IF(ReconciliationData[[#This Row],[severity_score]]&lt;=5,"MEDIUM","HIGH"))</f>
        <v>LOW</v>
      </c>
      <c r="AC3949" t="str">
        <f>TEXT(ReconciliationData[[#This Row],[Order_Date]],"YYYY-MM")</f>
        <v>2023-10</v>
      </c>
    </row>
    <row r="3950" spans="1:29">
      <c r="A3950" t="s">
        <v>9122</v>
      </c>
      <c r="B3950" s="1">
        <v>44972</v>
      </c>
      <c r="C3950" t="s">
        <v>2552</v>
      </c>
      <c r="D3950" t="s">
        <v>472</v>
      </c>
      <c r="E3950">
        <v>171</v>
      </c>
      <c r="F3950" t="s">
        <v>9123</v>
      </c>
      <c r="G3950">
        <v>171</v>
      </c>
      <c r="H3950">
        <v>682.98</v>
      </c>
      <c r="N3950">
        <v>682.98</v>
      </c>
      <c r="O3950" s="1">
        <v>44629</v>
      </c>
      <c r="P3950">
        <f>IF(ISBLANK(ReconciliationData[[#This Row],[Invoice_ID]]),1,0)</f>
        <v>0</v>
      </c>
      <c r="Q3950">
        <f>IF(AND(NOT(ISBLANK(ReconciliationData[[#This Row],[Billed_Units]])),ReconciliationData[[#This Row],[ordered_units]]&lt;&gt;ReconciliationData[[#This Row],[Billed_Units]]),1,0)</f>
        <v>0</v>
      </c>
      <c r="R395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50">
        <f>IF(AND(NOT(ISBLANK(ReconciliationData[[#This Row],[Contract_Price]])),ReconciliationData[[#This Row],[Billed_Price]]&lt;&gt;ReconciliationData[[#This Row],[Contract_Price]]),1,0)</f>
        <v>0</v>
      </c>
      <c r="T3950">
        <f>IF(AND(NOT(ISBLANK(ReconciliationData[[#This Row],[End_Date]])),ReconciliationData[[#This Row],[Order_Date]]&gt;ReconciliationData[[#This Row],[End_Date]]),1,0)</f>
        <v>0</v>
      </c>
      <c r="U3950">
        <f>IF(AND(NOT(ISBLANK(ReconciliationData[[#This Row],[last_return_date]])),ReconciliationData[[#This Row],[last_return_date]]&gt;ReconciliationData[[#This Row],[Order_Date]]+60),1,0)</f>
        <v>0</v>
      </c>
      <c r="V3950">
        <f>IF(ReconciliationData[[#This Row],[total_returned_units]]&gt;ReconciliationData[[#This Row],[ordered_units]],1,0)</f>
        <v>0</v>
      </c>
      <c r="W395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50">
        <f>ReconciliationData[[#This Row],[Billed_Units]]*ReconciliationData[[#This Row],[Billed_Price]]</f>
        <v>116789.58</v>
      </c>
      <c r="Y3950">
        <f>ReconciliationData[[#This Row],[ordered_units]]*ReconciliationData[[#This Row],[List_Price]]</f>
        <v>116789.58</v>
      </c>
      <c r="Z3950">
        <f>ReconciliationData[[#This Row],[billed_revenue]]-ReconciliationData[[#This Row],[expected_revenue]]</f>
        <v>0</v>
      </c>
      <c r="AA395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50" t="str">
        <f>IF(ReconciliationData[[#This Row],[severity_score]]=0,"LOW",
 IF(ReconciliationData[[#This Row],[severity_score]]&lt;=5,"MEDIUM","HIGH"))</f>
        <v>LOW</v>
      </c>
      <c r="AC3950" t="str">
        <f>TEXT(ReconciliationData[[#This Row],[Order_Date]],"YYYY-MM")</f>
        <v>2023-02</v>
      </c>
    </row>
    <row r="3951" spans="1:29">
      <c r="A3951" t="s">
        <v>9124</v>
      </c>
      <c r="B3951" s="1">
        <v>45476</v>
      </c>
      <c r="C3951" t="s">
        <v>3217</v>
      </c>
      <c r="D3951" t="s">
        <v>930</v>
      </c>
      <c r="E3951">
        <v>149</v>
      </c>
      <c r="F3951" t="s">
        <v>9125</v>
      </c>
      <c r="G3951">
        <v>149</v>
      </c>
      <c r="H3951">
        <v>159.06059999999999</v>
      </c>
      <c r="N3951">
        <v>159.06059999999999</v>
      </c>
      <c r="O3951" s="1">
        <v>44944</v>
      </c>
      <c r="P3951">
        <f>IF(ISBLANK(ReconciliationData[[#This Row],[Invoice_ID]]),1,0)</f>
        <v>0</v>
      </c>
      <c r="Q3951">
        <f>IF(AND(NOT(ISBLANK(ReconciliationData[[#This Row],[Billed_Units]])),ReconciliationData[[#This Row],[ordered_units]]&lt;&gt;ReconciliationData[[#This Row],[Billed_Units]]),1,0)</f>
        <v>0</v>
      </c>
      <c r="R395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51">
        <f>IF(AND(NOT(ISBLANK(ReconciliationData[[#This Row],[Contract_Price]])),ReconciliationData[[#This Row],[Billed_Price]]&lt;&gt;ReconciliationData[[#This Row],[Contract_Price]]),1,0)</f>
        <v>0</v>
      </c>
      <c r="T3951">
        <f>IF(AND(NOT(ISBLANK(ReconciliationData[[#This Row],[End_Date]])),ReconciliationData[[#This Row],[Order_Date]]&gt;ReconciliationData[[#This Row],[End_Date]]),1,0)</f>
        <v>0</v>
      </c>
      <c r="U3951">
        <f>IF(AND(NOT(ISBLANK(ReconciliationData[[#This Row],[last_return_date]])),ReconciliationData[[#This Row],[last_return_date]]&gt;ReconciliationData[[#This Row],[Order_Date]]+60),1,0)</f>
        <v>0</v>
      </c>
      <c r="V3951">
        <f>IF(ReconciliationData[[#This Row],[total_returned_units]]&gt;ReconciliationData[[#This Row],[ordered_units]],1,0)</f>
        <v>0</v>
      </c>
      <c r="W395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51">
        <f>ReconciliationData[[#This Row],[Billed_Units]]*ReconciliationData[[#This Row],[Billed_Price]]</f>
        <v>23700.029399999999</v>
      </c>
      <c r="Y3951">
        <f>ReconciliationData[[#This Row],[ordered_units]]*ReconciliationData[[#This Row],[List_Price]]</f>
        <v>23700.029399999999</v>
      </c>
      <c r="Z3951">
        <f>ReconciliationData[[#This Row],[billed_revenue]]-ReconciliationData[[#This Row],[expected_revenue]]</f>
        <v>0</v>
      </c>
      <c r="AA395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51" t="str">
        <f>IF(ReconciliationData[[#This Row],[severity_score]]=0,"LOW",
 IF(ReconciliationData[[#This Row],[severity_score]]&lt;=5,"MEDIUM","HIGH"))</f>
        <v>LOW</v>
      </c>
      <c r="AC3951" t="str">
        <f>TEXT(ReconciliationData[[#This Row],[Order_Date]],"YYYY-MM")</f>
        <v>2024-07</v>
      </c>
    </row>
    <row r="3952" spans="1:29">
      <c r="A3952" t="s">
        <v>9126</v>
      </c>
      <c r="B3952" s="1">
        <v>45252</v>
      </c>
      <c r="C3952" t="s">
        <v>3912</v>
      </c>
      <c r="D3952" t="s">
        <v>983</v>
      </c>
      <c r="E3952">
        <v>129</v>
      </c>
      <c r="F3952" t="s">
        <v>9127</v>
      </c>
      <c r="G3952">
        <v>129</v>
      </c>
      <c r="H3952">
        <v>226.1644</v>
      </c>
      <c r="N3952">
        <v>226.1644</v>
      </c>
      <c r="O3952" s="1">
        <v>45139</v>
      </c>
      <c r="P3952">
        <f>IF(ISBLANK(ReconciliationData[[#This Row],[Invoice_ID]]),1,0)</f>
        <v>0</v>
      </c>
      <c r="Q3952">
        <f>IF(AND(NOT(ISBLANK(ReconciliationData[[#This Row],[Billed_Units]])),ReconciliationData[[#This Row],[ordered_units]]&lt;&gt;ReconciliationData[[#This Row],[Billed_Units]]),1,0)</f>
        <v>0</v>
      </c>
      <c r="R395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52">
        <f>IF(AND(NOT(ISBLANK(ReconciliationData[[#This Row],[Contract_Price]])),ReconciliationData[[#This Row],[Billed_Price]]&lt;&gt;ReconciliationData[[#This Row],[Contract_Price]]),1,0)</f>
        <v>0</v>
      </c>
      <c r="T3952">
        <f>IF(AND(NOT(ISBLANK(ReconciliationData[[#This Row],[End_Date]])),ReconciliationData[[#This Row],[Order_Date]]&gt;ReconciliationData[[#This Row],[End_Date]]),1,0)</f>
        <v>0</v>
      </c>
      <c r="U3952">
        <f>IF(AND(NOT(ISBLANK(ReconciliationData[[#This Row],[last_return_date]])),ReconciliationData[[#This Row],[last_return_date]]&gt;ReconciliationData[[#This Row],[Order_Date]]+60),1,0)</f>
        <v>0</v>
      </c>
      <c r="V3952">
        <f>IF(ReconciliationData[[#This Row],[total_returned_units]]&gt;ReconciliationData[[#This Row],[ordered_units]],1,0)</f>
        <v>0</v>
      </c>
      <c r="W395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52">
        <f>ReconciliationData[[#This Row],[Billed_Units]]*ReconciliationData[[#This Row],[Billed_Price]]</f>
        <v>29175.207600000002</v>
      </c>
      <c r="Y3952">
        <f>ReconciliationData[[#This Row],[ordered_units]]*ReconciliationData[[#This Row],[List_Price]]</f>
        <v>29175.207600000002</v>
      </c>
      <c r="Z3952">
        <f>ReconciliationData[[#This Row],[billed_revenue]]-ReconciliationData[[#This Row],[expected_revenue]]</f>
        <v>0</v>
      </c>
      <c r="AA395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52" t="str">
        <f>IF(ReconciliationData[[#This Row],[severity_score]]=0,"LOW",
 IF(ReconciliationData[[#This Row],[severity_score]]&lt;=5,"MEDIUM","HIGH"))</f>
        <v>LOW</v>
      </c>
      <c r="AC3952" t="str">
        <f>TEXT(ReconciliationData[[#This Row],[Order_Date]],"YYYY-MM")</f>
        <v>2023-11</v>
      </c>
    </row>
    <row r="3953" spans="1:29">
      <c r="A3953" t="s">
        <v>9128</v>
      </c>
      <c r="B3953" s="1">
        <v>45395</v>
      </c>
      <c r="C3953" t="s">
        <v>3243</v>
      </c>
      <c r="D3953" t="s">
        <v>537</v>
      </c>
      <c r="E3953">
        <v>76</v>
      </c>
      <c r="F3953" t="s">
        <v>9129</v>
      </c>
      <c r="G3953">
        <v>76</v>
      </c>
      <c r="H3953">
        <v>432.98871444277376</v>
      </c>
      <c r="N3953">
        <v>432.839</v>
      </c>
      <c r="O3953" s="1">
        <v>45048</v>
      </c>
      <c r="P3953">
        <f>IF(ISBLANK(ReconciliationData[[#This Row],[Invoice_ID]]),1,0)</f>
        <v>0</v>
      </c>
      <c r="Q3953">
        <f>IF(AND(NOT(ISBLANK(ReconciliationData[[#This Row],[Billed_Units]])),ReconciliationData[[#This Row],[ordered_units]]&lt;&gt;ReconciliationData[[#This Row],[Billed_Units]]),1,0)</f>
        <v>0</v>
      </c>
      <c r="R3953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953">
        <f>IF(AND(NOT(ISBLANK(ReconciliationData[[#This Row],[Contract_Price]])),ReconciliationData[[#This Row],[Billed_Price]]&lt;&gt;ReconciliationData[[#This Row],[Contract_Price]]),1,0)</f>
        <v>0</v>
      </c>
      <c r="T3953">
        <f>IF(AND(NOT(ISBLANK(ReconciliationData[[#This Row],[End_Date]])),ReconciliationData[[#This Row],[Order_Date]]&gt;ReconciliationData[[#This Row],[End_Date]]),1,0)</f>
        <v>0</v>
      </c>
      <c r="U3953">
        <f>IF(AND(NOT(ISBLANK(ReconciliationData[[#This Row],[last_return_date]])),ReconciliationData[[#This Row],[last_return_date]]&gt;ReconciliationData[[#This Row],[Order_Date]]+60),1,0)</f>
        <v>0</v>
      </c>
      <c r="V3953">
        <f>IF(ReconciliationData[[#This Row],[total_returned_units]]&gt;ReconciliationData[[#This Row],[ordered_units]],1,0)</f>
        <v>0</v>
      </c>
      <c r="W395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953">
        <f>ReconciliationData[[#This Row],[Billed_Units]]*ReconciliationData[[#This Row],[Billed_Price]]</f>
        <v>32907.142297650804</v>
      </c>
      <c r="Y3953">
        <f>ReconciliationData[[#This Row],[ordered_units]]*ReconciliationData[[#This Row],[List_Price]]</f>
        <v>32895.764000000003</v>
      </c>
      <c r="Z3953">
        <f>ReconciliationData[[#This Row],[billed_revenue]]-ReconciliationData[[#This Row],[expected_revenue]]</f>
        <v>11.37829765080096</v>
      </c>
      <c r="AA395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953" t="str">
        <f>IF(ReconciliationData[[#This Row],[severity_score]]=0,"LOW",
 IF(ReconciliationData[[#This Row],[severity_score]]&lt;=5,"MEDIUM","HIGH"))</f>
        <v>MEDIUM</v>
      </c>
      <c r="AC3953" t="str">
        <f>TEXT(ReconciliationData[[#This Row],[Order_Date]],"YYYY-MM")</f>
        <v>2024-04</v>
      </c>
    </row>
    <row r="3954" spans="1:29">
      <c r="A3954" t="s">
        <v>9130</v>
      </c>
      <c r="B3954" s="1">
        <v>45383</v>
      </c>
      <c r="C3954" t="s">
        <v>5075</v>
      </c>
      <c r="D3954" t="s">
        <v>430</v>
      </c>
      <c r="E3954">
        <v>36</v>
      </c>
      <c r="F3954" t="s">
        <v>9131</v>
      </c>
      <c r="G3954">
        <v>36</v>
      </c>
      <c r="H3954">
        <v>876.32749999999999</v>
      </c>
      <c r="N3954">
        <v>876.32749999999999</v>
      </c>
      <c r="O3954" s="1">
        <v>45106</v>
      </c>
      <c r="P3954">
        <f>IF(ISBLANK(ReconciliationData[[#This Row],[Invoice_ID]]),1,0)</f>
        <v>0</v>
      </c>
      <c r="Q3954">
        <f>IF(AND(NOT(ISBLANK(ReconciliationData[[#This Row],[Billed_Units]])),ReconciliationData[[#This Row],[ordered_units]]&lt;&gt;ReconciliationData[[#This Row],[Billed_Units]]),1,0)</f>
        <v>0</v>
      </c>
      <c r="R395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54">
        <f>IF(AND(NOT(ISBLANK(ReconciliationData[[#This Row],[Contract_Price]])),ReconciliationData[[#This Row],[Billed_Price]]&lt;&gt;ReconciliationData[[#This Row],[Contract_Price]]),1,0)</f>
        <v>0</v>
      </c>
      <c r="T3954">
        <f>IF(AND(NOT(ISBLANK(ReconciliationData[[#This Row],[End_Date]])),ReconciliationData[[#This Row],[Order_Date]]&gt;ReconciliationData[[#This Row],[End_Date]]),1,0)</f>
        <v>0</v>
      </c>
      <c r="U3954">
        <f>IF(AND(NOT(ISBLANK(ReconciliationData[[#This Row],[last_return_date]])),ReconciliationData[[#This Row],[last_return_date]]&gt;ReconciliationData[[#This Row],[Order_Date]]+60),1,0)</f>
        <v>0</v>
      </c>
      <c r="V3954">
        <f>IF(ReconciliationData[[#This Row],[total_returned_units]]&gt;ReconciliationData[[#This Row],[ordered_units]],1,0)</f>
        <v>0</v>
      </c>
      <c r="W395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54">
        <f>ReconciliationData[[#This Row],[Billed_Units]]*ReconciliationData[[#This Row],[Billed_Price]]</f>
        <v>31547.79</v>
      </c>
      <c r="Y3954">
        <f>ReconciliationData[[#This Row],[ordered_units]]*ReconciliationData[[#This Row],[List_Price]]</f>
        <v>31547.79</v>
      </c>
      <c r="Z3954">
        <f>ReconciliationData[[#This Row],[billed_revenue]]-ReconciliationData[[#This Row],[expected_revenue]]</f>
        <v>0</v>
      </c>
      <c r="AA395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54" t="str">
        <f>IF(ReconciliationData[[#This Row],[severity_score]]=0,"LOW",
 IF(ReconciliationData[[#This Row],[severity_score]]&lt;=5,"MEDIUM","HIGH"))</f>
        <v>LOW</v>
      </c>
      <c r="AC3954" t="str">
        <f>TEXT(ReconciliationData[[#This Row],[Order_Date]],"YYYY-MM")</f>
        <v>2024-04</v>
      </c>
    </row>
    <row r="3955" spans="1:29">
      <c r="A3955" t="s">
        <v>9132</v>
      </c>
      <c r="B3955" s="1">
        <v>45422</v>
      </c>
      <c r="C3955" t="s">
        <v>3160</v>
      </c>
      <c r="D3955" t="s">
        <v>969</v>
      </c>
      <c r="E3955">
        <v>155</v>
      </c>
      <c r="F3955" t="s">
        <v>9133</v>
      </c>
      <c r="G3955">
        <v>155</v>
      </c>
      <c r="H3955">
        <v>991.99</v>
      </c>
      <c r="N3955">
        <v>991.99</v>
      </c>
      <c r="O3955" s="1">
        <v>44976</v>
      </c>
      <c r="P3955">
        <f>IF(ISBLANK(ReconciliationData[[#This Row],[Invoice_ID]]),1,0)</f>
        <v>0</v>
      </c>
      <c r="Q3955">
        <f>IF(AND(NOT(ISBLANK(ReconciliationData[[#This Row],[Billed_Units]])),ReconciliationData[[#This Row],[ordered_units]]&lt;&gt;ReconciliationData[[#This Row],[Billed_Units]]),1,0)</f>
        <v>0</v>
      </c>
      <c r="R395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55">
        <f>IF(AND(NOT(ISBLANK(ReconciliationData[[#This Row],[Contract_Price]])),ReconciliationData[[#This Row],[Billed_Price]]&lt;&gt;ReconciliationData[[#This Row],[Contract_Price]]),1,0)</f>
        <v>0</v>
      </c>
      <c r="T3955">
        <f>IF(AND(NOT(ISBLANK(ReconciliationData[[#This Row],[End_Date]])),ReconciliationData[[#This Row],[Order_Date]]&gt;ReconciliationData[[#This Row],[End_Date]]),1,0)</f>
        <v>0</v>
      </c>
      <c r="U3955">
        <f>IF(AND(NOT(ISBLANK(ReconciliationData[[#This Row],[last_return_date]])),ReconciliationData[[#This Row],[last_return_date]]&gt;ReconciliationData[[#This Row],[Order_Date]]+60),1,0)</f>
        <v>0</v>
      </c>
      <c r="V3955">
        <f>IF(ReconciliationData[[#This Row],[total_returned_units]]&gt;ReconciliationData[[#This Row],[ordered_units]],1,0)</f>
        <v>0</v>
      </c>
      <c r="W395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55">
        <f>ReconciliationData[[#This Row],[Billed_Units]]*ReconciliationData[[#This Row],[Billed_Price]]</f>
        <v>153758.45000000001</v>
      </c>
      <c r="Y3955">
        <f>ReconciliationData[[#This Row],[ordered_units]]*ReconciliationData[[#This Row],[List_Price]]</f>
        <v>153758.45000000001</v>
      </c>
      <c r="Z3955">
        <f>ReconciliationData[[#This Row],[billed_revenue]]-ReconciliationData[[#This Row],[expected_revenue]]</f>
        <v>0</v>
      </c>
      <c r="AA395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55" t="str">
        <f>IF(ReconciliationData[[#This Row],[severity_score]]=0,"LOW",
 IF(ReconciliationData[[#This Row],[severity_score]]&lt;=5,"MEDIUM","HIGH"))</f>
        <v>LOW</v>
      </c>
      <c r="AC3955" t="str">
        <f>TEXT(ReconciliationData[[#This Row],[Order_Date]],"YYYY-MM")</f>
        <v>2024-05</v>
      </c>
    </row>
    <row r="3956" spans="1:29">
      <c r="A3956" t="s">
        <v>9134</v>
      </c>
      <c r="B3956" s="1">
        <v>45089</v>
      </c>
      <c r="C3956" t="s">
        <v>2595</v>
      </c>
      <c r="D3956" t="s">
        <v>389</v>
      </c>
      <c r="E3956">
        <v>106</v>
      </c>
      <c r="F3956" t="s">
        <v>9135</v>
      </c>
      <c r="G3956">
        <v>106</v>
      </c>
      <c r="H3956">
        <v>782.04880000000003</v>
      </c>
      <c r="N3956">
        <v>782.04880000000003</v>
      </c>
      <c r="O3956" s="1">
        <v>44996</v>
      </c>
      <c r="P3956">
        <f>IF(ISBLANK(ReconciliationData[[#This Row],[Invoice_ID]]),1,0)</f>
        <v>0</v>
      </c>
      <c r="Q3956">
        <f>IF(AND(NOT(ISBLANK(ReconciliationData[[#This Row],[Billed_Units]])),ReconciliationData[[#This Row],[ordered_units]]&lt;&gt;ReconciliationData[[#This Row],[Billed_Units]]),1,0)</f>
        <v>0</v>
      </c>
      <c r="R395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56">
        <f>IF(AND(NOT(ISBLANK(ReconciliationData[[#This Row],[Contract_Price]])),ReconciliationData[[#This Row],[Billed_Price]]&lt;&gt;ReconciliationData[[#This Row],[Contract_Price]]),1,0)</f>
        <v>0</v>
      </c>
      <c r="T3956">
        <f>IF(AND(NOT(ISBLANK(ReconciliationData[[#This Row],[End_Date]])),ReconciliationData[[#This Row],[Order_Date]]&gt;ReconciliationData[[#This Row],[End_Date]]),1,0)</f>
        <v>0</v>
      </c>
      <c r="U3956">
        <f>IF(AND(NOT(ISBLANK(ReconciliationData[[#This Row],[last_return_date]])),ReconciliationData[[#This Row],[last_return_date]]&gt;ReconciliationData[[#This Row],[Order_Date]]+60),1,0)</f>
        <v>0</v>
      </c>
      <c r="V3956">
        <f>IF(ReconciliationData[[#This Row],[total_returned_units]]&gt;ReconciliationData[[#This Row],[ordered_units]],1,0)</f>
        <v>0</v>
      </c>
      <c r="W395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56">
        <f>ReconciliationData[[#This Row],[Billed_Units]]*ReconciliationData[[#This Row],[Billed_Price]]</f>
        <v>82897.1728</v>
      </c>
      <c r="Y3956">
        <f>ReconciliationData[[#This Row],[ordered_units]]*ReconciliationData[[#This Row],[List_Price]]</f>
        <v>82897.1728</v>
      </c>
      <c r="Z3956">
        <f>ReconciliationData[[#This Row],[billed_revenue]]-ReconciliationData[[#This Row],[expected_revenue]]</f>
        <v>0</v>
      </c>
      <c r="AA395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56" t="str">
        <f>IF(ReconciliationData[[#This Row],[severity_score]]=0,"LOW",
 IF(ReconciliationData[[#This Row],[severity_score]]&lt;=5,"MEDIUM","HIGH"))</f>
        <v>LOW</v>
      </c>
      <c r="AC3956" t="str">
        <f>TEXT(ReconciliationData[[#This Row],[Order_Date]],"YYYY-MM")</f>
        <v>2023-06</v>
      </c>
    </row>
    <row r="3957" spans="1:29">
      <c r="A3957" t="s">
        <v>9136</v>
      </c>
      <c r="B3957" s="1">
        <v>45360</v>
      </c>
      <c r="C3957" t="s">
        <v>1908</v>
      </c>
      <c r="D3957" t="s">
        <v>1315</v>
      </c>
      <c r="E3957">
        <v>69</v>
      </c>
      <c r="F3957" t="s">
        <v>9137</v>
      </c>
      <c r="G3957">
        <v>69</v>
      </c>
      <c r="H3957">
        <v>334.24649999999997</v>
      </c>
      <c r="N3957">
        <v>334.24649999999997</v>
      </c>
      <c r="O3957" s="1">
        <v>45125</v>
      </c>
      <c r="P3957">
        <f>IF(ISBLANK(ReconciliationData[[#This Row],[Invoice_ID]]),1,0)</f>
        <v>0</v>
      </c>
      <c r="Q3957">
        <f>IF(AND(NOT(ISBLANK(ReconciliationData[[#This Row],[Billed_Units]])),ReconciliationData[[#This Row],[ordered_units]]&lt;&gt;ReconciliationData[[#This Row],[Billed_Units]]),1,0)</f>
        <v>0</v>
      </c>
      <c r="R395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57">
        <f>IF(AND(NOT(ISBLANK(ReconciliationData[[#This Row],[Contract_Price]])),ReconciliationData[[#This Row],[Billed_Price]]&lt;&gt;ReconciliationData[[#This Row],[Contract_Price]]),1,0)</f>
        <v>0</v>
      </c>
      <c r="T3957">
        <f>IF(AND(NOT(ISBLANK(ReconciliationData[[#This Row],[End_Date]])),ReconciliationData[[#This Row],[Order_Date]]&gt;ReconciliationData[[#This Row],[End_Date]]),1,0)</f>
        <v>0</v>
      </c>
      <c r="U3957">
        <f>IF(AND(NOT(ISBLANK(ReconciliationData[[#This Row],[last_return_date]])),ReconciliationData[[#This Row],[last_return_date]]&gt;ReconciliationData[[#This Row],[Order_Date]]+60),1,0)</f>
        <v>0</v>
      </c>
      <c r="V3957">
        <f>IF(ReconciliationData[[#This Row],[total_returned_units]]&gt;ReconciliationData[[#This Row],[ordered_units]],1,0)</f>
        <v>0</v>
      </c>
      <c r="W395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57">
        <f>ReconciliationData[[#This Row],[Billed_Units]]*ReconciliationData[[#This Row],[Billed_Price]]</f>
        <v>23063.008499999996</v>
      </c>
      <c r="Y3957">
        <f>ReconciliationData[[#This Row],[ordered_units]]*ReconciliationData[[#This Row],[List_Price]]</f>
        <v>23063.008499999996</v>
      </c>
      <c r="Z3957">
        <f>ReconciliationData[[#This Row],[billed_revenue]]-ReconciliationData[[#This Row],[expected_revenue]]</f>
        <v>0</v>
      </c>
      <c r="AA395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57" t="str">
        <f>IF(ReconciliationData[[#This Row],[severity_score]]=0,"LOW",
 IF(ReconciliationData[[#This Row],[severity_score]]&lt;=5,"MEDIUM","HIGH"))</f>
        <v>LOW</v>
      </c>
      <c r="AC3957" t="str">
        <f>TEXT(ReconciliationData[[#This Row],[Order_Date]],"YYYY-MM")</f>
        <v>2024-03</v>
      </c>
    </row>
    <row r="3958" spans="1:29">
      <c r="A3958" t="s">
        <v>9138</v>
      </c>
      <c r="B3958" s="1">
        <v>45394</v>
      </c>
      <c r="C3958" t="s">
        <v>1053</v>
      </c>
      <c r="D3958" t="s">
        <v>512</v>
      </c>
      <c r="E3958">
        <v>190</v>
      </c>
      <c r="F3958" t="s">
        <v>9139</v>
      </c>
      <c r="G3958">
        <v>190</v>
      </c>
      <c r="H3958">
        <v>211.68960000000001</v>
      </c>
      <c r="N3958">
        <v>211.68960000000001</v>
      </c>
      <c r="O3958" s="1">
        <v>45129</v>
      </c>
      <c r="P3958">
        <f>IF(ISBLANK(ReconciliationData[[#This Row],[Invoice_ID]]),1,0)</f>
        <v>0</v>
      </c>
      <c r="Q3958">
        <f>IF(AND(NOT(ISBLANK(ReconciliationData[[#This Row],[Billed_Units]])),ReconciliationData[[#This Row],[ordered_units]]&lt;&gt;ReconciliationData[[#This Row],[Billed_Units]]),1,0)</f>
        <v>0</v>
      </c>
      <c r="R395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58">
        <f>IF(AND(NOT(ISBLANK(ReconciliationData[[#This Row],[Contract_Price]])),ReconciliationData[[#This Row],[Billed_Price]]&lt;&gt;ReconciliationData[[#This Row],[Contract_Price]]),1,0)</f>
        <v>0</v>
      </c>
      <c r="T3958">
        <f>IF(AND(NOT(ISBLANK(ReconciliationData[[#This Row],[End_Date]])),ReconciliationData[[#This Row],[Order_Date]]&gt;ReconciliationData[[#This Row],[End_Date]]),1,0)</f>
        <v>0</v>
      </c>
      <c r="U3958">
        <f>IF(AND(NOT(ISBLANK(ReconciliationData[[#This Row],[last_return_date]])),ReconciliationData[[#This Row],[last_return_date]]&gt;ReconciliationData[[#This Row],[Order_Date]]+60),1,0)</f>
        <v>0</v>
      </c>
      <c r="V3958">
        <f>IF(ReconciliationData[[#This Row],[total_returned_units]]&gt;ReconciliationData[[#This Row],[ordered_units]],1,0)</f>
        <v>0</v>
      </c>
      <c r="W395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58">
        <f>ReconciliationData[[#This Row],[Billed_Units]]*ReconciliationData[[#This Row],[Billed_Price]]</f>
        <v>40221.024000000005</v>
      </c>
      <c r="Y3958">
        <f>ReconciliationData[[#This Row],[ordered_units]]*ReconciliationData[[#This Row],[List_Price]]</f>
        <v>40221.024000000005</v>
      </c>
      <c r="Z3958">
        <f>ReconciliationData[[#This Row],[billed_revenue]]-ReconciliationData[[#This Row],[expected_revenue]]</f>
        <v>0</v>
      </c>
      <c r="AA395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58" t="str">
        <f>IF(ReconciliationData[[#This Row],[severity_score]]=0,"LOW",
 IF(ReconciliationData[[#This Row],[severity_score]]&lt;=5,"MEDIUM","HIGH"))</f>
        <v>LOW</v>
      </c>
      <c r="AC3958" t="str">
        <f>TEXT(ReconciliationData[[#This Row],[Order_Date]],"YYYY-MM")</f>
        <v>2024-04</v>
      </c>
    </row>
    <row r="3959" spans="1:29">
      <c r="A3959" t="s">
        <v>9140</v>
      </c>
      <c r="B3959" s="1">
        <v>45331</v>
      </c>
      <c r="C3959" t="s">
        <v>426</v>
      </c>
      <c r="D3959" t="s">
        <v>263</v>
      </c>
      <c r="E3959">
        <v>53</v>
      </c>
      <c r="F3959" t="s">
        <v>9141</v>
      </c>
      <c r="G3959">
        <v>53</v>
      </c>
      <c r="H3959">
        <v>1147.3289</v>
      </c>
      <c r="N3959">
        <v>1147.3289</v>
      </c>
      <c r="O3959" s="1">
        <v>44945</v>
      </c>
      <c r="P3959">
        <f>IF(ISBLANK(ReconciliationData[[#This Row],[Invoice_ID]]),1,0)</f>
        <v>0</v>
      </c>
      <c r="Q3959">
        <f>IF(AND(NOT(ISBLANK(ReconciliationData[[#This Row],[Billed_Units]])),ReconciliationData[[#This Row],[ordered_units]]&lt;&gt;ReconciliationData[[#This Row],[Billed_Units]]),1,0)</f>
        <v>0</v>
      </c>
      <c r="R395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59">
        <f>IF(AND(NOT(ISBLANK(ReconciliationData[[#This Row],[Contract_Price]])),ReconciliationData[[#This Row],[Billed_Price]]&lt;&gt;ReconciliationData[[#This Row],[Contract_Price]]),1,0)</f>
        <v>0</v>
      </c>
      <c r="T3959">
        <f>IF(AND(NOT(ISBLANK(ReconciliationData[[#This Row],[End_Date]])),ReconciliationData[[#This Row],[Order_Date]]&gt;ReconciliationData[[#This Row],[End_Date]]),1,0)</f>
        <v>0</v>
      </c>
      <c r="U3959">
        <f>IF(AND(NOT(ISBLANK(ReconciliationData[[#This Row],[last_return_date]])),ReconciliationData[[#This Row],[last_return_date]]&gt;ReconciliationData[[#This Row],[Order_Date]]+60),1,0)</f>
        <v>0</v>
      </c>
      <c r="V3959">
        <f>IF(ReconciliationData[[#This Row],[total_returned_units]]&gt;ReconciliationData[[#This Row],[ordered_units]],1,0)</f>
        <v>0</v>
      </c>
      <c r="W395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59">
        <f>ReconciliationData[[#This Row],[Billed_Units]]*ReconciliationData[[#This Row],[Billed_Price]]</f>
        <v>60808.431700000001</v>
      </c>
      <c r="Y3959">
        <f>ReconciliationData[[#This Row],[ordered_units]]*ReconciliationData[[#This Row],[List_Price]]</f>
        <v>60808.431700000001</v>
      </c>
      <c r="Z3959">
        <f>ReconciliationData[[#This Row],[billed_revenue]]-ReconciliationData[[#This Row],[expected_revenue]]</f>
        <v>0</v>
      </c>
      <c r="AA395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59" t="str">
        <f>IF(ReconciliationData[[#This Row],[severity_score]]=0,"LOW",
 IF(ReconciliationData[[#This Row],[severity_score]]&lt;=5,"MEDIUM","HIGH"))</f>
        <v>LOW</v>
      </c>
      <c r="AC3959" t="str">
        <f>TEXT(ReconciliationData[[#This Row],[Order_Date]],"YYYY-MM")</f>
        <v>2024-02</v>
      </c>
    </row>
    <row r="3960" spans="1:29">
      <c r="A3960" t="s">
        <v>9142</v>
      </c>
      <c r="B3960" s="1">
        <v>45641</v>
      </c>
      <c r="C3960" t="s">
        <v>3627</v>
      </c>
      <c r="D3960" t="s">
        <v>1525</v>
      </c>
      <c r="E3960">
        <v>25</v>
      </c>
      <c r="F3960" t="s">
        <v>9143</v>
      </c>
      <c r="G3960">
        <v>25</v>
      </c>
      <c r="H3960">
        <v>1067.6925000000001</v>
      </c>
      <c r="N3960">
        <v>1067.6925000000001</v>
      </c>
      <c r="O3960" s="1">
        <v>44999</v>
      </c>
      <c r="P3960">
        <f>IF(ISBLANK(ReconciliationData[[#This Row],[Invoice_ID]]),1,0)</f>
        <v>0</v>
      </c>
      <c r="Q3960">
        <f>IF(AND(NOT(ISBLANK(ReconciliationData[[#This Row],[Billed_Units]])),ReconciliationData[[#This Row],[ordered_units]]&lt;&gt;ReconciliationData[[#This Row],[Billed_Units]]),1,0)</f>
        <v>0</v>
      </c>
      <c r="R396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0">
        <f>IF(AND(NOT(ISBLANK(ReconciliationData[[#This Row],[Contract_Price]])),ReconciliationData[[#This Row],[Billed_Price]]&lt;&gt;ReconciliationData[[#This Row],[Contract_Price]]),1,0)</f>
        <v>0</v>
      </c>
      <c r="T3960">
        <f>IF(AND(NOT(ISBLANK(ReconciliationData[[#This Row],[End_Date]])),ReconciliationData[[#This Row],[Order_Date]]&gt;ReconciliationData[[#This Row],[End_Date]]),1,0)</f>
        <v>0</v>
      </c>
      <c r="U3960">
        <f>IF(AND(NOT(ISBLANK(ReconciliationData[[#This Row],[last_return_date]])),ReconciliationData[[#This Row],[last_return_date]]&gt;ReconciliationData[[#This Row],[Order_Date]]+60),1,0)</f>
        <v>0</v>
      </c>
      <c r="V3960">
        <f>IF(ReconciliationData[[#This Row],[total_returned_units]]&gt;ReconciliationData[[#This Row],[ordered_units]],1,0)</f>
        <v>0</v>
      </c>
      <c r="W396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0">
        <f>ReconciliationData[[#This Row],[Billed_Units]]*ReconciliationData[[#This Row],[Billed_Price]]</f>
        <v>26692.312500000004</v>
      </c>
      <c r="Y3960">
        <f>ReconciliationData[[#This Row],[ordered_units]]*ReconciliationData[[#This Row],[List_Price]]</f>
        <v>26692.312500000004</v>
      </c>
      <c r="Z3960">
        <f>ReconciliationData[[#This Row],[billed_revenue]]-ReconciliationData[[#This Row],[expected_revenue]]</f>
        <v>0</v>
      </c>
      <c r="AA396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0" t="str">
        <f>IF(ReconciliationData[[#This Row],[severity_score]]=0,"LOW",
 IF(ReconciliationData[[#This Row],[severity_score]]&lt;=5,"MEDIUM","HIGH"))</f>
        <v>LOW</v>
      </c>
      <c r="AC3960" t="str">
        <f>TEXT(ReconciliationData[[#This Row],[Order_Date]],"YYYY-MM")</f>
        <v>2024-12</v>
      </c>
    </row>
    <row r="3961" spans="1:29">
      <c r="A3961" t="s">
        <v>9144</v>
      </c>
      <c r="B3961" s="1">
        <v>45630</v>
      </c>
      <c r="C3961" t="s">
        <v>4256</v>
      </c>
      <c r="D3961" t="s">
        <v>2471</v>
      </c>
      <c r="E3961">
        <v>11</v>
      </c>
      <c r="F3961" t="s">
        <v>9145</v>
      </c>
      <c r="G3961">
        <v>11</v>
      </c>
      <c r="H3961">
        <v>1066.4874</v>
      </c>
      <c r="N3961">
        <v>1066.4874</v>
      </c>
      <c r="O3961" s="1">
        <v>45077</v>
      </c>
      <c r="P3961">
        <f>IF(ISBLANK(ReconciliationData[[#This Row],[Invoice_ID]]),1,0)</f>
        <v>0</v>
      </c>
      <c r="Q3961">
        <f>IF(AND(NOT(ISBLANK(ReconciliationData[[#This Row],[Billed_Units]])),ReconciliationData[[#This Row],[ordered_units]]&lt;&gt;ReconciliationData[[#This Row],[Billed_Units]]),1,0)</f>
        <v>0</v>
      </c>
      <c r="R396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1">
        <f>IF(AND(NOT(ISBLANK(ReconciliationData[[#This Row],[Contract_Price]])),ReconciliationData[[#This Row],[Billed_Price]]&lt;&gt;ReconciliationData[[#This Row],[Contract_Price]]),1,0)</f>
        <v>0</v>
      </c>
      <c r="T3961">
        <f>IF(AND(NOT(ISBLANK(ReconciliationData[[#This Row],[End_Date]])),ReconciliationData[[#This Row],[Order_Date]]&gt;ReconciliationData[[#This Row],[End_Date]]),1,0)</f>
        <v>0</v>
      </c>
      <c r="U3961">
        <f>IF(AND(NOT(ISBLANK(ReconciliationData[[#This Row],[last_return_date]])),ReconciliationData[[#This Row],[last_return_date]]&gt;ReconciliationData[[#This Row],[Order_Date]]+60),1,0)</f>
        <v>0</v>
      </c>
      <c r="V3961">
        <f>IF(ReconciliationData[[#This Row],[total_returned_units]]&gt;ReconciliationData[[#This Row],[ordered_units]],1,0)</f>
        <v>0</v>
      </c>
      <c r="W396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1">
        <f>ReconciliationData[[#This Row],[Billed_Units]]*ReconciliationData[[#This Row],[Billed_Price]]</f>
        <v>11731.3614</v>
      </c>
      <c r="Y3961">
        <f>ReconciliationData[[#This Row],[ordered_units]]*ReconciliationData[[#This Row],[List_Price]]</f>
        <v>11731.3614</v>
      </c>
      <c r="Z3961">
        <f>ReconciliationData[[#This Row],[billed_revenue]]-ReconciliationData[[#This Row],[expected_revenue]]</f>
        <v>0</v>
      </c>
      <c r="AA396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1" t="str">
        <f>IF(ReconciliationData[[#This Row],[severity_score]]=0,"LOW",
 IF(ReconciliationData[[#This Row],[severity_score]]&lt;=5,"MEDIUM","HIGH"))</f>
        <v>LOW</v>
      </c>
      <c r="AC3961" t="str">
        <f>TEXT(ReconciliationData[[#This Row],[Order_Date]],"YYYY-MM")</f>
        <v>2024-12</v>
      </c>
    </row>
    <row r="3962" spans="1:29">
      <c r="A3962" t="s">
        <v>9146</v>
      </c>
      <c r="B3962" s="1">
        <v>45282</v>
      </c>
      <c r="C3962" t="s">
        <v>1304</v>
      </c>
      <c r="D3962" t="s">
        <v>423</v>
      </c>
      <c r="E3962">
        <v>59</v>
      </c>
      <c r="F3962" t="s">
        <v>9147</v>
      </c>
      <c r="G3962">
        <v>59</v>
      </c>
      <c r="H3962">
        <v>168.12909999999999</v>
      </c>
      <c r="N3962">
        <v>168.12909999999999</v>
      </c>
      <c r="O3962" s="1">
        <v>45013</v>
      </c>
      <c r="P3962">
        <f>IF(ISBLANK(ReconciliationData[[#This Row],[Invoice_ID]]),1,0)</f>
        <v>0</v>
      </c>
      <c r="Q3962">
        <f>IF(AND(NOT(ISBLANK(ReconciliationData[[#This Row],[Billed_Units]])),ReconciliationData[[#This Row],[ordered_units]]&lt;&gt;ReconciliationData[[#This Row],[Billed_Units]]),1,0)</f>
        <v>0</v>
      </c>
      <c r="R396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2">
        <f>IF(AND(NOT(ISBLANK(ReconciliationData[[#This Row],[Contract_Price]])),ReconciliationData[[#This Row],[Billed_Price]]&lt;&gt;ReconciliationData[[#This Row],[Contract_Price]]),1,0)</f>
        <v>0</v>
      </c>
      <c r="T3962">
        <f>IF(AND(NOT(ISBLANK(ReconciliationData[[#This Row],[End_Date]])),ReconciliationData[[#This Row],[Order_Date]]&gt;ReconciliationData[[#This Row],[End_Date]]),1,0)</f>
        <v>0</v>
      </c>
      <c r="U3962">
        <f>IF(AND(NOT(ISBLANK(ReconciliationData[[#This Row],[last_return_date]])),ReconciliationData[[#This Row],[last_return_date]]&gt;ReconciliationData[[#This Row],[Order_Date]]+60),1,0)</f>
        <v>0</v>
      </c>
      <c r="V3962">
        <f>IF(ReconciliationData[[#This Row],[total_returned_units]]&gt;ReconciliationData[[#This Row],[ordered_units]],1,0)</f>
        <v>0</v>
      </c>
      <c r="W396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2">
        <f>ReconciliationData[[#This Row],[Billed_Units]]*ReconciliationData[[#This Row],[Billed_Price]]</f>
        <v>9919.6168999999991</v>
      </c>
      <c r="Y3962">
        <f>ReconciliationData[[#This Row],[ordered_units]]*ReconciliationData[[#This Row],[List_Price]]</f>
        <v>9919.6168999999991</v>
      </c>
      <c r="Z3962">
        <f>ReconciliationData[[#This Row],[billed_revenue]]-ReconciliationData[[#This Row],[expected_revenue]]</f>
        <v>0</v>
      </c>
      <c r="AA396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2" t="str">
        <f>IF(ReconciliationData[[#This Row],[severity_score]]=0,"LOW",
 IF(ReconciliationData[[#This Row],[severity_score]]&lt;=5,"MEDIUM","HIGH"))</f>
        <v>LOW</v>
      </c>
      <c r="AC3962" t="str">
        <f>TEXT(ReconciliationData[[#This Row],[Order_Date]],"YYYY-MM")</f>
        <v>2023-12</v>
      </c>
    </row>
    <row r="3963" spans="1:29">
      <c r="A3963" t="s">
        <v>9148</v>
      </c>
      <c r="B3963" s="1">
        <v>45389</v>
      </c>
      <c r="C3963" t="s">
        <v>6737</v>
      </c>
      <c r="D3963" t="s">
        <v>1382</v>
      </c>
      <c r="E3963">
        <v>80</v>
      </c>
      <c r="F3963" t="s">
        <v>9149</v>
      </c>
      <c r="G3963">
        <v>80</v>
      </c>
      <c r="H3963">
        <v>82.026000000000025</v>
      </c>
      <c r="N3963">
        <v>82.026000000000025</v>
      </c>
      <c r="O3963" s="1">
        <v>45061</v>
      </c>
      <c r="P3963">
        <f>IF(ISBLANK(ReconciliationData[[#This Row],[Invoice_ID]]),1,0)</f>
        <v>0</v>
      </c>
      <c r="Q3963">
        <f>IF(AND(NOT(ISBLANK(ReconciliationData[[#This Row],[Billed_Units]])),ReconciliationData[[#This Row],[ordered_units]]&lt;&gt;ReconciliationData[[#This Row],[Billed_Units]]),1,0)</f>
        <v>0</v>
      </c>
      <c r="R396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3">
        <f>IF(AND(NOT(ISBLANK(ReconciliationData[[#This Row],[Contract_Price]])),ReconciliationData[[#This Row],[Billed_Price]]&lt;&gt;ReconciliationData[[#This Row],[Contract_Price]]),1,0)</f>
        <v>0</v>
      </c>
      <c r="T3963">
        <f>IF(AND(NOT(ISBLANK(ReconciliationData[[#This Row],[End_Date]])),ReconciliationData[[#This Row],[Order_Date]]&gt;ReconciliationData[[#This Row],[End_Date]]),1,0)</f>
        <v>0</v>
      </c>
      <c r="U3963">
        <f>IF(AND(NOT(ISBLANK(ReconciliationData[[#This Row],[last_return_date]])),ReconciliationData[[#This Row],[last_return_date]]&gt;ReconciliationData[[#This Row],[Order_Date]]+60),1,0)</f>
        <v>0</v>
      </c>
      <c r="V3963">
        <f>IF(ReconciliationData[[#This Row],[total_returned_units]]&gt;ReconciliationData[[#This Row],[ordered_units]],1,0)</f>
        <v>0</v>
      </c>
      <c r="W396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3">
        <f>ReconciliationData[[#This Row],[Billed_Units]]*ReconciliationData[[#This Row],[Billed_Price]]</f>
        <v>6562.0800000000017</v>
      </c>
      <c r="Y3963">
        <f>ReconciliationData[[#This Row],[ordered_units]]*ReconciliationData[[#This Row],[List_Price]]</f>
        <v>6562.0800000000017</v>
      </c>
      <c r="Z3963">
        <f>ReconciliationData[[#This Row],[billed_revenue]]-ReconciliationData[[#This Row],[expected_revenue]]</f>
        <v>0</v>
      </c>
      <c r="AA396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3" t="str">
        <f>IF(ReconciliationData[[#This Row],[severity_score]]=0,"LOW",
 IF(ReconciliationData[[#This Row],[severity_score]]&lt;=5,"MEDIUM","HIGH"))</f>
        <v>LOW</v>
      </c>
      <c r="AC3963" t="str">
        <f>TEXT(ReconciliationData[[#This Row],[Order_Date]],"YYYY-MM")</f>
        <v>2024-04</v>
      </c>
    </row>
    <row r="3964" spans="1:29">
      <c r="A3964" t="s">
        <v>9150</v>
      </c>
      <c r="B3964" s="1">
        <v>45448</v>
      </c>
      <c r="C3964" t="s">
        <v>3388</v>
      </c>
      <c r="D3964" t="s">
        <v>1491</v>
      </c>
      <c r="E3964">
        <v>157</v>
      </c>
      <c r="F3964" t="s">
        <v>9151</v>
      </c>
      <c r="G3964">
        <v>157</v>
      </c>
      <c r="H3964">
        <v>919.86659999999995</v>
      </c>
      <c r="N3964">
        <v>919.86659999999995</v>
      </c>
      <c r="O3964" s="1">
        <v>45108</v>
      </c>
      <c r="P3964">
        <f>IF(ISBLANK(ReconciliationData[[#This Row],[Invoice_ID]]),1,0)</f>
        <v>0</v>
      </c>
      <c r="Q3964">
        <f>IF(AND(NOT(ISBLANK(ReconciliationData[[#This Row],[Billed_Units]])),ReconciliationData[[#This Row],[ordered_units]]&lt;&gt;ReconciliationData[[#This Row],[Billed_Units]]),1,0)</f>
        <v>0</v>
      </c>
      <c r="R396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4">
        <f>IF(AND(NOT(ISBLANK(ReconciliationData[[#This Row],[Contract_Price]])),ReconciliationData[[#This Row],[Billed_Price]]&lt;&gt;ReconciliationData[[#This Row],[Contract_Price]]),1,0)</f>
        <v>0</v>
      </c>
      <c r="T3964">
        <f>IF(AND(NOT(ISBLANK(ReconciliationData[[#This Row],[End_Date]])),ReconciliationData[[#This Row],[Order_Date]]&gt;ReconciliationData[[#This Row],[End_Date]]),1,0)</f>
        <v>0</v>
      </c>
      <c r="U3964">
        <f>IF(AND(NOT(ISBLANK(ReconciliationData[[#This Row],[last_return_date]])),ReconciliationData[[#This Row],[last_return_date]]&gt;ReconciliationData[[#This Row],[Order_Date]]+60),1,0)</f>
        <v>0</v>
      </c>
      <c r="V3964">
        <f>IF(ReconciliationData[[#This Row],[total_returned_units]]&gt;ReconciliationData[[#This Row],[ordered_units]],1,0)</f>
        <v>0</v>
      </c>
      <c r="W396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4">
        <f>ReconciliationData[[#This Row],[Billed_Units]]*ReconciliationData[[#This Row],[Billed_Price]]</f>
        <v>144419.05619999999</v>
      </c>
      <c r="Y3964">
        <f>ReconciliationData[[#This Row],[ordered_units]]*ReconciliationData[[#This Row],[List_Price]]</f>
        <v>144419.05619999999</v>
      </c>
      <c r="Z3964">
        <f>ReconciliationData[[#This Row],[billed_revenue]]-ReconciliationData[[#This Row],[expected_revenue]]</f>
        <v>0</v>
      </c>
      <c r="AA396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4" t="str">
        <f>IF(ReconciliationData[[#This Row],[severity_score]]=0,"LOW",
 IF(ReconciliationData[[#This Row],[severity_score]]&lt;=5,"MEDIUM","HIGH"))</f>
        <v>LOW</v>
      </c>
      <c r="AC3964" t="str">
        <f>TEXT(ReconciliationData[[#This Row],[Order_Date]],"YYYY-MM")</f>
        <v>2024-06</v>
      </c>
    </row>
    <row r="3965" spans="1:29">
      <c r="A3965" t="s">
        <v>9152</v>
      </c>
      <c r="B3965" s="1">
        <v>45610</v>
      </c>
      <c r="C3965" t="s">
        <v>3401</v>
      </c>
      <c r="D3965" t="s">
        <v>291</v>
      </c>
      <c r="E3965">
        <v>164</v>
      </c>
      <c r="F3965" t="s">
        <v>9153</v>
      </c>
      <c r="G3965">
        <v>164</v>
      </c>
      <c r="H3965">
        <v>454.98379999999997</v>
      </c>
      <c r="N3965">
        <v>454.98379999999997</v>
      </c>
      <c r="O3965" s="1">
        <v>45011</v>
      </c>
      <c r="P3965">
        <f>IF(ISBLANK(ReconciliationData[[#This Row],[Invoice_ID]]),1,0)</f>
        <v>0</v>
      </c>
      <c r="Q3965">
        <f>IF(AND(NOT(ISBLANK(ReconciliationData[[#This Row],[Billed_Units]])),ReconciliationData[[#This Row],[ordered_units]]&lt;&gt;ReconciliationData[[#This Row],[Billed_Units]]),1,0)</f>
        <v>0</v>
      </c>
      <c r="R396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5">
        <f>IF(AND(NOT(ISBLANK(ReconciliationData[[#This Row],[Contract_Price]])),ReconciliationData[[#This Row],[Billed_Price]]&lt;&gt;ReconciliationData[[#This Row],[Contract_Price]]),1,0)</f>
        <v>0</v>
      </c>
      <c r="T3965">
        <f>IF(AND(NOT(ISBLANK(ReconciliationData[[#This Row],[End_Date]])),ReconciliationData[[#This Row],[Order_Date]]&gt;ReconciliationData[[#This Row],[End_Date]]),1,0)</f>
        <v>0</v>
      </c>
      <c r="U3965">
        <f>IF(AND(NOT(ISBLANK(ReconciliationData[[#This Row],[last_return_date]])),ReconciliationData[[#This Row],[last_return_date]]&gt;ReconciliationData[[#This Row],[Order_Date]]+60),1,0)</f>
        <v>0</v>
      </c>
      <c r="V3965">
        <f>IF(ReconciliationData[[#This Row],[total_returned_units]]&gt;ReconciliationData[[#This Row],[ordered_units]],1,0)</f>
        <v>0</v>
      </c>
      <c r="W396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5">
        <f>ReconciliationData[[#This Row],[Billed_Units]]*ReconciliationData[[#This Row],[Billed_Price]]</f>
        <v>74617.343200000003</v>
      </c>
      <c r="Y3965">
        <f>ReconciliationData[[#This Row],[ordered_units]]*ReconciliationData[[#This Row],[List_Price]]</f>
        <v>74617.343200000003</v>
      </c>
      <c r="Z3965">
        <f>ReconciliationData[[#This Row],[billed_revenue]]-ReconciliationData[[#This Row],[expected_revenue]]</f>
        <v>0</v>
      </c>
      <c r="AA396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5" t="str">
        <f>IF(ReconciliationData[[#This Row],[severity_score]]=0,"LOW",
 IF(ReconciliationData[[#This Row],[severity_score]]&lt;=5,"MEDIUM","HIGH"))</f>
        <v>LOW</v>
      </c>
      <c r="AC3965" t="str">
        <f>TEXT(ReconciliationData[[#This Row],[Order_Date]],"YYYY-MM")</f>
        <v>2024-11</v>
      </c>
    </row>
    <row r="3966" spans="1:29">
      <c r="A3966" t="s">
        <v>9154</v>
      </c>
      <c r="B3966" s="1">
        <v>44945</v>
      </c>
      <c r="C3966" t="s">
        <v>515</v>
      </c>
      <c r="D3966" t="s">
        <v>1235</v>
      </c>
      <c r="E3966">
        <v>162</v>
      </c>
      <c r="F3966" t="s">
        <v>9155</v>
      </c>
      <c r="G3966">
        <v>162</v>
      </c>
      <c r="H3966">
        <v>826.44</v>
      </c>
      <c r="N3966">
        <v>826.44</v>
      </c>
      <c r="O3966" s="1">
        <v>44613</v>
      </c>
      <c r="P3966">
        <f>IF(ISBLANK(ReconciliationData[[#This Row],[Invoice_ID]]),1,0)</f>
        <v>0</v>
      </c>
      <c r="Q3966">
        <f>IF(AND(NOT(ISBLANK(ReconciliationData[[#This Row],[Billed_Units]])),ReconciliationData[[#This Row],[ordered_units]]&lt;&gt;ReconciliationData[[#This Row],[Billed_Units]]),1,0)</f>
        <v>0</v>
      </c>
      <c r="R396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6">
        <f>IF(AND(NOT(ISBLANK(ReconciliationData[[#This Row],[Contract_Price]])),ReconciliationData[[#This Row],[Billed_Price]]&lt;&gt;ReconciliationData[[#This Row],[Contract_Price]]),1,0)</f>
        <v>0</v>
      </c>
      <c r="T3966">
        <f>IF(AND(NOT(ISBLANK(ReconciliationData[[#This Row],[End_Date]])),ReconciliationData[[#This Row],[Order_Date]]&gt;ReconciliationData[[#This Row],[End_Date]]),1,0)</f>
        <v>0</v>
      </c>
      <c r="U3966">
        <f>IF(AND(NOT(ISBLANK(ReconciliationData[[#This Row],[last_return_date]])),ReconciliationData[[#This Row],[last_return_date]]&gt;ReconciliationData[[#This Row],[Order_Date]]+60),1,0)</f>
        <v>0</v>
      </c>
      <c r="V3966">
        <f>IF(ReconciliationData[[#This Row],[total_returned_units]]&gt;ReconciliationData[[#This Row],[ordered_units]],1,0)</f>
        <v>0</v>
      </c>
      <c r="W396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6">
        <f>ReconciliationData[[#This Row],[Billed_Units]]*ReconciliationData[[#This Row],[Billed_Price]]</f>
        <v>133883.28</v>
      </c>
      <c r="Y3966">
        <f>ReconciliationData[[#This Row],[ordered_units]]*ReconciliationData[[#This Row],[List_Price]]</f>
        <v>133883.28</v>
      </c>
      <c r="Z3966">
        <f>ReconciliationData[[#This Row],[billed_revenue]]-ReconciliationData[[#This Row],[expected_revenue]]</f>
        <v>0</v>
      </c>
      <c r="AA396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6" t="str">
        <f>IF(ReconciliationData[[#This Row],[severity_score]]=0,"LOW",
 IF(ReconciliationData[[#This Row],[severity_score]]&lt;=5,"MEDIUM","HIGH"))</f>
        <v>LOW</v>
      </c>
      <c r="AC3966" t="str">
        <f>TEXT(ReconciliationData[[#This Row],[Order_Date]],"YYYY-MM")</f>
        <v>2023-01</v>
      </c>
    </row>
    <row r="3967" spans="1:29">
      <c r="A3967" t="s">
        <v>9156</v>
      </c>
      <c r="B3967" s="1">
        <v>45277</v>
      </c>
      <c r="C3967" t="s">
        <v>859</v>
      </c>
      <c r="D3967" t="s">
        <v>306</v>
      </c>
      <c r="E3967">
        <v>177</v>
      </c>
      <c r="F3967" t="s">
        <v>9157</v>
      </c>
      <c r="G3967">
        <v>177</v>
      </c>
      <c r="H3967">
        <v>1211.7708</v>
      </c>
      <c r="N3967">
        <v>1211.7708</v>
      </c>
      <c r="O3967" s="1">
        <v>45193</v>
      </c>
      <c r="P3967">
        <f>IF(ISBLANK(ReconciliationData[[#This Row],[Invoice_ID]]),1,0)</f>
        <v>0</v>
      </c>
      <c r="Q3967">
        <f>IF(AND(NOT(ISBLANK(ReconciliationData[[#This Row],[Billed_Units]])),ReconciliationData[[#This Row],[ordered_units]]&lt;&gt;ReconciliationData[[#This Row],[Billed_Units]]),1,0)</f>
        <v>0</v>
      </c>
      <c r="R396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7">
        <f>IF(AND(NOT(ISBLANK(ReconciliationData[[#This Row],[Contract_Price]])),ReconciliationData[[#This Row],[Billed_Price]]&lt;&gt;ReconciliationData[[#This Row],[Contract_Price]]),1,0)</f>
        <v>0</v>
      </c>
      <c r="T3967">
        <f>IF(AND(NOT(ISBLANK(ReconciliationData[[#This Row],[End_Date]])),ReconciliationData[[#This Row],[Order_Date]]&gt;ReconciliationData[[#This Row],[End_Date]]),1,0)</f>
        <v>0</v>
      </c>
      <c r="U3967">
        <f>IF(AND(NOT(ISBLANK(ReconciliationData[[#This Row],[last_return_date]])),ReconciliationData[[#This Row],[last_return_date]]&gt;ReconciliationData[[#This Row],[Order_Date]]+60),1,0)</f>
        <v>0</v>
      </c>
      <c r="V3967">
        <f>IF(ReconciliationData[[#This Row],[total_returned_units]]&gt;ReconciliationData[[#This Row],[ordered_units]],1,0)</f>
        <v>0</v>
      </c>
      <c r="W396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7">
        <f>ReconciliationData[[#This Row],[Billed_Units]]*ReconciliationData[[#This Row],[Billed_Price]]</f>
        <v>214483.43160000001</v>
      </c>
      <c r="Y3967">
        <f>ReconciliationData[[#This Row],[ordered_units]]*ReconciliationData[[#This Row],[List_Price]]</f>
        <v>214483.43160000001</v>
      </c>
      <c r="Z3967">
        <f>ReconciliationData[[#This Row],[billed_revenue]]-ReconciliationData[[#This Row],[expected_revenue]]</f>
        <v>0</v>
      </c>
      <c r="AA396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7" t="str">
        <f>IF(ReconciliationData[[#This Row],[severity_score]]=0,"LOW",
 IF(ReconciliationData[[#This Row],[severity_score]]&lt;=5,"MEDIUM","HIGH"))</f>
        <v>LOW</v>
      </c>
      <c r="AC3967" t="str">
        <f>TEXT(ReconciliationData[[#This Row],[Order_Date]],"YYYY-MM")</f>
        <v>2023-12</v>
      </c>
    </row>
    <row r="3968" spans="1:29">
      <c r="A3968" t="s">
        <v>9158</v>
      </c>
      <c r="B3968" s="1">
        <v>45497</v>
      </c>
      <c r="C3968" t="s">
        <v>4297</v>
      </c>
      <c r="D3968" t="s">
        <v>3256</v>
      </c>
      <c r="E3968">
        <v>185</v>
      </c>
      <c r="F3968" t="s">
        <v>9159</v>
      </c>
      <c r="G3968">
        <v>185</v>
      </c>
      <c r="H3968">
        <v>1159.732</v>
      </c>
      <c r="N3968">
        <v>1159.732</v>
      </c>
      <c r="O3968" s="1">
        <v>45032</v>
      </c>
      <c r="P3968">
        <f>IF(ISBLANK(ReconciliationData[[#This Row],[Invoice_ID]]),1,0)</f>
        <v>0</v>
      </c>
      <c r="Q3968">
        <f>IF(AND(NOT(ISBLANK(ReconciliationData[[#This Row],[Billed_Units]])),ReconciliationData[[#This Row],[ordered_units]]&lt;&gt;ReconciliationData[[#This Row],[Billed_Units]]),1,0)</f>
        <v>0</v>
      </c>
      <c r="R396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8">
        <f>IF(AND(NOT(ISBLANK(ReconciliationData[[#This Row],[Contract_Price]])),ReconciliationData[[#This Row],[Billed_Price]]&lt;&gt;ReconciliationData[[#This Row],[Contract_Price]]),1,0)</f>
        <v>0</v>
      </c>
      <c r="T3968">
        <f>IF(AND(NOT(ISBLANK(ReconciliationData[[#This Row],[End_Date]])),ReconciliationData[[#This Row],[Order_Date]]&gt;ReconciliationData[[#This Row],[End_Date]]),1,0)</f>
        <v>0</v>
      </c>
      <c r="U3968">
        <f>IF(AND(NOT(ISBLANK(ReconciliationData[[#This Row],[last_return_date]])),ReconciliationData[[#This Row],[last_return_date]]&gt;ReconciliationData[[#This Row],[Order_Date]]+60),1,0)</f>
        <v>0</v>
      </c>
      <c r="V3968">
        <f>IF(ReconciliationData[[#This Row],[total_returned_units]]&gt;ReconciliationData[[#This Row],[ordered_units]],1,0)</f>
        <v>0</v>
      </c>
      <c r="W396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8">
        <f>ReconciliationData[[#This Row],[Billed_Units]]*ReconciliationData[[#This Row],[Billed_Price]]</f>
        <v>214550.41999999998</v>
      </c>
      <c r="Y3968">
        <f>ReconciliationData[[#This Row],[ordered_units]]*ReconciliationData[[#This Row],[List_Price]]</f>
        <v>214550.41999999998</v>
      </c>
      <c r="Z3968">
        <f>ReconciliationData[[#This Row],[billed_revenue]]-ReconciliationData[[#This Row],[expected_revenue]]</f>
        <v>0</v>
      </c>
      <c r="AA396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8" t="str">
        <f>IF(ReconciliationData[[#This Row],[severity_score]]=0,"LOW",
 IF(ReconciliationData[[#This Row],[severity_score]]&lt;=5,"MEDIUM","HIGH"))</f>
        <v>LOW</v>
      </c>
      <c r="AC3968" t="str">
        <f>TEXT(ReconciliationData[[#This Row],[Order_Date]],"YYYY-MM")</f>
        <v>2024-07</v>
      </c>
    </row>
    <row r="3969" spans="1:29">
      <c r="A3969" t="s">
        <v>9160</v>
      </c>
      <c r="B3969" s="1">
        <v>44940</v>
      </c>
      <c r="C3969" t="s">
        <v>584</v>
      </c>
      <c r="D3969" t="s">
        <v>600</v>
      </c>
      <c r="E3969">
        <v>143</v>
      </c>
      <c r="F3969" t="s">
        <v>9161</v>
      </c>
      <c r="G3969">
        <v>143</v>
      </c>
      <c r="H3969">
        <v>53.25</v>
      </c>
      <c r="N3969">
        <v>53.25</v>
      </c>
      <c r="O3969" s="1">
        <v>44722</v>
      </c>
      <c r="P3969">
        <f>IF(ISBLANK(ReconciliationData[[#This Row],[Invoice_ID]]),1,0)</f>
        <v>0</v>
      </c>
      <c r="Q3969">
        <f>IF(AND(NOT(ISBLANK(ReconciliationData[[#This Row],[Billed_Units]])),ReconciliationData[[#This Row],[ordered_units]]&lt;&gt;ReconciliationData[[#This Row],[Billed_Units]]),1,0)</f>
        <v>0</v>
      </c>
      <c r="R396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69">
        <f>IF(AND(NOT(ISBLANK(ReconciliationData[[#This Row],[Contract_Price]])),ReconciliationData[[#This Row],[Billed_Price]]&lt;&gt;ReconciliationData[[#This Row],[Contract_Price]]),1,0)</f>
        <v>0</v>
      </c>
      <c r="T3969">
        <f>IF(AND(NOT(ISBLANK(ReconciliationData[[#This Row],[End_Date]])),ReconciliationData[[#This Row],[Order_Date]]&gt;ReconciliationData[[#This Row],[End_Date]]),1,0)</f>
        <v>0</v>
      </c>
      <c r="U3969">
        <f>IF(AND(NOT(ISBLANK(ReconciliationData[[#This Row],[last_return_date]])),ReconciliationData[[#This Row],[last_return_date]]&gt;ReconciliationData[[#This Row],[Order_Date]]+60),1,0)</f>
        <v>0</v>
      </c>
      <c r="V3969">
        <f>IF(ReconciliationData[[#This Row],[total_returned_units]]&gt;ReconciliationData[[#This Row],[ordered_units]],1,0)</f>
        <v>0</v>
      </c>
      <c r="W396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69">
        <f>ReconciliationData[[#This Row],[Billed_Units]]*ReconciliationData[[#This Row],[Billed_Price]]</f>
        <v>7614.75</v>
      </c>
      <c r="Y3969">
        <f>ReconciliationData[[#This Row],[ordered_units]]*ReconciliationData[[#This Row],[List_Price]]</f>
        <v>7614.75</v>
      </c>
      <c r="Z3969">
        <f>ReconciliationData[[#This Row],[billed_revenue]]-ReconciliationData[[#This Row],[expected_revenue]]</f>
        <v>0</v>
      </c>
      <c r="AA396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69" t="str">
        <f>IF(ReconciliationData[[#This Row],[severity_score]]=0,"LOW",
 IF(ReconciliationData[[#This Row],[severity_score]]&lt;=5,"MEDIUM","HIGH"))</f>
        <v>LOW</v>
      </c>
      <c r="AC3969" t="str">
        <f>TEXT(ReconciliationData[[#This Row],[Order_Date]],"YYYY-MM")</f>
        <v>2023-01</v>
      </c>
    </row>
    <row r="3970" spans="1:29">
      <c r="A3970" t="s">
        <v>9162</v>
      </c>
      <c r="B3970" s="1">
        <v>45172</v>
      </c>
      <c r="C3970" t="s">
        <v>1688</v>
      </c>
      <c r="D3970" t="s">
        <v>464</v>
      </c>
      <c r="E3970">
        <v>80</v>
      </c>
      <c r="F3970" t="s">
        <v>9163</v>
      </c>
      <c r="G3970">
        <v>80</v>
      </c>
      <c r="H3970">
        <v>798.14160000000004</v>
      </c>
      <c r="N3970">
        <v>798.14160000000004</v>
      </c>
      <c r="O3970" s="1">
        <v>45149</v>
      </c>
      <c r="P3970">
        <f>IF(ISBLANK(ReconciliationData[[#This Row],[Invoice_ID]]),1,0)</f>
        <v>0</v>
      </c>
      <c r="Q3970">
        <f>IF(AND(NOT(ISBLANK(ReconciliationData[[#This Row],[Billed_Units]])),ReconciliationData[[#This Row],[ordered_units]]&lt;&gt;ReconciliationData[[#This Row],[Billed_Units]]),1,0)</f>
        <v>0</v>
      </c>
      <c r="R397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0">
        <f>IF(AND(NOT(ISBLANK(ReconciliationData[[#This Row],[Contract_Price]])),ReconciliationData[[#This Row],[Billed_Price]]&lt;&gt;ReconciliationData[[#This Row],[Contract_Price]]),1,0)</f>
        <v>0</v>
      </c>
      <c r="T3970">
        <f>IF(AND(NOT(ISBLANK(ReconciliationData[[#This Row],[End_Date]])),ReconciliationData[[#This Row],[Order_Date]]&gt;ReconciliationData[[#This Row],[End_Date]]),1,0)</f>
        <v>0</v>
      </c>
      <c r="U3970">
        <f>IF(AND(NOT(ISBLANK(ReconciliationData[[#This Row],[last_return_date]])),ReconciliationData[[#This Row],[last_return_date]]&gt;ReconciliationData[[#This Row],[Order_Date]]+60),1,0)</f>
        <v>0</v>
      </c>
      <c r="V3970">
        <f>IF(ReconciliationData[[#This Row],[total_returned_units]]&gt;ReconciliationData[[#This Row],[ordered_units]],1,0)</f>
        <v>0</v>
      </c>
      <c r="W397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70">
        <f>ReconciliationData[[#This Row],[Billed_Units]]*ReconciliationData[[#This Row],[Billed_Price]]</f>
        <v>63851.328000000001</v>
      </c>
      <c r="Y3970">
        <f>ReconciliationData[[#This Row],[ordered_units]]*ReconciliationData[[#This Row],[List_Price]]</f>
        <v>63851.328000000001</v>
      </c>
      <c r="Z3970">
        <f>ReconciliationData[[#This Row],[billed_revenue]]-ReconciliationData[[#This Row],[expected_revenue]]</f>
        <v>0</v>
      </c>
      <c r="AA397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70" t="str">
        <f>IF(ReconciliationData[[#This Row],[severity_score]]=0,"LOW",
 IF(ReconciliationData[[#This Row],[severity_score]]&lt;=5,"MEDIUM","HIGH"))</f>
        <v>LOW</v>
      </c>
      <c r="AC3970" t="str">
        <f>TEXT(ReconciliationData[[#This Row],[Order_Date]],"YYYY-MM")</f>
        <v>2023-09</v>
      </c>
    </row>
    <row r="3971" spans="1:29">
      <c r="A3971" t="s">
        <v>9164</v>
      </c>
      <c r="B3971" s="1">
        <v>45431</v>
      </c>
      <c r="C3971" t="s">
        <v>3775</v>
      </c>
      <c r="D3971" t="s">
        <v>306</v>
      </c>
      <c r="E3971">
        <v>130</v>
      </c>
      <c r="F3971" t="s">
        <v>9165</v>
      </c>
      <c r="G3971">
        <v>130</v>
      </c>
      <c r="H3971">
        <v>1211.7708</v>
      </c>
      <c r="N3971">
        <v>1211.7708</v>
      </c>
      <c r="O3971" s="1">
        <v>45193</v>
      </c>
      <c r="P3971">
        <f>IF(ISBLANK(ReconciliationData[[#This Row],[Invoice_ID]]),1,0)</f>
        <v>0</v>
      </c>
      <c r="Q3971">
        <f>IF(AND(NOT(ISBLANK(ReconciliationData[[#This Row],[Billed_Units]])),ReconciliationData[[#This Row],[ordered_units]]&lt;&gt;ReconciliationData[[#This Row],[Billed_Units]]),1,0)</f>
        <v>0</v>
      </c>
      <c r="R397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1">
        <f>IF(AND(NOT(ISBLANK(ReconciliationData[[#This Row],[Contract_Price]])),ReconciliationData[[#This Row],[Billed_Price]]&lt;&gt;ReconciliationData[[#This Row],[Contract_Price]]),1,0)</f>
        <v>0</v>
      </c>
      <c r="T3971">
        <f>IF(AND(NOT(ISBLANK(ReconciliationData[[#This Row],[End_Date]])),ReconciliationData[[#This Row],[Order_Date]]&gt;ReconciliationData[[#This Row],[End_Date]]),1,0)</f>
        <v>0</v>
      </c>
      <c r="U3971">
        <f>IF(AND(NOT(ISBLANK(ReconciliationData[[#This Row],[last_return_date]])),ReconciliationData[[#This Row],[last_return_date]]&gt;ReconciliationData[[#This Row],[Order_Date]]+60),1,0)</f>
        <v>0</v>
      </c>
      <c r="V3971">
        <f>IF(ReconciliationData[[#This Row],[total_returned_units]]&gt;ReconciliationData[[#This Row],[ordered_units]],1,0)</f>
        <v>0</v>
      </c>
      <c r="W397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71">
        <f>ReconciliationData[[#This Row],[Billed_Units]]*ReconciliationData[[#This Row],[Billed_Price]]</f>
        <v>157530.204</v>
      </c>
      <c r="Y3971">
        <f>ReconciliationData[[#This Row],[ordered_units]]*ReconciliationData[[#This Row],[List_Price]]</f>
        <v>157530.204</v>
      </c>
      <c r="Z3971">
        <f>ReconciliationData[[#This Row],[billed_revenue]]-ReconciliationData[[#This Row],[expected_revenue]]</f>
        <v>0</v>
      </c>
      <c r="AA397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71" t="str">
        <f>IF(ReconciliationData[[#This Row],[severity_score]]=0,"LOW",
 IF(ReconciliationData[[#This Row],[severity_score]]&lt;=5,"MEDIUM","HIGH"))</f>
        <v>LOW</v>
      </c>
      <c r="AC3971" t="str">
        <f>TEXT(ReconciliationData[[#This Row],[Order_Date]],"YYYY-MM")</f>
        <v>2024-05</v>
      </c>
    </row>
    <row r="3972" spans="1:29">
      <c r="A3972" t="s">
        <v>9166</v>
      </c>
      <c r="B3972" s="1">
        <v>45469</v>
      </c>
      <c r="C3972" t="s">
        <v>954</v>
      </c>
      <c r="D3972" t="s">
        <v>1580</v>
      </c>
      <c r="E3972">
        <v>57</v>
      </c>
      <c r="F3972" t="s">
        <v>9167</v>
      </c>
      <c r="G3972">
        <v>57</v>
      </c>
      <c r="H3972">
        <v>708.51900000000001</v>
      </c>
      <c r="N3972">
        <v>708.51900000000001</v>
      </c>
      <c r="O3972" s="1">
        <v>45063</v>
      </c>
      <c r="P3972">
        <f>IF(ISBLANK(ReconciliationData[[#This Row],[Invoice_ID]]),1,0)</f>
        <v>0</v>
      </c>
      <c r="Q3972">
        <f>IF(AND(NOT(ISBLANK(ReconciliationData[[#This Row],[Billed_Units]])),ReconciliationData[[#This Row],[ordered_units]]&lt;&gt;ReconciliationData[[#This Row],[Billed_Units]]),1,0)</f>
        <v>0</v>
      </c>
      <c r="R397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2">
        <f>IF(AND(NOT(ISBLANK(ReconciliationData[[#This Row],[Contract_Price]])),ReconciliationData[[#This Row],[Billed_Price]]&lt;&gt;ReconciliationData[[#This Row],[Contract_Price]]),1,0)</f>
        <v>0</v>
      </c>
      <c r="T3972">
        <f>IF(AND(NOT(ISBLANK(ReconciliationData[[#This Row],[End_Date]])),ReconciliationData[[#This Row],[Order_Date]]&gt;ReconciliationData[[#This Row],[End_Date]]),1,0)</f>
        <v>0</v>
      </c>
      <c r="U3972">
        <f>IF(AND(NOT(ISBLANK(ReconciliationData[[#This Row],[last_return_date]])),ReconciliationData[[#This Row],[last_return_date]]&gt;ReconciliationData[[#This Row],[Order_Date]]+60),1,0)</f>
        <v>0</v>
      </c>
      <c r="V3972">
        <f>IF(ReconciliationData[[#This Row],[total_returned_units]]&gt;ReconciliationData[[#This Row],[ordered_units]],1,0)</f>
        <v>0</v>
      </c>
      <c r="W397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72">
        <f>ReconciliationData[[#This Row],[Billed_Units]]*ReconciliationData[[#This Row],[Billed_Price]]</f>
        <v>40385.582999999999</v>
      </c>
      <c r="Y3972">
        <f>ReconciliationData[[#This Row],[ordered_units]]*ReconciliationData[[#This Row],[List_Price]]</f>
        <v>40385.582999999999</v>
      </c>
      <c r="Z3972">
        <f>ReconciliationData[[#This Row],[billed_revenue]]-ReconciliationData[[#This Row],[expected_revenue]]</f>
        <v>0</v>
      </c>
      <c r="AA397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72" t="str">
        <f>IF(ReconciliationData[[#This Row],[severity_score]]=0,"LOW",
 IF(ReconciliationData[[#This Row],[severity_score]]&lt;=5,"MEDIUM","HIGH"))</f>
        <v>LOW</v>
      </c>
      <c r="AC3972" t="str">
        <f>TEXT(ReconciliationData[[#This Row],[Order_Date]],"YYYY-MM")</f>
        <v>2024-06</v>
      </c>
    </row>
    <row r="3973" spans="1:29">
      <c r="A3973" t="s">
        <v>9168</v>
      </c>
      <c r="B3973" s="1">
        <v>45486</v>
      </c>
      <c r="C3973" t="s">
        <v>2917</v>
      </c>
      <c r="D3973" t="s">
        <v>1030</v>
      </c>
      <c r="E3973">
        <v>30</v>
      </c>
      <c r="F3973" t="s">
        <v>9169</v>
      </c>
      <c r="G3973">
        <v>30</v>
      </c>
      <c r="H3973">
        <v>370.82850000000002</v>
      </c>
      <c r="N3973">
        <v>370.82850000000002</v>
      </c>
      <c r="O3973" s="1">
        <v>45187</v>
      </c>
      <c r="P3973">
        <f>IF(ISBLANK(ReconciliationData[[#This Row],[Invoice_ID]]),1,0)</f>
        <v>0</v>
      </c>
      <c r="Q3973">
        <f>IF(AND(NOT(ISBLANK(ReconciliationData[[#This Row],[Billed_Units]])),ReconciliationData[[#This Row],[ordered_units]]&lt;&gt;ReconciliationData[[#This Row],[Billed_Units]]),1,0)</f>
        <v>0</v>
      </c>
      <c r="R397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3">
        <f>IF(AND(NOT(ISBLANK(ReconciliationData[[#This Row],[Contract_Price]])),ReconciliationData[[#This Row],[Billed_Price]]&lt;&gt;ReconciliationData[[#This Row],[Contract_Price]]),1,0)</f>
        <v>0</v>
      </c>
      <c r="T3973">
        <f>IF(AND(NOT(ISBLANK(ReconciliationData[[#This Row],[End_Date]])),ReconciliationData[[#This Row],[Order_Date]]&gt;ReconciliationData[[#This Row],[End_Date]]),1,0)</f>
        <v>0</v>
      </c>
      <c r="U3973">
        <f>IF(AND(NOT(ISBLANK(ReconciliationData[[#This Row],[last_return_date]])),ReconciliationData[[#This Row],[last_return_date]]&gt;ReconciliationData[[#This Row],[Order_Date]]+60),1,0)</f>
        <v>0</v>
      </c>
      <c r="V3973">
        <f>IF(ReconciliationData[[#This Row],[total_returned_units]]&gt;ReconciliationData[[#This Row],[ordered_units]],1,0)</f>
        <v>0</v>
      </c>
      <c r="W397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73">
        <f>ReconciliationData[[#This Row],[Billed_Units]]*ReconciliationData[[#This Row],[Billed_Price]]</f>
        <v>11124.855000000001</v>
      </c>
      <c r="Y3973">
        <f>ReconciliationData[[#This Row],[ordered_units]]*ReconciliationData[[#This Row],[List_Price]]</f>
        <v>11124.855000000001</v>
      </c>
      <c r="Z3973">
        <f>ReconciliationData[[#This Row],[billed_revenue]]-ReconciliationData[[#This Row],[expected_revenue]]</f>
        <v>0</v>
      </c>
      <c r="AA397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73" t="str">
        <f>IF(ReconciliationData[[#This Row],[severity_score]]=0,"LOW",
 IF(ReconciliationData[[#This Row],[severity_score]]&lt;=5,"MEDIUM","HIGH"))</f>
        <v>LOW</v>
      </c>
      <c r="AC3973" t="str">
        <f>TEXT(ReconciliationData[[#This Row],[Order_Date]],"YYYY-MM")</f>
        <v>2024-07</v>
      </c>
    </row>
    <row r="3974" spans="1:29">
      <c r="A3974" t="s">
        <v>9170</v>
      </c>
      <c r="B3974" s="1">
        <v>45311</v>
      </c>
      <c r="C3974" t="s">
        <v>1997</v>
      </c>
      <c r="D3974" t="s">
        <v>1794</v>
      </c>
      <c r="E3974">
        <v>154</v>
      </c>
      <c r="F3974" t="s">
        <v>9171</v>
      </c>
      <c r="G3974">
        <v>154</v>
      </c>
      <c r="H3974">
        <v>491.10239999999999</v>
      </c>
      <c r="N3974">
        <v>491.10239999999999</v>
      </c>
      <c r="O3974" s="1">
        <v>45187</v>
      </c>
      <c r="P3974">
        <f>IF(ISBLANK(ReconciliationData[[#This Row],[Invoice_ID]]),1,0)</f>
        <v>0</v>
      </c>
      <c r="Q3974">
        <f>IF(AND(NOT(ISBLANK(ReconciliationData[[#This Row],[Billed_Units]])),ReconciliationData[[#This Row],[ordered_units]]&lt;&gt;ReconciliationData[[#This Row],[Billed_Units]]),1,0)</f>
        <v>0</v>
      </c>
      <c r="R397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4">
        <f>IF(AND(NOT(ISBLANK(ReconciliationData[[#This Row],[Contract_Price]])),ReconciliationData[[#This Row],[Billed_Price]]&lt;&gt;ReconciliationData[[#This Row],[Contract_Price]]),1,0)</f>
        <v>0</v>
      </c>
      <c r="T3974">
        <f>IF(AND(NOT(ISBLANK(ReconciliationData[[#This Row],[End_Date]])),ReconciliationData[[#This Row],[Order_Date]]&gt;ReconciliationData[[#This Row],[End_Date]]),1,0)</f>
        <v>0</v>
      </c>
      <c r="U3974">
        <f>IF(AND(NOT(ISBLANK(ReconciliationData[[#This Row],[last_return_date]])),ReconciliationData[[#This Row],[last_return_date]]&gt;ReconciliationData[[#This Row],[Order_Date]]+60),1,0)</f>
        <v>0</v>
      </c>
      <c r="V3974">
        <f>IF(ReconciliationData[[#This Row],[total_returned_units]]&gt;ReconciliationData[[#This Row],[ordered_units]],1,0)</f>
        <v>0</v>
      </c>
      <c r="W397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74">
        <f>ReconciliationData[[#This Row],[Billed_Units]]*ReconciliationData[[#This Row],[Billed_Price]]</f>
        <v>75629.7696</v>
      </c>
      <c r="Y3974">
        <f>ReconciliationData[[#This Row],[ordered_units]]*ReconciliationData[[#This Row],[List_Price]]</f>
        <v>75629.7696</v>
      </c>
      <c r="Z3974">
        <f>ReconciliationData[[#This Row],[billed_revenue]]-ReconciliationData[[#This Row],[expected_revenue]]</f>
        <v>0</v>
      </c>
      <c r="AA397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74" t="str">
        <f>IF(ReconciliationData[[#This Row],[severity_score]]=0,"LOW",
 IF(ReconciliationData[[#This Row],[severity_score]]&lt;=5,"MEDIUM","HIGH"))</f>
        <v>LOW</v>
      </c>
      <c r="AC3974" t="str">
        <f>TEXT(ReconciliationData[[#This Row],[Order_Date]],"YYYY-MM")</f>
        <v>2024-01</v>
      </c>
    </row>
    <row r="3975" spans="1:29">
      <c r="A3975" t="s">
        <v>9172</v>
      </c>
      <c r="B3975" s="1">
        <v>45105</v>
      </c>
      <c r="C3975" t="s">
        <v>3565</v>
      </c>
      <c r="D3975" t="s">
        <v>2568</v>
      </c>
      <c r="E3975">
        <v>115</v>
      </c>
      <c r="F3975" t="s">
        <v>9173</v>
      </c>
      <c r="G3975">
        <v>115</v>
      </c>
      <c r="H3975">
        <v>461.00940000000003</v>
      </c>
      <c r="I3975">
        <v>18</v>
      </c>
      <c r="J3975" s="1">
        <v>45231</v>
      </c>
      <c r="N3975">
        <v>461.00940000000003</v>
      </c>
      <c r="O3975" s="1">
        <v>45036</v>
      </c>
      <c r="P3975">
        <f>IF(ISBLANK(ReconciliationData[[#This Row],[Invoice_ID]]),1,0)</f>
        <v>0</v>
      </c>
      <c r="Q3975">
        <f>IF(AND(NOT(ISBLANK(ReconciliationData[[#This Row],[Billed_Units]])),ReconciliationData[[#This Row],[ordered_units]]&lt;&gt;ReconciliationData[[#This Row],[Billed_Units]]),1,0)</f>
        <v>0</v>
      </c>
      <c r="R397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5">
        <f>IF(AND(NOT(ISBLANK(ReconciliationData[[#This Row],[Contract_Price]])),ReconciliationData[[#This Row],[Billed_Price]]&lt;&gt;ReconciliationData[[#This Row],[Contract_Price]]),1,0)</f>
        <v>0</v>
      </c>
      <c r="T3975">
        <f>IF(AND(NOT(ISBLANK(ReconciliationData[[#This Row],[End_Date]])),ReconciliationData[[#This Row],[Order_Date]]&gt;ReconciliationData[[#This Row],[End_Date]]),1,0)</f>
        <v>0</v>
      </c>
      <c r="U3975">
        <f>IF(AND(NOT(ISBLANK(ReconciliationData[[#This Row],[last_return_date]])),ReconciliationData[[#This Row],[last_return_date]]&gt;ReconciliationData[[#This Row],[Order_Date]]+60),1,0)</f>
        <v>1</v>
      </c>
      <c r="V3975">
        <f>IF(ReconciliationData[[#This Row],[total_returned_units]]&gt;ReconciliationData[[#This Row],[ordered_units]],1,0)</f>
        <v>0</v>
      </c>
      <c r="W397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975">
        <f>ReconciliationData[[#This Row],[Billed_Units]]*ReconciliationData[[#This Row],[Billed_Price]]</f>
        <v>53016.081000000006</v>
      </c>
      <c r="Y3975">
        <f>ReconciliationData[[#This Row],[ordered_units]]*ReconciliationData[[#This Row],[List_Price]]</f>
        <v>53016.081000000006</v>
      </c>
      <c r="Z3975">
        <f>ReconciliationData[[#This Row],[billed_revenue]]-ReconciliationData[[#This Row],[expected_revenue]]</f>
        <v>0</v>
      </c>
      <c r="AA397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2</v>
      </c>
      <c r="AB3975" t="str">
        <f>IF(ReconciliationData[[#This Row],[severity_score]]=0,"LOW",
 IF(ReconciliationData[[#This Row],[severity_score]]&lt;=5,"MEDIUM","HIGH"))</f>
        <v>MEDIUM</v>
      </c>
      <c r="AC3975" t="str">
        <f>TEXT(ReconciliationData[[#This Row],[Order_Date]],"YYYY-MM")</f>
        <v>2023-06</v>
      </c>
    </row>
    <row r="3976" spans="1:29">
      <c r="A3976" t="s">
        <v>9174</v>
      </c>
      <c r="B3976" s="1">
        <v>45553</v>
      </c>
      <c r="C3976" t="s">
        <v>737</v>
      </c>
      <c r="D3976" t="s">
        <v>1654</v>
      </c>
      <c r="E3976">
        <v>141</v>
      </c>
      <c r="F3976" t="s">
        <v>9175</v>
      </c>
      <c r="G3976">
        <v>141</v>
      </c>
      <c r="H3976">
        <v>1197.9306999999999</v>
      </c>
      <c r="I3976">
        <v>14</v>
      </c>
      <c r="J3976" s="1">
        <v>45605</v>
      </c>
      <c r="N3976">
        <v>1197.9306999999999</v>
      </c>
      <c r="O3976" s="1">
        <v>45089</v>
      </c>
      <c r="P3976">
        <f>IF(ISBLANK(ReconciliationData[[#This Row],[Invoice_ID]]),1,0)</f>
        <v>0</v>
      </c>
      <c r="Q3976">
        <f>IF(AND(NOT(ISBLANK(ReconciliationData[[#This Row],[Billed_Units]])),ReconciliationData[[#This Row],[ordered_units]]&lt;&gt;ReconciliationData[[#This Row],[Billed_Units]]),1,0)</f>
        <v>0</v>
      </c>
      <c r="R397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6">
        <f>IF(AND(NOT(ISBLANK(ReconciliationData[[#This Row],[Contract_Price]])),ReconciliationData[[#This Row],[Billed_Price]]&lt;&gt;ReconciliationData[[#This Row],[Contract_Price]]),1,0)</f>
        <v>0</v>
      </c>
      <c r="T3976">
        <f>IF(AND(NOT(ISBLANK(ReconciliationData[[#This Row],[End_Date]])),ReconciliationData[[#This Row],[Order_Date]]&gt;ReconciliationData[[#This Row],[End_Date]]),1,0)</f>
        <v>0</v>
      </c>
      <c r="U3976">
        <f>IF(AND(NOT(ISBLANK(ReconciliationData[[#This Row],[last_return_date]])),ReconciliationData[[#This Row],[last_return_date]]&gt;ReconciliationData[[#This Row],[Order_Date]]+60),1,0)</f>
        <v>0</v>
      </c>
      <c r="V3976">
        <f>IF(ReconciliationData[[#This Row],[total_returned_units]]&gt;ReconciliationData[[#This Row],[ordered_units]],1,0)</f>
        <v>0</v>
      </c>
      <c r="W397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76">
        <f>ReconciliationData[[#This Row],[Billed_Units]]*ReconciliationData[[#This Row],[Billed_Price]]</f>
        <v>168908.22869999998</v>
      </c>
      <c r="Y3976">
        <f>ReconciliationData[[#This Row],[ordered_units]]*ReconciliationData[[#This Row],[List_Price]]</f>
        <v>168908.22869999998</v>
      </c>
      <c r="Z3976">
        <f>ReconciliationData[[#This Row],[billed_revenue]]-ReconciliationData[[#This Row],[expected_revenue]]</f>
        <v>0</v>
      </c>
      <c r="AA397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76" t="str">
        <f>IF(ReconciliationData[[#This Row],[severity_score]]=0,"LOW",
 IF(ReconciliationData[[#This Row],[severity_score]]&lt;=5,"MEDIUM","HIGH"))</f>
        <v>LOW</v>
      </c>
      <c r="AC3976" t="str">
        <f>TEXT(ReconciliationData[[#This Row],[Order_Date]],"YYYY-MM")</f>
        <v>2024-09</v>
      </c>
    </row>
    <row r="3977" spans="1:29">
      <c r="A3977" t="s">
        <v>9176</v>
      </c>
      <c r="B3977" s="1">
        <v>45300</v>
      </c>
      <c r="C3977" t="s">
        <v>493</v>
      </c>
      <c r="D3977" t="s">
        <v>309</v>
      </c>
      <c r="E3977">
        <v>102</v>
      </c>
      <c r="F3977" t="s">
        <v>9177</v>
      </c>
      <c r="G3977">
        <v>99</v>
      </c>
      <c r="H3977">
        <v>946.74860000000001</v>
      </c>
      <c r="N3977">
        <v>946.74860000000001</v>
      </c>
      <c r="O3977" s="1">
        <v>45038</v>
      </c>
      <c r="P3977">
        <f>IF(ISBLANK(ReconciliationData[[#This Row],[Invoice_ID]]),1,0)</f>
        <v>0</v>
      </c>
      <c r="Q3977">
        <f>IF(AND(NOT(ISBLANK(ReconciliationData[[#This Row],[Billed_Units]])),ReconciliationData[[#This Row],[ordered_units]]&lt;&gt;ReconciliationData[[#This Row],[Billed_Units]]),1,0)</f>
        <v>1</v>
      </c>
      <c r="R397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7">
        <f>IF(AND(NOT(ISBLANK(ReconciliationData[[#This Row],[Contract_Price]])),ReconciliationData[[#This Row],[Billed_Price]]&lt;&gt;ReconciliationData[[#This Row],[Contract_Price]]),1,0)</f>
        <v>0</v>
      </c>
      <c r="T3977">
        <f>IF(AND(NOT(ISBLANK(ReconciliationData[[#This Row],[End_Date]])),ReconciliationData[[#This Row],[Order_Date]]&gt;ReconciliationData[[#This Row],[End_Date]]),1,0)</f>
        <v>0</v>
      </c>
      <c r="U3977">
        <f>IF(AND(NOT(ISBLANK(ReconciliationData[[#This Row],[last_return_date]])),ReconciliationData[[#This Row],[last_return_date]]&gt;ReconciliationData[[#This Row],[Order_Date]]+60),1,0)</f>
        <v>0</v>
      </c>
      <c r="V3977">
        <f>IF(ReconciliationData[[#This Row],[total_returned_units]]&gt;ReconciliationData[[#This Row],[ordered_units]],1,0)</f>
        <v>0</v>
      </c>
      <c r="W397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977">
        <f>ReconciliationData[[#This Row],[Billed_Units]]*ReconciliationData[[#This Row],[Billed_Price]]</f>
        <v>93728.111399999994</v>
      </c>
      <c r="Y3977">
        <f>ReconciliationData[[#This Row],[ordered_units]]*ReconciliationData[[#This Row],[List_Price]]</f>
        <v>96568.357199999999</v>
      </c>
      <c r="Z3977">
        <f>ReconciliationData[[#This Row],[billed_revenue]]-ReconciliationData[[#This Row],[expected_revenue]]</f>
        <v>-2840.2458000000042</v>
      </c>
      <c r="AA397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977" t="str">
        <f>IF(ReconciliationData[[#This Row],[severity_score]]=0,"LOW",
 IF(ReconciliationData[[#This Row],[severity_score]]&lt;=5,"MEDIUM","HIGH"))</f>
        <v>HIGH</v>
      </c>
      <c r="AC3977" t="str">
        <f>TEXT(ReconciliationData[[#This Row],[Order_Date]],"YYYY-MM")</f>
        <v>2024-01</v>
      </c>
    </row>
    <row r="3978" spans="1:29">
      <c r="A3978" t="s">
        <v>9178</v>
      </c>
      <c r="B3978" s="1">
        <v>45000</v>
      </c>
      <c r="C3978" t="s">
        <v>6710</v>
      </c>
      <c r="D3978" t="s">
        <v>1502</v>
      </c>
      <c r="E3978">
        <v>50</v>
      </c>
      <c r="F3978" t="s">
        <v>9179</v>
      </c>
      <c r="G3978">
        <v>50</v>
      </c>
      <c r="H3978">
        <v>302.05259999999998</v>
      </c>
      <c r="N3978">
        <v>302.05259999999998</v>
      </c>
      <c r="O3978" s="1">
        <v>44945</v>
      </c>
      <c r="P3978">
        <f>IF(ISBLANK(ReconciliationData[[#This Row],[Invoice_ID]]),1,0)</f>
        <v>0</v>
      </c>
      <c r="Q3978">
        <f>IF(AND(NOT(ISBLANK(ReconciliationData[[#This Row],[Billed_Units]])),ReconciliationData[[#This Row],[ordered_units]]&lt;&gt;ReconciliationData[[#This Row],[Billed_Units]]),1,0)</f>
        <v>0</v>
      </c>
      <c r="R397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8">
        <f>IF(AND(NOT(ISBLANK(ReconciliationData[[#This Row],[Contract_Price]])),ReconciliationData[[#This Row],[Billed_Price]]&lt;&gt;ReconciliationData[[#This Row],[Contract_Price]]),1,0)</f>
        <v>0</v>
      </c>
      <c r="T3978">
        <f>IF(AND(NOT(ISBLANK(ReconciliationData[[#This Row],[End_Date]])),ReconciliationData[[#This Row],[Order_Date]]&gt;ReconciliationData[[#This Row],[End_Date]]),1,0)</f>
        <v>0</v>
      </c>
      <c r="U3978">
        <f>IF(AND(NOT(ISBLANK(ReconciliationData[[#This Row],[last_return_date]])),ReconciliationData[[#This Row],[last_return_date]]&gt;ReconciliationData[[#This Row],[Order_Date]]+60),1,0)</f>
        <v>0</v>
      </c>
      <c r="V3978">
        <f>IF(ReconciliationData[[#This Row],[total_returned_units]]&gt;ReconciliationData[[#This Row],[ordered_units]],1,0)</f>
        <v>0</v>
      </c>
      <c r="W397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78">
        <f>ReconciliationData[[#This Row],[Billed_Units]]*ReconciliationData[[#This Row],[Billed_Price]]</f>
        <v>15102.63</v>
      </c>
      <c r="Y3978">
        <f>ReconciliationData[[#This Row],[ordered_units]]*ReconciliationData[[#This Row],[List_Price]]</f>
        <v>15102.63</v>
      </c>
      <c r="Z3978">
        <f>ReconciliationData[[#This Row],[billed_revenue]]-ReconciliationData[[#This Row],[expected_revenue]]</f>
        <v>0</v>
      </c>
      <c r="AA397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78" t="str">
        <f>IF(ReconciliationData[[#This Row],[severity_score]]=0,"LOW",
 IF(ReconciliationData[[#This Row],[severity_score]]&lt;=5,"MEDIUM","HIGH"))</f>
        <v>LOW</v>
      </c>
      <c r="AC3978" t="str">
        <f>TEXT(ReconciliationData[[#This Row],[Order_Date]],"YYYY-MM")</f>
        <v>2023-03</v>
      </c>
    </row>
    <row r="3979" spans="1:29">
      <c r="A3979" t="s">
        <v>9180</v>
      </c>
      <c r="B3979" s="1">
        <v>45608</v>
      </c>
      <c r="C3979" t="s">
        <v>2015</v>
      </c>
      <c r="D3979" t="s">
        <v>1706</v>
      </c>
      <c r="E3979">
        <v>122</v>
      </c>
      <c r="F3979" t="s">
        <v>9181</v>
      </c>
      <c r="G3979">
        <v>122</v>
      </c>
      <c r="H3979">
        <v>854.74350000000004</v>
      </c>
      <c r="N3979">
        <v>854.74350000000004</v>
      </c>
      <c r="O3979" s="1">
        <v>44984</v>
      </c>
      <c r="P3979">
        <f>IF(ISBLANK(ReconciliationData[[#This Row],[Invoice_ID]]),1,0)</f>
        <v>0</v>
      </c>
      <c r="Q3979">
        <f>IF(AND(NOT(ISBLANK(ReconciliationData[[#This Row],[Billed_Units]])),ReconciliationData[[#This Row],[ordered_units]]&lt;&gt;ReconciliationData[[#This Row],[Billed_Units]]),1,0)</f>
        <v>0</v>
      </c>
      <c r="R397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79">
        <f>IF(AND(NOT(ISBLANK(ReconciliationData[[#This Row],[Contract_Price]])),ReconciliationData[[#This Row],[Billed_Price]]&lt;&gt;ReconciliationData[[#This Row],[Contract_Price]]),1,0)</f>
        <v>0</v>
      </c>
      <c r="T3979">
        <f>IF(AND(NOT(ISBLANK(ReconciliationData[[#This Row],[End_Date]])),ReconciliationData[[#This Row],[Order_Date]]&gt;ReconciliationData[[#This Row],[End_Date]]),1,0)</f>
        <v>0</v>
      </c>
      <c r="U3979">
        <f>IF(AND(NOT(ISBLANK(ReconciliationData[[#This Row],[last_return_date]])),ReconciliationData[[#This Row],[last_return_date]]&gt;ReconciliationData[[#This Row],[Order_Date]]+60),1,0)</f>
        <v>0</v>
      </c>
      <c r="V3979">
        <f>IF(ReconciliationData[[#This Row],[total_returned_units]]&gt;ReconciliationData[[#This Row],[ordered_units]],1,0)</f>
        <v>0</v>
      </c>
      <c r="W397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79">
        <f>ReconciliationData[[#This Row],[Billed_Units]]*ReconciliationData[[#This Row],[Billed_Price]]</f>
        <v>104278.70700000001</v>
      </c>
      <c r="Y3979">
        <f>ReconciliationData[[#This Row],[ordered_units]]*ReconciliationData[[#This Row],[List_Price]]</f>
        <v>104278.70700000001</v>
      </c>
      <c r="Z3979">
        <f>ReconciliationData[[#This Row],[billed_revenue]]-ReconciliationData[[#This Row],[expected_revenue]]</f>
        <v>0</v>
      </c>
      <c r="AA397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79" t="str">
        <f>IF(ReconciliationData[[#This Row],[severity_score]]=0,"LOW",
 IF(ReconciliationData[[#This Row],[severity_score]]&lt;=5,"MEDIUM","HIGH"))</f>
        <v>LOW</v>
      </c>
      <c r="AC3979" t="str">
        <f>TEXT(ReconciliationData[[#This Row],[Order_Date]],"YYYY-MM")</f>
        <v>2024-11</v>
      </c>
    </row>
    <row r="3980" spans="1:29">
      <c r="A3980" t="s">
        <v>9182</v>
      </c>
      <c r="B3980" s="1">
        <v>45253</v>
      </c>
      <c r="C3980" t="s">
        <v>813</v>
      </c>
      <c r="D3980" t="s">
        <v>1105</v>
      </c>
      <c r="E3980">
        <v>176</v>
      </c>
      <c r="F3980" t="s">
        <v>9183</v>
      </c>
      <c r="G3980">
        <v>176</v>
      </c>
      <c r="H3980">
        <v>796.53</v>
      </c>
      <c r="N3980">
        <v>796.53</v>
      </c>
      <c r="O3980" s="1">
        <v>45172</v>
      </c>
      <c r="P3980">
        <f>IF(ISBLANK(ReconciliationData[[#This Row],[Invoice_ID]]),1,0)</f>
        <v>0</v>
      </c>
      <c r="Q3980">
        <f>IF(AND(NOT(ISBLANK(ReconciliationData[[#This Row],[Billed_Units]])),ReconciliationData[[#This Row],[ordered_units]]&lt;&gt;ReconciliationData[[#This Row],[Billed_Units]]),1,0)</f>
        <v>0</v>
      </c>
      <c r="R398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80">
        <f>IF(AND(NOT(ISBLANK(ReconciliationData[[#This Row],[Contract_Price]])),ReconciliationData[[#This Row],[Billed_Price]]&lt;&gt;ReconciliationData[[#This Row],[Contract_Price]]),1,0)</f>
        <v>0</v>
      </c>
      <c r="T3980">
        <f>IF(AND(NOT(ISBLANK(ReconciliationData[[#This Row],[End_Date]])),ReconciliationData[[#This Row],[Order_Date]]&gt;ReconciliationData[[#This Row],[End_Date]]),1,0)</f>
        <v>0</v>
      </c>
      <c r="U3980">
        <f>IF(AND(NOT(ISBLANK(ReconciliationData[[#This Row],[last_return_date]])),ReconciliationData[[#This Row],[last_return_date]]&gt;ReconciliationData[[#This Row],[Order_Date]]+60),1,0)</f>
        <v>0</v>
      </c>
      <c r="V3980">
        <f>IF(ReconciliationData[[#This Row],[total_returned_units]]&gt;ReconciliationData[[#This Row],[ordered_units]],1,0)</f>
        <v>0</v>
      </c>
      <c r="W398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80">
        <f>ReconciliationData[[#This Row],[Billed_Units]]*ReconciliationData[[#This Row],[Billed_Price]]</f>
        <v>140189.28</v>
      </c>
      <c r="Y3980">
        <f>ReconciliationData[[#This Row],[ordered_units]]*ReconciliationData[[#This Row],[List_Price]]</f>
        <v>140189.28</v>
      </c>
      <c r="Z3980">
        <f>ReconciliationData[[#This Row],[billed_revenue]]-ReconciliationData[[#This Row],[expected_revenue]]</f>
        <v>0</v>
      </c>
      <c r="AA398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80" t="str">
        <f>IF(ReconciliationData[[#This Row],[severity_score]]=0,"LOW",
 IF(ReconciliationData[[#This Row],[severity_score]]&lt;=5,"MEDIUM","HIGH"))</f>
        <v>LOW</v>
      </c>
      <c r="AC3980" t="str">
        <f>TEXT(ReconciliationData[[#This Row],[Order_Date]],"YYYY-MM")</f>
        <v>2023-11</v>
      </c>
    </row>
    <row r="3981" spans="1:29">
      <c r="A3981" t="s">
        <v>9184</v>
      </c>
      <c r="B3981" s="1">
        <v>45021</v>
      </c>
      <c r="C3981" t="s">
        <v>2488</v>
      </c>
      <c r="D3981" t="s">
        <v>828</v>
      </c>
      <c r="E3981">
        <v>5</v>
      </c>
      <c r="F3981" t="s">
        <v>9185</v>
      </c>
      <c r="G3981">
        <v>11</v>
      </c>
      <c r="H3981">
        <v>948.62559999999996</v>
      </c>
      <c r="N3981">
        <v>948.62559999999996</v>
      </c>
      <c r="O3981" s="1">
        <v>44915</v>
      </c>
      <c r="P3981">
        <f>IF(ISBLANK(ReconciliationData[[#This Row],[Invoice_ID]]),1,0)</f>
        <v>0</v>
      </c>
      <c r="Q3981">
        <f>IF(AND(NOT(ISBLANK(ReconciliationData[[#This Row],[Billed_Units]])),ReconciliationData[[#This Row],[ordered_units]]&lt;&gt;ReconciliationData[[#This Row],[Billed_Units]]),1,0)</f>
        <v>1</v>
      </c>
      <c r="R398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81">
        <f>IF(AND(NOT(ISBLANK(ReconciliationData[[#This Row],[Contract_Price]])),ReconciliationData[[#This Row],[Billed_Price]]&lt;&gt;ReconciliationData[[#This Row],[Contract_Price]]),1,0)</f>
        <v>0</v>
      </c>
      <c r="T3981">
        <f>IF(AND(NOT(ISBLANK(ReconciliationData[[#This Row],[End_Date]])),ReconciliationData[[#This Row],[Order_Date]]&gt;ReconciliationData[[#This Row],[End_Date]]),1,0)</f>
        <v>0</v>
      </c>
      <c r="U3981">
        <f>IF(AND(NOT(ISBLANK(ReconciliationData[[#This Row],[last_return_date]])),ReconciliationData[[#This Row],[last_return_date]]&gt;ReconciliationData[[#This Row],[Order_Date]]+60),1,0)</f>
        <v>0</v>
      </c>
      <c r="V3981">
        <f>IF(ReconciliationData[[#This Row],[total_returned_units]]&gt;ReconciliationData[[#This Row],[ordered_units]],1,0)</f>
        <v>0</v>
      </c>
      <c r="W398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981">
        <f>ReconciliationData[[#This Row],[Billed_Units]]*ReconciliationData[[#This Row],[Billed_Price]]</f>
        <v>10434.881599999999</v>
      </c>
      <c r="Y3981">
        <f>ReconciliationData[[#This Row],[ordered_units]]*ReconciliationData[[#This Row],[List_Price]]</f>
        <v>4743.1279999999997</v>
      </c>
      <c r="Z3981">
        <f>ReconciliationData[[#This Row],[billed_revenue]]-ReconciliationData[[#This Row],[expected_revenue]]</f>
        <v>5691.7535999999991</v>
      </c>
      <c r="AA398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8</v>
      </c>
      <c r="AB3981" t="str">
        <f>IF(ReconciliationData[[#This Row],[severity_score]]=0,"LOW",
 IF(ReconciliationData[[#This Row],[severity_score]]&lt;=5,"MEDIUM","HIGH"))</f>
        <v>HIGH</v>
      </c>
      <c r="AC3981" t="str">
        <f>TEXT(ReconciliationData[[#This Row],[Order_Date]],"YYYY-MM")</f>
        <v>2023-04</v>
      </c>
    </row>
    <row r="3982" spans="1:29">
      <c r="A3982" t="s">
        <v>9186</v>
      </c>
      <c r="B3982" s="1">
        <v>45472</v>
      </c>
      <c r="C3982" t="s">
        <v>2010</v>
      </c>
      <c r="D3982" t="s">
        <v>464</v>
      </c>
      <c r="E3982">
        <v>140</v>
      </c>
      <c r="F3982" t="s">
        <v>9187</v>
      </c>
      <c r="G3982">
        <v>140</v>
      </c>
      <c r="H3982">
        <v>798.14160000000004</v>
      </c>
      <c r="N3982">
        <v>798.14160000000004</v>
      </c>
      <c r="O3982" s="1">
        <v>45149</v>
      </c>
      <c r="P3982">
        <f>IF(ISBLANK(ReconciliationData[[#This Row],[Invoice_ID]]),1,0)</f>
        <v>0</v>
      </c>
      <c r="Q3982">
        <f>IF(AND(NOT(ISBLANK(ReconciliationData[[#This Row],[Billed_Units]])),ReconciliationData[[#This Row],[ordered_units]]&lt;&gt;ReconciliationData[[#This Row],[Billed_Units]]),1,0)</f>
        <v>0</v>
      </c>
      <c r="R398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82">
        <f>IF(AND(NOT(ISBLANK(ReconciliationData[[#This Row],[Contract_Price]])),ReconciliationData[[#This Row],[Billed_Price]]&lt;&gt;ReconciliationData[[#This Row],[Contract_Price]]),1,0)</f>
        <v>0</v>
      </c>
      <c r="T3982">
        <f>IF(AND(NOT(ISBLANK(ReconciliationData[[#This Row],[End_Date]])),ReconciliationData[[#This Row],[Order_Date]]&gt;ReconciliationData[[#This Row],[End_Date]]),1,0)</f>
        <v>0</v>
      </c>
      <c r="U3982">
        <f>IF(AND(NOT(ISBLANK(ReconciliationData[[#This Row],[last_return_date]])),ReconciliationData[[#This Row],[last_return_date]]&gt;ReconciliationData[[#This Row],[Order_Date]]+60),1,0)</f>
        <v>0</v>
      </c>
      <c r="V3982">
        <f>IF(ReconciliationData[[#This Row],[total_returned_units]]&gt;ReconciliationData[[#This Row],[ordered_units]],1,0)</f>
        <v>0</v>
      </c>
      <c r="W398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82">
        <f>ReconciliationData[[#This Row],[Billed_Units]]*ReconciliationData[[#This Row],[Billed_Price]]</f>
        <v>111739.82400000001</v>
      </c>
      <c r="Y3982">
        <f>ReconciliationData[[#This Row],[ordered_units]]*ReconciliationData[[#This Row],[List_Price]]</f>
        <v>111739.82400000001</v>
      </c>
      <c r="Z3982">
        <f>ReconciliationData[[#This Row],[billed_revenue]]-ReconciliationData[[#This Row],[expected_revenue]]</f>
        <v>0</v>
      </c>
      <c r="AA398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82" t="str">
        <f>IF(ReconciliationData[[#This Row],[severity_score]]=0,"LOW",
 IF(ReconciliationData[[#This Row],[severity_score]]&lt;=5,"MEDIUM","HIGH"))</f>
        <v>LOW</v>
      </c>
      <c r="AC3982" t="str">
        <f>TEXT(ReconciliationData[[#This Row],[Order_Date]],"YYYY-MM")</f>
        <v>2024-06</v>
      </c>
    </row>
    <row r="3983" spans="1:29">
      <c r="A3983" t="s">
        <v>9188</v>
      </c>
      <c r="B3983" s="1">
        <v>45446</v>
      </c>
      <c r="C3983" t="s">
        <v>888</v>
      </c>
      <c r="D3983" t="s">
        <v>560</v>
      </c>
      <c r="E3983">
        <v>37</v>
      </c>
      <c r="F3983" t="s">
        <v>9189</v>
      </c>
      <c r="G3983">
        <v>37</v>
      </c>
      <c r="H3983">
        <v>1119.6587000000002</v>
      </c>
      <c r="N3983">
        <v>1119.6587000000002</v>
      </c>
      <c r="O3983" s="1">
        <v>45147</v>
      </c>
      <c r="P3983">
        <f>IF(ISBLANK(ReconciliationData[[#This Row],[Invoice_ID]]),1,0)</f>
        <v>0</v>
      </c>
      <c r="Q3983">
        <f>IF(AND(NOT(ISBLANK(ReconciliationData[[#This Row],[Billed_Units]])),ReconciliationData[[#This Row],[ordered_units]]&lt;&gt;ReconciliationData[[#This Row],[Billed_Units]]),1,0)</f>
        <v>0</v>
      </c>
      <c r="R398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83">
        <f>IF(AND(NOT(ISBLANK(ReconciliationData[[#This Row],[Contract_Price]])),ReconciliationData[[#This Row],[Billed_Price]]&lt;&gt;ReconciliationData[[#This Row],[Contract_Price]]),1,0)</f>
        <v>0</v>
      </c>
      <c r="T3983">
        <f>IF(AND(NOT(ISBLANK(ReconciliationData[[#This Row],[End_Date]])),ReconciliationData[[#This Row],[Order_Date]]&gt;ReconciliationData[[#This Row],[End_Date]]),1,0)</f>
        <v>0</v>
      </c>
      <c r="U3983">
        <f>IF(AND(NOT(ISBLANK(ReconciliationData[[#This Row],[last_return_date]])),ReconciliationData[[#This Row],[last_return_date]]&gt;ReconciliationData[[#This Row],[Order_Date]]+60),1,0)</f>
        <v>0</v>
      </c>
      <c r="V3983">
        <f>IF(ReconciliationData[[#This Row],[total_returned_units]]&gt;ReconciliationData[[#This Row],[ordered_units]],1,0)</f>
        <v>0</v>
      </c>
      <c r="W398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83">
        <f>ReconciliationData[[#This Row],[Billed_Units]]*ReconciliationData[[#This Row],[Billed_Price]]</f>
        <v>41427.371900000006</v>
      </c>
      <c r="Y3983">
        <f>ReconciliationData[[#This Row],[ordered_units]]*ReconciliationData[[#This Row],[List_Price]]</f>
        <v>41427.371900000006</v>
      </c>
      <c r="Z3983">
        <f>ReconciliationData[[#This Row],[billed_revenue]]-ReconciliationData[[#This Row],[expected_revenue]]</f>
        <v>0</v>
      </c>
      <c r="AA398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83" t="str">
        <f>IF(ReconciliationData[[#This Row],[severity_score]]=0,"LOW",
 IF(ReconciliationData[[#This Row],[severity_score]]&lt;=5,"MEDIUM","HIGH"))</f>
        <v>LOW</v>
      </c>
      <c r="AC3983" t="str">
        <f>TEXT(ReconciliationData[[#This Row],[Order_Date]],"YYYY-MM")</f>
        <v>2024-06</v>
      </c>
    </row>
    <row r="3984" spans="1:29">
      <c r="A3984" t="s">
        <v>9190</v>
      </c>
      <c r="B3984" s="1">
        <v>44963</v>
      </c>
      <c r="C3984" t="s">
        <v>2578</v>
      </c>
      <c r="D3984" t="s">
        <v>174</v>
      </c>
      <c r="E3984">
        <v>43</v>
      </c>
      <c r="F3984" t="s">
        <v>9191</v>
      </c>
      <c r="G3984">
        <v>43</v>
      </c>
      <c r="H3984">
        <v>452.87746040545886</v>
      </c>
      <c r="N3984">
        <v>452.64</v>
      </c>
      <c r="O3984" s="1">
        <v>44694</v>
      </c>
      <c r="P3984">
        <f>IF(ISBLANK(ReconciliationData[[#This Row],[Invoice_ID]]),1,0)</f>
        <v>0</v>
      </c>
      <c r="Q3984">
        <f>IF(AND(NOT(ISBLANK(ReconciliationData[[#This Row],[Billed_Units]])),ReconciliationData[[#This Row],[ordered_units]]&lt;&gt;ReconciliationData[[#This Row],[Billed_Units]]),1,0)</f>
        <v>0</v>
      </c>
      <c r="R3984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3984">
        <f>IF(AND(NOT(ISBLANK(ReconciliationData[[#This Row],[Contract_Price]])),ReconciliationData[[#This Row],[Billed_Price]]&lt;&gt;ReconciliationData[[#This Row],[Contract_Price]]),1,0)</f>
        <v>0</v>
      </c>
      <c r="T3984">
        <f>IF(AND(NOT(ISBLANK(ReconciliationData[[#This Row],[End_Date]])),ReconciliationData[[#This Row],[Order_Date]]&gt;ReconciliationData[[#This Row],[End_Date]]),1,0)</f>
        <v>0</v>
      </c>
      <c r="U3984">
        <f>IF(AND(NOT(ISBLANK(ReconciliationData[[#This Row],[last_return_date]])),ReconciliationData[[#This Row],[last_return_date]]&gt;ReconciliationData[[#This Row],[Order_Date]]+60),1,0)</f>
        <v>0</v>
      </c>
      <c r="V3984">
        <f>IF(ReconciliationData[[#This Row],[total_returned_units]]&gt;ReconciliationData[[#This Row],[ordered_units]],1,0)</f>
        <v>0</v>
      </c>
      <c r="W398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3984">
        <f>ReconciliationData[[#This Row],[Billed_Units]]*ReconciliationData[[#This Row],[Billed_Price]]</f>
        <v>19473.730797434731</v>
      </c>
      <c r="Y3984">
        <f>ReconciliationData[[#This Row],[ordered_units]]*ReconciliationData[[#This Row],[List_Price]]</f>
        <v>19463.52</v>
      </c>
      <c r="Z3984">
        <f>ReconciliationData[[#This Row],[billed_revenue]]-ReconciliationData[[#This Row],[expected_revenue]]</f>
        <v>10.210797434730921</v>
      </c>
      <c r="AA398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3984" t="str">
        <f>IF(ReconciliationData[[#This Row],[severity_score]]=0,"LOW",
 IF(ReconciliationData[[#This Row],[severity_score]]&lt;=5,"MEDIUM","HIGH"))</f>
        <v>MEDIUM</v>
      </c>
      <c r="AC3984" t="str">
        <f>TEXT(ReconciliationData[[#This Row],[Order_Date]],"YYYY-MM")</f>
        <v>2023-02</v>
      </c>
    </row>
    <row r="3985" spans="1:29">
      <c r="A3985" t="s">
        <v>9192</v>
      </c>
      <c r="B3985" s="1">
        <v>45036</v>
      </c>
      <c r="C3985" t="s">
        <v>1435</v>
      </c>
      <c r="D3985" t="s">
        <v>360</v>
      </c>
      <c r="E3985">
        <v>144</v>
      </c>
      <c r="F3985" t="s">
        <v>9193</v>
      </c>
      <c r="G3985">
        <v>144</v>
      </c>
      <c r="H3985">
        <v>456.09</v>
      </c>
      <c r="N3985">
        <v>456.09</v>
      </c>
      <c r="O3985" s="1">
        <v>44678</v>
      </c>
      <c r="P3985">
        <f>IF(ISBLANK(ReconciliationData[[#This Row],[Invoice_ID]]),1,0)</f>
        <v>0</v>
      </c>
      <c r="Q3985">
        <f>IF(AND(NOT(ISBLANK(ReconciliationData[[#This Row],[Billed_Units]])),ReconciliationData[[#This Row],[ordered_units]]&lt;&gt;ReconciliationData[[#This Row],[Billed_Units]]),1,0)</f>
        <v>0</v>
      </c>
      <c r="R398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85">
        <f>IF(AND(NOT(ISBLANK(ReconciliationData[[#This Row],[Contract_Price]])),ReconciliationData[[#This Row],[Billed_Price]]&lt;&gt;ReconciliationData[[#This Row],[Contract_Price]]),1,0)</f>
        <v>0</v>
      </c>
      <c r="T3985">
        <f>IF(AND(NOT(ISBLANK(ReconciliationData[[#This Row],[End_Date]])),ReconciliationData[[#This Row],[Order_Date]]&gt;ReconciliationData[[#This Row],[End_Date]]),1,0)</f>
        <v>0</v>
      </c>
      <c r="U3985">
        <f>IF(AND(NOT(ISBLANK(ReconciliationData[[#This Row],[last_return_date]])),ReconciliationData[[#This Row],[last_return_date]]&gt;ReconciliationData[[#This Row],[Order_Date]]+60),1,0)</f>
        <v>0</v>
      </c>
      <c r="V3985">
        <f>IF(ReconciliationData[[#This Row],[total_returned_units]]&gt;ReconciliationData[[#This Row],[ordered_units]],1,0)</f>
        <v>0</v>
      </c>
      <c r="W398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85">
        <f>ReconciliationData[[#This Row],[Billed_Units]]*ReconciliationData[[#This Row],[Billed_Price]]</f>
        <v>65676.959999999992</v>
      </c>
      <c r="Y3985">
        <f>ReconciliationData[[#This Row],[ordered_units]]*ReconciliationData[[#This Row],[List_Price]]</f>
        <v>65676.959999999992</v>
      </c>
      <c r="Z3985">
        <f>ReconciliationData[[#This Row],[billed_revenue]]-ReconciliationData[[#This Row],[expected_revenue]]</f>
        <v>0</v>
      </c>
      <c r="AA398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85" t="str">
        <f>IF(ReconciliationData[[#This Row],[severity_score]]=0,"LOW",
 IF(ReconciliationData[[#This Row],[severity_score]]&lt;=5,"MEDIUM","HIGH"))</f>
        <v>LOW</v>
      </c>
      <c r="AC3985" t="str">
        <f>TEXT(ReconciliationData[[#This Row],[Order_Date]],"YYYY-MM")</f>
        <v>2023-04</v>
      </c>
    </row>
    <row r="3986" spans="1:29">
      <c r="A3986" t="s">
        <v>9194</v>
      </c>
      <c r="B3986" s="1">
        <v>45493</v>
      </c>
      <c r="C3986" t="s">
        <v>2186</v>
      </c>
      <c r="D3986" t="s">
        <v>1358</v>
      </c>
      <c r="E3986">
        <v>100</v>
      </c>
      <c r="F3986" t="s">
        <v>9195</v>
      </c>
      <c r="G3986">
        <v>100</v>
      </c>
      <c r="H3986">
        <v>940.1952</v>
      </c>
      <c r="I3986">
        <v>20</v>
      </c>
      <c r="J3986" s="1">
        <v>45191</v>
      </c>
      <c r="N3986">
        <v>940.1952</v>
      </c>
      <c r="O3986" s="1">
        <v>45058</v>
      </c>
      <c r="P3986">
        <f>IF(ISBLANK(ReconciliationData[[#This Row],[Invoice_ID]]),1,0)</f>
        <v>0</v>
      </c>
      <c r="Q3986">
        <f>IF(AND(NOT(ISBLANK(ReconciliationData[[#This Row],[Billed_Units]])),ReconciliationData[[#This Row],[ordered_units]]&lt;&gt;ReconciliationData[[#This Row],[Billed_Units]]),1,0)</f>
        <v>0</v>
      </c>
      <c r="R398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86">
        <f>IF(AND(NOT(ISBLANK(ReconciliationData[[#This Row],[Contract_Price]])),ReconciliationData[[#This Row],[Billed_Price]]&lt;&gt;ReconciliationData[[#This Row],[Contract_Price]]),1,0)</f>
        <v>0</v>
      </c>
      <c r="T3986">
        <f>IF(AND(NOT(ISBLANK(ReconciliationData[[#This Row],[End_Date]])),ReconciliationData[[#This Row],[Order_Date]]&gt;ReconciliationData[[#This Row],[End_Date]]),1,0)</f>
        <v>0</v>
      </c>
      <c r="U3986">
        <f>IF(AND(NOT(ISBLANK(ReconciliationData[[#This Row],[last_return_date]])),ReconciliationData[[#This Row],[last_return_date]]&gt;ReconciliationData[[#This Row],[Order_Date]]+60),1,0)</f>
        <v>0</v>
      </c>
      <c r="V3986">
        <f>IF(ReconciliationData[[#This Row],[total_returned_units]]&gt;ReconciliationData[[#This Row],[ordered_units]],1,0)</f>
        <v>0</v>
      </c>
      <c r="W398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86">
        <f>ReconciliationData[[#This Row],[Billed_Units]]*ReconciliationData[[#This Row],[Billed_Price]]</f>
        <v>94019.520000000004</v>
      </c>
      <c r="Y3986">
        <f>ReconciliationData[[#This Row],[ordered_units]]*ReconciliationData[[#This Row],[List_Price]]</f>
        <v>94019.520000000004</v>
      </c>
      <c r="Z3986">
        <f>ReconciliationData[[#This Row],[billed_revenue]]-ReconciliationData[[#This Row],[expected_revenue]]</f>
        <v>0</v>
      </c>
      <c r="AA398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86" t="str">
        <f>IF(ReconciliationData[[#This Row],[severity_score]]=0,"LOW",
 IF(ReconciliationData[[#This Row],[severity_score]]&lt;=5,"MEDIUM","HIGH"))</f>
        <v>LOW</v>
      </c>
      <c r="AC3986" t="str">
        <f>TEXT(ReconciliationData[[#This Row],[Order_Date]],"YYYY-MM")</f>
        <v>2024-07</v>
      </c>
    </row>
    <row r="3987" spans="1:29">
      <c r="A3987" t="s">
        <v>9196</v>
      </c>
      <c r="B3987" s="1">
        <v>45522</v>
      </c>
      <c r="C3987" t="s">
        <v>2833</v>
      </c>
      <c r="D3987" t="s">
        <v>849</v>
      </c>
      <c r="E3987">
        <v>122</v>
      </c>
      <c r="F3987" t="s">
        <v>9197</v>
      </c>
      <c r="G3987">
        <v>122</v>
      </c>
      <c r="H3987">
        <v>428.46220000000005</v>
      </c>
      <c r="N3987">
        <v>428.46220000000005</v>
      </c>
      <c r="O3987" s="1">
        <v>45102</v>
      </c>
      <c r="P3987">
        <f>IF(ISBLANK(ReconciliationData[[#This Row],[Invoice_ID]]),1,0)</f>
        <v>0</v>
      </c>
      <c r="Q3987">
        <f>IF(AND(NOT(ISBLANK(ReconciliationData[[#This Row],[Billed_Units]])),ReconciliationData[[#This Row],[ordered_units]]&lt;&gt;ReconciliationData[[#This Row],[Billed_Units]]),1,0)</f>
        <v>0</v>
      </c>
      <c r="R398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87">
        <f>IF(AND(NOT(ISBLANK(ReconciliationData[[#This Row],[Contract_Price]])),ReconciliationData[[#This Row],[Billed_Price]]&lt;&gt;ReconciliationData[[#This Row],[Contract_Price]]),1,0)</f>
        <v>0</v>
      </c>
      <c r="T3987">
        <f>IF(AND(NOT(ISBLANK(ReconciliationData[[#This Row],[End_Date]])),ReconciliationData[[#This Row],[Order_Date]]&gt;ReconciliationData[[#This Row],[End_Date]]),1,0)</f>
        <v>0</v>
      </c>
      <c r="U3987">
        <f>IF(AND(NOT(ISBLANK(ReconciliationData[[#This Row],[last_return_date]])),ReconciliationData[[#This Row],[last_return_date]]&gt;ReconciliationData[[#This Row],[Order_Date]]+60),1,0)</f>
        <v>0</v>
      </c>
      <c r="V3987">
        <f>IF(ReconciliationData[[#This Row],[total_returned_units]]&gt;ReconciliationData[[#This Row],[ordered_units]],1,0)</f>
        <v>0</v>
      </c>
      <c r="W398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87">
        <f>ReconciliationData[[#This Row],[Billed_Units]]*ReconciliationData[[#This Row],[Billed_Price]]</f>
        <v>52272.388400000003</v>
      </c>
      <c r="Y3987">
        <f>ReconciliationData[[#This Row],[ordered_units]]*ReconciliationData[[#This Row],[List_Price]]</f>
        <v>52272.388400000003</v>
      </c>
      <c r="Z3987">
        <f>ReconciliationData[[#This Row],[billed_revenue]]-ReconciliationData[[#This Row],[expected_revenue]]</f>
        <v>0</v>
      </c>
      <c r="AA398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87" t="str">
        <f>IF(ReconciliationData[[#This Row],[severity_score]]=0,"LOW",
 IF(ReconciliationData[[#This Row],[severity_score]]&lt;=5,"MEDIUM","HIGH"))</f>
        <v>LOW</v>
      </c>
      <c r="AC3987" t="str">
        <f>TEXT(ReconciliationData[[#This Row],[Order_Date]],"YYYY-MM")</f>
        <v>2024-08</v>
      </c>
    </row>
    <row r="3988" spans="1:29">
      <c r="A3988" t="s">
        <v>9198</v>
      </c>
      <c r="B3988" s="1">
        <v>45434</v>
      </c>
      <c r="C3988" t="s">
        <v>1024</v>
      </c>
      <c r="D3988" t="s">
        <v>154</v>
      </c>
      <c r="E3988">
        <v>55</v>
      </c>
      <c r="F3988" t="s">
        <v>9199</v>
      </c>
      <c r="G3988">
        <v>55</v>
      </c>
      <c r="H3988">
        <v>1058.3499999999999</v>
      </c>
      <c r="I3988">
        <v>4</v>
      </c>
      <c r="J3988" s="1">
        <v>45060</v>
      </c>
      <c r="N3988">
        <v>1058.3499999999999</v>
      </c>
      <c r="O3988" s="1">
        <v>45136</v>
      </c>
      <c r="P3988">
        <f>IF(ISBLANK(ReconciliationData[[#This Row],[Invoice_ID]]),1,0)</f>
        <v>0</v>
      </c>
      <c r="Q3988">
        <f>IF(AND(NOT(ISBLANK(ReconciliationData[[#This Row],[Billed_Units]])),ReconciliationData[[#This Row],[ordered_units]]&lt;&gt;ReconciliationData[[#This Row],[Billed_Units]]),1,0)</f>
        <v>0</v>
      </c>
      <c r="R398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88">
        <f>IF(AND(NOT(ISBLANK(ReconciliationData[[#This Row],[Contract_Price]])),ReconciliationData[[#This Row],[Billed_Price]]&lt;&gt;ReconciliationData[[#This Row],[Contract_Price]]),1,0)</f>
        <v>0</v>
      </c>
      <c r="T3988">
        <f>IF(AND(NOT(ISBLANK(ReconciliationData[[#This Row],[End_Date]])),ReconciliationData[[#This Row],[Order_Date]]&gt;ReconciliationData[[#This Row],[End_Date]]),1,0)</f>
        <v>0</v>
      </c>
      <c r="U3988">
        <f>IF(AND(NOT(ISBLANK(ReconciliationData[[#This Row],[last_return_date]])),ReconciliationData[[#This Row],[last_return_date]]&gt;ReconciliationData[[#This Row],[Order_Date]]+60),1,0)</f>
        <v>0</v>
      </c>
      <c r="V3988">
        <f>IF(ReconciliationData[[#This Row],[total_returned_units]]&gt;ReconciliationData[[#This Row],[ordered_units]],1,0)</f>
        <v>0</v>
      </c>
      <c r="W398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88">
        <f>ReconciliationData[[#This Row],[Billed_Units]]*ReconciliationData[[#This Row],[Billed_Price]]</f>
        <v>58209.249999999993</v>
      </c>
      <c r="Y3988">
        <f>ReconciliationData[[#This Row],[ordered_units]]*ReconciliationData[[#This Row],[List_Price]]</f>
        <v>58209.249999999993</v>
      </c>
      <c r="Z3988">
        <f>ReconciliationData[[#This Row],[billed_revenue]]-ReconciliationData[[#This Row],[expected_revenue]]</f>
        <v>0</v>
      </c>
      <c r="AA398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88" t="str">
        <f>IF(ReconciliationData[[#This Row],[severity_score]]=0,"LOW",
 IF(ReconciliationData[[#This Row],[severity_score]]&lt;=5,"MEDIUM","HIGH"))</f>
        <v>LOW</v>
      </c>
      <c r="AC3988" t="str">
        <f>TEXT(ReconciliationData[[#This Row],[Order_Date]],"YYYY-MM")</f>
        <v>2024-05</v>
      </c>
    </row>
    <row r="3989" spans="1:29">
      <c r="A3989" t="s">
        <v>9200</v>
      </c>
      <c r="B3989" s="1">
        <v>44945</v>
      </c>
      <c r="C3989" t="s">
        <v>2494</v>
      </c>
      <c r="D3989" t="s">
        <v>738</v>
      </c>
      <c r="E3989">
        <v>25</v>
      </c>
      <c r="F3989" t="s">
        <v>9201</v>
      </c>
      <c r="G3989">
        <v>25</v>
      </c>
      <c r="H3989">
        <v>733.42080000000021</v>
      </c>
      <c r="N3989">
        <v>733.42080000000021</v>
      </c>
      <c r="O3989" s="1">
        <v>44856</v>
      </c>
      <c r="P3989">
        <f>IF(ISBLANK(ReconciliationData[[#This Row],[Invoice_ID]]),1,0)</f>
        <v>0</v>
      </c>
      <c r="Q3989">
        <f>IF(AND(NOT(ISBLANK(ReconciliationData[[#This Row],[Billed_Units]])),ReconciliationData[[#This Row],[ordered_units]]&lt;&gt;ReconciliationData[[#This Row],[Billed_Units]]),1,0)</f>
        <v>0</v>
      </c>
      <c r="R398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89">
        <f>IF(AND(NOT(ISBLANK(ReconciliationData[[#This Row],[Contract_Price]])),ReconciliationData[[#This Row],[Billed_Price]]&lt;&gt;ReconciliationData[[#This Row],[Contract_Price]]),1,0)</f>
        <v>0</v>
      </c>
      <c r="T3989">
        <f>IF(AND(NOT(ISBLANK(ReconciliationData[[#This Row],[End_Date]])),ReconciliationData[[#This Row],[Order_Date]]&gt;ReconciliationData[[#This Row],[End_Date]]),1,0)</f>
        <v>0</v>
      </c>
      <c r="U3989">
        <f>IF(AND(NOT(ISBLANK(ReconciliationData[[#This Row],[last_return_date]])),ReconciliationData[[#This Row],[last_return_date]]&gt;ReconciliationData[[#This Row],[Order_Date]]+60),1,0)</f>
        <v>0</v>
      </c>
      <c r="V3989">
        <f>IF(ReconciliationData[[#This Row],[total_returned_units]]&gt;ReconciliationData[[#This Row],[ordered_units]],1,0)</f>
        <v>0</v>
      </c>
      <c r="W398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89">
        <f>ReconciliationData[[#This Row],[Billed_Units]]*ReconciliationData[[#This Row],[Billed_Price]]</f>
        <v>18335.520000000004</v>
      </c>
      <c r="Y3989">
        <f>ReconciliationData[[#This Row],[ordered_units]]*ReconciliationData[[#This Row],[List_Price]]</f>
        <v>18335.520000000004</v>
      </c>
      <c r="Z3989">
        <f>ReconciliationData[[#This Row],[billed_revenue]]-ReconciliationData[[#This Row],[expected_revenue]]</f>
        <v>0</v>
      </c>
      <c r="AA398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89" t="str">
        <f>IF(ReconciliationData[[#This Row],[severity_score]]=0,"LOW",
 IF(ReconciliationData[[#This Row],[severity_score]]&lt;=5,"MEDIUM","HIGH"))</f>
        <v>LOW</v>
      </c>
      <c r="AC3989" t="str">
        <f>TEXT(ReconciliationData[[#This Row],[Order_Date]],"YYYY-MM")</f>
        <v>2023-01</v>
      </c>
    </row>
    <row r="3990" spans="1:29">
      <c r="A3990" t="s">
        <v>9202</v>
      </c>
      <c r="B3990" s="1">
        <v>45420</v>
      </c>
      <c r="C3990" t="s">
        <v>1651</v>
      </c>
      <c r="D3990" t="s">
        <v>1339</v>
      </c>
      <c r="E3990">
        <v>185</v>
      </c>
      <c r="F3990" t="s">
        <v>9203</v>
      </c>
      <c r="G3990">
        <v>185</v>
      </c>
      <c r="H3990">
        <v>651.14279999999997</v>
      </c>
      <c r="N3990">
        <v>651.14279999999997</v>
      </c>
      <c r="O3990" s="1">
        <v>45220</v>
      </c>
      <c r="P3990">
        <f>IF(ISBLANK(ReconciliationData[[#This Row],[Invoice_ID]]),1,0)</f>
        <v>0</v>
      </c>
      <c r="Q3990">
        <f>IF(AND(NOT(ISBLANK(ReconciliationData[[#This Row],[Billed_Units]])),ReconciliationData[[#This Row],[ordered_units]]&lt;&gt;ReconciliationData[[#This Row],[Billed_Units]]),1,0)</f>
        <v>0</v>
      </c>
      <c r="R399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0">
        <f>IF(AND(NOT(ISBLANK(ReconciliationData[[#This Row],[Contract_Price]])),ReconciliationData[[#This Row],[Billed_Price]]&lt;&gt;ReconciliationData[[#This Row],[Contract_Price]]),1,0)</f>
        <v>0</v>
      </c>
      <c r="T3990">
        <f>IF(AND(NOT(ISBLANK(ReconciliationData[[#This Row],[End_Date]])),ReconciliationData[[#This Row],[Order_Date]]&gt;ReconciliationData[[#This Row],[End_Date]]),1,0)</f>
        <v>0</v>
      </c>
      <c r="U3990">
        <f>IF(AND(NOT(ISBLANK(ReconciliationData[[#This Row],[last_return_date]])),ReconciliationData[[#This Row],[last_return_date]]&gt;ReconciliationData[[#This Row],[Order_Date]]+60),1,0)</f>
        <v>0</v>
      </c>
      <c r="V3990">
        <f>IF(ReconciliationData[[#This Row],[total_returned_units]]&gt;ReconciliationData[[#This Row],[ordered_units]],1,0)</f>
        <v>0</v>
      </c>
      <c r="W399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0">
        <f>ReconciliationData[[#This Row],[Billed_Units]]*ReconciliationData[[#This Row],[Billed_Price]]</f>
        <v>120461.41799999999</v>
      </c>
      <c r="Y3990">
        <f>ReconciliationData[[#This Row],[ordered_units]]*ReconciliationData[[#This Row],[List_Price]]</f>
        <v>120461.41799999999</v>
      </c>
      <c r="Z3990">
        <f>ReconciliationData[[#This Row],[billed_revenue]]-ReconciliationData[[#This Row],[expected_revenue]]</f>
        <v>0</v>
      </c>
      <c r="AA399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0" t="str">
        <f>IF(ReconciliationData[[#This Row],[severity_score]]=0,"LOW",
 IF(ReconciliationData[[#This Row],[severity_score]]&lt;=5,"MEDIUM","HIGH"))</f>
        <v>LOW</v>
      </c>
      <c r="AC3990" t="str">
        <f>TEXT(ReconciliationData[[#This Row],[Order_Date]],"YYYY-MM")</f>
        <v>2024-05</v>
      </c>
    </row>
    <row r="3991" spans="1:29">
      <c r="A3991" t="s">
        <v>9204</v>
      </c>
      <c r="B3991" s="1">
        <v>45606</v>
      </c>
      <c r="C3991" t="s">
        <v>258</v>
      </c>
      <c r="D3991" t="s">
        <v>1754</v>
      </c>
      <c r="E3991">
        <v>166</v>
      </c>
      <c r="F3991" t="s">
        <v>9205</v>
      </c>
      <c r="G3991">
        <v>166</v>
      </c>
      <c r="H3991">
        <v>1072.2954</v>
      </c>
      <c r="N3991">
        <v>1072.2954</v>
      </c>
      <c r="O3991" s="1">
        <v>45120</v>
      </c>
      <c r="P3991">
        <f>IF(ISBLANK(ReconciliationData[[#This Row],[Invoice_ID]]),1,0)</f>
        <v>0</v>
      </c>
      <c r="Q3991">
        <f>IF(AND(NOT(ISBLANK(ReconciliationData[[#This Row],[Billed_Units]])),ReconciliationData[[#This Row],[ordered_units]]&lt;&gt;ReconciliationData[[#This Row],[Billed_Units]]),1,0)</f>
        <v>0</v>
      </c>
      <c r="R3991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1">
        <f>IF(AND(NOT(ISBLANK(ReconciliationData[[#This Row],[Contract_Price]])),ReconciliationData[[#This Row],[Billed_Price]]&lt;&gt;ReconciliationData[[#This Row],[Contract_Price]]),1,0)</f>
        <v>0</v>
      </c>
      <c r="T3991">
        <f>IF(AND(NOT(ISBLANK(ReconciliationData[[#This Row],[End_Date]])),ReconciliationData[[#This Row],[Order_Date]]&gt;ReconciliationData[[#This Row],[End_Date]]),1,0)</f>
        <v>0</v>
      </c>
      <c r="U3991">
        <f>IF(AND(NOT(ISBLANK(ReconciliationData[[#This Row],[last_return_date]])),ReconciliationData[[#This Row],[last_return_date]]&gt;ReconciliationData[[#This Row],[Order_Date]]+60),1,0)</f>
        <v>0</v>
      </c>
      <c r="V3991">
        <f>IF(ReconciliationData[[#This Row],[total_returned_units]]&gt;ReconciliationData[[#This Row],[ordered_units]],1,0)</f>
        <v>0</v>
      </c>
      <c r="W399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1">
        <f>ReconciliationData[[#This Row],[Billed_Units]]*ReconciliationData[[#This Row],[Billed_Price]]</f>
        <v>178001.03639999998</v>
      </c>
      <c r="Y3991">
        <f>ReconciliationData[[#This Row],[ordered_units]]*ReconciliationData[[#This Row],[List_Price]]</f>
        <v>178001.03639999998</v>
      </c>
      <c r="Z3991">
        <f>ReconciliationData[[#This Row],[billed_revenue]]-ReconciliationData[[#This Row],[expected_revenue]]</f>
        <v>0</v>
      </c>
      <c r="AA399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1" t="str">
        <f>IF(ReconciliationData[[#This Row],[severity_score]]=0,"LOW",
 IF(ReconciliationData[[#This Row],[severity_score]]&lt;=5,"MEDIUM","HIGH"))</f>
        <v>LOW</v>
      </c>
      <c r="AC3991" t="str">
        <f>TEXT(ReconciliationData[[#This Row],[Order_Date]],"YYYY-MM")</f>
        <v>2024-11</v>
      </c>
    </row>
    <row r="3992" spans="1:29">
      <c r="A3992" t="s">
        <v>9206</v>
      </c>
      <c r="B3992" s="1">
        <v>45480</v>
      </c>
      <c r="C3992" t="s">
        <v>1601</v>
      </c>
      <c r="D3992" t="s">
        <v>1238</v>
      </c>
      <c r="E3992">
        <v>115</v>
      </c>
      <c r="F3992" t="s">
        <v>9207</v>
      </c>
      <c r="G3992">
        <v>115</v>
      </c>
      <c r="H3992">
        <v>355.32000000000005</v>
      </c>
      <c r="N3992">
        <v>355.32000000000005</v>
      </c>
      <c r="O3992" s="1">
        <v>45058</v>
      </c>
      <c r="P3992">
        <f>IF(ISBLANK(ReconciliationData[[#This Row],[Invoice_ID]]),1,0)</f>
        <v>0</v>
      </c>
      <c r="Q3992">
        <f>IF(AND(NOT(ISBLANK(ReconciliationData[[#This Row],[Billed_Units]])),ReconciliationData[[#This Row],[ordered_units]]&lt;&gt;ReconciliationData[[#This Row],[Billed_Units]]),1,0)</f>
        <v>0</v>
      </c>
      <c r="R3992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2">
        <f>IF(AND(NOT(ISBLANK(ReconciliationData[[#This Row],[Contract_Price]])),ReconciliationData[[#This Row],[Billed_Price]]&lt;&gt;ReconciliationData[[#This Row],[Contract_Price]]),1,0)</f>
        <v>0</v>
      </c>
      <c r="T3992">
        <f>IF(AND(NOT(ISBLANK(ReconciliationData[[#This Row],[End_Date]])),ReconciliationData[[#This Row],[Order_Date]]&gt;ReconciliationData[[#This Row],[End_Date]]),1,0)</f>
        <v>0</v>
      </c>
      <c r="U3992">
        <f>IF(AND(NOT(ISBLANK(ReconciliationData[[#This Row],[last_return_date]])),ReconciliationData[[#This Row],[last_return_date]]&gt;ReconciliationData[[#This Row],[Order_Date]]+60),1,0)</f>
        <v>0</v>
      </c>
      <c r="V3992">
        <f>IF(ReconciliationData[[#This Row],[total_returned_units]]&gt;ReconciliationData[[#This Row],[ordered_units]],1,0)</f>
        <v>0</v>
      </c>
      <c r="W3992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2">
        <f>ReconciliationData[[#This Row],[Billed_Units]]*ReconciliationData[[#This Row],[Billed_Price]]</f>
        <v>40861.800000000003</v>
      </c>
      <c r="Y3992">
        <f>ReconciliationData[[#This Row],[ordered_units]]*ReconciliationData[[#This Row],[List_Price]]</f>
        <v>40861.800000000003</v>
      </c>
      <c r="Z3992">
        <f>ReconciliationData[[#This Row],[billed_revenue]]-ReconciliationData[[#This Row],[expected_revenue]]</f>
        <v>0</v>
      </c>
      <c r="AA3992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2" t="str">
        <f>IF(ReconciliationData[[#This Row],[severity_score]]=0,"LOW",
 IF(ReconciliationData[[#This Row],[severity_score]]&lt;=5,"MEDIUM","HIGH"))</f>
        <v>LOW</v>
      </c>
      <c r="AC3992" t="str">
        <f>TEXT(ReconciliationData[[#This Row],[Order_Date]],"YYYY-MM")</f>
        <v>2024-07</v>
      </c>
    </row>
    <row r="3993" spans="1:29">
      <c r="A3993" t="s">
        <v>9208</v>
      </c>
      <c r="B3993" s="1">
        <v>45069</v>
      </c>
      <c r="C3993" t="s">
        <v>2343</v>
      </c>
      <c r="D3993" t="s">
        <v>2605</v>
      </c>
      <c r="E3993">
        <v>186</v>
      </c>
      <c r="F3993" t="s">
        <v>9209</v>
      </c>
      <c r="G3993">
        <v>186</v>
      </c>
      <c r="H3993">
        <v>703.97</v>
      </c>
      <c r="N3993">
        <v>703.97</v>
      </c>
      <c r="O3993" s="1">
        <v>45022</v>
      </c>
      <c r="P3993">
        <f>IF(ISBLANK(ReconciliationData[[#This Row],[Invoice_ID]]),1,0)</f>
        <v>0</v>
      </c>
      <c r="Q3993">
        <f>IF(AND(NOT(ISBLANK(ReconciliationData[[#This Row],[Billed_Units]])),ReconciliationData[[#This Row],[ordered_units]]&lt;&gt;ReconciliationData[[#This Row],[Billed_Units]]),1,0)</f>
        <v>0</v>
      </c>
      <c r="R3993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3">
        <f>IF(AND(NOT(ISBLANK(ReconciliationData[[#This Row],[Contract_Price]])),ReconciliationData[[#This Row],[Billed_Price]]&lt;&gt;ReconciliationData[[#This Row],[Contract_Price]]),1,0)</f>
        <v>0</v>
      </c>
      <c r="T3993">
        <f>IF(AND(NOT(ISBLANK(ReconciliationData[[#This Row],[End_Date]])),ReconciliationData[[#This Row],[Order_Date]]&gt;ReconciliationData[[#This Row],[End_Date]]),1,0)</f>
        <v>0</v>
      </c>
      <c r="U3993">
        <f>IF(AND(NOT(ISBLANK(ReconciliationData[[#This Row],[last_return_date]])),ReconciliationData[[#This Row],[last_return_date]]&gt;ReconciliationData[[#This Row],[Order_Date]]+60),1,0)</f>
        <v>0</v>
      </c>
      <c r="V3993">
        <f>IF(ReconciliationData[[#This Row],[total_returned_units]]&gt;ReconciliationData[[#This Row],[ordered_units]],1,0)</f>
        <v>0</v>
      </c>
      <c r="W3993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3">
        <f>ReconciliationData[[#This Row],[Billed_Units]]*ReconciliationData[[#This Row],[Billed_Price]]</f>
        <v>130938.42</v>
      </c>
      <c r="Y3993">
        <f>ReconciliationData[[#This Row],[ordered_units]]*ReconciliationData[[#This Row],[List_Price]]</f>
        <v>130938.42</v>
      </c>
      <c r="Z3993">
        <f>ReconciliationData[[#This Row],[billed_revenue]]-ReconciliationData[[#This Row],[expected_revenue]]</f>
        <v>0</v>
      </c>
      <c r="AA3993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3" t="str">
        <f>IF(ReconciliationData[[#This Row],[severity_score]]=0,"LOW",
 IF(ReconciliationData[[#This Row],[severity_score]]&lt;=5,"MEDIUM","HIGH"))</f>
        <v>LOW</v>
      </c>
      <c r="AC3993" t="str">
        <f>TEXT(ReconciliationData[[#This Row],[Order_Date]],"YYYY-MM")</f>
        <v>2023-05</v>
      </c>
    </row>
    <row r="3994" spans="1:29">
      <c r="A3994" t="s">
        <v>9210</v>
      </c>
      <c r="B3994" s="1">
        <v>45327</v>
      </c>
      <c r="C3994" t="s">
        <v>1435</v>
      </c>
      <c r="D3994" t="s">
        <v>434</v>
      </c>
      <c r="E3994">
        <v>182</v>
      </c>
      <c r="F3994" t="s">
        <v>9211</v>
      </c>
      <c r="G3994">
        <v>182</v>
      </c>
      <c r="H3994">
        <v>68.572800000000001</v>
      </c>
      <c r="N3994">
        <v>68.572800000000001</v>
      </c>
      <c r="O3994" s="1">
        <v>45098</v>
      </c>
      <c r="P3994">
        <f>IF(ISBLANK(ReconciliationData[[#This Row],[Invoice_ID]]),1,0)</f>
        <v>0</v>
      </c>
      <c r="Q3994">
        <f>IF(AND(NOT(ISBLANK(ReconciliationData[[#This Row],[Billed_Units]])),ReconciliationData[[#This Row],[ordered_units]]&lt;&gt;ReconciliationData[[#This Row],[Billed_Units]]),1,0)</f>
        <v>0</v>
      </c>
      <c r="R3994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4">
        <f>IF(AND(NOT(ISBLANK(ReconciliationData[[#This Row],[Contract_Price]])),ReconciliationData[[#This Row],[Billed_Price]]&lt;&gt;ReconciliationData[[#This Row],[Contract_Price]]),1,0)</f>
        <v>0</v>
      </c>
      <c r="T3994">
        <f>IF(AND(NOT(ISBLANK(ReconciliationData[[#This Row],[End_Date]])),ReconciliationData[[#This Row],[Order_Date]]&gt;ReconciliationData[[#This Row],[End_Date]]),1,0)</f>
        <v>0</v>
      </c>
      <c r="U3994">
        <f>IF(AND(NOT(ISBLANK(ReconciliationData[[#This Row],[last_return_date]])),ReconciliationData[[#This Row],[last_return_date]]&gt;ReconciliationData[[#This Row],[Order_Date]]+60),1,0)</f>
        <v>0</v>
      </c>
      <c r="V3994">
        <f>IF(ReconciliationData[[#This Row],[total_returned_units]]&gt;ReconciliationData[[#This Row],[ordered_units]],1,0)</f>
        <v>0</v>
      </c>
      <c r="W3994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4">
        <f>ReconciliationData[[#This Row],[Billed_Units]]*ReconciliationData[[#This Row],[Billed_Price]]</f>
        <v>12480.249600000001</v>
      </c>
      <c r="Y3994">
        <f>ReconciliationData[[#This Row],[ordered_units]]*ReconciliationData[[#This Row],[List_Price]]</f>
        <v>12480.249600000001</v>
      </c>
      <c r="Z3994">
        <f>ReconciliationData[[#This Row],[billed_revenue]]-ReconciliationData[[#This Row],[expected_revenue]]</f>
        <v>0</v>
      </c>
      <c r="AA3994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4" t="str">
        <f>IF(ReconciliationData[[#This Row],[severity_score]]=0,"LOW",
 IF(ReconciliationData[[#This Row],[severity_score]]&lt;=5,"MEDIUM","HIGH"))</f>
        <v>LOW</v>
      </c>
      <c r="AC3994" t="str">
        <f>TEXT(ReconciliationData[[#This Row],[Order_Date]],"YYYY-MM")</f>
        <v>2024-02</v>
      </c>
    </row>
    <row r="3995" spans="1:29">
      <c r="A3995" t="s">
        <v>9212</v>
      </c>
      <c r="B3995" s="1">
        <v>45539</v>
      </c>
      <c r="C3995" t="s">
        <v>1483</v>
      </c>
      <c r="D3995" t="s">
        <v>1392</v>
      </c>
      <c r="E3995">
        <v>93</v>
      </c>
      <c r="F3995" t="s">
        <v>9213</v>
      </c>
      <c r="G3995">
        <v>93</v>
      </c>
      <c r="H3995">
        <v>107.1605</v>
      </c>
      <c r="N3995">
        <v>107.1605</v>
      </c>
      <c r="O3995" s="1">
        <v>44970</v>
      </c>
      <c r="P3995">
        <f>IF(ISBLANK(ReconciliationData[[#This Row],[Invoice_ID]]),1,0)</f>
        <v>0</v>
      </c>
      <c r="Q3995">
        <f>IF(AND(NOT(ISBLANK(ReconciliationData[[#This Row],[Billed_Units]])),ReconciliationData[[#This Row],[ordered_units]]&lt;&gt;ReconciliationData[[#This Row],[Billed_Units]]),1,0)</f>
        <v>0</v>
      </c>
      <c r="R3995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5">
        <f>IF(AND(NOT(ISBLANK(ReconciliationData[[#This Row],[Contract_Price]])),ReconciliationData[[#This Row],[Billed_Price]]&lt;&gt;ReconciliationData[[#This Row],[Contract_Price]]),1,0)</f>
        <v>0</v>
      </c>
      <c r="T3995">
        <f>IF(AND(NOT(ISBLANK(ReconciliationData[[#This Row],[End_Date]])),ReconciliationData[[#This Row],[Order_Date]]&gt;ReconciliationData[[#This Row],[End_Date]]),1,0)</f>
        <v>0</v>
      </c>
      <c r="U3995">
        <f>IF(AND(NOT(ISBLANK(ReconciliationData[[#This Row],[last_return_date]])),ReconciliationData[[#This Row],[last_return_date]]&gt;ReconciliationData[[#This Row],[Order_Date]]+60),1,0)</f>
        <v>0</v>
      </c>
      <c r="V3995">
        <f>IF(ReconciliationData[[#This Row],[total_returned_units]]&gt;ReconciliationData[[#This Row],[ordered_units]],1,0)</f>
        <v>0</v>
      </c>
      <c r="W3995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5">
        <f>ReconciliationData[[#This Row],[Billed_Units]]*ReconciliationData[[#This Row],[Billed_Price]]</f>
        <v>9965.9264999999996</v>
      </c>
      <c r="Y3995">
        <f>ReconciliationData[[#This Row],[ordered_units]]*ReconciliationData[[#This Row],[List_Price]]</f>
        <v>9965.9264999999996</v>
      </c>
      <c r="Z3995">
        <f>ReconciliationData[[#This Row],[billed_revenue]]-ReconciliationData[[#This Row],[expected_revenue]]</f>
        <v>0</v>
      </c>
      <c r="AA3995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5" t="str">
        <f>IF(ReconciliationData[[#This Row],[severity_score]]=0,"LOW",
 IF(ReconciliationData[[#This Row],[severity_score]]&lt;=5,"MEDIUM","HIGH"))</f>
        <v>LOW</v>
      </c>
      <c r="AC3995" t="str">
        <f>TEXT(ReconciliationData[[#This Row],[Order_Date]],"YYYY-MM")</f>
        <v>2024-09</v>
      </c>
    </row>
    <row r="3996" spans="1:29">
      <c r="A3996" t="s">
        <v>9214</v>
      </c>
      <c r="B3996" s="1">
        <v>45410</v>
      </c>
      <c r="C3996" t="s">
        <v>2451</v>
      </c>
      <c r="D3996" t="s">
        <v>738</v>
      </c>
      <c r="E3996">
        <v>108</v>
      </c>
      <c r="F3996" t="s">
        <v>9215</v>
      </c>
      <c r="G3996">
        <v>108</v>
      </c>
      <c r="H3996">
        <v>664.8768</v>
      </c>
      <c r="N3996">
        <v>664.8768</v>
      </c>
      <c r="O3996" s="1">
        <v>45116</v>
      </c>
      <c r="P3996">
        <f>IF(ISBLANK(ReconciliationData[[#This Row],[Invoice_ID]]),1,0)</f>
        <v>0</v>
      </c>
      <c r="Q3996">
        <f>IF(AND(NOT(ISBLANK(ReconciliationData[[#This Row],[Billed_Units]])),ReconciliationData[[#This Row],[ordered_units]]&lt;&gt;ReconciliationData[[#This Row],[Billed_Units]]),1,0)</f>
        <v>0</v>
      </c>
      <c r="R3996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6">
        <f>IF(AND(NOT(ISBLANK(ReconciliationData[[#This Row],[Contract_Price]])),ReconciliationData[[#This Row],[Billed_Price]]&lt;&gt;ReconciliationData[[#This Row],[Contract_Price]]),1,0)</f>
        <v>0</v>
      </c>
      <c r="T3996">
        <f>IF(AND(NOT(ISBLANK(ReconciliationData[[#This Row],[End_Date]])),ReconciliationData[[#This Row],[Order_Date]]&gt;ReconciliationData[[#This Row],[End_Date]]),1,0)</f>
        <v>0</v>
      </c>
      <c r="U3996">
        <f>IF(AND(NOT(ISBLANK(ReconciliationData[[#This Row],[last_return_date]])),ReconciliationData[[#This Row],[last_return_date]]&gt;ReconciliationData[[#This Row],[Order_Date]]+60),1,0)</f>
        <v>0</v>
      </c>
      <c r="V3996">
        <f>IF(ReconciliationData[[#This Row],[total_returned_units]]&gt;ReconciliationData[[#This Row],[ordered_units]],1,0)</f>
        <v>0</v>
      </c>
      <c r="W3996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6">
        <f>ReconciliationData[[#This Row],[Billed_Units]]*ReconciliationData[[#This Row],[Billed_Price]]</f>
        <v>71806.694400000008</v>
      </c>
      <c r="Y3996">
        <f>ReconciliationData[[#This Row],[ordered_units]]*ReconciliationData[[#This Row],[List_Price]]</f>
        <v>71806.694400000008</v>
      </c>
      <c r="Z3996">
        <f>ReconciliationData[[#This Row],[billed_revenue]]-ReconciliationData[[#This Row],[expected_revenue]]</f>
        <v>0</v>
      </c>
      <c r="AA3996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6" t="str">
        <f>IF(ReconciliationData[[#This Row],[severity_score]]=0,"LOW",
 IF(ReconciliationData[[#This Row],[severity_score]]&lt;=5,"MEDIUM","HIGH"))</f>
        <v>LOW</v>
      </c>
      <c r="AC3996" t="str">
        <f>TEXT(ReconciliationData[[#This Row],[Order_Date]],"YYYY-MM")</f>
        <v>2024-04</v>
      </c>
    </row>
    <row r="3997" spans="1:29">
      <c r="A3997" t="s">
        <v>9216</v>
      </c>
      <c r="B3997" s="1">
        <v>45343</v>
      </c>
      <c r="C3997" t="s">
        <v>1145</v>
      </c>
      <c r="D3997" t="s">
        <v>1706</v>
      </c>
      <c r="E3997">
        <v>105</v>
      </c>
      <c r="F3997" t="s">
        <v>9217</v>
      </c>
      <c r="G3997">
        <v>105</v>
      </c>
      <c r="H3997">
        <v>854.74350000000004</v>
      </c>
      <c r="N3997">
        <v>854.74350000000004</v>
      </c>
      <c r="O3997" s="1">
        <v>44984</v>
      </c>
      <c r="P3997">
        <f>IF(ISBLANK(ReconciliationData[[#This Row],[Invoice_ID]]),1,0)</f>
        <v>0</v>
      </c>
      <c r="Q3997">
        <f>IF(AND(NOT(ISBLANK(ReconciliationData[[#This Row],[Billed_Units]])),ReconciliationData[[#This Row],[ordered_units]]&lt;&gt;ReconciliationData[[#This Row],[Billed_Units]]),1,0)</f>
        <v>0</v>
      </c>
      <c r="R3997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7">
        <f>IF(AND(NOT(ISBLANK(ReconciliationData[[#This Row],[Contract_Price]])),ReconciliationData[[#This Row],[Billed_Price]]&lt;&gt;ReconciliationData[[#This Row],[Contract_Price]]),1,0)</f>
        <v>0</v>
      </c>
      <c r="T3997">
        <f>IF(AND(NOT(ISBLANK(ReconciliationData[[#This Row],[End_Date]])),ReconciliationData[[#This Row],[Order_Date]]&gt;ReconciliationData[[#This Row],[End_Date]]),1,0)</f>
        <v>0</v>
      </c>
      <c r="U3997">
        <f>IF(AND(NOT(ISBLANK(ReconciliationData[[#This Row],[last_return_date]])),ReconciliationData[[#This Row],[last_return_date]]&gt;ReconciliationData[[#This Row],[Order_Date]]+60),1,0)</f>
        <v>0</v>
      </c>
      <c r="V3997">
        <f>IF(ReconciliationData[[#This Row],[total_returned_units]]&gt;ReconciliationData[[#This Row],[ordered_units]],1,0)</f>
        <v>0</v>
      </c>
      <c r="W3997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7">
        <f>ReconciliationData[[#This Row],[Billed_Units]]*ReconciliationData[[#This Row],[Billed_Price]]</f>
        <v>89748.067500000005</v>
      </c>
      <c r="Y3997">
        <f>ReconciliationData[[#This Row],[ordered_units]]*ReconciliationData[[#This Row],[List_Price]]</f>
        <v>89748.067500000005</v>
      </c>
      <c r="Z3997">
        <f>ReconciliationData[[#This Row],[billed_revenue]]-ReconciliationData[[#This Row],[expected_revenue]]</f>
        <v>0</v>
      </c>
      <c r="AA3997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7" t="str">
        <f>IF(ReconciliationData[[#This Row],[severity_score]]=0,"LOW",
 IF(ReconciliationData[[#This Row],[severity_score]]&lt;=5,"MEDIUM","HIGH"))</f>
        <v>LOW</v>
      </c>
      <c r="AC3997" t="str">
        <f>TEXT(ReconciliationData[[#This Row],[Order_Date]],"YYYY-MM")</f>
        <v>2024-02</v>
      </c>
    </row>
    <row r="3998" spans="1:29">
      <c r="A3998" t="s">
        <v>9218</v>
      </c>
      <c r="B3998" s="1">
        <v>45315</v>
      </c>
      <c r="C3998" t="s">
        <v>377</v>
      </c>
      <c r="D3998" t="s">
        <v>753</v>
      </c>
      <c r="E3998">
        <v>71</v>
      </c>
      <c r="F3998" t="s">
        <v>9219</v>
      </c>
      <c r="G3998">
        <v>71</v>
      </c>
      <c r="H3998">
        <v>741.88620000000003</v>
      </c>
      <c r="N3998">
        <v>741.88620000000003</v>
      </c>
      <c r="O3998" s="1">
        <v>44930</v>
      </c>
      <c r="P3998">
        <f>IF(ISBLANK(ReconciliationData[[#This Row],[Invoice_ID]]),1,0)</f>
        <v>0</v>
      </c>
      <c r="Q3998">
        <f>IF(AND(NOT(ISBLANK(ReconciliationData[[#This Row],[Billed_Units]])),ReconciliationData[[#This Row],[ordered_units]]&lt;&gt;ReconciliationData[[#This Row],[Billed_Units]]),1,0)</f>
        <v>0</v>
      </c>
      <c r="R3998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8">
        <f>IF(AND(NOT(ISBLANK(ReconciliationData[[#This Row],[Contract_Price]])),ReconciliationData[[#This Row],[Billed_Price]]&lt;&gt;ReconciliationData[[#This Row],[Contract_Price]]),1,0)</f>
        <v>0</v>
      </c>
      <c r="T3998">
        <f>IF(AND(NOT(ISBLANK(ReconciliationData[[#This Row],[End_Date]])),ReconciliationData[[#This Row],[Order_Date]]&gt;ReconciliationData[[#This Row],[End_Date]]),1,0)</f>
        <v>0</v>
      </c>
      <c r="U3998">
        <f>IF(AND(NOT(ISBLANK(ReconciliationData[[#This Row],[last_return_date]])),ReconciliationData[[#This Row],[last_return_date]]&gt;ReconciliationData[[#This Row],[Order_Date]]+60),1,0)</f>
        <v>0</v>
      </c>
      <c r="V3998">
        <f>IF(ReconciliationData[[#This Row],[total_returned_units]]&gt;ReconciliationData[[#This Row],[ordered_units]],1,0)</f>
        <v>0</v>
      </c>
      <c r="W3998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8">
        <f>ReconciliationData[[#This Row],[Billed_Units]]*ReconciliationData[[#This Row],[Billed_Price]]</f>
        <v>52673.9202</v>
      </c>
      <c r="Y3998">
        <f>ReconciliationData[[#This Row],[ordered_units]]*ReconciliationData[[#This Row],[List_Price]]</f>
        <v>52673.9202</v>
      </c>
      <c r="Z3998">
        <f>ReconciliationData[[#This Row],[billed_revenue]]-ReconciliationData[[#This Row],[expected_revenue]]</f>
        <v>0</v>
      </c>
      <c r="AA3998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8" t="str">
        <f>IF(ReconciliationData[[#This Row],[severity_score]]=0,"LOW",
 IF(ReconciliationData[[#This Row],[severity_score]]&lt;=5,"MEDIUM","HIGH"))</f>
        <v>LOW</v>
      </c>
      <c r="AC3998" t="str">
        <f>TEXT(ReconciliationData[[#This Row],[Order_Date]],"YYYY-MM")</f>
        <v>2024-01</v>
      </c>
    </row>
    <row r="3999" spans="1:29">
      <c r="A3999" t="s">
        <v>9220</v>
      </c>
      <c r="B3999" s="1">
        <v>45317</v>
      </c>
      <c r="C3999" t="s">
        <v>2748</v>
      </c>
      <c r="D3999" t="s">
        <v>1146</v>
      </c>
      <c r="E3999">
        <v>19</v>
      </c>
      <c r="F3999" t="s">
        <v>9221</v>
      </c>
      <c r="G3999">
        <v>19</v>
      </c>
      <c r="H3999">
        <v>427.43</v>
      </c>
      <c r="N3999">
        <v>427.43</v>
      </c>
      <c r="O3999" s="1">
        <v>45054</v>
      </c>
      <c r="P3999">
        <f>IF(ISBLANK(ReconciliationData[[#This Row],[Invoice_ID]]),1,0)</f>
        <v>0</v>
      </c>
      <c r="Q3999">
        <f>IF(AND(NOT(ISBLANK(ReconciliationData[[#This Row],[Billed_Units]])),ReconciliationData[[#This Row],[ordered_units]]&lt;&gt;ReconciliationData[[#This Row],[Billed_Units]]),1,0)</f>
        <v>0</v>
      </c>
      <c r="R3999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3999">
        <f>IF(AND(NOT(ISBLANK(ReconciliationData[[#This Row],[Contract_Price]])),ReconciliationData[[#This Row],[Billed_Price]]&lt;&gt;ReconciliationData[[#This Row],[Contract_Price]]),1,0)</f>
        <v>0</v>
      </c>
      <c r="T3999">
        <f>IF(AND(NOT(ISBLANK(ReconciliationData[[#This Row],[End_Date]])),ReconciliationData[[#This Row],[Order_Date]]&gt;ReconciliationData[[#This Row],[End_Date]]),1,0)</f>
        <v>0</v>
      </c>
      <c r="U3999">
        <f>IF(AND(NOT(ISBLANK(ReconciliationData[[#This Row],[last_return_date]])),ReconciliationData[[#This Row],[last_return_date]]&gt;ReconciliationData[[#This Row],[Order_Date]]+60),1,0)</f>
        <v>0</v>
      </c>
      <c r="V3999">
        <f>IF(ReconciliationData[[#This Row],[total_returned_units]]&gt;ReconciliationData[[#This Row],[ordered_units]],1,0)</f>
        <v>0</v>
      </c>
      <c r="W3999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3999">
        <f>ReconciliationData[[#This Row],[Billed_Units]]*ReconciliationData[[#This Row],[Billed_Price]]</f>
        <v>8121.17</v>
      </c>
      <c r="Y3999">
        <f>ReconciliationData[[#This Row],[ordered_units]]*ReconciliationData[[#This Row],[List_Price]]</f>
        <v>8121.17</v>
      </c>
      <c r="Z3999">
        <f>ReconciliationData[[#This Row],[billed_revenue]]-ReconciliationData[[#This Row],[expected_revenue]]</f>
        <v>0</v>
      </c>
      <c r="AA3999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3999" t="str">
        <f>IF(ReconciliationData[[#This Row],[severity_score]]=0,"LOW",
 IF(ReconciliationData[[#This Row],[severity_score]]&lt;=5,"MEDIUM","HIGH"))</f>
        <v>LOW</v>
      </c>
      <c r="AC3999" t="str">
        <f>TEXT(ReconciliationData[[#This Row],[Order_Date]],"YYYY-MM")</f>
        <v>2024-01</v>
      </c>
    </row>
    <row r="4000" spans="1:29">
      <c r="A4000" t="s">
        <v>9222</v>
      </c>
      <c r="B4000" s="1">
        <v>45380</v>
      </c>
      <c r="C4000" t="s">
        <v>3664</v>
      </c>
      <c r="D4000" t="s">
        <v>1358</v>
      </c>
      <c r="E4000">
        <v>165</v>
      </c>
      <c r="F4000" t="s">
        <v>9223</v>
      </c>
      <c r="G4000">
        <v>165</v>
      </c>
      <c r="H4000">
        <v>940.1952</v>
      </c>
      <c r="N4000">
        <v>940.1952</v>
      </c>
      <c r="O4000" s="1">
        <v>45058</v>
      </c>
      <c r="P4000">
        <f>IF(ISBLANK(ReconciliationData[[#This Row],[Invoice_ID]]),1,0)</f>
        <v>0</v>
      </c>
      <c r="Q4000">
        <f>IF(AND(NOT(ISBLANK(ReconciliationData[[#This Row],[Billed_Units]])),ReconciliationData[[#This Row],[ordered_units]]&lt;&gt;ReconciliationData[[#This Row],[Billed_Units]]),1,0)</f>
        <v>0</v>
      </c>
      <c r="R4000">
        <f>IF(AND(NOT(ISBLANK(ReconciliationData[[#This Row],[Billed_Price]])),NOT(ISBLANK(ReconciliationData[[#This Row],[List_Price]])),ReconciliationData[[#This Row],[Billed_Price]]&lt;&gt;ReconciliationData[[#This Row],[List_Price]]),1,0)</f>
        <v>0</v>
      </c>
      <c r="S4000">
        <f>IF(AND(NOT(ISBLANK(ReconciliationData[[#This Row],[Contract_Price]])),ReconciliationData[[#This Row],[Billed_Price]]&lt;&gt;ReconciliationData[[#This Row],[Contract_Price]]),1,0)</f>
        <v>0</v>
      </c>
      <c r="T4000">
        <f>IF(AND(NOT(ISBLANK(ReconciliationData[[#This Row],[End_Date]])),ReconciliationData[[#This Row],[Order_Date]]&gt;ReconciliationData[[#This Row],[End_Date]]),1,0)</f>
        <v>0</v>
      </c>
      <c r="U4000">
        <f>IF(AND(NOT(ISBLANK(ReconciliationData[[#This Row],[last_return_date]])),ReconciliationData[[#This Row],[last_return_date]]&gt;ReconciliationData[[#This Row],[Order_Date]]+60),1,0)</f>
        <v>0</v>
      </c>
      <c r="V4000">
        <f>IF(ReconciliationData[[#This Row],[total_returned_units]]&gt;ReconciliationData[[#This Row],[ordered_units]],1,0)</f>
        <v>0</v>
      </c>
      <c r="W4000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PASS</v>
      </c>
      <c r="X4000">
        <f>ReconciliationData[[#This Row],[Billed_Units]]*ReconciliationData[[#This Row],[Billed_Price]]</f>
        <v>155132.20800000001</v>
      </c>
      <c r="Y4000">
        <f>ReconciliationData[[#This Row],[ordered_units]]*ReconciliationData[[#This Row],[List_Price]]</f>
        <v>155132.20800000001</v>
      </c>
      <c r="Z4000">
        <f>ReconciliationData[[#This Row],[billed_revenue]]-ReconciliationData[[#This Row],[expected_revenue]]</f>
        <v>0</v>
      </c>
      <c r="AA4000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0</v>
      </c>
      <c r="AB4000" t="str">
        <f>IF(ReconciliationData[[#This Row],[severity_score]]=0,"LOW",
 IF(ReconciliationData[[#This Row],[severity_score]]&lt;=5,"MEDIUM","HIGH"))</f>
        <v>LOW</v>
      </c>
      <c r="AC4000" t="str">
        <f>TEXT(ReconciliationData[[#This Row],[Order_Date]],"YYYY-MM")</f>
        <v>2024-03</v>
      </c>
    </row>
    <row r="4001" spans="1:29">
      <c r="A4001" t="s">
        <v>9224</v>
      </c>
      <c r="B4001" s="1">
        <v>45521</v>
      </c>
      <c r="C4001" t="s">
        <v>193</v>
      </c>
      <c r="D4001" t="s">
        <v>1339</v>
      </c>
      <c r="E4001">
        <v>133</v>
      </c>
      <c r="F4001" t="s">
        <v>9225</v>
      </c>
      <c r="G4001">
        <v>133</v>
      </c>
      <c r="H4001">
        <v>651.64111911953853</v>
      </c>
      <c r="N4001">
        <v>651.14279999999997</v>
      </c>
      <c r="O4001" s="1">
        <v>45220</v>
      </c>
      <c r="P4001">
        <f>IF(ISBLANK(ReconciliationData[[#This Row],[Invoice_ID]]),1,0)</f>
        <v>0</v>
      </c>
      <c r="Q4001">
        <f>IF(AND(NOT(ISBLANK(ReconciliationData[[#This Row],[Billed_Units]])),ReconciliationData[[#This Row],[ordered_units]]&lt;&gt;ReconciliationData[[#This Row],[Billed_Units]]),1,0)</f>
        <v>0</v>
      </c>
      <c r="R4001">
        <f>IF(AND(NOT(ISBLANK(ReconciliationData[[#This Row],[Billed_Price]])),NOT(ISBLANK(ReconciliationData[[#This Row],[List_Price]])),ReconciliationData[[#This Row],[Billed_Price]]&lt;&gt;ReconciliationData[[#This Row],[List_Price]]),1,0)</f>
        <v>1</v>
      </c>
      <c r="S4001">
        <f>IF(AND(NOT(ISBLANK(ReconciliationData[[#This Row],[Contract_Price]])),ReconciliationData[[#This Row],[Billed_Price]]&lt;&gt;ReconciliationData[[#This Row],[Contract_Price]]),1,0)</f>
        <v>0</v>
      </c>
      <c r="T4001">
        <f>IF(AND(NOT(ISBLANK(ReconciliationData[[#This Row],[End_Date]])),ReconciliationData[[#This Row],[Order_Date]]&gt;ReconciliationData[[#This Row],[End_Date]]),1,0)</f>
        <v>0</v>
      </c>
      <c r="U4001">
        <f>IF(AND(NOT(ISBLANK(ReconciliationData[[#This Row],[last_return_date]])),ReconciliationData[[#This Row],[last_return_date]]&gt;ReconciliationData[[#This Row],[Order_Date]]+60),1,0)</f>
        <v>0</v>
      </c>
      <c r="V4001">
        <f>IF(ReconciliationData[[#This Row],[total_returned_units]]&gt;ReconciliationData[[#This Row],[ordered_units]],1,0)</f>
        <v>0</v>
      </c>
      <c r="W4001" t="str">
        <f>IF(
 OR(ReconciliationData[[#This Row],[missing_invoice]]=1,
    ReconciliationData[[#This Row],[unit_mismatch]]=1,
    ReconciliationData[[#This Row],[list_price_mismatch]]=1,
    ReconciliationData[[#This Row],[contract_price_mismatch]]=1,
    ReconciliationData[[#This Row],[expired_contract]]=1,
    ReconciliationData[[#This Row],[late_return]]=1,
    ReconciliationData[[#This Row],[over_return]]=1),
 "FAIL","PASS")</f>
        <v>FAIL</v>
      </c>
      <c r="X4001">
        <f>ReconciliationData[[#This Row],[Billed_Units]]*ReconciliationData[[#This Row],[Billed_Price]]</f>
        <v>86668.268842898629</v>
      </c>
      <c r="Y4001">
        <f>ReconciliationData[[#This Row],[ordered_units]]*ReconciliationData[[#This Row],[List_Price]]</f>
        <v>86601.992399999988</v>
      </c>
      <c r="Z4001">
        <f>ReconciliationData[[#This Row],[billed_revenue]]-ReconciliationData[[#This Row],[expected_revenue]]</f>
        <v>66.276442898641108</v>
      </c>
      <c r="AA4001">
        <f xml:space="preserve"> ReconciliationData[[#This Row],[missing_invoice]]*5
+ ReconciliationData[[#This Row],[unit_mismatch]]*3
+ ReconciliationData[[#This Row],[list_price_mismatch]]*4
+ ReconciliationData[[#This Row],[contract_price_mismatch]]*4
+ ReconciliationData[[#This Row],[expired_contract]]*4
+ ReconciliationData[[#This Row],[late_return]]*2
+ ReconciliationData[[#This Row],[over_return]]*3
+ IF(ABS(ReconciliationData[[#This Row],[revenue_variance]])&gt;500,5,0)</f>
        <v>4</v>
      </c>
      <c r="AB4001" t="str">
        <f>IF(ReconciliationData[[#This Row],[severity_score]]=0,"LOW",
 IF(ReconciliationData[[#This Row],[severity_score]]&lt;=5,"MEDIUM","HIGH"))</f>
        <v>MEDIUM</v>
      </c>
      <c r="AC4001" t="str">
        <f>TEXT(ReconciliationData[[#This Row],[Order_Date]],"YYYY-MM")</f>
        <v>2024-08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DCF0-0454-4A83-8B18-2FA009ADD8EE}">
  <dimension ref="A1:J53"/>
  <sheetViews>
    <sheetView workbookViewId="0"/>
  </sheetViews>
  <sheetFormatPr defaultRowHeight="15"/>
  <cols>
    <col min="1" max="1" width="28.5703125" customWidth="1"/>
    <col min="2" max="2" width="19" customWidth="1"/>
    <col min="3" max="5" width="22.85546875" customWidth="1"/>
    <col min="7" max="7" width="34.28515625" customWidth="1"/>
    <col min="8" max="9" width="22.85546875" customWidth="1"/>
    <col min="10" max="10" width="19" customWidth="1"/>
  </cols>
  <sheetData>
    <row r="1" spans="1:10" ht="18.75">
      <c r="A1" s="4" t="s">
        <v>9226</v>
      </c>
    </row>
    <row r="3" spans="1:10">
      <c r="A3" s="5" t="s">
        <v>9227</v>
      </c>
      <c r="G3" s="5" t="s">
        <v>9228</v>
      </c>
    </row>
    <row r="4" spans="1:10">
      <c r="A4" s="3" t="s">
        <v>3</v>
      </c>
      <c r="B4" s="3" t="s">
        <v>4</v>
      </c>
      <c r="G4" s="3" t="s">
        <v>9229</v>
      </c>
      <c r="H4" s="3" t="s">
        <v>33</v>
      </c>
      <c r="I4" s="3" t="s">
        <v>8</v>
      </c>
      <c r="J4" s="3" t="s">
        <v>61</v>
      </c>
    </row>
    <row r="5" spans="1:10">
      <c r="A5" t="s">
        <v>9230</v>
      </c>
      <c r="B5" s="6">
        <f>COUNTA(ReconciliationData[Order_ID])</f>
        <v>4000</v>
      </c>
      <c r="G5" t="s">
        <v>9231</v>
      </c>
      <c r="H5">
        <f>COUNTIF(ReconciliationData[severity_score],0)</f>
        <v>3497</v>
      </c>
      <c r="I5" s="6">
        <f>SUMIF(ReconciliationData[severity_score],0,ReconciliationData[revenue_variance])</f>
        <v>0</v>
      </c>
      <c r="J5" s="6">
        <f>IF(H5=0,0,I5/H5)</f>
        <v>0</v>
      </c>
    </row>
    <row r="6" spans="1:10">
      <c r="A6" t="s">
        <v>9232</v>
      </c>
      <c r="B6" s="6">
        <f>SUM(ReconciliationData[revenue_variance])</f>
        <v>367472.85144917783</v>
      </c>
      <c r="G6">
        <v>2</v>
      </c>
      <c r="H6">
        <f>COUNTIF(ReconciliationData[severity_score],2)</f>
        <v>173</v>
      </c>
      <c r="I6" s="6">
        <f>SUMIF(ReconciliationData[severity_score],2,ReconciliationData[revenue_variance])</f>
        <v>0</v>
      </c>
      <c r="J6" s="6">
        <f>IF(H6=0,0,I6/H6)</f>
        <v>0</v>
      </c>
    </row>
    <row r="7" spans="1:10">
      <c r="A7" t="s">
        <v>9233</v>
      </c>
      <c r="B7" s="6">
        <f>COUNTIF(ReconciliationData[revenue_variance],"&gt;0")</f>
        <v>245</v>
      </c>
      <c r="G7">
        <v>4</v>
      </c>
      <c r="H7">
        <f>COUNTIF(ReconciliationData[severity_score],4)</f>
        <v>111</v>
      </c>
      <c r="I7" s="6">
        <f>SUMIF(ReconciliationData[severity_score],4,ReconciliationData[revenue_variance])</f>
        <v>3889.1794543089604</v>
      </c>
      <c r="J7" s="6">
        <f>IF(H7=0,0,I7/H7)</f>
        <v>35.037652741522166</v>
      </c>
    </row>
    <row r="8" spans="1:10">
      <c r="A8" t="s">
        <v>9234</v>
      </c>
      <c r="B8" s="6">
        <f>COUNTIF(ReconciliationData[revenue_variance],"&lt;0")</f>
        <v>65</v>
      </c>
      <c r="G8">
        <v>5</v>
      </c>
      <c r="H8">
        <f>COUNTIF(ReconciliationData[severity_score],5)</f>
        <v>8</v>
      </c>
      <c r="I8" s="6">
        <f>SUMIF(ReconciliationData[severity_score],5,ReconciliationData[revenue_variance])</f>
        <v>-385.89300000000003</v>
      </c>
      <c r="J8" s="6">
        <f>IF(H8=0,0,I8/H8)</f>
        <v>-48.236625000000004</v>
      </c>
    </row>
    <row r="9" spans="1:10">
      <c r="A9" t="s">
        <v>9235</v>
      </c>
      <c r="B9" s="6">
        <f>COUNTIF(ReconciliationData[revenue_variance],0)</f>
        <v>3690</v>
      </c>
      <c r="G9" t="s">
        <v>9236</v>
      </c>
      <c r="H9">
        <f>COUNTIF(ReconciliationData[severity_score],8)</f>
        <v>161</v>
      </c>
      <c r="I9" s="6">
        <f>SUMIF(ReconciliationData[severity_score],8,ReconciliationData[revenue_variance])</f>
        <v>295811.81540000002</v>
      </c>
      <c r="J9" s="6">
        <f>IF(H9=0,0,I9/H9)</f>
        <v>1837.3404683229815</v>
      </c>
    </row>
    <row r="10" spans="1:10">
      <c r="A10" t="s">
        <v>9237</v>
      </c>
      <c r="B10" s="6">
        <f>MAX(ReconciliationData[revenue_variance])</f>
        <v>12319.93299999999</v>
      </c>
    </row>
    <row r="11" spans="1:10">
      <c r="A11" t="s">
        <v>9238</v>
      </c>
      <c r="B11" s="6">
        <f>MIN(ReconciliationData[revenue_variance])</f>
        <v>-6159.9664999999804</v>
      </c>
    </row>
    <row r="12" spans="1:10">
      <c r="A12" t="s">
        <v>9239</v>
      </c>
      <c r="B12" s="6">
        <f>AVERAGEIF(ReconciliationData[revenue_variance],"&lt;&gt;0")</f>
        <v>1185.3962949973479</v>
      </c>
      <c r="G12" s="8" t="s">
        <v>9240</v>
      </c>
    </row>
    <row r="13" spans="1:10">
      <c r="A13" t="s">
        <v>9241</v>
      </c>
      <c r="B13" s="6">
        <f>COUNTIF(ReconciliationData[recon_status],"FAIL")</f>
        <v>503</v>
      </c>
      <c r="G13" s="3" t="s">
        <v>3</v>
      </c>
      <c r="H13" s="3" t="s">
        <v>4</v>
      </c>
    </row>
    <row r="14" spans="1:10">
      <c r="A14" t="s">
        <v>9242</v>
      </c>
      <c r="B14" s="6">
        <f>COUNTIF(ReconciliationData[recon_status],"PASS")</f>
        <v>3497</v>
      </c>
      <c r="G14" t="s">
        <v>9243</v>
      </c>
      <c r="H14" s="6">
        <f>COUNTIF(ReconciliationData[unit_mismatch],1)</f>
        <v>197</v>
      </c>
    </row>
    <row r="15" spans="1:10">
      <c r="G15" t="s">
        <v>9244</v>
      </c>
      <c r="H15" s="6">
        <f>SUMIF(ReconciliationData[unit_mismatch],1,ReconciliationData[revenue_variance])</f>
        <v>363390.07475726592</v>
      </c>
    </row>
    <row r="16" spans="1:10">
      <c r="G16" t="s">
        <v>9245</v>
      </c>
      <c r="H16" s="6">
        <f>IF(H14=0,0,H15/H14)</f>
        <v>1844.6196688186087</v>
      </c>
    </row>
    <row r="17" spans="1:10">
      <c r="A17" s="5" t="s">
        <v>9246</v>
      </c>
      <c r="G17" t="s">
        <v>9247</v>
      </c>
      <c r="H17" s="6">
        <f>IF(SUM(ReconciliationData[revenue_variance])=0,0,H15/SUM(ReconciliationData[revenue_variance]))</f>
        <v>0.98888958279282146</v>
      </c>
    </row>
    <row r="18" spans="1:10">
      <c r="A18" s="3" t="s">
        <v>6</v>
      </c>
      <c r="B18" s="3" t="s">
        <v>9248</v>
      </c>
      <c r="C18" s="3" t="s">
        <v>8</v>
      </c>
      <c r="D18" s="3" t="s">
        <v>9249</v>
      </c>
      <c r="E18" s="3" t="s">
        <v>9247</v>
      </c>
      <c r="G18" t="s">
        <v>9250</v>
      </c>
      <c r="H18" s="6">
        <f>COUNTIFS(ReconciliationData[unit_mismatch],1,ReconciliationData[revenue_variance],"&gt;0")</f>
        <v>132</v>
      </c>
    </row>
    <row r="19" spans="1:10">
      <c r="A19" t="s">
        <v>9251</v>
      </c>
      <c r="B19">
        <f>COUNTIF(ReconciliationData[unit_mismatch],1)</f>
        <v>197</v>
      </c>
      <c r="C19" s="6">
        <f>SUMIF(ReconciliationData[unit_mismatch],1,ReconciliationData[revenue_variance])</f>
        <v>363390.07475726592</v>
      </c>
      <c r="D19" s="6">
        <f>IF(B19=0,0,C19/B19)</f>
        <v>1844.6196688186087</v>
      </c>
      <c r="E19" s="7">
        <f>IF($B$5=0,0,C19/$B$5)</f>
        <v>90.847518689316473</v>
      </c>
      <c r="G19" t="s">
        <v>9252</v>
      </c>
      <c r="H19" s="6">
        <f>COUNTIFS(ReconciliationData[unit_mismatch],1,ReconciliationData[revenue_variance],"&lt;0")</f>
        <v>65</v>
      </c>
    </row>
    <row r="20" spans="1:10">
      <c r="A20" t="s">
        <v>9253</v>
      </c>
      <c r="B20">
        <f>COUNTIF(ReconciliationData[list_price_mismatch],1)</f>
        <v>123</v>
      </c>
      <c r="C20" s="6">
        <f>SUMIF(ReconciliationData[list_price_mismatch],1,ReconciliationData[revenue_variance])</f>
        <v>36253.36674917784</v>
      </c>
      <c r="D20" s="6">
        <f>IF(B20=0,0,C20/B20)</f>
        <v>294.74281909900685</v>
      </c>
      <c r="E20" s="7">
        <f>IF($B$5=0,0,C20/$B$5)</f>
        <v>9.0633416872944608</v>
      </c>
    </row>
    <row r="21" spans="1:10">
      <c r="A21" t="s">
        <v>9254</v>
      </c>
      <c r="B21">
        <f>COUNTIF(ReconciliationData[contract_price_mismatch],1)</f>
        <v>7</v>
      </c>
      <c r="C21" s="6">
        <f>SUMIF(ReconciliationData[contract_price_mismatch],1,ReconciliationData[revenue_variance])</f>
        <v>7438.1759999999995</v>
      </c>
      <c r="D21" s="6">
        <f>IF(B21=0,0,C21/B21)</f>
        <v>1062.5965714285715</v>
      </c>
      <c r="E21" s="7">
        <f>IF($B$5=0,0,C21/$B$5)</f>
        <v>1.8595439999999999</v>
      </c>
    </row>
    <row r="22" spans="1:10">
      <c r="A22" t="s">
        <v>9255</v>
      </c>
      <c r="B22">
        <f>COUNTIF(ReconciliationData[late_return],1)</f>
        <v>191</v>
      </c>
      <c r="C22" s="6">
        <f>SUMIF(ReconciliationData[late_return],1,ReconciliationData[revenue_variance])</f>
        <v>28457.737419609039</v>
      </c>
      <c r="D22" s="6">
        <f>IF(B22=0,0,C22/B22)</f>
        <v>148.99338963146093</v>
      </c>
      <c r="E22" s="7">
        <f>IF($B$5=0,0,C22/$B$5)</f>
        <v>7.1144343549022597</v>
      </c>
      <c r="G22" s="9" t="s">
        <v>9256</v>
      </c>
    </row>
    <row r="23" spans="1:10">
      <c r="A23" t="s">
        <v>9257</v>
      </c>
      <c r="B23">
        <f>COUNTIF(ReconciliationData[over_return],1)</f>
        <v>15</v>
      </c>
      <c r="C23" s="6">
        <f>SUMIF(ReconciliationData[over_return],1,ReconciliationData[revenue_variance])</f>
        <v>3979.4255999999987</v>
      </c>
      <c r="D23" s="6">
        <f>IF(B23=0,0,C23/B23)</f>
        <v>265.29503999999991</v>
      </c>
      <c r="E23" s="7">
        <f>IF($B$5=0,0,C23/$B$5)</f>
        <v>0.99485639999999964</v>
      </c>
      <c r="G23" s="3" t="s">
        <v>3</v>
      </c>
      <c r="H23" s="3" t="s">
        <v>4</v>
      </c>
    </row>
    <row r="24" spans="1:10">
      <c r="A24" t="s">
        <v>9258</v>
      </c>
      <c r="B24">
        <f>COUNTIF(ReconciliationData[missing_invoice],1)</f>
        <v>0</v>
      </c>
      <c r="C24" s="6">
        <f>SUMIF(ReconciliationData[missing_invoice],1,ReconciliationData[revenue_variance])</f>
        <v>0</v>
      </c>
      <c r="D24" s="6">
        <f>IF(B24=0,0,C24/B24)</f>
        <v>0</v>
      </c>
      <c r="E24" s="7">
        <f>IF($B$5=0,0,C24/$B$5)</f>
        <v>0</v>
      </c>
      <c r="G24" t="s">
        <v>9259</v>
      </c>
      <c r="H24" s="6">
        <f>COUNTIF(ReconciliationData[list_price_mismatch],1)</f>
        <v>123</v>
      </c>
    </row>
    <row r="25" spans="1:10">
      <c r="A25" t="s">
        <v>9260</v>
      </c>
      <c r="B25">
        <f>COUNTIF(ReconciliationData[expired_contract],1)</f>
        <v>5</v>
      </c>
      <c r="C25" s="6">
        <f>SUMIF(ReconciliationData[expired_contract],1,ReconciliationData[revenue_variance])</f>
        <v>7438.1759999999995</v>
      </c>
      <c r="D25" s="6">
        <f>IF(B25=0,0,C25/B25)</f>
        <v>1487.6351999999999</v>
      </c>
      <c r="E25" s="7">
        <f>IF($B$5=0,0,C25/$B$5)</f>
        <v>1.8595439999999999</v>
      </c>
      <c r="G25" t="s">
        <v>9261</v>
      </c>
      <c r="H25" s="6">
        <f>SUMIF(ReconciliationData[list_price_mismatch],1,ReconciliationData[revenue_variance])</f>
        <v>36253.36674917784</v>
      </c>
    </row>
    <row r="26" spans="1:10">
      <c r="G26" t="s">
        <v>9245</v>
      </c>
      <c r="H26" s="6">
        <f>IF(H24=0,0,H25/H24)</f>
        <v>294.74281909900685</v>
      </c>
    </row>
    <row r="27" spans="1:10">
      <c r="G27" t="s">
        <v>9247</v>
      </c>
      <c r="H27" s="6">
        <f>IF(SUM(ReconciliationData[revenue_variance])=0,0,H25/SUM(ReconciliationData[revenue_variance]))</f>
        <v>9.8655905072192102E-2</v>
      </c>
    </row>
    <row r="28" spans="1:10">
      <c r="A28" s="5" t="s">
        <v>9262</v>
      </c>
      <c r="G28" t="s">
        <v>9263</v>
      </c>
      <c r="H28" t="str">
        <f>IF(COUNTIFS(ReconciliationData[list_price_mismatch],1,ReconciliationData[revenue_variance],"&lt;0")=0,"Yes","No")</f>
        <v>No</v>
      </c>
    </row>
    <row r="29" spans="1:10">
      <c r="A29" s="3" t="s">
        <v>59</v>
      </c>
      <c r="B29" s="3" t="s">
        <v>33</v>
      </c>
      <c r="C29" s="3" t="s">
        <v>8</v>
      </c>
      <c r="D29" s="3" t="s">
        <v>61</v>
      </c>
      <c r="E29" s="3" t="s">
        <v>60</v>
      </c>
    </row>
    <row r="30" spans="1:10">
      <c r="A30" t="s">
        <v>65</v>
      </c>
      <c r="B30">
        <f>COUNTIF(ReconciliationData[risk_level],"HIGH")</f>
        <v>181</v>
      </c>
      <c r="C30" s="6">
        <f>SUMIF(ReconciliationData[risk_level],"HIGH",ReconciliationData[revenue_variance])</f>
        <v>361776.79629486887</v>
      </c>
      <c r="D30" s="6">
        <f>IF(B30=0,0,C30/B30)</f>
        <v>1998.7668303583914</v>
      </c>
      <c r="E30" s="7">
        <f>B30/$B$5</f>
        <v>4.5249999999999999E-2</v>
      </c>
    </row>
    <row r="31" spans="1:10" ht="15.75">
      <c r="A31" t="s">
        <v>67</v>
      </c>
      <c r="B31">
        <f>COUNTIF(ReconciliationData[risk_level],"MEDIUM")</f>
        <v>322</v>
      </c>
      <c r="C31" s="6">
        <f>SUMIF(ReconciliationData[risk_level],"MEDIUM",ReconciliationData[revenue_variance])</f>
        <v>5696.0551543089632</v>
      </c>
      <c r="D31" s="6">
        <f>IF(B31=0,0,C31/B31)</f>
        <v>17.689612280462619</v>
      </c>
      <c r="E31" s="7">
        <f>B31/$B$5</f>
        <v>8.0500000000000002E-2</v>
      </c>
      <c r="G31" s="48" t="s">
        <v>9264</v>
      </c>
      <c r="H31" s="48"/>
      <c r="I31" s="48"/>
      <c r="J31" s="48"/>
    </row>
    <row r="32" spans="1:10">
      <c r="A32" t="s">
        <v>70</v>
      </c>
      <c r="B32">
        <f>COUNTIF(ReconciliationData[risk_level],"LOW")</f>
        <v>3497</v>
      </c>
      <c r="C32" s="6">
        <f>SUMIF(ReconciliationData[risk_level],"LOW",ReconciliationData[revenue_variance])</f>
        <v>0</v>
      </c>
      <c r="D32" s="6">
        <f>IF(B32=0,0,C32/B32)</f>
        <v>0</v>
      </c>
      <c r="E32" s="7">
        <f>B32/$B$5</f>
        <v>0.87424999999999997</v>
      </c>
      <c r="G32" s="3" t="s">
        <v>9265</v>
      </c>
    </row>
    <row r="33" spans="1:7">
      <c r="G33" t="s">
        <v>9266</v>
      </c>
    </row>
    <row r="34" spans="1:7">
      <c r="G34" t="s">
        <v>9267</v>
      </c>
    </row>
    <row r="35" spans="1:7">
      <c r="A35" s="5" t="s">
        <v>9268</v>
      </c>
      <c r="G35" t="s">
        <v>9269</v>
      </c>
    </row>
    <row r="36" spans="1:7">
      <c r="A36" s="3" t="s">
        <v>9270</v>
      </c>
      <c r="B36" s="3" t="s">
        <v>9271</v>
      </c>
      <c r="C36" s="3" t="s">
        <v>8</v>
      </c>
      <c r="D36" s="3" t="s">
        <v>61</v>
      </c>
    </row>
    <row r="37" spans="1:7">
      <c r="A37" t="s">
        <v>9272</v>
      </c>
      <c r="B37">
        <f>COUNTIF(ReconciliationData[revenue_variance],"&gt;0")</f>
        <v>245</v>
      </c>
      <c r="C37" s="6">
        <f>SUMIF(ReconciliationData[revenue_variance],"&gt;0",ReconciliationData[revenue_variance])</f>
        <v>493353.97418231168</v>
      </c>
      <c r="D37" s="6">
        <f>IF(B37=0,0,C37/B37)</f>
        <v>2013.6896905400476</v>
      </c>
      <c r="G37" s="3" t="s">
        <v>9273</v>
      </c>
    </row>
    <row r="38" spans="1:7">
      <c r="A38" t="s">
        <v>9274</v>
      </c>
      <c r="B38">
        <f>COUNTIF(ReconciliationData[revenue_variance],"&lt;0")</f>
        <v>65</v>
      </c>
      <c r="C38" s="6">
        <f>SUMIF(ReconciliationData[revenue_variance],"&lt;0",ReconciliationData[revenue_variance])</f>
        <v>-125881.12273313399</v>
      </c>
      <c r="D38" s="6">
        <f>IF(B38=0,0,C38/B38)</f>
        <v>-1936.6326574328307</v>
      </c>
      <c r="G38" t="s">
        <v>9275</v>
      </c>
    </row>
    <row r="39" spans="1:7">
      <c r="A39" t="s">
        <v>9276</v>
      </c>
      <c r="B39">
        <f>COUNTIF(ReconciliationData[revenue_variance],0)</f>
        <v>3690</v>
      </c>
      <c r="C39" s="6">
        <f>SUMIF(ReconciliationData[revenue_variance],0,ReconciliationData[revenue_variance])</f>
        <v>0</v>
      </c>
      <c r="D39" s="6">
        <f>0</f>
        <v>0</v>
      </c>
      <c r="G39" t="s">
        <v>9277</v>
      </c>
    </row>
    <row r="40" spans="1:7">
      <c r="G40" t="s">
        <v>9278</v>
      </c>
    </row>
    <row r="42" spans="1:7">
      <c r="G42" s="3" t="s">
        <v>9279</v>
      </c>
    </row>
    <row r="43" spans="1:7">
      <c r="G43" t="s">
        <v>9280</v>
      </c>
    </row>
    <row r="44" spans="1:7">
      <c r="G44" t="s">
        <v>9281</v>
      </c>
    </row>
    <row r="46" spans="1:7">
      <c r="G46" s="3" t="s">
        <v>9282</v>
      </c>
    </row>
    <row r="47" spans="1:7">
      <c r="G47" t="s">
        <v>9283</v>
      </c>
    </row>
    <row r="48" spans="1:7">
      <c r="G48" t="s">
        <v>9284</v>
      </c>
    </row>
    <row r="49" spans="7:7">
      <c r="G49" t="s">
        <v>9285</v>
      </c>
    </row>
    <row r="51" spans="7:7">
      <c r="G51" s="3" t="s">
        <v>9286</v>
      </c>
    </row>
    <row r="52" spans="7:7">
      <c r="G52" t="s">
        <v>9287</v>
      </c>
    </row>
    <row r="53" spans="7:7">
      <c r="G53" t="s">
        <v>9288</v>
      </c>
    </row>
  </sheetData>
  <mergeCells count="1">
    <mergeCell ref="G31:J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B211-6DAD-466A-A5A5-1CAAF5F25CF4}">
  <dimension ref="A1:J53"/>
  <sheetViews>
    <sheetView workbookViewId="0"/>
  </sheetViews>
  <sheetFormatPr defaultRowHeight="15"/>
  <cols>
    <col min="1" max="1" width="28.5703125" customWidth="1"/>
    <col min="2" max="2" width="19" customWidth="1"/>
    <col min="3" max="5" width="22.85546875" customWidth="1"/>
    <col min="7" max="7" width="34.28515625" customWidth="1"/>
    <col min="8" max="9" width="22.85546875" customWidth="1"/>
    <col min="10" max="10" width="19" customWidth="1"/>
  </cols>
  <sheetData>
    <row r="1" spans="1:10" ht="18.75">
      <c r="A1" s="4" t="s">
        <v>9226</v>
      </c>
    </row>
    <row r="3" spans="1:10">
      <c r="A3" s="5" t="s">
        <v>9227</v>
      </c>
      <c r="G3" s="5" t="s">
        <v>9228</v>
      </c>
    </row>
    <row r="4" spans="1:10">
      <c r="A4" s="3" t="s">
        <v>3</v>
      </c>
      <c r="B4" s="3" t="s">
        <v>4</v>
      </c>
      <c r="G4" s="3" t="s">
        <v>9229</v>
      </c>
      <c r="H4" s="3" t="s">
        <v>33</v>
      </c>
      <c r="I4" s="3" t="s">
        <v>8</v>
      </c>
      <c r="J4" s="3" t="s">
        <v>61</v>
      </c>
    </row>
    <row r="5" spans="1:10">
      <c r="A5" t="s">
        <v>9230</v>
      </c>
      <c r="B5" s="6">
        <f>COUNTA(ReconciliationData[Order_ID])</f>
        <v>4000</v>
      </c>
      <c r="G5" t="s">
        <v>9231</v>
      </c>
      <c r="H5">
        <f>COUNTIF(ReconciliationData[severity_score],0)</f>
        <v>3497</v>
      </c>
      <c r="I5" s="6">
        <f>SUMIF(ReconciliationData[severity_score],0,ReconciliationData[revenue_variance])</f>
        <v>0</v>
      </c>
      <c r="J5" s="6">
        <f>IF(H5=0,0,I5/H5)</f>
        <v>0</v>
      </c>
    </row>
    <row r="6" spans="1:10">
      <c r="A6" t="s">
        <v>9232</v>
      </c>
      <c r="B6" s="6">
        <f>SUM(ReconciliationData[revenue_variance])</f>
        <v>367472.85144917783</v>
      </c>
      <c r="G6">
        <v>2</v>
      </c>
      <c r="H6">
        <f>COUNTIF(ReconciliationData[severity_score],2)</f>
        <v>173</v>
      </c>
      <c r="I6" s="6">
        <f>SUMIF(ReconciliationData[severity_score],2,ReconciliationData[revenue_variance])</f>
        <v>0</v>
      </c>
      <c r="J6" s="6">
        <f>IF(H6=0,0,I6/H6)</f>
        <v>0</v>
      </c>
    </row>
    <row r="7" spans="1:10">
      <c r="A7" t="s">
        <v>9233</v>
      </c>
      <c r="B7" s="6">
        <f>COUNTIF(ReconciliationData[revenue_variance],"&gt;0")</f>
        <v>245</v>
      </c>
      <c r="G7">
        <v>4</v>
      </c>
      <c r="H7">
        <f>COUNTIF(ReconciliationData[severity_score],4)</f>
        <v>111</v>
      </c>
      <c r="I7" s="6">
        <f>SUMIF(ReconciliationData[severity_score],4,ReconciliationData[revenue_variance])</f>
        <v>3889.1794543089604</v>
      </c>
      <c r="J7" s="6">
        <f>IF(H7=0,0,I7/H7)</f>
        <v>35.037652741522166</v>
      </c>
    </row>
    <row r="8" spans="1:10">
      <c r="A8" t="s">
        <v>9234</v>
      </c>
      <c r="B8" s="6">
        <f>COUNTIF(ReconciliationData[revenue_variance],"&lt;0")</f>
        <v>65</v>
      </c>
      <c r="G8">
        <v>5</v>
      </c>
      <c r="H8">
        <f>COUNTIF(ReconciliationData[severity_score],5)</f>
        <v>8</v>
      </c>
      <c r="I8" s="6">
        <f>SUMIF(ReconciliationData[severity_score],5,ReconciliationData[revenue_variance])</f>
        <v>-385.89300000000003</v>
      </c>
      <c r="J8" s="6">
        <f>IF(H8=0,0,I8/H8)</f>
        <v>-48.236625000000004</v>
      </c>
    </row>
    <row r="9" spans="1:10">
      <c r="A9" t="s">
        <v>9235</v>
      </c>
      <c r="B9" s="6">
        <f>COUNTIF(ReconciliationData[revenue_variance],0)</f>
        <v>3690</v>
      </c>
      <c r="G9" t="s">
        <v>9236</v>
      </c>
      <c r="H9">
        <f>COUNTIF(ReconciliationData[severity_score],8)</f>
        <v>161</v>
      </c>
      <c r="I9" s="6">
        <f>SUMIF(ReconciliationData[severity_score],8,ReconciliationData[revenue_variance])</f>
        <v>295811.81540000002</v>
      </c>
      <c r="J9" s="6">
        <f>IF(H9=0,0,I9/H9)</f>
        <v>1837.3404683229815</v>
      </c>
    </row>
    <row r="10" spans="1:10">
      <c r="A10" t="s">
        <v>9237</v>
      </c>
      <c r="B10" s="6">
        <f>MAX(ReconciliationData[revenue_variance])</f>
        <v>12319.93299999999</v>
      </c>
    </row>
    <row r="11" spans="1:10">
      <c r="A11" t="s">
        <v>9238</v>
      </c>
      <c r="B11" s="6">
        <f>MIN(ReconciliationData[revenue_variance])</f>
        <v>-6159.9664999999804</v>
      </c>
    </row>
    <row r="12" spans="1:10">
      <c r="A12" t="s">
        <v>9239</v>
      </c>
      <c r="B12" s="6">
        <f>AVERAGEIF(ReconciliationData[revenue_variance],"&lt;&gt;0")</f>
        <v>1185.3962949973479</v>
      </c>
      <c r="G12" s="8" t="s">
        <v>9240</v>
      </c>
    </row>
    <row r="13" spans="1:10">
      <c r="A13" t="s">
        <v>9241</v>
      </c>
      <c r="B13" s="6">
        <f>COUNTIF(ReconciliationData[recon_status],"FAIL")</f>
        <v>503</v>
      </c>
      <c r="G13" s="3" t="s">
        <v>3</v>
      </c>
      <c r="H13" s="3" t="s">
        <v>4</v>
      </c>
    </row>
    <row r="14" spans="1:10">
      <c r="A14" t="s">
        <v>9242</v>
      </c>
      <c r="B14" s="6">
        <f>COUNTIF(ReconciliationData[recon_status],"PASS")</f>
        <v>3497</v>
      </c>
      <c r="G14" t="s">
        <v>9243</v>
      </c>
      <c r="H14" s="6">
        <f>COUNTIF(ReconciliationData[unit_mismatch],1)</f>
        <v>197</v>
      </c>
    </row>
    <row r="15" spans="1:10">
      <c r="G15" t="s">
        <v>9244</v>
      </c>
      <c r="H15" s="6">
        <f>SUMIF(ReconciliationData[unit_mismatch],1,ReconciliationData[revenue_variance])</f>
        <v>363390.07475726592</v>
      </c>
    </row>
    <row r="16" spans="1:10">
      <c r="G16" t="s">
        <v>9245</v>
      </c>
      <c r="H16" s="6">
        <f>IF(H14=0,0,H15/H14)</f>
        <v>1844.6196688186087</v>
      </c>
    </row>
    <row r="17" spans="1:10">
      <c r="A17" s="5" t="s">
        <v>9246</v>
      </c>
      <c r="G17" t="s">
        <v>9247</v>
      </c>
      <c r="H17" s="6">
        <f>IF(SUM(ReconciliationData[revenue_variance])=0,0,H15/SUM(ReconciliationData[revenue_variance]))</f>
        <v>0.98888958279282146</v>
      </c>
    </row>
    <row r="18" spans="1:10">
      <c r="A18" s="3" t="s">
        <v>6</v>
      </c>
      <c r="B18" s="3" t="s">
        <v>9248</v>
      </c>
      <c r="C18" s="3" t="s">
        <v>8</v>
      </c>
      <c r="D18" s="3" t="s">
        <v>9249</v>
      </c>
      <c r="E18" s="3" t="s">
        <v>9247</v>
      </c>
      <c r="G18" t="s">
        <v>9250</v>
      </c>
      <c r="H18" s="6">
        <f>COUNTIFS(ReconciliationData[unit_mismatch],1,ReconciliationData[revenue_variance],"&gt;0")</f>
        <v>132</v>
      </c>
    </row>
    <row r="19" spans="1:10">
      <c r="A19" t="s">
        <v>9251</v>
      </c>
      <c r="B19">
        <f>COUNTIF(ReconciliationData[unit_mismatch],1)</f>
        <v>197</v>
      </c>
      <c r="C19" s="6">
        <f>SUMIF(ReconciliationData[unit_mismatch],1,ReconciliationData[revenue_variance])</f>
        <v>363390.07475726592</v>
      </c>
      <c r="D19" s="6">
        <f>IF(B19=0,0,C19/B19)</f>
        <v>1844.6196688186087</v>
      </c>
      <c r="E19" s="7">
        <f>IF($B$5=0,0,C19/$B$5)</f>
        <v>90.847518689316473</v>
      </c>
      <c r="G19" t="s">
        <v>9252</v>
      </c>
      <c r="H19" s="6">
        <f>COUNTIFS(ReconciliationData[unit_mismatch],1,ReconciliationData[revenue_variance],"&lt;0")</f>
        <v>65</v>
      </c>
    </row>
    <row r="20" spans="1:10">
      <c r="A20" t="s">
        <v>9253</v>
      </c>
      <c r="B20">
        <f>COUNTIF(ReconciliationData[list_price_mismatch],1)</f>
        <v>123</v>
      </c>
      <c r="C20" s="6">
        <f>SUMIF(ReconciliationData[list_price_mismatch],1,ReconciliationData[revenue_variance])</f>
        <v>36253.36674917784</v>
      </c>
      <c r="D20" s="6">
        <f>IF(B20=0,0,C20/B20)</f>
        <v>294.74281909900685</v>
      </c>
      <c r="E20" s="7">
        <f>IF($B$5=0,0,C20/$B$5)</f>
        <v>9.0633416872944608</v>
      </c>
    </row>
    <row r="21" spans="1:10">
      <c r="A21" t="s">
        <v>9254</v>
      </c>
      <c r="B21">
        <f>COUNTIF(ReconciliationData[contract_price_mismatch],1)</f>
        <v>7</v>
      </c>
      <c r="C21" s="6">
        <f>SUMIF(ReconciliationData[contract_price_mismatch],1,ReconciliationData[revenue_variance])</f>
        <v>7438.1759999999995</v>
      </c>
      <c r="D21" s="6">
        <f>IF(B21=0,0,C21/B21)</f>
        <v>1062.5965714285715</v>
      </c>
      <c r="E21" s="7">
        <f>IF($B$5=0,0,C21/$B$5)</f>
        <v>1.8595439999999999</v>
      </c>
    </row>
    <row r="22" spans="1:10">
      <c r="A22" t="s">
        <v>9255</v>
      </c>
      <c r="B22">
        <f>COUNTIF(ReconciliationData[late_return],1)</f>
        <v>191</v>
      </c>
      <c r="C22" s="6">
        <f>SUMIF(ReconciliationData[late_return],1,ReconciliationData[revenue_variance])</f>
        <v>28457.737419609039</v>
      </c>
      <c r="D22" s="6">
        <f>IF(B22=0,0,C22/B22)</f>
        <v>148.99338963146093</v>
      </c>
      <c r="E22" s="7">
        <f>IF($B$5=0,0,C22/$B$5)</f>
        <v>7.1144343549022597</v>
      </c>
      <c r="G22" s="9" t="s">
        <v>9256</v>
      </c>
    </row>
    <row r="23" spans="1:10">
      <c r="A23" t="s">
        <v>9257</v>
      </c>
      <c r="B23">
        <f>COUNTIF(ReconciliationData[over_return],1)</f>
        <v>15</v>
      </c>
      <c r="C23" s="6">
        <f>SUMIF(ReconciliationData[over_return],1,ReconciliationData[revenue_variance])</f>
        <v>3979.4255999999987</v>
      </c>
      <c r="D23" s="6">
        <f>IF(B23=0,0,C23/B23)</f>
        <v>265.29503999999991</v>
      </c>
      <c r="E23" s="7">
        <f>IF($B$5=0,0,C23/$B$5)</f>
        <v>0.99485639999999964</v>
      </c>
      <c r="G23" s="3" t="s">
        <v>3</v>
      </c>
      <c r="H23" s="3" t="s">
        <v>4</v>
      </c>
    </row>
    <row r="24" spans="1:10">
      <c r="A24" t="s">
        <v>9258</v>
      </c>
      <c r="B24">
        <f>COUNTIF(ReconciliationData[missing_invoice],1)</f>
        <v>0</v>
      </c>
      <c r="C24" s="6">
        <f>SUMIF(ReconciliationData[missing_invoice],1,ReconciliationData[revenue_variance])</f>
        <v>0</v>
      </c>
      <c r="D24" s="6">
        <f>IF(B24=0,0,C24/B24)</f>
        <v>0</v>
      </c>
      <c r="E24" s="7">
        <f>IF($B$5=0,0,C24/$B$5)</f>
        <v>0</v>
      </c>
      <c r="G24" t="s">
        <v>9259</v>
      </c>
      <c r="H24" s="6">
        <f>COUNTIF(ReconciliationData[list_price_mismatch],1)</f>
        <v>123</v>
      </c>
    </row>
    <row r="25" spans="1:10">
      <c r="A25" t="s">
        <v>9260</v>
      </c>
      <c r="B25">
        <f>COUNTIF(ReconciliationData[expired_contract],1)</f>
        <v>5</v>
      </c>
      <c r="C25" s="6">
        <f>SUMIF(ReconciliationData[expired_contract],1,ReconciliationData[revenue_variance])</f>
        <v>7438.1759999999995</v>
      </c>
      <c r="D25" s="6">
        <f>IF(B25=0,0,C25/B25)</f>
        <v>1487.6351999999999</v>
      </c>
      <c r="E25" s="7">
        <f>IF($B$5=0,0,C25/$B$5)</f>
        <v>1.8595439999999999</v>
      </c>
      <c r="G25" t="s">
        <v>9261</v>
      </c>
      <c r="H25" s="6">
        <f>SUMIF(ReconciliationData[list_price_mismatch],1,ReconciliationData[revenue_variance])</f>
        <v>36253.36674917784</v>
      </c>
    </row>
    <row r="26" spans="1:10">
      <c r="G26" t="s">
        <v>9245</v>
      </c>
      <c r="H26" s="6">
        <f>IF(H24=0,0,H25/H24)</f>
        <v>294.74281909900685</v>
      </c>
    </row>
    <row r="27" spans="1:10">
      <c r="G27" t="s">
        <v>9247</v>
      </c>
      <c r="H27" s="6">
        <f>IF(SUM(ReconciliationData[revenue_variance])=0,0,H25/SUM(ReconciliationData[revenue_variance]))</f>
        <v>9.8655905072192102E-2</v>
      </c>
    </row>
    <row r="28" spans="1:10">
      <c r="A28" s="5" t="s">
        <v>9262</v>
      </c>
      <c r="G28" t="s">
        <v>9263</v>
      </c>
      <c r="H28" t="str">
        <f>IF(COUNTIFS(ReconciliationData[list_price_mismatch],1,ReconciliationData[revenue_variance],"&lt;0")=0,"Yes","No")</f>
        <v>No</v>
      </c>
    </row>
    <row r="29" spans="1:10">
      <c r="A29" s="3" t="s">
        <v>59</v>
      </c>
      <c r="B29" s="3" t="s">
        <v>33</v>
      </c>
      <c r="C29" s="3" t="s">
        <v>8</v>
      </c>
      <c r="D29" s="3" t="s">
        <v>61</v>
      </c>
      <c r="E29" s="3" t="s">
        <v>60</v>
      </c>
    </row>
    <row r="30" spans="1:10">
      <c r="A30" t="s">
        <v>65</v>
      </c>
      <c r="B30">
        <f>COUNTIF(ReconciliationData[risk_level],"HIGH")</f>
        <v>181</v>
      </c>
      <c r="C30" s="6">
        <f>SUMIF(ReconciliationData[risk_level],"HIGH",ReconciliationData[revenue_variance])</f>
        <v>361776.79629486887</v>
      </c>
      <c r="D30" s="6">
        <f>IF(B30=0,0,C30/B30)</f>
        <v>1998.7668303583914</v>
      </c>
      <c r="E30" s="7">
        <f>B30/$B$5</f>
        <v>4.5249999999999999E-2</v>
      </c>
    </row>
    <row r="31" spans="1:10" ht="15.75">
      <c r="A31" t="s">
        <v>67</v>
      </c>
      <c r="B31">
        <f>COUNTIF(ReconciliationData[risk_level],"MEDIUM")</f>
        <v>322</v>
      </c>
      <c r="C31" s="6">
        <f>SUMIF(ReconciliationData[risk_level],"MEDIUM",ReconciliationData[revenue_variance])</f>
        <v>5696.0551543089632</v>
      </c>
      <c r="D31" s="6">
        <f>IF(B31=0,0,C31/B31)</f>
        <v>17.689612280462619</v>
      </c>
      <c r="E31" s="7">
        <f>B31/$B$5</f>
        <v>8.0500000000000002E-2</v>
      </c>
      <c r="G31" s="48" t="s">
        <v>9264</v>
      </c>
      <c r="H31" s="48"/>
      <c r="I31" s="48"/>
      <c r="J31" s="48"/>
    </row>
    <row r="32" spans="1:10">
      <c r="A32" t="s">
        <v>70</v>
      </c>
      <c r="B32">
        <f>COUNTIF(ReconciliationData[risk_level],"LOW")</f>
        <v>3497</v>
      </c>
      <c r="C32" s="6">
        <f>SUMIF(ReconciliationData[risk_level],"LOW",ReconciliationData[revenue_variance])</f>
        <v>0</v>
      </c>
      <c r="D32" s="6">
        <f>IF(B32=0,0,C32/B32)</f>
        <v>0</v>
      </c>
      <c r="E32" s="7">
        <f>B32/$B$5</f>
        <v>0.87424999999999997</v>
      </c>
      <c r="G32" s="3" t="s">
        <v>9265</v>
      </c>
    </row>
    <row r="33" spans="1:7">
      <c r="G33" t="s">
        <v>9266</v>
      </c>
    </row>
    <row r="34" spans="1:7">
      <c r="G34" t="s">
        <v>9267</v>
      </c>
    </row>
    <row r="35" spans="1:7">
      <c r="A35" s="5" t="s">
        <v>9268</v>
      </c>
      <c r="G35" t="s">
        <v>9269</v>
      </c>
    </row>
    <row r="36" spans="1:7">
      <c r="A36" s="3" t="s">
        <v>9270</v>
      </c>
      <c r="B36" s="3" t="s">
        <v>9271</v>
      </c>
      <c r="C36" s="3" t="s">
        <v>8</v>
      </c>
      <c r="D36" s="3" t="s">
        <v>61</v>
      </c>
    </row>
    <row r="37" spans="1:7">
      <c r="A37" t="s">
        <v>9272</v>
      </c>
      <c r="B37">
        <f>COUNTIF(ReconciliationData[revenue_variance],"&gt;0")</f>
        <v>245</v>
      </c>
      <c r="C37" s="6">
        <f>SUMIF(ReconciliationData[revenue_variance],"&gt;0",ReconciliationData[revenue_variance])</f>
        <v>493353.97418231168</v>
      </c>
      <c r="D37" s="6">
        <f>IF(B37=0,0,C37/B37)</f>
        <v>2013.6896905400476</v>
      </c>
      <c r="G37" s="3" t="s">
        <v>9273</v>
      </c>
    </row>
    <row r="38" spans="1:7">
      <c r="A38" t="s">
        <v>9274</v>
      </c>
      <c r="B38">
        <f>COUNTIF(ReconciliationData[revenue_variance],"&lt;0")</f>
        <v>65</v>
      </c>
      <c r="C38" s="6">
        <f>SUMIF(ReconciliationData[revenue_variance],"&lt;0",ReconciliationData[revenue_variance])</f>
        <v>-125881.12273313399</v>
      </c>
      <c r="D38" s="6">
        <f>IF(B38=0,0,C38/B38)</f>
        <v>-1936.6326574328307</v>
      </c>
      <c r="G38" t="s">
        <v>9275</v>
      </c>
    </row>
    <row r="39" spans="1:7">
      <c r="A39" t="s">
        <v>9276</v>
      </c>
      <c r="B39">
        <f>COUNTIF(ReconciliationData[revenue_variance],0)</f>
        <v>3690</v>
      </c>
      <c r="C39" s="6">
        <f>SUMIF(ReconciliationData[revenue_variance],0,ReconciliationData[revenue_variance])</f>
        <v>0</v>
      </c>
      <c r="D39" s="6">
        <f>0</f>
        <v>0</v>
      </c>
      <c r="G39" t="s">
        <v>9277</v>
      </c>
    </row>
    <row r="40" spans="1:7">
      <c r="G40" t="s">
        <v>9278</v>
      </c>
    </row>
    <row r="42" spans="1:7">
      <c r="G42" s="3" t="s">
        <v>9279</v>
      </c>
    </row>
    <row r="43" spans="1:7">
      <c r="G43" t="s">
        <v>9280</v>
      </c>
    </row>
    <row r="44" spans="1:7">
      <c r="G44" t="s">
        <v>9281</v>
      </c>
    </row>
    <row r="46" spans="1:7">
      <c r="G46" s="3" t="s">
        <v>9282</v>
      </c>
    </row>
    <row r="47" spans="1:7">
      <c r="G47" t="s">
        <v>9283</v>
      </c>
    </row>
    <row r="48" spans="1:7">
      <c r="G48" t="s">
        <v>9284</v>
      </c>
    </row>
    <row r="49" spans="7:7">
      <c r="G49" t="s">
        <v>9285</v>
      </c>
    </row>
    <row r="51" spans="7:7">
      <c r="G51" s="3" t="s">
        <v>9286</v>
      </c>
    </row>
    <row r="52" spans="7:7">
      <c r="G52" t="s">
        <v>9287</v>
      </c>
    </row>
    <row r="53" spans="7:7">
      <c r="G53" t="s">
        <v>9288</v>
      </c>
    </row>
  </sheetData>
  <mergeCells count="1">
    <mergeCell ref="G31:J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CB9F-EDE4-4AF7-960C-7A66D4C811B2}">
  <dimension ref="A1:O37"/>
  <sheetViews>
    <sheetView workbookViewId="0"/>
  </sheetViews>
  <sheetFormatPr defaultRowHeight="15"/>
  <cols>
    <col min="1" max="1" width="63.5703125" bestFit="1" customWidth="1"/>
    <col min="2" max="2" width="12.42578125" bestFit="1" customWidth="1"/>
    <col min="3" max="3" width="21.7109375" bestFit="1" customWidth="1"/>
    <col min="4" max="4" width="12.42578125" bestFit="1" customWidth="1"/>
    <col min="5" max="5" width="11.85546875" bestFit="1" customWidth="1"/>
    <col min="6" max="6" width="22.7109375" bestFit="1" customWidth="1"/>
    <col min="7" max="7" width="23.5703125" bestFit="1" customWidth="1"/>
    <col min="8" max="8" width="16" bestFit="1" customWidth="1"/>
    <col min="9" max="9" width="20" bestFit="1" customWidth="1"/>
    <col min="10" max="10" width="24.7109375" bestFit="1" customWidth="1"/>
    <col min="11" max="11" width="12.140625" bestFit="1" customWidth="1"/>
    <col min="12" max="12" width="12.5703125" bestFit="1" customWidth="1"/>
    <col min="13" max="13" width="16.140625" bestFit="1" customWidth="1"/>
    <col min="14" max="14" width="17.140625" bestFit="1" customWidth="1"/>
    <col min="15" max="15" width="18.5703125" bestFit="1" customWidth="1"/>
  </cols>
  <sheetData>
    <row r="1" spans="1:15" ht="18.75">
      <c r="A1" s="4" t="s">
        <v>9289</v>
      </c>
    </row>
    <row r="3" spans="1:15">
      <c r="A3" s="5" t="s">
        <v>9290</v>
      </c>
      <c r="B3" s="5" t="s">
        <v>105</v>
      </c>
      <c r="C3" s="5" t="s">
        <v>8</v>
      </c>
      <c r="D3" s="5" t="s">
        <v>9291</v>
      </c>
      <c r="E3" s="5" t="s">
        <v>33</v>
      </c>
      <c r="F3" s="5" t="s">
        <v>9292</v>
      </c>
      <c r="G3" s="5" t="s">
        <v>9293</v>
      </c>
      <c r="H3" s="5" t="s">
        <v>9294</v>
      </c>
      <c r="I3" s="5" t="s">
        <v>9295</v>
      </c>
      <c r="J3" s="5" t="s">
        <v>9296</v>
      </c>
      <c r="K3" s="5" t="s">
        <v>9297</v>
      </c>
      <c r="L3" s="5" t="s">
        <v>9298</v>
      </c>
      <c r="M3" s="5" t="s">
        <v>9299</v>
      </c>
      <c r="N3" s="5" t="s">
        <v>9300</v>
      </c>
      <c r="O3" s="5" t="s">
        <v>9301</v>
      </c>
    </row>
    <row r="4" spans="1:15">
      <c r="A4">
        <v>1</v>
      </c>
      <c r="B4" t="s">
        <v>1021</v>
      </c>
      <c r="C4" s="10">
        <v>12319.933000000001</v>
      </c>
      <c r="D4" s="10">
        <v>12319.933000000001</v>
      </c>
      <c r="E4">
        <v>6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 s="10">
        <f>C4/E4</f>
        <v>2053.3221666666668</v>
      </c>
    </row>
    <row r="5" spans="1:15">
      <c r="A5" s="11">
        <v>2</v>
      </c>
      <c r="B5" s="11" t="s">
        <v>599</v>
      </c>
      <c r="C5" s="12">
        <v>11787.51019999999</v>
      </c>
      <c r="D5" s="12">
        <v>11787.51019999999</v>
      </c>
      <c r="E5" s="11">
        <v>7</v>
      </c>
      <c r="F5" s="11">
        <v>2</v>
      </c>
      <c r="G5" s="11">
        <v>0</v>
      </c>
      <c r="H5" s="11">
        <v>2</v>
      </c>
      <c r="I5" s="11">
        <v>0</v>
      </c>
      <c r="J5" s="11">
        <v>0</v>
      </c>
      <c r="K5" s="11">
        <v>0</v>
      </c>
      <c r="L5" s="11">
        <v>0</v>
      </c>
      <c r="M5" s="11">
        <v>2</v>
      </c>
      <c r="N5" s="11">
        <v>2</v>
      </c>
      <c r="O5" s="12">
        <f>C5/E5</f>
        <v>1683.9300285714271</v>
      </c>
    </row>
    <row r="6" spans="1:15">
      <c r="A6">
        <v>3</v>
      </c>
      <c r="B6" t="s">
        <v>1709</v>
      </c>
      <c r="C6" s="10">
        <v>11441.683999999999</v>
      </c>
      <c r="D6" s="10">
        <v>11441.683999999999</v>
      </c>
      <c r="E6">
        <v>8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 s="10">
        <f>C6/E6</f>
        <v>1430.2104999999999</v>
      </c>
    </row>
    <row r="7" spans="1:15">
      <c r="A7" s="11">
        <v>4</v>
      </c>
      <c r="B7" s="11" t="s">
        <v>340</v>
      </c>
      <c r="C7" s="12">
        <v>11151.405056208894</v>
      </c>
      <c r="D7" s="12">
        <v>11151.405056208894</v>
      </c>
      <c r="E7" s="11">
        <v>7</v>
      </c>
      <c r="F7" s="11">
        <v>2</v>
      </c>
      <c r="G7" s="11">
        <v>0</v>
      </c>
      <c r="H7" s="11">
        <v>1</v>
      </c>
      <c r="I7" s="11">
        <v>1</v>
      </c>
      <c r="J7" s="11">
        <v>0</v>
      </c>
      <c r="K7" s="11">
        <v>1</v>
      </c>
      <c r="L7" s="11">
        <v>0</v>
      </c>
      <c r="M7" s="11">
        <v>1</v>
      </c>
      <c r="N7" s="11">
        <v>3</v>
      </c>
      <c r="O7" s="12">
        <f>C7/E7</f>
        <v>1593.0578651726992</v>
      </c>
    </row>
    <row r="8" spans="1:15">
      <c r="A8">
        <v>5</v>
      </c>
      <c r="B8" t="s">
        <v>2488</v>
      </c>
      <c r="C8" s="10">
        <v>10939.257600000001</v>
      </c>
      <c r="D8" s="10">
        <v>10939.257600000001</v>
      </c>
      <c r="E8">
        <v>4</v>
      </c>
      <c r="F8">
        <v>2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>
        <v>2</v>
      </c>
      <c r="N8">
        <v>2</v>
      </c>
      <c r="O8" s="10">
        <f>C8/E8</f>
        <v>2734.8144000000002</v>
      </c>
    </row>
    <row r="9" spans="1:15">
      <c r="A9" s="11">
        <v>6</v>
      </c>
      <c r="B9" s="11" t="s">
        <v>1828</v>
      </c>
      <c r="C9" s="12">
        <v>10185.939899999999</v>
      </c>
      <c r="D9" s="12">
        <v>10185.939899999999</v>
      </c>
      <c r="E9" s="11">
        <v>7</v>
      </c>
      <c r="F9" s="11">
        <v>1</v>
      </c>
      <c r="G9" s="11">
        <v>0</v>
      </c>
      <c r="H9" s="11">
        <v>1</v>
      </c>
      <c r="I9" s="11">
        <v>0</v>
      </c>
      <c r="J9" s="11">
        <v>0</v>
      </c>
      <c r="K9" s="11">
        <v>0</v>
      </c>
      <c r="L9" s="11">
        <v>0</v>
      </c>
      <c r="M9" s="11">
        <v>1</v>
      </c>
      <c r="N9" s="11">
        <v>1</v>
      </c>
      <c r="O9" s="12">
        <f>C9/E9</f>
        <v>1455.1342714285713</v>
      </c>
    </row>
    <row r="10" spans="1:15">
      <c r="A10">
        <v>7</v>
      </c>
      <c r="B10" t="s">
        <v>4124</v>
      </c>
      <c r="C10" s="10">
        <v>9867.9842000000008</v>
      </c>
      <c r="D10" s="10">
        <v>9867.9842000000008</v>
      </c>
      <c r="E10">
        <v>7</v>
      </c>
      <c r="F10">
        <v>2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  <c r="M10">
        <v>2</v>
      </c>
      <c r="N10">
        <v>2</v>
      </c>
      <c r="O10" s="10">
        <f>C10/E10</f>
        <v>1409.7120285714286</v>
      </c>
    </row>
    <row r="11" spans="1:15">
      <c r="A11" s="11">
        <v>8</v>
      </c>
      <c r="B11" s="11" t="s">
        <v>348</v>
      </c>
      <c r="C11" s="12">
        <v>9795.7440000000006</v>
      </c>
      <c r="D11" s="12">
        <v>9795.7440000000006</v>
      </c>
      <c r="E11" s="11">
        <v>7</v>
      </c>
      <c r="F11" s="11">
        <v>1</v>
      </c>
      <c r="G11" s="11">
        <v>0</v>
      </c>
      <c r="H11" s="11">
        <v>1</v>
      </c>
      <c r="I11" s="11">
        <v>0</v>
      </c>
      <c r="J11" s="11">
        <v>0</v>
      </c>
      <c r="K11" s="11">
        <v>0</v>
      </c>
      <c r="L11" s="11">
        <v>0</v>
      </c>
      <c r="M11" s="11">
        <v>1</v>
      </c>
      <c r="N11" s="11">
        <v>1</v>
      </c>
      <c r="O11" s="12">
        <f>C11/E11</f>
        <v>1399.3920000000001</v>
      </c>
    </row>
    <row r="12" spans="1:15">
      <c r="A12">
        <v>9</v>
      </c>
      <c r="B12" t="s">
        <v>4848</v>
      </c>
      <c r="C12" s="10">
        <v>9564.1029999999992</v>
      </c>
      <c r="D12" s="10">
        <v>9564.1029999999992</v>
      </c>
      <c r="E12">
        <v>8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s="10">
        <f>C12/E12</f>
        <v>1195.5128749999999</v>
      </c>
    </row>
    <row r="13" spans="1:15">
      <c r="A13" s="11">
        <v>10</v>
      </c>
      <c r="B13" s="11" t="s">
        <v>852</v>
      </c>
      <c r="C13" s="12">
        <v>9419.4899999999907</v>
      </c>
      <c r="D13" s="12">
        <v>9419.4899999999907</v>
      </c>
      <c r="E13" s="11">
        <v>2</v>
      </c>
      <c r="F13" s="11">
        <v>1</v>
      </c>
      <c r="G13" s="11">
        <v>0</v>
      </c>
      <c r="H13" s="11">
        <v>1</v>
      </c>
      <c r="I13" s="11">
        <v>0</v>
      </c>
      <c r="J13" s="11">
        <v>0</v>
      </c>
      <c r="K13" s="11">
        <v>0</v>
      </c>
      <c r="L13" s="11">
        <v>0</v>
      </c>
      <c r="M13" s="11">
        <v>1</v>
      </c>
      <c r="N13" s="11">
        <v>1</v>
      </c>
      <c r="O13" s="12">
        <f>C13/E13</f>
        <v>4709.7449999999953</v>
      </c>
    </row>
    <row r="16" spans="1:15" ht="15.75">
      <c r="A16" s="13" t="s">
        <v>9302</v>
      </c>
    </row>
    <row r="18" spans="1:8">
      <c r="A18" s="5" t="s">
        <v>3</v>
      </c>
      <c r="B18" s="5" t="s">
        <v>4</v>
      </c>
      <c r="C18" s="5" t="s">
        <v>9303</v>
      </c>
    </row>
    <row r="19" spans="1:8">
      <c r="A19" t="s">
        <v>9304</v>
      </c>
      <c r="B19" s="10">
        <f>SUM(D4:D13)</f>
        <v>106473.05095620888</v>
      </c>
      <c r="C19" s="10">
        <f>SUM(D4:D13)</f>
        <v>106473.05095620888</v>
      </c>
    </row>
    <row r="20" spans="1:8">
      <c r="A20" t="s">
        <v>9305</v>
      </c>
      <c r="B20" s="7" cm="1">
        <f t="array" ref="B20">SUM(D4:D13)/SUMPRODUCT(ABS(reconciliation_base!Z2:Z4001))</f>
        <v>0.17194285576928037</v>
      </c>
      <c r="C20" s="10" cm="1">
        <f t="array" ref="C20">SUM(D4:D13)/SUMPRODUCT(ABS(reconciliation_base!Z2:Z4001))</f>
        <v>0.17194285576928037</v>
      </c>
    </row>
    <row r="21" spans="1:8">
      <c r="A21" t="s">
        <v>9306</v>
      </c>
      <c r="B21" s="14">
        <f>SUM(E4:E13)</f>
        <v>63</v>
      </c>
      <c r="C21">
        <f>SUM(E4:E13)</f>
        <v>63</v>
      </c>
    </row>
    <row r="22" spans="1:8">
      <c r="A22" t="s">
        <v>9243</v>
      </c>
      <c r="B22" s="14">
        <f>SUM(H4:H13)</f>
        <v>13</v>
      </c>
      <c r="C22">
        <f>SUM(H4:H13)</f>
        <v>13</v>
      </c>
    </row>
    <row r="23" spans="1:8">
      <c r="A23" t="s">
        <v>9259</v>
      </c>
      <c r="B23" s="14">
        <f>SUM(I4:I13)</f>
        <v>1</v>
      </c>
      <c r="C23">
        <f>SUM(I4:I13)</f>
        <v>1</v>
      </c>
    </row>
    <row r="24" spans="1:8">
      <c r="A24" t="s">
        <v>9307</v>
      </c>
      <c r="B24" s="10">
        <f>SUM(M4:M13)</f>
        <v>13</v>
      </c>
      <c r="C24">
        <f>SUM(M4:M13)</f>
        <v>13</v>
      </c>
    </row>
    <row r="25" spans="1:8">
      <c r="A25" t="s">
        <v>9308</v>
      </c>
      <c r="B25" s="10">
        <f>AVERAGE(D4:D13)</f>
        <v>10647.305095620888</v>
      </c>
      <c r="C25" s="10">
        <f>AVERAGE(D4:D13)</f>
        <v>10647.305095620888</v>
      </c>
    </row>
    <row r="26" spans="1:8">
      <c r="A26" t="s">
        <v>9309</v>
      </c>
      <c r="B26" s="10">
        <f>MAX(D4:D13)</f>
        <v>12319.933000000001</v>
      </c>
      <c r="C26" s="10">
        <f>MAX(D4:D13)</f>
        <v>12319.933000000001</v>
      </c>
    </row>
    <row r="27" spans="1:8">
      <c r="A27" t="s">
        <v>9310</v>
      </c>
      <c r="B27" s="10">
        <f>MIN(D4:D13)</f>
        <v>9419.4899999999907</v>
      </c>
      <c r="C27" s="10">
        <f>MIN(D4:D13)</f>
        <v>9419.4899999999907</v>
      </c>
    </row>
    <row r="30" spans="1:8" ht="15.75">
      <c r="A30" s="13" t="s">
        <v>9311</v>
      </c>
      <c r="E30" s="49" t="s">
        <v>76</v>
      </c>
      <c r="F30" s="49"/>
      <c r="G30" s="49"/>
      <c r="H30" s="49"/>
    </row>
    <row r="32" spans="1:8">
      <c r="A32" s="5" t="s">
        <v>9312</v>
      </c>
      <c r="B32" s="5" t="s">
        <v>4</v>
      </c>
      <c r="C32" s="5" t="s">
        <v>38</v>
      </c>
      <c r="E32" s="50" t="s">
        <v>9313</v>
      </c>
      <c r="F32" s="50"/>
      <c r="G32" s="50"/>
      <c r="H32" s="50"/>
    </row>
    <row r="33" spans="1:8">
      <c r="A33" t="s">
        <v>9314</v>
      </c>
      <c r="B33">
        <f>COUNTIF(H4:H13,"&gt;0")</f>
        <v>10</v>
      </c>
      <c r="C33" t="s">
        <v>9315</v>
      </c>
      <c r="E33" s="50"/>
      <c r="F33" s="50"/>
      <c r="G33" s="50"/>
      <c r="H33" s="50"/>
    </row>
    <row r="34" spans="1:8">
      <c r="A34" t="s">
        <v>9316</v>
      </c>
      <c r="B34">
        <f>COUNTIF(I4:I13,"&gt;0")</f>
        <v>1</v>
      </c>
      <c r="C34" t="s">
        <v>9317</v>
      </c>
      <c r="E34" s="50"/>
      <c r="F34" s="50"/>
      <c r="G34" s="50"/>
      <c r="H34" s="50"/>
    </row>
    <row r="35" spans="1:8">
      <c r="A35" t="s">
        <v>9318</v>
      </c>
      <c r="B35" cm="1">
        <f t="array" ref="B35">SUMPRODUCT((H4:H13&gt;0)*(I4:I13&gt;0))</f>
        <v>1</v>
      </c>
      <c r="C35" t="s">
        <v>9319</v>
      </c>
      <c r="E35" s="50"/>
      <c r="F35" s="50"/>
      <c r="G35" s="50"/>
      <c r="H35" s="50"/>
    </row>
    <row r="36" spans="1:8">
      <c r="A36" t="s">
        <v>9320</v>
      </c>
      <c r="B36" s="15">
        <f>AVERAGE(E4:E13)</f>
        <v>6.3</v>
      </c>
      <c r="C36" t="s">
        <v>9321</v>
      </c>
      <c r="E36" s="50"/>
      <c r="F36" s="50"/>
      <c r="G36" s="50"/>
      <c r="H36" s="50"/>
    </row>
    <row r="37" spans="1:8">
      <c r="A37" t="s">
        <v>9322</v>
      </c>
      <c r="B37" s="7">
        <f>SUM(N4:N13)/SUM(E4:E13)</f>
        <v>0.23809523809523808</v>
      </c>
      <c r="C37" t="s">
        <v>9323</v>
      </c>
      <c r="E37" s="50"/>
      <c r="F37" s="50"/>
      <c r="G37" s="50"/>
      <c r="H37" s="50"/>
    </row>
  </sheetData>
  <mergeCells count="2">
    <mergeCell ref="E30:H30"/>
    <mergeCell ref="E32:H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0900-2FF4-4BDD-92E1-E11FEA731799}">
  <dimension ref="A1:L33"/>
  <sheetViews>
    <sheetView workbookViewId="0">
      <selection activeCell="B5" sqref="B5"/>
    </sheetView>
  </sheetViews>
  <sheetFormatPr defaultRowHeight="15"/>
  <cols>
    <col min="1" max="1" width="41.7109375" bestFit="1" customWidth="1"/>
    <col min="2" max="2" width="15.42578125" bestFit="1" customWidth="1"/>
    <col min="3" max="3" width="14.140625" bestFit="1" customWidth="1"/>
    <col min="4" max="4" width="14" bestFit="1" customWidth="1"/>
    <col min="5" max="5" width="18.42578125" bestFit="1" customWidth="1"/>
    <col min="6" max="6" width="19.140625" bestFit="1" customWidth="1"/>
    <col min="7" max="7" width="17.85546875" bestFit="1" customWidth="1"/>
    <col min="8" max="8" width="49.5703125" bestFit="1" customWidth="1"/>
    <col min="9" max="9" width="13.42578125" bestFit="1" customWidth="1"/>
    <col min="10" max="10" width="11.140625" bestFit="1" customWidth="1"/>
    <col min="11" max="11" width="10.140625" bestFit="1" customWidth="1"/>
  </cols>
  <sheetData>
    <row r="1" spans="1:11" ht="18.75">
      <c r="A1" s="4" t="s">
        <v>9324</v>
      </c>
    </row>
    <row r="3" spans="1:11">
      <c r="A3" s="3" t="s">
        <v>9325</v>
      </c>
      <c r="H3" s="3" t="s">
        <v>9326</v>
      </c>
    </row>
    <row r="4" spans="1:11">
      <c r="A4" s="5" t="s">
        <v>59</v>
      </c>
      <c r="B4" s="5" t="s">
        <v>33</v>
      </c>
      <c r="C4" s="5" t="s">
        <v>37</v>
      </c>
      <c r="D4" s="5" t="s">
        <v>8</v>
      </c>
      <c r="E4" s="5" t="s">
        <v>61</v>
      </c>
      <c r="F4" s="5" t="s">
        <v>13</v>
      </c>
      <c r="G4" s="5" t="s">
        <v>9327</v>
      </c>
      <c r="H4" s="19" t="s">
        <v>9328</v>
      </c>
      <c r="I4" s="19" t="s">
        <v>9329</v>
      </c>
      <c r="J4" s="19" t="s">
        <v>9330</v>
      </c>
      <c r="K4" s="19" t="s">
        <v>9331</v>
      </c>
    </row>
    <row r="5" spans="1:11">
      <c r="A5" t="s">
        <v>65</v>
      </c>
      <c r="B5">
        <f>COUNTIF(reconciliation_base!AB:AB,"HIGH")</f>
        <v>181</v>
      </c>
      <c r="C5" s="7">
        <f>B5/SUM(B5:B7)</f>
        <v>4.5249999999999999E-2</v>
      </c>
      <c r="D5" s="10">
        <f>SUMIF(reconciliation_base!AB:AB,"HIGH",reconciliation_base!Z:Z)</f>
        <v>361776.79629486887</v>
      </c>
      <c r="E5" s="10">
        <f>IF(B5&gt;0,D5/B5,0)</f>
        <v>1998.7668303583914</v>
      </c>
      <c r="F5" s="10">
        <f>SUMIF(reconciliation_base!AB:AB,"HIGH",reconciliation_base!X:X)</f>
        <v>12375457.799994871</v>
      </c>
      <c r="G5" s="10">
        <f>IF(B5&gt;0,F5/B5,0)</f>
        <v>68372.695027595968</v>
      </c>
      <c r="H5" t="s">
        <v>9332</v>
      </c>
      <c r="I5" s="6">
        <f>AVERAGEIF(reconciliation_base!AB:AB,"HIGH",reconciliation_base!E:E)</f>
        <v>97.099447513812152</v>
      </c>
      <c r="J5" s="6">
        <f>AVERAGE(reconciliation_base!E:E)</f>
        <v>101.22225</v>
      </c>
      <c r="K5" s="6">
        <f>I5-J5</f>
        <v>-4.1228024861878509</v>
      </c>
    </row>
    <row r="6" spans="1:11">
      <c r="A6" t="s">
        <v>67</v>
      </c>
      <c r="B6">
        <f>COUNTIF(reconciliation_base!AB:AB,"MEDIUM")</f>
        <v>322</v>
      </c>
      <c r="C6" s="7">
        <f>B6/SUM(B5:B7)</f>
        <v>8.0500000000000002E-2</v>
      </c>
      <c r="D6" s="10">
        <f>SUMIF(reconciliation_base!AB:AB,"MEDIUM",reconciliation_base!Z:Z)</f>
        <v>5696.0551543089632</v>
      </c>
      <c r="E6" s="10">
        <f>IF(B6&gt;0,D6/B6,0)</f>
        <v>17.689612280462619</v>
      </c>
      <c r="F6" s="10">
        <f>SUMIF(reconciliation_base!AB:AB,"MEDIUM",reconciliation_base!X:X)</f>
        <v>18770681.922354307</v>
      </c>
      <c r="G6" s="10">
        <f>IF(B6&gt;0,F6/B6,0)</f>
        <v>58294.043237125174</v>
      </c>
      <c r="H6" t="s">
        <v>9333</v>
      </c>
      <c r="I6" s="6">
        <f>AVERAGEIF(reconciliation_base!AB:AB,"HIGH",reconciliation_base!G:G)</f>
        <v>100.45303867403315</v>
      </c>
      <c r="J6" s="6">
        <f>AVERAGE(reconciliation_base!G:G)</f>
        <v>101.37875</v>
      </c>
      <c r="K6" s="6">
        <f>I6-J6</f>
        <v>-0.92571132596684436</v>
      </c>
    </row>
    <row r="7" spans="1:11">
      <c r="A7" t="s">
        <v>70</v>
      </c>
      <c r="B7">
        <f>COUNTIF(reconciliation_base!AB:AB,"LOW")</f>
        <v>3497</v>
      </c>
      <c r="C7" s="7">
        <f>B7/SUM(B5:B7)</f>
        <v>0.87424999999999997</v>
      </c>
      <c r="D7" s="10">
        <f>SUMIF(reconciliation_base!AB:AB,"LOW",reconciliation_base!Z:Z)</f>
        <v>0</v>
      </c>
      <c r="E7" s="10">
        <f>IF(B7&gt;0,D7/B7,0)</f>
        <v>0</v>
      </c>
      <c r="F7" s="10">
        <f>SUMIF(reconciliation_base!AB:AB,"LOW",reconciliation_base!X:X)</f>
        <v>223219618.90380019</v>
      </c>
      <c r="G7" s="10">
        <f>IF(B7&gt;0,F7/B7,0)</f>
        <v>63831.746898427278</v>
      </c>
      <c r="H7" t="s">
        <v>9334</v>
      </c>
      <c r="I7" s="6">
        <f>I6-I5</f>
        <v>3.3535911602210007</v>
      </c>
      <c r="J7" s="6">
        <f>J6-J5</f>
        <v>0.15649999999999409</v>
      </c>
      <c r="K7" s="6">
        <f>K6-K5</f>
        <v>3.1970911602210066</v>
      </c>
    </row>
    <row r="8" spans="1:11">
      <c r="A8" s="16" t="s">
        <v>73</v>
      </c>
      <c r="B8" s="16">
        <f>SUM(B5:B7)</f>
        <v>4000</v>
      </c>
      <c r="C8" s="17">
        <f>SUM(C5:C7)</f>
        <v>1</v>
      </c>
      <c r="D8" s="18">
        <f>SUM(D5:D7)</f>
        <v>367472.85144917783</v>
      </c>
      <c r="E8" s="18">
        <f>IF(B8&gt;0,D8/B8,0)</f>
        <v>91.868212862294456</v>
      </c>
      <c r="F8" s="18">
        <f>SUM(F5:F7)</f>
        <v>254365758.62614936</v>
      </c>
      <c r="G8" s="18">
        <f>IF(B8&gt;0,F8/B8,0)</f>
        <v>63591.439656537339</v>
      </c>
      <c r="H8" t="s">
        <v>9335</v>
      </c>
      <c r="I8" s="10">
        <f>AVERAGEIF(reconciliation_base!AB:AB,"HIGH",reconciliation_base!H:H)</f>
        <v>687.90283264336597</v>
      </c>
      <c r="J8" s="10">
        <f>AVERAGE(reconciliation_base!H:H)</f>
        <v>631.93690990097411</v>
      </c>
      <c r="K8" s="10">
        <f>I8-J8</f>
        <v>55.965922742391854</v>
      </c>
    </row>
    <row r="9" spans="1:11">
      <c r="H9" t="s">
        <v>9327</v>
      </c>
      <c r="I9" s="10">
        <f>AVERAGEIF(reconciliation_base!AB:AB,"HIGH",reconciliation_base!X:X)</f>
        <v>68372.695027595968</v>
      </c>
      <c r="J9" s="10">
        <f>AVERAGE(reconciliation_base!X:X)</f>
        <v>63591.439656537303</v>
      </c>
      <c r="K9" s="10">
        <f>I9-J9</f>
        <v>4781.2553710586653</v>
      </c>
    </row>
    <row r="10" spans="1:11">
      <c r="H10" t="s">
        <v>9336</v>
      </c>
      <c r="I10" s="10">
        <f>AVERAGEIF(reconciliation_base!AB:AB,"HIGH",reconciliation_base!Z:Z)</f>
        <v>1998.7668303583914</v>
      </c>
      <c r="J10" s="10">
        <f>AVERAGE(reconciliation_base!Z:Z)</f>
        <v>91.868212862294456</v>
      </c>
      <c r="K10" s="10">
        <f>I10-J10</f>
        <v>1906.8986174960969</v>
      </c>
    </row>
    <row r="11" spans="1:11">
      <c r="A11" s="3" t="s">
        <v>9337</v>
      </c>
      <c r="H11" t="s">
        <v>9338</v>
      </c>
      <c r="I11" s="6">
        <f>AVERAGEIF(reconciliation_base!AB:AB,"HIGH",reconciliation_base!AA:AA)</f>
        <v>8.3038674033149178</v>
      </c>
      <c r="J11" s="6">
        <f>AVERAGE(reconciliation_base!AA:AA)</f>
        <v>0.60575000000000001</v>
      </c>
      <c r="K11" s="6">
        <f>I11-J11</f>
        <v>7.6981174033149173</v>
      </c>
    </row>
    <row r="12" spans="1:11">
      <c r="A12" s="19" t="s">
        <v>9339</v>
      </c>
      <c r="B12" s="19" t="s">
        <v>9340</v>
      </c>
      <c r="C12" s="19" t="s">
        <v>9341</v>
      </c>
      <c r="D12" s="19" t="s">
        <v>9342</v>
      </c>
      <c r="E12" s="19" t="s">
        <v>9343</v>
      </c>
      <c r="F12" s="19" t="s">
        <v>9344</v>
      </c>
    </row>
    <row r="13" spans="1:11">
      <c r="A13" t="s">
        <v>9345</v>
      </c>
      <c r="B13">
        <f>COUNTIFS(reconciliation_base!AB:AB,"HIGH",reconciliation_base!Q:Q,1)</f>
        <v>173</v>
      </c>
      <c r="C13" s="7">
        <f>IF(D13&gt;0,B13/D13,0)</f>
        <v>0.87817258883248728</v>
      </c>
      <c r="D13">
        <f>COUNTIF(reconciliation_base!Q:Q,1)</f>
        <v>197</v>
      </c>
      <c r="E13" s="7">
        <f>IF(B5&gt;0,B13/B5,0)</f>
        <v>0.95580110497237569</v>
      </c>
      <c r="F13" t="str">
        <f>IF(E13&gt;0.5,"VERY HIGH",IF(E13&gt;0.25,"HIGH",IF(E13&gt;0.1,"MODERATE","LOW")))</f>
        <v>VERY HIGH</v>
      </c>
    </row>
    <row r="14" spans="1:11">
      <c r="A14" t="s">
        <v>9346</v>
      </c>
      <c r="B14">
        <f>COUNTIFS(reconciliation_base!AB:AB,"HIGH",reconciliation_base!R:R,1)</f>
        <v>14</v>
      </c>
      <c r="C14" s="7">
        <f>IF(D14&gt;0,B14/D14,0)</f>
        <v>0.11382113821138211</v>
      </c>
      <c r="D14">
        <f>COUNTIF(reconciliation_base!R:R,1)</f>
        <v>123</v>
      </c>
      <c r="E14" s="7">
        <f>IF(B5&gt;0,B14/B5,0)</f>
        <v>7.7348066298342538E-2</v>
      </c>
      <c r="F14" t="str">
        <f>IF(E14&gt;0.5,"VERY HIGH",IF(E14&gt;0.25,"HIGH",IF(E14&gt;0.1,"MODERATE","LOW")))</f>
        <v>LOW</v>
      </c>
      <c r="H14" s="3" t="s">
        <v>9347</v>
      </c>
    </row>
    <row r="15" spans="1:11">
      <c r="A15" t="s">
        <v>9348</v>
      </c>
      <c r="B15">
        <f>COUNTIFS(reconciliation_base!AB:AB,"HIGH",reconciliation_base!S:S,1)</f>
        <v>5</v>
      </c>
      <c r="C15" s="7">
        <f>IF(D15&gt;0,B15/D15,0)</f>
        <v>0.7142857142857143</v>
      </c>
      <c r="D15">
        <f>COUNTIF(reconciliation_base!S:S,1)</f>
        <v>7</v>
      </c>
      <c r="E15" s="7">
        <f>IF(B5&gt;0,B15/B5,0)</f>
        <v>2.7624309392265192E-2</v>
      </c>
      <c r="F15" t="str">
        <f>IF(E15&gt;0.5,"VERY HIGH",IF(E15&gt;0.25,"HIGH",IF(E15&gt;0.1,"MODERATE","LOW")))</f>
        <v>LOW</v>
      </c>
      <c r="H15" s="5" t="s">
        <v>59</v>
      </c>
      <c r="I15" s="5" t="s">
        <v>9349</v>
      </c>
      <c r="J15" s="5" t="s">
        <v>9350</v>
      </c>
      <c r="K15" s="5" t="s">
        <v>9351</v>
      </c>
    </row>
    <row r="16" spans="1:11">
      <c r="A16" t="s">
        <v>9352</v>
      </c>
      <c r="B16">
        <f>COUNTIFS(reconciliation_base!AB:AB,"HIGH",reconciliation_base!T:T,1)</f>
        <v>5</v>
      </c>
      <c r="C16" s="7">
        <f>IF(D16&gt;0,B16/D16,0)</f>
        <v>1</v>
      </c>
      <c r="D16">
        <f>COUNTIF(reconciliation_base!T:T,1)</f>
        <v>5</v>
      </c>
      <c r="E16" s="7">
        <f>IF(B5&gt;0,B16/B5,0)</f>
        <v>2.7624309392265192E-2</v>
      </c>
      <c r="F16" t="str">
        <f>IF(E16&gt;0.5,"VERY HIGH",IF(E16&gt;0.25,"HIGH",IF(E16&gt;0.1,"MODERATE","LOW")))</f>
        <v>LOW</v>
      </c>
      <c r="H16" t="s">
        <v>65</v>
      </c>
      <c r="I16">
        <f>COUNTIFS(reconciliation_base!AB:AB,"HIGH",reconciliation_base!W:W,"PASS")</f>
        <v>0</v>
      </c>
      <c r="J16">
        <f>COUNTIFS(reconciliation_base!AB:AB,"HIGH",reconciliation_base!W:W,"FAIL")</f>
        <v>181</v>
      </c>
      <c r="K16" s="7">
        <f>IF((I16+J16)&gt;0,J16/(I16+J16),0)</f>
        <v>1</v>
      </c>
    </row>
    <row r="17" spans="1:12">
      <c r="A17" t="s">
        <v>9353</v>
      </c>
      <c r="B17">
        <f>COUNTIFS(reconciliation_base!AB:AB,"HIGH",reconciliation_base!U:U,1)</f>
        <v>10</v>
      </c>
      <c r="C17" s="7">
        <f>IF(D17&gt;0,B17/D17,0)</f>
        <v>5.2356020942408377E-2</v>
      </c>
      <c r="D17">
        <f>COUNTIF(reconciliation_base!U:U,1)</f>
        <v>191</v>
      </c>
      <c r="E17" s="7">
        <f>IF(B5&gt;0,B17/B5,0)</f>
        <v>5.5248618784530384E-2</v>
      </c>
      <c r="F17" t="str">
        <f>IF(E17&gt;0.5,"VERY HIGH",IF(E17&gt;0.25,"HIGH",IF(E17&gt;0.1,"MODERATE","LOW")))</f>
        <v>LOW</v>
      </c>
      <c r="H17" t="s">
        <v>67</v>
      </c>
      <c r="I17">
        <f>COUNTIFS(reconciliation_base!AB:AB,"MEDIUM",reconciliation_base!W:W,"PASS")</f>
        <v>0</v>
      </c>
      <c r="J17">
        <f>COUNTIFS(reconciliation_base!AB:AB,"MEDIUM",reconciliation_base!W:W,"FAIL")</f>
        <v>322</v>
      </c>
      <c r="K17" s="7">
        <f>IF((I17+J17)&gt;0,J17/(I17+J17),0)</f>
        <v>1</v>
      </c>
    </row>
    <row r="18" spans="1:12">
      <c r="A18" t="s">
        <v>9354</v>
      </c>
      <c r="B18">
        <f>COUNTIFS(reconciliation_base!AB:AB,"HIGH",reconciliation_base!V:V,1)</f>
        <v>1</v>
      </c>
      <c r="C18" s="7">
        <f>IF(D18&gt;0,B18/D18,0)</f>
        <v>6.6666666666666666E-2</v>
      </c>
      <c r="D18">
        <f>COUNTIF(reconciliation_base!V:V,1)</f>
        <v>15</v>
      </c>
      <c r="E18" s="7">
        <f>IF(B5&gt;0,B18/B5,0)</f>
        <v>5.5248618784530384E-3</v>
      </c>
      <c r="F18" t="str">
        <f>IF(E18&gt;0.5,"VERY HIGH",IF(E18&gt;0.25,"HIGH",IF(E18&gt;0.1,"MODERATE","LOW")))</f>
        <v>LOW</v>
      </c>
      <c r="H18" t="s">
        <v>70</v>
      </c>
      <c r="I18">
        <f>COUNTIFS(reconciliation_base!AB:AB,"LOW",reconciliation_base!W:W,"PASS")</f>
        <v>3497</v>
      </c>
      <c r="J18">
        <f>COUNTIFS(reconciliation_base!AB:AB,"LOW",reconciliation_base!W:W,"FAIL")</f>
        <v>0</v>
      </c>
      <c r="K18" s="7">
        <f>IF((I18+J18)&gt;0,J18/(I18+J18),0)</f>
        <v>0</v>
      </c>
    </row>
    <row r="19" spans="1:12">
      <c r="A19" t="s">
        <v>9355</v>
      </c>
      <c r="B19">
        <f>COUNTIFS(reconciliation_base!AB:AB,"HIGH",reconciliation_base!P:P,1)</f>
        <v>0</v>
      </c>
      <c r="C19" s="7">
        <f>IF(D19&gt;0,B19/D19,0)</f>
        <v>0</v>
      </c>
      <c r="D19">
        <f>COUNTIF(reconciliation_base!P:P,1)</f>
        <v>0</v>
      </c>
      <c r="E19" s="7">
        <f>IF(B5&gt;0,B19/B5,0)</f>
        <v>0</v>
      </c>
      <c r="F19" t="str">
        <f>IF(E19&gt;0.5,"VERY HIGH",IF(E19&gt;0.25,"HIGH",IF(E19&gt;0.1,"MODERATE","LOW")))</f>
        <v>LOW</v>
      </c>
    </row>
    <row r="21" spans="1:12">
      <c r="H21" s="51" t="s">
        <v>9356</v>
      </c>
      <c r="I21" s="52"/>
      <c r="J21" s="52"/>
      <c r="K21" s="52"/>
      <c r="L21" s="52"/>
    </row>
    <row r="22" spans="1:12">
      <c r="A22" s="3" t="s">
        <v>9357</v>
      </c>
    </row>
    <row r="23" spans="1:12">
      <c r="A23" s="5" t="s">
        <v>9229</v>
      </c>
      <c r="B23" s="5" t="s">
        <v>9358</v>
      </c>
      <c r="C23" s="5" t="s">
        <v>9359</v>
      </c>
      <c r="D23" s="5" t="s">
        <v>9360</v>
      </c>
      <c r="E23" s="5" t="s">
        <v>9361</v>
      </c>
      <c r="F23" s="5" t="s">
        <v>9362</v>
      </c>
      <c r="H23" s="3" t="s">
        <v>9363</v>
      </c>
    </row>
    <row r="24" spans="1:12">
      <c r="A24">
        <v>0</v>
      </c>
      <c r="B24">
        <f>COUNTIFS(reconciliation_base!AA:AA,0,reconciliation_base!AB:AB,"HIGH")</f>
        <v>0</v>
      </c>
      <c r="C24">
        <f>COUNTIFS(reconciliation_base!AA:AA,0,reconciliation_base!AB:AB,"MEDIUM")</f>
        <v>0</v>
      </c>
      <c r="D24">
        <f>COUNTIFS(reconciliation_base!AA:AA,0,reconciliation_base!AB:AB,"LOW")</f>
        <v>3497</v>
      </c>
      <c r="E24">
        <f>COUNTIF(reconciliation_base!AA:AA,0)</f>
        <v>3497</v>
      </c>
      <c r="F24" s="7">
        <f>IF(E24&gt;0,B24/E24,0)</f>
        <v>0</v>
      </c>
      <c r="H24" t="s">
        <v>9364</v>
      </c>
    </row>
    <row r="25" spans="1:12">
      <c r="A25">
        <v>1</v>
      </c>
      <c r="B25">
        <f>COUNTIFS(reconciliation_base!AA:AA,1,reconciliation_base!AB:AB,"HIGH")</f>
        <v>0</v>
      </c>
      <c r="C25">
        <f>COUNTIFS(reconciliation_base!AA:AA,1,reconciliation_base!AB:AB,"MEDIUM")</f>
        <v>0</v>
      </c>
      <c r="D25">
        <f>COUNTIFS(reconciliation_base!AA:AA,1,reconciliation_base!AB:AB,"LOW")</f>
        <v>0</v>
      </c>
      <c r="E25">
        <f>COUNTIF(reconciliation_base!AA:AA,1)</f>
        <v>0</v>
      </c>
      <c r="F25" s="7">
        <f>IF(E25&gt;0,B25/E25,0)</f>
        <v>0</v>
      </c>
      <c r="H25" t="s">
        <v>9365</v>
      </c>
    </row>
    <row r="26" spans="1:12">
      <c r="A26">
        <v>2</v>
      </c>
      <c r="B26">
        <f>COUNTIFS(reconciliation_base!AA:AA,2,reconciliation_base!AB:AB,"HIGH")</f>
        <v>0</v>
      </c>
      <c r="C26">
        <f>COUNTIFS(reconciliation_base!AA:AA,2,reconciliation_base!AB:AB,"MEDIUM")</f>
        <v>173</v>
      </c>
      <c r="D26">
        <f>COUNTIFS(reconciliation_base!AA:AA,2,reconciliation_base!AB:AB,"LOW")</f>
        <v>0</v>
      </c>
      <c r="E26">
        <f>COUNTIF(reconciliation_base!AA:AA,2)</f>
        <v>173</v>
      </c>
      <c r="F26" s="7">
        <f>IF(E26&gt;0,B26/E26,0)</f>
        <v>0</v>
      </c>
    </row>
    <row r="27" spans="1:12">
      <c r="A27">
        <v>3</v>
      </c>
      <c r="B27">
        <f>COUNTIFS(reconciliation_base!AA:AA,3,reconciliation_base!AB:AB,"HIGH")</f>
        <v>0</v>
      </c>
      <c r="C27">
        <f>COUNTIFS(reconciliation_base!AA:AA,3,reconciliation_base!AB:AB,"MEDIUM")</f>
        <v>30</v>
      </c>
      <c r="D27">
        <f>COUNTIFS(reconciliation_base!AA:AA,3,reconciliation_base!AB:AB,"LOW")</f>
        <v>0</v>
      </c>
      <c r="E27">
        <f>COUNTIF(reconciliation_base!AA:AA,3)</f>
        <v>30</v>
      </c>
      <c r="F27" s="7">
        <f>IF(E27&gt;0,B27/E27,0)</f>
        <v>0</v>
      </c>
      <c r="H27" s="3" t="s">
        <v>9366</v>
      </c>
    </row>
    <row r="28" spans="1:12">
      <c r="A28">
        <v>4</v>
      </c>
      <c r="B28">
        <f>COUNTIFS(reconciliation_base!AA:AA,4,reconciliation_base!AB:AB,"HIGH")</f>
        <v>0</v>
      </c>
      <c r="C28">
        <f>COUNTIFS(reconciliation_base!AA:AA,4,reconciliation_base!AB:AB,"MEDIUM")</f>
        <v>111</v>
      </c>
      <c r="D28">
        <f>COUNTIFS(reconciliation_base!AA:AA,4,reconciliation_base!AB:AB,"LOW")</f>
        <v>0</v>
      </c>
      <c r="E28">
        <f>COUNTIF(reconciliation_base!AA:AA,4)</f>
        <v>111</v>
      </c>
      <c r="F28" s="7">
        <f>IF(E28&gt;0,B28/E28,0)</f>
        <v>0</v>
      </c>
      <c r="H28" t="s">
        <v>9367</v>
      </c>
    </row>
    <row r="29" spans="1:12">
      <c r="A29">
        <v>5</v>
      </c>
      <c r="B29">
        <f>COUNTIFS(reconciliation_base!AA:AA,5,reconciliation_base!AB:AB,"HIGH")</f>
        <v>0</v>
      </c>
      <c r="C29">
        <f>COUNTIFS(reconciliation_base!AA:AA,5,reconciliation_base!AB:AB,"MEDIUM")</f>
        <v>8</v>
      </c>
      <c r="D29">
        <f>COUNTIFS(reconciliation_base!AA:AA,5,reconciliation_base!AB:AB,"LOW")</f>
        <v>0</v>
      </c>
      <c r="E29">
        <f>COUNTIF(reconciliation_base!AA:AA,5)</f>
        <v>8</v>
      </c>
      <c r="F29" s="7">
        <f>IF(E29&gt;0,B29/E29,0)</f>
        <v>0</v>
      </c>
      <c r="H29" t="s">
        <v>9368</v>
      </c>
    </row>
    <row r="30" spans="1:12">
      <c r="A30">
        <v>6</v>
      </c>
      <c r="B30">
        <f>COUNTIFS(reconciliation_base!AA:AA,6,reconciliation_base!AB:AB,"HIGH")</f>
        <v>4</v>
      </c>
      <c r="C30">
        <f>COUNTIFS(reconciliation_base!AA:AA,6,reconciliation_base!AB:AB,"MEDIUM")</f>
        <v>0</v>
      </c>
      <c r="D30">
        <f>COUNTIFS(reconciliation_base!AA:AA,6,reconciliation_base!AB:AB,"LOW")</f>
        <v>0</v>
      </c>
      <c r="E30">
        <f>COUNTIF(reconciliation_base!AA:AA,6)</f>
        <v>4</v>
      </c>
      <c r="F30" s="7">
        <f>IF(E30&gt;0,B30/E30,0)</f>
        <v>1</v>
      </c>
    </row>
    <row r="31" spans="1:12">
      <c r="A31">
        <v>7</v>
      </c>
      <c r="B31">
        <f>COUNTIFS(reconciliation_base!AA:AA,7,reconciliation_base!AB:AB,"HIGH")</f>
        <v>0</v>
      </c>
      <c r="C31">
        <f>COUNTIFS(reconciliation_base!AA:AA,7,reconciliation_base!AB:AB,"MEDIUM")</f>
        <v>0</v>
      </c>
      <c r="D31">
        <f>COUNTIFS(reconciliation_base!AA:AA,7,reconciliation_base!AB:AB,"LOW")</f>
        <v>0</v>
      </c>
      <c r="E31">
        <f>COUNTIF(reconciliation_base!AA:AA,7)</f>
        <v>0</v>
      </c>
      <c r="F31" s="7">
        <f>IF(E31&gt;0,B31/E31,0)</f>
        <v>0</v>
      </c>
      <c r="H31" s="3" t="s">
        <v>9369</v>
      </c>
    </row>
    <row r="32" spans="1:12">
      <c r="A32">
        <v>8</v>
      </c>
      <c r="B32">
        <f>COUNTIFS(reconciliation_base!AA:AA,8,reconciliation_base!AB:AB,"HIGH")</f>
        <v>161</v>
      </c>
      <c r="C32">
        <f>COUNTIFS(reconciliation_base!AA:AA,8,reconciliation_base!AB:AB,"MEDIUM")</f>
        <v>0</v>
      </c>
      <c r="D32">
        <f>COUNTIFS(reconciliation_base!AA:AA,8,reconciliation_base!AB:AB,"LOW")</f>
        <v>0</v>
      </c>
      <c r="E32">
        <f>COUNTIF(reconciliation_base!AA:AA,8)</f>
        <v>161</v>
      </c>
      <c r="F32" s="7">
        <f>IF(E32&gt;0,B32/E32,0)</f>
        <v>1</v>
      </c>
      <c r="H32" t="s">
        <v>9370</v>
      </c>
    </row>
    <row r="33" spans="8:8">
      <c r="H33" t="s">
        <v>9371</v>
      </c>
    </row>
  </sheetData>
  <mergeCells count="1">
    <mergeCell ref="H21:L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AE2E-9E89-448E-A71F-DBE219EDC9C6}">
  <dimension ref="A1:M66"/>
  <sheetViews>
    <sheetView workbookViewId="0"/>
  </sheetViews>
  <sheetFormatPr defaultRowHeight="15"/>
  <cols>
    <col min="1" max="1" width="37.28515625" bestFit="1" customWidth="1"/>
    <col min="2" max="2" width="17" bestFit="1" customWidth="1"/>
    <col min="3" max="3" width="20.7109375" bestFit="1" customWidth="1"/>
    <col min="4" max="4" width="15.85546875" bestFit="1" customWidth="1"/>
    <col min="5" max="5" width="25.140625" bestFit="1" customWidth="1"/>
    <col min="7" max="7" width="50.140625" bestFit="1" customWidth="1"/>
    <col min="8" max="9" width="17" bestFit="1" customWidth="1"/>
    <col min="10" max="10" width="13.7109375" bestFit="1" customWidth="1"/>
    <col min="11" max="11" width="15.85546875" bestFit="1" customWidth="1"/>
    <col min="12" max="12" width="13.7109375" bestFit="1" customWidth="1"/>
    <col min="13" max="13" width="12.42578125" bestFit="1" customWidth="1"/>
  </cols>
  <sheetData>
    <row r="1" spans="1:13" ht="18.75">
      <c r="A1" s="4" t="s">
        <v>9372</v>
      </c>
      <c r="G1" s="13" t="s">
        <v>9373</v>
      </c>
    </row>
    <row r="3" spans="1:13">
      <c r="A3" s="3" t="s">
        <v>9374</v>
      </c>
      <c r="G3" s="3" t="s">
        <v>9290</v>
      </c>
      <c r="H3" s="3" t="s">
        <v>105</v>
      </c>
      <c r="I3" s="3" t="s">
        <v>9375</v>
      </c>
      <c r="J3" s="3" t="s">
        <v>9230</v>
      </c>
      <c r="K3" s="3" t="s">
        <v>9376</v>
      </c>
      <c r="L3" s="3" t="s">
        <v>8</v>
      </c>
      <c r="M3" s="3" t="s">
        <v>61</v>
      </c>
    </row>
    <row r="4" spans="1:13">
      <c r="A4" s="3" t="s">
        <v>3</v>
      </c>
      <c r="B4" s="3" t="s">
        <v>4</v>
      </c>
      <c r="G4">
        <v>1</v>
      </c>
    </row>
    <row r="5" spans="1:13">
      <c r="A5" t="s">
        <v>9377</v>
      </c>
      <c r="B5">
        <f>SUMIF(reconciliation_base!U:U,1)</f>
        <v>191</v>
      </c>
      <c r="G5">
        <v>2</v>
      </c>
    </row>
    <row r="6" spans="1:13">
      <c r="A6" t="s">
        <v>9378</v>
      </c>
      <c r="B6" s="7">
        <f>SUMIF(reconciliation_base!U:U,1)/(COUNTA(reconciliation_base!A:A)-1)</f>
        <v>4.7750000000000001E-2</v>
      </c>
      <c r="G6">
        <v>3</v>
      </c>
    </row>
    <row r="7" spans="1:13">
      <c r="A7" t="s">
        <v>9379</v>
      </c>
      <c r="B7" s="10">
        <f>SUMIF(reconciliation_base!U:U,1,reconciliation_base!Z:Z)</f>
        <v>28457.737419609039</v>
      </c>
      <c r="G7">
        <v>4</v>
      </c>
    </row>
    <row r="8" spans="1:13">
      <c r="A8" t="s">
        <v>9380</v>
      </c>
      <c r="B8" s="10">
        <f>SUMIF(reconciliation_base!U:U,1,reconciliation_base!Z:Z)/SUMIF(reconciliation_base!U:U,1)</f>
        <v>148.99338963146093</v>
      </c>
      <c r="G8">
        <v>5</v>
      </c>
    </row>
    <row r="9" spans="1:13">
      <c r="A9" t="s">
        <v>9381</v>
      </c>
      <c r="B9" cm="1">
        <f t="array" ref="B9">SUMPRODUCT((reconciliation_base!U2:U4001=1)*(reconciliation_base!Q2:Q4001=1))</f>
        <v>7</v>
      </c>
      <c r="G9">
        <v>6</v>
      </c>
    </row>
    <row r="10" spans="1:13">
      <c r="A10" t="s">
        <v>9382</v>
      </c>
      <c r="B10" cm="1">
        <f t="array" ref="B10">SUMPRODUCT((reconciliation_base!U2:U4001=1)*(reconciliation_base!AB2:AB4001="HIGH"))</f>
        <v>10</v>
      </c>
      <c r="G10">
        <v>7</v>
      </c>
    </row>
    <row r="11" spans="1:13">
      <c r="A11" t="s">
        <v>9383</v>
      </c>
      <c r="B11" cm="1">
        <f t="array" ref="B11">SUMPRODUCT((reconciliation_base!U2:U4001=1)*(reconciliation_base!W2:W4001="FAIL"))</f>
        <v>191</v>
      </c>
      <c r="G11">
        <v>8</v>
      </c>
    </row>
    <row r="12" spans="1:13">
      <c r="G12">
        <v>9</v>
      </c>
    </row>
    <row r="13" spans="1:13">
      <c r="A13" s="3" t="s">
        <v>9384</v>
      </c>
      <c r="G13">
        <v>10</v>
      </c>
    </row>
    <row r="14" spans="1:13">
      <c r="A14" s="3" t="s">
        <v>54</v>
      </c>
      <c r="B14" s="3" t="s">
        <v>9375</v>
      </c>
      <c r="C14" s="3" t="s">
        <v>9385</v>
      </c>
      <c r="D14" s="3" t="s">
        <v>9376</v>
      </c>
      <c r="E14" s="3" t="s">
        <v>9386</v>
      </c>
      <c r="G14">
        <v>11</v>
      </c>
    </row>
    <row r="15" spans="1:13">
      <c r="A15" t="s">
        <v>9387</v>
      </c>
      <c r="B15" cm="1">
        <f t="array" ref="B15">SUMPRODUCT((reconciliation_base!AC2:AC4001="2023-01")*(reconciliation_base!U2:U4001=1))</f>
        <v>15</v>
      </c>
      <c r="C15">
        <f>COUNTIF(reconciliation_base!AC:AC,"2023-01")</f>
        <v>163</v>
      </c>
      <c r="D15" s="7">
        <f>IF(C15&gt;0,B15/C15,0)</f>
        <v>9.202453987730061E-2</v>
      </c>
      <c r="E15" s="10" cm="1">
        <f t="array" ref="E15">SUMPRODUCT((reconciliation_base!AC2:AC4001="2023-01")*(reconciliation_base!U2:U4001=1)*(reconciliation_base!Z2:Z4001))</f>
        <v>0</v>
      </c>
      <c r="G15">
        <v>12</v>
      </c>
    </row>
    <row r="16" spans="1:13">
      <c r="A16" t="s">
        <v>9388</v>
      </c>
      <c r="B16" cm="1">
        <f t="array" ref="B16">SUMPRODUCT((reconciliation_base!AC2:AC4001="2023-02")*(reconciliation_base!U2:U4001=1))</f>
        <v>13</v>
      </c>
      <c r="C16">
        <f>COUNTIF(reconciliation_base!AC:AC,"2023-02")</f>
        <v>168</v>
      </c>
      <c r="D16" s="7">
        <f>IF(C16&gt;0,B16/C16,0)</f>
        <v>7.7380952380952384E-2</v>
      </c>
      <c r="E16" s="10" cm="1">
        <f t="array" ref="E16">SUMPRODUCT((reconciliation_base!AC2:AC4001="2023-02")*(reconciliation_base!U2:U4001=1)*(reconciliation_base!Z2:Z4001))</f>
        <v>0</v>
      </c>
      <c r="G16">
        <v>13</v>
      </c>
    </row>
    <row r="17" spans="1:13">
      <c r="A17" t="s">
        <v>9389</v>
      </c>
      <c r="B17" cm="1">
        <f t="array" ref="B17">SUMPRODUCT((reconciliation_base!AC2:AC4001="2023-03")*(reconciliation_base!U2:U4001=1))</f>
        <v>15</v>
      </c>
      <c r="C17">
        <f>COUNTIF(reconciliation_base!AC:AC,"2023-03")</f>
        <v>183</v>
      </c>
      <c r="D17" s="7">
        <f>IF(C17&gt;0,B17/C17,0)</f>
        <v>8.1967213114754092E-2</v>
      </c>
      <c r="E17" s="10" cm="1">
        <f t="array" ref="E17">SUMPRODUCT((reconciliation_base!AC2:AC4001="2023-03")*(reconciliation_base!U2:U4001=1)*(reconciliation_base!Z2:Z4001))</f>
        <v>168.01949546132164</v>
      </c>
      <c r="G17">
        <v>14</v>
      </c>
    </row>
    <row r="18" spans="1:13">
      <c r="A18" t="s">
        <v>9390</v>
      </c>
      <c r="B18" cm="1">
        <f t="array" ref="B18">SUMPRODUCT((reconciliation_base!AC2:AC4001="2023-04")*(reconciliation_base!U2:U4001=1))</f>
        <v>18</v>
      </c>
      <c r="C18">
        <f>COUNTIF(reconciliation_base!AC:AC,"2023-04")</f>
        <v>163</v>
      </c>
      <c r="D18" s="7">
        <f>IF(C18&gt;0,B18/C18,0)</f>
        <v>0.11042944785276074</v>
      </c>
      <c r="E18" s="10" cm="1">
        <f t="array" ref="E18">SUMPRODUCT((reconciliation_base!AC2:AC4001="2023-04")*(reconciliation_base!U2:U4001=1)*(reconciliation_base!Z2:Z4001))</f>
        <v>1.1371284833458049</v>
      </c>
      <c r="G18">
        <v>15</v>
      </c>
    </row>
    <row r="19" spans="1:13">
      <c r="A19" t="s">
        <v>9391</v>
      </c>
      <c r="B19" cm="1">
        <f t="array" ref="B19">SUMPRODUCT((reconciliation_base!AC2:AC4001="2023-05")*(reconciliation_base!U2:U4001=1))</f>
        <v>16</v>
      </c>
      <c r="C19">
        <f>COUNTIF(reconciliation_base!AC:AC,"2023-05")</f>
        <v>152</v>
      </c>
      <c r="D19" s="7">
        <f>IF(C19&gt;0,B19/C19,0)</f>
        <v>0.10526315789473684</v>
      </c>
      <c r="E19" s="10" cm="1">
        <f t="array" ref="E19">SUMPRODUCT((reconciliation_base!AC2:AC4001="2023-05")*(reconciliation_base!U2:U4001=1)*(reconciliation_base!Z2:Z4001))</f>
        <v>276.10380000000032</v>
      </c>
    </row>
    <row r="20" spans="1:13">
      <c r="A20" t="s">
        <v>9392</v>
      </c>
      <c r="B20" cm="1">
        <f t="array" ref="B20">SUMPRODUCT((reconciliation_base!AC2:AC4001="2023-06")*(reconciliation_base!U2:U4001=1))</f>
        <v>10</v>
      </c>
      <c r="C20">
        <f>COUNTIF(reconciliation_base!AC:AC,"2023-06")</f>
        <v>160</v>
      </c>
      <c r="D20" s="7">
        <f>IF(C20&gt;0,B20/C20,0)</f>
        <v>6.25E-2</v>
      </c>
      <c r="E20" s="10" cm="1">
        <f t="array" ref="E20">SUMPRODUCT((reconciliation_base!AC2:AC4001="2023-06")*(reconciliation_base!U2:U4001=1)*(reconciliation_base!Z2:Z4001))</f>
        <v>5992.163999999997</v>
      </c>
    </row>
    <row r="21" spans="1:13" ht="15.75">
      <c r="A21" t="s">
        <v>9393</v>
      </c>
      <c r="B21" cm="1">
        <f t="array" ref="B21">SUMPRODUCT((reconciliation_base!AC2:AC4001="2023-07")*(reconciliation_base!U2:U4001=1))</f>
        <v>15</v>
      </c>
      <c r="C21">
        <f>COUNTIF(reconciliation_base!AC:AC,"2023-07")</f>
        <v>159</v>
      </c>
      <c r="D21" s="7">
        <f>IF(C21&gt;0,B21/C21,0)</f>
        <v>9.4339622641509441E-2</v>
      </c>
      <c r="E21" s="10" cm="1">
        <f t="array" ref="E21">SUMPRODUCT((reconciliation_base!AC2:AC4001="2023-07")*(reconciliation_base!U2:U4001=1)*(reconciliation_base!Z2:Z4001))</f>
        <v>6574.7627820060916</v>
      </c>
      <c r="G21" s="13" t="s">
        <v>9394</v>
      </c>
    </row>
    <row r="22" spans="1:13">
      <c r="A22" t="s">
        <v>9395</v>
      </c>
      <c r="B22" cm="1">
        <f t="array" ref="B22">SUMPRODUCT((reconciliation_base!AC2:AC4001="2023-08")*(reconciliation_base!U2:U4001=1))</f>
        <v>11</v>
      </c>
      <c r="C22">
        <f>COUNTIF(reconciliation_base!AC:AC,"2023-08")</f>
        <v>175</v>
      </c>
      <c r="D22" s="7">
        <f>IF(C22&gt;0,B22/C22,0)</f>
        <v>6.2857142857142861E-2</v>
      </c>
      <c r="E22" s="10" cm="1">
        <f t="array" ref="E22">SUMPRODUCT((reconciliation_base!AC2:AC4001="2023-08")*(reconciliation_base!U2:U4001=1)*(reconciliation_base!Z2:Z4001))</f>
        <v>0</v>
      </c>
    </row>
    <row r="23" spans="1:13">
      <c r="A23" t="s">
        <v>9396</v>
      </c>
      <c r="B23" cm="1">
        <f t="array" ref="B23">SUMPRODUCT((reconciliation_base!AC2:AC4001="2023-09")*(reconciliation_base!U2:U4001=1))</f>
        <v>9</v>
      </c>
      <c r="C23">
        <f>COUNTIF(reconciliation_base!AC:AC,"2023-09")</f>
        <v>164</v>
      </c>
      <c r="D23" s="7">
        <f>IF(C23&gt;0,B23/C23,0)</f>
        <v>5.4878048780487805E-2</v>
      </c>
      <c r="E23" s="10" cm="1">
        <f t="array" ref="E23">SUMPRODUCT((reconciliation_base!AC2:AC4001="2023-09")*(reconciliation_base!U2:U4001=1)*(reconciliation_base!Z2:Z4001))</f>
        <v>0</v>
      </c>
      <c r="G23" s="3" t="s">
        <v>9290</v>
      </c>
      <c r="H23" s="3" t="s">
        <v>106</v>
      </c>
      <c r="I23" s="3" t="s">
        <v>9375</v>
      </c>
      <c r="J23" s="3" t="s">
        <v>9230</v>
      </c>
      <c r="K23" s="3" t="s">
        <v>9376</v>
      </c>
      <c r="L23" s="3" t="s">
        <v>8</v>
      </c>
      <c r="M23" s="3" t="s">
        <v>61</v>
      </c>
    </row>
    <row r="24" spans="1:13">
      <c r="A24" t="s">
        <v>9397</v>
      </c>
      <c r="B24" cm="1">
        <f t="array" ref="B24">SUMPRODUCT((reconciliation_base!AC2:AC4001="2023-10")*(reconciliation_base!U2:U4001=1))</f>
        <v>10</v>
      </c>
      <c r="C24">
        <f>COUNTIF(reconciliation_base!AC:AC,"2023-10")</f>
        <v>176</v>
      </c>
      <c r="D24" s="7">
        <f>IF(C24&gt;0,B24/C24,0)</f>
        <v>5.6818181818181816E-2</v>
      </c>
      <c r="E24" s="10" cm="1">
        <f t="array" ref="E24">SUMPRODUCT((reconciliation_base!AC2:AC4001="2023-10")*(reconciliation_base!U2:U4001=1)*(reconciliation_base!Z2:Z4001))</f>
        <v>0</v>
      </c>
      <c r="G24">
        <v>1</v>
      </c>
    </row>
    <row r="25" spans="1:13">
      <c r="A25" t="s">
        <v>9398</v>
      </c>
      <c r="B25" cm="1">
        <f t="array" ref="B25">SUMPRODUCT((reconciliation_base!AC2:AC4001="2023-11")*(reconciliation_base!U2:U4001=1))</f>
        <v>5</v>
      </c>
      <c r="C25">
        <f>COUNTIF(reconciliation_base!AC:AC,"2023-11")</f>
        <v>168</v>
      </c>
      <c r="D25" s="7">
        <f>IF(C25&gt;0,B25/C25,0)</f>
        <v>2.976190476190476E-2</v>
      </c>
      <c r="E25" s="10" cm="1">
        <f t="array" ref="E25">SUMPRODUCT((reconciliation_base!AC2:AC4001="2023-11")*(reconciliation_base!U2:U4001=1)*(reconciliation_base!Z2:Z4001))</f>
        <v>0</v>
      </c>
      <c r="G25">
        <v>2</v>
      </c>
    </row>
    <row r="26" spans="1:13">
      <c r="A26" t="s">
        <v>9399</v>
      </c>
      <c r="B26" cm="1">
        <f t="array" ref="B26">SUMPRODUCT((reconciliation_base!AC2:AC4001="2023-12")*(reconciliation_base!U2:U4001=1))</f>
        <v>11</v>
      </c>
      <c r="C26">
        <f>COUNTIF(reconciliation_base!AC:AC,"2023-12")</f>
        <v>172</v>
      </c>
      <c r="D26" s="7">
        <f>IF(C26&gt;0,B26/C26,0)</f>
        <v>6.3953488372093026E-2</v>
      </c>
      <c r="E26" s="10" cm="1">
        <f t="array" ref="E26">SUMPRODUCT((reconciliation_base!AC2:AC4001="2023-12")*(reconciliation_base!U2:U4001=1)*(reconciliation_base!Z2:Z4001))</f>
        <v>0</v>
      </c>
      <c r="G26">
        <v>3</v>
      </c>
    </row>
    <row r="27" spans="1:13">
      <c r="A27" t="s">
        <v>9400</v>
      </c>
      <c r="B27" cm="1">
        <f t="array" ref="B27">SUMPRODUCT((reconciliation_base!AC2:AC4001="2024-01")*(reconciliation_base!U2:U4001=1))</f>
        <v>7</v>
      </c>
      <c r="C27">
        <f>COUNTIF(reconciliation_base!AC:AC,"2024-01")</f>
        <v>169</v>
      </c>
      <c r="D27" s="7">
        <f>IF(C27&gt;0,B27/C27,0)</f>
        <v>4.142011834319527E-2</v>
      </c>
      <c r="E27" s="10" cm="1">
        <f t="array" ref="E27">SUMPRODUCT((reconciliation_base!AC2:AC4001="2024-01")*(reconciliation_base!U2:U4001=1)*(reconciliation_base!Z2:Z4001))</f>
        <v>24.440613658283837</v>
      </c>
      <c r="G27">
        <v>4</v>
      </c>
    </row>
    <row r="28" spans="1:13">
      <c r="A28" t="s">
        <v>9401</v>
      </c>
      <c r="B28" cm="1">
        <f t="array" ref="B28">SUMPRODUCT((reconciliation_base!AC2:AC4001="2024-02")*(reconciliation_base!U2:U4001=1))</f>
        <v>10</v>
      </c>
      <c r="C28">
        <f>COUNTIF(reconciliation_base!AC:AC,"2024-02")</f>
        <v>179</v>
      </c>
      <c r="D28" s="7">
        <f>IF(C28&gt;0,B28/C28,0)</f>
        <v>5.5865921787709494E-2</v>
      </c>
      <c r="E28" s="10" cm="1">
        <f t="array" ref="E28">SUMPRODUCT((reconciliation_base!AC2:AC4001="2024-02")*(reconciliation_base!U2:U4001=1)*(reconciliation_base!Z2:Z4001))</f>
        <v>0</v>
      </c>
      <c r="G28">
        <v>5</v>
      </c>
    </row>
    <row r="29" spans="1:13">
      <c r="A29" t="s">
        <v>9402</v>
      </c>
      <c r="B29" cm="1">
        <f t="array" ref="B29">SUMPRODUCT((reconciliation_base!AC2:AC4001="2024-03")*(reconciliation_base!U2:U4001=1))</f>
        <v>6</v>
      </c>
      <c r="C29">
        <f>COUNTIF(reconciliation_base!AC:AC,"2024-03")</f>
        <v>188</v>
      </c>
      <c r="D29" s="7">
        <f>IF(C29&gt;0,B29/C29,0)</f>
        <v>3.1914893617021274E-2</v>
      </c>
      <c r="E29" s="10" cm="1">
        <f t="array" ref="E29">SUMPRODUCT((reconciliation_base!AC2:AC4001="2024-03")*(reconciliation_base!U2:U4001=1)*(reconciliation_base!Z2:Z4001))</f>
        <v>3979.4255999999987</v>
      </c>
      <c r="G29">
        <v>6</v>
      </c>
    </row>
    <row r="30" spans="1:13">
      <c r="A30" t="s">
        <v>9403</v>
      </c>
      <c r="B30" cm="1">
        <f t="array" ref="B30">SUMPRODUCT((reconciliation_base!AC2:AC4001="2024-04")*(reconciliation_base!U2:U4001=1))</f>
        <v>6</v>
      </c>
      <c r="C30">
        <f>COUNTIF(reconciliation_base!AC:AC,"2024-04")</f>
        <v>181</v>
      </c>
      <c r="D30" s="7">
        <f>IF(C30&gt;0,B30/C30,0)</f>
        <v>3.3149171270718231E-2</v>
      </c>
      <c r="E30" s="10" cm="1">
        <f t="array" ref="E30">SUMPRODUCT((reconciliation_base!AC2:AC4001="2024-04")*(reconciliation_base!U2:U4001=1)*(reconciliation_base!Z2:Z4001))</f>
        <v>11441.684000000001</v>
      </c>
      <c r="G30">
        <v>7</v>
      </c>
    </row>
    <row r="31" spans="1:13">
      <c r="A31" t="s">
        <v>9404</v>
      </c>
      <c r="B31" cm="1">
        <f t="array" ref="B31">SUMPRODUCT((reconciliation_base!AC2:AC4001="2024-05")*(reconciliation_base!U2:U4001=1))</f>
        <v>6</v>
      </c>
      <c r="C31">
        <f>COUNTIF(reconciliation_base!AC:AC,"2024-05")</f>
        <v>179</v>
      </c>
      <c r="D31" s="7">
        <f>IF(C31&gt;0,B31/C31,0)</f>
        <v>3.3519553072625698E-2</v>
      </c>
      <c r="E31" s="10" cm="1">
        <f t="array" ref="E31">SUMPRODUCT((reconciliation_base!AC2:AC4001="2024-05")*(reconciliation_base!U2:U4001=1)*(reconciliation_base!Z2:Z4001))</f>
        <v>0</v>
      </c>
      <c r="G31">
        <v>8</v>
      </c>
    </row>
    <row r="32" spans="1:13">
      <c r="A32" t="s">
        <v>9405</v>
      </c>
      <c r="B32" cm="1">
        <f t="array" ref="B32">SUMPRODUCT((reconciliation_base!AC2:AC4001="2024-06")*(reconciliation_base!U2:U4001=1))</f>
        <v>2</v>
      </c>
      <c r="C32">
        <f>COUNTIF(reconciliation_base!AC:AC,"2024-06")</f>
        <v>160</v>
      </c>
      <c r="D32" s="7">
        <f>IF(C32&gt;0,B32/C32,0)</f>
        <v>1.2500000000000001E-2</v>
      </c>
      <c r="E32" s="10" cm="1">
        <f t="array" ref="E32">SUMPRODUCT((reconciliation_base!AC2:AC4001="2024-06")*(reconciliation_base!U2:U4001=1)*(reconciliation_base!Z2:Z4001))</f>
        <v>0</v>
      </c>
      <c r="G32">
        <v>9</v>
      </c>
    </row>
    <row r="33" spans="1:10">
      <c r="A33" t="s">
        <v>9406</v>
      </c>
      <c r="B33" cm="1">
        <f t="array" ref="B33">SUMPRODUCT((reconciliation_base!AC2:AC4001="2024-07")*(reconciliation_base!U2:U4001=1))</f>
        <v>1</v>
      </c>
      <c r="C33">
        <f>COUNTIF(reconciliation_base!AC:AC,"2024-07")</f>
        <v>168</v>
      </c>
      <c r="D33" s="7">
        <f>IF(C33&gt;0,B33/C33,0)</f>
        <v>5.9523809523809521E-3</v>
      </c>
      <c r="E33" s="10" cm="1">
        <f t="array" ref="E33">SUMPRODUCT((reconciliation_base!AC2:AC4001="2024-07")*(reconciliation_base!U2:U4001=1)*(reconciliation_base!Z2:Z4001))</f>
        <v>0</v>
      </c>
      <c r="G33">
        <v>10</v>
      </c>
    </row>
    <row r="34" spans="1:10">
      <c r="A34" t="s">
        <v>9407</v>
      </c>
      <c r="B34" cm="1">
        <f t="array" ref="B34">SUMPRODUCT((reconciliation_base!AC2:AC4001="2024-08")*(reconciliation_base!U2:U4001=1))</f>
        <v>1</v>
      </c>
      <c r="C34">
        <f>COUNTIF(reconciliation_base!AC:AC,"2024-08")</f>
        <v>163</v>
      </c>
      <c r="D34" s="7">
        <f>IF(C34&gt;0,B34/C34,0)</f>
        <v>6.1349693251533744E-3</v>
      </c>
      <c r="E34" s="10" cm="1">
        <f t="array" ref="E34">SUMPRODUCT((reconciliation_base!AC2:AC4001="2024-08")*(reconciliation_base!U2:U4001=1)*(reconciliation_base!Z2:Z4001))</f>
        <v>0</v>
      </c>
      <c r="G34">
        <v>11</v>
      </c>
    </row>
    <row r="35" spans="1:10">
      <c r="A35" t="s">
        <v>9408</v>
      </c>
      <c r="B35" cm="1">
        <f t="array" ref="B35">SUMPRODUCT((reconciliation_base!AC2:AC4001="2024-09")*(reconciliation_base!U2:U4001=1))</f>
        <v>2</v>
      </c>
      <c r="C35">
        <f>COUNTIF(reconciliation_base!AC:AC,"2024-09")</f>
        <v>135</v>
      </c>
      <c r="D35" s="7">
        <f>IF(C35&gt;0,B35/C35,0)</f>
        <v>1.4814814814814815E-2</v>
      </c>
      <c r="E35" s="10" cm="1">
        <f t="array" ref="E35">SUMPRODUCT((reconciliation_base!AC2:AC4001="2024-09")*(reconciliation_base!U2:U4001=1)*(reconciliation_base!Z2:Z4001))</f>
        <v>0</v>
      </c>
      <c r="G35">
        <v>12</v>
      </c>
    </row>
    <row r="36" spans="1:10">
      <c r="A36" t="s">
        <v>9409</v>
      </c>
      <c r="B36" cm="1">
        <f t="array" ref="B36">SUMPRODUCT((reconciliation_base!AC2:AC4001="2024-10")*(reconciliation_base!U2:U4001=1))</f>
        <v>2</v>
      </c>
      <c r="C36">
        <f>COUNTIF(reconciliation_base!AC:AC,"2024-10")</f>
        <v>170</v>
      </c>
      <c r="D36" s="7">
        <f>IF(C36&gt;0,B36/C36,0)</f>
        <v>1.1764705882352941E-2</v>
      </c>
      <c r="E36" s="10" cm="1">
        <f t="array" ref="E36">SUMPRODUCT((reconciliation_base!AC2:AC4001="2024-10")*(reconciliation_base!U2:U4001=1)*(reconciliation_base!Z2:Z4001))</f>
        <v>0</v>
      </c>
      <c r="G36">
        <v>13</v>
      </c>
    </row>
    <row r="37" spans="1:10">
      <c r="A37" t="s">
        <v>9410</v>
      </c>
      <c r="B37" cm="1">
        <f t="array" ref="B37">SUMPRODUCT((reconciliation_base!AC2:AC4001="2024-11")*(reconciliation_base!U2:U4001=1))</f>
        <v>0</v>
      </c>
      <c r="C37">
        <f>COUNTIF(reconciliation_base!AC:AC,"2024-11")</f>
        <v>154</v>
      </c>
      <c r="D37" s="7">
        <f>IF(C37&gt;0,B37/C37,0)</f>
        <v>0</v>
      </c>
      <c r="E37" s="10" cm="1">
        <f t="array" ref="E37">SUMPRODUCT((reconciliation_base!AC2:AC4001="2024-11")*(reconciliation_base!U2:U4001=1)*(reconciliation_base!Z2:Z4001))</f>
        <v>0</v>
      </c>
      <c r="G37">
        <v>14</v>
      </c>
    </row>
    <row r="38" spans="1:10">
      <c r="A38" t="s">
        <v>9411</v>
      </c>
      <c r="B38" cm="1">
        <f t="array" ref="B38">SUMPRODUCT((reconciliation_base!AC2:AC4001="2024-12")*(reconciliation_base!U2:U4001=1))</f>
        <v>0</v>
      </c>
      <c r="C38">
        <f>COUNTIF(reconciliation_base!AC:AC,"2024-12")</f>
        <v>151</v>
      </c>
      <c r="D38" s="7">
        <f>IF(C38&gt;0,B38/C38,0)</f>
        <v>0</v>
      </c>
      <c r="E38" s="10" cm="1">
        <f t="array" ref="E38">SUMPRODUCT((reconciliation_base!AC2:AC4001="2024-12")*(reconciliation_base!U2:U4001=1)*(reconciliation_base!Z2:Z4001))</f>
        <v>0</v>
      </c>
      <c r="G38">
        <v>15</v>
      </c>
    </row>
    <row r="40" spans="1:10">
      <c r="A40" s="3" t="s">
        <v>9412</v>
      </c>
      <c r="B40" s="3">
        <f>SUM(B15:B38)</f>
        <v>191</v>
      </c>
      <c r="C40" s="3">
        <f>SUM(C15:C38)</f>
        <v>4000</v>
      </c>
      <c r="D40" s="21">
        <f>B40/C40</f>
        <v>4.7750000000000001E-2</v>
      </c>
      <c r="E40" s="20">
        <f>SUM(E15:E38)</f>
        <v>28457.737419609039</v>
      </c>
    </row>
    <row r="41" spans="1:10" ht="15.75">
      <c r="G41" s="13" t="s">
        <v>9413</v>
      </c>
    </row>
    <row r="43" spans="1:10" ht="15.75">
      <c r="A43" s="13" t="s">
        <v>9414</v>
      </c>
      <c r="G43" s="3" t="s">
        <v>9415</v>
      </c>
      <c r="H43" s="3" t="s">
        <v>9271</v>
      </c>
      <c r="I43" s="3" t="s">
        <v>9416</v>
      </c>
      <c r="J43" s="3" t="s">
        <v>61</v>
      </c>
    </row>
    <row r="44" spans="1:10">
      <c r="G44" t="s">
        <v>9417</v>
      </c>
      <c r="H44" cm="1">
        <f t="array" ref="H44">SUMPRODUCT((reconciliation_base!U2:U4001=1)*(reconciliation_base!Q2:Q4001=0)*(reconciliation_base!R2:R4001=0)*(reconciliation_base!S2:S4001=0)*(reconciliation_base!T2:T4001=0)*(reconciliation_base!V2:V4001=0))</f>
        <v>173</v>
      </c>
      <c r="I44" s="7">
        <f>H44/SUMIF(reconciliation_base!U:U,1)</f>
        <v>0.90575916230366493</v>
      </c>
      <c r="J44" s="10" cm="1">
        <f t="array" ref="J44">SUMPRODUCT((reconciliation_base!U2:U4001=1)*(reconciliation_base!Q2:Q4001=0)*(reconciliation_base!R2:R4001=0)*(reconciliation_base!S2:S4001=0)*(reconciliation_base!T2:T4001=0)*(reconciliation_base!V2:V4001=0)*(reconciliation_base!Z2:Z4001))/H44</f>
        <v>0</v>
      </c>
    </row>
    <row r="45" spans="1:10">
      <c r="A45" s="3" t="s">
        <v>9418</v>
      </c>
      <c r="G45" t="s">
        <v>9419</v>
      </c>
      <c r="H45" cm="1">
        <f t="array" ref="H45">SUMPRODUCT((reconciliation_base!U2:U4001=1)*(reconciliation_base!Q2:Q4001=1))</f>
        <v>7</v>
      </c>
      <c r="I45" s="7">
        <f>H45/SUMIF(reconciliation_base!U:U,1)</f>
        <v>3.6649214659685861E-2</v>
      </c>
      <c r="J45" s="10" cm="1">
        <f t="array" ref="J45">SUMPRODUCT((reconciliation_base!U2:U4001=1)*(reconciliation_base!Q2:Q4001=1)*(reconciliation_base!Z2:Z4001))/IF(H45&gt;0,H45,1)</f>
        <v>4037.7343117151554</v>
      </c>
    </row>
    <row r="46" spans="1:10">
      <c r="A46" t="s">
        <v>9420</v>
      </c>
      <c r="B46">
        <f>MAX(B15:B38)</f>
        <v>18</v>
      </c>
      <c r="G46" t="s">
        <v>9421</v>
      </c>
      <c r="H46" cm="1">
        <f t="array" ref="H46">SUMPRODUCT((reconciliation_base!U2:U4001=1)*(reconciliation_base!R2:R4001=1))</f>
        <v>5</v>
      </c>
      <c r="I46" s="7">
        <f>H46/SUMIF(reconciliation_base!U:U,1)</f>
        <v>2.6178010471204188E-2</v>
      </c>
      <c r="J46" s="10" cm="1">
        <f t="array" ref="J46">SUMPRODUCT((reconciliation_base!U2:U4001=1)*(reconciliation_base!R2:R4001=1)*(reconciliation_base!Z2:Z4001))/IF(H46&gt;0,H46,1)</f>
        <v>536.20256392180852</v>
      </c>
    </row>
    <row r="47" spans="1:10">
      <c r="A47" t="s">
        <v>9422</v>
      </c>
      <c r="B47">
        <f>MIN(B15:B38)</f>
        <v>0</v>
      </c>
      <c r="G47" t="s">
        <v>9423</v>
      </c>
      <c r="H47" cm="1">
        <f t="array" ref="H47">SUMPRODUCT((reconciliation_base!U2:U4001=1)*(reconciliation_base!V2:V4001=1))</f>
        <v>8</v>
      </c>
      <c r="I47" s="7">
        <f>H47/SUMIF(reconciliation_base!U:U,1)</f>
        <v>4.1884816753926704E-2</v>
      </c>
      <c r="J47" s="10" cm="1">
        <f t="array" ref="J47">SUMPRODUCT((reconciliation_base!U2:U4001=1)*(reconciliation_base!V2:V4001=1)*(reconciliation_base!Z2:Z4001))/IF(H47&gt;0,H47,1)</f>
        <v>497.42819999999983</v>
      </c>
    </row>
    <row r="48" spans="1:10">
      <c r="A48" t="s">
        <v>9424</v>
      </c>
      <c r="B48">
        <f>AVERAGE(B15:B38)</f>
        <v>7.958333333333333</v>
      </c>
      <c r="G48" t="s">
        <v>9425</v>
      </c>
      <c r="H48" cm="1">
        <f t="array" ref="H48">SUMPRODUCT((reconciliation_base!U2:U4001=1)*(reconciliation_base!T2:T4001=1))</f>
        <v>0</v>
      </c>
      <c r="I48" s="7">
        <f>H48/SUMIF(reconciliation_base!U:U,1)</f>
        <v>0</v>
      </c>
      <c r="J48" s="10" cm="1">
        <f t="array" ref="J48">SUMPRODUCT((reconciliation_base!U2:U4001=1)*(reconciliation_base!T2:T4001=1)*(reconciliation_base!Z2:Z4001))/IF(H48&gt;0,H48,1)</f>
        <v>0</v>
      </c>
    </row>
    <row r="49" spans="1:10">
      <c r="A49" t="s">
        <v>9426</v>
      </c>
      <c r="B49" t="str">
        <f>INDEX(A15:A38,MATCH(MAX(B15:B38),B15:B38,0))</f>
        <v>2023-04</v>
      </c>
    </row>
    <row r="50" spans="1:10">
      <c r="A50" t="s">
        <v>9427</v>
      </c>
      <c r="B50" t="str">
        <f>INDEX(A15:A38,MATCH(MIN(B15:B38),B15:B38,0))</f>
        <v>2024-11</v>
      </c>
    </row>
    <row r="51" spans="1:10">
      <c r="G51" s="3" t="s">
        <v>9428</v>
      </c>
    </row>
    <row r="52" spans="1:10">
      <c r="A52" t="s">
        <v>9429</v>
      </c>
      <c r="B52" cm="1">
        <f t="array" ref="B52">SUMPRODUCT((reconciliation_base!U2:U4001=1)*(LEFT(reconciliation_base!AC2:AC4001,4)="2023"))</f>
        <v>148</v>
      </c>
      <c r="G52" s="3" t="s">
        <v>59</v>
      </c>
      <c r="H52" s="3" t="s">
        <v>9375</v>
      </c>
      <c r="I52" s="3" t="s">
        <v>9430</v>
      </c>
      <c r="J52" s="3" t="s">
        <v>8</v>
      </c>
    </row>
    <row r="53" spans="1:10">
      <c r="A53" t="s">
        <v>9431</v>
      </c>
      <c r="B53" cm="1">
        <f t="array" ref="B53">SUMPRODUCT((reconciliation_base!U2:U4001=1)*(LEFT(reconciliation_base!AC2:AC4001,4)="2024"))</f>
        <v>43</v>
      </c>
      <c r="G53" t="s">
        <v>65</v>
      </c>
      <c r="H53" cm="1">
        <f t="array" ref="H53">SUMPRODUCT((reconciliation_base!U2:U4001=1)*(reconciliation_base!AB2:AB4001="HIGH"))</f>
        <v>10</v>
      </c>
      <c r="I53" s="7">
        <f>H53/COUNTIF(reconciliation_base!AB:AB,"HIGH")</f>
        <v>5.5248618784530384E-2</v>
      </c>
      <c r="J53" s="10" cm="1">
        <f t="array" ref="J53">SUMPRODUCT((reconciliation_base!U2:U4001=1)*(reconciliation_base!AB2:AB4001="HIGH")*(reconciliation_base!Z2:Z4001))</f>
        <v>28843.630419609039</v>
      </c>
    </row>
    <row r="54" spans="1:10">
      <c r="A54" t="s">
        <v>9432</v>
      </c>
      <c r="B54" s="7">
        <f>IF(B52&gt;0,(B53-B52)/B52,"N/A")</f>
        <v>-0.70945945945945943</v>
      </c>
      <c r="G54" t="s">
        <v>67</v>
      </c>
      <c r="H54" cm="1">
        <f t="array" ref="H54">SUMPRODUCT((reconciliation_base!U2:U4001=1)*(reconciliation_base!AB2:AB4001="MEDIUM"))</f>
        <v>181</v>
      </c>
      <c r="I54" s="7">
        <f>H54/COUNTIF(reconciliation_base!AB:AB,"MEDIUM")</f>
        <v>0.56211180124223603</v>
      </c>
      <c r="J54" s="10" cm="1">
        <f t="array" ref="J54">SUMPRODUCT((reconciliation_base!U2:U4001=1)*(reconciliation_base!AB2:AB4001="MEDIUM")*(reconciliation_base!Z2:Z4001))</f>
        <v>-385.89300000000003</v>
      </c>
    </row>
    <row r="55" spans="1:10">
      <c r="G55" t="s">
        <v>70</v>
      </c>
      <c r="H55" cm="1">
        <f t="array" ref="H55">SUMPRODUCT((reconciliation_base!U2:U4001=1)*(reconciliation_base!AB2:AB4001="LOW"))</f>
        <v>0</v>
      </c>
      <c r="I55" s="7">
        <f>H55/COUNTIF(reconciliation_base!AB:AB,"LOW")</f>
        <v>0</v>
      </c>
      <c r="J55" s="10" cm="1">
        <f t="array" ref="J55">SUMPRODUCT((reconciliation_base!U2:U4001=1)*(reconciliation_base!AB2:AB4001="LOW")*(reconciliation_base!Z2:Z4001))</f>
        <v>0</v>
      </c>
    </row>
    <row r="56" spans="1:10">
      <c r="A56" s="3" t="s">
        <v>9433</v>
      </c>
    </row>
    <row r="57" spans="1:10">
      <c r="A57" t="s">
        <v>9434</v>
      </c>
      <c r="B57" cm="1">
        <f t="array" ref="B57">SUMPRODUCT((reconciliation_base!U2:U4001=1)*(reconciliation_base!Z2:Z4001&gt;0))</f>
        <v>10</v>
      </c>
    </row>
    <row r="58" spans="1:10">
      <c r="A58" t="s">
        <v>9435</v>
      </c>
      <c r="B58" cm="1">
        <f t="array" ref="B58">SUMPRODUCT((reconciliation_base!U2:U4001=1)*(reconciliation_base!Z2:Z4001&lt;0))</f>
        <v>1</v>
      </c>
    </row>
    <row r="59" spans="1:10">
      <c r="A59" t="s">
        <v>9436</v>
      </c>
      <c r="B59" cm="1">
        <f t="array" ref="B59">SUMPRODUCT((reconciliation_base!U2:U4001=1)*(reconciliation_base!Z2:Z4001=0))</f>
        <v>180</v>
      </c>
    </row>
    <row r="60" spans="1:10">
      <c r="A60" t="s">
        <v>9437</v>
      </c>
      <c r="B60" s="7">
        <f>(B57+B58)/SUMIF(reconciliation_base!U:U,1)</f>
        <v>5.7591623036649213E-2</v>
      </c>
    </row>
    <row r="62" spans="1:10" ht="15.75">
      <c r="A62" s="13" t="s">
        <v>9438</v>
      </c>
    </row>
    <row r="63" spans="1:10">
      <c r="A63" s="3" t="s">
        <v>3</v>
      </c>
      <c r="B63" s="3" t="s">
        <v>4</v>
      </c>
    </row>
    <row r="64" spans="1:10">
      <c r="A64" t="s">
        <v>9439</v>
      </c>
      <c r="B64">
        <f>COUNTA(reconciliation_base!J2:J4001)</f>
        <v>380</v>
      </c>
    </row>
    <row r="65" spans="1:2">
      <c r="A65" t="s">
        <v>9440</v>
      </c>
      <c r="B65">
        <f>SUMIF(reconciliation_base!U:U,1)</f>
        <v>191</v>
      </c>
    </row>
    <row r="66" spans="1:2">
      <c r="A66" t="s">
        <v>9441</v>
      </c>
      <c r="B66" s="7">
        <f>B65/B64</f>
        <v>0.50263157894736843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72E6-8723-442E-92C7-8DD3568D49F5}">
  <dimension ref="A1:I96"/>
  <sheetViews>
    <sheetView workbookViewId="0"/>
  </sheetViews>
  <sheetFormatPr defaultRowHeight="15"/>
  <cols>
    <col min="1" max="1" width="69" bestFit="1" customWidth="1"/>
    <col min="2" max="2" width="13.7109375" bestFit="1" customWidth="1"/>
    <col min="3" max="3" width="25.5703125" bestFit="1" customWidth="1"/>
    <col min="4" max="4" width="21.7109375" bestFit="1" customWidth="1"/>
    <col min="5" max="5" width="22.140625" bestFit="1" customWidth="1"/>
    <col min="6" max="6" width="18" bestFit="1" customWidth="1"/>
    <col min="7" max="7" width="16.140625" bestFit="1" customWidth="1"/>
    <col min="8" max="8" width="17" bestFit="1" customWidth="1"/>
    <col min="9" max="9" width="11.85546875" bestFit="1" customWidth="1"/>
  </cols>
  <sheetData>
    <row r="1" spans="1:9" ht="18.75">
      <c r="A1" s="4" t="s">
        <v>9442</v>
      </c>
    </row>
    <row r="3" spans="1:9">
      <c r="A3" s="3" t="s">
        <v>9443</v>
      </c>
    </row>
    <row r="4" spans="1:9">
      <c r="A4" s="5" t="s">
        <v>54</v>
      </c>
      <c r="B4" s="5" t="s">
        <v>33</v>
      </c>
      <c r="C4" s="5" t="s">
        <v>9444</v>
      </c>
      <c r="D4" s="5" t="s">
        <v>9445</v>
      </c>
      <c r="E4" s="5" t="s">
        <v>8</v>
      </c>
      <c r="F4" s="5" t="s">
        <v>61</v>
      </c>
      <c r="G4" s="5" t="s">
        <v>9446</v>
      </c>
      <c r="H4" s="5" t="s">
        <v>9447</v>
      </c>
      <c r="I4" s="5" t="s">
        <v>44</v>
      </c>
    </row>
    <row r="5" spans="1:9">
      <c r="A5" t="s">
        <v>9387</v>
      </c>
      <c r="B5" s="14">
        <f>COUNTIF(reconciliation_base!AC:AC,"2023-01")</f>
        <v>163</v>
      </c>
      <c r="C5" s="14">
        <f>COUNTIFS(reconciliation_base!AC:AC,"2023-01",reconciliation_base!Z:Z,"&lt;&gt;0")</f>
        <v>13</v>
      </c>
      <c r="D5" s="7">
        <f>IF(B5&gt;0,C5/B5,0)</f>
        <v>7.9754601226993863E-2</v>
      </c>
      <c r="E5" s="10">
        <f>SUMIF(reconciliation_base!AC:AC,"2023-01",reconciliation_base!Z:Z)</f>
        <v>19943.954389508715</v>
      </c>
      <c r="F5" s="10">
        <f>IF(B5&gt;0,E5/B5,0)</f>
        <v>122.35554840189396</v>
      </c>
      <c r="G5" s="10">
        <f>SUMIFS(reconciliation_base!Z:Z,reconciliation_base!AC:AC,"2023-01",reconciliation_base!Z:Z,"&gt;0")</f>
        <v>24417.829989508718</v>
      </c>
      <c r="H5" s="10">
        <f>SUMIFS(reconciliation_base!Z:Z,reconciliation_base!AC:AC,"2023-01",reconciliation_base!Z:Z,"&lt;0")</f>
        <v>-4473.875600000003</v>
      </c>
      <c r="I5" t="str">
        <f>IF(E5&gt;0,"Overbilled",IF(E5&lt;0,"Underbilled","Neutral"))</f>
        <v>Overbilled</v>
      </c>
    </row>
    <row r="6" spans="1:9">
      <c r="A6" t="s">
        <v>9388</v>
      </c>
      <c r="B6" s="14">
        <f>COUNTIF(reconciliation_base!AC:AC,"2023-02")</f>
        <v>168</v>
      </c>
      <c r="C6" s="14">
        <f>COUNTIFS(reconciliation_base!AC:AC,"2023-02",reconciliation_base!Z:Z,"&lt;&gt;0")</f>
        <v>12</v>
      </c>
      <c r="D6" s="7">
        <f>IF(B6&gt;0,C6/B6,0)</f>
        <v>7.1428571428571425E-2</v>
      </c>
      <c r="E6" s="10">
        <f>SUMIF(reconciliation_base!AC:AC,"2023-02",reconciliation_base!Z:Z)</f>
        <v>12721.834511558694</v>
      </c>
      <c r="F6" s="10">
        <f>IF(B6&gt;0,E6/B6,0)</f>
        <v>75.725205425944608</v>
      </c>
      <c r="G6" s="10">
        <f>SUMIFS(reconciliation_base!Z:Z,reconciliation_base!AC:AC,"2023-02",reconciliation_base!Z:Z,"&gt;0")</f>
        <v>14762.054711558691</v>
      </c>
      <c r="H6" s="10">
        <f>SUMIFS(reconciliation_base!Z:Z,reconciliation_base!AC:AC,"2023-02",reconciliation_base!Z:Z,"&lt;0")</f>
        <v>-2040.2201999999961</v>
      </c>
      <c r="I6" t="str">
        <f>IF(E6&gt;0,"Overbilled",IF(E6&lt;0,"Underbilled","Neutral"))</f>
        <v>Overbilled</v>
      </c>
    </row>
    <row r="7" spans="1:9">
      <c r="A7" t="s">
        <v>9389</v>
      </c>
      <c r="B7" s="14">
        <f>COUNTIF(reconciliation_base!AC:AC,"2023-03")</f>
        <v>183</v>
      </c>
      <c r="C7" s="14">
        <f>COUNTIFS(reconciliation_base!AC:AC,"2023-03",reconciliation_base!Z:Z,"&lt;&gt;0")</f>
        <v>18</v>
      </c>
      <c r="D7" s="7">
        <f>IF(B7&gt;0,C7/B7,0)</f>
        <v>9.8360655737704916E-2</v>
      </c>
      <c r="E7" s="10">
        <f>SUMIF(reconciliation_base!AC:AC,"2023-03",reconciliation_base!Z:Z)</f>
        <v>21830.641381951322</v>
      </c>
      <c r="F7" s="10">
        <f>IF(B7&gt;0,E7/B7,0)</f>
        <v>119.29312230574493</v>
      </c>
      <c r="G7" s="10">
        <f>SUMIFS(reconciliation_base!Z:Z,reconciliation_base!AC:AC,"2023-03",reconciliation_base!Z:Z,"&gt;0")</f>
        <v>28842.74098195132</v>
      </c>
      <c r="H7" s="10">
        <f>SUMIFS(reconciliation_base!Z:Z,reconciliation_base!AC:AC,"2023-03",reconciliation_base!Z:Z,"&lt;0")</f>
        <v>-7012.0995999999996</v>
      </c>
      <c r="I7" t="str">
        <f>IF(E7&gt;0,"Overbilled",IF(E7&lt;0,"Underbilled","Neutral"))</f>
        <v>Overbilled</v>
      </c>
    </row>
    <row r="8" spans="1:9">
      <c r="A8" t="s">
        <v>9390</v>
      </c>
      <c r="B8" s="14">
        <f>COUNTIF(reconciliation_base!AC:AC,"2023-04")</f>
        <v>163</v>
      </c>
      <c r="C8" s="14">
        <f>COUNTIFS(reconciliation_base!AC:AC,"2023-04",reconciliation_base!Z:Z,"&lt;&gt;0")</f>
        <v>9</v>
      </c>
      <c r="D8" s="7">
        <f>IF(B8&gt;0,C8/B8,0)</f>
        <v>5.5214723926380369E-2</v>
      </c>
      <c r="E8" s="10">
        <f>SUMIF(reconciliation_base!AC:AC,"2023-04",reconciliation_base!Z:Z)</f>
        <v>8814.6874507987013</v>
      </c>
      <c r="F8" s="10">
        <f>IF(B8&gt;0,E8/B8,0)</f>
        <v>54.077837121464427</v>
      </c>
      <c r="G8" s="10">
        <f>SUMIFS(reconciliation_base!Z:Z,reconciliation_base!AC:AC,"2023-04",reconciliation_base!Z:Z,"&gt;0")</f>
        <v>14720.884550798699</v>
      </c>
      <c r="H8" s="10">
        <f>SUMIFS(reconciliation_base!Z:Z,reconciliation_base!AC:AC,"2023-04",reconciliation_base!Z:Z,"&lt;0")</f>
        <v>-5906.1970999999976</v>
      </c>
      <c r="I8" t="str">
        <f>IF(E8&gt;0,"Overbilled",IF(E8&lt;0,"Underbilled","Neutral"))</f>
        <v>Overbilled</v>
      </c>
    </row>
    <row r="9" spans="1:9">
      <c r="A9" t="s">
        <v>9391</v>
      </c>
      <c r="B9" s="14">
        <f>COUNTIF(reconciliation_base!AC:AC,"2023-05")</f>
        <v>152</v>
      </c>
      <c r="C9" s="14">
        <f>COUNTIFS(reconciliation_base!AC:AC,"2023-05",reconciliation_base!Z:Z,"&lt;&gt;0")</f>
        <v>13</v>
      </c>
      <c r="D9" s="7">
        <f>IF(B9&gt;0,C9/B9,0)</f>
        <v>8.5526315789473686E-2</v>
      </c>
      <c r="E9" s="10">
        <f>SUMIF(reconciliation_base!AC:AC,"2023-05",reconciliation_base!Z:Z)</f>
        <v>10275.373402060497</v>
      </c>
      <c r="F9" s="10">
        <f>IF(B9&gt;0,E9/B9,0)</f>
        <v>67.60114080302958</v>
      </c>
      <c r="G9" s="10">
        <f>SUMIFS(reconciliation_base!Z:Z,reconciliation_base!AC:AC,"2023-05",reconciliation_base!Z:Z,"&gt;0")</f>
        <v>20488.750302060493</v>
      </c>
      <c r="H9" s="10">
        <f>SUMIFS(reconciliation_base!Z:Z,reconciliation_base!AC:AC,"2023-05",reconciliation_base!Z:Z,"&lt;0")</f>
        <v>-10213.376899999996</v>
      </c>
      <c r="I9" t="str">
        <f>IF(E9&gt;0,"Overbilled",IF(E9&lt;0,"Underbilled","Neutral"))</f>
        <v>Overbilled</v>
      </c>
    </row>
    <row r="10" spans="1:9">
      <c r="A10" t="s">
        <v>9392</v>
      </c>
      <c r="B10" s="14">
        <f>COUNTIF(reconciliation_base!AC:AC,"2023-06")</f>
        <v>160</v>
      </c>
      <c r="C10" s="14">
        <f>COUNTIFS(reconciliation_base!AC:AC,"2023-06",reconciliation_base!Z:Z,"&lt;&gt;0")</f>
        <v>16</v>
      </c>
      <c r="D10" s="7">
        <f>IF(B10&gt;0,C10/B10,0)</f>
        <v>0.1</v>
      </c>
      <c r="E10" s="10">
        <f>SUMIF(reconciliation_base!AC:AC,"2023-06",reconciliation_base!Z:Z)</f>
        <v>43272.063542537922</v>
      </c>
      <c r="F10" s="10">
        <f>IF(B10&gt;0,E10/B10,0)</f>
        <v>270.45039714086204</v>
      </c>
      <c r="G10" s="10">
        <f>SUMIFS(reconciliation_base!Z:Z,reconciliation_base!AC:AC,"2023-06",reconciliation_base!Z:Z,"&gt;0")</f>
        <v>48476.769542537913</v>
      </c>
      <c r="H10" s="10">
        <f>SUMIFS(reconciliation_base!Z:Z,reconciliation_base!AC:AC,"2023-06",reconciliation_base!Z:Z,"&lt;0")</f>
        <v>-5204.705999999991</v>
      </c>
      <c r="I10" t="str">
        <f>IF(E10&gt;0,"Overbilled",IF(E10&lt;0,"Underbilled","Neutral"))</f>
        <v>Overbilled</v>
      </c>
    </row>
    <row r="11" spans="1:9">
      <c r="A11" t="s">
        <v>9393</v>
      </c>
      <c r="B11" s="14">
        <f>COUNTIF(reconciliation_base!AC:AC,"2023-07")</f>
        <v>159</v>
      </c>
      <c r="C11" s="14">
        <f>COUNTIFS(reconciliation_base!AC:AC,"2023-07",reconciliation_base!Z:Z,"&lt;&gt;0")</f>
        <v>11</v>
      </c>
      <c r="D11" s="7">
        <f>IF(B11&gt;0,C11/B11,0)</f>
        <v>6.9182389937106917E-2</v>
      </c>
      <c r="E11" s="10">
        <f>SUMIF(reconciliation_base!AC:AC,"2023-07",reconciliation_base!Z:Z)</f>
        <v>18193.777059087704</v>
      </c>
      <c r="F11" s="10">
        <f>IF(B11&gt;0,E11/B11,0)</f>
        <v>114.42627081187236</v>
      </c>
      <c r="G11" s="10">
        <f>SUMIFS(reconciliation_base!Z:Z,reconciliation_base!AC:AC,"2023-07",reconciliation_base!Z:Z,"&gt;0")</f>
        <v>21254.43789222166</v>
      </c>
      <c r="H11" s="10">
        <f>SUMIFS(reconciliation_base!Z:Z,reconciliation_base!AC:AC,"2023-07",reconciliation_base!Z:Z,"&lt;0")</f>
        <v>-3060.660833133953</v>
      </c>
      <c r="I11" t="str">
        <f>IF(E11&gt;0,"Overbilled",IF(E11&lt;0,"Underbilled","Neutral"))</f>
        <v>Overbilled</v>
      </c>
    </row>
    <row r="12" spans="1:9">
      <c r="A12" t="s">
        <v>9395</v>
      </c>
      <c r="B12" s="14">
        <f>COUNTIF(reconciliation_base!AC:AC,"2023-08")</f>
        <v>175</v>
      </c>
      <c r="C12" s="14">
        <f>COUNTIFS(reconciliation_base!AC:AC,"2023-08",reconciliation_base!Z:Z,"&lt;&gt;0")</f>
        <v>12</v>
      </c>
      <c r="D12" s="7">
        <f>IF(B12&gt;0,C12/B12,0)</f>
        <v>6.8571428571428575E-2</v>
      </c>
      <c r="E12" s="10">
        <f>SUMIF(reconciliation_base!AC:AC,"2023-08",reconciliation_base!Z:Z)</f>
        <v>13710.790796394858</v>
      </c>
      <c r="F12" s="10">
        <f>IF(B12&gt;0,E12/B12,0)</f>
        <v>78.347375979399189</v>
      </c>
      <c r="G12" s="10">
        <f>SUMIFS(reconciliation_base!Z:Z,reconciliation_base!AC:AC,"2023-08",reconciliation_base!Z:Z,"&gt;0")</f>
        <v>24658.304396394851</v>
      </c>
      <c r="H12" s="10">
        <f>SUMIFS(reconciliation_base!Z:Z,reconciliation_base!AC:AC,"2023-08",reconciliation_base!Z:Z,"&lt;0")</f>
        <v>-10947.513599999991</v>
      </c>
      <c r="I12" t="str">
        <f>IF(E12&gt;0,"Overbilled",IF(E12&lt;0,"Underbilled","Neutral"))</f>
        <v>Overbilled</v>
      </c>
    </row>
    <row r="13" spans="1:9">
      <c r="A13" t="s">
        <v>9396</v>
      </c>
      <c r="B13" s="14">
        <f>COUNTIF(reconciliation_base!AC:AC,"2023-09")</f>
        <v>164</v>
      </c>
      <c r="C13" s="14">
        <f>COUNTIFS(reconciliation_base!AC:AC,"2023-09",reconciliation_base!Z:Z,"&lt;&gt;0")</f>
        <v>6</v>
      </c>
      <c r="D13" s="7">
        <f>IF(B13&gt;0,C13/B13,0)</f>
        <v>3.6585365853658534E-2</v>
      </c>
      <c r="E13" s="10">
        <f>SUMIF(reconciliation_base!AC:AC,"2023-09",reconciliation_base!Z:Z)</f>
        <v>2237.7491093667304</v>
      </c>
      <c r="F13" s="10">
        <f>IF(B13&gt;0,E13/B13,0)</f>
        <v>13.644811642480063</v>
      </c>
      <c r="G13" s="10">
        <f>SUMIFS(reconciliation_base!Z:Z,reconciliation_base!AC:AC,"2023-09",reconciliation_base!Z:Z,"&gt;0")</f>
        <v>8190.7766093667306</v>
      </c>
      <c r="H13" s="10">
        <f>SUMIFS(reconciliation_base!Z:Z,reconciliation_base!AC:AC,"2023-09",reconciliation_base!Z:Z,"&lt;0")</f>
        <v>-5953.0275000000001</v>
      </c>
      <c r="I13" t="str">
        <f>IF(E13&gt;0,"Overbilled",IF(E13&lt;0,"Underbilled","Neutral"))</f>
        <v>Overbilled</v>
      </c>
    </row>
    <row r="14" spans="1:9">
      <c r="A14" t="s">
        <v>9397</v>
      </c>
      <c r="B14" s="14">
        <f>COUNTIF(reconciliation_base!AC:AC,"2023-10")</f>
        <v>176</v>
      </c>
      <c r="C14" s="14">
        <f>COUNTIFS(reconciliation_base!AC:AC,"2023-10",reconciliation_base!Z:Z,"&lt;&gt;0")</f>
        <v>6</v>
      </c>
      <c r="D14" s="7">
        <f>IF(B14&gt;0,C14/B14,0)</f>
        <v>3.4090909090909088E-2</v>
      </c>
      <c r="E14" s="10">
        <f>SUMIF(reconciliation_base!AC:AC,"2023-10",reconciliation_base!Z:Z)</f>
        <v>5901.1419038254407</v>
      </c>
      <c r="F14" s="10">
        <f>IF(B14&gt;0,E14/B14,0)</f>
        <v>33.52921536264455</v>
      </c>
      <c r="G14" s="10">
        <f>SUMIFS(reconciliation_base!Z:Z,reconciliation_base!AC:AC,"2023-10",reconciliation_base!Z:Z,"&gt;0")</f>
        <v>6646.8495038254405</v>
      </c>
      <c r="H14" s="10">
        <f>SUMIFS(reconciliation_base!Z:Z,reconciliation_base!AC:AC,"2023-10",reconciliation_base!Z:Z,"&lt;0")</f>
        <v>-745.70759999999973</v>
      </c>
      <c r="I14" t="str">
        <f>IF(E14&gt;0,"Overbilled",IF(E14&lt;0,"Underbilled","Neutral"))</f>
        <v>Overbilled</v>
      </c>
    </row>
    <row r="15" spans="1:9">
      <c r="A15" t="s">
        <v>9398</v>
      </c>
      <c r="B15" s="14">
        <f>COUNTIF(reconciliation_base!AC:AC,"2023-11")</f>
        <v>168</v>
      </c>
      <c r="C15" s="14">
        <f>COUNTIFS(reconciliation_base!AC:AC,"2023-11",reconciliation_base!Z:Z,"&lt;&gt;0")</f>
        <v>13</v>
      </c>
      <c r="D15" s="7">
        <f>IF(B15&gt;0,C15/B15,0)</f>
        <v>7.7380952380952384E-2</v>
      </c>
      <c r="E15" s="10">
        <f>SUMIF(reconciliation_base!AC:AC,"2023-11",reconciliation_base!Z:Z)</f>
        <v>17827.248096763051</v>
      </c>
      <c r="F15" s="10">
        <f>IF(B15&gt;0,E15/B15,0)</f>
        <v>106.11457200454197</v>
      </c>
      <c r="G15" s="10">
        <f>SUMIFS(reconciliation_base!Z:Z,reconciliation_base!AC:AC,"2023-11",reconciliation_base!Z:Z,"&gt;0")</f>
        <v>17827.248096763051</v>
      </c>
      <c r="H15" s="10">
        <f>SUMIFS(reconciliation_base!Z:Z,reconciliation_base!AC:AC,"2023-11",reconciliation_base!Z:Z,"&lt;0")</f>
        <v>0</v>
      </c>
      <c r="I15" t="str">
        <f>IF(E15&gt;0,"Overbilled",IF(E15&lt;0,"Underbilled","Neutral"))</f>
        <v>Overbilled</v>
      </c>
    </row>
    <row r="16" spans="1:9">
      <c r="A16" t="s">
        <v>9399</v>
      </c>
      <c r="B16" s="14">
        <f>COUNTIF(reconciliation_base!AC:AC,"2023-12")</f>
        <v>172</v>
      </c>
      <c r="C16" s="14">
        <f>COUNTIFS(reconciliation_base!AC:AC,"2023-12",reconciliation_base!Z:Z,"&lt;&gt;0")</f>
        <v>9</v>
      </c>
      <c r="D16" s="7">
        <f>IF(B16&gt;0,C16/B16,0)</f>
        <v>5.232558139534884E-2</v>
      </c>
      <c r="E16" s="10">
        <f>SUMIF(reconciliation_base!AC:AC,"2023-12",reconciliation_base!Z:Z)</f>
        <v>15537.118982756472</v>
      </c>
      <c r="F16" s="10">
        <f>IF(B16&gt;0,E16/B16,0)</f>
        <v>90.332087109049255</v>
      </c>
      <c r="G16" s="10">
        <f>SUMIFS(reconciliation_base!Z:Z,reconciliation_base!AC:AC,"2023-12",reconciliation_base!Z:Z,"&gt;0")</f>
        <v>17683.418782756475</v>
      </c>
      <c r="H16" s="10">
        <f>SUMIFS(reconciliation_base!Z:Z,reconciliation_base!AC:AC,"2023-12",reconciliation_base!Z:Z,"&lt;0")</f>
        <v>-2146.2998000000007</v>
      </c>
      <c r="I16" t="str">
        <f>IF(E16&gt;0,"Overbilled",IF(E16&lt;0,"Underbilled","Neutral"))</f>
        <v>Overbilled</v>
      </c>
    </row>
    <row r="17" spans="1:9">
      <c r="A17" t="s">
        <v>9400</v>
      </c>
      <c r="B17" s="14">
        <f>COUNTIF(reconciliation_base!AC:AC,"2024-01")</f>
        <v>169</v>
      </c>
      <c r="C17" s="14">
        <f>COUNTIFS(reconciliation_base!AC:AC,"2024-01",reconciliation_base!Z:Z,"&lt;&gt;0")</f>
        <v>16</v>
      </c>
      <c r="D17" s="7">
        <f>IF(B17&gt;0,C17/B17,0)</f>
        <v>9.4674556213017749E-2</v>
      </c>
      <c r="E17" s="10">
        <f>SUMIF(reconciliation_base!AC:AC,"2024-01",reconciliation_base!Z:Z)</f>
        <v>644.76793831903979</v>
      </c>
      <c r="F17" s="10">
        <f>IF(B17&gt;0,E17/B17,0)</f>
        <v>3.8151949012960933</v>
      </c>
      <c r="G17" s="10">
        <f>SUMIFS(reconciliation_base!Z:Z,reconciliation_base!AC:AC,"2024-01",reconciliation_base!Z:Z,"&gt;0")</f>
        <v>4359.8030383190444</v>
      </c>
      <c r="H17" s="10">
        <f>SUMIFS(reconciliation_base!Z:Z,reconciliation_base!AC:AC,"2024-01",reconciliation_base!Z:Z,"&lt;0")</f>
        <v>-3715.0351000000046</v>
      </c>
      <c r="I17" t="str">
        <f>IF(E17&gt;0,"Overbilled",IF(E17&lt;0,"Underbilled","Neutral"))</f>
        <v>Overbilled</v>
      </c>
    </row>
    <row r="18" spans="1:9">
      <c r="A18" t="s">
        <v>9401</v>
      </c>
      <c r="B18" s="14">
        <f>COUNTIF(reconciliation_base!AC:AC,"2024-02")</f>
        <v>179</v>
      </c>
      <c r="C18" s="14">
        <f>COUNTIFS(reconciliation_base!AC:AC,"2024-02",reconciliation_base!Z:Z,"&lt;&gt;0")</f>
        <v>13</v>
      </c>
      <c r="D18" s="7">
        <f>IF(B18&gt;0,C18/B18,0)</f>
        <v>7.2625698324022353E-2</v>
      </c>
      <c r="E18" s="10">
        <f>SUMIF(reconciliation_base!AC:AC,"2024-02",reconciliation_base!Z:Z)</f>
        <v>8121.4517786345641</v>
      </c>
      <c r="F18" s="10">
        <f>IF(B18&gt;0,E18/B18,0)</f>
        <v>45.371238986785272</v>
      </c>
      <c r="G18" s="10">
        <f>SUMIFS(reconciliation_base!Z:Z,reconciliation_base!AC:AC,"2024-02",reconciliation_base!Z:Z,"&gt;0")</f>
        <v>12447.314978634564</v>
      </c>
      <c r="H18" s="10">
        <f>SUMIFS(reconciliation_base!Z:Z,reconciliation_base!AC:AC,"2024-02",reconciliation_base!Z:Z,"&lt;0")</f>
        <v>-4325.8631999999998</v>
      </c>
      <c r="I18" t="str">
        <f>IF(E18&gt;0,"Overbilled",IF(E18&lt;0,"Underbilled","Neutral"))</f>
        <v>Overbilled</v>
      </c>
    </row>
    <row r="19" spans="1:9">
      <c r="A19" t="s">
        <v>9402</v>
      </c>
      <c r="B19" s="14">
        <f>COUNTIF(reconciliation_base!AC:AC,"2024-03")</f>
        <v>188</v>
      </c>
      <c r="C19" s="14">
        <f>COUNTIFS(reconciliation_base!AC:AC,"2024-03",reconciliation_base!Z:Z,"&lt;&gt;0")</f>
        <v>16</v>
      </c>
      <c r="D19" s="7">
        <f>IF(B19&gt;0,C19/B19,0)</f>
        <v>8.5106382978723402E-2</v>
      </c>
      <c r="E19" s="10">
        <f>SUMIF(reconciliation_base!AC:AC,"2024-03",reconciliation_base!Z:Z)</f>
        <v>8237.129722517162</v>
      </c>
      <c r="F19" s="10">
        <f>IF(B19&gt;0,E19/B19,0)</f>
        <v>43.814519800623202</v>
      </c>
      <c r="G19" s="10">
        <f>SUMIFS(reconciliation_base!Z:Z,reconciliation_base!AC:AC,"2024-03",reconciliation_base!Z:Z,"&gt;0")</f>
        <v>21618.411322517179</v>
      </c>
      <c r="H19" s="10">
        <f>SUMIFS(reconciliation_base!Z:Z,reconciliation_base!AC:AC,"2024-03",reconciliation_base!Z:Z,"&lt;0")</f>
        <v>-13381.281600000017</v>
      </c>
      <c r="I19" t="str">
        <f>IF(E19&gt;0,"Overbilled",IF(E19&lt;0,"Underbilled","Neutral"))</f>
        <v>Overbilled</v>
      </c>
    </row>
    <row r="20" spans="1:9">
      <c r="A20" t="s">
        <v>9403</v>
      </c>
      <c r="B20" s="14">
        <f>COUNTIF(reconciliation_base!AC:AC,"2024-04")</f>
        <v>181</v>
      </c>
      <c r="C20" s="14">
        <f>COUNTIFS(reconciliation_base!AC:AC,"2024-04",reconciliation_base!Z:Z,"&lt;&gt;0")</f>
        <v>15</v>
      </c>
      <c r="D20" s="7">
        <f>IF(B20&gt;0,C20/B20,0)</f>
        <v>8.2872928176795577E-2</v>
      </c>
      <c r="E20" s="10">
        <f>SUMIF(reconciliation_base!AC:AC,"2024-04",reconciliation_base!Z:Z)</f>
        <v>23321.794619150045</v>
      </c>
      <c r="F20" s="10">
        <f>IF(B20&gt;0,E20/B20,0)</f>
        <v>128.84969402845329</v>
      </c>
      <c r="G20" s="10">
        <f>SUMIFS(reconciliation_base!Z:Z,reconciliation_base!AC:AC,"2024-04",reconciliation_base!Z:Z,"&gt;0")</f>
        <v>30762.354219150046</v>
      </c>
      <c r="H20" s="10">
        <f>SUMIFS(reconciliation_base!Z:Z,reconciliation_base!AC:AC,"2024-04",reconciliation_base!Z:Z,"&lt;0")</f>
        <v>-7440.5596000000005</v>
      </c>
      <c r="I20" t="str">
        <f>IF(E20&gt;0,"Overbilled",IF(E20&lt;0,"Underbilled","Neutral"))</f>
        <v>Overbilled</v>
      </c>
    </row>
    <row r="21" spans="1:9">
      <c r="A21" t="s">
        <v>9404</v>
      </c>
      <c r="B21" s="14">
        <f>COUNTIF(reconciliation_base!AC:AC,"2024-05")</f>
        <v>179</v>
      </c>
      <c r="C21" s="14">
        <f>COUNTIFS(reconciliation_base!AC:AC,"2024-05",reconciliation_base!Z:Z,"&lt;&gt;0")</f>
        <v>16</v>
      </c>
      <c r="D21" s="7">
        <f>IF(B21&gt;0,C21/B21,0)</f>
        <v>8.9385474860335198E-2</v>
      </c>
      <c r="E21" s="10">
        <f>SUMIF(reconciliation_base!AC:AC,"2024-05",reconciliation_base!Z:Z)</f>
        <v>13942.691549295689</v>
      </c>
      <c r="F21" s="10">
        <f>IF(B21&gt;0,E21/B21,0)</f>
        <v>77.892131560311114</v>
      </c>
      <c r="G21" s="10">
        <f>SUMIFS(reconciliation_base!Z:Z,reconciliation_base!AC:AC,"2024-05",reconciliation_base!Z:Z,"&gt;0")</f>
        <v>21663.506349295698</v>
      </c>
      <c r="H21" s="10">
        <f>SUMIFS(reconciliation_base!Z:Z,reconciliation_base!AC:AC,"2024-05",reconciliation_base!Z:Z,"&lt;0")</f>
        <v>-7720.8148000000074</v>
      </c>
      <c r="I21" t="str">
        <f>IF(E21&gt;0,"Overbilled",IF(E21&lt;0,"Underbilled","Neutral"))</f>
        <v>Overbilled</v>
      </c>
    </row>
    <row r="22" spans="1:9">
      <c r="A22" t="s">
        <v>9405</v>
      </c>
      <c r="B22" s="14">
        <f>COUNTIF(reconciliation_base!AC:AC,"2024-06")</f>
        <v>160</v>
      </c>
      <c r="C22" s="14">
        <f>COUNTIFS(reconciliation_base!AC:AC,"2024-06",reconciliation_base!Z:Z,"&lt;&gt;0")</f>
        <v>14</v>
      </c>
      <c r="D22" s="7">
        <f>IF(B22&gt;0,C22/B22,0)</f>
        <v>8.7499999999999994E-2</v>
      </c>
      <c r="E22" s="10">
        <f>SUMIF(reconciliation_base!AC:AC,"2024-06",reconciliation_base!Z:Z)</f>
        <v>10223.253776415779</v>
      </c>
      <c r="F22" s="10">
        <f>IF(B22&gt;0,E22/B22,0)</f>
        <v>63.89533610259862</v>
      </c>
      <c r="G22" s="10">
        <f>SUMIFS(reconciliation_base!Z:Z,reconciliation_base!AC:AC,"2024-06",reconciliation_base!Z:Z,"&gt;0")</f>
        <v>15059.750776415778</v>
      </c>
      <c r="H22" s="10">
        <f>SUMIFS(reconciliation_base!Z:Z,reconciliation_base!AC:AC,"2024-06",reconciliation_base!Z:Z,"&lt;0")</f>
        <v>-4836.4970000000012</v>
      </c>
      <c r="I22" t="str">
        <f>IF(E22&gt;0,"Overbilled",IF(E22&lt;0,"Underbilled","Neutral"))</f>
        <v>Overbilled</v>
      </c>
    </row>
    <row r="23" spans="1:9">
      <c r="A23" t="s">
        <v>9406</v>
      </c>
      <c r="B23" s="14">
        <f>COUNTIF(reconciliation_base!AC:AC,"2024-07")</f>
        <v>168</v>
      </c>
      <c r="C23" s="14">
        <f>COUNTIFS(reconciliation_base!AC:AC,"2024-07",reconciliation_base!Z:Z,"&lt;&gt;0")</f>
        <v>17</v>
      </c>
      <c r="D23" s="7">
        <f>IF(B23&gt;0,C23/B23,0)</f>
        <v>0.10119047619047619</v>
      </c>
      <c r="E23" s="10">
        <f>SUMIF(reconciliation_base!AC:AC,"2024-07",reconciliation_base!Z:Z)</f>
        <v>34338.355959211192</v>
      </c>
      <c r="F23" s="10">
        <f>IF(B23&gt;0,E23/B23,0)</f>
        <v>204.39497594768568</v>
      </c>
      <c r="G23" s="10">
        <f>SUMIFS(reconciliation_base!Z:Z,reconciliation_base!AC:AC,"2024-07",reconciliation_base!Z:Z,"&gt;0")</f>
        <v>40122.641459211198</v>
      </c>
      <c r="H23" s="10">
        <f>SUMIFS(reconciliation_base!Z:Z,reconciliation_base!AC:AC,"2024-07",reconciliation_base!Z:Z,"&lt;0")</f>
        <v>-5784.2855000000018</v>
      </c>
      <c r="I23" t="str">
        <f>IF(E23&gt;0,"Overbilled",IF(E23&lt;0,"Underbilled","Neutral"))</f>
        <v>Overbilled</v>
      </c>
    </row>
    <row r="24" spans="1:9">
      <c r="A24" t="s">
        <v>9407</v>
      </c>
      <c r="B24" s="14">
        <f>COUNTIF(reconciliation_base!AC:AC,"2024-08")</f>
        <v>163</v>
      </c>
      <c r="C24" s="14">
        <f>COUNTIFS(reconciliation_base!AC:AC,"2024-08",reconciliation_base!Z:Z,"&lt;&gt;0")</f>
        <v>12</v>
      </c>
      <c r="D24" s="7">
        <f>IF(B24&gt;0,C24/B24,0)</f>
        <v>7.3619631901840496E-2</v>
      </c>
      <c r="E24" s="10">
        <f>SUMIF(reconciliation_base!AC:AC,"2024-08",reconciliation_base!Z:Z)</f>
        <v>12520.224512058165</v>
      </c>
      <c r="F24" s="10">
        <f>IF(B24&gt;0,E24/B24,0)</f>
        <v>76.811193325510217</v>
      </c>
      <c r="G24" s="10">
        <f>SUMIFS(reconciliation_base!Z:Z,reconciliation_base!AC:AC,"2024-08",reconciliation_base!Z:Z,"&gt;0")</f>
        <v>16465.526612058165</v>
      </c>
      <c r="H24" s="10">
        <f>SUMIFS(reconciliation_base!Z:Z,reconciliation_base!AC:AC,"2024-08",reconciliation_base!Z:Z,"&lt;0")</f>
        <v>-3945.3021000000008</v>
      </c>
      <c r="I24" t="str">
        <f>IF(E24&gt;0,"Overbilled",IF(E24&lt;0,"Underbilled","Neutral"))</f>
        <v>Overbilled</v>
      </c>
    </row>
    <row r="25" spans="1:9">
      <c r="A25" t="s">
        <v>9408</v>
      </c>
      <c r="B25" s="14">
        <f>COUNTIF(reconciliation_base!AC:AC,"2024-09")</f>
        <v>135</v>
      </c>
      <c r="C25" s="14">
        <f>COUNTIFS(reconciliation_base!AC:AC,"2024-09",reconciliation_base!Z:Z,"&lt;&gt;0")</f>
        <v>9</v>
      </c>
      <c r="D25" s="7">
        <f>IF(B25&gt;0,C25/B25,0)</f>
        <v>6.6666666666666666E-2</v>
      </c>
      <c r="E25" s="10">
        <f>SUMIF(reconciliation_base!AC:AC,"2024-09",reconciliation_base!Z:Z)</f>
        <v>1747.6036402145637</v>
      </c>
      <c r="F25" s="10">
        <f>IF(B25&gt;0,E25/B25,0)</f>
        <v>12.945212149737509</v>
      </c>
      <c r="G25" s="10">
        <f>SUMIFS(reconciliation_base!Z:Z,reconciliation_base!AC:AC,"2024-09",reconciliation_base!Z:Z,"&gt;0")</f>
        <v>5253.8444402145669</v>
      </c>
      <c r="H25" s="10">
        <f>SUMIFS(reconciliation_base!Z:Z,reconciliation_base!AC:AC,"2024-09",reconciliation_base!Z:Z,"&lt;0")</f>
        <v>-3506.2408000000032</v>
      </c>
      <c r="I25" t="str">
        <f>IF(E25&gt;0,"Overbilled",IF(E25&lt;0,"Underbilled","Neutral"))</f>
        <v>Overbilled</v>
      </c>
    </row>
    <row r="26" spans="1:9">
      <c r="A26" t="s">
        <v>9409</v>
      </c>
      <c r="B26" s="14">
        <f>COUNTIF(reconciliation_base!AC:AC,"2024-10")</f>
        <v>170</v>
      </c>
      <c r="C26" s="14">
        <f>COUNTIFS(reconciliation_base!AC:AC,"2024-10",reconciliation_base!Z:Z,"&lt;&gt;0")</f>
        <v>12</v>
      </c>
      <c r="D26" s="7">
        <f>IF(B26&gt;0,C26/B26,0)</f>
        <v>7.0588235294117646E-2</v>
      </c>
      <c r="E26" s="10">
        <f>SUMIF(reconciliation_base!AC:AC,"2024-10",reconciliation_base!Z:Z)</f>
        <v>23076.621397726445</v>
      </c>
      <c r="F26" s="10">
        <f>IF(B26&gt;0,E26/B26,0)</f>
        <v>135.74483175133204</v>
      </c>
      <c r="G26" s="10">
        <f>SUMIFS(reconciliation_base!Z:Z,reconciliation_base!AC:AC,"2024-10",reconciliation_base!Z:Z,"&gt;0")</f>
        <v>24863.090397726421</v>
      </c>
      <c r="H26" s="10">
        <f>SUMIFS(reconciliation_base!Z:Z,reconciliation_base!AC:AC,"2024-10",reconciliation_base!Z:Z,"&lt;0")</f>
        <v>-1786.4689999999755</v>
      </c>
      <c r="I26" t="str">
        <f>IF(E26&gt;0,"Overbilled",IF(E26&lt;0,"Underbilled","Neutral"))</f>
        <v>Overbilled</v>
      </c>
    </row>
    <row r="27" spans="1:9">
      <c r="A27" t="s">
        <v>9410</v>
      </c>
      <c r="B27" s="14">
        <f>COUNTIF(reconciliation_base!AC:AC,"2024-11")</f>
        <v>154</v>
      </c>
      <c r="C27" s="14">
        <f>COUNTIFS(reconciliation_base!AC:AC,"2024-11",reconciliation_base!Z:Z,"&lt;&gt;0")</f>
        <v>18</v>
      </c>
      <c r="D27" s="7">
        <f>IF(B27&gt;0,C27/B27,0)</f>
        <v>0.11688311688311688</v>
      </c>
      <c r="E27" s="10">
        <f>SUMIF(reconciliation_base!AC:AC,"2024-11",reconciliation_base!Z:Z)</f>
        <v>31289.044674894081</v>
      </c>
      <c r="F27" s="10">
        <f>IF(B27&gt;0,E27/B27,0)</f>
        <v>203.17561477203949</v>
      </c>
      <c r="G27" s="10">
        <f>SUMIFS(reconciliation_base!Z:Z,reconciliation_base!AC:AC,"2024-11",reconciliation_base!Z:Z,"&gt;0")</f>
        <v>34193.842674894084</v>
      </c>
      <c r="H27" s="10">
        <f>SUMIFS(reconciliation_base!Z:Z,reconciliation_base!AC:AC,"2024-11",reconciliation_base!Z:Z,"&lt;0")</f>
        <v>-2904.7980000000043</v>
      </c>
      <c r="I27" t="str">
        <f>IF(E27&gt;0,"Overbilled",IF(E27&lt;0,"Underbilled","Neutral"))</f>
        <v>Overbilled</v>
      </c>
    </row>
    <row r="28" spans="1:9">
      <c r="A28" t="s">
        <v>9411</v>
      </c>
      <c r="B28" s="14">
        <f>COUNTIF(reconciliation_base!AC:AC,"2024-12")</f>
        <v>151</v>
      </c>
      <c r="C28" s="14">
        <f>COUNTIFS(reconciliation_base!AC:AC,"2024-12",reconciliation_base!Z:Z,"&lt;&gt;0")</f>
        <v>14</v>
      </c>
      <c r="D28" s="7">
        <f>IF(B28&gt;0,C28/B28,0)</f>
        <v>9.2715231788079472E-2</v>
      </c>
      <c r="E28" s="10">
        <f>SUMIF(reconciliation_base!AC:AC,"2024-12",reconciliation_base!Z:Z)</f>
        <v>9743.5312541310159</v>
      </c>
      <c r="F28" s="10">
        <f>IF(B28&gt;0,E28/B28,0)</f>
        <v>64.526697047225269</v>
      </c>
      <c r="G28" s="10">
        <f>SUMIFS(reconciliation_base!Z:Z,reconciliation_base!AC:AC,"2024-12",reconciliation_base!Z:Z,"&gt;0")</f>
        <v>18573.822554131042</v>
      </c>
      <c r="H28" s="10">
        <f>SUMIFS(reconciliation_base!Z:Z,reconciliation_base!AC:AC,"2024-12",reconciliation_base!Z:Z,"&lt;0")</f>
        <v>-8830.2913000000262</v>
      </c>
      <c r="I28" t="str">
        <f>IF(E28&gt;0,"Overbilled",IF(E28&lt;0,"Underbilled","Neutral"))</f>
        <v>Overbilled</v>
      </c>
    </row>
    <row r="29" spans="1:9">
      <c r="A29" s="3" t="s">
        <v>9412</v>
      </c>
      <c r="B29" s="14">
        <f>SUM(B5:B28)</f>
        <v>4000</v>
      </c>
      <c r="C29" s="14">
        <f>SUM(C5:C28)</f>
        <v>310</v>
      </c>
      <c r="D29" s="7">
        <f>AVERAGE(D5:D28)</f>
        <v>7.7593745608988338E-2</v>
      </c>
      <c r="E29" s="10">
        <f>SUM(E5:E28)</f>
        <v>367472.85144917783</v>
      </c>
      <c r="F29" s="10">
        <f>AVERAGE(F5:F28)</f>
        <v>91.963926020105191</v>
      </c>
      <c r="G29" s="10">
        <f>SUM(G5:G28)</f>
        <v>493353.97418231191</v>
      </c>
      <c r="H29" s="10">
        <f>SUM(H5:H28)</f>
        <v>-125881.12273313398</v>
      </c>
    </row>
    <row r="32" spans="1:9">
      <c r="A32" s="3" t="s">
        <v>9448</v>
      </c>
    </row>
    <row r="33" spans="1:6">
      <c r="A33" s="5" t="s">
        <v>3</v>
      </c>
      <c r="B33" s="5" t="s">
        <v>4</v>
      </c>
      <c r="C33" s="5" t="s">
        <v>38</v>
      </c>
    </row>
    <row r="34" spans="1:6">
      <c r="A34" t="s">
        <v>9449</v>
      </c>
      <c r="B34" s="10">
        <f>AVERAGE(E5:E28)</f>
        <v>15311.36881038241</v>
      </c>
      <c r="C34" t="s">
        <v>9450</v>
      </c>
    </row>
    <row r="35" spans="1:6">
      <c r="A35" t="s">
        <v>9451</v>
      </c>
      <c r="B35" s="10">
        <f>STDEV(E5:E28)</f>
        <v>10438.04759161254</v>
      </c>
      <c r="C35" t="s">
        <v>9452</v>
      </c>
    </row>
    <row r="36" spans="1:6">
      <c r="A36" t="s">
        <v>9453</v>
      </c>
      <c r="B36" s="10">
        <f>B34+2*B35</f>
        <v>36187.463993607489</v>
      </c>
      <c r="C36" t="s">
        <v>9454</v>
      </c>
    </row>
    <row r="37" spans="1:6">
      <c r="A37" t="s">
        <v>9455</v>
      </c>
      <c r="B37" s="10">
        <f>B34-2*B35</f>
        <v>-5564.7263728426697</v>
      </c>
      <c r="C37" t="s">
        <v>9456</v>
      </c>
    </row>
    <row r="38" spans="1:6">
      <c r="A38" t="s">
        <v>9457</v>
      </c>
      <c r="B38" s="10">
        <f>MAX(E5:E28)</f>
        <v>43272.063542537922</v>
      </c>
      <c r="C38" t="s">
        <v>9458</v>
      </c>
    </row>
    <row r="39" spans="1:6">
      <c r="A39" t="s">
        <v>9459</v>
      </c>
      <c r="B39" s="10">
        <f>MIN(E5:E28)</f>
        <v>644.76793831903979</v>
      </c>
      <c r="C39" t="s">
        <v>9460</v>
      </c>
    </row>
    <row r="40" spans="1:6">
      <c r="A40" t="s">
        <v>9461</v>
      </c>
      <c r="B40" t="str">
        <f>INDEX(A5:A28,MATCH(MAX(E5:E28),E5:E28,0))</f>
        <v>2023-06</v>
      </c>
      <c r="C40" t="s">
        <v>9462</v>
      </c>
    </row>
    <row r="41" spans="1:6">
      <c r="A41" t="s">
        <v>9463</v>
      </c>
      <c r="B41" t="str">
        <f>INDEX(A5:A28,MATCH(MIN(E5:E28),E5:E28,0))</f>
        <v>2024-01</v>
      </c>
      <c r="C41" t="s">
        <v>9460</v>
      </c>
    </row>
    <row r="42" spans="1:6">
      <c r="A42" t="s">
        <v>9464</v>
      </c>
      <c r="B42" s="7">
        <f>IF(B34&lt;&gt;0,B35/ABS(B34),0)</f>
        <v>0.68171877517146973</v>
      </c>
      <c r="C42" t="s">
        <v>9465</v>
      </c>
    </row>
    <row r="45" spans="1:6">
      <c r="A45" s="3" t="s">
        <v>9466</v>
      </c>
    </row>
    <row r="46" spans="1:6">
      <c r="A46" s="8" t="s">
        <v>54</v>
      </c>
      <c r="B46" s="8" t="s">
        <v>8</v>
      </c>
      <c r="C46" s="8" t="s">
        <v>9467</v>
      </c>
      <c r="D46" s="8" t="s">
        <v>9468</v>
      </c>
      <c r="E46" s="8" t="s">
        <v>9469</v>
      </c>
      <c r="F46" s="8" t="s">
        <v>9470</v>
      </c>
    </row>
    <row r="47" spans="1:6">
      <c r="A47" t="str">
        <f>A5</f>
        <v>2023-01</v>
      </c>
      <c r="B47" s="10">
        <f>E5</f>
        <v>19943.954389508715</v>
      </c>
      <c r="C47" s="10">
        <f>B47-$B$34</f>
        <v>4632.5855791263057</v>
      </c>
      <c r="D47" s="22">
        <f>IF($B$35&lt;&gt;0,C47/$B$35,0)</f>
        <v>0.44381725015785567</v>
      </c>
      <c r="E47" t="str">
        <f>IF(OR(D47&gt;2,D47&lt;-2),"⚠️ ANOMALY","Normal")</f>
        <v>Normal</v>
      </c>
      <c r="F47" t="str">
        <f>IF(D47&gt;2,"HIGH SPIKE",IF(D47&lt;-2,"LOW DIP",IF(D47&gt;1,"Elevated",IF(D47&lt;-1,"Below Avg","Normal"))))</f>
        <v>Normal</v>
      </c>
    </row>
    <row r="48" spans="1:6">
      <c r="A48" t="str">
        <f>A6</f>
        <v>2023-02</v>
      </c>
      <c r="B48" s="10">
        <f>E6</f>
        <v>12721.834511558694</v>
      </c>
      <c r="C48" s="10">
        <f>B48-$B$34</f>
        <v>-2589.5342988237153</v>
      </c>
      <c r="D48" s="22">
        <f>IF($B$35&lt;&gt;0,C48/$B$35,0)</f>
        <v>-0.24808607894301302</v>
      </c>
      <c r="E48" t="str">
        <f>IF(OR(D48&gt;2,D48&lt;-2),"⚠️ ANOMALY","Normal")</f>
        <v>Normal</v>
      </c>
      <c r="F48" t="str">
        <f>IF(D48&gt;2,"HIGH SPIKE",IF(D48&lt;-2,"LOW DIP",IF(D48&gt;1,"Elevated",IF(D48&lt;-1,"Below Avg","Normal"))))</f>
        <v>Normal</v>
      </c>
    </row>
    <row r="49" spans="1:6">
      <c r="A49" t="str">
        <f>A7</f>
        <v>2023-03</v>
      </c>
      <c r="B49" s="10">
        <f>E7</f>
        <v>21830.641381951322</v>
      </c>
      <c r="C49" s="10">
        <f>B49-$B$34</f>
        <v>6519.2725715689121</v>
      </c>
      <c r="D49" s="22">
        <f>IF($B$35&lt;&gt;0,C49/$B$35,0)</f>
        <v>0.62456819767783522</v>
      </c>
      <c r="E49" t="str">
        <f>IF(OR(D49&gt;2,D49&lt;-2),"⚠️ ANOMALY","Normal")</f>
        <v>Normal</v>
      </c>
      <c r="F49" t="str">
        <f>IF(D49&gt;2,"HIGH SPIKE",IF(D49&lt;-2,"LOW DIP",IF(D49&gt;1,"Elevated",IF(D49&lt;-1,"Below Avg","Normal"))))</f>
        <v>Normal</v>
      </c>
    </row>
    <row r="50" spans="1:6">
      <c r="A50" t="str">
        <f>A8</f>
        <v>2023-04</v>
      </c>
      <c r="B50" s="10">
        <f>E8</f>
        <v>8814.6874507987013</v>
      </c>
      <c r="C50" s="10">
        <f>B50-$B$34</f>
        <v>-6496.6813595837084</v>
      </c>
      <c r="D50" s="22">
        <f>IF($B$35&lt;&gt;0,C50/$B$35,0)</f>
        <v>-0.62240388373052602</v>
      </c>
      <c r="E50" t="str">
        <f>IF(OR(D50&gt;2,D50&lt;-2),"⚠️ ANOMALY","Normal")</f>
        <v>Normal</v>
      </c>
      <c r="F50" t="str">
        <f>IF(D50&gt;2,"HIGH SPIKE",IF(D50&lt;-2,"LOW DIP",IF(D50&gt;1,"Elevated",IF(D50&lt;-1,"Below Avg","Normal"))))</f>
        <v>Normal</v>
      </c>
    </row>
    <row r="51" spans="1:6">
      <c r="A51" t="str">
        <f>A9</f>
        <v>2023-05</v>
      </c>
      <c r="B51" s="10">
        <f>E9</f>
        <v>10275.373402060497</v>
      </c>
      <c r="C51" s="10">
        <f>B51-$B$34</f>
        <v>-5035.9954083219127</v>
      </c>
      <c r="D51" s="22">
        <f>IF($B$35&lt;&gt;0,C51/$B$35,0)</f>
        <v>-0.48246526604923423</v>
      </c>
      <c r="E51" t="str">
        <f>IF(OR(D51&gt;2,D51&lt;-2),"⚠️ ANOMALY","Normal")</f>
        <v>Normal</v>
      </c>
      <c r="F51" t="str">
        <f>IF(D51&gt;2,"HIGH SPIKE",IF(D51&lt;-2,"LOW DIP",IF(D51&gt;1,"Elevated",IF(D51&lt;-1,"Below Avg","Normal"))))</f>
        <v>Normal</v>
      </c>
    </row>
    <row r="52" spans="1:6">
      <c r="A52" t="str">
        <f>A10</f>
        <v>2023-06</v>
      </c>
      <c r="B52" s="10">
        <f>E10</f>
        <v>43272.063542537922</v>
      </c>
      <c r="C52" s="10">
        <f>B52-$B$34</f>
        <v>27960.694732155513</v>
      </c>
      <c r="D52" s="22">
        <f>IF($B$35&lt;&gt;0,C52/$B$35,0)</f>
        <v>2.6787284199224421</v>
      </c>
      <c r="E52" t="str">
        <f>IF(OR(D52&gt;2,D52&lt;-2),"⚠️ ANOMALY","Normal")</f>
        <v>⚠️ ANOMALY</v>
      </c>
      <c r="F52" t="str">
        <f>IF(D52&gt;2,"HIGH SPIKE",IF(D52&lt;-2,"LOW DIP",IF(D52&gt;1,"Elevated",IF(D52&lt;-1,"Below Avg","Normal"))))</f>
        <v>HIGH SPIKE</v>
      </c>
    </row>
    <row r="53" spans="1:6">
      <c r="A53" t="str">
        <f>A11</f>
        <v>2023-07</v>
      </c>
      <c r="B53" s="10">
        <f>E11</f>
        <v>18193.777059087704</v>
      </c>
      <c r="C53" s="10">
        <f>B53-$B$34</f>
        <v>2882.4082487052947</v>
      </c>
      <c r="D53" s="22">
        <f>IF($B$35&lt;&gt;0,C53/$B$35,0)</f>
        <v>0.27614438652506668</v>
      </c>
      <c r="E53" t="str">
        <f>IF(OR(D53&gt;2,D53&lt;-2),"⚠️ ANOMALY","Normal")</f>
        <v>Normal</v>
      </c>
      <c r="F53" t="str">
        <f>IF(D53&gt;2,"HIGH SPIKE",IF(D53&lt;-2,"LOW DIP",IF(D53&gt;1,"Elevated",IF(D53&lt;-1,"Below Avg","Normal"))))</f>
        <v>Normal</v>
      </c>
    </row>
    <row r="54" spans="1:6">
      <c r="A54" t="str">
        <f>A12</f>
        <v>2023-08</v>
      </c>
      <c r="B54" s="10">
        <f>E12</f>
        <v>13710.790796394858</v>
      </c>
      <c r="C54" s="10">
        <f>B54-$B$34</f>
        <v>-1600.5780139875515</v>
      </c>
      <c r="D54" s="22">
        <f>IF($B$35&lt;&gt;0,C54/$B$35,0)</f>
        <v>-0.15334074691072408</v>
      </c>
      <c r="E54" t="str">
        <f>IF(OR(D54&gt;2,D54&lt;-2),"⚠️ ANOMALY","Normal")</f>
        <v>Normal</v>
      </c>
      <c r="F54" t="str">
        <f>IF(D54&gt;2,"HIGH SPIKE",IF(D54&lt;-2,"LOW DIP",IF(D54&gt;1,"Elevated",IF(D54&lt;-1,"Below Avg","Normal"))))</f>
        <v>Normal</v>
      </c>
    </row>
    <row r="55" spans="1:6">
      <c r="A55" t="str">
        <f>A13</f>
        <v>2023-09</v>
      </c>
      <c r="B55" s="10">
        <f>E13</f>
        <v>2237.7491093667304</v>
      </c>
      <c r="C55" s="10">
        <f>B55-$B$34</f>
        <v>-13073.619701015679</v>
      </c>
      <c r="D55" s="22">
        <f>IF($B$35&lt;&gt;0,C55/$B$35,0)</f>
        <v>-1.2524966557463242</v>
      </c>
      <c r="E55" t="str">
        <f>IF(OR(D55&gt;2,D55&lt;-2),"⚠️ ANOMALY","Normal")</f>
        <v>Normal</v>
      </c>
      <c r="F55" t="str">
        <f>IF(D55&gt;2,"HIGH SPIKE",IF(D55&lt;-2,"LOW DIP",IF(D55&gt;1,"Elevated",IF(D55&lt;-1,"Below Avg","Normal"))))</f>
        <v>Below Avg</v>
      </c>
    </row>
    <row r="56" spans="1:6">
      <c r="A56" t="str">
        <f>A14</f>
        <v>2023-10</v>
      </c>
      <c r="B56" s="10">
        <f>E14</f>
        <v>5901.1419038254407</v>
      </c>
      <c r="C56" s="10">
        <f>B56-$B$34</f>
        <v>-9410.226906556969</v>
      </c>
      <c r="D56" s="22">
        <f>IF($B$35&lt;&gt;0,C56/$B$35,0)</f>
        <v>-0.90153132795816404</v>
      </c>
      <c r="E56" t="str">
        <f>IF(OR(D56&gt;2,D56&lt;-2),"⚠️ ANOMALY","Normal")</f>
        <v>Normal</v>
      </c>
      <c r="F56" t="str">
        <f>IF(D56&gt;2,"HIGH SPIKE",IF(D56&lt;-2,"LOW DIP",IF(D56&gt;1,"Elevated",IF(D56&lt;-1,"Below Avg","Normal"))))</f>
        <v>Normal</v>
      </c>
    </row>
    <row r="57" spans="1:6">
      <c r="A57" t="str">
        <f>A15</f>
        <v>2023-11</v>
      </c>
      <c r="B57" s="10">
        <f>E15</f>
        <v>17827.248096763051</v>
      </c>
      <c r="C57" s="10">
        <f>B57-$B$34</f>
        <v>2515.8792863806411</v>
      </c>
      <c r="D57" s="22">
        <f>IF($B$35&lt;&gt;0,C57/$B$35,0)</f>
        <v>0.24102968148969431</v>
      </c>
      <c r="E57" t="str">
        <f>IF(OR(D57&gt;2,D57&lt;-2),"⚠️ ANOMALY","Normal")</f>
        <v>Normal</v>
      </c>
      <c r="F57" t="str">
        <f>IF(D57&gt;2,"HIGH SPIKE",IF(D57&lt;-2,"LOW DIP",IF(D57&gt;1,"Elevated",IF(D57&lt;-1,"Below Avg","Normal"))))</f>
        <v>Normal</v>
      </c>
    </row>
    <row r="58" spans="1:6">
      <c r="A58" t="str">
        <f>A16</f>
        <v>2023-12</v>
      </c>
      <c r="B58" s="10">
        <f>E16</f>
        <v>15537.118982756472</v>
      </c>
      <c r="C58" s="10">
        <f>B58-$B$34</f>
        <v>225.75017237406246</v>
      </c>
      <c r="D58" s="22">
        <f>IF($B$35&lt;&gt;0,C58/$B$35,0)</f>
        <v>2.1627624361040786E-2</v>
      </c>
      <c r="E58" t="str">
        <f>IF(OR(D58&gt;2,D58&lt;-2),"⚠️ ANOMALY","Normal")</f>
        <v>Normal</v>
      </c>
      <c r="F58" t="str">
        <f>IF(D58&gt;2,"HIGH SPIKE",IF(D58&lt;-2,"LOW DIP",IF(D58&gt;1,"Elevated",IF(D58&lt;-1,"Below Avg","Normal"))))</f>
        <v>Normal</v>
      </c>
    </row>
    <row r="59" spans="1:6">
      <c r="A59" t="str">
        <f>A17</f>
        <v>2024-01</v>
      </c>
      <c r="B59" s="10">
        <f>E17</f>
        <v>644.76793831903979</v>
      </c>
      <c r="C59" s="10">
        <f>B59-$B$34</f>
        <v>-14666.600872063369</v>
      </c>
      <c r="D59" s="22">
        <f>IF($B$35&lt;&gt;0,C59/$B$35,0)</f>
        <v>-1.4051095996006637</v>
      </c>
      <c r="E59" t="str">
        <f>IF(OR(D59&gt;2,D59&lt;-2),"⚠️ ANOMALY","Normal")</f>
        <v>Normal</v>
      </c>
      <c r="F59" t="str">
        <f>IF(D59&gt;2,"HIGH SPIKE",IF(D59&lt;-2,"LOW DIP",IF(D59&gt;1,"Elevated",IF(D59&lt;-1,"Below Avg","Normal"))))</f>
        <v>Below Avg</v>
      </c>
    </row>
    <row r="60" spans="1:6">
      <c r="A60" t="str">
        <f>A18</f>
        <v>2024-02</v>
      </c>
      <c r="B60" s="10">
        <f>E18</f>
        <v>8121.4517786345641</v>
      </c>
      <c r="C60" s="10">
        <f>B60-$B$34</f>
        <v>-7189.9170317478456</v>
      </c>
      <c r="D60" s="22">
        <f>IF($B$35&lt;&gt;0,C60/$B$35,0)</f>
        <v>-0.68881818832913555</v>
      </c>
      <c r="E60" t="str">
        <f>IF(OR(D60&gt;2,D60&lt;-2),"⚠️ ANOMALY","Normal")</f>
        <v>Normal</v>
      </c>
      <c r="F60" t="str">
        <f>IF(D60&gt;2,"HIGH SPIKE",IF(D60&lt;-2,"LOW DIP",IF(D60&gt;1,"Elevated",IF(D60&lt;-1,"Below Avg","Normal"))))</f>
        <v>Normal</v>
      </c>
    </row>
    <row r="61" spans="1:6">
      <c r="A61" t="str">
        <f>A19</f>
        <v>2024-03</v>
      </c>
      <c r="B61" s="10">
        <f>E19</f>
        <v>8237.129722517162</v>
      </c>
      <c r="C61" s="10">
        <f>B61-$B$34</f>
        <v>-7074.2390878652477</v>
      </c>
      <c r="D61" s="22">
        <f>IF($B$35&lt;&gt;0,C61/$B$35,0)</f>
        <v>-0.67773585297213346</v>
      </c>
      <c r="E61" t="str">
        <f>IF(OR(D61&gt;2,D61&lt;-2),"⚠️ ANOMALY","Normal")</f>
        <v>Normal</v>
      </c>
      <c r="F61" t="str">
        <f>IF(D61&gt;2,"HIGH SPIKE",IF(D61&lt;-2,"LOW DIP",IF(D61&gt;1,"Elevated",IF(D61&lt;-1,"Below Avg","Normal"))))</f>
        <v>Normal</v>
      </c>
    </row>
    <row r="62" spans="1:6">
      <c r="A62" t="str">
        <f>A20</f>
        <v>2024-04</v>
      </c>
      <c r="B62" s="10">
        <f>E20</f>
        <v>23321.794619150045</v>
      </c>
      <c r="C62" s="10">
        <f>B62-$B$34</f>
        <v>8010.4258087676353</v>
      </c>
      <c r="D62" s="22">
        <f>IF($B$35&lt;&gt;0,C62/$B$35,0)</f>
        <v>0.76742568363114072</v>
      </c>
      <c r="E62" t="str">
        <f>IF(OR(D62&gt;2,D62&lt;-2),"⚠️ ANOMALY","Normal")</f>
        <v>Normal</v>
      </c>
      <c r="F62" t="str">
        <f>IF(D62&gt;2,"HIGH SPIKE",IF(D62&lt;-2,"LOW DIP",IF(D62&gt;1,"Elevated",IF(D62&lt;-1,"Below Avg","Normal"))))</f>
        <v>Normal</v>
      </c>
    </row>
    <row r="63" spans="1:6">
      <c r="A63" t="str">
        <f>A21</f>
        <v>2024-05</v>
      </c>
      <c r="B63" s="10">
        <f>E21</f>
        <v>13942.691549295689</v>
      </c>
      <c r="C63" s="10">
        <f>B63-$B$34</f>
        <v>-1368.677261086721</v>
      </c>
      <c r="D63" s="22">
        <f>IF($B$35&lt;&gt;0,C63/$B$35,0)</f>
        <v>-0.13112387628760358</v>
      </c>
      <c r="E63" t="str">
        <f>IF(OR(D63&gt;2,D63&lt;-2),"⚠️ ANOMALY","Normal")</f>
        <v>Normal</v>
      </c>
      <c r="F63" t="str">
        <f>IF(D63&gt;2,"HIGH SPIKE",IF(D63&lt;-2,"LOW DIP",IF(D63&gt;1,"Elevated",IF(D63&lt;-1,"Below Avg","Normal"))))</f>
        <v>Normal</v>
      </c>
    </row>
    <row r="64" spans="1:6">
      <c r="A64" t="str">
        <f>A22</f>
        <v>2024-06</v>
      </c>
      <c r="B64" s="10">
        <f>E22</f>
        <v>10223.253776415779</v>
      </c>
      <c r="C64" s="10">
        <f>B64-$B$34</f>
        <v>-5088.115033966631</v>
      </c>
      <c r="D64" s="22">
        <f>IF($B$35&lt;&gt;0,C64/$B$35,0)</f>
        <v>-0.487458501152569</v>
      </c>
      <c r="E64" t="str">
        <f>IF(OR(D64&gt;2,D64&lt;-2),"⚠️ ANOMALY","Normal")</f>
        <v>Normal</v>
      </c>
      <c r="F64" t="str">
        <f>IF(D64&gt;2,"HIGH SPIKE",IF(D64&lt;-2,"LOW DIP",IF(D64&gt;1,"Elevated",IF(D64&lt;-1,"Below Avg","Normal"))))</f>
        <v>Normal</v>
      </c>
    </row>
    <row r="65" spans="1:6">
      <c r="A65" t="str">
        <f>A23</f>
        <v>2024-07</v>
      </c>
      <c r="B65" s="10">
        <f>E23</f>
        <v>34338.355959211192</v>
      </c>
      <c r="C65" s="10">
        <f>B65-$B$34</f>
        <v>19026.987148828783</v>
      </c>
      <c r="D65" s="22">
        <f>IF($B$35&lt;&gt;0,C65/$B$35,0)</f>
        <v>1.8228492428141312</v>
      </c>
      <c r="E65" t="str">
        <f>IF(OR(D65&gt;2,D65&lt;-2),"⚠️ ANOMALY","Normal")</f>
        <v>Normal</v>
      </c>
      <c r="F65" t="str">
        <f>IF(D65&gt;2,"HIGH SPIKE",IF(D65&lt;-2,"LOW DIP",IF(D65&gt;1,"Elevated",IF(D65&lt;-1,"Below Avg","Normal"))))</f>
        <v>Elevated</v>
      </c>
    </row>
    <row r="66" spans="1:6">
      <c r="A66" t="str">
        <f>A24</f>
        <v>2024-08</v>
      </c>
      <c r="B66" s="10">
        <f>E24</f>
        <v>12520.224512058165</v>
      </c>
      <c r="C66" s="10">
        <f>B66-$B$34</f>
        <v>-2791.144298324245</v>
      </c>
      <c r="D66" s="22">
        <f>IF($B$35&lt;&gt;0,C66/$B$35,0)</f>
        <v>-0.2674009937037517</v>
      </c>
      <c r="E66" t="str">
        <f>IF(OR(D66&gt;2,D66&lt;-2),"⚠️ ANOMALY","Normal")</f>
        <v>Normal</v>
      </c>
      <c r="F66" t="str">
        <f>IF(D66&gt;2,"HIGH SPIKE",IF(D66&lt;-2,"LOW DIP",IF(D66&gt;1,"Elevated",IF(D66&lt;-1,"Below Avg","Normal"))))</f>
        <v>Normal</v>
      </c>
    </row>
    <row r="67" spans="1:6">
      <c r="A67" t="str">
        <f>A25</f>
        <v>2024-09</v>
      </c>
      <c r="B67" s="10">
        <f>E25</f>
        <v>1747.6036402145637</v>
      </c>
      <c r="C67" s="10">
        <f>B67-$B$34</f>
        <v>-13563.765170167846</v>
      </c>
      <c r="D67" s="22">
        <f>IF($B$35&lt;&gt;0,C67/$B$35,0)</f>
        <v>-1.2994542371187277</v>
      </c>
      <c r="E67" t="str">
        <f>IF(OR(D67&gt;2,D67&lt;-2),"⚠️ ANOMALY","Normal")</f>
        <v>Normal</v>
      </c>
      <c r="F67" t="str">
        <f>IF(D67&gt;2,"HIGH SPIKE",IF(D67&lt;-2,"LOW DIP",IF(D67&gt;1,"Elevated",IF(D67&lt;-1,"Below Avg","Normal"))))</f>
        <v>Below Avg</v>
      </c>
    </row>
    <row r="68" spans="1:6">
      <c r="A68" t="str">
        <f>A26</f>
        <v>2024-10</v>
      </c>
      <c r="B68" s="10">
        <f>E26</f>
        <v>23076.621397726445</v>
      </c>
      <c r="C68" s="10">
        <f>B68-$B$34</f>
        <v>7765.2525873440354</v>
      </c>
      <c r="D68" s="22">
        <f>IF($B$35&lt;&gt;0,C68/$B$35,0)</f>
        <v>0.74393726596761067</v>
      </c>
      <c r="E68" t="str">
        <f>IF(OR(D68&gt;2,D68&lt;-2),"⚠️ ANOMALY","Normal")</f>
        <v>Normal</v>
      </c>
      <c r="F68" t="str">
        <f>IF(D68&gt;2,"HIGH SPIKE",IF(D68&lt;-2,"LOW DIP",IF(D68&gt;1,"Elevated",IF(D68&lt;-1,"Below Avg","Normal"))))</f>
        <v>Normal</v>
      </c>
    </row>
    <row r="69" spans="1:6">
      <c r="A69" t="str">
        <f>A27</f>
        <v>2024-11</v>
      </c>
      <c r="B69" s="10">
        <f>E27</f>
        <v>31289.044674894081</v>
      </c>
      <c r="C69" s="10">
        <f>B69-$B$34</f>
        <v>15977.675864511672</v>
      </c>
      <c r="D69" s="22">
        <f>IF($B$35&lt;&gt;0,C69/$B$35,0)</f>
        <v>1.5307149851807997</v>
      </c>
      <c r="E69" t="str">
        <f>IF(OR(D69&gt;2,D69&lt;-2),"⚠️ ANOMALY","Normal")</f>
        <v>Normal</v>
      </c>
      <c r="F69" t="str">
        <f>IF(D69&gt;2,"HIGH SPIKE",IF(D69&lt;-2,"LOW DIP",IF(D69&gt;1,"Elevated",IF(D69&lt;-1,"Below Avg","Normal"))))</f>
        <v>Elevated</v>
      </c>
    </row>
    <row r="70" spans="1:6">
      <c r="A70" t="str">
        <f>A28</f>
        <v>2024-12</v>
      </c>
      <c r="B70" s="10">
        <f>E28</f>
        <v>9743.5312541310159</v>
      </c>
      <c r="C70" s="10">
        <f>B70-$B$34</f>
        <v>-5567.8375562513938</v>
      </c>
      <c r="D70" s="22">
        <f>IF($B$35&lt;&gt;0,C70/$B$35,0)</f>
        <v>-0.53341752922504515</v>
      </c>
      <c r="E70" t="str">
        <f>IF(OR(D70&gt;2,D70&lt;-2),"⚠️ ANOMALY","Normal")</f>
        <v>Normal</v>
      </c>
      <c r="F70" t="str">
        <f>IF(D70&gt;2,"HIGH SPIKE",IF(D70&lt;-2,"LOW DIP",IF(D70&gt;1,"Elevated",IF(D70&lt;-1,"Below Avg","Normal"))))</f>
        <v>Normal</v>
      </c>
    </row>
    <row r="73" spans="1:6">
      <c r="A73" s="3" t="s">
        <v>9471</v>
      </c>
    </row>
    <row r="74" spans="1:6">
      <c r="A74" s="9" t="s">
        <v>32</v>
      </c>
      <c r="B74" s="9" t="s">
        <v>8</v>
      </c>
      <c r="C74" s="9" t="s">
        <v>33</v>
      </c>
      <c r="D74" s="9" t="s">
        <v>9301</v>
      </c>
      <c r="E74" s="9" t="s">
        <v>9472</v>
      </c>
      <c r="F74" s="9" t="s">
        <v>9247</v>
      </c>
    </row>
    <row r="75" spans="1:6">
      <c r="A75">
        <v>2023</v>
      </c>
      <c r="B75" s="10">
        <f>SUMIF(reconciliation_base!AC:AC,"2023-*",reconciliation_base!Z:Z)</f>
        <v>190266.38062661007</v>
      </c>
      <c r="C75" s="14">
        <f>COUNTIF(reconciliation_base!AC:AC,"2023-*")</f>
        <v>2003</v>
      </c>
      <c r="D75" s="10">
        <f>IF(C75&gt;0,B75/C75,0)</f>
        <v>94.990704256919656</v>
      </c>
      <c r="E75">
        <f>COUNTIFS(A47:A70,"2023-*",E47:E70,"*ANOMALY*")</f>
        <v>1</v>
      </c>
      <c r="F75" s="7">
        <f>IF($E$29&lt;&gt;0,B75/$E$29,0)</f>
        <v>0.5177698974938405</v>
      </c>
    </row>
    <row r="76" spans="1:6">
      <c r="A76">
        <v>2024</v>
      </c>
      <c r="B76" s="10">
        <f>SUMIF(reconciliation_base!AC:AC,"2024-*",reconciliation_base!Z:Z)</f>
        <v>177206.47082256788</v>
      </c>
      <c r="C76" s="14">
        <f>COUNTIF(reconciliation_base!AC:AC,"2024-*")</f>
        <v>1997</v>
      </c>
      <c r="D76" s="10">
        <f>IF(C76&gt;0,B76/C76,0)</f>
        <v>88.736339921165694</v>
      </c>
      <c r="E76">
        <f>COUNTIFS(A47:A70,"2024-*",E47:E70,"*ANOMALY*")</f>
        <v>0</v>
      </c>
      <c r="F76" s="7">
        <f>IF($E$29&lt;&gt;0,B76/$E$29,0)</f>
        <v>0.48223010250615983</v>
      </c>
    </row>
    <row r="77" spans="1:6">
      <c r="A77" s="3" t="s">
        <v>43</v>
      </c>
      <c r="B77" s="10">
        <f>B76-B75</f>
        <v>-13059.909804042196</v>
      </c>
      <c r="C77" s="14">
        <f>C76-C75</f>
        <v>-6</v>
      </c>
      <c r="D77" s="10">
        <f>D76-D75</f>
        <v>-6.2543643357539622</v>
      </c>
      <c r="E77">
        <f>E76-E75</f>
        <v>-1</v>
      </c>
    </row>
    <row r="80" spans="1:6" ht="15.75">
      <c r="A80" s="13" t="s">
        <v>9473</v>
      </c>
    </row>
    <row r="82" spans="1:1">
      <c r="A82" t="s">
        <v>9474</v>
      </c>
    </row>
    <row r="83" spans="1:1">
      <c r="A83" t="s">
        <v>9475</v>
      </c>
    </row>
    <row r="84" spans="1:1">
      <c r="A84" t="s">
        <v>9476</v>
      </c>
    </row>
    <row r="85" spans="1:1">
      <c r="A85" t="s">
        <v>9477</v>
      </c>
    </row>
    <row r="87" spans="1:1">
      <c r="A87" t="s">
        <v>9478</v>
      </c>
    </row>
    <row r="88" spans="1:1">
      <c r="A88" t="s">
        <v>9479</v>
      </c>
    </row>
    <row r="89" spans="1:1">
      <c r="A89" t="s">
        <v>9480</v>
      </c>
    </row>
    <row r="90" spans="1:1">
      <c r="A90" t="s">
        <v>9481</v>
      </c>
    </row>
    <row r="91" spans="1:1">
      <c r="A91" t="s">
        <v>9482</v>
      </c>
    </row>
    <row r="93" spans="1:1">
      <c r="A93" t="s">
        <v>9483</v>
      </c>
    </row>
    <row r="94" spans="1:1">
      <c r="A94" t="s">
        <v>9484</v>
      </c>
    </row>
    <row r="95" spans="1:1">
      <c r="A95" t="s">
        <v>9485</v>
      </c>
    </row>
    <row r="96" spans="1:1">
      <c r="A96" t="s">
        <v>9486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998B-CC02-441E-AC3F-0FE7A73D74AA}">
  <dimension ref="A1:K34"/>
  <sheetViews>
    <sheetView workbookViewId="0"/>
  </sheetViews>
  <sheetFormatPr defaultRowHeight="15"/>
  <cols>
    <col min="1" max="1" width="30.42578125" customWidth="1"/>
    <col min="2" max="8" width="18.140625" customWidth="1"/>
    <col min="9" max="9" width="38.140625" customWidth="1"/>
    <col min="10" max="10" width="17.140625" customWidth="1"/>
    <col min="11" max="11" width="28.5703125" customWidth="1"/>
  </cols>
  <sheetData>
    <row r="1" spans="1:11" ht="18.75">
      <c r="A1" s="4" t="s">
        <v>9487</v>
      </c>
    </row>
    <row r="3" spans="1:11">
      <c r="A3" s="3" t="s">
        <v>9488</v>
      </c>
      <c r="I3" s="3" t="s">
        <v>9489</v>
      </c>
    </row>
    <row r="4" spans="1:11">
      <c r="A4" s="29" t="s">
        <v>9490</v>
      </c>
      <c r="B4" s="30" t="s">
        <v>9271</v>
      </c>
      <c r="C4" s="30" t="s">
        <v>60</v>
      </c>
      <c r="D4" s="30" t="s">
        <v>8</v>
      </c>
      <c r="E4" s="30" t="s">
        <v>61</v>
      </c>
      <c r="F4" s="30" t="s">
        <v>9491</v>
      </c>
      <c r="G4" s="30" t="s">
        <v>9492</v>
      </c>
      <c r="H4" s="30" t="s">
        <v>9493</v>
      </c>
      <c r="I4" s="31" t="s">
        <v>3</v>
      </c>
      <c r="J4" s="5" t="s">
        <v>4</v>
      </c>
      <c r="K4" s="5" t="s">
        <v>38</v>
      </c>
    </row>
    <row r="5" spans="1:11">
      <c r="A5" s="23" t="s">
        <v>9251</v>
      </c>
      <c r="B5" s="24">
        <f>COUNTIF(reconciliation_base!Q:Q,1)</f>
        <v>197</v>
      </c>
      <c r="C5" s="25">
        <f>B5/4000</f>
        <v>4.9250000000000002E-2</v>
      </c>
      <c r="D5" s="26">
        <f>SUMIF(reconciliation_base!Q:Q,1,reconciliation_base!Z:Z)</f>
        <v>363390.07475726592</v>
      </c>
      <c r="E5" s="26">
        <f>IF(B5&gt;0,D5/B5,0)</f>
        <v>1844.6196688186087</v>
      </c>
      <c r="F5" s="26">
        <f>SUMIFS(reconciliation_base!Z:Z,reconciliation_base!Q:Q,1,reconciliation_base!Z:Z,"&gt;0")</f>
        <v>489271.19749039994</v>
      </c>
      <c r="G5" s="26">
        <f>SUMIFS(reconciliation_base!Z:Z,reconciliation_base!Q:Q,1,reconciliation_base!Z:Z,"&lt;0")</f>
        <v>-125881.12273313399</v>
      </c>
      <c r="H5" s="24">
        <f>COUNTIFS(reconciliation_base!Q:Q,1,reconciliation_base!Z:Z,0)</f>
        <v>0</v>
      </c>
      <c r="I5" s="27" t="s">
        <v>9494</v>
      </c>
      <c r="J5" s="7">
        <f>D5/367472.85</f>
        <v>0.98888958669263849</v>
      </c>
      <c r="K5" t="s">
        <v>9495</v>
      </c>
    </row>
    <row r="6" spans="1:11">
      <c r="A6" s="23" t="s">
        <v>9253</v>
      </c>
      <c r="B6" s="24">
        <f>COUNTIF(reconciliation_base!R:R,1)</f>
        <v>123</v>
      </c>
      <c r="C6" s="25">
        <f>B6/4000</f>
        <v>3.075E-2</v>
      </c>
      <c r="D6" s="26">
        <f>SUMIF(reconciliation_base!R:R,1,reconciliation_base!Z:Z)</f>
        <v>36253.36674917784</v>
      </c>
      <c r="E6" s="26">
        <f>IF(B6&gt;0,D6/B6,0)</f>
        <v>294.74281909900685</v>
      </c>
      <c r="F6" s="26">
        <f>SUMIFS(reconciliation_base!Z:Z,reconciliation_base!R:R,1,reconciliation_base!Z:Z,"&gt;0")</f>
        <v>36779.266782311788</v>
      </c>
      <c r="G6" s="26">
        <f>SUMIFS(reconciliation_base!Z:Z,reconciliation_base!R:R,1,reconciliation_base!Z:Z,"&lt;0")</f>
        <v>-525.90003313395573</v>
      </c>
      <c r="H6" s="24">
        <f>COUNTIFS(reconciliation_base!R:R,1,reconciliation_base!Z:Z,0)</f>
        <v>0</v>
      </c>
      <c r="I6" s="27" t="s">
        <v>9496</v>
      </c>
      <c r="J6" s="7">
        <f>D6/367472.85</f>
        <v>9.8655905461254731E-2</v>
      </c>
      <c r="K6" t="s">
        <v>9495</v>
      </c>
    </row>
    <row r="7" spans="1:11">
      <c r="A7" s="23" t="s">
        <v>9254</v>
      </c>
      <c r="B7" s="24">
        <f>COUNTIF(reconciliation_base!S:S,1)</f>
        <v>7</v>
      </c>
      <c r="C7" s="25">
        <f>B7/4000</f>
        <v>1.75E-3</v>
      </c>
      <c r="D7" s="26">
        <f>SUMIF(reconciliation_base!S:S,1,reconciliation_base!Z:Z)</f>
        <v>7438.1759999999995</v>
      </c>
      <c r="E7" s="26">
        <f>IF(B7&gt;0,D7/B7,0)</f>
        <v>1062.5965714285715</v>
      </c>
      <c r="F7" s="26">
        <f>SUMIFS(reconciliation_base!Z:Z,reconciliation_base!S:S,1,reconciliation_base!Z:Z,"&gt;0")</f>
        <v>7438.1759999999995</v>
      </c>
      <c r="G7" s="26">
        <f>SUMIFS(reconciliation_base!Z:Z,reconciliation_base!S:S,1,reconciliation_base!Z:Z,"&lt;0")</f>
        <v>0</v>
      </c>
      <c r="H7" s="24">
        <f>COUNTIFS(reconciliation_base!S:S,1,reconciliation_base!Z:Z,0)</f>
        <v>6</v>
      </c>
      <c r="I7" s="27" t="s">
        <v>9497</v>
      </c>
      <c r="J7" s="22">
        <f>IF(E6&lt;&gt;0,E5/E6,"N/A")</f>
        <v>6.2584041044914613</v>
      </c>
      <c r="K7" t="s">
        <v>9498</v>
      </c>
    </row>
    <row r="8" spans="1:11">
      <c r="A8" s="23" t="s">
        <v>9260</v>
      </c>
      <c r="B8" s="24">
        <f>COUNTIF(reconciliation_base!T:T,1)</f>
        <v>5</v>
      </c>
      <c r="C8" s="25">
        <f>B8/4000</f>
        <v>1.25E-3</v>
      </c>
      <c r="D8" s="26">
        <f>SUMIF(reconciliation_base!T:T,1,reconciliation_base!Z:Z)</f>
        <v>7438.1759999999995</v>
      </c>
      <c r="E8" s="26">
        <f>IF(B8&gt;0,D8/B8,0)</f>
        <v>1487.6351999999999</v>
      </c>
      <c r="F8" s="26">
        <f>SUMIFS(reconciliation_base!Z:Z,reconciliation_base!T:T,1,reconciliation_base!Z:Z,"&gt;0")</f>
        <v>7438.1759999999995</v>
      </c>
      <c r="G8" s="26">
        <f>SUMIFS(reconciliation_base!Z:Z,reconciliation_base!T:T,1,reconciliation_base!Z:Z,"&lt;0")</f>
        <v>0</v>
      </c>
      <c r="H8" s="24">
        <f>COUNTIFS(reconciliation_base!T:T,1,reconciliation_base!Z:Z,0)</f>
        <v>4</v>
      </c>
      <c r="I8" s="27" t="s">
        <v>9499</v>
      </c>
      <c r="J8" s="7">
        <f>E25</f>
        <v>0.87817258883248728</v>
      </c>
      <c r="K8" t="s">
        <v>9500</v>
      </c>
    </row>
    <row r="9" spans="1:11">
      <c r="A9" s="23" t="s">
        <v>9255</v>
      </c>
      <c r="B9" s="24">
        <f>COUNTIF(reconciliation_base!U:U,1)</f>
        <v>191</v>
      </c>
      <c r="C9" s="25">
        <f>B9/4000</f>
        <v>4.7750000000000001E-2</v>
      </c>
      <c r="D9" s="26">
        <f>SUMIF(reconciliation_base!U:U,1,reconciliation_base!Z:Z)</f>
        <v>28457.737419609039</v>
      </c>
      <c r="E9" s="26">
        <f>IF(B9&gt;0,D9/B9,0)</f>
        <v>148.99338963146093</v>
      </c>
      <c r="F9" s="26">
        <f>SUMIFS(reconciliation_base!Z:Z,reconciliation_base!U:U,1,reconciliation_base!Z:Z,"&gt;0")</f>
        <v>28843.630419609039</v>
      </c>
      <c r="G9" s="26">
        <f>SUMIFS(reconciliation_base!Z:Z,reconciliation_base!U:U,1,reconciliation_base!Z:Z,"&lt;0")</f>
        <v>-385.89300000000003</v>
      </c>
      <c r="H9" s="24">
        <f>COUNTIFS(reconciliation_base!U:U,1,reconciliation_base!Z:Z,0)</f>
        <v>180</v>
      </c>
      <c r="I9" s="27" t="s">
        <v>9501</v>
      </c>
      <c r="J9" s="7">
        <f>E26</f>
        <v>0.11382113821138211</v>
      </c>
      <c r="K9" t="s">
        <v>9500</v>
      </c>
    </row>
    <row r="10" spans="1:11">
      <c r="A10" s="23" t="s">
        <v>9257</v>
      </c>
      <c r="B10" s="24">
        <f>COUNTIF(reconciliation_base!V:V,1)</f>
        <v>15</v>
      </c>
      <c r="C10" s="25">
        <f>B10/4000</f>
        <v>3.7499999999999999E-3</v>
      </c>
      <c r="D10" s="26">
        <f>SUMIF(reconciliation_base!V:V,1,reconciliation_base!Z:Z)</f>
        <v>3979.4255999999987</v>
      </c>
      <c r="E10" s="26">
        <f>IF(B10&gt;0,D10/B10,0)</f>
        <v>265.29503999999991</v>
      </c>
      <c r="F10" s="26">
        <f>SUMIFS(reconciliation_base!Z:Z,reconciliation_base!V:V,1,reconciliation_base!Z:Z,"&gt;0")</f>
        <v>3979.4255999999987</v>
      </c>
      <c r="G10" s="26">
        <f>SUMIFS(reconciliation_base!Z:Z,reconciliation_base!V:V,1,reconciliation_base!Z:Z,"&lt;0")</f>
        <v>0</v>
      </c>
      <c r="H10" s="24">
        <f>COUNTIFS(reconciliation_base!V:V,1,reconciliation_base!Z:Z,0)</f>
        <v>14</v>
      </c>
      <c r="I10" s="27" t="s">
        <v>9502</v>
      </c>
      <c r="J10" s="7" t="str">
        <f>I9</f>
        <v>List Price Mismatch HIGH Risk Rate</v>
      </c>
      <c r="K10" t="s">
        <v>9503</v>
      </c>
    </row>
    <row r="11" spans="1:11">
      <c r="A11" s="23" t="s">
        <v>9258</v>
      </c>
      <c r="B11" s="24">
        <f>COUNTIF(reconciliation_base!P:P,1)</f>
        <v>0</v>
      </c>
      <c r="C11" s="25">
        <f>B11/4000</f>
        <v>0</v>
      </c>
      <c r="D11" s="26">
        <f>SUMIF(reconciliation_base!P:P,1,reconciliation_base!Z:Z)</f>
        <v>0</v>
      </c>
      <c r="E11" s="26">
        <f>IF(B11&gt;0,D11/B11,0)</f>
        <v>0</v>
      </c>
      <c r="F11" s="26">
        <f>SUMIFS(reconciliation_base!Z:Z,reconciliation_base!P:P,1,reconciliation_base!Z:Z,"&gt;0")</f>
        <v>0</v>
      </c>
      <c r="G11" s="26">
        <f>SUMIFS(reconciliation_base!Z:Z,reconciliation_base!P:P,1,reconciliation_base!Z:Z,"&lt;0")</f>
        <v>0</v>
      </c>
      <c r="H11" s="24">
        <f>COUNTIFS(reconciliation_base!P:P,1,reconciliation_base!Z:Z,0)</f>
        <v>0</v>
      </c>
      <c r="I11" s="27" t="s">
        <v>9504</v>
      </c>
      <c r="J11" s="7">
        <f>E16</f>
        <v>0.67005076142131981</v>
      </c>
      <c r="K11" t="s">
        <v>9505</v>
      </c>
    </row>
    <row r="12" spans="1:11">
      <c r="A12" s="23" t="s">
        <v>9506</v>
      </c>
      <c r="B12" s="24">
        <f>COUNTIF(reconciliation_base!W:W,"FAIL")</f>
        <v>503</v>
      </c>
      <c r="C12" s="25">
        <f>B12/4000</f>
        <v>0.12575</v>
      </c>
      <c r="D12" s="26">
        <f>SUMIF(reconciliation_base!W:W,"FAIL",reconciliation_base!Z:Z)</f>
        <v>367472.85144917783</v>
      </c>
      <c r="E12" s="26">
        <f>IF(B12&gt;0,D12/B12,0)</f>
        <v>730.56232892480682</v>
      </c>
      <c r="F12" s="26"/>
      <c r="G12" s="26"/>
      <c r="H12" s="24"/>
      <c r="I12" s="28" t="s">
        <v>9507</v>
      </c>
      <c r="J12" s="14">
        <f>B12</f>
        <v>503</v>
      </c>
      <c r="K12" t="s">
        <v>9508</v>
      </c>
    </row>
    <row r="13" spans="1:11">
      <c r="I13" t="s">
        <v>9509</v>
      </c>
      <c r="J13" s="7">
        <f>(4000-B12)/4000</f>
        <v>0.87424999999999997</v>
      </c>
      <c r="K13" t="s">
        <v>9510</v>
      </c>
    </row>
    <row r="14" spans="1:11">
      <c r="A14" s="3" t="s">
        <v>9511</v>
      </c>
    </row>
    <row r="15" spans="1:11">
      <c r="A15" s="5" t="s">
        <v>9490</v>
      </c>
      <c r="B15" s="5" t="s">
        <v>9512</v>
      </c>
      <c r="C15" s="5" t="s">
        <v>9513</v>
      </c>
      <c r="D15" s="5" t="s">
        <v>9514</v>
      </c>
      <c r="E15" s="5" t="s">
        <v>9515</v>
      </c>
      <c r="F15" s="5" t="s">
        <v>9516</v>
      </c>
      <c r="G15" s="5" t="s">
        <v>9517</v>
      </c>
      <c r="I15" s="52" t="s">
        <v>9473</v>
      </c>
      <c r="J15" s="52"/>
      <c r="K15" s="52"/>
    </row>
    <row r="16" spans="1:11">
      <c r="A16" t="s">
        <v>9251</v>
      </c>
      <c r="B16">
        <f>COUNTIFS(reconciliation_base!Q:Q,1,reconciliation_base!Z:Z,"&gt;0")</f>
        <v>132</v>
      </c>
      <c r="C16">
        <f>COUNTIFS(reconciliation_base!Q:Q,1,reconciliation_base!Z:Z,"&lt;0")</f>
        <v>65</v>
      </c>
      <c r="D16">
        <f>COUNTIFS(reconciliation_base!Q:Q,1,reconciliation_base!Z:Z,0)</f>
        <v>0</v>
      </c>
      <c r="E16" s="7">
        <f>IF(B5&gt;0,B16/B5,0)</f>
        <v>0.67005076142131981</v>
      </c>
      <c r="F16" s="7">
        <f>IF(B5&gt;0,C16/B5,0)</f>
        <v>0.32994923857868019</v>
      </c>
      <c r="G16" t="str">
        <f>IF(B16&gt;C16,"OVERBILLING",IF(C16&gt;B16,"UNDERBILLING","BALANCED"))</f>
        <v>OVERBILLING</v>
      </c>
      <c r="I16" t="s">
        <v>9518</v>
      </c>
    </row>
    <row r="17" spans="1:9">
      <c r="A17" t="s">
        <v>9253</v>
      </c>
      <c r="B17">
        <f>COUNTIFS(reconciliation_base!R:R,1,reconciliation_base!Z:Z,"&gt;0")</f>
        <v>122</v>
      </c>
      <c r="C17">
        <f>COUNTIFS(reconciliation_base!R:R,1,reconciliation_base!Z:Z,"&lt;0")</f>
        <v>1</v>
      </c>
      <c r="D17">
        <f>COUNTIFS(reconciliation_base!R:R,1,reconciliation_base!Z:Z,0)</f>
        <v>0</v>
      </c>
      <c r="E17" s="7">
        <f>IF(B6&gt;0,B17/B6,0)</f>
        <v>0.99186991869918695</v>
      </c>
      <c r="F17" s="7">
        <f>IF(B6&gt;0,C17/B6,0)</f>
        <v>8.130081300813009E-3</v>
      </c>
      <c r="G17" t="str">
        <f>IF(B17&gt;C17,"OVERBILLING",IF(C17&gt;B17,"UNDERBILLING","BALANCED"))</f>
        <v>OVERBILLING</v>
      </c>
      <c r="I17" t="s">
        <v>9519</v>
      </c>
    </row>
    <row r="18" spans="1:9">
      <c r="A18" t="s">
        <v>9254</v>
      </c>
      <c r="B18">
        <f>COUNTIFS(reconciliation_base!S:S,1,reconciliation_base!Z:Z,"&gt;0")</f>
        <v>1</v>
      </c>
      <c r="C18">
        <f>COUNTIFS(reconciliation_base!S:S,1,reconciliation_base!Z:Z,"&lt;0")</f>
        <v>0</v>
      </c>
      <c r="D18">
        <f>COUNTIFS(reconciliation_base!S:S,1,reconciliation_base!Z:Z,0)</f>
        <v>6</v>
      </c>
      <c r="E18" s="7">
        <f>IF(B7&gt;0,B18/B7,0)</f>
        <v>0.14285714285714285</v>
      </c>
      <c r="F18" s="7">
        <f>IF(B7&gt;0,C18/B7,0)</f>
        <v>0</v>
      </c>
      <c r="G18" t="str">
        <f>IF(B18&gt;C18,"OVERBILLING",IF(C18&gt;B18,"UNDERBILLING","BALANCED"))</f>
        <v>OVERBILLING</v>
      </c>
      <c r="I18" t="s">
        <v>9520</v>
      </c>
    </row>
    <row r="19" spans="1:9">
      <c r="A19" t="s">
        <v>9260</v>
      </c>
      <c r="B19">
        <f>COUNTIFS(reconciliation_base!T:T,1,reconciliation_base!Z:Z,"&gt;0")</f>
        <v>1</v>
      </c>
      <c r="C19">
        <f>COUNTIFS(reconciliation_base!T:T,1,reconciliation_base!Z:Z,"&lt;0")</f>
        <v>0</v>
      </c>
      <c r="D19">
        <f>COUNTIFS(reconciliation_base!T:T,1,reconciliation_base!Z:Z,0)</f>
        <v>4</v>
      </c>
      <c r="E19" s="7">
        <f>IF(B8&gt;0,B19/B8,0)</f>
        <v>0.2</v>
      </c>
      <c r="F19" s="7">
        <f>IF(B8&gt;0,C19/B8,0)</f>
        <v>0</v>
      </c>
      <c r="G19" t="str">
        <f>IF(B19&gt;C19,"OVERBILLING",IF(C19&gt;B19,"UNDERBILLING","BALANCED"))</f>
        <v>OVERBILLING</v>
      </c>
      <c r="I19" t="s">
        <v>9521</v>
      </c>
    </row>
    <row r="20" spans="1:9">
      <c r="A20" t="s">
        <v>9255</v>
      </c>
      <c r="B20">
        <f>COUNTIFS(reconciliation_base!U:U,1,reconciliation_base!Z:Z,"&gt;0")</f>
        <v>10</v>
      </c>
      <c r="C20">
        <f>COUNTIFS(reconciliation_base!U:U,1,reconciliation_base!Z:Z,"&lt;0")</f>
        <v>1</v>
      </c>
      <c r="D20">
        <f>COUNTIFS(reconciliation_base!U:U,1,reconciliation_base!Z:Z,0)</f>
        <v>180</v>
      </c>
      <c r="E20" s="7">
        <f>IF(B9&gt;0,B20/B9,0)</f>
        <v>5.2356020942408377E-2</v>
      </c>
      <c r="F20" s="7">
        <f>IF(B9&gt;0,C20/B9,0)</f>
        <v>5.235602094240838E-3</v>
      </c>
      <c r="G20" t="str">
        <f>IF(B20&gt;C20,"OVERBILLING",IF(C20&gt;B20,"UNDERBILLING","BALANCED"))</f>
        <v>OVERBILLING</v>
      </c>
    </row>
    <row r="21" spans="1:9">
      <c r="A21" t="s">
        <v>9257</v>
      </c>
      <c r="B21">
        <f>COUNTIFS(reconciliation_base!V:V,1,reconciliation_base!Z:Z,"&gt;0")</f>
        <v>1</v>
      </c>
      <c r="C21">
        <f>COUNTIFS(reconciliation_base!V:V,1,reconciliation_base!Z:Z,"&lt;0")</f>
        <v>0</v>
      </c>
      <c r="D21">
        <f>COUNTIFS(reconciliation_base!V:V,1,reconciliation_base!Z:Z,0)</f>
        <v>14</v>
      </c>
      <c r="E21" s="7">
        <f>IF(B10&gt;0,B21/B10,0)</f>
        <v>6.6666666666666666E-2</v>
      </c>
      <c r="F21" s="7">
        <f>IF(B10&gt;0,C21/B10,0)</f>
        <v>0</v>
      </c>
      <c r="G21" t="str">
        <f>IF(B21&gt;C21,"OVERBILLING",IF(C21&gt;B21,"UNDERBILLING","BALANCED"))</f>
        <v>OVERBILLING</v>
      </c>
      <c r="I21" t="s">
        <v>9522</v>
      </c>
    </row>
    <row r="22" spans="1:9">
      <c r="I22" t="s">
        <v>9523</v>
      </c>
    </row>
    <row r="23" spans="1:9">
      <c r="A23" s="3" t="s">
        <v>9524</v>
      </c>
      <c r="I23" t="s">
        <v>9525</v>
      </c>
    </row>
    <row r="24" spans="1:9">
      <c r="A24" s="5" t="s">
        <v>9490</v>
      </c>
      <c r="B24" s="5" t="s">
        <v>9358</v>
      </c>
      <c r="C24" s="5" t="s">
        <v>9359</v>
      </c>
      <c r="D24" s="5" t="s">
        <v>9360</v>
      </c>
      <c r="E24" s="5" t="s">
        <v>9341</v>
      </c>
      <c r="F24" s="5" t="s">
        <v>9526</v>
      </c>
      <c r="G24" s="5" t="s">
        <v>9527</v>
      </c>
      <c r="I24" t="s">
        <v>9528</v>
      </c>
    </row>
    <row r="25" spans="1:9">
      <c r="A25" t="s">
        <v>9251</v>
      </c>
      <c r="B25">
        <f>COUNTIFS(reconciliation_base!Q:Q,1,reconciliation_base!AB:AB,"HIGH")</f>
        <v>173</v>
      </c>
      <c r="C25">
        <f>COUNTIFS(reconciliation_base!Q:Q,1,reconciliation_base!AB:AB,"MEDIUM")</f>
        <v>24</v>
      </c>
      <c r="D25">
        <f>COUNTIFS(reconciliation_base!Q:Q,1,reconciliation_base!AB:AB,"LOW")</f>
        <v>0</v>
      </c>
      <c r="E25" s="7">
        <f>IF(B5&gt;0,B25/B5,0)</f>
        <v>0.87817258883248728</v>
      </c>
      <c r="F25" s="10">
        <f>IF(B25&gt;0,SUMIFS(reconciliation_base!Z:Z,reconciliation_base!Q:Q,1,reconciliation_base!AB:AB,"HIGH")/B25,0)</f>
        <v>2090.0762951287047</v>
      </c>
      <c r="G25" s="10">
        <f>IF(C25&gt;0,SUMIFS(reconciliation_base!Z:Z,reconciliation_base!Q:Q,1,reconciliation_base!AB:AB,"MEDIUM")/C25,0)</f>
        <v>75.286487500000092</v>
      </c>
    </row>
    <row r="26" spans="1:9">
      <c r="A26" t="s">
        <v>9253</v>
      </c>
      <c r="B26">
        <f>COUNTIFS(reconciliation_base!R:R,1,reconciliation_base!AB:AB,"HIGH")</f>
        <v>14</v>
      </c>
      <c r="C26">
        <f>COUNTIFS(reconciliation_base!R:R,1,reconciliation_base!AB:AB,"MEDIUM")</f>
        <v>109</v>
      </c>
      <c r="D26">
        <f>COUNTIFS(reconciliation_base!R:R,1,reconciliation_base!AB:AB,"LOW")</f>
        <v>0</v>
      </c>
      <c r="E26" s="7">
        <f>IF(B6&gt;0,B26/B6,0)</f>
        <v>0.11382113821138211</v>
      </c>
      <c r="F26" s="10">
        <f>IF(B26&gt;0,SUMIFS(reconciliation_base!Z:Z,reconciliation_base!R:R,1,reconciliation_base!AB:AB,"HIGH")/B26,0)</f>
        <v>2311.727663919205</v>
      </c>
      <c r="G26" s="10">
        <f>IF(C26&gt;0,SUMIFS(reconciliation_base!Z:Z,reconciliation_base!R:R,1,reconciliation_base!AB:AB,"MEDIUM")/C26,0)</f>
        <v>35.680545452375782</v>
      </c>
      <c r="I26" t="s">
        <v>9529</v>
      </c>
    </row>
    <row r="27" spans="1:9">
      <c r="A27" t="s">
        <v>9254</v>
      </c>
      <c r="B27">
        <f>COUNTIFS(reconciliation_base!S:S,1,reconciliation_base!AB:AB,"HIGH")</f>
        <v>5</v>
      </c>
      <c r="C27">
        <f>COUNTIFS(reconciliation_base!S:S,1,reconciliation_base!AB:AB,"MEDIUM")</f>
        <v>2</v>
      </c>
      <c r="D27">
        <f>COUNTIFS(reconciliation_base!S:S,1,reconciliation_base!AB:AB,"LOW")</f>
        <v>0</v>
      </c>
      <c r="E27" s="7">
        <f>IF(B7&gt;0,B27/B7,0)</f>
        <v>0.7142857142857143</v>
      </c>
      <c r="F27" s="10">
        <f>IF(B27&gt;0,SUMIFS(reconciliation_base!Z:Z,reconciliation_base!S:S,1,reconciliation_base!AB:AB,"HIGH")/B27,0)</f>
        <v>1487.6351999999999</v>
      </c>
      <c r="G27" s="10">
        <f>IF(C27&gt;0,SUMIFS(reconciliation_base!Z:Z,reconciliation_base!S:S,1,reconciliation_base!AB:AB,"MEDIUM")/C27,0)</f>
        <v>0</v>
      </c>
      <c r="I27" t="s">
        <v>9530</v>
      </c>
    </row>
    <row r="28" spans="1:9">
      <c r="A28" t="s">
        <v>9260</v>
      </c>
      <c r="B28">
        <f>COUNTIFS(reconciliation_base!T:T,1,reconciliation_base!AB:AB,"HIGH")</f>
        <v>5</v>
      </c>
      <c r="C28">
        <f>COUNTIFS(reconciliation_base!T:T,1,reconciliation_base!AB:AB,"MEDIUM")</f>
        <v>0</v>
      </c>
      <c r="D28">
        <f>COUNTIFS(reconciliation_base!T:T,1,reconciliation_base!AB:AB,"LOW")</f>
        <v>0</v>
      </c>
      <c r="E28" s="7">
        <f>IF(B8&gt;0,B28/B8,0)</f>
        <v>1</v>
      </c>
      <c r="F28" s="10">
        <f>IF(B28&gt;0,SUMIFS(reconciliation_base!Z:Z,reconciliation_base!T:T,1,reconciliation_base!AB:AB,"HIGH")/B28,0)</f>
        <v>1487.6351999999999</v>
      </c>
      <c r="G28" s="10">
        <f>IF(C28&gt;0,SUMIFS(reconciliation_base!Z:Z,reconciliation_base!T:T,1,reconciliation_base!AB:AB,"MEDIUM")/C28,0)</f>
        <v>0</v>
      </c>
      <c r="I28" t="s">
        <v>9531</v>
      </c>
    </row>
    <row r="29" spans="1:9">
      <c r="A29" t="s">
        <v>9255</v>
      </c>
      <c r="B29">
        <f>COUNTIFS(reconciliation_base!U:U,1,reconciliation_base!AB:AB,"HIGH")</f>
        <v>10</v>
      </c>
      <c r="C29">
        <f>COUNTIFS(reconciliation_base!U:U,1,reconciliation_base!AB:AB,"MEDIUM")</f>
        <v>181</v>
      </c>
      <c r="D29">
        <f>COUNTIFS(reconciliation_base!U:U,1,reconciliation_base!AB:AB,"LOW")</f>
        <v>0</v>
      </c>
      <c r="E29" s="7">
        <f>IF(B9&gt;0,B29/B9,0)</f>
        <v>5.2356020942408377E-2</v>
      </c>
      <c r="F29" s="10">
        <f>IF(B29&gt;0,SUMIFS(reconciliation_base!Z:Z,reconciliation_base!U:U,1,reconciliation_base!AB:AB,"HIGH")/B29,0)</f>
        <v>2884.363041960904</v>
      </c>
      <c r="G29" s="10">
        <f>IF(C29&gt;0,SUMIFS(reconciliation_base!Z:Z,reconciliation_base!U:U,1,reconciliation_base!AB:AB,"MEDIUM")/C29,0)</f>
        <v>-2.1320055248618788</v>
      </c>
      <c r="I29" t="s">
        <v>9532</v>
      </c>
    </row>
    <row r="30" spans="1:9">
      <c r="A30" t="s">
        <v>9257</v>
      </c>
      <c r="B30">
        <f>COUNTIFS(reconciliation_base!V:V,1,reconciliation_base!AB:AB,"HIGH")</f>
        <v>1</v>
      </c>
      <c r="C30">
        <f>COUNTIFS(reconciliation_base!V:V,1,reconciliation_base!AB:AB,"MEDIUM")</f>
        <v>14</v>
      </c>
      <c r="D30">
        <f>COUNTIFS(reconciliation_base!V:V,1,reconciliation_base!AB:AB,"LOW")</f>
        <v>0</v>
      </c>
      <c r="E30" s="7">
        <f>IF(B10&gt;0,B30/B10,0)</f>
        <v>6.6666666666666666E-2</v>
      </c>
      <c r="F30" s="10">
        <f>IF(B30&gt;0,SUMIFS(reconciliation_base!Z:Z,reconciliation_base!V:V,1,reconciliation_base!AB:AB,"HIGH")/B30,0)</f>
        <v>3979.4255999999987</v>
      </c>
      <c r="G30" s="10">
        <f>IF(C30&gt;0,SUMIFS(reconciliation_base!Z:Z,reconciliation_base!V:V,1,reconciliation_base!AB:AB,"MEDIUM")/C30,0)</f>
        <v>0</v>
      </c>
    </row>
    <row r="31" spans="1:9">
      <c r="I31" t="s">
        <v>9533</v>
      </c>
    </row>
    <row r="32" spans="1:9">
      <c r="I32" t="s">
        <v>9534</v>
      </c>
    </row>
    <row r="33" spans="9:9">
      <c r="I33" t="s">
        <v>9535</v>
      </c>
    </row>
    <row r="34" spans="9:9">
      <c r="I34" t="s">
        <v>9536</v>
      </c>
    </row>
  </sheetData>
  <mergeCells count="1">
    <mergeCell ref="I15:K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A282-A0B6-4D44-B583-58C55A3D9DD4}">
  <dimension ref="A1:C39"/>
  <sheetViews>
    <sheetView workbookViewId="0"/>
  </sheetViews>
  <sheetFormatPr defaultRowHeight="15"/>
  <cols>
    <col min="1" max="1" width="51.42578125" bestFit="1" customWidth="1"/>
    <col min="2" max="2" width="16.85546875" bestFit="1" customWidth="1"/>
    <col min="3" max="3" width="12.42578125" bestFit="1" customWidth="1"/>
  </cols>
  <sheetData>
    <row r="1" spans="1:3" ht="18.75">
      <c r="A1" s="4" t="s">
        <v>9537</v>
      </c>
    </row>
    <row r="3" spans="1:3">
      <c r="A3" s="5" t="s">
        <v>105</v>
      </c>
      <c r="B3" s="5" t="s">
        <v>9538</v>
      </c>
      <c r="C3" s="5" t="s">
        <v>9291</v>
      </c>
    </row>
    <row r="4" spans="1:3">
      <c r="A4" t="s">
        <v>1021</v>
      </c>
      <c r="B4" s="10">
        <v>12319.933000000001</v>
      </c>
      <c r="C4" s="10">
        <v>12319.933000000001</v>
      </c>
    </row>
    <row r="5" spans="1:3">
      <c r="A5" t="s">
        <v>599</v>
      </c>
      <c r="B5" s="10">
        <v>11787.51019999999</v>
      </c>
      <c r="C5" s="10">
        <v>11787.51019999999</v>
      </c>
    </row>
    <row r="6" spans="1:3">
      <c r="A6" t="s">
        <v>1709</v>
      </c>
      <c r="B6" s="10">
        <v>11441.683999999999</v>
      </c>
      <c r="C6" s="10">
        <v>11441.683999999999</v>
      </c>
    </row>
    <row r="7" spans="1:3">
      <c r="A7" t="s">
        <v>340</v>
      </c>
      <c r="B7" s="10">
        <v>11151.405056208894</v>
      </c>
      <c r="C7" s="10">
        <v>11151.405056208894</v>
      </c>
    </row>
    <row r="8" spans="1:3">
      <c r="A8" t="s">
        <v>2488</v>
      </c>
      <c r="B8" s="10">
        <v>10939.257600000001</v>
      </c>
      <c r="C8" s="10">
        <v>10939.257600000001</v>
      </c>
    </row>
    <row r="9" spans="1:3">
      <c r="A9" t="s">
        <v>1828</v>
      </c>
      <c r="B9" s="10">
        <v>10185.939899999999</v>
      </c>
      <c r="C9" s="10">
        <v>10185.939899999999</v>
      </c>
    </row>
    <row r="10" spans="1:3">
      <c r="A10" t="s">
        <v>4124</v>
      </c>
      <c r="B10" s="10">
        <v>9867.9842000000008</v>
      </c>
      <c r="C10" s="10">
        <v>9867.9842000000008</v>
      </c>
    </row>
    <row r="11" spans="1:3">
      <c r="A11" t="s">
        <v>348</v>
      </c>
      <c r="B11" s="10">
        <v>9795.7440000000006</v>
      </c>
      <c r="C11" s="10">
        <v>9795.7440000000006</v>
      </c>
    </row>
    <row r="12" spans="1:3">
      <c r="A12" t="s">
        <v>4848</v>
      </c>
      <c r="B12" s="10">
        <v>9564.1029999999992</v>
      </c>
      <c r="C12" s="10">
        <v>9564.1029999999992</v>
      </c>
    </row>
    <row r="13" spans="1:3">
      <c r="A13" t="s">
        <v>852</v>
      </c>
      <c r="B13" s="10">
        <v>9419.4899999999907</v>
      </c>
      <c r="C13" s="10">
        <v>9419.4899999999907</v>
      </c>
    </row>
    <row r="14" spans="1:3">
      <c r="A14" t="s">
        <v>6023</v>
      </c>
      <c r="B14" s="10">
        <v>9338.2110000000102</v>
      </c>
      <c r="C14" s="10">
        <v>9338.2110000000102</v>
      </c>
    </row>
    <row r="15" spans="1:3">
      <c r="A15" t="s">
        <v>2668</v>
      </c>
      <c r="B15" s="10">
        <v>9317.6055000000106</v>
      </c>
      <c r="C15" s="10">
        <v>9317.6055000000106</v>
      </c>
    </row>
    <row r="16" spans="1:3">
      <c r="A16" t="s">
        <v>603</v>
      </c>
      <c r="B16" s="10">
        <v>9200.6692000000075</v>
      </c>
      <c r="C16" s="10">
        <v>9200.6692000000075</v>
      </c>
    </row>
    <row r="17" spans="1:3">
      <c r="A17" t="s">
        <v>1545</v>
      </c>
      <c r="B17" s="10">
        <v>9100.3500619945389</v>
      </c>
      <c r="C17" s="10">
        <v>9100.3500619945389</v>
      </c>
    </row>
    <row r="18" spans="1:3">
      <c r="A18" t="s">
        <v>3459</v>
      </c>
      <c r="B18" s="10">
        <v>8744.9599999999991</v>
      </c>
      <c r="C18" s="10">
        <v>8744.9599999999991</v>
      </c>
    </row>
    <row r="19" spans="1:3">
      <c r="A19" t="s">
        <v>1161</v>
      </c>
      <c r="B19" s="10">
        <v>8558.3359999999993</v>
      </c>
      <c r="C19" s="10">
        <v>8558.3359999999993</v>
      </c>
    </row>
    <row r="20" spans="1:3">
      <c r="A20" t="s">
        <v>3589</v>
      </c>
      <c r="B20" s="10">
        <v>8541.54000000001</v>
      </c>
      <c r="C20" s="10">
        <v>8541.54000000001</v>
      </c>
    </row>
    <row r="21" spans="1:3">
      <c r="A21" t="s">
        <v>4297</v>
      </c>
      <c r="B21" s="10">
        <v>8303.1990782202301</v>
      </c>
      <c r="C21" s="10">
        <v>8303.1990782202301</v>
      </c>
    </row>
    <row r="22" spans="1:3">
      <c r="A22" t="s">
        <v>666</v>
      </c>
      <c r="B22" s="10">
        <v>8246.3616000000002</v>
      </c>
      <c r="C22" s="10">
        <v>8246.3616000000002</v>
      </c>
    </row>
    <row r="23" spans="1:3">
      <c r="A23" t="s">
        <v>6545</v>
      </c>
      <c r="B23" s="10">
        <v>8124.97</v>
      </c>
      <c r="C23" s="10">
        <v>8124.97</v>
      </c>
    </row>
    <row r="24" spans="1:3">
      <c r="A24" t="s">
        <v>683</v>
      </c>
      <c r="B24" s="10">
        <v>7644.9555</v>
      </c>
      <c r="C24" s="10">
        <v>7644.9555</v>
      </c>
    </row>
    <row r="25" spans="1:3">
      <c r="A25" t="s">
        <v>2673</v>
      </c>
      <c r="B25" s="10">
        <v>7573.9888000000101</v>
      </c>
      <c r="C25" s="10">
        <v>7573.9888000000101</v>
      </c>
    </row>
    <row r="26" spans="1:3">
      <c r="A26" t="s">
        <v>2625</v>
      </c>
      <c r="B26" s="10">
        <v>7438.1760000000004</v>
      </c>
      <c r="C26" s="10">
        <v>7438.1760000000004</v>
      </c>
    </row>
    <row r="27" spans="1:3">
      <c r="A27" t="s">
        <v>4015</v>
      </c>
      <c r="B27" s="10">
        <v>7147.0483342827602</v>
      </c>
      <c r="C27" s="10">
        <v>7147.0483342827602</v>
      </c>
    </row>
    <row r="28" spans="1:3">
      <c r="A28" t="s">
        <v>2298</v>
      </c>
      <c r="B28" s="10">
        <v>6940.2362725877074</v>
      </c>
      <c r="C28" s="10">
        <v>6940.2362725877074</v>
      </c>
    </row>
    <row r="31" spans="1:3">
      <c r="A31" s="53" t="s">
        <v>9539</v>
      </c>
    </row>
    <row r="32" spans="1:3">
      <c r="A32" s="53" t="s">
        <v>9540</v>
      </c>
    </row>
    <row r="34" spans="1:2">
      <c r="A34" s="3" t="s">
        <v>9541</v>
      </c>
    </row>
    <row r="35" spans="1:2">
      <c r="A35" t="s">
        <v>9542</v>
      </c>
      <c r="B35">
        <v>25</v>
      </c>
    </row>
    <row r="36" spans="1:2">
      <c r="A36" t="s">
        <v>9543</v>
      </c>
      <c r="B36" s="10">
        <f>SUMIF(B4:B28,"&gt;0")</f>
        <v>230693.65830329421</v>
      </c>
    </row>
    <row r="37" spans="1:2">
      <c r="A37" t="s">
        <v>9544</v>
      </c>
      <c r="B37" s="10">
        <f>SUMIF(B4:B28,"&lt;0")</f>
        <v>0</v>
      </c>
    </row>
    <row r="38" spans="1:2">
      <c r="A38" t="s">
        <v>9545</v>
      </c>
      <c r="B38" s="10">
        <f>SUM(B4:B28)</f>
        <v>230693.65830329421</v>
      </c>
    </row>
    <row r="39" spans="1:2">
      <c r="A39" t="s">
        <v>9546</v>
      </c>
      <c r="B39" s="10">
        <f>AVERAGE(B4:B28)</f>
        <v>9227.7463321317682</v>
      </c>
    </row>
  </sheetData>
  <conditionalFormatting sqref="B4:B28">
    <cfRule type="cellIs" dxfId="1" priority="1" operator="greaterThan">
      <formula>0</formula>
    </cfRule>
  </conditionalFormatting>
  <conditionalFormatting sqref="B4:B28"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7245-4BEB-44EA-8597-D05CC13ABE48}">
  <dimension ref="A1:B42"/>
  <sheetViews>
    <sheetView workbookViewId="0"/>
  </sheetViews>
  <sheetFormatPr defaultRowHeight="15"/>
  <cols>
    <col min="1" max="1" width="54.42578125" bestFit="1" customWidth="1"/>
    <col min="2" max="2" width="13.7109375" bestFit="1" customWidth="1"/>
  </cols>
  <sheetData>
    <row r="1" spans="1:2" ht="18.75">
      <c r="A1" s="4" t="s">
        <v>9547</v>
      </c>
    </row>
    <row r="3" spans="1:2">
      <c r="A3" s="3" t="s">
        <v>54</v>
      </c>
      <c r="B3" s="3" t="s">
        <v>8</v>
      </c>
    </row>
    <row r="4" spans="1:2">
      <c r="A4" t="s">
        <v>9387</v>
      </c>
      <c r="B4" s="10">
        <v>19943.954389508701</v>
      </c>
    </row>
    <row r="5" spans="1:2">
      <c r="A5" t="s">
        <v>9388</v>
      </c>
      <c r="B5" s="10">
        <v>12721.8345115587</v>
      </c>
    </row>
    <row r="6" spans="1:2">
      <c r="A6" t="s">
        <v>9389</v>
      </c>
      <c r="B6" s="10">
        <v>21830.6413819513</v>
      </c>
    </row>
    <row r="7" spans="1:2">
      <c r="A7" t="s">
        <v>9390</v>
      </c>
      <c r="B7" s="10">
        <v>8814.6874507986995</v>
      </c>
    </row>
    <row r="8" spans="1:2">
      <c r="A8" t="s">
        <v>9391</v>
      </c>
      <c r="B8" s="10">
        <v>10275.373402060501</v>
      </c>
    </row>
    <row r="9" spans="1:2">
      <c r="A9" t="s">
        <v>9392</v>
      </c>
      <c r="B9" s="10">
        <v>43272.063542537901</v>
      </c>
    </row>
    <row r="10" spans="1:2">
      <c r="A10" t="s">
        <v>9393</v>
      </c>
      <c r="B10" s="10">
        <v>18193.777059087701</v>
      </c>
    </row>
    <row r="11" spans="1:2">
      <c r="A11" t="s">
        <v>9395</v>
      </c>
      <c r="B11" s="10">
        <v>13710.7907963949</v>
      </c>
    </row>
    <row r="12" spans="1:2">
      <c r="A12" t="s">
        <v>9396</v>
      </c>
      <c r="B12" s="10">
        <v>2237.74910936673</v>
      </c>
    </row>
    <row r="13" spans="1:2">
      <c r="A13" t="s">
        <v>9397</v>
      </c>
      <c r="B13" s="10">
        <v>5901.1419038254398</v>
      </c>
    </row>
    <row r="14" spans="1:2">
      <c r="A14" t="s">
        <v>9398</v>
      </c>
      <c r="B14" s="10">
        <v>17827.248096763102</v>
      </c>
    </row>
    <row r="15" spans="1:2">
      <c r="A15" t="s">
        <v>9399</v>
      </c>
      <c r="B15" s="10">
        <v>15537.118982756499</v>
      </c>
    </row>
    <row r="16" spans="1:2">
      <c r="A16" t="s">
        <v>9400</v>
      </c>
      <c r="B16" s="10">
        <v>644.76793831904001</v>
      </c>
    </row>
    <row r="17" spans="1:2">
      <c r="A17" t="s">
        <v>9401</v>
      </c>
      <c r="B17" s="10">
        <v>8121.4517786345596</v>
      </c>
    </row>
    <row r="18" spans="1:2">
      <c r="A18" t="s">
        <v>9402</v>
      </c>
      <c r="B18" s="10">
        <v>8237.1297225171602</v>
      </c>
    </row>
    <row r="19" spans="1:2">
      <c r="A19" t="s">
        <v>9403</v>
      </c>
      <c r="B19" s="10">
        <v>23321.794619150001</v>
      </c>
    </row>
    <row r="20" spans="1:2">
      <c r="A20" t="s">
        <v>9404</v>
      </c>
      <c r="B20" s="10">
        <v>13942.6915492957</v>
      </c>
    </row>
    <row r="21" spans="1:2">
      <c r="A21" t="s">
        <v>9405</v>
      </c>
      <c r="B21" s="10">
        <v>10223.253776415801</v>
      </c>
    </row>
    <row r="22" spans="1:2">
      <c r="A22" t="s">
        <v>9406</v>
      </c>
      <c r="B22" s="10">
        <v>34338.3559592112</v>
      </c>
    </row>
    <row r="23" spans="1:2">
      <c r="A23" t="s">
        <v>9407</v>
      </c>
      <c r="B23" s="10">
        <v>12520.224512058199</v>
      </c>
    </row>
    <row r="24" spans="1:2">
      <c r="A24" t="s">
        <v>9408</v>
      </c>
      <c r="B24" s="10">
        <v>1747.6036402145601</v>
      </c>
    </row>
    <row r="25" spans="1:2">
      <c r="A25" t="s">
        <v>9409</v>
      </c>
      <c r="B25" s="10">
        <v>23076.621397726401</v>
      </c>
    </row>
    <row r="26" spans="1:2">
      <c r="A26" t="s">
        <v>9410</v>
      </c>
      <c r="B26" s="10">
        <v>31289.044674894099</v>
      </c>
    </row>
    <row r="27" spans="1:2">
      <c r="A27" t="s">
        <v>9411</v>
      </c>
      <c r="B27" s="10">
        <v>9743.5312541310195</v>
      </c>
    </row>
    <row r="30" spans="1:2">
      <c r="A30" s="3" t="s">
        <v>9541</v>
      </c>
    </row>
    <row r="31" spans="1:2">
      <c r="A31" s="3" t="s">
        <v>3</v>
      </c>
      <c r="B31" s="3" t="s">
        <v>4</v>
      </c>
    </row>
    <row r="32" spans="1:2">
      <c r="A32" t="s">
        <v>9548</v>
      </c>
      <c r="B32">
        <f>COUNTA(A4:A27)</f>
        <v>24</v>
      </c>
    </row>
    <row r="33" spans="1:2">
      <c r="A33" t="s">
        <v>9449</v>
      </c>
      <c r="B33" s="10">
        <f>AVERAGE(B4:B27)</f>
        <v>15311.368810382412</v>
      </c>
    </row>
    <row r="34" spans="1:2">
      <c r="A34" t="s">
        <v>9457</v>
      </c>
      <c r="B34" s="10">
        <f>MAX(B4:B27)</f>
        <v>43272.063542537901</v>
      </c>
    </row>
    <row r="35" spans="1:2">
      <c r="A35" t="s">
        <v>9459</v>
      </c>
      <c r="B35" s="10">
        <f>MIN(B4:B27)</f>
        <v>644.76793831904001</v>
      </c>
    </row>
    <row r="36" spans="1:2">
      <c r="A36" t="s">
        <v>9549</v>
      </c>
      <c r="B36" t="str">
        <f>INDEX(A4:A27,MATCH(MAX(B4:B27),B4:B27,0))</f>
        <v>2023-06</v>
      </c>
    </row>
    <row r="37" spans="1:2">
      <c r="A37" t="s">
        <v>9550</v>
      </c>
      <c r="B37" t="str">
        <f>INDEX(A4:A27,MATCH(MIN(B4:B27),B4:B27,0))</f>
        <v>2024-01</v>
      </c>
    </row>
    <row r="38" spans="1:2">
      <c r="A38" t="s">
        <v>9551</v>
      </c>
      <c r="B38" s="10">
        <f>SUM(B4:B27)</f>
        <v>367472.85144917789</v>
      </c>
    </row>
    <row r="40" spans="1:2">
      <c r="A40" s="3" t="s">
        <v>9552</v>
      </c>
    </row>
    <row r="41" spans="1:2">
      <c r="A41" t="s">
        <v>9553</v>
      </c>
    </row>
    <row r="42" spans="1:2">
      <c r="A42" t="s">
        <v>9554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F28E-8A97-45EC-846D-69059081C606}">
  <dimension ref="A1:H24"/>
  <sheetViews>
    <sheetView workbookViewId="0"/>
  </sheetViews>
  <sheetFormatPr defaultRowHeight="15"/>
  <cols>
    <col min="1" max="1" width="30.28515625" bestFit="1" customWidth="1"/>
    <col min="2" max="2" width="11.85546875" bestFit="1" customWidth="1"/>
    <col min="3" max="3" width="9.7109375" bestFit="1" customWidth="1"/>
    <col min="4" max="4" width="13.7109375" bestFit="1" customWidth="1"/>
    <col min="5" max="5" width="12.42578125" bestFit="1" customWidth="1"/>
  </cols>
  <sheetData>
    <row r="1" spans="1:5" ht="18.75">
      <c r="A1" s="4" t="s">
        <v>9325</v>
      </c>
    </row>
    <row r="3" spans="1:5">
      <c r="A3" s="30" t="s">
        <v>59</v>
      </c>
      <c r="B3" s="30" t="s">
        <v>33</v>
      </c>
      <c r="C3" s="30" t="s">
        <v>37</v>
      </c>
      <c r="D3" s="30" t="s">
        <v>8</v>
      </c>
      <c r="E3" s="30" t="s">
        <v>61</v>
      </c>
    </row>
    <row r="4" spans="1:5">
      <c r="A4" s="55" t="s">
        <v>65</v>
      </c>
      <c r="B4" s="56">
        <f>COUNTIF(reconciliation_base!AB:AB,"HIGH")</f>
        <v>181</v>
      </c>
      <c r="C4" s="34">
        <f>B4/SUM($B$4:$B$6)</f>
        <v>4.5249999999999999E-2</v>
      </c>
      <c r="D4" s="26">
        <f>SUMIF(reconciliation_base!AB:AB,"HIGH",reconciliation_base!Z:Z)</f>
        <v>361776.79629486887</v>
      </c>
      <c r="E4" s="26">
        <f>IF(B4&gt;0,D4/B4,0)</f>
        <v>1998.7668303583914</v>
      </c>
    </row>
    <row r="5" spans="1:5">
      <c r="A5" s="57" t="s">
        <v>67</v>
      </c>
      <c r="B5" s="56">
        <f>COUNTIF(reconciliation_base!AB:AB,"MEDIUM")</f>
        <v>322</v>
      </c>
      <c r="C5" s="34">
        <f>B5/SUM($B$4:$B$6)</f>
        <v>8.0500000000000002E-2</v>
      </c>
      <c r="D5" s="26">
        <f>SUMIF(reconciliation_base!AB:AB,"MEDIUM",reconciliation_base!Z:Z)</f>
        <v>5696.0551543089632</v>
      </c>
      <c r="E5" s="26">
        <f>IF(B5&gt;0,D5/B5,0)</f>
        <v>17.689612280462619</v>
      </c>
    </row>
    <row r="6" spans="1:5">
      <c r="A6" s="58" t="s">
        <v>70</v>
      </c>
      <c r="B6" s="56">
        <f>COUNTIF(reconciliation_base!AB:AB,"LOW")</f>
        <v>3497</v>
      </c>
      <c r="C6" s="34">
        <f>B6/SUM($B$4:$B$6)</f>
        <v>0.87424999999999997</v>
      </c>
      <c r="D6" s="26">
        <f>SUMIF(reconciliation_base!AB:AB,"LOW",reconciliation_base!Z:Z)</f>
        <v>0</v>
      </c>
      <c r="E6" s="26">
        <f>IF(B6&gt;0,D6/B6,0)</f>
        <v>0</v>
      </c>
    </row>
    <row r="7" spans="1:5">
      <c r="A7" s="59" t="s">
        <v>73</v>
      </c>
      <c r="B7" s="60">
        <f>SUM(B4:B6)</f>
        <v>4000</v>
      </c>
      <c r="C7" s="61">
        <f>SUM(C4:C6)</f>
        <v>1</v>
      </c>
      <c r="D7" s="62">
        <f>SUM(D4:D6)</f>
        <v>367472.85144917783</v>
      </c>
      <c r="E7" s="62">
        <f>IF(B7&gt;0,D7/B7,0)</f>
        <v>91.868212862294456</v>
      </c>
    </row>
    <row r="10" spans="1:5" ht="15.75">
      <c r="A10" s="13" t="s">
        <v>9555</v>
      </c>
    </row>
    <row r="12" spans="1:5">
      <c r="A12" s="3" t="s">
        <v>9556</v>
      </c>
    </row>
    <row r="13" spans="1:5">
      <c r="A13" t="s">
        <v>9557</v>
      </c>
      <c r="B13" t="str">
        <f>B4&amp;" orders ("&amp;TEXT(C4,"0.0%")&amp;" of total)"</f>
        <v>181 orders (4.5% of total)</v>
      </c>
    </row>
    <row r="14" spans="1:5">
      <c r="A14" t="s">
        <v>9558</v>
      </c>
      <c r="B14" t="str">
        <f>B5&amp;" orders ("&amp;TEXT(C5,"0.0%")&amp;" of total)"</f>
        <v>322 orders (8.1% of total)</v>
      </c>
    </row>
    <row r="15" spans="1:5">
      <c r="A15" t="s">
        <v>9559</v>
      </c>
      <c r="B15" t="str">
        <f>B6&amp;" orders ("&amp;TEXT(C6,"0.0%")&amp;" of total)"</f>
        <v>3497 orders (87.4% of total)</v>
      </c>
    </row>
    <row r="17" spans="1:8">
      <c r="A17" t="s">
        <v>9560</v>
      </c>
      <c r="B17" t="str">
        <f>TEXT(D4/D7,"0.0%")&amp;" of total variance"</f>
        <v>98.4% of total variance</v>
      </c>
    </row>
    <row r="19" spans="1:8">
      <c r="A19" s="3" t="s">
        <v>9561</v>
      </c>
    </row>
    <row r="20" spans="1:8">
      <c r="A20" s="3" t="s">
        <v>3</v>
      </c>
      <c r="B20" s="3" t="s">
        <v>4</v>
      </c>
    </row>
    <row r="21" spans="1:8">
      <c r="A21" t="s">
        <v>9562</v>
      </c>
      <c r="B21" s="54">
        <f>D4/D7</f>
        <v>0.98449938510601309</v>
      </c>
      <c r="G21" s="3" t="s">
        <v>59</v>
      </c>
      <c r="H21" s="3" t="s">
        <v>8</v>
      </c>
    </row>
    <row r="22" spans="1:8">
      <c r="A22" t="s">
        <v>9563</v>
      </c>
      <c r="B22" s="54">
        <f>D5/D7</f>
        <v>1.5500614893986905E-2</v>
      </c>
      <c r="G22" t="s">
        <v>65</v>
      </c>
      <c r="H22" s="63">
        <f>D4</f>
        <v>361776.79629486887</v>
      </c>
    </row>
    <row r="23" spans="1:8">
      <c r="A23" t="s">
        <v>9564</v>
      </c>
      <c r="B23" s="54">
        <f>D6/D7</f>
        <v>0</v>
      </c>
      <c r="G23" t="s">
        <v>67</v>
      </c>
      <c r="H23" s="63">
        <f>D5</f>
        <v>5696.0551543089632</v>
      </c>
    </row>
    <row r="24" spans="1:8">
      <c r="A24" t="s">
        <v>9565</v>
      </c>
      <c r="B24" s="64">
        <f>IF(D5&gt;0,D4/D5,0)</f>
        <v>63.513569741541431</v>
      </c>
      <c r="G24" t="s">
        <v>70</v>
      </c>
      <c r="H24" s="63">
        <f>D6</f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C550-5A06-4D01-94FE-85DF88F1F253}">
  <dimension ref="A1:B13"/>
  <sheetViews>
    <sheetView workbookViewId="0"/>
  </sheetViews>
  <sheetFormatPr defaultRowHeight="15"/>
  <cols>
    <col min="1" max="1" width="47.5703125" customWidth="1"/>
    <col min="2" max="2" width="28.5703125" customWidth="1"/>
  </cols>
  <sheetData>
    <row r="1" spans="1:2" ht="18.75">
      <c r="A1" s="4" t="s">
        <v>9566</v>
      </c>
    </row>
    <row r="3" spans="1:2">
      <c r="A3" s="30" t="s">
        <v>3</v>
      </c>
      <c r="B3" s="30" t="s">
        <v>4</v>
      </c>
    </row>
    <row r="4" spans="1:2">
      <c r="A4" s="24" t="s">
        <v>9230</v>
      </c>
      <c r="B4" s="56">
        <f>ROWS(ReconciliationData[])-1</f>
        <v>3999</v>
      </c>
    </row>
    <row r="5" spans="1:2">
      <c r="A5" s="24" t="s">
        <v>9232</v>
      </c>
      <c r="B5" s="26">
        <f>SUM(ReconciliationData[revenue_variance])</f>
        <v>367472.85144917783</v>
      </c>
    </row>
    <row r="6" spans="1:2">
      <c r="A6" s="24" t="s">
        <v>9567</v>
      </c>
      <c r="B6" s="26">
        <f>AVERAGE(ReconciliationData[revenue_variance])</f>
        <v>91.868212862294456</v>
      </c>
    </row>
    <row r="7" spans="1:2">
      <c r="A7" s="24"/>
      <c r="B7" s="24"/>
    </row>
    <row r="8" spans="1:2">
      <c r="A8" s="65" t="s">
        <v>9568</v>
      </c>
      <c r="B8" s="24"/>
    </row>
    <row r="9" spans="1:2">
      <c r="A9" s="24" t="s">
        <v>9569</v>
      </c>
      <c r="B9" s="56">
        <f>COUNTIF(ReconciliationData[revenue_variance],"&lt;&gt;0")</f>
        <v>310</v>
      </c>
    </row>
    <row r="10" spans="1:2">
      <c r="A10" s="24" t="s">
        <v>9570</v>
      </c>
      <c r="B10" s="26">
        <f>SUMIF(ReconciliationData[revenue_variance],"&lt;&gt;0")/COUNTIF(ReconciliationData[revenue_variance],"&lt;&gt;0")</f>
        <v>1185.3962949973479</v>
      </c>
    </row>
    <row r="11" spans="1:2">
      <c r="A11" s="24" t="s">
        <v>9571</v>
      </c>
      <c r="B11" s="26">
        <f>MAX(ReconciliationData[revenue_variance])</f>
        <v>12319.93299999999</v>
      </c>
    </row>
    <row r="12" spans="1:2">
      <c r="A12" s="24" t="s">
        <v>9572</v>
      </c>
      <c r="B12" s="26">
        <f>MIN(ReconciliationData[revenue_variance])</f>
        <v>-6159.9664999999804</v>
      </c>
    </row>
    <row r="13" spans="1:2">
      <c r="A13" s="24" t="s">
        <v>9573</v>
      </c>
      <c r="B13" s="25">
        <f>SUM(ReconciliationData[revenue_variance])/SUM(ReconciliationData[billed_revenue])</f>
        <v>1.4446632024448947E-3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SAS Institute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Ana Reed</cp:lastModifiedBy>
  <cp:revision/>
  <dcterms:created xsi:type="dcterms:W3CDTF">2026-03-21T15:09:44Z</dcterms:created>
  <dcterms:modified xsi:type="dcterms:W3CDTF">2026-03-31T16:23:30Z</dcterms:modified>
  <cp:category/>
  <cp:contentStatus/>
</cp:coreProperties>
</file>